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8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eanywng\Documents\R\conflict_trends_asia_pacific\data\"/>
    </mc:Choice>
  </mc:AlternateContent>
  <xr:revisionPtr revIDLastSave="0" documentId="13_ncr:1_{87EBB1FF-F642-4F76-9F3B-DD7FCE9B9C13}" xr6:coauthVersionLast="47" xr6:coauthVersionMax="47" xr10:uidLastSave="{00000000-0000-0000-0000-000000000000}"/>
  <bookViews>
    <workbookView xWindow="19103" yWindow="-98" windowWidth="28995" windowHeight="16395" xr2:uid="{00000000-000D-0000-FFFF-FFFF00000000}"/>
  </bookViews>
  <sheets>
    <sheet name="03.10.2024" sheetId="1" r:id="rId1"/>
    <sheet name="Sheet2" sheetId="2" r:id="rId2"/>
    <sheet name="...." sheetId="3" state="hidden" r:id="rId3"/>
    <sheet name="....." sheetId="4" state="hidden" r:id="rId4"/>
    <sheet name="......" sheetId="5" state="hidden" r:id="rId5"/>
    <sheet name=".... .." sheetId="6" state="hidden" r:id="rId6"/>
    <sheet name="... " sheetId="7" state="hidden" r:id="rId7"/>
    <sheet name=".. . " sheetId="8" state="hidden" r:id="rId8"/>
    <sheet name=". ." sheetId="9" state="hidden" r:id="rId9"/>
    <sheet name="AAAA" sheetId="10" state="hidden" r:id="rId10"/>
    <sheet name="T10" sheetId="11" state="hidden" r:id="rId11"/>
    <sheet name="Sheet1" sheetId="12" state="hidden" r:id="rId12"/>
    <sheet name="Hòa Bình" sheetId="13" state="hidden" r:id="rId13"/>
    <sheet name="Tây Ninh" sheetId="14" state="hidden" r:id="rId14"/>
    <sheet name="Phú Thọ" sheetId="15" state="hidden" r:id="rId15"/>
    <sheet name="Lào Cai" sheetId="16" state="hidden" r:id="rId16"/>
    <sheet name="Nghệ An" sheetId="17" state="hidden" r:id="rId17"/>
    <sheet name="Sơn La" sheetId="18" state="hidden" r:id="rId18"/>
    <sheet name="An Giang" sheetId="19" state="hidden" r:id="rId19"/>
    <sheet name="Vĩnh Long" sheetId="20" state="hidden" r:id="rId20"/>
    <sheet name="Hà Giang" sheetId="21" state="hidden" r:id="rId21"/>
    <sheet name="Điên Biên" sheetId="22" state="hidden" r:id="rId22"/>
    <sheet name="Cao Bằng" sheetId="23" state="hidden" r:id="rId23"/>
    <sheet name="Yên Bái" sheetId="24" state="hidden" r:id="rId24"/>
    <sheet name="Tuyên Quang" sheetId="25" state="hidden" r:id="rId25"/>
    <sheet name="Thái Nguyên" sheetId="26" state="hidden" r:id="rId26"/>
    <sheet name="Quảng trị" sheetId="27" state="hidden" r:id="rId27"/>
  </sheets>
  <externalReferences>
    <externalReference r:id="rId2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32" roundtripDataChecksum="bcyPKrq7k2LXVPW3SvBKGVnZqGMiqJtJXh6hurjFgDk="/>
    </ext>
  </extLst>
</workbook>
</file>

<file path=xl/calcChain.xml><?xml version="1.0" encoding="utf-8"?>
<calcChain xmlns="http://schemas.openxmlformats.org/spreadsheetml/2006/main">
  <c r="H447" i="1" l="1"/>
  <c r="D520" i="27"/>
  <c r="D519" i="27"/>
  <c r="D518" i="27"/>
  <c r="D517" i="27"/>
  <c r="D516" i="27"/>
  <c r="D515" i="27"/>
  <c r="D514" i="27"/>
  <c r="D513" i="27"/>
  <c r="D512" i="27"/>
  <c r="D511" i="27"/>
  <c r="D510" i="27"/>
  <c r="D509" i="27"/>
  <c r="D508" i="27"/>
  <c r="D507" i="27"/>
  <c r="D506" i="27"/>
  <c r="D505" i="27"/>
  <c r="D504" i="27"/>
  <c r="D503" i="27"/>
  <c r="D502" i="27"/>
  <c r="D501" i="27"/>
  <c r="D500" i="27"/>
  <c r="D499" i="27"/>
  <c r="D498" i="27"/>
  <c r="D497" i="27"/>
  <c r="D496" i="27"/>
  <c r="D495" i="27"/>
  <c r="D494" i="27"/>
  <c r="D493" i="27"/>
  <c r="D492" i="27"/>
  <c r="D491" i="27"/>
  <c r="D490" i="27"/>
  <c r="D489" i="27"/>
  <c r="D488" i="27"/>
  <c r="D487" i="27"/>
  <c r="D486" i="27"/>
  <c r="D485" i="27"/>
  <c r="D484" i="27"/>
  <c r="D483" i="27"/>
  <c r="D482" i="27"/>
  <c r="D481" i="27"/>
  <c r="D480" i="27"/>
  <c r="D479" i="27"/>
  <c r="D478" i="27"/>
  <c r="D477" i="27"/>
  <c r="D476" i="27"/>
  <c r="D475" i="27"/>
  <c r="D474" i="27"/>
  <c r="D473" i="27"/>
  <c r="D472" i="27"/>
  <c r="D471" i="27"/>
  <c r="D470" i="27"/>
  <c r="D469" i="27"/>
  <c r="D468" i="27"/>
  <c r="D467" i="27"/>
  <c r="D466" i="27"/>
  <c r="D465" i="27"/>
  <c r="D464" i="27"/>
  <c r="D463" i="27"/>
  <c r="D462" i="27"/>
  <c r="D461" i="27"/>
  <c r="D460" i="27"/>
  <c r="D459" i="27"/>
  <c r="D458" i="27"/>
  <c r="D522" i="27" s="1"/>
  <c r="V447" i="27"/>
  <c r="O447" i="27"/>
  <c r="O446" i="27"/>
  <c r="V446" i="27" s="1"/>
  <c r="O445" i="27"/>
  <c r="O444" i="27"/>
  <c r="O443" i="27"/>
  <c r="V443" i="27" s="1"/>
  <c r="O442" i="27"/>
  <c r="V442" i="27" s="1"/>
  <c r="O441" i="27"/>
  <c r="V441" i="27" s="1"/>
  <c r="V440" i="27"/>
  <c r="O440" i="27"/>
  <c r="V439" i="27"/>
  <c r="O439" i="27"/>
  <c r="O438" i="27"/>
  <c r="O437" i="27"/>
  <c r="V437" i="27" s="1"/>
  <c r="O436" i="27"/>
  <c r="V436" i="27" s="1"/>
  <c r="V435" i="27"/>
  <c r="O435" i="27"/>
  <c r="O434" i="27"/>
  <c r="V434" i="27" s="1"/>
  <c r="O433" i="27"/>
  <c r="V433" i="27" s="1"/>
  <c r="O432" i="27"/>
  <c r="V432" i="27" s="1"/>
  <c r="O431" i="27"/>
  <c r="V431" i="27" s="1"/>
  <c r="V430" i="27"/>
  <c r="O430" i="27"/>
  <c r="V429" i="27"/>
  <c r="O429" i="27"/>
  <c r="V428" i="27"/>
  <c r="O428" i="27"/>
  <c r="V427" i="27"/>
  <c r="O427" i="27"/>
  <c r="V426" i="27"/>
  <c r="O426" i="27"/>
  <c r="V425" i="27"/>
  <c r="O425" i="27"/>
  <c r="O424" i="27"/>
  <c r="V424" i="27" s="1"/>
  <c r="O423" i="27"/>
  <c r="V423" i="27" s="1"/>
  <c r="V422" i="27"/>
  <c r="O422" i="27"/>
  <c r="V421" i="27"/>
  <c r="O421" i="27"/>
  <c r="V420" i="27"/>
  <c r="O420" i="27"/>
  <c r="V419" i="27"/>
  <c r="O419" i="27"/>
  <c r="V418" i="27"/>
  <c r="O418" i="27"/>
  <c r="V417" i="27"/>
  <c r="O417" i="27"/>
  <c r="O416" i="27"/>
  <c r="V416" i="27" s="1"/>
  <c r="O415" i="27"/>
  <c r="V415" i="27" s="1"/>
  <c r="V414" i="27"/>
  <c r="O414" i="27"/>
  <c r="V413" i="27"/>
  <c r="O413" i="27"/>
  <c r="V412" i="27"/>
  <c r="O412" i="27"/>
  <c r="V411" i="27"/>
  <c r="O411" i="27"/>
  <c r="V410" i="27"/>
  <c r="O410" i="27"/>
  <c r="V409" i="27"/>
  <c r="O409" i="27"/>
  <c r="O408" i="27"/>
  <c r="V408" i="27" s="1"/>
  <c r="O407" i="27"/>
  <c r="V407" i="27" s="1"/>
  <c r="V406" i="27"/>
  <c r="O406" i="27"/>
  <c r="V405" i="27"/>
  <c r="O405" i="27"/>
  <c r="V404" i="27"/>
  <c r="O404" i="27"/>
  <c r="V403" i="27"/>
  <c r="O403" i="27"/>
  <c r="V402" i="27"/>
  <c r="O402" i="27"/>
  <c r="V401" i="27"/>
  <c r="O401" i="27"/>
  <c r="O400" i="27"/>
  <c r="V400" i="27" s="1"/>
  <c r="O399" i="27"/>
  <c r="V399" i="27" s="1"/>
  <c r="V398" i="27"/>
  <c r="O398" i="27"/>
  <c r="V397" i="27"/>
  <c r="O397" i="27"/>
  <c r="V396" i="27"/>
  <c r="O396" i="27"/>
  <c r="V395" i="27"/>
  <c r="O395" i="27"/>
  <c r="V394" i="27"/>
  <c r="O394" i="27"/>
  <c r="V393" i="27"/>
  <c r="O393" i="27"/>
  <c r="O392" i="27"/>
  <c r="V392" i="27" s="1"/>
  <c r="O391" i="27"/>
  <c r="V391" i="27" s="1"/>
  <c r="V390" i="27"/>
  <c r="O390" i="27"/>
  <c r="V389" i="27"/>
  <c r="O389" i="27"/>
  <c r="V388" i="27"/>
  <c r="O388" i="27"/>
  <c r="O387" i="27"/>
  <c r="O386" i="27"/>
  <c r="V386" i="27" s="1"/>
  <c r="O385" i="27"/>
  <c r="V385" i="27" s="1"/>
  <c r="O384" i="27"/>
  <c r="V384" i="27" s="1"/>
  <c r="V383" i="27"/>
  <c r="O383" i="27"/>
  <c r="V382" i="27"/>
  <c r="O382" i="27"/>
  <c r="O381" i="27"/>
  <c r="V381" i="27" s="1"/>
  <c r="O380" i="27"/>
  <c r="V380" i="27" s="1"/>
  <c r="V379" i="27"/>
  <c r="O379" i="27"/>
  <c r="O378" i="27"/>
  <c r="V378" i="27" s="1"/>
  <c r="O377" i="27"/>
  <c r="V377" i="27" s="1"/>
  <c r="O376" i="27"/>
  <c r="V376" i="27" s="1"/>
  <c r="V375" i="27"/>
  <c r="O375" i="27"/>
  <c r="V374" i="27"/>
  <c r="O374" i="27"/>
  <c r="O373" i="27"/>
  <c r="V373" i="27" s="1"/>
  <c r="O372" i="27"/>
  <c r="V372" i="27" s="1"/>
  <c r="O371" i="27"/>
  <c r="O370" i="27"/>
  <c r="O369" i="27"/>
  <c r="V368" i="27"/>
  <c r="O368" i="27"/>
  <c r="V367" i="27"/>
  <c r="O367" i="27"/>
  <c r="O366" i="27"/>
  <c r="V366" i="27" s="1"/>
  <c r="O365" i="27"/>
  <c r="V365" i="27" s="1"/>
  <c r="V364" i="27"/>
  <c r="O364" i="27"/>
  <c r="V363" i="27"/>
  <c r="O363" i="27"/>
  <c r="O362" i="27"/>
  <c r="V362" i="27" s="1"/>
  <c r="V361" i="27"/>
  <c r="O361" i="27"/>
  <c r="V360" i="27"/>
  <c r="O360" i="27"/>
  <c r="V359" i="27"/>
  <c r="O359" i="27"/>
  <c r="O358" i="27"/>
  <c r="V358" i="27" s="1"/>
  <c r="O357" i="27"/>
  <c r="V357" i="27" s="1"/>
  <c r="V356" i="27"/>
  <c r="O356" i="27"/>
  <c r="V355" i="27"/>
  <c r="O355" i="27"/>
  <c r="O354" i="27"/>
  <c r="V354" i="27" s="1"/>
  <c r="V353" i="27"/>
  <c r="O353" i="27"/>
  <c r="V352" i="27"/>
  <c r="O352" i="27"/>
  <c r="V351" i="27"/>
  <c r="O351" i="27"/>
  <c r="O350" i="27"/>
  <c r="V350" i="27" s="1"/>
  <c r="O349" i="27"/>
  <c r="V349" i="27" s="1"/>
  <c r="V348" i="27"/>
  <c r="O348" i="27"/>
  <c r="O347" i="27"/>
  <c r="V347" i="27" s="1"/>
  <c r="O346" i="27"/>
  <c r="V346" i="27" s="1"/>
  <c r="V345" i="27"/>
  <c r="O345" i="27"/>
  <c r="V344" i="27"/>
  <c r="O344" i="27"/>
  <c r="V343" i="27"/>
  <c r="O343" i="27"/>
  <c r="O342" i="27"/>
  <c r="V342" i="27" s="1"/>
  <c r="O341" i="27"/>
  <c r="V341" i="27" s="1"/>
  <c r="V340" i="27"/>
  <c r="O340" i="27"/>
  <c r="O339" i="27"/>
  <c r="V339" i="27" s="1"/>
  <c r="O338" i="27"/>
  <c r="V338" i="27" s="1"/>
  <c r="V337" i="27"/>
  <c r="O337" i="27"/>
  <c r="V336" i="27"/>
  <c r="O336" i="27"/>
  <c r="V335" i="27"/>
  <c r="O335" i="27"/>
  <c r="O334" i="27"/>
  <c r="V334" i="27" s="1"/>
  <c r="O333" i="27"/>
  <c r="V333" i="27" s="1"/>
  <c r="V332" i="27"/>
  <c r="O332" i="27"/>
  <c r="V331" i="27"/>
  <c r="O331" i="27"/>
  <c r="O330" i="27"/>
  <c r="V329" i="27"/>
  <c r="O329" i="27"/>
  <c r="O328" i="27"/>
  <c r="V328" i="27" s="1"/>
  <c r="O327" i="27"/>
  <c r="V327" i="27" s="1"/>
  <c r="O326" i="27"/>
  <c r="V326" i="27" s="1"/>
  <c r="V325" i="27"/>
  <c r="O325" i="27"/>
  <c r="V324" i="27"/>
  <c r="O324" i="27"/>
  <c r="O323" i="27"/>
  <c r="V323" i="27" s="1"/>
  <c r="O322" i="27"/>
  <c r="V322" i="27" s="1"/>
  <c r="V321" i="27"/>
  <c r="O321" i="27"/>
  <c r="O320" i="27"/>
  <c r="V320" i="27" s="1"/>
  <c r="O319" i="27"/>
  <c r="V319" i="27" s="1"/>
  <c r="O318" i="27"/>
  <c r="V318" i="27" s="1"/>
  <c r="V317" i="27"/>
  <c r="O317" i="27"/>
  <c r="V316" i="27"/>
  <c r="O316" i="27"/>
  <c r="O315" i="27"/>
  <c r="V315" i="27" s="1"/>
  <c r="O314" i="27"/>
  <c r="V314" i="27" s="1"/>
  <c r="V313" i="27"/>
  <c r="O313" i="27"/>
  <c r="O312" i="27"/>
  <c r="V312" i="27" s="1"/>
  <c r="O311" i="27"/>
  <c r="V311" i="27" s="1"/>
  <c r="O310" i="27"/>
  <c r="V310" i="27" s="1"/>
  <c r="V309" i="27"/>
  <c r="O309" i="27"/>
  <c r="V308" i="27"/>
  <c r="O308" i="27"/>
  <c r="O307" i="27"/>
  <c r="V307" i="27" s="1"/>
  <c r="O306" i="27"/>
  <c r="V306" i="27" s="1"/>
  <c r="O305" i="27"/>
  <c r="V305" i="27" s="1"/>
  <c r="O304" i="27"/>
  <c r="V304" i="27" s="1"/>
  <c r="O303" i="27"/>
  <c r="V303" i="27" s="1"/>
  <c r="O302" i="27"/>
  <c r="V302" i="27" s="1"/>
  <c r="V301" i="27"/>
  <c r="O301" i="27"/>
  <c r="V300" i="27"/>
  <c r="O300" i="27"/>
  <c r="J299" i="27"/>
  <c r="O299" i="27" s="1"/>
  <c r="V299" i="27" s="1"/>
  <c r="O298" i="27"/>
  <c r="V298" i="27" s="1"/>
  <c r="V297" i="27"/>
  <c r="O297" i="27"/>
  <c r="V296" i="27"/>
  <c r="O296" i="27"/>
  <c r="V295" i="27"/>
  <c r="O295" i="27"/>
  <c r="O294" i="27"/>
  <c r="V294" i="27" s="1"/>
  <c r="O293" i="27"/>
  <c r="V293" i="27" s="1"/>
  <c r="V292" i="27"/>
  <c r="O292" i="27"/>
  <c r="V291" i="27"/>
  <c r="O291" i="27"/>
  <c r="O290" i="27"/>
  <c r="V290" i="27" s="1"/>
  <c r="V289" i="27"/>
  <c r="O289" i="27"/>
  <c r="V288" i="27"/>
  <c r="O288" i="27"/>
  <c r="O287" i="27"/>
  <c r="O286" i="27"/>
  <c r="O285" i="27"/>
  <c r="O284" i="27"/>
  <c r="O283" i="27"/>
  <c r="V282" i="27"/>
  <c r="O282" i="27"/>
  <c r="O281" i="27"/>
  <c r="V281" i="27" s="1"/>
  <c r="O280" i="27"/>
  <c r="V280" i="27" s="1"/>
  <c r="V279" i="27"/>
  <c r="O279" i="27"/>
  <c r="O278" i="27"/>
  <c r="V278" i="27" s="1"/>
  <c r="O277" i="27"/>
  <c r="V277" i="27" s="1"/>
  <c r="O276" i="27"/>
  <c r="V276" i="27" s="1"/>
  <c r="V275" i="27"/>
  <c r="O275" i="27"/>
  <c r="V274" i="27"/>
  <c r="O274" i="27"/>
  <c r="O273" i="27"/>
  <c r="V273" i="27" s="1"/>
  <c r="O272" i="27"/>
  <c r="V272" i="27" s="1"/>
  <c r="V271" i="27"/>
  <c r="O271" i="27"/>
  <c r="O270" i="27"/>
  <c r="V270" i="27" s="1"/>
  <c r="O269" i="27"/>
  <c r="V269" i="27" s="1"/>
  <c r="O268" i="27"/>
  <c r="V268" i="27" s="1"/>
  <c r="V267" i="27"/>
  <c r="O267" i="27"/>
  <c r="V266" i="27"/>
  <c r="O266" i="27"/>
  <c r="O265" i="27"/>
  <c r="V265" i="27" s="1"/>
  <c r="O264" i="27"/>
  <c r="V264" i="27" s="1"/>
  <c r="V263" i="27"/>
  <c r="O263" i="27"/>
  <c r="O262" i="27"/>
  <c r="V262" i="27" s="1"/>
  <c r="O261" i="27"/>
  <c r="V261" i="27" s="1"/>
  <c r="O260" i="27"/>
  <c r="V260" i="27" s="1"/>
  <c r="V259" i="27"/>
  <c r="O259" i="27"/>
  <c r="V258" i="27"/>
  <c r="O258" i="27"/>
  <c r="O257" i="27"/>
  <c r="V257" i="27" s="1"/>
  <c r="O256" i="27"/>
  <c r="V256" i="27" s="1"/>
  <c r="V255" i="27"/>
  <c r="O255" i="27"/>
  <c r="O254" i="27"/>
  <c r="V254" i="27" s="1"/>
  <c r="O253" i="27"/>
  <c r="V253" i="27" s="1"/>
  <c r="O252" i="27"/>
  <c r="V252" i="27" s="1"/>
  <c r="O251" i="27"/>
  <c r="O250" i="27"/>
  <c r="V250" i="27" s="1"/>
  <c r="V249" i="27"/>
  <c r="O249" i="27"/>
  <c r="V248" i="27"/>
  <c r="O248" i="27"/>
  <c r="O247" i="27"/>
  <c r="V247" i="27" s="1"/>
  <c r="V246" i="27"/>
  <c r="O246" i="27"/>
  <c r="V245" i="27"/>
  <c r="O245" i="27"/>
  <c r="O244" i="27"/>
  <c r="V244" i="27" s="1"/>
  <c r="O243" i="27"/>
  <c r="O242" i="27"/>
  <c r="O241" i="27"/>
  <c r="V240" i="27"/>
  <c r="O240" i="27"/>
  <c r="M240" i="27"/>
  <c r="J240" i="27"/>
  <c r="M239" i="27"/>
  <c r="L239" i="27"/>
  <c r="K239" i="27"/>
  <c r="O239" i="27" s="1"/>
  <c r="J239" i="27"/>
  <c r="O238" i="27"/>
  <c r="O237" i="27"/>
  <c r="L237" i="27"/>
  <c r="O236" i="27"/>
  <c r="O235" i="27"/>
  <c r="V235" i="27" s="1"/>
  <c r="O234" i="27"/>
  <c r="V234" i="27" s="1"/>
  <c r="O233" i="27"/>
  <c r="O232" i="27"/>
  <c r="V232" i="27" s="1"/>
  <c r="O231" i="27"/>
  <c r="V231" i="27" s="1"/>
  <c r="V230" i="27"/>
  <c r="O230" i="27"/>
  <c r="O229" i="27"/>
  <c r="V229" i="27" s="1"/>
  <c r="O228" i="27"/>
  <c r="V228" i="27" s="1"/>
  <c r="O227" i="27"/>
  <c r="V227" i="27" s="1"/>
  <c r="P226" i="27"/>
  <c r="O226" i="27"/>
  <c r="V226" i="27" s="1"/>
  <c r="O225" i="27"/>
  <c r="V225" i="27" s="1"/>
  <c r="O224" i="27"/>
  <c r="V224" i="27" s="1"/>
  <c r="V223" i="27"/>
  <c r="O223" i="27"/>
  <c r="O222" i="27"/>
  <c r="O221" i="27"/>
  <c r="V220" i="27"/>
  <c r="O220" i="27"/>
  <c r="O219" i="27"/>
  <c r="O218" i="27"/>
  <c r="V218" i="27" s="1"/>
  <c r="O217" i="27"/>
  <c r="V217" i="27" s="1"/>
  <c r="O216" i="27"/>
  <c r="O215" i="27"/>
  <c r="V215" i="27" s="1"/>
  <c r="O214" i="27"/>
  <c r="V214" i="27" s="1"/>
  <c r="V213" i="27"/>
  <c r="O213" i="27"/>
  <c r="O212" i="27"/>
  <c r="V212" i="27" s="1"/>
  <c r="V211" i="27"/>
  <c r="O211" i="27"/>
  <c r="O210" i="27"/>
  <c r="V210" i="27" s="1"/>
  <c r="V209" i="27"/>
  <c r="O209" i="27"/>
  <c r="V208" i="27"/>
  <c r="O208" i="27"/>
  <c r="J208" i="27"/>
  <c r="J207" i="27"/>
  <c r="O207" i="27" s="1"/>
  <c r="J206" i="27"/>
  <c r="O206" i="27" s="1"/>
  <c r="V205" i="27"/>
  <c r="O205" i="27"/>
  <c r="O204" i="27"/>
  <c r="V204" i="27" s="1"/>
  <c r="O203" i="27"/>
  <c r="V203" i="27" s="1"/>
  <c r="O202" i="27"/>
  <c r="V202" i="27" s="1"/>
  <c r="O201" i="27"/>
  <c r="V201" i="27" s="1"/>
  <c r="V200" i="27"/>
  <c r="O200" i="27"/>
  <c r="O199" i="27"/>
  <c r="V199" i="27" s="1"/>
  <c r="O198" i="27"/>
  <c r="V198" i="27" s="1"/>
  <c r="V197" i="27"/>
  <c r="O197" i="27"/>
  <c r="O196" i="27"/>
  <c r="V196" i="27" s="1"/>
  <c r="O195" i="27"/>
  <c r="V195" i="27" s="1"/>
  <c r="O194" i="27"/>
  <c r="V194" i="27" s="1"/>
  <c r="O193" i="27"/>
  <c r="V193" i="27" s="1"/>
  <c r="V192" i="27"/>
  <c r="O192" i="27"/>
  <c r="O191" i="27"/>
  <c r="V191" i="27" s="1"/>
  <c r="O190" i="27"/>
  <c r="V190" i="27" s="1"/>
  <c r="V189" i="27"/>
  <c r="O189" i="27"/>
  <c r="O188" i="27"/>
  <c r="V188" i="27" s="1"/>
  <c r="O187" i="27"/>
  <c r="V187" i="27" s="1"/>
  <c r="O186" i="27"/>
  <c r="V186" i="27" s="1"/>
  <c r="O185" i="27"/>
  <c r="V185" i="27" s="1"/>
  <c r="V184" i="27"/>
  <c r="O184" i="27"/>
  <c r="O183" i="27"/>
  <c r="V183" i="27" s="1"/>
  <c r="O182" i="27"/>
  <c r="V182" i="27" s="1"/>
  <c r="V181" i="27"/>
  <c r="O181" i="27"/>
  <c r="O180" i="27"/>
  <c r="O179" i="27"/>
  <c r="O178" i="27"/>
  <c r="O177" i="27"/>
  <c r="V177" i="27" s="1"/>
  <c r="O176" i="27"/>
  <c r="O175" i="27"/>
  <c r="O174" i="27"/>
  <c r="O173" i="27"/>
  <c r="O172" i="27"/>
  <c r="V172" i="27" s="1"/>
  <c r="O171" i="27"/>
  <c r="V171" i="27" s="1"/>
  <c r="V170" i="27"/>
  <c r="O170" i="27"/>
  <c r="O169" i="27"/>
  <c r="V169" i="27" s="1"/>
  <c r="O168" i="27"/>
  <c r="V168" i="27" s="1"/>
  <c r="O167" i="27"/>
  <c r="V167" i="27" s="1"/>
  <c r="V166" i="27"/>
  <c r="O166" i="27"/>
  <c r="V165" i="27"/>
  <c r="O165" i="27"/>
  <c r="O164" i="27"/>
  <c r="O163" i="27"/>
  <c r="V163" i="27" s="1"/>
  <c r="V162" i="27"/>
  <c r="O162" i="27"/>
  <c r="V161" i="27"/>
  <c r="O161" i="27"/>
  <c r="V160" i="27"/>
  <c r="O160" i="27"/>
  <c r="O159" i="27"/>
  <c r="V159" i="27" s="1"/>
  <c r="O158" i="27"/>
  <c r="V158" i="27" s="1"/>
  <c r="O157" i="27"/>
  <c r="V157" i="27" s="1"/>
  <c r="V156" i="27"/>
  <c r="O156" i="27"/>
  <c r="O155" i="27"/>
  <c r="V155" i="27" s="1"/>
  <c r="O154" i="27"/>
  <c r="V153" i="27"/>
  <c r="O153" i="27"/>
  <c r="O152" i="27"/>
  <c r="V152" i="27" s="1"/>
  <c r="T151" i="27"/>
  <c r="O151" i="27"/>
  <c r="O150" i="27"/>
  <c r="V150" i="27" s="1"/>
  <c r="V149" i="27"/>
  <c r="O149" i="27"/>
  <c r="V148" i="27"/>
  <c r="O148" i="27"/>
  <c r="O147" i="27"/>
  <c r="V147" i="27" s="1"/>
  <c r="O146" i="27"/>
  <c r="V145" i="27"/>
  <c r="O145" i="27"/>
  <c r="V144" i="27"/>
  <c r="O144" i="27"/>
  <c r="V143" i="27"/>
  <c r="O143" i="27"/>
  <c r="O142" i="27"/>
  <c r="V142" i="27" s="1"/>
  <c r="O141" i="27"/>
  <c r="O140" i="27"/>
  <c r="O139" i="27"/>
  <c r="V139" i="27" s="1"/>
  <c r="V138" i="27"/>
  <c r="O138" i="27"/>
  <c r="O137" i="27"/>
  <c r="V137" i="27" s="1"/>
  <c r="O136" i="27"/>
  <c r="V135" i="27"/>
  <c r="O135" i="27"/>
  <c r="O134" i="27"/>
  <c r="V134" i="27" s="1"/>
  <c r="O133" i="27"/>
  <c r="V133" i="27" s="1"/>
  <c r="O132" i="27"/>
  <c r="V132" i="27" s="1"/>
  <c r="V131" i="27"/>
  <c r="O131" i="27"/>
  <c r="O130" i="27"/>
  <c r="O129" i="27"/>
  <c r="O128" i="27"/>
  <c r="O127" i="27"/>
  <c r="O126" i="27"/>
  <c r="V126" i="27" s="1"/>
  <c r="V125" i="27"/>
  <c r="O125" i="27"/>
  <c r="O124" i="27"/>
  <c r="V124" i="27" s="1"/>
  <c r="O123" i="27"/>
  <c r="V123" i="27" s="1"/>
  <c r="O122" i="27"/>
  <c r="V122" i="27" s="1"/>
  <c r="V121" i="27"/>
  <c r="O121" i="27"/>
  <c r="V120" i="27"/>
  <c r="O120" i="27"/>
  <c r="O119" i="27"/>
  <c r="V119" i="27" s="1"/>
  <c r="O118" i="27"/>
  <c r="V118" i="27" s="1"/>
  <c r="V117" i="27"/>
  <c r="O117" i="27"/>
  <c r="O116" i="27"/>
  <c r="V116" i="27" s="1"/>
  <c r="O115" i="27"/>
  <c r="O114" i="27"/>
  <c r="O113" i="27"/>
  <c r="O112" i="27"/>
  <c r="O111" i="27"/>
  <c r="O110" i="27"/>
  <c r="O109" i="27"/>
  <c r="O108" i="27"/>
  <c r="O107" i="27"/>
  <c r="O106" i="27"/>
  <c r="O105" i="27"/>
  <c r="O104" i="27"/>
  <c r="P104" i="27" s="1"/>
  <c r="V103" i="27"/>
  <c r="O103" i="27"/>
  <c r="V102" i="27"/>
  <c r="O102" i="27"/>
  <c r="O101" i="27"/>
  <c r="V101" i="27" s="1"/>
  <c r="O100" i="27"/>
  <c r="V100" i="27" s="1"/>
  <c r="O99" i="27"/>
  <c r="V99" i="27" s="1"/>
  <c r="V98" i="27"/>
  <c r="O98" i="27"/>
  <c r="O97" i="27"/>
  <c r="V97" i="27" s="1"/>
  <c r="O96" i="27"/>
  <c r="V96" i="27" s="1"/>
  <c r="O95" i="27"/>
  <c r="O94" i="27"/>
  <c r="V94" i="27" s="1"/>
  <c r="O93" i="27"/>
  <c r="V93" i="27" s="1"/>
  <c r="O92" i="27"/>
  <c r="V92" i="27" s="1"/>
  <c r="O91" i="27"/>
  <c r="O90" i="27"/>
  <c r="V90" i="27" s="1"/>
  <c r="V89" i="27"/>
  <c r="O89" i="27"/>
  <c r="O88" i="27"/>
  <c r="V88" i="27" s="1"/>
  <c r="O87" i="27"/>
  <c r="V87" i="27" s="1"/>
  <c r="V86" i="27"/>
  <c r="O86" i="27"/>
  <c r="O85" i="27"/>
  <c r="V85" i="27" s="1"/>
  <c r="O84" i="27"/>
  <c r="V84" i="27" s="1"/>
  <c r="O83" i="27"/>
  <c r="V83" i="27" s="1"/>
  <c r="O82" i="27"/>
  <c r="V82" i="27" s="1"/>
  <c r="V81" i="27"/>
  <c r="O81" i="27"/>
  <c r="O80" i="27"/>
  <c r="V80" i="27" s="1"/>
  <c r="O79" i="27"/>
  <c r="V79" i="27" s="1"/>
  <c r="V78" i="27"/>
  <c r="O78" i="27"/>
  <c r="O77" i="27"/>
  <c r="V77" i="27" s="1"/>
  <c r="O76" i="27"/>
  <c r="V76" i="27" s="1"/>
  <c r="O75" i="27"/>
  <c r="V75" i="27" s="1"/>
  <c r="O74" i="27"/>
  <c r="V74" i="27" s="1"/>
  <c r="V73" i="27"/>
  <c r="O73" i="27"/>
  <c r="O72" i="27"/>
  <c r="V72" i="27" s="1"/>
  <c r="O71" i="27"/>
  <c r="V71" i="27" s="1"/>
  <c r="V70" i="27"/>
  <c r="O70" i="27"/>
  <c r="O69" i="27"/>
  <c r="V69" i="27" s="1"/>
  <c r="V68" i="27"/>
  <c r="O68" i="27"/>
  <c r="O67" i="27"/>
  <c r="V67" i="27" s="1"/>
  <c r="O66" i="27"/>
  <c r="O65" i="27"/>
  <c r="O64" i="27"/>
  <c r="V64" i="27" s="1"/>
  <c r="O63" i="27"/>
  <c r="V63" i="27" s="1"/>
  <c r="O62" i="27"/>
  <c r="V61" i="27"/>
  <c r="O61" i="27"/>
  <c r="V60" i="27"/>
  <c r="O60" i="27"/>
  <c r="O59" i="27"/>
  <c r="V59" i="27" s="1"/>
  <c r="O58" i="27"/>
  <c r="O57" i="27"/>
  <c r="O56" i="27"/>
  <c r="O55" i="27"/>
  <c r="O54" i="27"/>
  <c r="O53" i="27"/>
  <c r="O52" i="27"/>
  <c r="O51" i="27"/>
  <c r="O50" i="27"/>
  <c r="O49" i="27"/>
  <c r="O48" i="27"/>
  <c r="O47" i="27"/>
  <c r="O46" i="27"/>
  <c r="O45" i="27"/>
  <c r="O44" i="27"/>
  <c r="X43" i="27"/>
  <c r="O43" i="27"/>
  <c r="P43" i="27" s="1"/>
  <c r="R39" i="27" s="1"/>
  <c r="V42" i="27"/>
  <c r="O42" i="27"/>
  <c r="V41" i="27"/>
  <c r="O41" i="27"/>
  <c r="V40" i="27"/>
  <c r="O40" i="27"/>
  <c r="O39" i="27"/>
  <c r="V39" i="27" s="1"/>
  <c r="V38" i="27"/>
  <c r="O38" i="27"/>
  <c r="R38" i="27" s="1"/>
  <c r="O37" i="27"/>
  <c r="V36" i="27"/>
  <c r="O36" i="27"/>
  <c r="O35" i="27"/>
  <c r="V34" i="27"/>
  <c r="O34" i="27"/>
  <c r="V33" i="27"/>
  <c r="O33" i="27"/>
  <c r="V32" i="27"/>
  <c r="O32" i="27"/>
  <c r="O31" i="27"/>
  <c r="V31" i="27" s="1"/>
  <c r="O30" i="27"/>
  <c r="V29" i="27"/>
  <c r="O29" i="27"/>
  <c r="O28" i="27"/>
  <c r="V28" i="27" s="1"/>
  <c r="V27" i="27"/>
  <c r="O27" i="27"/>
  <c r="O26" i="27"/>
  <c r="V26" i="27" s="1"/>
  <c r="O25" i="27"/>
  <c r="V25" i="27" s="1"/>
  <c r="O24" i="27"/>
  <c r="V24" i="27" s="1"/>
  <c r="O23" i="27"/>
  <c r="V23" i="27" s="1"/>
  <c r="O22" i="27"/>
  <c r="V22" i="27" s="1"/>
  <c r="V21" i="27"/>
  <c r="O21" i="27"/>
  <c r="O20" i="27"/>
  <c r="V20" i="27" s="1"/>
  <c r="V19" i="27"/>
  <c r="O12" i="27"/>
  <c r="A5" i="27"/>
  <c r="D520" i="26"/>
  <c r="D519" i="26"/>
  <c r="D518" i="26"/>
  <c r="D517" i="26"/>
  <c r="D516" i="26"/>
  <c r="D515" i="26"/>
  <c r="D514" i="26"/>
  <c r="D513" i="26"/>
  <c r="D512" i="26"/>
  <c r="D511" i="26"/>
  <c r="D510" i="26"/>
  <c r="D509" i="26"/>
  <c r="D508" i="26"/>
  <c r="D507" i="26"/>
  <c r="D506" i="26"/>
  <c r="D505" i="26"/>
  <c r="D504" i="26"/>
  <c r="D503" i="26"/>
  <c r="D502" i="26"/>
  <c r="D501" i="26"/>
  <c r="D500" i="26"/>
  <c r="D499" i="26"/>
  <c r="D498" i="26"/>
  <c r="D497" i="26"/>
  <c r="D496" i="26"/>
  <c r="D495" i="26"/>
  <c r="D494" i="26"/>
  <c r="D493" i="26"/>
  <c r="D492" i="26"/>
  <c r="D491" i="26"/>
  <c r="D490" i="26"/>
  <c r="D489" i="26"/>
  <c r="D488" i="26"/>
  <c r="D487" i="26"/>
  <c r="D486" i="26"/>
  <c r="D485" i="26"/>
  <c r="D484" i="26"/>
  <c r="D483" i="26"/>
  <c r="D482" i="26"/>
  <c r="D481" i="26"/>
  <c r="D480" i="26"/>
  <c r="D479" i="26"/>
  <c r="D478" i="26"/>
  <c r="D477" i="26"/>
  <c r="D476" i="26"/>
  <c r="D475" i="26"/>
  <c r="D474" i="26"/>
  <c r="D473" i="26"/>
  <c r="D472" i="26"/>
  <c r="D471" i="26"/>
  <c r="D470" i="26"/>
  <c r="D469" i="26"/>
  <c r="D468" i="26"/>
  <c r="D467" i="26"/>
  <c r="D466" i="26"/>
  <c r="D465" i="26"/>
  <c r="D464" i="26"/>
  <c r="D463" i="26"/>
  <c r="D462" i="26"/>
  <c r="D461" i="26"/>
  <c r="D460" i="26"/>
  <c r="D459" i="26"/>
  <c r="D458" i="26"/>
  <c r="AA447" i="26"/>
  <c r="T447" i="26"/>
  <c r="AA446" i="26"/>
  <c r="T446" i="26"/>
  <c r="T445" i="26"/>
  <c r="G444" i="26"/>
  <c r="T444" i="26" s="1"/>
  <c r="T443" i="26"/>
  <c r="AA443" i="26" s="1"/>
  <c r="AA442" i="26"/>
  <c r="T442" i="26"/>
  <c r="T441" i="26"/>
  <c r="AA441" i="26" s="1"/>
  <c r="T440" i="26"/>
  <c r="AA440" i="26" s="1"/>
  <c r="AA439" i="26"/>
  <c r="T439" i="26"/>
  <c r="T438" i="26"/>
  <c r="AA437" i="26"/>
  <c r="T437" i="26"/>
  <c r="AA436" i="26"/>
  <c r="T436" i="26"/>
  <c r="AA435" i="26"/>
  <c r="T435" i="26"/>
  <c r="AA434" i="26"/>
  <c r="T434" i="26"/>
  <c r="AA433" i="26"/>
  <c r="T433" i="26"/>
  <c r="T432" i="26"/>
  <c r="AA432" i="26" s="1"/>
  <c r="T431" i="26"/>
  <c r="AA431" i="26" s="1"/>
  <c r="AA430" i="26"/>
  <c r="T430" i="26"/>
  <c r="AA429" i="26"/>
  <c r="T429" i="26"/>
  <c r="AA428" i="26"/>
  <c r="T428" i="26"/>
  <c r="AA427" i="26"/>
  <c r="T427" i="26"/>
  <c r="AA426" i="26"/>
  <c r="T426" i="26"/>
  <c r="AA425" i="26"/>
  <c r="T425" i="26"/>
  <c r="T424" i="26"/>
  <c r="AA424" i="26" s="1"/>
  <c r="T423" i="26"/>
  <c r="AA423" i="26" s="1"/>
  <c r="AA422" i="26"/>
  <c r="T422" i="26"/>
  <c r="AA421" i="26"/>
  <c r="T421" i="26"/>
  <c r="AA420" i="26"/>
  <c r="T420" i="26"/>
  <c r="AA419" i="26"/>
  <c r="T419" i="26"/>
  <c r="AA418" i="26"/>
  <c r="T418" i="26"/>
  <c r="T417" i="26"/>
  <c r="AA417" i="26" s="1"/>
  <c r="T416" i="26"/>
  <c r="AA416" i="26" s="1"/>
  <c r="T415" i="26"/>
  <c r="AA415" i="26" s="1"/>
  <c r="AA414" i="26"/>
  <c r="T414" i="26"/>
  <c r="AA413" i="26"/>
  <c r="T413" i="26"/>
  <c r="AA412" i="26"/>
  <c r="T412" i="26"/>
  <c r="AA411" i="26"/>
  <c r="T411" i="26"/>
  <c r="AA410" i="26"/>
  <c r="T410" i="26"/>
  <c r="T409" i="26"/>
  <c r="AA409" i="26" s="1"/>
  <c r="T408" i="26"/>
  <c r="AA408" i="26" s="1"/>
  <c r="T407" i="26"/>
  <c r="AA407" i="26" s="1"/>
  <c r="AA406" i="26"/>
  <c r="T406" i="26"/>
  <c r="AA405" i="26"/>
  <c r="T405" i="26"/>
  <c r="AA404" i="26"/>
  <c r="T404" i="26"/>
  <c r="AA403" i="26"/>
  <c r="T403" i="26"/>
  <c r="AA402" i="26"/>
  <c r="T402" i="26"/>
  <c r="T401" i="26"/>
  <c r="AA401" i="26" s="1"/>
  <c r="T400" i="26"/>
  <c r="AA400" i="26" s="1"/>
  <c r="T399" i="26"/>
  <c r="AA399" i="26" s="1"/>
  <c r="AA398" i="26"/>
  <c r="T398" i="26"/>
  <c r="AA397" i="26"/>
  <c r="T397" i="26"/>
  <c r="AA396" i="26"/>
  <c r="T396" i="26"/>
  <c r="AA395" i="26"/>
  <c r="T395" i="26"/>
  <c r="AA394" i="26"/>
  <c r="T394" i="26"/>
  <c r="T393" i="26"/>
  <c r="AA393" i="26" s="1"/>
  <c r="AA392" i="26"/>
  <c r="T392" i="26"/>
  <c r="T391" i="26"/>
  <c r="AA391" i="26" s="1"/>
  <c r="AA390" i="26"/>
  <c r="T390" i="26"/>
  <c r="AA389" i="26"/>
  <c r="T389" i="26"/>
  <c r="AA388" i="26"/>
  <c r="T388" i="26"/>
  <c r="T387" i="26"/>
  <c r="T386" i="26"/>
  <c r="AA386" i="26" s="1"/>
  <c r="AA385" i="26"/>
  <c r="T385" i="26"/>
  <c r="T384" i="26"/>
  <c r="AA384" i="26" s="1"/>
  <c r="T383" i="26"/>
  <c r="AA383" i="26" s="1"/>
  <c r="AA382" i="26"/>
  <c r="T382" i="26"/>
  <c r="T381" i="26"/>
  <c r="AA381" i="26" s="1"/>
  <c r="T380" i="26"/>
  <c r="AA380" i="26" s="1"/>
  <c r="T379" i="26"/>
  <c r="AA379" i="26" s="1"/>
  <c r="T378" i="26"/>
  <c r="AA378" i="26" s="1"/>
  <c r="AA377" i="26"/>
  <c r="T377" i="26"/>
  <c r="T376" i="26"/>
  <c r="AA376" i="26" s="1"/>
  <c r="T375" i="26"/>
  <c r="AA375" i="26" s="1"/>
  <c r="AA374" i="26"/>
  <c r="T374" i="26"/>
  <c r="T373" i="26"/>
  <c r="AA373" i="26" s="1"/>
  <c r="T372" i="26"/>
  <c r="AA372" i="26" s="1"/>
  <c r="T371" i="26"/>
  <c r="T370" i="26"/>
  <c r="T369" i="26"/>
  <c r="AA368" i="26"/>
  <c r="T368" i="26"/>
  <c r="T367" i="26"/>
  <c r="AA367" i="26" s="1"/>
  <c r="T366" i="26"/>
  <c r="AA366" i="26" s="1"/>
  <c r="T365" i="26"/>
  <c r="AA365" i="26" s="1"/>
  <c r="AA364" i="26"/>
  <c r="T364" i="26"/>
  <c r="AA363" i="26"/>
  <c r="T363" i="26"/>
  <c r="AA362" i="26"/>
  <c r="T362" i="26"/>
  <c r="AA361" i="26"/>
  <c r="T361" i="26"/>
  <c r="AA360" i="26"/>
  <c r="T360" i="26"/>
  <c r="T359" i="26"/>
  <c r="AA359" i="26" s="1"/>
  <c r="T358" i="26"/>
  <c r="AA358" i="26" s="1"/>
  <c r="T357" i="26"/>
  <c r="AA357" i="26" s="1"/>
  <c r="AA356" i="26"/>
  <c r="T356" i="26"/>
  <c r="AA355" i="26"/>
  <c r="T355" i="26"/>
  <c r="AA354" i="26"/>
  <c r="T354" i="26"/>
  <c r="AA353" i="26"/>
  <c r="T353" i="26"/>
  <c r="AA352" i="26"/>
  <c r="T352" i="26"/>
  <c r="T351" i="26"/>
  <c r="AA351" i="26" s="1"/>
  <c r="T350" i="26"/>
  <c r="AA350" i="26" s="1"/>
  <c r="T349" i="26"/>
  <c r="AA349" i="26" s="1"/>
  <c r="AA348" i="26"/>
  <c r="T348" i="26"/>
  <c r="AA347" i="26"/>
  <c r="T347" i="26"/>
  <c r="AA346" i="26"/>
  <c r="T346" i="26"/>
  <c r="AA345" i="26"/>
  <c r="T345" i="26"/>
  <c r="AA344" i="26"/>
  <c r="T344" i="26"/>
  <c r="T343" i="26"/>
  <c r="AA343" i="26" s="1"/>
  <c r="T342" i="26"/>
  <c r="AA342" i="26" s="1"/>
  <c r="T341" i="26"/>
  <c r="AA341" i="26" s="1"/>
  <c r="AA340" i="26"/>
  <c r="T340" i="26"/>
  <c r="AA339" i="26"/>
  <c r="T339" i="26"/>
  <c r="AA338" i="26"/>
  <c r="T338" i="26"/>
  <c r="AA337" i="26"/>
  <c r="T337" i="26"/>
  <c r="AA336" i="26"/>
  <c r="T336" i="26"/>
  <c r="T335" i="26"/>
  <c r="AA335" i="26" s="1"/>
  <c r="T334" i="26"/>
  <c r="AA334" i="26" s="1"/>
  <c r="T333" i="26"/>
  <c r="AA333" i="26" s="1"/>
  <c r="AA332" i="26"/>
  <c r="T332" i="26"/>
  <c r="AA331" i="26"/>
  <c r="T331" i="26"/>
  <c r="T330" i="26"/>
  <c r="T329" i="26"/>
  <c r="AA329" i="26" s="1"/>
  <c r="T328" i="26"/>
  <c r="AA328" i="26" s="1"/>
  <c r="AA327" i="26"/>
  <c r="T327" i="26"/>
  <c r="AA326" i="26"/>
  <c r="T326" i="26"/>
  <c r="T325" i="26"/>
  <c r="AA325" i="26" s="1"/>
  <c r="AA324" i="26"/>
  <c r="T324" i="26"/>
  <c r="T323" i="26"/>
  <c r="AA323" i="26" s="1"/>
  <c r="T322" i="26"/>
  <c r="AA322" i="26" s="1"/>
  <c r="T321" i="26"/>
  <c r="AA321" i="26" s="1"/>
  <c r="T320" i="26"/>
  <c r="AA320" i="26" s="1"/>
  <c r="AA319" i="26"/>
  <c r="T319" i="26"/>
  <c r="T318" i="26"/>
  <c r="AA318" i="26" s="1"/>
  <c r="T317" i="26"/>
  <c r="AA317" i="26" s="1"/>
  <c r="AA316" i="26"/>
  <c r="T316" i="26"/>
  <c r="T315" i="26"/>
  <c r="AA315" i="26" s="1"/>
  <c r="T314" i="26"/>
  <c r="AA314" i="26" s="1"/>
  <c r="T313" i="26"/>
  <c r="AA313" i="26" s="1"/>
  <c r="T312" i="26"/>
  <c r="AA312" i="26" s="1"/>
  <c r="AA311" i="26"/>
  <c r="T311" i="26"/>
  <c r="T310" i="26"/>
  <c r="AA310" i="26" s="1"/>
  <c r="T309" i="26"/>
  <c r="AA309" i="26" s="1"/>
  <c r="AA308" i="26"/>
  <c r="T308" i="26"/>
  <c r="T307" i="26"/>
  <c r="AA307" i="26" s="1"/>
  <c r="T306" i="26"/>
  <c r="AA306" i="26" s="1"/>
  <c r="T305" i="26"/>
  <c r="AA305" i="26" s="1"/>
  <c r="T304" i="26"/>
  <c r="AA304" i="26" s="1"/>
  <c r="AA303" i="26"/>
  <c r="T303" i="26"/>
  <c r="T302" i="26"/>
  <c r="AA302" i="26" s="1"/>
  <c r="T301" i="26"/>
  <c r="AA301" i="26" s="1"/>
  <c r="AA300" i="26"/>
  <c r="T300" i="26"/>
  <c r="T299" i="26"/>
  <c r="AA299" i="26" s="1"/>
  <c r="T298" i="26"/>
  <c r="AA298" i="26" s="1"/>
  <c r="T297" i="26"/>
  <c r="AA297" i="26" s="1"/>
  <c r="T296" i="26"/>
  <c r="AA296" i="26" s="1"/>
  <c r="T295" i="26"/>
  <c r="AA295" i="26" s="1"/>
  <c r="T294" i="26"/>
  <c r="AA294" i="26" s="1"/>
  <c r="T293" i="26"/>
  <c r="AA293" i="26" s="1"/>
  <c r="AA292" i="26"/>
  <c r="T292" i="26"/>
  <c r="T291" i="26"/>
  <c r="AA291" i="26" s="1"/>
  <c r="T290" i="26"/>
  <c r="AA290" i="26" s="1"/>
  <c r="T289" i="26"/>
  <c r="AA289" i="26" s="1"/>
  <c r="T288" i="26"/>
  <c r="AA288" i="26" s="1"/>
  <c r="T287" i="26"/>
  <c r="T286" i="26"/>
  <c r="T285" i="26"/>
  <c r="T284" i="26"/>
  <c r="T283" i="26"/>
  <c r="T282" i="26"/>
  <c r="AA282" i="26" s="1"/>
  <c r="AA281" i="26"/>
  <c r="T281" i="26"/>
  <c r="AA280" i="26"/>
  <c r="T280" i="26"/>
  <c r="AA279" i="26"/>
  <c r="T279" i="26"/>
  <c r="AA278" i="26"/>
  <c r="T278" i="26"/>
  <c r="AA277" i="26"/>
  <c r="T277" i="26"/>
  <c r="AA276" i="26"/>
  <c r="T276" i="26"/>
  <c r="T275" i="26"/>
  <c r="AA275" i="26" s="1"/>
  <c r="T274" i="26"/>
  <c r="AA274" i="26" s="1"/>
  <c r="AA273" i="26"/>
  <c r="T273" i="26"/>
  <c r="AA272" i="26"/>
  <c r="T272" i="26"/>
  <c r="AA271" i="26"/>
  <c r="T271" i="26"/>
  <c r="AA270" i="26"/>
  <c r="T270" i="26"/>
  <c r="AA269" i="26"/>
  <c r="T269" i="26"/>
  <c r="AA268" i="26"/>
  <c r="T268" i="26"/>
  <c r="T267" i="26"/>
  <c r="AA267" i="26" s="1"/>
  <c r="T266" i="26"/>
  <c r="AA266" i="26" s="1"/>
  <c r="AA265" i="26"/>
  <c r="T265" i="26"/>
  <c r="AA264" i="26"/>
  <c r="T264" i="26"/>
  <c r="AA263" i="26"/>
  <c r="T263" i="26"/>
  <c r="AA262" i="26"/>
  <c r="T262" i="26"/>
  <c r="AA261" i="26"/>
  <c r="T261" i="26"/>
  <c r="AA260" i="26"/>
  <c r="T260" i="26"/>
  <c r="T259" i="26"/>
  <c r="AA259" i="26" s="1"/>
  <c r="T258" i="26"/>
  <c r="AA258" i="26" s="1"/>
  <c r="AA257" i="26"/>
  <c r="T257" i="26"/>
  <c r="AA256" i="26"/>
  <c r="T256" i="26"/>
  <c r="AA255" i="26"/>
  <c r="T255" i="26"/>
  <c r="T254" i="26"/>
  <c r="AA254" i="26" s="1"/>
  <c r="AA253" i="26"/>
  <c r="T253" i="26"/>
  <c r="T252" i="26"/>
  <c r="AA252" i="26" s="1"/>
  <c r="T251" i="26"/>
  <c r="T250" i="26"/>
  <c r="AA250" i="26" s="1"/>
  <c r="AA249" i="26"/>
  <c r="T249" i="26"/>
  <c r="T248" i="26"/>
  <c r="AA248" i="26" s="1"/>
  <c r="T247" i="26"/>
  <c r="AA247" i="26" s="1"/>
  <c r="T246" i="26"/>
  <c r="AA246" i="26" s="1"/>
  <c r="T245" i="26"/>
  <c r="AA245" i="26" s="1"/>
  <c r="AA244" i="26"/>
  <c r="T244" i="26"/>
  <c r="T243" i="26"/>
  <c r="T242" i="26"/>
  <c r="T241" i="26"/>
  <c r="T240" i="26"/>
  <c r="AA240" i="26" s="1"/>
  <c r="T239" i="26"/>
  <c r="R239" i="26"/>
  <c r="T238" i="26"/>
  <c r="R237" i="26"/>
  <c r="T237" i="26" s="1"/>
  <c r="T236" i="26"/>
  <c r="T235" i="26"/>
  <c r="AA235" i="26" s="1"/>
  <c r="AA234" i="26"/>
  <c r="T234" i="26"/>
  <c r="T233" i="26"/>
  <c r="T232" i="26"/>
  <c r="AA232" i="26" s="1"/>
  <c r="T231" i="26"/>
  <c r="AA231" i="26" s="1"/>
  <c r="AA230" i="26"/>
  <c r="T230" i="26"/>
  <c r="U229" i="26"/>
  <c r="T229" i="26"/>
  <c r="AA229" i="26" s="1"/>
  <c r="AA228" i="26"/>
  <c r="T228" i="26"/>
  <c r="T227" i="26"/>
  <c r="AA227" i="26" s="1"/>
  <c r="AA226" i="26"/>
  <c r="T226" i="26"/>
  <c r="T225" i="26"/>
  <c r="AA225" i="26" s="1"/>
  <c r="T224" i="26"/>
  <c r="AA224" i="26" s="1"/>
  <c r="AA223" i="26"/>
  <c r="T223" i="26"/>
  <c r="T222" i="26"/>
  <c r="T221" i="26"/>
  <c r="T220" i="26"/>
  <c r="AA220" i="26" s="1"/>
  <c r="T219" i="26"/>
  <c r="T218" i="26"/>
  <c r="AA218" i="26" s="1"/>
  <c r="AA217" i="26"/>
  <c r="T217" i="26"/>
  <c r="T216" i="26"/>
  <c r="T215" i="26"/>
  <c r="AA215" i="26" s="1"/>
  <c r="T214" i="26"/>
  <c r="AA214" i="26" s="1"/>
  <c r="AA213" i="26"/>
  <c r="T213" i="26"/>
  <c r="T212" i="26"/>
  <c r="AA212" i="26" s="1"/>
  <c r="T211" i="26"/>
  <c r="AA211" i="26" s="1"/>
  <c r="T210" i="26"/>
  <c r="AA210" i="26" s="1"/>
  <c r="T209" i="26"/>
  <c r="AA209" i="26" s="1"/>
  <c r="AA208" i="26"/>
  <c r="T208" i="26"/>
  <c r="T207" i="26"/>
  <c r="T206" i="26"/>
  <c r="T205" i="26"/>
  <c r="AA205" i="26" s="1"/>
  <c r="AA204" i="26"/>
  <c r="T204" i="26"/>
  <c r="T203" i="26"/>
  <c r="AA203" i="26" s="1"/>
  <c r="T202" i="26"/>
  <c r="AA202" i="26" s="1"/>
  <c r="T201" i="26"/>
  <c r="AA201" i="26" s="1"/>
  <c r="T200" i="26"/>
  <c r="AA200" i="26" s="1"/>
  <c r="AA199" i="26"/>
  <c r="T199" i="26"/>
  <c r="T198" i="26"/>
  <c r="AA198" i="26" s="1"/>
  <c r="T197" i="26"/>
  <c r="AA197" i="26" s="1"/>
  <c r="AA196" i="26"/>
  <c r="T196" i="26"/>
  <c r="T195" i="26"/>
  <c r="AA195" i="26" s="1"/>
  <c r="T194" i="26"/>
  <c r="AA194" i="26" s="1"/>
  <c r="T193" i="26"/>
  <c r="AA193" i="26" s="1"/>
  <c r="T192" i="26"/>
  <c r="AA192" i="26" s="1"/>
  <c r="AA191" i="26"/>
  <c r="T191" i="26"/>
  <c r="AA190" i="26"/>
  <c r="T190" i="26"/>
  <c r="T189" i="26"/>
  <c r="AA189" i="26" s="1"/>
  <c r="AA188" i="26"/>
  <c r="T188" i="26"/>
  <c r="T187" i="26"/>
  <c r="AA187" i="26" s="1"/>
  <c r="T186" i="26"/>
  <c r="AA186" i="26" s="1"/>
  <c r="T185" i="26"/>
  <c r="AA185" i="26" s="1"/>
  <c r="T184" i="26"/>
  <c r="AA184" i="26" s="1"/>
  <c r="AA183" i="26"/>
  <c r="T183" i="26"/>
  <c r="AA182" i="26"/>
  <c r="T182" i="26"/>
  <c r="T181" i="26"/>
  <c r="AA181" i="26" s="1"/>
  <c r="T180" i="26"/>
  <c r="T179" i="26"/>
  <c r="R178" i="26"/>
  <c r="O178" i="26"/>
  <c r="T178" i="26" s="1"/>
  <c r="AA177" i="26"/>
  <c r="T177" i="26"/>
  <c r="T176" i="26"/>
  <c r="T175" i="26"/>
  <c r="T174" i="26"/>
  <c r="T173" i="26"/>
  <c r="P173" i="26"/>
  <c r="AA172" i="26"/>
  <c r="T172" i="26"/>
  <c r="T171" i="26"/>
  <c r="AA171" i="26" s="1"/>
  <c r="AA170" i="26"/>
  <c r="T170" i="26"/>
  <c r="T169" i="26"/>
  <c r="AA169" i="26" s="1"/>
  <c r="T168" i="26"/>
  <c r="AA168" i="26" s="1"/>
  <c r="T167" i="26"/>
  <c r="AA167" i="26" s="1"/>
  <c r="T166" i="26"/>
  <c r="AA166" i="26" s="1"/>
  <c r="AA165" i="26"/>
  <c r="T165" i="26"/>
  <c r="T164" i="26"/>
  <c r="T163" i="26"/>
  <c r="AA163" i="26" s="1"/>
  <c r="T162" i="26"/>
  <c r="AA162" i="26" s="1"/>
  <c r="AA161" i="26"/>
  <c r="T161" i="26"/>
  <c r="AA160" i="26"/>
  <c r="T160" i="26"/>
  <c r="AA159" i="26"/>
  <c r="T159" i="26"/>
  <c r="T158" i="26"/>
  <c r="AA158" i="26" s="1"/>
  <c r="AA157" i="26"/>
  <c r="T157" i="26"/>
  <c r="T156" i="26"/>
  <c r="AA156" i="26" s="1"/>
  <c r="T155" i="26"/>
  <c r="AA155" i="26" s="1"/>
  <c r="T154" i="26"/>
  <c r="AA153" i="26"/>
  <c r="T153" i="26"/>
  <c r="T152" i="26"/>
  <c r="AA152" i="26" s="1"/>
  <c r="Y151" i="26"/>
  <c r="T151" i="26"/>
  <c r="T150" i="26"/>
  <c r="AA150" i="26" s="1"/>
  <c r="T149" i="26"/>
  <c r="AA149" i="26" s="1"/>
  <c r="AA148" i="26"/>
  <c r="T148" i="26"/>
  <c r="T147" i="26"/>
  <c r="AA147" i="26" s="1"/>
  <c r="T146" i="26"/>
  <c r="T145" i="26"/>
  <c r="AA145" i="26" s="1"/>
  <c r="AA144" i="26"/>
  <c r="T144" i="26"/>
  <c r="AA143" i="26"/>
  <c r="T143" i="26"/>
  <c r="AA142" i="26"/>
  <c r="T142" i="26"/>
  <c r="T141" i="26"/>
  <c r="T140" i="26"/>
  <c r="AA139" i="26"/>
  <c r="T139" i="26"/>
  <c r="T138" i="26"/>
  <c r="AA138" i="26" s="1"/>
  <c r="T137" i="26"/>
  <c r="AA137" i="26" s="1"/>
  <c r="T136" i="26"/>
  <c r="AA135" i="26"/>
  <c r="T135" i="26"/>
  <c r="T134" i="26"/>
  <c r="AA134" i="26" s="1"/>
  <c r="T133" i="26"/>
  <c r="AA133" i="26" s="1"/>
  <c r="T132" i="26"/>
  <c r="AA132" i="26" s="1"/>
  <c r="T131" i="26"/>
  <c r="AA131" i="26" s="1"/>
  <c r="T130" i="26"/>
  <c r="T129" i="26"/>
  <c r="T128" i="26"/>
  <c r="T127" i="26"/>
  <c r="M126" i="26"/>
  <c r="T126" i="26" s="1"/>
  <c r="AA126" i="26" s="1"/>
  <c r="AA125" i="26"/>
  <c r="T125" i="26"/>
  <c r="AA124" i="26"/>
  <c r="T124" i="26"/>
  <c r="AA123" i="26"/>
  <c r="T123" i="26"/>
  <c r="T122" i="26"/>
  <c r="AA122" i="26" s="1"/>
  <c r="AA121" i="26"/>
  <c r="T121" i="26"/>
  <c r="T120" i="26"/>
  <c r="AA120" i="26" s="1"/>
  <c r="T119" i="26"/>
  <c r="AA119" i="26" s="1"/>
  <c r="T118" i="26"/>
  <c r="AA118" i="26" s="1"/>
  <c r="AA117" i="26"/>
  <c r="T117" i="26"/>
  <c r="AA116" i="26"/>
  <c r="T116" i="26"/>
  <c r="T115" i="26"/>
  <c r="T114" i="26"/>
  <c r="T113" i="26"/>
  <c r="T112" i="26"/>
  <c r="T111" i="26"/>
  <c r="T110" i="26"/>
  <c r="T109" i="26"/>
  <c r="T108" i="26"/>
  <c r="T107" i="26"/>
  <c r="T106" i="26"/>
  <c r="T105" i="26"/>
  <c r="T104" i="26"/>
  <c r="T103" i="26"/>
  <c r="AA103" i="26" s="1"/>
  <c r="T102" i="26"/>
  <c r="AA102" i="26" s="1"/>
  <c r="T101" i="26"/>
  <c r="AA101" i="26" s="1"/>
  <c r="T100" i="26"/>
  <c r="AA100" i="26" s="1"/>
  <c r="AA99" i="26"/>
  <c r="T99" i="26"/>
  <c r="T98" i="26"/>
  <c r="AA98" i="26" s="1"/>
  <c r="AA97" i="26"/>
  <c r="T97" i="26"/>
  <c r="T96" i="26"/>
  <c r="AA96" i="26" s="1"/>
  <c r="T95" i="26"/>
  <c r="AA94" i="26"/>
  <c r="T94" i="26"/>
  <c r="AA93" i="26"/>
  <c r="T93" i="26"/>
  <c r="T92" i="26"/>
  <c r="AA92" i="26" s="1"/>
  <c r="T91" i="26"/>
  <c r="AA90" i="26"/>
  <c r="T90" i="26"/>
  <c r="T89" i="26"/>
  <c r="AA89" i="26" s="1"/>
  <c r="AA88" i="26"/>
  <c r="T88" i="26"/>
  <c r="T87" i="26"/>
  <c r="AA87" i="26" s="1"/>
  <c r="T86" i="26"/>
  <c r="AA86" i="26" s="1"/>
  <c r="T85" i="26"/>
  <c r="AA85" i="26" s="1"/>
  <c r="T84" i="26"/>
  <c r="AA84" i="26" s="1"/>
  <c r="T83" i="26"/>
  <c r="AA83" i="26" s="1"/>
  <c r="AA82" i="26"/>
  <c r="T82" i="26"/>
  <c r="T81" i="26"/>
  <c r="AA81" i="26" s="1"/>
  <c r="T80" i="26"/>
  <c r="AA80" i="26" s="1"/>
  <c r="T79" i="26"/>
  <c r="AA79" i="26" s="1"/>
  <c r="T78" i="26"/>
  <c r="AA78" i="26" s="1"/>
  <c r="T77" i="26"/>
  <c r="AA77" i="26" s="1"/>
  <c r="T76" i="26"/>
  <c r="AA76" i="26" s="1"/>
  <c r="T75" i="26"/>
  <c r="AA75" i="26" s="1"/>
  <c r="AA74" i="26"/>
  <c r="T74" i="26"/>
  <c r="T73" i="26"/>
  <c r="AA73" i="26" s="1"/>
  <c r="T72" i="26"/>
  <c r="AA72" i="26" s="1"/>
  <c r="T71" i="26"/>
  <c r="AA71" i="26" s="1"/>
  <c r="T70" i="26"/>
  <c r="AA70" i="26" s="1"/>
  <c r="T69" i="26"/>
  <c r="AA69" i="26" s="1"/>
  <c r="T68" i="26"/>
  <c r="AA68" i="26" s="1"/>
  <c r="T67" i="26"/>
  <c r="AA67" i="26" s="1"/>
  <c r="T66" i="26"/>
  <c r="T65" i="26"/>
  <c r="T64" i="26"/>
  <c r="AA64" i="26" s="1"/>
  <c r="T63" i="26"/>
  <c r="AA63" i="26" s="1"/>
  <c r="O62" i="26"/>
  <c r="O37" i="26" s="1"/>
  <c r="T37" i="26" s="1"/>
  <c r="T61" i="26"/>
  <c r="AA61" i="26" s="1"/>
  <c r="T60" i="26"/>
  <c r="AA60" i="26" s="1"/>
  <c r="T59" i="26"/>
  <c r="AA59" i="26" s="1"/>
  <c r="T58" i="26"/>
  <c r="T57" i="26"/>
  <c r="T56" i="26"/>
  <c r="T55" i="26"/>
  <c r="T54" i="26"/>
  <c r="T53" i="26"/>
  <c r="T52" i="26"/>
  <c r="T51" i="26"/>
  <c r="T50" i="26"/>
  <c r="T49" i="26"/>
  <c r="T48" i="26"/>
  <c r="T47" i="26"/>
  <c r="T46" i="26"/>
  <c r="T45" i="26"/>
  <c r="T44" i="26"/>
  <c r="AC43" i="26"/>
  <c r="T43" i="26"/>
  <c r="AA42" i="26"/>
  <c r="T42" i="26"/>
  <c r="T41" i="26"/>
  <c r="AA41" i="26" s="1"/>
  <c r="AA40" i="26"/>
  <c r="T40" i="26"/>
  <c r="AA39" i="26"/>
  <c r="T39" i="26"/>
  <c r="AA38" i="26"/>
  <c r="T38" i="26"/>
  <c r="W38" i="26" s="1"/>
  <c r="P37" i="26"/>
  <c r="AA36" i="26"/>
  <c r="T36" i="26"/>
  <c r="T35" i="26"/>
  <c r="AA34" i="26"/>
  <c r="T34" i="26"/>
  <c r="AA33" i="26"/>
  <c r="T33" i="26"/>
  <c r="T32" i="26"/>
  <c r="AA32" i="26" s="1"/>
  <c r="T31" i="26"/>
  <c r="AA31" i="26" s="1"/>
  <c r="T30" i="26"/>
  <c r="AA29" i="26"/>
  <c r="T29" i="26"/>
  <c r="T28" i="26"/>
  <c r="AA28" i="26" s="1"/>
  <c r="AA27" i="26"/>
  <c r="T27" i="26"/>
  <c r="T26" i="26"/>
  <c r="AA26" i="26" s="1"/>
  <c r="T25" i="26"/>
  <c r="AA25" i="26" s="1"/>
  <c r="T24" i="26"/>
  <c r="AA24" i="26" s="1"/>
  <c r="AA23" i="26"/>
  <c r="T23" i="26"/>
  <c r="AA22" i="26"/>
  <c r="T22" i="26"/>
  <c r="AA21" i="26"/>
  <c r="T21" i="26"/>
  <c r="T20" i="26"/>
  <c r="AA20" i="26" s="1"/>
  <c r="AA19" i="26"/>
  <c r="T12" i="26"/>
  <c r="A5" i="26"/>
  <c r="D520" i="25"/>
  <c r="D519" i="25"/>
  <c r="D518" i="25"/>
  <c r="D517" i="25"/>
  <c r="D516" i="25"/>
  <c r="D515" i="25"/>
  <c r="D514" i="25"/>
  <c r="D513" i="25"/>
  <c r="D512" i="25"/>
  <c r="D511" i="25"/>
  <c r="D510" i="25"/>
  <c r="D509" i="25"/>
  <c r="D508" i="25"/>
  <c r="D507" i="25"/>
  <c r="D506" i="25"/>
  <c r="D505" i="25"/>
  <c r="D504" i="25"/>
  <c r="D503" i="25"/>
  <c r="D502" i="25"/>
  <c r="D501" i="25"/>
  <c r="D500" i="25"/>
  <c r="D499" i="25"/>
  <c r="D498" i="25"/>
  <c r="D497" i="25"/>
  <c r="D496" i="25"/>
  <c r="D495" i="25"/>
  <c r="D494" i="25"/>
  <c r="D493" i="25"/>
  <c r="D492" i="25"/>
  <c r="D491" i="25"/>
  <c r="D490" i="25"/>
  <c r="D489" i="25"/>
  <c r="D488" i="25"/>
  <c r="D487" i="25"/>
  <c r="D486" i="25"/>
  <c r="D485" i="25"/>
  <c r="D484" i="25"/>
  <c r="D483" i="25"/>
  <c r="D482" i="25"/>
  <c r="D481" i="25"/>
  <c r="D480" i="25"/>
  <c r="D479" i="25"/>
  <c r="D478" i="25"/>
  <c r="D477" i="25"/>
  <c r="D476" i="25"/>
  <c r="D475" i="25"/>
  <c r="D474" i="25"/>
  <c r="D473" i="25"/>
  <c r="D472" i="25"/>
  <c r="D471" i="25"/>
  <c r="D470" i="25"/>
  <c r="D469" i="25"/>
  <c r="D468" i="25"/>
  <c r="D467" i="25"/>
  <c r="D466" i="25"/>
  <c r="D465" i="25"/>
  <c r="D464" i="25"/>
  <c r="D463" i="25"/>
  <c r="D462" i="25"/>
  <c r="D461" i="25"/>
  <c r="D460" i="25"/>
  <c r="D459" i="25"/>
  <c r="D458" i="25"/>
  <c r="AA447" i="25"/>
  <c r="T447" i="25"/>
  <c r="AA446" i="25"/>
  <c r="T446" i="25"/>
  <c r="T445" i="25"/>
  <c r="AA445" i="25" s="1"/>
  <c r="T444" i="25"/>
  <c r="AA443" i="25"/>
  <c r="T443" i="25"/>
  <c r="AA442" i="25"/>
  <c r="T442" i="25"/>
  <c r="T441" i="25"/>
  <c r="AA441" i="25" s="1"/>
  <c r="AA440" i="25"/>
  <c r="T440" i="25"/>
  <c r="T439" i="25"/>
  <c r="AA439" i="25" s="1"/>
  <c r="T438" i="25"/>
  <c r="AA437" i="25"/>
  <c r="T437" i="25"/>
  <c r="T436" i="25"/>
  <c r="AA436" i="25" s="1"/>
  <c r="T435" i="25"/>
  <c r="AA435" i="25" s="1"/>
  <c r="T434" i="25"/>
  <c r="AA434" i="25" s="1"/>
  <c r="AA433" i="25"/>
  <c r="T433" i="25"/>
  <c r="AA432" i="25"/>
  <c r="T432" i="25"/>
  <c r="AA431" i="25"/>
  <c r="T431" i="25"/>
  <c r="AA430" i="25"/>
  <c r="T430" i="25"/>
  <c r="AA429" i="25"/>
  <c r="T429" i="25"/>
  <c r="T428" i="25"/>
  <c r="AA428" i="25" s="1"/>
  <c r="T427" i="25"/>
  <c r="AA427" i="25" s="1"/>
  <c r="T426" i="25"/>
  <c r="AA426" i="25" s="1"/>
  <c r="T425" i="25"/>
  <c r="AA425" i="25" s="1"/>
  <c r="AA424" i="25"/>
  <c r="T424" i="25"/>
  <c r="AA423" i="25"/>
  <c r="T423" i="25"/>
  <c r="AA422" i="25"/>
  <c r="T422" i="25"/>
  <c r="AA421" i="25"/>
  <c r="T421" i="25"/>
  <c r="T420" i="25"/>
  <c r="AA420" i="25" s="1"/>
  <c r="T419" i="25"/>
  <c r="AA419" i="25" s="1"/>
  <c r="T418" i="25"/>
  <c r="AA418" i="25" s="1"/>
  <c r="T417" i="25"/>
  <c r="AA417" i="25" s="1"/>
  <c r="AA416" i="25"/>
  <c r="T416" i="25"/>
  <c r="AA415" i="25"/>
  <c r="T415" i="25"/>
  <c r="AA414" i="25"/>
  <c r="T414" i="25"/>
  <c r="AA413" i="25"/>
  <c r="T413" i="25"/>
  <c r="T412" i="25"/>
  <c r="AA412" i="25" s="1"/>
  <c r="T411" i="25"/>
  <c r="AA411" i="25" s="1"/>
  <c r="T410" i="25"/>
  <c r="AA410" i="25" s="1"/>
  <c r="T409" i="25"/>
  <c r="AA409" i="25" s="1"/>
  <c r="AA408" i="25"/>
  <c r="T408" i="25"/>
  <c r="AA407" i="25"/>
  <c r="T407" i="25"/>
  <c r="AA406" i="25"/>
  <c r="T406" i="25"/>
  <c r="AA405" i="25"/>
  <c r="T405" i="25"/>
  <c r="T404" i="25"/>
  <c r="AA404" i="25" s="1"/>
  <c r="T403" i="25"/>
  <c r="AA403" i="25" s="1"/>
  <c r="T402" i="25"/>
  <c r="AA402" i="25" s="1"/>
  <c r="T401" i="25"/>
  <c r="AA401" i="25" s="1"/>
  <c r="AA400" i="25"/>
  <c r="T400" i="25"/>
  <c r="AA399" i="25"/>
  <c r="T399" i="25"/>
  <c r="AA398" i="25"/>
  <c r="T398" i="25"/>
  <c r="AA397" i="25"/>
  <c r="T397" i="25"/>
  <c r="T396" i="25"/>
  <c r="AA396" i="25" s="1"/>
  <c r="T395" i="25"/>
  <c r="AA395" i="25" s="1"/>
  <c r="T394" i="25"/>
  <c r="AA394" i="25" s="1"/>
  <c r="T393" i="25"/>
  <c r="AA393" i="25" s="1"/>
  <c r="AA392" i="25"/>
  <c r="T392" i="25"/>
  <c r="AA391" i="25"/>
  <c r="T391" i="25"/>
  <c r="AA390" i="25"/>
  <c r="T390" i="25"/>
  <c r="T389" i="25"/>
  <c r="AA389" i="25" s="1"/>
  <c r="T388" i="25"/>
  <c r="AA388" i="25" s="1"/>
  <c r="T387" i="25"/>
  <c r="AA386" i="25"/>
  <c r="T386" i="25"/>
  <c r="AA385" i="25"/>
  <c r="T385" i="25"/>
  <c r="T384" i="25"/>
  <c r="AA384" i="25" s="1"/>
  <c r="T383" i="25"/>
  <c r="AA383" i="25" s="1"/>
  <c r="T382" i="25"/>
  <c r="AA382" i="25" s="1"/>
  <c r="AA381" i="25"/>
  <c r="T381" i="25"/>
  <c r="T380" i="25"/>
  <c r="AA380" i="25" s="1"/>
  <c r="AA379" i="25"/>
  <c r="T379" i="25"/>
  <c r="AA378" i="25"/>
  <c r="T378" i="25"/>
  <c r="AA377" i="25"/>
  <c r="T377" i="25"/>
  <c r="T376" i="25"/>
  <c r="AA376" i="25" s="1"/>
  <c r="AA375" i="25"/>
  <c r="T375" i="25"/>
  <c r="T374" i="25"/>
  <c r="AA374" i="25" s="1"/>
  <c r="AA373" i="25"/>
  <c r="T373" i="25"/>
  <c r="T372" i="25"/>
  <c r="AA372" i="25" s="1"/>
  <c r="T371" i="25"/>
  <c r="T370" i="25"/>
  <c r="AA369" i="25"/>
  <c r="T369" i="25"/>
  <c r="AA368" i="25"/>
  <c r="T368" i="25"/>
  <c r="T367" i="25"/>
  <c r="AA367" i="25" s="1"/>
  <c r="T366" i="25"/>
  <c r="AA366" i="25" s="1"/>
  <c r="T365" i="25"/>
  <c r="AA365" i="25" s="1"/>
  <c r="AA364" i="25"/>
  <c r="T364" i="25"/>
  <c r="T363" i="25"/>
  <c r="AA363" i="25" s="1"/>
  <c r="AA362" i="25"/>
  <c r="T362" i="25"/>
  <c r="AA361" i="25"/>
  <c r="T361" i="25"/>
  <c r="AA360" i="25"/>
  <c r="T360" i="25"/>
  <c r="T359" i="25"/>
  <c r="AA359" i="25" s="1"/>
  <c r="T358" i="25"/>
  <c r="AA358" i="25" s="1"/>
  <c r="T357" i="25"/>
  <c r="AA357" i="25" s="1"/>
  <c r="AA356" i="25"/>
  <c r="T356" i="25"/>
  <c r="T355" i="25"/>
  <c r="AA355" i="25" s="1"/>
  <c r="AA354" i="25"/>
  <c r="T354" i="25"/>
  <c r="AA353" i="25"/>
  <c r="T353" i="25"/>
  <c r="AA352" i="25"/>
  <c r="T352" i="25"/>
  <c r="T351" i="25"/>
  <c r="AA351" i="25" s="1"/>
  <c r="T350" i="25"/>
  <c r="AA350" i="25" s="1"/>
  <c r="T349" i="25"/>
  <c r="AA349" i="25" s="1"/>
  <c r="T348" i="25"/>
  <c r="AA348" i="25" s="1"/>
  <c r="T347" i="25"/>
  <c r="AA347" i="25" s="1"/>
  <c r="AA346" i="25"/>
  <c r="T346" i="25"/>
  <c r="AA345" i="25"/>
  <c r="T345" i="25"/>
  <c r="AA344" i="25"/>
  <c r="T344" i="25"/>
  <c r="T343" i="25"/>
  <c r="AA343" i="25" s="1"/>
  <c r="T342" i="25"/>
  <c r="AA342" i="25" s="1"/>
  <c r="T341" i="25"/>
  <c r="AA341" i="25" s="1"/>
  <c r="T340" i="25"/>
  <c r="AA340" i="25" s="1"/>
  <c r="T339" i="25"/>
  <c r="AA339" i="25" s="1"/>
  <c r="AA338" i="25"/>
  <c r="T338" i="25"/>
  <c r="AA337" i="25"/>
  <c r="T337" i="25"/>
  <c r="AA336" i="25"/>
  <c r="T336" i="25"/>
  <c r="T335" i="25"/>
  <c r="AA335" i="25" s="1"/>
  <c r="T334" i="25"/>
  <c r="AA334" i="25" s="1"/>
  <c r="T333" i="25"/>
  <c r="AA333" i="25" s="1"/>
  <c r="T332" i="25"/>
  <c r="AA332" i="25" s="1"/>
  <c r="T331" i="25"/>
  <c r="AA331" i="25" s="1"/>
  <c r="T330" i="25"/>
  <c r="T329" i="25"/>
  <c r="AA329" i="25" s="1"/>
  <c r="T328" i="25"/>
  <c r="AA328" i="25" s="1"/>
  <c r="AA327" i="25"/>
  <c r="T327" i="25"/>
  <c r="AA326" i="25"/>
  <c r="T326" i="25"/>
  <c r="AA325" i="25"/>
  <c r="T325" i="25"/>
  <c r="AA324" i="25"/>
  <c r="T324" i="25"/>
  <c r="T323" i="25"/>
  <c r="AA323" i="25" s="1"/>
  <c r="T322" i="25"/>
  <c r="AA322" i="25" s="1"/>
  <c r="T321" i="25"/>
  <c r="AA321" i="25" s="1"/>
  <c r="T320" i="25"/>
  <c r="AA320" i="25" s="1"/>
  <c r="AA319" i="25"/>
  <c r="T319" i="25"/>
  <c r="AA318" i="25"/>
  <c r="T318" i="25"/>
  <c r="AA317" i="25"/>
  <c r="T317" i="25"/>
  <c r="AA316" i="25"/>
  <c r="T316" i="25"/>
  <c r="T315" i="25"/>
  <c r="AA315" i="25" s="1"/>
  <c r="T314" i="25"/>
  <c r="AA314" i="25" s="1"/>
  <c r="T313" i="25"/>
  <c r="AA313" i="25" s="1"/>
  <c r="T312" i="25"/>
  <c r="AA312" i="25" s="1"/>
  <c r="AA311" i="25"/>
  <c r="T311" i="25"/>
  <c r="AA310" i="25"/>
  <c r="T310" i="25"/>
  <c r="AA309" i="25"/>
  <c r="T309" i="25"/>
  <c r="AA308" i="25"/>
  <c r="T308" i="25"/>
  <c r="T307" i="25"/>
  <c r="AA307" i="25" s="1"/>
  <c r="T306" i="25"/>
  <c r="AA306" i="25" s="1"/>
  <c r="T305" i="25"/>
  <c r="AA305" i="25" s="1"/>
  <c r="T304" i="25"/>
  <c r="AA304" i="25" s="1"/>
  <c r="T303" i="25"/>
  <c r="AA303" i="25" s="1"/>
  <c r="AA302" i="25"/>
  <c r="T302" i="25"/>
  <c r="AA301" i="25"/>
  <c r="T301" i="25"/>
  <c r="AA300" i="25"/>
  <c r="T300" i="25"/>
  <c r="T299" i="25"/>
  <c r="AA299" i="25" s="1"/>
  <c r="T298" i="25"/>
  <c r="AA298" i="25" s="1"/>
  <c r="T297" i="25"/>
  <c r="AA297" i="25" s="1"/>
  <c r="T296" i="25"/>
  <c r="AA296" i="25" s="1"/>
  <c r="AA295" i="25"/>
  <c r="T295" i="25"/>
  <c r="AA294" i="25"/>
  <c r="T294" i="25"/>
  <c r="AA293" i="25"/>
  <c r="T293" i="25"/>
  <c r="AA292" i="25"/>
  <c r="T292" i="25"/>
  <c r="T291" i="25"/>
  <c r="AA291" i="25" s="1"/>
  <c r="AA290" i="25"/>
  <c r="T290" i="25"/>
  <c r="T289" i="25"/>
  <c r="AA289" i="25" s="1"/>
  <c r="T288" i="25"/>
  <c r="AA288" i="25" s="1"/>
  <c r="T287" i="25"/>
  <c r="T286" i="25"/>
  <c r="T285" i="25"/>
  <c r="T284" i="25"/>
  <c r="T283" i="25"/>
  <c r="T282" i="25"/>
  <c r="AA282" i="25" s="1"/>
  <c r="T281" i="25"/>
  <c r="AA281" i="25" s="1"/>
  <c r="T280" i="25"/>
  <c r="AA280" i="25" s="1"/>
  <c r="AA279" i="25"/>
  <c r="T279" i="25"/>
  <c r="AA278" i="25"/>
  <c r="T278" i="25"/>
  <c r="AA277" i="25"/>
  <c r="T277" i="25"/>
  <c r="T276" i="25"/>
  <c r="AA276" i="25" s="1"/>
  <c r="T275" i="25"/>
  <c r="AA275" i="25" s="1"/>
  <c r="T274" i="25"/>
  <c r="AA274" i="25" s="1"/>
  <c r="T273" i="25"/>
  <c r="AA273" i="25" s="1"/>
  <c r="T272" i="25"/>
  <c r="AA272" i="25" s="1"/>
  <c r="AA271" i="25"/>
  <c r="T271" i="25"/>
  <c r="AA270" i="25"/>
  <c r="T270" i="25"/>
  <c r="AA269" i="25"/>
  <c r="T269" i="25"/>
  <c r="T268" i="25"/>
  <c r="AA268" i="25" s="1"/>
  <c r="T267" i="25"/>
  <c r="AA267" i="25" s="1"/>
  <c r="T266" i="25"/>
  <c r="AA266" i="25" s="1"/>
  <c r="AA265" i="25"/>
  <c r="T265" i="25"/>
  <c r="T264" i="25"/>
  <c r="AA264" i="25" s="1"/>
  <c r="AA263" i="25"/>
  <c r="T263" i="25"/>
  <c r="AA262" i="25"/>
  <c r="T262" i="25"/>
  <c r="AA261" i="25"/>
  <c r="T261" i="25"/>
  <c r="T260" i="25"/>
  <c r="AA260" i="25" s="1"/>
  <c r="T259" i="25"/>
  <c r="AA259" i="25" s="1"/>
  <c r="T258" i="25"/>
  <c r="AA258" i="25" s="1"/>
  <c r="AA257" i="25"/>
  <c r="T257" i="25"/>
  <c r="T256" i="25"/>
  <c r="AA256" i="25" s="1"/>
  <c r="AA255" i="25"/>
  <c r="T255" i="25"/>
  <c r="AA254" i="25"/>
  <c r="T254" i="25"/>
  <c r="AA253" i="25"/>
  <c r="T253" i="25"/>
  <c r="T252" i="25"/>
  <c r="AA252" i="25" s="1"/>
  <c r="T251" i="25"/>
  <c r="AA250" i="25"/>
  <c r="T250" i="25"/>
  <c r="AA249" i="25"/>
  <c r="T249" i="25"/>
  <c r="T248" i="25"/>
  <c r="AA248" i="25" s="1"/>
  <c r="T247" i="25"/>
  <c r="AA247" i="25" s="1"/>
  <c r="T246" i="25"/>
  <c r="AA246" i="25" s="1"/>
  <c r="T245" i="25"/>
  <c r="AA245" i="25" s="1"/>
  <c r="T244" i="25"/>
  <c r="AA244" i="25" s="1"/>
  <c r="T243" i="25"/>
  <c r="T242" i="25"/>
  <c r="AA242" i="25" s="1"/>
  <c r="T241" i="25"/>
  <c r="T240" i="25"/>
  <c r="AA240" i="25" s="1"/>
  <c r="T239" i="25"/>
  <c r="T238" i="25"/>
  <c r="T237" i="25"/>
  <c r="T236" i="25"/>
  <c r="T235" i="25"/>
  <c r="AA235" i="25" s="1"/>
  <c r="T234" i="25"/>
  <c r="AA234" i="25" s="1"/>
  <c r="T233" i="25"/>
  <c r="T232" i="25"/>
  <c r="AA232" i="25" s="1"/>
  <c r="T231" i="25"/>
  <c r="AA231" i="25" s="1"/>
  <c r="AA230" i="25"/>
  <c r="T230" i="25"/>
  <c r="T229" i="25"/>
  <c r="AA229" i="25" s="1"/>
  <c r="T228" i="25"/>
  <c r="AA228" i="25" s="1"/>
  <c r="T227" i="25"/>
  <c r="AA227" i="25" s="1"/>
  <c r="AA226" i="25"/>
  <c r="U226" i="25"/>
  <c r="T226" i="25"/>
  <c r="T225" i="25"/>
  <c r="AA225" i="25" s="1"/>
  <c r="T224" i="25"/>
  <c r="AA224" i="25" s="1"/>
  <c r="AA223" i="25"/>
  <c r="T223" i="25"/>
  <c r="T222" i="25"/>
  <c r="AA222" i="25" s="1"/>
  <c r="T221" i="25"/>
  <c r="T220" i="25"/>
  <c r="AA220" i="25" s="1"/>
  <c r="T219" i="25"/>
  <c r="AA218" i="25"/>
  <c r="T218" i="25"/>
  <c r="AA217" i="25"/>
  <c r="T217" i="25"/>
  <c r="T216" i="25"/>
  <c r="AA216" i="25" s="1"/>
  <c r="T215" i="25"/>
  <c r="AA215" i="25" s="1"/>
  <c r="T214" i="25"/>
  <c r="AA214" i="25" s="1"/>
  <c r="T213" i="25"/>
  <c r="AA213" i="25" s="1"/>
  <c r="T212" i="25"/>
  <c r="AA212" i="25" s="1"/>
  <c r="AA211" i="25"/>
  <c r="T211" i="25"/>
  <c r="AA210" i="25"/>
  <c r="T210" i="25"/>
  <c r="AA209" i="25"/>
  <c r="T209" i="25"/>
  <c r="T208" i="25"/>
  <c r="AA208" i="25" s="1"/>
  <c r="T207" i="25"/>
  <c r="T206" i="25"/>
  <c r="T205" i="25"/>
  <c r="AA205" i="25" s="1"/>
  <c r="T204" i="25"/>
  <c r="AA204" i="25" s="1"/>
  <c r="T203" i="25"/>
  <c r="AA203" i="25" s="1"/>
  <c r="AA202" i="25"/>
  <c r="T202" i="25"/>
  <c r="AA201" i="25"/>
  <c r="T201" i="25"/>
  <c r="AA200" i="25"/>
  <c r="T200" i="25"/>
  <c r="T199" i="25"/>
  <c r="AA199" i="25" s="1"/>
  <c r="T198" i="25"/>
  <c r="AA198" i="25" s="1"/>
  <c r="T197" i="25"/>
  <c r="AA197" i="25" s="1"/>
  <c r="T196" i="25"/>
  <c r="AA196" i="25" s="1"/>
  <c r="T195" i="25"/>
  <c r="AA195" i="25" s="1"/>
  <c r="AA194" i="25"/>
  <c r="T194" i="25"/>
  <c r="AA193" i="25"/>
  <c r="T193" i="25"/>
  <c r="AA192" i="25"/>
  <c r="T192" i="25"/>
  <c r="T191" i="25"/>
  <c r="AA191" i="25" s="1"/>
  <c r="T190" i="25"/>
  <c r="AA190" i="25" s="1"/>
  <c r="T189" i="25"/>
  <c r="AA189" i="25" s="1"/>
  <c r="T188" i="25"/>
  <c r="AA188" i="25" s="1"/>
  <c r="T187" i="25"/>
  <c r="AA187" i="25" s="1"/>
  <c r="AA186" i="25"/>
  <c r="T186" i="25"/>
  <c r="AA185" i="25"/>
  <c r="T185" i="25"/>
  <c r="AA184" i="25"/>
  <c r="T184" i="25"/>
  <c r="T183" i="25"/>
  <c r="AA183" i="25" s="1"/>
  <c r="T182" i="25"/>
  <c r="AA182" i="25" s="1"/>
  <c r="T181" i="25"/>
  <c r="AA181" i="25" s="1"/>
  <c r="T180" i="25"/>
  <c r="T179" i="25"/>
  <c r="P178" i="25"/>
  <c r="T178" i="25" s="1"/>
  <c r="AA178" i="25" s="1"/>
  <c r="T177" i="25"/>
  <c r="AA177" i="25" s="1"/>
  <c r="T176" i="25"/>
  <c r="T175" i="25"/>
  <c r="T174" i="25"/>
  <c r="T173" i="25"/>
  <c r="AA173" i="25" s="1"/>
  <c r="T172" i="25"/>
  <c r="AA172" i="25" s="1"/>
  <c r="T171" i="25"/>
  <c r="AA171" i="25" s="1"/>
  <c r="AA170" i="25"/>
  <c r="T170" i="25"/>
  <c r="T169" i="25"/>
  <c r="AA169" i="25" s="1"/>
  <c r="AA168" i="25"/>
  <c r="T168" i="25"/>
  <c r="AA167" i="25"/>
  <c r="T167" i="25"/>
  <c r="AA166" i="25"/>
  <c r="T166" i="25"/>
  <c r="T165" i="25"/>
  <c r="AA165" i="25" s="1"/>
  <c r="T164" i="25"/>
  <c r="AA163" i="25"/>
  <c r="T163" i="25"/>
  <c r="T162" i="25"/>
  <c r="AA162" i="25" s="1"/>
  <c r="T161" i="25"/>
  <c r="AA161" i="25" s="1"/>
  <c r="T160" i="25"/>
  <c r="AA160" i="25" s="1"/>
  <c r="T159" i="25"/>
  <c r="AA159" i="25" s="1"/>
  <c r="T158" i="25"/>
  <c r="AA158" i="25" s="1"/>
  <c r="T157" i="25"/>
  <c r="AA157" i="25" s="1"/>
  <c r="AA156" i="25"/>
  <c r="T156" i="25"/>
  <c r="AA155" i="25"/>
  <c r="T155" i="25"/>
  <c r="T154" i="25"/>
  <c r="AA154" i="25" s="1"/>
  <c r="T153" i="25"/>
  <c r="AA153" i="25" s="1"/>
  <c r="T152" i="25"/>
  <c r="AA152" i="25" s="1"/>
  <c r="T151" i="25"/>
  <c r="AA151" i="25" s="1"/>
  <c r="T150" i="25"/>
  <c r="AA150" i="25" s="1"/>
  <c r="T149" i="25"/>
  <c r="AA149" i="25" s="1"/>
  <c r="AA148" i="25"/>
  <c r="T148" i="25"/>
  <c r="AA147" i="25"/>
  <c r="T147" i="25"/>
  <c r="T146" i="25"/>
  <c r="AA146" i="25" s="1"/>
  <c r="T145" i="25"/>
  <c r="AA145" i="25" s="1"/>
  <c r="T144" i="25"/>
  <c r="AA144" i="25" s="1"/>
  <c r="T143" i="25"/>
  <c r="AA143" i="25" s="1"/>
  <c r="T142" i="25"/>
  <c r="AA142" i="25" s="1"/>
  <c r="T141" i="25"/>
  <c r="T140" i="25"/>
  <c r="AA139" i="25"/>
  <c r="T139" i="25"/>
  <c r="AA138" i="25"/>
  <c r="T138" i="25"/>
  <c r="AA137" i="25"/>
  <c r="T137" i="25"/>
  <c r="T136" i="25"/>
  <c r="T135" i="25"/>
  <c r="AA135" i="25" s="1"/>
  <c r="AA134" i="25"/>
  <c r="T134" i="25"/>
  <c r="AA133" i="25"/>
  <c r="T133" i="25"/>
  <c r="AA132" i="25"/>
  <c r="T132" i="25"/>
  <c r="T131" i="25"/>
  <c r="AA131" i="25" s="1"/>
  <c r="T130" i="25"/>
  <c r="T129" i="25"/>
  <c r="T128" i="25"/>
  <c r="T127" i="25"/>
  <c r="N126" i="25"/>
  <c r="T126" i="25" s="1"/>
  <c r="AA126" i="25" s="1"/>
  <c r="T125" i="25"/>
  <c r="AA125" i="25" s="1"/>
  <c r="T124" i="25"/>
  <c r="AA124" i="25" s="1"/>
  <c r="T123" i="25"/>
  <c r="AA123" i="25" s="1"/>
  <c r="T122" i="25"/>
  <c r="AA122" i="25" s="1"/>
  <c r="AA121" i="25"/>
  <c r="T121" i="25"/>
  <c r="AA120" i="25"/>
  <c r="T120" i="25"/>
  <c r="AA119" i="25"/>
  <c r="T119" i="25"/>
  <c r="T118" i="25"/>
  <c r="AA118" i="25" s="1"/>
  <c r="T117" i="25"/>
  <c r="AA117" i="25" s="1"/>
  <c r="T116" i="25"/>
  <c r="AA116" i="25" s="1"/>
  <c r="T115" i="25"/>
  <c r="T114" i="25"/>
  <c r="T113" i="25"/>
  <c r="T112" i="25"/>
  <c r="T111" i="25"/>
  <c r="T110" i="25"/>
  <c r="T109" i="25"/>
  <c r="T108" i="25"/>
  <c r="T107" i="25"/>
  <c r="T106" i="25"/>
  <c r="T105" i="25"/>
  <c r="T104" i="25"/>
  <c r="AA103" i="25"/>
  <c r="T103" i="25"/>
  <c r="AA102" i="25"/>
  <c r="T102" i="25"/>
  <c r="AA101" i="25"/>
  <c r="T101" i="25"/>
  <c r="T100" i="25"/>
  <c r="AA100" i="25" s="1"/>
  <c r="T99" i="25"/>
  <c r="AA99" i="25" s="1"/>
  <c r="T98" i="25"/>
  <c r="AA98" i="25" s="1"/>
  <c r="AA97" i="25"/>
  <c r="T97" i="25"/>
  <c r="T96" i="25"/>
  <c r="AA96" i="25" s="1"/>
  <c r="AA95" i="25"/>
  <c r="T95" i="25"/>
  <c r="AA94" i="25"/>
  <c r="T94" i="25"/>
  <c r="AA93" i="25"/>
  <c r="T93" i="25"/>
  <c r="T92" i="25"/>
  <c r="AA92" i="25" s="1"/>
  <c r="T91" i="25"/>
  <c r="AA91" i="25" s="1"/>
  <c r="T90" i="25"/>
  <c r="AA90" i="25" s="1"/>
  <c r="AA89" i="25"/>
  <c r="T89" i="25"/>
  <c r="T88" i="25"/>
  <c r="AA88" i="25" s="1"/>
  <c r="AA87" i="25"/>
  <c r="T87" i="25"/>
  <c r="AA86" i="25"/>
  <c r="T86" i="25"/>
  <c r="AA85" i="25"/>
  <c r="T85" i="25"/>
  <c r="T84" i="25"/>
  <c r="AA84" i="25" s="1"/>
  <c r="T83" i="25"/>
  <c r="AA83" i="25" s="1"/>
  <c r="T82" i="25"/>
  <c r="AA82" i="25" s="1"/>
  <c r="AA81" i="25"/>
  <c r="T81" i="25"/>
  <c r="T80" i="25"/>
  <c r="AA80" i="25" s="1"/>
  <c r="AA79" i="25"/>
  <c r="T79" i="25"/>
  <c r="AA78" i="25"/>
  <c r="T78" i="25"/>
  <c r="AA77" i="25"/>
  <c r="T77" i="25"/>
  <c r="T76" i="25"/>
  <c r="AA76" i="25" s="1"/>
  <c r="T75" i="25"/>
  <c r="AA75" i="25" s="1"/>
  <c r="AA74" i="25"/>
  <c r="T74" i="25"/>
  <c r="AA73" i="25"/>
  <c r="T73" i="25"/>
  <c r="T72" i="25"/>
  <c r="AA72" i="25" s="1"/>
  <c r="AA71" i="25"/>
  <c r="T71" i="25"/>
  <c r="AA70" i="25"/>
  <c r="T70" i="25"/>
  <c r="AA69" i="25"/>
  <c r="T69" i="25"/>
  <c r="T68" i="25"/>
  <c r="AA68" i="25" s="1"/>
  <c r="T67" i="25"/>
  <c r="AA67" i="25" s="1"/>
  <c r="T66" i="25"/>
  <c r="T65" i="25"/>
  <c r="AA65" i="25" s="1"/>
  <c r="T64" i="25"/>
  <c r="AA64" i="25" s="1"/>
  <c r="T63" i="25"/>
  <c r="AA63" i="25" s="1"/>
  <c r="T62" i="25"/>
  <c r="AA62" i="25" s="1"/>
  <c r="T61" i="25"/>
  <c r="AA61" i="25" s="1"/>
  <c r="T60" i="25"/>
  <c r="AA60" i="25" s="1"/>
  <c r="AA59" i="25"/>
  <c r="T59" i="25"/>
  <c r="T58" i="25"/>
  <c r="T57" i="25"/>
  <c r="T56" i="25"/>
  <c r="T55" i="25"/>
  <c r="T54" i="25"/>
  <c r="M53" i="25"/>
  <c r="M37" i="25" s="1"/>
  <c r="T37" i="25" s="1"/>
  <c r="T52" i="25"/>
  <c r="T51" i="25"/>
  <c r="T50" i="25"/>
  <c r="T49" i="25"/>
  <c r="T48" i="25"/>
  <c r="T47" i="25"/>
  <c r="T46" i="25"/>
  <c r="T45" i="25"/>
  <c r="T44" i="25"/>
  <c r="AC43" i="25"/>
  <c r="T43" i="25"/>
  <c r="AA42" i="25"/>
  <c r="T42" i="25"/>
  <c r="T41" i="25"/>
  <c r="AA41" i="25" s="1"/>
  <c r="AA40" i="25"/>
  <c r="T40" i="25"/>
  <c r="T39" i="25"/>
  <c r="AA39" i="25" s="1"/>
  <c r="T38" i="25"/>
  <c r="AA38" i="25" s="1"/>
  <c r="T36" i="25"/>
  <c r="AA36" i="25" s="1"/>
  <c r="T35" i="25"/>
  <c r="AA35" i="25" s="1"/>
  <c r="T34" i="25"/>
  <c r="AA34" i="25" s="1"/>
  <c r="AA33" i="25"/>
  <c r="T33" i="25"/>
  <c r="AA32" i="25"/>
  <c r="T32" i="25"/>
  <c r="AA31" i="25"/>
  <c r="T31" i="25"/>
  <c r="T30" i="25"/>
  <c r="AA29" i="25"/>
  <c r="T29" i="25"/>
  <c r="AA28" i="25"/>
  <c r="T28" i="25"/>
  <c r="T27" i="25"/>
  <c r="AA27" i="25" s="1"/>
  <c r="T26" i="25"/>
  <c r="AA26" i="25" s="1"/>
  <c r="T25" i="25"/>
  <c r="AA25" i="25" s="1"/>
  <c r="T24" i="25"/>
  <c r="AA24" i="25" s="1"/>
  <c r="T23" i="25"/>
  <c r="AA23" i="25" s="1"/>
  <c r="T22" i="25"/>
  <c r="AA22" i="25" s="1"/>
  <c r="AA21" i="25"/>
  <c r="T21" i="25"/>
  <c r="AA20" i="25"/>
  <c r="T20" i="25"/>
  <c r="AA19" i="25"/>
  <c r="T12" i="25"/>
  <c r="A5" i="25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66" i="24"/>
  <c r="D465" i="24"/>
  <c r="D464" i="24"/>
  <c r="D463" i="24"/>
  <c r="D462" i="24"/>
  <c r="D461" i="24"/>
  <c r="D460" i="24"/>
  <c r="D459" i="24"/>
  <c r="D458" i="24"/>
  <c r="D522" i="24" s="1"/>
  <c r="R447" i="24"/>
  <c r="Y447" i="24" s="1"/>
  <c r="Y446" i="24"/>
  <c r="R446" i="24"/>
  <c r="Y445" i="24"/>
  <c r="R445" i="24"/>
  <c r="Y444" i="24"/>
  <c r="R444" i="24"/>
  <c r="R443" i="24"/>
  <c r="Y443" i="24" s="1"/>
  <c r="R442" i="24"/>
  <c r="Y442" i="24" s="1"/>
  <c r="Y441" i="24"/>
  <c r="R441" i="24"/>
  <c r="R440" i="24"/>
  <c r="Y440" i="24" s="1"/>
  <c r="R439" i="24"/>
  <c r="Y439" i="24" s="1"/>
  <c r="Y438" i="24"/>
  <c r="R438" i="24"/>
  <c r="Y437" i="24"/>
  <c r="R437" i="24"/>
  <c r="Y436" i="24"/>
  <c r="R436" i="24"/>
  <c r="R435" i="24"/>
  <c r="Y435" i="24" s="1"/>
  <c r="R434" i="24"/>
  <c r="Y434" i="24" s="1"/>
  <c r="Y433" i="24"/>
  <c r="R433" i="24"/>
  <c r="R432" i="24"/>
  <c r="Y432" i="24" s="1"/>
  <c r="R431" i="24"/>
  <c r="Y431" i="24" s="1"/>
  <c r="Y430" i="24"/>
  <c r="R430" i="24"/>
  <c r="Y429" i="24"/>
  <c r="R429" i="24"/>
  <c r="Y428" i="24"/>
  <c r="R428" i="24"/>
  <c r="R427" i="24"/>
  <c r="Y427" i="24" s="1"/>
  <c r="R426" i="24"/>
  <c r="Y426" i="24" s="1"/>
  <c r="Y425" i="24"/>
  <c r="R425" i="24"/>
  <c r="R424" i="24"/>
  <c r="Y424" i="24" s="1"/>
  <c r="R423" i="24"/>
  <c r="Y423" i="24" s="1"/>
  <c r="Y422" i="24"/>
  <c r="R422" i="24"/>
  <c r="Y421" i="24"/>
  <c r="R421" i="24"/>
  <c r="Y420" i="24"/>
  <c r="R420" i="24"/>
  <c r="R419" i="24"/>
  <c r="Y419" i="24" s="1"/>
  <c r="R418" i="24"/>
  <c r="Y418" i="24" s="1"/>
  <c r="Y417" i="24"/>
  <c r="R417" i="24"/>
  <c r="R416" i="24"/>
  <c r="Y416" i="24" s="1"/>
  <c r="R415" i="24"/>
  <c r="Y415" i="24" s="1"/>
  <c r="Y414" i="24"/>
  <c r="R414" i="24"/>
  <c r="Y413" i="24"/>
  <c r="R413" i="24"/>
  <c r="Y412" i="24"/>
  <c r="R412" i="24"/>
  <c r="R411" i="24"/>
  <c r="Y411" i="24" s="1"/>
  <c r="R410" i="24"/>
  <c r="Y410" i="24" s="1"/>
  <c r="Y409" i="24"/>
  <c r="R409" i="24"/>
  <c r="R408" i="24"/>
  <c r="Y408" i="24" s="1"/>
  <c r="R407" i="24"/>
  <c r="Y407" i="24" s="1"/>
  <c r="Y406" i="24"/>
  <c r="R406" i="24"/>
  <c r="Y405" i="24"/>
  <c r="R405" i="24"/>
  <c r="Y404" i="24"/>
  <c r="R404" i="24"/>
  <c r="R403" i="24"/>
  <c r="Y403" i="24" s="1"/>
  <c r="R402" i="24"/>
  <c r="Y402" i="24" s="1"/>
  <c r="Y401" i="24"/>
  <c r="R401" i="24"/>
  <c r="R400" i="24"/>
  <c r="Y400" i="24" s="1"/>
  <c r="R399" i="24"/>
  <c r="Y399" i="24" s="1"/>
  <c r="Y398" i="24"/>
  <c r="R398" i="24"/>
  <c r="Y397" i="24"/>
  <c r="R397" i="24"/>
  <c r="Y396" i="24"/>
  <c r="R396" i="24"/>
  <c r="R395" i="24"/>
  <c r="Y395" i="24" s="1"/>
  <c r="R394" i="24"/>
  <c r="Y394" i="24" s="1"/>
  <c r="Y393" i="24"/>
  <c r="R393" i="24"/>
  <c r="R392" i="24"/>
  <c r="Y392" i="24" s="1"/>
  <c r="R391" i="24"/>
  <c r="Y391" i="24" s="1"/>
  <c r="Y390" i="24"/>
  <c r="R390" i="24"/>
  <c r="R389" i="24"/>
  <c r="Y389" i="24" s="1"/>
  <c r="Y388" i="24"/>
  <c r="R388" i="24"/>
  <c r="R387" i="24"/>
  <c r="Y387" i="24" s="1"/>
  <c r="R386" i="24"/>
  <c r="Y386" i="24" s="1"/>
  <c r="Y385" i="24"/>
  <c r="R385" i="24"/>
  <c r="R384" i="24"/>
  <c r="Y384" i="24" s="1"/>
  <c r="R383" i="24"/>
  <c r="Y383" i="24" s="1"/>
  <c r="Y382" i="24"/>
  <c r="R382" i="24"/>
  <c r="R381" i="24"/>
  <c r="Y381" i="24" s="1"/>
  <c r="Y380" i="24"/>
  <c r="R380" i="24"/>
  <c r="R379" i="24"/>
  <c r="Y379" i="24" s="1"/>
  <c r="R378" i="24"/>
  <c r="Y378" i="24" s="1"/>
  <c r="Y377" i="24"/>
  <c r="R377" i="24"/>
  <c r="R376" i="24"/>
  <c r="Y376" i="24" s="1"/>
  <c r="R375" i="24"/>
  <c r="Y375" i="24" s="1"/>
  <c r="Y374" i="24"/>
  <c r="R374" i="24"/>
  <c r="R373" i="24"/>
  <c r="Y373" i="24" s="1"/>
  <c r="Y372" i="24"/>
  <c r="R372" i="24"/>
  <c r="R371" i="24"/>
  <c r="R370" i="24"/>
  <c r="R369" i="24"/>
  <c r="Y369" i="24" s="1"/>
  <c r="Y368" i="24"/>
  <c r="R368" i="24"/>
  <c r="R367" i="24"/>
  <c r="Y367" i="24" s="1"/>
  <c r="R366" i="24"/>
  <c r="Y366" i="24" s="1"/>
  <c r="Y365" i="24"/>
  <c r="R365" i="24"/>
  <c r="Y364" i="24"/>
  <c r="R364" i="24"/>
  <c r="Y363" i="24"/>
  <c r="R363" i="24"/>
  <c r="R362" i="24"/>
  <c r="Y362" i="24" s="1"/>
  <c r="R361" i="24"/>
  <c r="Y361" i="24" s="1"/>
  <c r="Y360" i="24"/>
  <c r="R360" i="24"/>
  <c r="R359" i="24"/>
  <c r="Y359" i="24" s="1"/>
  <c r="R358" i="24"/>
  <c r="Y358" i="24" s="1"/>
  <c r="Y357" i="24"/>
  <c r="R357" i="24"/>
  <c r="Y356" i="24"/>
  <c r="R356" i="24"/>
  <c r="Y355" i="24"/>
  <c r="R355" i="24"/>
  <c r="R354" i="24"/>
  <c r="Y354" i="24" s="1"/>
  <c r="R353" i="24"/>
  <c r="Y353" i="24" s="1"/>
  <c r="Y352" i="24"/>
  <c r="R352" i="24"/>
  <c r="R351" i="24"/>
  <c r="Y351" i="24" s="1"/>
  <c r="R350" i="24"/>
  <c r="Y350" i="24" s="1"/>
  <c r="Y349" i="24"/>
  <c r="R349" i="24"/>
  <c r="Y348" i="24"/>
  <c r="R348" i="24"/>
  <c r="Y347" i="24"/>
  <c r="R347" i="24"/>
  <c r="R346" i="24"/>
  <c r="Y346" i="24" s="1"/>
  <c r="R345" i="24"/>
  <c r="Y345" i="24" s="1"/>
  <c r="Y344" i="24"/>
  <c r="R344" i="24"/>
  <c r="R343" i="24"/>
  <c r="Y343" i="24" s="1"/>
  <c r="R342" i="24"/>
  <c r="Y342" i="24" s="1"/>
  <c r="Y341" i="24"/>
  <c r="R341" i="24"/>
  <c r="Y340" i="24"/>
  <c r="R340" i="24"/>
  <c r="Y339" i="24"/>
  <c r="R339" i="24"/>
  <c r="R338" i="24"/>
  <c r="Y338" i="24" s="1"/>
  <c r="Y337" i="24"/>
  <c r="R337" i="24"/>
  <c r="Y336" i="24"/>
  <c r="R336" i="24"/>
  <c r="R335" i="24"/>
  <c r="Y335" i="24" s="1"/>
  <c r="R334" i="24"/>
  <c r="Y334" i="24" s="1"/>
  <c r="Y333" i="24"/>
  <c r="R333" i="24"/>
  <c r="R332" i="24"/>
  <c r="Y332" i="24" s="1"/>
  <c r="Y331" i="24"/>
  <c r="R331" i="24"/>
  <c r="R330" i="24"/>
  <c r="Y330" i="24" s="1"/>
  <c r="R329" i="24"/>
  <c r="Y329" i="24" s="1"/>
  <c r="R328" i="24"/>
  <c r="Y328" i="24" s="1"/>
  <c r="R327" i="24"/>
  <c r="Y327" i="24" s="1"/>
  <c r="R326" i="24"/>
  <c r="Y326" i="24" s="1"/>
  <c r="Y325" i="24"/>
  <c r="R325" i="24"/>
  <c r="R324" i="24"/>
  <c r="Y324" i="24" s="1"/>
  <c r="Y323" i="24"/>
  <c r="R323" i="24"/>
  <c r="R322" i="24"/>
  <c r="Y322" i="24" s="1"/>
  <c r="R321" i="24"/>
  <c r="Y321" i="24" s="1"/>
  <c r="R320" i="24"/>
  <c r="Y320" i="24" s="1"/>
  <c r="R319" i="24"/>
  <c r="Y319" i="24" s="1"/>
  <c r="R318" i="24"/>
  <c r="Y318" i="24" s="1"/>
  <c r="Y317" i="24"/>
  <c r="R317" i="24"/>
  <c r="Y316" i="24"/>
  <c r="R316" i="24"/>
  <c r="Y315" i="24"/>
  <c r="R315" i="24"/>
  <c r="R314" i="24"/>
  <c r="Y314" i="24" s="1"/>
  <c r="R313" i="24"/>
  <c r="Y313" i="24" s="1"/>
  <c r="R312" i="24"/>
  <c r="Y312" i="24" s="1"/>
  <c r="R311" i="24"/>
  <c r="Y311" i="24" s="1"/>
  <c r="R310" i="24"/>
  <c r="Y310" i="24" s="1"/>
  <c r="Y309" i="24"/>
  <c r="R309" i="24"/>
  <c r="R308" i="24"/>
  <c r="Y308" i="24" s="1"/>
  <c r="Y307" i="24"/>
  <c r="R307" i="24"/>
  <c r="Y306" i="24"/>
  <c r="R306" i="24"/>
  <c r="Y305" i="24"/>
  <c r="R305" i="24"/>
  <c r="R304" i="24"/>
  <c r="Y304" i="24" s="1"/>
  <c r="R303" i="24"/>
  <c r="Y303" i="24" s="1"/>
  <c r="Y302" i="24"/>
  <c r="R302" i="24"/>
  <c r="R301" i="24"/>
  <c r="Y301" i="24" s="1"/>
  <c r="Y300" i="24"/>
  <c r="R300" i="24"/>
  <c r="R299" i="24"/>
  <c r="Y299" i="24" s="1"/>
  <c r="Y298" i="24"/>
  <c r="R298" i="24"/>
  <c r="Y297" i="24"/>
  <c r="R297" i="24"/>
  <c r="Y296" i="24"/>
  <c r="R296" i="24"/>
  <c r="R295" i="24"/>
  <c r="Y295" i="24" s="1"/>
  <c r="Y294" i="24"/>
  <c r="R294" i="24"/>
  <c r="R293" i="24"/>
  <c r="Y293" i="24" s="1"/>
  <c r="R292" i="24"/>
  <c r="Y292" i="24" s="1"/>
  <c r="R291" i="24"/>
  <c r="Y291" i="24" s="1"/>
  <c r="Y290" i="24"/>
  <c r="R290" i="24"/>
  <c r="Y289" i="24"/>
  <c r="R289" i="24"/>
  <c r="Y288" i="24"/>
  <c r="R288" i="24"/>
  <c r="R287" i="24"/>
  <c r="R286" i="24"/>
  <c r="R285" i="24"/>
  <c r="R284" i="24"/>
  <c r="R283" i="24"/>
  <c r="Y283" i="24" s="1"/>
  <c r="Y282" i="24"/>
  <c r="R282" i="24"/>
  <c r="R281" i="24"/>
  <c r="Y281" i="24" s="1"/>
  <c r="Y280" i="24"/>
  <c r="R280" i="24"/>
  <c r="Y279" i="24"/>
  <c r="R279" i="24"/>
  <c r="Y278" i="24"/>
  <c r="R278" i="24"/>
  <c r="R277" i="24"/>
  <c r="Y277" i="24" s="1"/>
  <c r="Y276" i="24"/>
  <c r="R276" i="24"/>
  <c r="R275" i="24"/>
  <c r="Y275" i="24" s="1"/>
  <c r="R274" i="24"/>
  <c r="Y274" i="24" s="1"/>
  <c r="R273" i="24"/>
  <c r="Y273" i="24" s="1"/>
  <c r="Y272" i="24"/>
  <c r="R272" i="24"/>
  <c r="Y271" i="24"/>
  <c r="R271" i="24"/>
  <c r="R270" i="24"/>
  <c r="Y270" i="24" s="1"/>
  <c r="R269" i="24"/>
  <c r="Y269" i="24" s="1"/>
  <c r="Y268" i="24"/>
  <c r="R268" i="24"/>
  <c r="R267" i="24"/>
  <c r="Y267" i="24" s="1"/>
  <c r="Y266" i="24"/>
  <c r="R266" i="24"/>
  <c r="R265" i="24"/>
  <c r="Y265" i="24" s="1"/>
  <c r="Y264" i="24"/>
  <c r="R264" i="24"/>
  <c r="Y263" i="24"/>
  <c r="R263" i="24"/>
  <c r="R262" i="24"/>
  <c r="Y262" i="24" s="1"/>
  <c r="R261" i="24"/>
  <c r="Y261" i="24" s="1"/>
  <c r="Y260" i="24"/>
  <c r="R260" i="24"/>
  <c r="R259" i="24"/>
  <c r="Y259" i="24" s="1"/>
  <c r="Y258" i="24"/>
  <c r="R258" i="24"/>
  <c r="R257" i="24"/>
  <c r="Y257" i="24" s="1"/>
  <c r="Y256" i="24"/>
  <c r="R256" i="24"/>
  <c r="Y255" i="24"/>
  <c r="R255" i="24"/>
  <c r="R254" i="24"/>
  <c r="Y254" i="24" s="1"/>
  <c r="R253" i="24"/>
  <c r="Y253" i="24" s="1"/>
  <c r="Y252" i="24"/>
  <c r="R252" i="24"/>
  <c r="R251" i="24"/>
  <c r="R250" i="24"/>
  <c r="Y250" i="24" s="1"/>
  <c r="Y249" i="24"/>
  <c r="R249" i="24"/>
  <c r="R248" i="24"/>
  <c r="Y248" i="24" s="1"/>
  <c r="R247" i="24"/>
  <c r="Y247" i="24" s="1"/>
  <c r="R246" i="24"/>
  <c r="Y246" i="24" s="1"/>
  <c r="R245" i="24"/>
  <c r="Y245" i="24" s="1"/>
  <c r="R244" i="24"/>
  <c r="Y244" i="24" s="1"/>
  <c r="R243" i="24"/>
  <c r="R242" i="24"/>
  <c r="Y242" i="24" s="1"/>
  <c r="R241" i="24"/>
  <c r="Y240" i="24"/>
  <c r="R240" i="24"/>
  <c r="R239" i="24"/>
  <c r="Y239" i="24" s="1"/>
  <c r="N239" i="24"/>
  <c r="R238" i="24"/>
  <c r="L237" i="24"/>
  <c r="R237" i="24" s="1"/>
  <c r="R236" i="24"/>
  <c r="R235" i="24"/>
  <c r="Y235" i="24" s="1"/>
  <c r="Y234" i="24"/>
  <c r="R234" i="24"/>
  <c r="R233" i="24"/>
  <c r="R232" i="24"/>
  <c r="Y232" i="24" s="1"/>
  <c r="Y231" i="24"/>
  <c r="R231" i="24"/>
  <c r="R230" i="24"/>
  <c r="Y230" i="24" s="1"/>
  <c r="Y229" i="24"/>
  <c r="S229" i="24"/>
  <c r="R229" i="24"/>
  <c r="R228" i="24"/>
  <c r="Y228" i="24" s="1"/>
  <c r="R227" i="24"/>
  <c r="Y227" i="24" s="1"/>
  <c r="R226" i="24"/>
  <c r="Y226" i="24" s="1"/>
  <c r="R225" i="24"/>
  <c r="Y225" i="24" s="1"/>
  <c r="Y224" i="24"/>
  <c r="R224" i="24"/>
  <c r="R223" i="24"/>
  <c r="Y223" i="24" s="1"/>
  <c r="R222" i="24"/>
  <c r="Y222" i="24" s="1"/>
  <c r="R221" i="24"/>
  <c r="Y221" i="24" s="1"/>
  <c r="R220" i="24"/>
  <c r="Y220" i="24" s="1"/>
  <c r="R219" i="24"/>
  <c r="Y219" i="24" s="1"/>
  <c r="R218" i="24"/>
  <c r="Y218" i="24" s="1"/>
  <c r="R217" i="24"/>
  <c r="Y217" i="24" s="1"/>
  <c r="Y216" i="24"/>
  <c r="R216" i="24"/>
  <c r="R215" i="24"/>
  <c r="Y215" i="24" s="1"/>
  <c r="R214" i="24"/>
  <c r="Y214" i="24" s="1"/>
  <c r="W213" i="24"/>
  <c r="Y213" i="24" s="1"/>
  <c r="R213" i="24"/>
  <c r="R212" i="24"/>
  <c r="Y212" i="24" s="1"/>
  <c r="Y211" i="24"/>
  <c r="R211" i="24"/>
  <c r="R210" i="24"/>
  <c r="Y210" i="24" s="1"/>
  <c r="Y209" i="24"/>
  <c r="R209" i="24"/>
  <c r="R208" i="24"/>
  <c r="Y208" i="24" s="1"/>
  <c r="R207" i="24"/>
  <c r="R206" i="24"/>
  <c r="Y205" i="24"/>
  <c r="R205" i="24"/>
  <c r="R204" i="24"/>
  <c r="Y204" i="24" s="1"/>
  <c r="R203" i="24"/>
  <c r="Y203" i="24" s="1"/>
  <c r="Y202" i="24"/>
  <c r="R202" i="24"/>
  <c r="R201" i="24"/>
  <c r="Y201" i="24" s="1"/>
  <c r="Y200" i="24"/>
  <c r="R200" i="24"/>
  <c r="R199" i="24"/>
  <c r="Y199" i="24" s="1"/>
  <c r="Y198" i="24"/>
  <c r="R198" i="24"/>
  <c r="Y197" i="24"/>
  <c r="R197" i="24"/>
  <c r="R196" i="24"/>
  <c r="Y196" i="24" s="1"/>
  <c r="R195" i="24"/>
  <c r="Y195" i="24" s="1"/>
  <c r="Y194" i="24"/>
  <c r="R194" i="24"/>
  <c r="R193" i="24"/>
  <c r="Y193" i="24" s="1"/>
  <c r="R192" i="24"/>
  <c r="Y192" i="24" s="1"/>
  <c r="R191" i="24"/>
  <c r="Y191" i="24" s="1"/>
  <c r="Y190" i="24"/>
  <c r="R190" i="24"/>
  <c r="Y189" i="24"/>
  <c r="R189" i="24"/>
  <c r="R188" i="24"/>
  <c r="Y188" i="24" s="1"/>
  <c r="R187" i="24"/>
  <c r="Y187" i="24" s="1"/>
  <c r="Y186" i="24"/>
  <c r="R186" i="24"/>
  <c r="R185" i="24"/>
  <c r="Y185" i="24" s="1"/>
  <c r="R184" i="24"/>
  <c r="Y184" i="24" s="1"/>
  <c r="R183" i="24"/>
  <c r="Y183" i="24" s="1"/>
  <c r="Y182" i="24"/>
  <c r="R182" i="24"/>
  <c r="Y181" i="24"/>
  <c r="R181" i="24"/>
  <c r="R180" i="24"/>
  <c r="R179" i="24"/>
  <c r="R178" i="24"/>
  <c r="Y178" i="24" s="1"/>
  <c r="Y177" i="24"/>
  <c r="R177" i="24"/>
  <c r="R176" i="24"/>
  <c r="R175" i="24"/>
  <c r="M174" i="24"/>
  <c r="R174" i="24" s="1"/>
  <c r="R173" i="24"/>
  <c r="Y173" i="24" s="1"/>
  <c r="Y172" i="24"/>
  <c r="R172" i="24"/>
  <c r="Y171" i="24"/>
  <c r="R171" i="24"/>
  <c r="R170" i="24"/>
  <c r="Y170" i="24" s="1"/>
  <c r="R169" i="24"/>
  <c r="Y169" i="24" s="1"/>
  <c r="Y168" i="24"/>
  <c r="R168" i="24"/>
  <c r="R167" i="24"/>
  <c r="Y167" i="24" s="1"/>
  <c r="R166" i="24"/>
  <c r="Y166" i="24" s="1"/>
  <c r="R165" i="24"/>
  <c r="Y165" i="24" s="1"/>
  <c r="R164" i="24"/>
  <c r="R163" i="24"/>
  <c r="Y163" i="24" s="1"/>
  <c r="Y162" i="24"/>
  <c r="R162" i="24"/>
  <c r="R161" i="24"/>
  <c r="Y161" i="24" s="1"/>
  <c r="R160" i="24"/>
  <c r="Y160" i="24" s="1"/>
  <c r="R159" i="24"/>
  <c r="Y159" i="24" s="1"/>
  <c r="R158" i="24"/>
  <c r="Y158" i="24" s="1"/>
  <c r="Y157" i="24"/>
  <c r="R157" i="24"/>
  <c r="R156" i="24"/>
  <c r="Y156" i="24" s="1"/>
  <c r="R155" i="24"/>
  <c r="Y155" i="24" s="1"/>
  <c r="R154" i="24"/>
  <c r="Y154" i="24" s="1"/>
  <c r="R153" i="24"/>
  <c r="Y153" i="24" s="1"/>
  <c r="R152" i="24"/>
  <c r="Y152" i="24" s="1"/>
  <c r="R151" i="24"/>
  <c r="Y151" i="24" s="1"/>
  <c r="R150" i="24"/>
  <c r="Y150" i="24" s="1"/>
  <c r="Y149" i="24"/>
  <c r="R149" i="24"/>
  <c r="R148" i="24"/>
  <c r="Y148" i="24" s="1"/>
  <c r="R147" i="24"/>
  <c r="Y147" i="24" s="1"/>
  <c r="R146" i="24"/>
  <c r="Y146" i="24" s="1"/>
  <c r="R145" i="24"/>
  <c r="Y145" i="24" s="1"/>
  <c r="R144" i="24"/>
  <c r="Y144" i="24" s="1"/>
  <c r="R143" i="24"/>
  <c r="Y143" i="24" s="1"/>
  <c r="R142" i="24"/>
  <c r="Y142" i="24" s="1"/>
  <c r="Y141" i="24"/>
  <c r="R141" i="24"/>
  <c r="R140" i="24"/>
  <c r="Y139" i="24"/>
  <c r="R139" i="24"/>
  <c r="Y138" i="24"/>
  <c r="R138" i="24"/>
  <c r="R137" i="24"/>
  <c r="Y137" i="24" s="1"/>
  <c r="R136" i="24"/>
  <c r="R135" i="24"/>
  <c r="Y135" i="24" s="1"/>
  <c r="R134" i="24"/>
  <c r="Y134" i="24" s="1"/>
  <c r="R133" i="24"/>
  <c r="Y133" i="24" s="1"/>
  <c r="Y132" i="24"/>
  <c r="R132" i="24"/>
  <c r="R131" i="24"/>
  <c r="Y131" i="24" s="1"/>
  <c r="R130" i="24"/>
  <c r="R129" i="24"/>
  <c r="R128" i="24"/>
  <c r="R127" i="24"/>
  <c r="R126" i="24"/>
  <c r="Y126" i="24" s="1"/>
  <c r="R125" i="24"/>
  <c r="Y125" i="24" s="1"/>
  <c r="R124" i="24"/>
  <c r="Y124" i="24" s="1"/>
  <c r="R123" i="24"/>
  <c r="Y123" i="24" s="1"/>
  <c r="Y122" i="24"/>
  <c r="R122" i="24"/>
  <c r="W121" i="24"/>
  <c r="Y121" i="24" s="1"/>
  <c r="R121" i="24"/>
  <c r="Y120" i="24"/>
  <c r="R120" i="24"/>
  <c r="R119" i="24"/>
  <c r="Y119" i="24" s="1"/>
  <c r="R118" i="24"/>
  <c r="Y118" i="24" s="1"/>
  <c r="Y117" i="24"/>
  <c r="R117" i="24"/>
  <c r="W116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L104" i="24"/>
  <c r="R104" i="24" s="1"/>
  <c r="S104" i="24" s="1"/>
  <c r="Y103" i="24"/>
  <c r="R103" i="24"/>
  <c r="R102" i="24"/>
  <c r="Y102" i="24" s="1"/>
  <c r="R101" i="24"/>
  <c r="Y101" i="24" s="1"/>
  <c r="Y100" i="24"/>
  <c r="R100" i="24"/>
  <c r="Y99" i="24"/>
  <c r="R99" i="24"/>
  <c r="R98" i="24"/>
  <c r="Y98" i="24" s="1"/>
  <c r="R97" i="24"/>
  <c r="Y97" i="24" s="1"/>
  <c r="Y96" i="24"/>
  <c r="R96" i="24"/>
  <c r="Y95" i="24"/>
  <c r="R95" i="24"/>
  <c r="R94" i="24"/>
  <c r="Y94" i="24" s="1"/>
  <c r="R93" i="24"/>
  <c r="Y93" i="24" s="1"/>
  <c r="Y92" i="24"/>
  <c r="R92" i="24"/>
  <c r="Y91" i="24"/>
  <c r="R91" i="24"/>
  <c r="R90" i="24"/>
  <c r="Y90" i="24" s="1"/>
  <c r="R89" i="24"/>
  <c r="Y89" i="24" s="1"/>
  <c r="Y88" i="24"/>
  <c r="R88" i="24"/>
  <c r="Y87" i="24"/>
  <c r="R87" i="24"/>
  <c r="R86" i="24"/>
  <c r="Y86" i="24" s="1"/>
  <c r="R85" i="24"/>
  <c r="Y85" i="24" s="1"/>
  <c r="Y84" i="24"/>
  <c r="R84" i="24"/>
  <c r="Y83" i="24"/>
  <c r="R83" i="24"/>
  <c r="R82" i="24"/>
  <c r="Y82" i="24" s="1"/>
  <c r="R81" i="24"/>
  <c r="Y81" i="24" s="1"/>
  <c r="Y80" i="24"/>
  <c r="R80" i="24"/>
  <c r="Y79" i="24"/>
  <c r="R79" i="24"/>
  <c r="R78" i="24"/>
  <c r="Y78" i="24" s="1"/>
  <c r="R77" i="24"/>
  <c r="Y77" i="24" s="1"/>
  <c r="R76" i="24"/>
  <c r="Y76" i="24" s="1"/>
  <c r="R75" i="24"/>
  <c r="Y75" i="24" s="1"/>
  <c r="R74" i="24"/>
  <c r="Y74" i="24" s="1"/>
  <c r="R73" i="24"/>
  <c r="Y73" i="24" s="1"/>
  <c r="Y72" i="24"/>
  <c r="R72" i="24"/>
  <c r="Y71" i="24"/>
  <c r="R71" i="24"/>
  <c r="R70" i="24"/>
  <c r="Y70" i="24" s="1"/>
  <c r="R69" i="24"/>
  <c r="Y69" i="24" s="1"/>
  <c r="R68" i="24"/>
  <c r="Y68" i="24" s="1"/>
  <c r="R67" i="24"/>
  <c r="Y67" i="24" s="1"/>
  <c r="R66" i="24"/>
  <c r="Y66" i="24" s="1"/>
  <c r="R65" i="24"/>
  <c r="Y65" i="24" s="1"/>
  <c r="Y64" i="24"/>
  <c r="R64" i="24"/>
  <c r="Y63" i="24"/>
  <c r="R63" i="24"/>
  <c r="R62" i="24"/>
  <c r="Y62" i="24" s="1"/>
  <c r="R61" i="24"/>
  <c r="Y61" i="24" s="1"/>
  <c r="R60" i="24"/>
  <c r="Y60" i="24" s="1"/>
  <c r="R59" i="24"/>
  <c r="Y59" i="24" s="1"/>
  <c r="R58" i="24"/>
  <c r="Y57" i="24"/>
  <c r="R57" i="24"/>
  <c r="R56" i="24"/>
  <c r="Y56" i="24" s="1"/>
  <c r="Y55" i="24"/>
  <c r="R55" i="24"/>
  <c r="R54" i="24"/>
  <c r="Y54" i="24" s="1"/>
  <c r="W53" i="24"/>
  <c r="R53" i="24"/>
  <c r="Y53" i="24" s="1"/>
  <c r="J53" i="24"/>
  <c r="R52" i="24"/>
  <c r="Y52" i="24" s="1"/>
  <c r="R51" i="24"/>
  <c r="Y51" i="24" s="1"/>
  <c r="Y50" i="24"/>
  <c r="R50" i="24"/>
  <c r="R49" i="24"/>
  <c r="Y49" i="24" s="1"/>
  <c r="W48" i="24"/>
  <c r="Y48" i="24" s="1"/>
  <c r="R48" i="24"/>
  <c r="R47" i="24"/>
  <c r="Y47" i="24" s="1"/>
  <c r="R46" i="24"/>
  <c r="Y46" i="24" s="1"/>
  <c r="R45" i="24"/>
  <c r="Y45" i="24" s="1"/>
  <c r="R44" i="24"/>
  <c r="Y44" i="24" s="1"/>
  <c r="W43" i="24"/>
  <c r="R43" i="24"/>
  <c r="Y42" i="24"/>
  <c r="R42" i="24"/>
  <c r="R41" i="24"/>
  <c r="Y41" i="24" s="1"/>
  <c r="Y40" i="24"/>
  <c r="R40" i="24"/>
  <c r="Y39" i="24"/>
  <c r="R39" i="24"/>
  <c r="R38" i="24"/>
  <c r="Y38" i="24" s="1"/>
  <c r="O37" i="24"/>
  <c r="N37" i="24"/>
  <c r="R37" i="24" s="1"/>
  <c r="R36" i="24"/>
  <c r="Y36" i="24" s="1"/>
  <c r="Y35" i="24"/>
  <c r="R35" i="24"/>
  <c r="R34" i="24"/>
  <c r="Y34" i="24" s="1"/>
  <c r="R33" i="24"/>
  <c r="Y33" i="24" s="1"/>
  <c r="R32" i="24"/>
  <c r="Y32" i="24" s="1"/>
  <c r="R31" i="24"/>
  <c r="Y31" i="24" s="1"/>
  <c r="R30" i="24"/>
  <c r="Y29" i="24"/>
  <c r="R29" i="24"/>
  <c r="R28" i="24"/>
  <c r="Y28" i="24" s="1"/>
  <c r="Y27" i="24"/>
  <c r="R27" i="24"/>
  <c r="R26" i="24"/>
  <c r="Y26" i="24" s="1"/>
  <c r="Y25" i="24"/>
  <c r="R25" i="24"/>
  <c r="Y24" i="24"/>
  <c r="R24" i="24"/>
  <c r="R23" i="24"/>
  <c r="Y23" i="24" s="1"/>
  <c r="R22" i="24"/>
  <c r="Y22" i="24" s="1"/>
  <c r="Y21" i="24"/>
  <c r="R21" i="24"/>
  <c r="R20" i="24"/>
  <c r="Y20" i="24" s="1"/>
  <c r="Y19" i="24"/>
  <c r="R12" i="24"/>
  <c r="A5" i="24"/>
  <c r="D520" i="23"/>
  <c r="D519" i="23"/>
  <c r="D518" i="23"/>
  <c r="D517" i="23"/>
  <c r="D516" i="23"/>
  <c r="D515" i="23"/>
  <c r="D514" i="23"/>
  <c r="D513" i="23"/>
  <c r="D512" i="23"/>
  <c r="D511" i="23"/>
  <c r="D510" i="23"/>
  <c r="D509" i="23"/>
  <c r="D508" i="23"/>
  <c r="D507" i="23"/>
  <c r="D506" i="23"/>
  <c r="D505" i="23"/>
  <c r="D504" i="23"/>
  <c r="D503" i="23"/>
  <c r="D502" i="23"/>
  <c r="D501" i="23"/>
  <c r="D500" i="23"/>
  <c r="D499" i="23"/>
  <c r="D498" i="23"/>
  <c r="D497" i="23"/>
  <c r="D496" i="23"/>
  <c r="D495" i="23"/>
  <c r="D494" i="23"/>
  <c r="D493" i="23"/>
  <c r="D492" i="23"/>
  <c r="D491" i="23"/>
  <c r="D490" i="23"/>
  <c r="D489" i="23"/>
  <c r="D488" i="23"/>
  <c r="D487" i="23"/>
  <c r="D486" i="23"/>
  <c r="D485" i="23"/>
  <c r="D484" i="23"/>
  <c r="D483" i="23"/>
  <c r="D482" i="23"/>
  <c r="D481" i="23"/>
  <c r="D480" i="23"/>
  <c r="D479" i="23"/>
  <c r="D478" i="23"/>
  <c r="D477" i="23"/>
  <c r="D476" i="23"/>
  <c r="D475" i="23"/>
  <c r="D474" i="23"/>
  <c r="D473" i="23"/>
  <c r="D472" i="23"/>
  <c r="D471" i="23"/>
  <c r="D470" i="23"/>
  <c r="D469" i="23"/>
  <c r="D468" i="23"/>
  <c r="D467" i="23"/>
  <c r="D466" i="23"/>
  <c r="D465" i="23"/>
  <c r="D464" i="23"/>
  <c r="D463" i="23"/>
  <c r="D462" i="23"/>
  <c r="D461" i="23"/>
  <c r="D460" i="23"/>
  <c r="D459" i="23"/>
  <c r="D458" i="23"/>
  <c r="R447" i="23"/>
  <c r="Y447" i="23" s="1"/>
  <c r="R446" i="23"/>
  <c r="Y446" i="23" s="1"/>
  <c r="R445" i="23"/>
  <c r="Y445" i="23" s="1"/>
  <c r="Y444" i="23"/>
  <c r="R444" i="23"/>
  <c r="R443" i="23"/>
  <c r="Y443" i="23" s="1"/>
  <c r="R442" i="23"/>
  <c r="Y442" i="23" s="1"/>
  <c r="R441" i="23"/>
  <c r="Y441" i="23" s="1"/>
  <c r="Y440" i="23"/>
  <c r="R440" i="23"/>
  <c r="R439" i="23"/>
  <c r="Y439" i="23" s="1"/>
  <c r="R438" i="23"/>
  <c r="Y438" i="23" s="1"/>
  <c r="R437" i="23"/>
  <c r="Y437" i="23" s="1"/>
  <c r="Y436" i="23"/>
  <c r="R436" i="23"/>
  <c r="R435" i="23"/>
  <c r="Y435" i="23" s="1"/>
  <c r="R434" i="23"/>
  <c r="Y434" i="23" s="1"/>
  <c r="R433" i="23"/>
  <c r="Y433" i="23" s="1"/>
  <c r="Y432" i="23"/>
  <c r="R432" i="23"/>
  <c r="R431" i="23"/>
  <c r="Y431" i="23" s="1"/>
  <c r="R430" i="23"/>
  <c r="Y430" i="23" s="1"/>
  <c r="R429" i="23"/>
  <c r="Y429" i="23" s="1"/>
  <c r="Y428" i="23"/>
  <c r="R428" i="23"/>
  <c r="R427" i="23"/>
  <c r="Y427" i="23" s="1"/>
  <c r="R426" i="23"/>
  <c r="Y426" i="23" s="1"/>
  <c r="R425" i="23"/>
  <c r="Y425" i="23" s="1"/>
  <c r="Y424" i="23"/>
  <c r="R424" i="23"/>
  <c r="R423" i="23"/>
  <c r="Y423" i="23" s="1"/>
  <c r="R422" i="23"/>
  <c r="Y422" i="23" s="1"/>
  <c r="R421" i="23"/>
  <c r="Y421" i="23" s="1"/>
  <c r="Y420" i="23"/>
  <c r="R420" i="23"/>
  <c r="R419" i="23"/>
  <c r="Y419" i="23" s="1"/>
  <c r="R418" i="23"/>
  <c r="Y418" i="23" s="1"/>
  <c r="Y417" i="23"/>
  <c r="R417" i="23"/>
  <c r="Y416" i="23"/>
  <c r="R416" i="23"/>
  <c r="R415" i="23"/>
  <c r="Y415" i="23" s="1"/>
  <c r="R414" i="23"/>
  <c r="Y414" i="23" s="1"/>
  <c r="R413" i="23"/>
  <c r="Y413" i="23" s="1"/>
  <c r="Y412" i="23"/>
  <c r="R412" i="23"/>
  <c r="R411" i="23"/>
  <c r="Y411" i="23" s="1"/>
  <c r="R410" i="23"/>
  <c r="Y410" i="23" s="1"/>
  <c r="R409" i="23"/>
  <c r="Y409" i="23" s="1"/>
  <c r="Y408" i="23"/>
  <c r="R408" i="23"/>
  <c r="R407" i="23"/>
  <c r="Y407" i="23" s="1"/>
  <c r="R406" i="23"/>
  <c r="Y406" i="23" s="1"/>
  <c r="R405" i="23"/>
  <c r="Y405" i="23" s="1"/>
  <c r="Y404" i="23"/>
  <c r="R404" i="23"/>
  <c r="R403" i="23"/>
  <c r="Y403" i="23" s="1"/>
  <c r="R402" i="23"/>
  <c r="Y402" i="23" s="1"/>
  <c r="R401" i="23"/>
  <c r="Y401" i="23" s="1"/>
  <c r="Y400" i="23"/>
  <c r="R400" i="23"/>
  <c r="R399" i="23"/>
  <c r="Y399" i="23" s="1"/>
  <c r="R398" i="23"/>
  <c r="Y398" i="23" s="1"/>
  <c r="R397" i="23"/>
  <c r="Y397" i="23" s="1"/>
  <c r="Y396" i="23"/>
  <c r="R396" i="23"/>
  <c r="R395" i="23"/>
  <c r="Y395" i="23" s="1"/>
  <c r="R394" i="23"/>
  <c r="Y394" i="23" s="1"/>
  <c r="R393" i="23"/>
  <c r="Y393" i="23" s="1"/>
  <c r="Y392" i="23"/>
  <c r="R392" i="23"/>
  <c r="R391" i="23"/>
  <c r="Y391" i="23" s="1"/>
  <c r="R390" i="23"/>
  <c r="Y390" i="23" s="1"/>
  <c r="R389" i="23"/>
  <c r="Y389" i="23" s="1"/>
  <c r="Y388" i="23"/>
  <c r="R388" i="23"/>
  <c r="R387" i="23"/>
  <c r="Y387" i="23" s="1"/>
  <c r="R386" i="23"/>
  <c r="Y386" i="23" s="1"/>
  <c r="R385" i="23"/>
  <c r="Y385" i="23" s="1"/>
  <c r="Y384" i="23"/>
  <c r="R384" i="23"/>
  <c r="R383" i="23"/>
  <c r="Y383" i="23" s="1"/>
  <c r="R382" i="23"/>
  <c r="Y382" i="23" s="1"/>
  <c r="R381" i="23"/>
  <c r="Y381" i="23" s="1"/>
  <c r="R380" i="23"/>
  <c r="Y380" i="23" s="1"/>
  <c r="R379" i="23"/>
  <c r="Y379" i="23" s="1"/>
  <c r="R378" i="23"/>
  <c r="Y378" i="23" s="1"/>
  <c r="R377" i="23"/>
  <c r="Y377" i="23" s="1"/>
  <c r="Y376" i="23"/>
  <c r="R376" i="23"/>
  <c r="R375" i="23"/>
  <c r="Y375" i="23" s="1"/>
  <c r="R374" i="23"/>
  <c r="Y374" i="23" s="1"/>
  <c r="R373" i="23"/>
  <c r="Y373" i="23" s="1"/>
  <c r="Y372" i="23"/>
  <c r="R372" i="23"/>
  <c r="R371" i="23"/>
  <c r="R370" i="23"/>
  <c r="R369" i="23"/>
  <c r="Y369" i="23" s="1"/>
  <c r="R368" i="23"/>
  <c r="Y368" i="23" s="1"/>
  <c r="Y367" i="23"/>
  <c r="R367" i="23"/>
  <c r="R366" i="23"/>
  <c r="Y366" i="23" s="1"/>
  <c r="R365" i="23"/>
  <c r="Y365" i="23" s="1"/>
  <c r="R364" i="23"/>
  <c r="Y364" i="23" s="1"/>
  <c r="Y363" i="23"/>
  <c r="R363" i="23"/>
  <c r="R362" i="23"/>
  <c r="Y362" i="23" s="1"/>
  <c r="R361" i="23"/>
  <c r="Y361" i="23" s="1"/>
  <c r="Y360" i="23"/>
  <c r="R360" i="23"/>
  <c r="Y359" i="23"/>
  <c r="R359" i="23"/>
  <c r="R358" i="23"/>
  <c r="Y358" i="23" s="1"/>
  <c r="R357" i="23"/>
  <c r="Y357" i="23" s="1"/>
  <c r="R356" i="23"/>
  <c r="Y356" i="23" s="1"/>
  <c r="Y355" i="23"/>
  <c r="R355" i="23"/>
  <c r="R354" i="23"/>
  <c r="Y354" i="23" s="1"/>
  <c r="R353" i="23"/>
  <c r="Y353" i="23" s="1"/>
  <c r="Y352" i="23"/>
  <c r="R352" i="23"/>
  <c r="Y351" i="23"/>
  <c r="R351" i="23"/>
  <c r="R350" i="23"/>
  <c r="Y350" i="23" s="1"/>
  <c r="R349" i="23"/>
  <c r="Y349" i="23" s="1"/>
  <c r="R348" i="23"/>
  <c r="Y348" i="23" s="1"/>
  <c r="Y347" i="23"/>
  <c r="R347" i="23"/>
  <c r="R346" i="23"/>
  <c r="Y346" i="23" s="1"/>
  <c r="R345" i="23"/>
  <c r="Y345" i="23" s="1"/>
  <c r="R344" i="23"/>
  <c r="Y344" i="23" s="1"/>
  <c r="Y343" i="23"/>
  <c r="R343" i="23"/>
  <c r="R342" i="23"/>
  <c r="Y342" i="23" s="1"/>
  <c r="R341" i="23"/>
  <c r="Y341" i="23" s="1"/>
  <c r="R340" i="23"/>
  <c r="Y340" i="23" s="1"/>
  <c r="Y339" i="23"/>
  <c r="R339" i="23"/>
  <c r="R338" i="23"/>
  <c r="Y338" i="23" s="1"/>
  <c r="R337" i="23"/>
  <c r="Y337" i="23" s="1"/>
  <c r="R336" i="23"/>
  <c r="Y336" i="23" s="1"/>
  <c r="Y335" i="23"/>
  <c r="R335" i="23"/>
  <c r="R334" i="23"/>
  <c r="Y334" i="23" s="1"/>
  <c r="R333" i="23"/>
  <c r="Y333" i="23" s="1"/>
  <c r="R332" i="23"/>
  <c r="Y332" i="23" s="1"/>
  <c r="Y331" i="23"/>
  <c r="R331" i="23"/>
  <c r="R330" i="23"/>
  <c r="Y330" i="23" s="1"/>
  <c r="R329" i="23"/>
  <c r="Y329" i="23" s="1"/>
  <c r="Y328" i="23"/>
  <c r="R328" i="23"/>
  <c r="Y327" i="23"/>
  <c r="R327" i="23"/>
  <c r="R326" i="23"/>
  <c r="Y326" i="23" s="1"/>
  <c r="R325" i="23"/>
  <c r="Y325" i="23" s="1"/>
  <c r="R324" i="23"/>
  <c r="Y324" i="23" s="1"/>
  <c r="R323" i="23"/>
  <c r="Y323" i="23" s="1"/>
  <c r="R322" i="23"/>
  <c r="Y322" i="23" s="1"/>
  <c r="R321" i="23"/>
  <c r="Y321" i="23" s="1"/>
  <c r="R320" i="23"/>
  <c r="Y320" i="23" s="1"/>
  <c r="Y319" i="23"/>
  <c r="R319" i="23"/>
  <c r="R318" i="23"/>
  <c r="Y318" i="23" s="1"/>
  <c r="R317" i="23"/>
  <c r="Y317" i="23" s="1"/>
  <c r="R316" i="23"/>
  <c r="Y316" i="23" s="1"/>
  <c r="R315" i="23"/>
  <c r="Y315" i="23" s="1"/>
  <c r="R314" i="23"/>
  <c r="Y314" i="23" s="1"/>
  <c r="R313" i="23"/>
  <c r="Y313" i="23" s="1"/>
  <c r="Y312" i="23"/>
  <c r="R312" i="23"/>
  <c r="Y311" i="23"/>
  <c r="R311" i="23"/>
  <c r="R310" i="23"/>
  <c r="Y310" i="23" s="1"/>
  <c r="R309" i="23"/>
  <c r="Y309" i="23" s="1"/>
  <c r="Y308" i="23"/>
  <c r="R308" i="23"/>
  <c r="R307" i="23"/>
  <c r="Y307" i="23" s="1"/>
  <c r="R306" i="23"/>
  <c r="Y306" i="23" s="1"/>
  <c r="R305" i="23"/>
  <c r="Y305" i="23" s="1"/>
  <c r="Y304" i="23"/>
  <c r="R304" i="23"/>
  <c r="Y303" i="23"/>
  <c r="R303" i="23"/>
  <c r="R302" i="23"/>
  <c r="Y302" i="23" s="1"/>
  <c r="R301" i="23"/>
  <c r="Y301" i="23" s="1"/>
  <c r="R300" i="23"/>
  <c r="Y300" i="23" s="1"/>
  <c r="R299" i="23"/>
  <c r="Y299" i="23" s="1"/>
  <c r="R298" i="23"/>
  <c r="Y298" i="23" s="1"/>
  <c r="R297" i="23"/>
  <c r="Y297" i="23" s="1"/>
  <c r="R296" i="23"/>
  <c r="Y296" i="23" s="1"/>
  <c r="Y295" i="23"/>
  <c r="R295" i="23"/>
  <c r="R294" i="23"/>
  <c r="Y294" i="23" s="1"/>
  <c r="R293" i="23"/>
  <c r="Y293" i="23" s="1"/>
  <c r="R292" i="23"/>
  <c r="Y292" i="23" s="1"/>
  <c r="R291" i="23"/>
  <c r="Y291" i="23" s="1"/>
  <c r="R290" i="23"/>
  <c r="Y290" i="23" s="1"/>
  <c r="R289" i="23"/>
  <c r="Y289" i="23" s="1"/>
  <c r="R288" i="23"/>
  <c r="Y288" i="23" s="1"/>
  <c r="R287" i="23"/>
  <c r="R286" i="23"/>
  <c r="R285" i="23"/>
  <c r="R284" i="23"/>
  <c r="W283" i="23"/>
  <c r="Y283" i="23" s="1"/>
  <c r="R283" i="23"/>
  <c r="R282" i="23"/>
  <c r="Y282" i="23" s="1"/>
  <c r="R281" i="23"/>
  <c r="Y281" i="23" s="1"/>
  <c r="Y280" i="23"/>
  <c r="R280" i="23"/>
  <c r="R279" i="23"/>
  <c r="Y279" i="23" s="1"/>
  <c r="Y278" i="23"/>
  <c r="R278" i="23"/>
  <c r="Y277" i="23"/>
  <c r="R277" i="23"/>
  <c r="Y276" i="23"/>
  <c r="R276" i="23"/>
  <c r="Y275" i="23"/>
  <c r="R275" i="23"/>
  <c r="R274" i="23"/>
  <c r="Y274" i="23" s="1"/>
  <c r="R273" i="23"/>
  <c r="Y273" i="23" s="1"/>
  <c r="Y272" i="23"/>
  <c r="R272" i="23"/>
  <c r="R271" i="23"/>
  <c r="Y271" i="23" s="1"/>
  <c r="R270" i="23"/>
  <c r="Y270" i="23" s="1"/>
  <c r="Y269" i="23"/>
  <c r="R269" i="23"/>
  <c r="Y268" i="23"/>
  <c r="R268" i="23"/>
  <c r="Y267" i="23"/>
  <c r="R267" i="23"/>
  <c r="R266" i="23"/>
  <c r="Y266" i="23" s="1"/>
  <c r="R265" i="23"/>
  <c r="Y265" i="23" s="1"/>
  <c r="Y264" i="23"/>
  <c r="R264" i="23"/>
  <c r="R263" i="23"/>
  <c r="Y263" i="23" s="1"/>
  <c r="Y262" i="23"/>
  <c r="R262" i="23"/>
  <c r="Y261" i="23"/>
  <c r="R261" i="23"/>
  <c r="Y260" i="23"/>
  <c r="R260" i="23"/>
  <c r="Y259" i="23"/>
  <c r="R259" i="23"/>
  <c r="R258" i="23"/>
  <c r="Y258" i="23" s="1"/>
  <c r="R257" i="23"/>
  <c r="Y257" i="23" s="1"/>
  <c r="Y256" i="23"/>
  <c r="R256" i="23"/>
  <c r="R255" i="23"/>
  <c r="Y255" i="23" s="1"/>
  <c r="Y254" i="23"/>
  <c r="R254" i="23"/>
  <c r="Y253" i="23"/>
  <c r="R253" i="23"/>
  <c r="Y252" i="23"/>
  <c r="R252" i="23"/>
  <c r="Y251" i="23"/>
  <c r="R251" i="23"/>
  <c r="R250" i="23"/>
  <c r="Y250" i="23" s="1"/>
  <c r="R249" i="23"/>
  <c r="Y249" i="23" s="1"/>
  <c r="Y248" i="23"/>
  <c r="R248" i="23"/>
  <c r="R247" i="23"/>
  <c r="Y247" i="23" s="1"/>
  <c r="Y246" i="23"/>
  <c r="R246" i="23"/>
  <c r="Y245" i="23"/>
  <c r="R245" i="23"/>
  <c r="Y244" i="23"/>
  <c r="R244" i="23"/>
  <c r="R243" i="23"/>
  <c r="R242" i="23"/>
  <c r="Y242" i="23" s="1"/>
  <c r="R241" i="23"/>
  <c r="Y241" i="23" s="1"/>
  <c r="R240" i="23"/>
  <c r="Y240" i="23" s="1"/>
  <c r="R239" i="23"/>
  <c r="Y239" i="23" s="1"/>
  <c r="Y238" i="23"/>
  <c r="R238" i="23"/>
  <c r="Y237" i="23"/>
  <c r="R237" i="23"/>
  <c r="R236" i="23"/>
  <c r="Y235" i="23"/>
  <c r="R235" i="23"/>
  <c r="Y234" i="23"/>
  <c r="R234" i="23"/>
  <c r="R233" i="23"/>
  <c r="Y233" i="23" s="1"/>
  <c r="R232" i="23"/>
  <c r="Y232" i="23" s="1"/>
  <c r="Y231" i="23"/>
  <c r="R231" i="23"/>
  <c r="R230" i="23"/>
  <c r="Y230" i="23" s="1"/>
  <c r="Y229" i="23"/>
  <c r="S229" i="23"/>
  <c r="R229" i="23"/>
  <c r="R228" i="23"/>
  <c r="Y228" i="23" s="1"/>
  <c r="R227" i="23"/>
  <c r="Y227" i="23" s="1"/>
  <c r="R226" i="23"/>
  <c r="Y226" i="23" s="1"/>
  <c r="R225" i="23"/>
  <c r="Y225" i="23" s="1"/>
  <c r="Y224" i="23"/>
  <c r="R224" i="23"/>
  <c r="R223" i="23"/>
  <c r="Y223" i="23" s="1"/>
  <c r="Y222" i="23"/>
  <c r="R222" i="23"/>
  <c r="Y221" i="23"/>
  <c r="R221" i="23"/>
  <c r="Y220" i="23"/>
  <c r="R220" i="23"/>
  <c r="Y219" i="23"/>
  <c r="R219" i="23"/>
  <c r="R218" i="23"/>
  <c r="Y218" i="23" s="1"/>
  <c r="R217" i="23"/>
  <c r="Y217" i="23" s="1"/>
  <c r="Y216" i="23"/>
  <c r="R216" i="23"/>
  <c r="R215" i="23"/>
  <c r="Y215" i="23" s="1"/>
  <c r="Y214" i="23"/>
  <c r="R214" i="23"/>
  <c r="Y213" i="23"/>
  <c r="R213" i="23"/>
  <c r="Y212" i="23"/>
  <c r="R212" i="23"/>
  <c r="Y211" i="23"/>
  <c r="R211" i="23"/>
  <c r="R210" i="23"/>
  <c r="Y210" i="23" s="1"/>
  <c r="R209" i="23"/>
  <c r="Y209" i="23" s="1"/>
  <c r="Y208" i="23"/>
  <c r="R208" i="23"/>
  <c r="R207" i="23"/>
  <c r="Y206" i="23"/>
  <c r="R206" i="23"/>
  <c r="Y205" i="23"/>
  <c r="R205" i="23"/>
  <c r="R204" i="23"/>
  <c r="Y204" i="23" s="1"/>
  <c r="R203" i="23"/>
  <c r="Y203" i="23" s="1"/>
  <c r="R202" i="23"/>
  <c r="Y202" i="23" s="1"/>
  <c r="R201" i="23"/>
  <c r="Y201" i="23" s="1"/>
  <c r="R200" i="23"/>
  <c r="Y200" i="23" s="1"/>
  <c r="R199" i="23"/>
  <c r="Y199" i="23" s="1"/>
  <c r="Y198" i="23"/>
  <c r="R198" i="23"/>
  <c r="Y197" i="23"/>
  <c r="R197" i="23"/>
  <c r="R196" i="23"/>
  <c r="Y196" i="23" s="1"/>
  <c r="R195" i="23"/>
  <c r="Y195" i="23" s="1"/>
  <c r="R194" i="23"/>
  <c r="Y194" i="23" s="1"/>
  <c r="R193" i="23"/>
  <c r="Y193" i="23" s="1"/>
  <c r="R192" i="23"/>
  <c r="Y192" i="23" s="1"/>
  <c r="R191" i="23"/>
  <c r="Y191" i="23" s="1"/>
  <c r="R190" i="23"/>
  <c r="Y190" i="23" s="1"/>
  <c r="Y189" i="23"/>
  <c r="R189" i="23"/>
  <c r="R188" i="23"/>
  <c r="Y188" i="23" s="1"/>
  <c r="R187" i="23"/>
  <c r="Y187" i="23" s="1"/>
  <c r="R186" i="23"/>
  <c r="Y186" i="23" s="1"/>
  <c r="R185" i="23"/>
  <c r="Y185" i="23" s="1"/>
  <c r="R184" i="23"/>
  <c r="Y184" i="23" s="1"/>
  <c r="R183" i="23"/>
  <c r="Y183" i="23" s="1"/>
  <c r="Y182" i="23"/>
  <c r="R182" i="23"/>
  <c r="Y181" i="23"/>
  <c r="R181" i="23"/>
  <c r="R180" i="23"/>
  <c r="R179" i="23"/>
  <c r="R178" i="23"/>
  <c r="Y178" i="23" s="1"/>
  <c r="R177" i="23"/>
  <c r="Y177" i="23" s="1"/>
  <c r="R176" i="23"/>
  <c r="R175" i="23"/>
  <c r="R174" i="23"/>
  <c r="Y173" i="23"/>
  <c r="R173" i="23"/>
  <c r="R172" i="23"/>
  <c r="Y172" i="23" s="1"/>
  <c r="R171" i="23"/>
  <c r="Y171" i="23" s="1"/>
  <c r="Y170" i="23"/>
  <c r="R170" i="23"/>
  <c r="Y169" i="23"/>
  <c r="R169" i="23"/>
  <c r="Y168" i="23"/>
  <c r="R168" i="23"/>
  <c r="R167" i="23"/>
  <c r="Y167" i="23" s="1"/>
  <c r="R166" i="23"/>
  <c r="Y166" i="23" s="1"/>
  <c r="Y165" i="23"/>
  <c r="R165" i="23"/>
  <c r="R164" i="23"/>
  <c r="Y164" i="23" s="1"/>
  <c r="R163" i="23"/>
  <c r="Y163" i="23" s="1"/>
  <c r="Y162" i="23"/>
  <c r="R162" i="23"/>
  <c r="Y161" i="23"/>
  <c r="R161" i="23"/>
  <c r="Y160" i="23"/>
  <c r="R160" i="23"/>
  <c r="R159" i="23"/>
  <c r="Y159" i="23" s="1"/>
  <c r="R158" i="23"/>
  <c r="Y158" i="23" s="1"/>
  <c r="Y157" i="23"/>
  <c r="R157" i="23"/>
  <c r="R156" i="23"/>
  <c r="Y156" i="23" s="1"/>
  <c r="Y155" i="23"/>
  <c r="R155" i="23"/>
  <c r="Y154" i="23"/>
  <c r="R154" i="23"/>
  <c r="Y153" i="23"/>
  <c r="R153" i="23"/>
  <c r="Y152" i="23"/>
  <c r="R152" i="23"/>
  <c r="R151" i="23"/>
  <c r="Y151" i="23" s="1"/>
  <c r="R150" i="23"/>
  <c r="Y150" i="23" s="1"/>
  <c r="Y149" i="23"/>
  <c r="R149" i="23"/>
  <c r="R148" i="23"/>
  <c r="Y148" i="23" s="1"/>
  <c r="R147" i="23"/>
  <c r="Y147" i="23" s="1"/>
  <c r="Y146" i="23"/>
  <c r="R146" i="23"/>
  <c r="Y145" i="23"/>
  <c r="R145" i="23"/>
  <c r="Y144" i="23"/>
  <c r="R144" i="23"/>
  <c r="R143" i="23"/>
  <c r="Y143" i="23" s="1"/>
  <c r="R142" i="23"/>
  <c r="Y142" i="23" s="1"/>
  <c r="Y141" i="23"/>
  <c r="R141" i="23"/>
  <c r="R140" i="23"/>
  <c r="Y140" i="23" s="1"/>
  <c r="R139" i="23"/>
  <c r="Y139" i="23" s="1"/>
  <c r="Y138" i="23"/>
  <c r="R138" i="23"/>
  <c r="Y137" i="23"/>
  <c r="R137" i="23"/>
  <c r="Y136" i="23"/>
  <c r="R136" i="23"/>
  <c r="R135" i="23"/>
  <c r="Y135" i="23" s="1"/>
  <c r="R134" i="23"/>
  <c r="Y134" i="23" s="1"/>
  <c r="Y133" i="23"/>
  <c r="R133" i="23"/>
  <c r="R132" i="23"/>
  <c r="Y132" i="23" s="1"/>
  <c r="R131" i="23"/>
  <c r="Y131" i="23" s="1"/>
  <c r="R130" i="23"/>
  <c r="R129" i="23"/>
  <c r="R128" i="23"/>
  <c r="R127" i="23"/>
  <c r="K126" i="23"/>
  <c r="R126" i="23" s="1"/>
  <c r="Y126" i="23" s="1"/>
  <c r="R125" i="23"/>
  <c r="Y125" i="23" s="1"/>
  <c r="R124" i="23"/>
  <c r="Y124" i="23" s="1"/>
  <c r="R123" i="23"/>
  <c r="Y123" i="23" s="1"/>
  <c r="R122" i="23"/>
  <c r="Y122" i="23" s="1"/>
  <c r="Y121" i="23"/>
  <c r="R121" i="23"/>
  <c r="R120" i="23"/>
  <c r="Y120" i="23" s="1"/>
  <c r="R119" i="23"/>
  <c r="Y119" i="23" s="1"/>
  <c r="R118" i="23"/>
  <c r="Y118" i="23" s="1"/>
  <c r="R117" i="23"/>
  <c r="Y117" i="23" s="1"/>
  <c r="R116" i="23"/>
  <c r="Y116" i="23" s="1"/>
  <c r="R115" i="23"/>
  <c r="Y115" i="23" s="1"/>
  <c r="R114" i="23"/>
  <c r="R113" i="23"/>
  <c r="R112" i="23"/>
  <c r="R111" i="23"/>
  <c r="R110" i="23"/>
  <c r="R109" i="23"/>
  <c r="R108" i="23"/>
  <c r="R107" i="23"/>
  <c r="R106" i="23"/>
  <c r="R105" i="23"/>
  <c r="J104" i="23"/>
  <c r="R104" i="23" s="1"/>
  <c r="S104" i="23" s="1"/>
  <c r="Y103" i="23"/>
  <c r="R103" i="23"/>
  <c r="R102" i="23"/>
  <c r="Y102" i="23" s="1"/>
  <c r="Y101" i="23"/>
  <c r="R101" i="23"/>
  <c r="Y100" i="23"/>
  <c r="R100" i="23"/>
  <c r="Y99" i="23"/>
  <c r="R99" i="23"/>
  <c r="Y98" i="23"/>
  <c r="R98" i="23"/>
  <c r="R97" i="23"/>
  <c r="Y97" i="23" s="1"/>
  <c r="R96" i="23"/>
  <c r="Y96" i="23" s="1"/>
  <c r="Y95" i="23"/>
  <c r="R95" i="23"/>
  <c r="R94" i="23"/>
  <c r="Y94" i="23" s="1"/>
  <c r="R93" i="23"/>
  <c r="Y93" i="23" s="1"/>
  <c r="Y92" i="23"/>
  <c r="R92" i="23"/>
  <c r="Y91" i="23"/>
  <c r="R91" i="23"/>
  <c r="Y90" i="23"/>
  <c r="R90" i="23"/>
  <c r="Y89" i="23"/>
  <c r="R89" i="23"/>
  <c r="R88" i="23"/>
  <c r="Y88" i="23" s="1"/>
  <c r="Y87" i="23"/>
  <c r="R87" i="23"/>
  <c r="R86" i="23"/>
  <c r="Y86" i="23" s="1"/>
  <c r="Y85" i="23"/>
  <c r="R85" i="23"/>
  <c r="Y84" i="23"/>
  <c r="R84" i="23"/>
  <c r="Y83" i="23"/>
  <c r="R83" i="23"/>
  <c r="Y82" i="23"/>
  <c r="R82" i="23"/>
  <c r="Y81" i="23"/>
  <c r="R81" i="23"/>
  <c r="R80" i="23"/>
  <c r="Y80" i="23" s="1"/>
  <c r="Y79" i="23"/>
  <c r="R79" i="23"/>
  <c r="R78" i="23"/>
  <c r="Y78" i="23" s="1"/>
  <c r="R77" i="23"/>
  <c r="Y77" i="23" s="1"/>
  <c r="Y76" i="23"/>
  <c r="R76" i="23"/>
  <c r="Y75" i="23"/>
  <c r="R75" i="23"/>
  <c r="Y74" i="23"/>
  <c r="R74" i="23"/>
  <c r="Y73" i="23"/>
  <c r="R73" i="23"/>
  <c r="R72" i="23"/>
  <c r="Y72" i="23" s="1"/>
  <c r="Y71" i="23"/>
  <c r="R71" i="23"/>
  <c r="R70" i="23"/>
  <c r="Y70" i="23" s="1"/>
  <c r="R69" i="23"/>
  <c r="Y69" i="23" s="1"/>
  <c r="Y68" i="23"/>
  <c r="R68" i="23"/>
  <c r="Y67" i="23"/>
  <c r="R67" i="23"/>
  <c r="Y66" i="23"/>
  <c r="R66" i="23"/>
  <c r="Y65" i="23"/>
  <c r="R65" i="23"/>
  <c r="R64" i="23"/>
  <c r="Y64" i="23" s="1"/>
  <c r="Y63" i="23"/>
  <c r="R63" i="23"/>
  <c r="R62" i="23"/>
  <c r="Y62" i="23" s="1"/>
  <c r="R61" i="23"/>
  <c r="Y61" i="23" s="1"/>
  <c r="Y60" i="23"/>
  <c r="R60" i="23"/>
  <c r="Y59" i="23"/>
  <c r="R59" i="23"/>
  <c r="R58" i="23"/>
  <c r="R57" i="23"/>
  <c r="Y57" i="23" s="1"/>
  <c r="R56" i="23"/>
  <c r="Y56" i="23" s="1"/>
  <c r="R55" i="23"/>
  <c r="Y55" i="23" s="1"/>
  <c r="R54" i="23"/>
  <c r="Y54" i="23" s="1"/>
  <c r="R53" i="23"/>
  <c r="Y52" i="23"/>
  <c r="R52" i="23"/>
  <c r="Y51" i="23"/>
  <c r="R51" i="23"/>
  <c r="Y50" i="23"/>
  <c r="R50" i="23"/>
  <c r="Y49" i="23"/>
  <c r="R49" i="23"/>
  <c r="R48" i="23"/>
  <c r="R47" i="23"/>
  <c r="Y47" i="23" s="1"/>
  <c r="R46" i="23"/>
  <c r="Y46" i="23" s="1"/>
  <c r="R45" i="23"/>
  <c r="Y45" i="23" s="1"/>
  <c r="R44" i="23"/>
  <c r="Y44" i="23" s="1"/>
  <c r="AA43" i="23" s="1"/>
  <c r="Y43" i="23"/>
  <c r="R43" i="23"/>
  <c r="R42" i="23"/>
  <c r="Y42" i="23" s="1"/>
  <c r="R41" i="23"/>
  <c r="Y41" i="23" s="1"/>
  <c r="R40" i="23"/>
  <c r="Y40" i="23" s="1"/>
  <c r="Y39" i="23"/>
  <c r="R39" i="23"/>
  <c r="R38" i="23"/>
  <c r="U38" i="23" s="1"/>
  <c r="M37" i="23"/>
  <c r="R37" i="23" s="1"/>
  <c r="L37" i="23"/>
  <c r="E37" i="23"/>
  <c r="Y36" i="23"/>
  <c r="R36" i="23"/>
  <c r="Y35" i="23"/>
  <c r="R35" i="23"/>
  <c r="Y34" i="23"/>
  <c r="R34" i="23"/>
  <c r="R33" i="23"/>
  <c r="Y33" i="23" s="1"/>
  <c r="Y32" i="23"/>
  <c r="R32" i="23"/>
  <c r="R31" i="23"/>
  <c r="Y31" i="23" s="1"/>
  <c r="R30" i="23"/>
  <c r="Y29" i="23"/>
  <c r="R29" i="23"/>
  <c r="Y28" i="23"/>
  <c r="R28" i="23"/>
  <c r="R27" i="23"/>
  <c r="Y27" i="23" s="1"/>
  <c r="R26" i="23"/>
  <c r="Y26" i="23" s="1"/>
  <c r="R25" i="23"/>
  <c r="Y25" i="23" s="1"/>
  <c r="R24" i="23"/>
  <c r="Y24" i="23" s="1"/>
  <c r="R23" i="23"/>
  <c r="Y23" i="23" s="1"/>
  <c r="R22" i="23"/>
  <c r="Y22" i="23" s="1"/>
  <c r="Y21" i="23"/>
  <c r="R21" i="23"/>
  <c r="Y20" i="23"/>
  <c r="R20" i="23"/>
  <c r="Y19" i="23"/>
  <c r="R12" i="23"/>
  <c r="A5" i="23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AB447" i="22"/>
  <c r="AI447" i="22" s="1"/>
  <c r="AB446" i="22"/>
  <c r="AI446" i="22" s="1"/>
  <c r="AI445" i="22"/>
  <c r="AB445" i="22"/>
  <c r="AB444" i="22"/>
  <c r="AI444" i="22" s="1"/>
  <c r="AB443" i="22"/>
  <c r="AI443" i="22" s="1"/>
  <c r="AB442" i="22"/>
  <c r="AI442" i="22" s="1"/>
  <c r="AI441" i="22"/>
  <c r="AB441" i="22"/>
  <c r="AB440" i="22"/>
  <c r="AI440" i="22" s="1"/>
  <c r="AB439" i="22"/>
  <c r="AI439" i="22" s="1"/>
  <c r="AB438" i="22"/>
  <c r="AI438" i="22" s="1"/>
  <c r="AI437" i="22"/>
  <c r="AB437" i="22"/>
  <c r="AB436" i="22"/>
  <c r="AI436" i="22" s="1"/>
  <c r="AB435" i="22"/>
  <c r="AI435" i="22" s="1"/>
  <c r="AB434" i="22"/>
  <c r="AI434" i="22" s="1"/>
  <c r="AI433" i="22"/>
  <c r="AB433" i="22"/>
  <c r="AB432" i="22"/>
  <c r="AI432" i="22" s="1"/>
  <c r="AB431" i="22"/>
  <c r="AI431" i="22" s="1"/>
  <c r="AB430" i="22"/>
  <c r="AI430" i="22" s="1"/>
  <c r="AI429" i="22"/>
  <c r="AB429" i="22"/>
  <c r="AB428" i="22"/>
  <c r="AI428" i="22" s="1"/>
  <c r="AB427" i="22"/>
  <c r="AI427" i="22" s="1"/>
  <c r="AB426" i="22"/>
  <c r="AI426" i="22" s="1"/>
  <c r="AI425" i="22"/>
  <c r="AB425" i="22"/>
  <c r="AB424" i="22"/>
  <c r="AI424" i="22" s="1"/>
  <c r="AB423" i="22"/>
  <c r="AI423" i="22" s="1"/>
  <c r="AB422" i="22"/>
  <c r="AI422" i="22" s="1"/>
  <c r="AI421" i="22"/>
  <c r="AB421" i="22"/>
  <c r="AB420" i="22"/>
  <c r="AI420" i="22" s="1"/>
  <c r="AB419" i="22"/>
  <c r="AI419" i="22" s="1"/>
  <c r="AB418" i="22"/>
  <c r="AI418" i="22" s="1"/>
  <c r="AI417" i="22"/>
  <c r="AB417" i="22"/>
  <c r="AB416" i="22"/>
  <c r="AI416" i="22" s="1"/>
  <c r="AB415" i="22"/>
  <c r="AI415" i="22" s="1"/>
  <c r="AB414" i="22"/>
  <c r="AI414" i="22" s="1"/>
  <c r="AI413" i="22"/>
  <c r="AB413" i="22"/>
  <c r="AB412" i="22"/>
  <c r="AI412" i="22" s="1"/>
  <c r="AB411" i="22"/>
  <c r="AI411" i="22" s="1"/>
  <c r="AI410" i="22"/>
  <c r="AB410" i="22"/>
  <c r="AI409" i="22"/>
  <c r="AB409" i="22"/>
  <c r="AB408" i="22"/>
  <c r="AI408" i="22" s="1"/>
  <c r="AB407" i="22"/>
  <c r="AI407" i="22" s="1"/>
  <c r="AB406" i="22"/>
  <c r="AI406" i="22" s="1"/>
  <c r="AI405" i="22"/>
  <c r="AB405" i="22"/>
  <c r="AB404" i="22"/>
  <c r="AI404" i="22" s="1"/>
  <c r="AB403" i="22"/>
  <c r="AI403" i="22" s="1"/>
  <c r="AI402" i="22"/>
  <c r="AB402" i="22"/>
  <c r="AI401" i="22"/>
  <c r="AB401" i="22"/>
  <c r="AB400" i="22"/>
  <c r="AI400" i="22" s="1"/>
  <c r="AB399" i="22"/>
  <c r="AI399" i="22" s="1"/>
  <c r="AB398" i="22"/>
  <c r="AI398" i="22" s="1"/>
  <c r="AI397" i="22"/>
  <c r="AB397" i="22"/>
  <c r="AB396" i="22"/>
  <c r="AI396" i="22" s="1"/>
  <c r="AI395" i="22"/>
  <c r="AB395" i="22"/>
  <c r="AI394" i="22"/>
  <c r="AB394" i="22"/>
  <c r="AI393" i="22"/>
  <c r="AB393" i="22"/>
  <c r="AB392" i="22"/>
  <c r="AI392" i="22" s="1"/>
  <c r="AB391" i="22"/>
  <c r="AI391" i="22" s="1"/>
  <c r="AB390" i="22"/>
  <c r="AI390" i="22" s="1"/>
  <c r="AI389" i="22"/>
  <c r="AB389" i="22"/>
  <c r="AB388" i="22"/>
  <c r="AI388" i="22" s="1"/>
  <c r="AB387" i="22"/>
  <c r="AI387" i="22" s="1"/>
  <c r="AI386" i="22"/>
  <c r="AB386" i="22"/>
  <c r="AI385" i="22"/>
  <c r="AB385" i="22"/>
  <c r="AB384" i="22"/>
  <c r="AI384" i="22" s="1"/>
  <c r="AB383" i="22"/>
  <c r="AI383" i="22" s="1"/>
  <c r="AB382" i="22"/>
  <c r="AI382" i="22" s="1"/>
  <c r="AI381" i="22"/>
  <c r="AB381" i="22"/>
  <c r="AB380" i="22"/>
  <c r="AI380" i="22" s="1"/>
  <c r="AI379" i="22"/>
  <c r="AB379" i="22"/>
  <c r="AI378" i="22"/>
  <c r="AB378" i="22"/>
  <c r="AI377" i="22"/>
  <c r="AB377" i="22"/>
  <c r="AB376" i="22"/>
  <c r="AI376" i="22" s="1"/>
  <c r="AB375" i="22"/>
  <c r="AI375" i="22" s="1"/>
  <c r="AB374" i="22"/>
  <c r="AI374" i="22" s="1"/>
  <c r="AI373" i="22"/>
  <c r="AB373" i="22"/>
  <c r="AB372" i="22"/>
  <c r="AI372" i="22" s="1"/>
  <c r="AB371" i="22"/>
  <c r="AI371" i="22" s="1"/>
  <c r="AI370" i="22"/>
  <c r="AB370" i="22"/>
  <c r="AB369" i="22"/>
  <c r="AI368" i="22"/>
  <c r="AB368" i="22"/>
  <c r="AI367" i="22"/>
  <c r="AB367" i="22"/>
  <c r="AB366" i="22"/>
  <c r="AI366" i="22" s="1"/>
  <c r="AB365" i="22"/>
  <c r="AI365" i="22" s="1"/>
  <c r="AB364" i="22"/>
  <c r="AI364" i="22" s="1"/>
  <c r="AI363" i="22"/>
  <c r="AB363" i="22"/>
  <c r="AI362" i="22"/>
  <c r="AB362" i="22"/>
  <c r="AB361" i="22"/>
  <c r="AI361" i="22" s="1"/>
  <c r="AI360" i="22"/>
  <c r="AB360" i="22"/>
  <c r="AI359" i="22"/>
  <c r="AB359" i="22"/>
  <c r="AB358" i="22"/>
  <c r="AI358" i="22" s="1"/>
  <c r="AB357" i="22"/>
  <c r="AI357" i="22" s="1"/>
  <c r="AB356" i="22"/>
  <c r="AI356" i="22" s="1"/>
  <c r="AB355" i="22"/>
  <c r="AI355" i="22" s="1"/>
  <c r="AI354" i="22"/>
  <c r="AB354" i="22"/>
  <c r="AB353" i="22"/>
  <c r="AI353" i="22" s="1"/>
  <c r="AI352" i="22"/>
  <c r="AB352" i="22"/>
  <c r="AI351" i="22"/>
  <c r="AB351" i="22"/>
  <c r="AB350" i="22"/>
  <c r="AI350" i="22" s="1"/>
  <c r="AB349" i="22"/>
  <c r="AI349" i="22" s="1"/>
  <c r="AB348" i="22"/>
  <c r="AI348" i="22" s="1"/>
  <c r="AB347" i="22"/>
  <c r="AI347" i="22" s="1"/>
  <c r="AI346" i="22"/>
  <c r="AB346" i="22"/>
  <c r="AB345" i="22"/>
  <c r="AI345" i="22" s="1"/>
  <c r="AI344" i="22"/>
  <c r="AB344" i="22"/>
  <c r="AI343" i="22"/>
  <c r="AB343" i="22"/>
  <c r="AB342" i="22"/>
  <c r="AI342" i="22" s="1"/>
  <c r="AB341" i="22"/>
  <c r="AI341" i="22" s="1"/>
  <c r="AB340" i="22"/>
  <c r="AI340" i="22" s="1"/>
  <c r="AB339" i="22"/>
  <c r="AI339" i="22" s="1"/>
  <c r="AI338" i="22"/>
  <c r="AB338" i="22"/>
  <c r="AB337" i="22"/>
  <c r="AI337" i="22" s="1"/>
  <c r="AI336" i="22"/>
  <c r="AB336" i="22"/>
  <c r="AI335" i="22"/>
  <c r="AB335" i="22"/>
  <c r="AB334" i="22"/>
  <c r="AI334" i="22" s="1"/>
  <c r="AB333" i="22"/>
  <c r="AI333" i="22" s="1"/>
  <c r="AB332" i="22"/>
  <c r="AI332" i="22" s="1"/>
  <c r="AI331" i="22"/>
  <c r="AB331" i="22"/>
  <c r="AI330" i="22"/>
  <c r="AB330" i="22"/>
  <c r="AB329" i="22"/>
  <c r="AI329" i="22" s="1"/>
  <c r="AI328" i="22"/>
  <c r="AB328" i="22"/>
  <c r="AI327" i="22"/>
  <c r="AB327" i="22"/>
  <c r="AB326" i="22"/>
  <c r="AI326" i="22" s="1"/>
  <c r="AB325" i="22"/>
  <c r="AI325" i="22" s="1"/>
  <c r="AB324" i="22"/>
  <c r="AI324" i="22" s="1"/>
  <c r="AB323" i="22"/>
  <c r="AI323" i="22" s="1"/>
  <c r="AI322" i="22"/>
  <c r="AB322" i="22"/>
  <c r="AB321" i="22"/>
  <c r="AI321" i="22" s="1"/>
  <c r="AI320" i="22"/>
  <c r="AB320" i="22"/>
  <c r="AI319" i="22"/>
  <c r="AB319" i="22"/>
  <c r="AB318" i="22"/>
  <c r="AI318" i="22" s="1"/>
  <c r="AB317" i="22"/>
  <c r="AI317" i="22" s="1"/>
  <c r="AB316" i="22"/>
  <c r="AI316" i="22" s="1"/>
  <c r="AI315" i="22"/>
  <c r="AB315" i="22"/>
  <c r="AI314" i="22"/>
  <c r="AB314" i="22"/>
  <c r="AB313" i="22"/>
  <c r="AI313" i="22" s="1"/>
  <c r="AI312" i="22"/>
  <c r="AB312" i="22"/>
  <c r="AI311" i="22"/>
  <c r="AB311" i="22"/>
  <c r="AB310" i="22"/>
  <c r="AI310" i="22" s="1"/>
  <c r="AB309" i="22"/>
  <c r="AI309" i="22" s="1"/>
  <c r="AB308" i="22"/>
  <c r="AI308" i="22" s="1"/>
  <c r="AB307" i="22"/>
  <c r="AI307" i="22" s="1"/>
  <c r="AI306" i="22"/>
  <c r="AB306" i="22"/>
  <c r="AB305" i="22"/>
  <c r="AI305" i="22" s="1"/>
  <c r="AI304" i="22"/>
  <c r="AB304" i="22"/>
  <c r="AI303" i="22"/>
  <c r="AB303" i="22"/>
  <c r="AB302" i="22"/>
  <c r="AI302" i="22" s="1"/>
  <c r="AB301" i="22"/>
  <c r="AI301" i="22" s="1"/>
  <c r="AB300" i="22"/>
  <c r="AI300" i="22" s="1"/>
  <c r="AI299" i="22"/>
  <c r="AB299" i="22"/>
  <c r="AI298" i="22"/>
  <c r="AB298" i="22"/>
  <c r="AB297" i="22"/>
  <c r="AI297" i="22" s="1"/>
  <c r="AB296" i="22"/>
  <c r="AI296" i="22" s="1"/>
  <c r="AB295" i="22"/>
  <c r="AI295" i="22" s="1"/>
  <c r="AB294" i="22"/>
  <c r="AI294" i="22" s="1"/>
  <c r="AB293" i="22"/>
  <c r="AI293" i="22" s="1"/>
  <c r="AB292" i="22"/>
  <c r="AI292" i="22" s="1"/>
  <c r="AI291" i="22"/>
  <c r="AB291" i="22"/>
  <c r="AI290" i="22"/>
  <c r="AB290" i="22"/>
  <c r="AB289" i="22"/>
  <c r="AI289" i="22" s="1"/>
  <c r="AB288" i="22"/>
  <c r="AI288" i="22" s="1"/>
  <c r="AB287" i="22"/>
  <c r="AB286" i="22"/>
  <c r="AB285" i="22"/>
  <c r="AB284" i="22"/>
  <c r="AB283" i="22"/>
  <c r="AI283" i="22" s="1"/>
  <c r="AB282" i="22"/>
  <c r="AI282" i="22" s="1"/>
  <c r="AI281" i="22"/>
  <c r="AB281" i="22"/>
  <c r="AI280" i="22"/>
  <c r="AB280" i="22"/>
  <c r="AB279" i="22"/>
  <c r="AI279" i="22" s="1"/>
  <c r="AI278" i="22"/>
  <c r="AB278" i="22"/>
  <c r="AB277" i="22"/>
  <c r="AI277" i="22" s="1"/>
  <c r="AB276" i="22"/>
  <c r="AI276" i="22" s="1"/>
  <c r="AB275" i="22"/>
  <c r="AI275" i="22" s="1"/>
  <c r="AB274" i="22"/>
  <c r="AI274" i="22" s="1"/>
  <c r="AB273" i="22"/>
  <c r="AI273" i="22" s="1"/>
  <c r="AI272" i="22"/>
  <c r="AB272" i="22"/>
  <c r="AB271" i="22"/>
  <c r="AI271" i="22" s="1"/>
  <c r="AB270" i="22"/>
  <c r="AI270" i="22" s="1"/>
  <c r="AB269" i="22"/>
  <c r="AI269" i="22" s="1"/>
  <c r="AB268" i="22"/>
  <c r="AI268" i="22" s="1"/>
  <c r="AB267" i="22"/>
  <c r="AI267" i="22" s="1"/>
  <c r="AB266" i="22"/>
  <c r="AI266" i="22" s="1"/>
  <c r="AB265" i="22"/>
  <c r="AI265" i="22" s="1"/>
  <c r="AI264" i="22"/>
  <c r="AB264" i="22"/>
  <c r="AB263" i="22"/>
  <c r="AI263" i="22" s="1"/>
  <c r="AB262" i="22"/>
  <c r="AI262" i="22" s="1"/>
  <c r="AB261" i="22"/>
  <c r="AI261" i="22" s="1"/>
  <c r="AB260" i="22"/>
  <c r="AI260" i="22" s="1"/>
  <c r="AB259" i="22"/>
  <c r="AI259" i="22" s="1"/>
  <c r="AB258" i="22"/>
  <c r="AI258" i="22" s="1"/>
  <c r="AB257" i="22"/>
  <c r="AI257" i="22" s="1"/>
  <c r="AI256" i="22"/>
  <c r="AB256" i="22"/>
  <c r="AB255" i="22"/>
  <c r="AI255" i="22" s="1"/>
  <c r="AB254" i="22"/>
  <c r="AI254" i="22" s="1"/>
  <c r="AI253" i="22"/>
  <c r="AB253" i="22"/>
  <c r="AB252" i="22"/>
  <c r="AI252" i="22" s="1"/>
  <c r="AB251" i="22"/>
  <c r="AI251" i="22" s="1"/>
  <c r="AB250" i="22"/>
  <c r="AI250" i="22" s="1"/>
  <c r="AI249" i="22"/>
  <c r="AB249" i="22"/>
  <c r="AI248" i="22"/>
  <c r="AB248" i="22"/>
  <c r="AB247" i="22"/>
  <c r="AI247" i="22" s="1"/>
  <c r="AB246" i="22"/>
  <c r="AI246" i="22" s="1"/>
  <c r="AI245" i="22"/>
  <c r="AB245" i="22"/>
  <c r="AB244" i="22"/>
  <c r="AI244" i="22" s="1"/>
  <c r="AB243" i="22"/>
  <c r="AI242" i="22"/>
  <c r="AB242" i="22"/>
  <c r="AB241" i="22"/>
  <c r="AI241" i="22" s="1"/>
  <c r="AB240" i="22"/>
  <c r="AI240" i="22" s="1"/>
  <c r="X239" i="22"/>
  <c r="AB239" i="22" s="1"/>
  <c r="AI239" i="22" s="1"/>
  <c r="T239" i="22"/>
  <c r="O239" i="22"/>
  <c r="M239" i="22"/>
  <c r="AB238" i="22"/>
  <c r="AI238" i="22" s="1"/>
  <c r="AG237" i="22"/>
  <c r="T237" i="22"/>
  <c r="M237" i="22"/>
  <c r="AB237" i="22" s="1"/>
  <c r="AI237" i="22" s="1"/>
  <c r="AB236" i="22"/>
  <c r="AI236" i="22" s="1"/>
  <c r="AI235" i="22"/>
  <c r="AB235" i="22"/>
  <c r="AB234" i="22"/>
  <c r="AI234" i="22" s="1"/>
  <c r="AB233" i="22"/>
  <c r="AI233" i="22" s="1"/>
  <c r="AB232" i="22"/>
  <c r="AI232" i="22" s="1"/>
  <c r="AB231" i="22"/>
  <c r="AI231" i="22" s="1"/>
  <c r="AB230" i="22"/>
  <c r="AI230" i="22" s="1"/>
  <c r="AG229" i="22"/>
  <c r="AI229" i="22" s="1"/>
  <c r="AB229" i="22"/>
  <c r="AC229" i="22" s="1"/>
  <c r="AI228" i="22"/>
  <c r="AB228" i="22"/>
  <c r="AB227" i="22"/>
  <c r="AI227" i="22" s="1"/>
  <c r="AB226" i="22"/>
  <c r="AI226" i="22" s="1"/>
  <c r="AB225" i="22"/>
  <c r="AI225" i="22" s="1"/>
  <c r="AI224" i="22"/>
  <c r="AB224" i="22"/>
  <c r="AI223" i="22"/>
  <c r="AB223" i="22"/>
  <c r="AB222" i="22"/>
  <c r="AI222" i="22" s="1"/>
  <c r="AB221" i="22"/>
  <c r="AI221" i="22" s="1"/>
  <c r="AI220" i="22"/>
  <c r="AB220" i="22"/>
  <c r="AI219" i="22"/>
  <c r="AB219" i="22"/>
  <c r="AB218" i="22"/>
  <c r="AI218" i="22" s="1"/>
  <c r="AB217" i="22"/>
  <c r="AI217" i="22" s="1"/>
  <c r="AI216" i="22"/>
  <c r="AB216" i="22"/>
  <c r="AI215" i="22"/>
  <c r="AB215" i="22"/>
  <c r="AB214" i="22"/>
  <c r="AI214" i="22" s="1"/>
  <c r="AI213" i="22"/>
  <c r="AB213" i="22"/>
  <c r="AI212" i="22"/>
  <c r="AB212" i="22"/>
  <c r="AI211" i="22"/>
  <c r="AB211" i="22"/>
  <c r="AB210" i="22"/>
  <c r="AI210" i="22" s="1"/>
  <c r="AB209" i="22"/>
  <c r="AI209" i="22" s="1"/>
  <c r="AI208" i="22"/>
  <c r="AB208" i="22"/>
  <c r="AB207" i="22"/>
  <c r="AB206" i="22"/>
  <c r="AI206" i="22" s="1"/>
  <c r="AI205" i="22"/>
  <c r="AB205" i="22"/>
  <c r="AI204" i="22"/>
  <c r="AB204" i="22"/>
  <c r="AB203" i="22"/>
  <c r="AI203" i="22" s="1"/>
  <c r="AI202" i="22"/>
  <c r="AB202" i="22"/>
  <c r="AB201" i="22"/>
  <c r="AI201" i="22" s="1"/>
  <c r="AB200" i="22"/>
  <c r="AI200" i="22" s="1"/>
  <c r="AB199" i="22"/>
  <c r="AI199" i="22" s="1"/>
  <c r="AB198" i="22"/>
  <c r="AI198" i="22" s="1"/>
  <c r="AB197" i="22"/>
  <c r="AI197" i="22" s="1"/>
  <c r="AI196" i="22"/>
  <c r="AB196" i="22"/>
  <c r="AB195" i="22"/>
  <c r="AI195" i="22" s="1"/>
  <c r="AI194" i="22"/>
  <c r="AB194" i="22"/>
  <c r="AB193" i="22"/>
  <c r="AI193" i="22" s="1"/>
  <c r="AB192" i="22"/>
  <c r="AI192" i="22" s="1"/>
  <c r="AB191" i="22"/>
  <c r="AI191" i="22" s="1"/>
  <c r="AB190" i="22"/>
  <c r="AI190" i="22" s="1"/>
  <c r="AB189" i="22"/>
  <c r="AI189" i="22" s="1"/>
  <c r="AI188" i="22"/>
  <c r="AB188" i="22"/>
  <c r="AB187" i="22"/>
  <c r="AI187" i="22" s="1"/>
  <c r="AB186" i="22"/>
  <c r="AI186" i="22" s="1"/>
  <c r="AB185" i="22"/>
  <c r="AI185" i="22" s="1"/>
  <c r="AB184" i="22"/>
  <c r="AI184" i="22" s="1"/>
  <c r="AB183" i="22"/>
  <c r="AI183" i="22" s="1"/>
  <c r="AB182" i="22"/>
  <c r="AI182" i="22" s="1"/>
  <c r="AI181" i="22"/>
  <c r="AB181" i="22"/>
  <c r="AB180" i="22"/>
  <c r="AB179" i="22"/>
  <c r="AB178" i="22"/>
  <c r="AI178" i="22" s="1"/>
  <c r="T178" i="22"/>
  <c r="AB177" i="22"/>
  <c r="AI177" i="22" s="1"/>
  <c r="AB176" i="22"/>
  <c r="AB175" i="22"/>
  <c r="AB174" i="22"/>
  <c r="Z174" i="22"/>
  <c r="AI173" i="22"/>
  <c r="AB173" i="22"/>
  <c r="AB172" i="22"/>
  <c r="AI172" i="22" s="1"/>
  <c r="AB171" i="22"/>
  <c r="AI171" i="22" s="1"/>
  <c r="AI170" i="22"/>
  <c r="AB170" i="22"/>
  <c r="AI169" i="22"/>
  <c r="AB169" i="22"/>
  <c r="AB168" i="22"/>
  <c r="AI168" i="22" s="1"/>
  <c r="AB167" i="22"/>
  <c r="AI167" i="22" s="1"/>
  <c r="AI166" i="22"/>
  <c r="AB166" i="22"/>
  <c r="AI165" i="22"/>
  <c r="AB165" i="22"/>
  <c r="AB164" i="22"/>
  <c r="AI164" i="22" s="1"/>
  <c r="AB163" i="22"/>
  <c r="AI163" i="22" s="1"/>
  <c r="AI162" i="22"/>
  <c r="AB162" i="22"/>
  <c r="AI161" i="22"/>
  <c r="AB161" i="22"/>
  <c r="AB160" i="22"/>
  <c r="AI160" i="22" s="1"/>
  <c r="AB159" i="22"/>
  <c r="AI159" i="22" s="1"/>
  <c r="AI158" i="22"/>
  <c r="AB158" i="22"/>
  <c r="AI157" i="22"/>
  <c r="AB157" i="22"/>
  <c r="AB156" i="22"/>
  <c r="AI156" i="22" s="1"/>
  <c r="AI155" i="22"/>
  <c r="AB155" i="22"/>
  <c r="AI154" i="22"/>
  <c r="AB154" i="22"/>
  <c r="AI153" i="22"/>
  <c r="AB153" i="22"/>
  <c r="AB152" i="22"/>
  <c r="AI152" i="22" s="1"/>
  <c r="AB151" i="22"/>
  <c r="AI151" i="22" s="1"/>
  <c r="AI150" i="22"/>
  <c r="AB150" i="22"/>
  <c r="AI149" i="22"/>
  <c r="AB149" i="22"/>
  <c r="AB148" i="22"/>
  <c r="AI148" i="22" s="1"/>
  <c r="AB147" i="22"/>
  <c r="AI147" i="22" s="1"/>
  <c r="AI146" i="22"/>
  <c r="AB146" i="22"/>
  <c r="AI145" i="22"/>
  <c r="AB145" i="22"/>
  <c r="AB144" i="22"/>
  <c r="AI144" i="22" s="1"/>
  <c r="AB143" i="22"/>
  <c r="AI143" i="22" s="1"/>
  <c r="AI142" i="22"/>
  <c r="AB142" i="22"/>
  <c r="AI141" i="22"/>
  <c r="AB141" i="22"/>
  <c r="AB140" i="22"/>
  <c r="AI140" i="22" s="1"/>
  <c r="AB139" i="22"/>
  <c r="AI139" i="22" s="1"/>
  <c r="AI138" i="22"/>
  <c r="AB138" i="22"/>
  <c r="AI137" i="22"/>
  <c r="AB137" i="22"/>
  <c r="AB136" i="22"/>
  <c r="AI136" i="22" s="1"/>
  <c r="AB135" i="22"/>
  <c r="AI135" i="22" s="1"/>
  <c r="AI134" i="22"/>
  <c r="AB134" i="22"/>
  <c r="AI133" i="22"/>
  <c r="AB133" i="22"/>
  <c r="AB132" i="22"/>
  <c r="AI132" i="22" s="1"/>
  <c r="AB131" i="22"/>
  <c r="AI131" i="22" s="1"/>
  <c r="AB130" i="22"/>
  <c r="AB129" i="22"/>
  <c r="AB128" i="22"/>
  <c r="AB127" i="22"/>
  <c r="AB126" i="22"/>
  <c r="AI126" i="22" s="1"/>
  <c r="T126" i="22"/>
  <c r="AB125" i="22"/>
  <c r="AI125" i="22" s="1"/>
  <c r="AB124" i="22"/>
  <c r="AI124" i="22" s="1"/>
  <c r="AB123" i="22"/>
  <c r="AI123" i="22" s="1"/>
  <c r="AI122" i="22"/>
  <c r="AB122" i="22"/>
  <c r="AI121" i="22"/>
  <c r="AB121" i="22"/>
  <c r="AB120" i="22"/>
  <c r="AI120" i="22" s="1"/>
  <c r="AB119" i="22"/>
  <c r="AI119" i="22" s="1"/>
  <c r="AB118" i="22"/>
  <c r="AI118" i="22" s="1"/>
  <c r="AB117" i="22"/>
  <c r="AI117" i="22" s="1"/>
  <c r="AB116" i="22"/>
  <c r="AI116" i="22" s="1"/>
  <c r="AB115" i="22"/>
  <c r="AI115" i="22" s="1"/>
  <c r="AB114" i="22"/>
  <c r="AB113" i="22"/>
  <c r="AB112" i="22"/>
  <c r="AB111" i="22"/>
  <c r="AB110" i="22"/>
  <c r="AB109" i="22"/>
  <c r="AB108" i="22"/>
  <c r="AB107" i="22"/>
  <c r="AB106" i="22"/>
  <c r="AB105" i="22"/>
  <c r="T104" i="22"/>
  <c r="AB104" i="22" s="1"/>
  <c r="O104" i="22"/>
  <c r="AB103" i="22"/>
  <c r="AI103" i="22" s="1"/>
  <c r="AB102" i="22"/>
  <c r="AI102" i="22" s="1"/>
  <c r="AI101" i="22"/>
  <c r="AB101" i="22"/>
  <c r="AI100" i="22"/>
  <c r="AB100" i="22"/>
  <c r="AB99" i="22"/>
  <c r="AI99" i="22" s="1"/>
  <c r="AB98" i="22"/>
  <c r="AI98" i="22" s="1"/>
  <c r="AI97" i="22"/>
  <c r="AB97" i="22"/>
  <c r="AI96" i="22"/>
  <c r="AB96" i="22"/>
  <c r="AB95" i="22"/>
  <c r="AI95" i="22" s="1"/>
  <c r="AB94" i="22"/>
  <c r="AI94" i="22" s="1"/>
  <c r="AI93" i="22"/>
  <c r="AB93" i="22"/>
  <c r="AI92" i="22"/>
  <c r="AB92" i="22"/>
  <c r="AB91" i="22"/>
  <c r="AI91" i="22" s="1"/>
  <c r="AB90" i="22"/>
  <c r="AI90" i="22" s="1"/>
  <c r="AI89" i="22"/>
  <c r="AB89" i="22"/>
  <c r="AI88" i="22"/>
  <c r="AB88" i="22"/>
  <c r="AB87" i="22"/>
  <c r="AI87" i="22" s="1"/>
  <c r="AB86" i="22"/>
  <c r="AI86" i="22" s="1"/>
  <c r="AI85" i="22"/>
  <c r="AB85" i="22"/>
  <c r="AI84" i="22"/>
  <c r="AB84" i="22"/>
  <c r="AB83" i="22"/>
  <c r="AI83" i="22" s="1"/>
  <c r="AB82" i="22"/>
  <c r="AI82" i="22" s="1"/>
  <c r="AI81" i="22"/>
  <c r="AB81" i="22"/>
  <c r="AI80" i="22"/>
  <c r="AB80" i="22"/>
  <c r="AB79" i="22"/>
  <c r="AI79" i="22" s="1"/>
  <c r="AI78" i="22"/>
  <c r="AB78" i="22"/>
  <c r="AI77" i="22"/>
  <c r="AB77" i="22"/>
  <c r="AI76" i="22"/>
  <c r="AB76" i="22"/>
  <c r="AB75" i="22"/>
  <c r="AI75" i="22" s="1"/>
  <c r="AB74" i="22"/>
  <c r="AI74" i="22" s="1"/>
  <c r="AB73" i="22"/>
  <c r="AI73" i="22" s="1"/>
  <c r="AI72" i="22"/>
  <c r="AB72" i="22"/>
  <c r="AB71" i="22"/>
  <c r="AI71" i="22" s="1"/>
  <c r="AI70" i="22"/>
  <c r="AB70" i="22"/>
  <c r="AI69" i="22"/>
  <c r="AB69" i="22"/>
  <c r="AI68" i="22"/>
  <c r="AB68" i="22"/>
  <c r="AB67" i="22"/>
  <c r="AI67" i="22" s="1"/>
  <c r="AB66" i="22"/>
  <c r="AI66" i="22" s="1"/>
  <c r="AB65" i="22"/>
  <c r="AI65" i="22" s="1"/>
  <c r="AI64" i="22"/>
  <c r="AB64" i="22"/>
  <c r="AB63" i="22"/>
  <c r="AI63" i="22" s="1"/>
  <c r="AI62" i="22"/>
  <c r="AB62" i="22"/>
  <c r="AI61" i="22"/>
  <c r="AB61" i="22"/>
  <c r="AI60" i="22"/>
  <c r="AB60" i="22"/>
  <c r="AB59" i="22"/>
  <c r="AI59" i="22" s="1"/>
  <c r="AB58" i="22"/>
  <c r="AB57" i="22"/>
  <c r="AI57" i="22" s="1"/>
  <c r="AB56" i="22"/>
  <c r="AI56" i="22" s="1"/>
  <c r="AB55" i="22"/>
  <c r="AI55" i="22" s="1"/>
  <c r="AB54" i="22"/>
  <c r="AI54" i="22" s="1"/>
  <c r="AI53" i="22"/>
  <c r="AB53" i="22"/>
  <c r="T53" i="22"/>
  <c r="AI52" i="22"/>
  <c r="AB52" i="22"/>
  <c r="AB51" i="22"/>
  <c r="AI51" i="22" s="1"/>
  <c r="AB50" i="22"/>
  <c r="AI50" i="22" s="1"/>
  <c r="AB49" i="22"/>
  <c r="AI49" i="22" s="1"/>
  <c r="AI48" i="22"/>
  <c r="AB48" i="22"/>
  <c r="AB47" i="22"/>
  <c r="AI47" i="22" s="1"/>
  <c r="AI46" i="22"/>
  <c r="AB46" i="22"/>
  <c r="AI45" i="22"/>
  <c r="AB45" i="22"/>
  <c r="AI44" i="22"/>
  <c r="AB44" i="22"/>
  <c r="AB43" i="22"/>
  <c r="AI43" i="22" s="1"/>
  <c r="AB42" i="22"/>
  <c r="AI42" i="22" s="1"/>
  <c r="AI41" i="22"/>
  <c r="AB41" i="22"/>
  <c r="AB40" i="22"/>
  <c r="AI40" i="22" s="1"/>
  <c r="AI39" i="22"/>
  <c r="AB39" i="22"/>
  <c r="AI38" i="22"/>
  <c r="AE38" i="22"/>
  <c r="AB38" i="22"/>
  <c r="S37" i="22"/>
  <c r="AB37" i="22" s="1"/>
  <c r="AB36" i="22"/>
  <c r="AI36" i="22" s="1"/>
  <c r="AB35" i="22"/>
  <c r="AI35" i="22" s="1"/>
  <c r="AI34" i="22"/>
  <c r="AB34" i="22"/>
  <c r="AB33" i="22"/>
  <c r="AI33" i="22" s="1"/>
  <c r="AB32" i="22"/>
  <c r="AI32" i="22" s="1"/>
  <c r="AI31" i="22"/>
  <c r="AB31" i="22"/>
  <c r="AB30" i="22"/>
  <c r="AB29" i="22"/>
  <c r="AI29" i="22" s="1"/>
  <c r="AI28" i="22"/>
  <c r="AB28" i="22"/>
  <c r="AB27" i="22"/>
  <c r="AI27" i="22" s="1"/>
  <c r="AB26" i="22"/>
  <c r="AI26" i="22" s="1"/>
  <c r="AB25" i="22"/>
  <c r="AI25" i="22" s="1"/>
  <c r="AI24" i="22"/>
  <c r="AB24" i="22"/>
  <c r="AI23" i="22"/>
  <c r="AB23" i="22"/>
  <c r="AI22" i="22"/>
  <c r="AB22" i="22"/>
  <c r="AB21" i="22"/>
  <c r="AI21" i="22" s="1"/>
  <c r="AB20" i="22"/>
  <c r="AI19" i="22"/>
  <c r="AB12" i="22"/>
  <c r="A5" i="22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522" i="21" s="1"/>
  <c r="N447" i="21"/>
  <c r="U447" i="21" s="1"/>
  <c r="N446" i="21"/>
  <c r="U446" i="21" s="1"/>
  <c r="N445" i="21"/>
  <c r="U445" i="21" s="1"/>
  <c r="U444" i="21"/>
  <c r="N444" i="21"/>
  <c r="U443" i="21"/>
  <c r="N443" i="21"/>
  <c r="N442" i="21"/>
  <c r="U442" i="21" s="1"/>
  <c r="N441" i="21"/>
  <c r="U441" i="21" s="1"/>
  <c r="N440" i="21"/>
  <c r="U440" i="21" s="1"/>
  <c r="N439" i="21"/>
  <c r="U439" i="21" s="1"/>
  <c r="N438" i="21"/>
  <c r="U438" i="21" s="1"/>
  <c r="N437" i="21"/>
  <c r="U437" i="21" s="1"/>
  <c r="U436" i="21"/>
  <c r="N436" i="21"/>
  <c r="U435" i="21"/>
  <c r="N435" i="21"/>
  <c r="N434" i="21"/>
  <c r="U434" i="21" s="1"/>
  <c r="N433" i="21"/>
  <c r="U433" i="21" s="1"/>
  <c r="N432" i="21"/>
  <c r="U432" i="21" s="1"/>
  <c r="N431" i="21"/>
  <c r="U431" i="21" s="1"/>
  <c r="N430" i="21"/>
  <c r="U430" i="21" s="1"/>
  <c r="N429" i="21"/>
  <c r="U429" i="21" s="1"/>
  <c r="U428" i="21"/>
  <c r="N428" i="21"/>
  <c r="U427" i="21"/>
  <c r="N427" i="21"/>
  <c r="N426" i="21"/>
  <c r="U426" i="21" s="1"/>
  <c r="N425" i="21"/>
  <c r="U425" i="21" s="1"/>
  <c r="N424" i="21"/>
  <c r="U424" i="21" s="1"/>
  <c r="N423" i="21"/>
  <c r="U423" i="21" s="1"/>
  <c r="N422" i="21"/>
  <c r="U422" i="21" s="1"/>
  <c r="N421" i="21"/>
  <c r="U421" i="21" s="1"/>
  <c r="U420" i="21"/>
  <c r="N420" i="21"/>
  <c r="U419" i="21"/>
  <c r="N419" i="21"/>
  <c r="N418" i="21"/>
  <c r="U418" i="21" s="1"/>
  <c r="N417" i="21"/>
  <c r="U417" i="21" s="1"/>
  <c r="N416" i="21"/>
  <c r="U416" i="21" s="1"/>
  <c r="N415" i="21"/>
  <c r="U415" i="21" s="1"/>
  <c r="N414" i="21"/>
  <c r="U414" i="21" s="1"/>
  <c r="U413" i="21"/>
  <c r="N413" i="21"/>
  <c r="U412" i="21"/>
  <c r="N412" i="21"/>
  <c r="U411" i="21"/>
  <c r="N411" i="21"/>
  <c r="N410" i="21"/>
  <c r="U410" i="21" s="1"/>
  <c r="N409" i="21"/>
  <c r="U409" i="21" s="1"/>
  <c r="N408" i="21"/>
  <c r="U408" i="21" s="1"/>
  <c r="N407" i="21"/>
  <c r="U407" i="21" s="1"/>
  <c r="N406" i="21"/>
  <c r="U406" i="21" s="1"/>
  <c r="N405" i="21"/>
  <c r="U405" i="21" s="1"/>
  <c r="U404" i="21"/>
  <c r="N404" i="21"/>
  <c r="U403" i="21"/>
  <c r="N403" i="21"/>
  <c r="N402" i="21"/>
  <c r="U402" i="21" s="1"/>
  <c r="N401" i="21"/>
  <c r="U401" i="21" s="1"/>
  <c r="N400" i="21"/>
  <c r="U400" i="21" s="1"/>
  <c r="N399" i="21"/>
  <c r="U399" i="21" s="1"/>
  <c r="N398" i="21"/>
  <c r="U398" i="21" s="1"/>
  <c r="U397" i="21"/>
  <c r="N397" i="21"/>
  <c r="U396" i="21"/>
  <c r="N396" i="21"/>
  <c r="U395" i="21"/>
  <c r="N395" i="21"/>
  <c r="N394" i="21"/>
  <c r="U394" i="21" s="1"/>
  <c r="N393" i="21"/>
  <c r="U393" i="21" s="1"/>
  <c r="N392" i="21"/>
  <c r="U392" i="21" s="1"/>
  <c r="N391" i="21"/>
  <c r="U391" i="21" s="1"/>
  <c r="N390" i="21"/>
  <c r="U390" i="21" s="1"/>
  <c r="U389" i="21"/>
  <c r="N389" i="21"/>
  <c r="U388" i="21"/>
  <c r="N388" i="21"/>
  <c r="U387" i="21"/>
  <c r="N387" i="21"/>
  <c r="N386" i="21"/>
  <c r="U386" i="21" s="1"/>
  <c r="N385" i="21"/>
  <c r="U385" i="21" s="1"/>
  <c r="N384" i="21"/>
  <c r="U384" i="21" s="1"/>
  <c r="N383" i="21"/>
  <c r="U383" i="21" s="1"/>
  <c r="N382" i="21"/>
  <c r="U382" i="21" s="1"/>
  <c r="N381" i="21"/>
  <c r="U381" i="21" s="1"/>
  <c r="U380" i="21"/>
  <c r="N380" i="21"/>
  <c r="U379" i="21"/>
  <c r="N379" i="21"/>
  <c r="N378" i="21"/>
  <c r="U378" i="21" s="1"/>
  <c r="U377" i="21"/>
  <c r="N377" i="21"/>
  <c r="N376" i="21"/>
  <c r="U376" i="21" s="1"/>
  <c r="N375" i="21"/>
  <c r="U374" i="21"/>
  <c r="N374" i="21"/>
  <c r="N373" i="21"/>
  <c r="N372" i="21"/>
  <c r="N371" i="21"/>
  <c r="N370" i="21"/>
  <c r="U369" i="21"/>
  <c r="N369" i="21"/>
  <c r="U368" i="21"/>
  <c r="N368" i="21"/>
  <c r="U367" i="21"/>
  <c r="N367" i="21"/>
  <c r="N366" i="21"/>
  <c r="U366" i="21" s="1"/>
  <c r="U365" i="21"/>
  <c r="N365" i="21"/>
  <c r="U364" i="21"/>
  <c r="N364" i="21"/>
  <c r="U363" i="21"/>
  <c r="N363" i="21"/>
  <c r="N362" i="21"/>
  <c r="U362" i="21" s="1"/>
  <c r="U361" i="21"/>
  <c r="N361" i="21"/>
  <c r="U360" i="21"/>
  <c r="N360" i="21"/>
  <c r="N359" i="21"/>
  <c r="U359" i="21" s="1"/>
  <c r="N358" i="21"/>
  <c r="U358" i="21" s="1"/>
  <c r="U357" i="21"/>
  <c r="N357" i="21"/>
  <c r="U356" i="21"/>
  <c r="N356" i="21"/>
  <c r="U355" i="21"/>
  <c r="N355" i="21"/>
  <c r="U354" i="21"/>
  <c r="N354" i="21"/>
  <c r="U353" i="21"/>
  <c r="N353" i="21"/>
  <c r="U352" i="21"/>
  <c r="N352" i="21"/>
  <c r="N351" i="21"/>
  <c r="U351" i="21" s="1"/>
  <c r="N350" i="21"/>
  <c r="U350" i="21" s="1"/>
  <c r="U349" i="21"/>
  <c r="N349" i="21"/>
  <c r="U348" i="21"/>
  <c r="N348" i="21"/>
  <c r="N347" i="21"/>
  <c r="U347" i="21" s="1"/>
  <c r="U346" i="21"/>
  <c r="N346" i="21"/>
  <c r="U345" i="21"/>
  <c r="N345" i="21"/>
  <c r="U344" i="21"/>
  <c r="N344" i="21"/>
  <c r="N343" i="21"/>
  <c r="U343" i="21" s="1"/>
  <c r="N342" i="21"/>
  <c r="U342" i="21" s="1"/>
  <c r="U341" i="21"/>
  <c r="N341" i="21"/>
  <c r="U340" i="21"/>
  <c r="N340" i="21"/>
  <c r="U339" i="21"/>
  <c r="N339" i="21"/>
  <c r="N338" i="21"/>
  <c r="U338" i="21" s="1"/>
  <c r="U337" i="21"/>
  <c r="N337" i="21"/>
  <c r="U336" i="21"/>
  <c r="N336" i="21"/>
  <c r="N335" i="21"/>
  <c r="U335" i="21" s="1"/>
  <c r="N334" i="21"/>
  <c r="U334" i="21" s="1"/>
  <c r="N333" i="21"/>
  <c r="U333" i="21" s="1"/>
  <c r="U332" i="21"/>
  <c r="N332" i="21"/>
  <c r="N331" i="21"/>
  <c r="U331" i="21" s="1"/>
  <c r="U330" i="21"/>
  <c r="N330" i="21"/>
  <c r="N329" i="21"/>
  <c r="U329" i="21" s="1"/>
  <c r="U328" i="21"/>
  <c r="N328" i="21"/>
  <c r="N327" i="21"/>
  <c r="U327" i="21" s="1"/>
  <c r="U326" i="21"/>
  <c r="N326" i="21"/>
  <c r="N325" i="21"/>
  <c r="N324" i="21"/>
  <c r="U324" i="21" s="1"/>
  <c r="N323" i="21"/>
  <c r="U323" i="21" s="1"/>
  <c r="N322" i="21"/>
  <c r="U322" i="21" s="1"/>
  <c r="N321" i="21"/>
  <c r="U321" i="21" s="1"/>
  <c r="U320" i="21"/>
  <c r="N320" i="21"/>
  <c r="N319" i="21"/>
  <c r="U319" i="21" s="1"/>
  <c r="U318" i="21"/>
  <c r="N318" i="21"/>
  <c r="N317" i="21"/>
  <c r="U317" i="21" s="1"/>
  <c r="N316" i="21"/>
  <c r="U316" i="21" s="1"/>
  <c r="N315" i="21"/>
  <c r="U315" i="21" s="1"/>
  <c r="N314" i="21"/>
  <c r="U314" i="21" s="1"/>
  <c r="U313" i="21"/>
  <c r="N313" i="21"/>
  <c r="U312" i="21"/>
  <c r="N312" i="21"/>
  <c r="N311" i="21"/>
  <c r="U311" i="21" s="1"/>
  <c r="U310" i="21"/>
  <c r="N310" i="21"/>
  <c r="N309" i="21"/>
  <c r="U309" i="21" s="1"/>
  <c r="U308" i="21"/>
  <c r="N308" i="21"/>
  <c r="N307" i="21"/>
  <c r="U307" i="21" s="1"/>
  <c r="N306" i="21"/>
  <c r="U306" i="21" s="1"/>
  <c r="N305" i="21"/>
  <c r="U305" i="21" s="1"/>
  <c r="N304" i="21"/>
  <c r="U304" i="21" s="1"/>
  <c r="N303" i="21"/>
  <c r="U303" i="21" s="1"/>
  <c r="U302" i="21"/>
  <c r="N302" i="21"/>
  <c r="N301" i="21"/>
  <c r="U301" i="21" s="1"/>
  <c r="N300" i="21"/>
  <c r="U300" i="21" s="1"/>
  <c r="N299" i="21"/>
  <c r="U299" i="21" s="1"/>
  <c r="U298" i="21"/>
  <c r="N298" i="21"/>
  <c r="U297" i="21"/>
  <c r="N297" i="21"/>
  <c r="N296" i="21"/>
  <c r="U296" i="21" s="1"/>
  <c r="N295" i="21"/>
  <c r="U295" i="21" s="1"/>
  <c r="U294" i="21"/>
  <c r="N294" i="21"/>
  <c r="N293" i="21"/>
  <c r="U293" i="21" s="1"/>
  <c r="U292" i="21"/>
  <c r="N292" i="21"/>
  <c r="N291" i="21"/>
  <c r="U291" i="21" s="1"/>
  <c r="N290" i="21"/>
  <c r="U290" i="21" s="1"/>
  <c r="N289" i="21"/>
  <c r="U289" i="21" s="1"/>
  <c r="N288" i="21"/>
  <c r="U288" i="21" s="1"/>
  <c r="N287" i="21"/>
  <c r="U287" i="21" s="1"/>
  <c r="U286" i="21"/>
  <c r="N286" i="21"/>
  <c r="N285" i="21"/>
  <c r="U285" i="21" s="1"/>
  <c r="N284" i="21"/>
  <c r="U284" i="21" s="1"/>
  <c r="J283" i="21"/>
  <c r="N283" i="21" s="1"/>
  <c r="N282" i="21"/>
  <c r="U282" i="21" s="1"/>
  <c r="U281" i="21"/>
  <c r="N281" i="21"/>
  <c r="N280" i="21"/>
  <c r="U280" i="21" s="1"/>
  <c r="N279" i="21"/>
  <c r="U279" i="21" s="1"/>
  <c r="U278" i="21"/>
  <c r="N278" i="21"/>
  <c r="N277" i="21"/>
  <c r="U277" i="21" s="1"/>
  <c r="N276" i="21"/>
  <c r="U276" i="21" s="1"/>
  <c r="N275" i="21"/>
  <c r="U275" i="21" s="1"/>
  <c r="N274" i="21"/>
  <c r="U274" i="21" s="1"/>
  <c r="N273" i="21"/>
  <c r="U273" i="21" s="1"/>
  <c r="N272" i="21"/>
  <c r="U272" i="21" s="1"/>
  <c r="U271" i="21"/>
  <c r="N271" i="21"/>
  <c r="N270" i="21"/>
  <c r="U270" i="21" s="1"/>
  <c r="N269" i="21"/>
  <c r="U269" i="21" s="1"/>
  <c r="N268" i="21"/>
  <c r="U268" i="21" s="1"/>
  <c r="N267" i="21"/>
  <c r="U267" i="21" s="1"/>
  <c r="N266" i="21"/>
  <c r="U266" i="21" s="1"/>
  <c r="N265" i="21"/>
  <c r="U265" i="21" s="1"/>
  <c r="U264" i="21"/>
  <c r="N264" i="21"/>
  <c r="U263" i="21"/>
  <c r="N263" i="21"/>
  <c r="U262" i="21"/>
  <c r="N262" i="21"/>
  <c r="N261" i="21"/>
  <c r="U261" i="21" s="1"/>
  <c r="N260" i="21"/>
  <c r="U260" i="21" s="1"/>
  <c r="N259" i="21"/>
  <c r="U259" i="21" s="1"/>
  <c r="U258" i="21"/>
  <c r="N258" i="21"/>
  <c r="N257" i="21"/>
  <c r="U257" i="21" s="1"/>
  <c r="N256" i="21"/>
  <c r="U256" i="21" s="1"/>
  <c r="U255" i="21"/>
  <c r="N255" i="21"/>
  <c r="N254" i="21"/>
  <c r="U254" i="21" s="1"/>
  <c r="N253" i="21"/>
  <c r="U253" i="21" s="1"/>
  <c r="U252" i="21"/>
  <c r="N252" i="21"/>
  <c r="N251" i="21"/>
  <c r="U251" i="21" s="1"/>
  <c r="N250" i="21"/>
  <c r="U250" i="21" s="1"/>
  <c r="U249" i="21"/>
  <c r="N249" i="21"/>
  <c r="N248" i="21"/>
  <c r="U248" i="21" s="1"/>
  <c r="N247" i="21"/>
  <c r="U247" i="21" s="1"/>
  <c r="U246" i="21"/>
  <c r="N246" i="21"/>
  <c r="N245" i="21"/>
  <c r="U245" i="21" s="1"/>
  <c r="N244" i="21"/>
  <c r="N243" i="21"/>
  <c r="J243" i="21"/>
  <c r="N242" i="21"/>
  <c r="N241" i="21"/>
  <c r="N240" i="21"/>
  <c r="U240" i="21" s="1"/>
  <c r="U239" i="21"/>
  <c r="S239" i="21"/>
  <c r="N239" i="21"/>
  <c r="J239" i="21"/>
  <c r="H239" i="21"/>
  <c r="F239" i="21"/>
  <c r="N238" i="21"/>
  <c r="U238" i="21" s="1"/>
  <c r="S237" i="21"/>
  <c r="U237" i="21" s="1"/>
  <c r="N237" i="21"/>
  <c r="O226" i="21" s="1"/>
  <c r="N236" i="21"/>
  <c r="U236" i="21" s="1"/>
  <c r="U235" i="21"/>
  <c r="N235" i="21"/>
  <c r="N234" i="21"/>
  <c r="U234" i="21" s="1"/>
  <c r="N233" i="21"/>
  <c r="U232" i="21"/>
  <c r="N232" i="21"/>
  <c r="N231" i="21"/>
  <c r="U231" i="21" s="1"/>
  <c r="N230" i="21"/>
  <c r="U230" i="21" s="1"/>
  <c r="N229" i="21"/>
  <c r="O229" i="21" s="1"/>
  <c r="J229" i="21"/>
  <c r="N228" i="21"/>
  <c r="U228" i="21" s="1"/>
  <c r="U227" i="21"/>
  <c r="N227" i="21"/>
  <c r="N226" i="21"/>
  <c r="U225" i="21"/>
  <c r="N225" i="21"/>
  <c r="U224" i="21"/>
  <c r="N224" i="21"/>
  <c r="N223" i="21"/>
  <c r="U223" i="21" s="1"/>
  <c r="N222" i="21"/>
  <c r="U222" i="21" s="1"/>
  <c r="U221" i="21"/>
  <c r="N221" i="21"/>
  <c r="U220" i="21"/>
  <c r="N220" i="21"/>
  <c r="U219" i="21"/>
  <c r="S219" i="21"/>
  <c r="N219" i="21"/>
  <c r="N218" i="21"/>
  <c r="U218" i="21" s="1"/>
  <c r="U217" i="21"/>
  <c r="N217" i="21"/>
  <c r="N216" i="21"/>
  <c r="U216" i="21" s="1"/>
  <c r="N215" i="21"/>
  <c r="U215" i="21" s="1"/>
  <c r="N214" i="21"/>
  <c r="U214" i="21" s="1"/>
  <c r="N213" i="21"/>
  <c r="U213" i="21" s="1"/>
  <c r="U212" i="21"/>
  <c r="N212" i="21"/>
  <c r="N211" i="21"/>
  <c r="U211" i="21" s="1"/>
  <c r="N210" i="21"/>
  <c r="U210" i="21" s="1"/>
  <c r="U209" i="21"/>
  <c r="N209" i="21"/>
  <c r="N208" i="21"/>
  <c r="U208" i="21" s="1"/>
  <c r="N207" i="21"/>
  <c r="J206" i="21"/>
  <c r="N206" i="21" s="1"/>
  <c r="U206" i="21" s="1"/>
  <c r="N205" i="21"/>
  <c r="U205" i="21" s="1"/>
  <c r="N204" i="21"/>
  <c r="U204" i="21" s="1"/>
  <c r="N203" i="21"/>
  <c r="U203" i="21" s="1"/>
  <c r="N202" i="21"/>
  <c r="U202" i="21" s="1"/>
  <c r="U201" i="21"/>
  <c r="N201" i="21"/>
  <c r="N200" i="21"/>
  <c r="U200" i="21" s="1"/>
  <c r="N199" i="21"/>
  <c r="U199" i="21" s="1"/>
  <c r="N198" i="21"/>
  <c r="U198" i="21" s="1"/>
  <c r="N197" i="21"/>
  <c r="U197" i="21" s="1"/>
  <c r="U196" i="21"/>
  <c r="N196" i="21"/>
  <c r="N195" i="21"/>
  <c r="U195" i="21" s="1"/>
  <c r="N194" i="21"/>
  <c r="U194" i="21" s="1"/>
  <c r="U193" i="21"/>
  <c r="N193" i="21"/>
  <c r="N192" i="21"/>
  <c r="U192" i="21" s="1"/>
  <c r="N191" i="21"/>
  <c r="U191" i="21" s="1"/>
  <c r="N190" i="21"/>
  <c r="U190" i="21" s="1"/>
  <c r="N189" i="21"/>
  <c r="U189" i="21" s="1"/>
  <c r="N188" i="21"/>
  <c r="U188" i="21" s="1"/>
  <c r="N187" i="21"/>
  <c r="U187" i="21" s="1"/>
  <c r="N186" i="21"/>
  <c r="U186" i="21" s="1"/>
  <c r="N185" i="21"/>
  <c r="U185" i="21" s="1"/>
  <c r="N184" i="21"/>
  <c r="U184" i="21" s="1"/>
  <c r="N183" i="21"/>
  <c r="U183" i="21" s="1"/>
  <c r="N182" i="21"/>
  <c r="U182" i="21" s="1"/>
  <c r="N181" i="21"/>
  <c r="U181" i="21" s="1"/>
  <c r="N180" i="21"/>
  <c r="U180" i="21" s="1"/>
  <c r="N179" i="21"/>
  <c r="U179" i="21" s="1"/>
  <c r="N178" i="21"/>
  <c r="U178" i="21" s="1"/>
  <c r="N177" i="21"/>
  <c r="N176" i="21"/>
  <c r="N175" i="21"/>
  <c r="S174" i="21"/>
  <c r="N174" i="21"/>
  <c r="N173" i="21"/>
  <c r="U173" i="21" s="1"/>
  <c r="U172" i="21"/>
  <c r="N172" i="21"/>
  <c r="N171" i="21"/>
  <c r="U171" i="21" s="1"/>
  <c r="U170" i="21"/>
  <c r="N170" i="21"/>
  <c r="N169" i="21"/>
  <c r="U169" i="21" s="1"/>
  <c r="U168" i="21"/>
  <c r="N168" i="21"/>
  <c r="U167" i="21"/>
  <c r="N167" i="21"/>
  <c r="N166" i="21"/>
  <c r="U166" i="21" s="1"/>
  <c r="N165" i="21"/>
  <c r="N164" i="21"/>
  <c r="U164" i="21" s="1"/>
  <c r="N163" i="21"/>
  <c r="U163" i="21" s="1"/>
  <c r="U162" i="21"/>
  <c r="N162" i="21"/>
  <c r="N161" i="21"/>
  <c r="U161" i="21" s="1"/>
  <c r="N160" i="21"/>
  <c r="U160" i="21" s="1"/>
  <c r="N159" i="21"/>
  <c r="U159" i="21" s="1"/>
  <c r="N158" i="21"/>
  <c r="U158" i="21" s="1"/>
  <c r="N157" i="21"/>
  <c r="U157" i="21" s="1"/>
  <c r="N156" i="21"/>
  <c r="U156" i="21" s="1"/>
  <c r="N155" i="21"/>
  <c r="U155" i="21" s="1"/>
  <c r="N154" i="21"/>
  <c r="N153" i="21"/>
  <c r="N152" i="21"/>
  <c r="S151" i="21"/>
  <c r="U151" i="21" s="1"/>
  <c r="N151" i="21"/>
  <c r="N150" i="21"/>
  <c r="U150" i="21" s="1"/>
  <c r="N149" i="21"/>
  <c r="U149" i="21" s="1"/>
  <c r="N148" i="21"/>
  <c r="U148" i="21" s="1"/>
  <c r="N147" i="21"/>
  <c r="U147" i="21" s="1"/>
  <c r="J146" i="21"/>
  <c r="N146" i="21" s="1"/>
  <c r="N145" i="21"/>
  <c r="U145" i="21" s="1"/>
  <c r="N144" i="21"/>
  <c r="U144" i="21" s="1"/>
  <c r="N143" i="21"/>
  <c r="U143" i="21" s="1"/>
  <c r="N142" i="21"/>
  <c r="U142" i="21" s="1"/>
  <c r="J141" i="21"/>
  <c r="N141" i="21" s="1"/>
  <c r="N140" i="21"/>
  <c r="N139" i="21"/>
  <c r="N138" i="21"/>
  <c r="N137" i="21"/>
  <c r="S136" i="21"/>
  <c r="U136" i="21" s="1"/>
  <c r="N136" i="21"/>
  <c r="U135" i="21"/>
  <c r="N135" i="21"/>
  <c r="N134" i="21"/>
  <c r="U134" i="21" s="1"/>
  <c r="U133" i="21"/>
  <c r="N133" i="21"/>
  <c r="U132" i="21"/>
  <c r="N132" i="21"/>
  <c r="N131" i="21"/>
  <c r="U131" i="21" s="1"/>
  <c r="N130" i="21"/>
  <c r="U130" i="21" s="1"/>
  <c r="N129" i="21"/>
  <c r="H128" i="21"/>
  <c r="N128" i="21" s="1"/>
  <c r="N127" i="21"/>
  <c r="U126" i="21"/>
  <c r="S126" i="21"/>
  <c r="J126" i="21"/>
  <c r="I126" i="21"/>
  <c r="H126" i="21"/>
  <c r="F126" i="21"/>
  <c r="N126" i="21" s="1"/>
  <c r="N125" i="21"/>
  <c r="U125" i="21" s="1"/>
  <c r="N124" i="21"/>
  <c r="U124" i="21" s="1"/>
  <c r="N123" i="21"/>
  <c r="U123" i="21" s="1"/>
  <c r="N122" i="21"/>
  <c r="U122" i="21" s="1"/>
  <c r="N121" i="21"/>
  <c r="U121" i="21" s="1"/>
  <c r="N120" i="21"/>
  <c r="U120" i="21" s="1"/>
  <c r="N119" i="21"/>
  <c r="U119" i="21" s="1"/>
  <c r="N118" i="21"/>
  <c r="U118" i="21" s="1"/>
  <c r="N117" i="21"/>
  <c r="U117" i="21" s="1"/>
  <c r="N116" i="21"/>
  <c r="U116" i="21" s="1"/>
  <c r="N115" i="21"/>
  <c r="U114" i="21"/>
  <c r="N114" i="21"/>
  <c r="U113" i="21"/>
  <c r="N113" i="21"/>
  <c r="U112" i="21"/>
  <c r="N112" i="21"/>
  <c r="N111" i="21"/>
  <c r="U111" i="21" s="1"/>
  <c r="U110" i="21"/>
  <c r="N110" i="21"/>
  <c r="U109" i="21"/>
  <c r="N109" i="21"/>
  <c r="N108" i="21"/>
  <c r="N107" i="21"/>
  <c r="N106" i="21"/>
  <c r="S105" i="21"/>
  <c r="N105" i="21"/>
  <c r="H105" i="21"/>
  <c r="S104" i="21"/>
  <c r="U104" i="21" s="1"/>
  <c r="O104" i="21"/>
  <c r="H104" i="21"/>
  <c r="F104" i="21"/>
  <c r="N104" i="21" s="1"/>
  <c r="U103" i="21"/>
  <c r="N103" i="21"/>
  <c r="U102" i="21"/>
  <c r="N102" i="21"/>
  <c r="N101" i="21"/>
  <c r="U101" i="21" s="1"/>
  <c r="N100" i="21"/>
  <c r="U100" i="21" s="1"/>
  <c r="U99" i="21"/>
  <c r="N99" i="21"/>
  <c r="U98" i="21"/>
  <c r="N98" i="21"/>
  <c r="U97" i="21"/>
  <c r="N97" i="21"/>
  <c r="N96" i="21"/>
  <c r="U96" i="21" s="1"/>
  <c r="U95" i="21"/>
  <c r="N95" i="21"/>
  <c r="U94" i="21"/>
  <c r="N94" i="21"/>
  <c r="N93" i="21"/>
  <c r="U93" i="21" s="1"/>
  <c r="N92" i="21"/>
  <c r="U92" i="21" s="1"/>
  <c r="U91" i="21"/>
  <c r="N91" i="21"/>
  <c r="U90" i="21"/>
  <c r="N90" i="21"/>
  <c r="U89" i="21"/>
  <c r="N89" i="21"/>
  <c r="N88" i="21"/>
  <c r="U88" i="21" s="1"/>
  <c r="U87" i="21"/>
  <c r="N87" i="21"/>
  <c r="U86" i="21"/>
  <c r="N86" i="21"/>
  <c r="N85" i="21"/>
  <c r="U85" i="21" s="1"/>
  <c r="N84" i="21"/>
  <c r="U84" i="21" s="1"/>
  <c r="U83" i="21"/>
  <c r="N83" i="21"/>
  <c r="N82" i="21"/>
  <c r="U82" i="21" s="1"/>
  <c r="U81" i="21"/>
  <c r="N81" i="21"/>
  <c r="N80" i="21"/>
  <c r="U80" i="21" s="1"/>
  <c r="U79" i="21"/>
  <c r="N79" i="21"/>
  <c r="U78" i="21"/>
  <c r="N78" i="21"/>
  <c r="N77" i="21"/>
  <c r="U77" i="21" s="1"/>
  <c r="N76" i="21"/>
  <c r="U76" i="21" s="1"/>
  <c r="U75" i="21"/>
  <c r="N75" i="21"/>
  <c r="U74" i="21"/>
  <c r="N74" i="21"/>
  <c r="U73" i="21"/>
  <c r="N73" i="21"/>
  <c r="N72" i="21"/>
  <c r="U72" i="21" s="1"/>
  <c r="U71" i="21"/>
  <c r="N71" i="21"/>
  <c r="U70" i="21"/>
  <c r="N70" i="21"/>
  <c r="N69" i="21"/>
  <c r="U69" i="21" s="1"/>
  <c r="N68" i="21"/>
  <c r="U68" i="21" s="1"/>
  <c r="U67" i="21"/>
  <c r="N67" i="21"/>
  <c r="U66" i="21"/>
  <c r="N66" i="21"/>
  <c r="U65" i="21"/>
  <c r="S65" i="21"/>
  <c r="N65" i="21"/>
  <c r="N64" i="21"/>
  <c r="U64" i="21" s="1"/>
  <c r="N63" i="21"/>
  <c r="U63" i="21" s="1"/>
  <c r="N62" i="21"/>
  <c r="U62" i="21" s="1"/>
  <c r="N61" i="21"/>
  <c r="U61" i="21" s="1"/>
  <c r="N60" i="21"/>
  <c r="U60" i="21" s="1"/>
  <c r="N59" i="21"/>
  <c r="U59" i="21" s="1"/>
  <c r="N58" i="21"/>
  <c r="U58" i="21" s="1"/>
  <c r="N57" i="21"/>
  <c r="U57" i="21" s="1"/>
  <c r="N56" i="21"/>
  <c r="U56" i="21" s="1"/>
  <c r="U55" i="21"/>
  <c r="N55" i="21"/>
  <c r="N54" i="21"/>
  <c r="U54" i="21" s="1"/>
  <c r="U53" i="21"/>
  <c r="S53" i="21"/>
  <c r="N53" i="21"/>
  <c r="U52" i="21"/>
  <c r="N52" i="21"/>
  <c r="N51" i="21"/>
  <c r="U51" i="21" s="1"/>
  <c r="U50" i="21"/>
  <c r="N50" i="21"/>
  <c r="N49" i="21"/>
  <c r="U49" i="21" s="1"/>
  <c r="S48" i="21"/>
  <c r="N48" i="21"/>
  <c r="U47" i="21"/>
  <c r="N47" i="21"/>
  <c r="N46" i="21"/>
  <c r="U46" i="21" s="1"/>
  <c r="N45" i="21"/>
  <c r="U45" i="21" s="1"/>
  <c r="U44" i="21"/>
  <c r="N44" i="21"/>
  <c r="S43" i="21"/>
  <c r="U43" i="21" s="1"/>
  <c r="O43" i="21"/>
  <c r="Q39" i="21" s="1"/>
  <c r="N43" i="21"/>
  <c r="N42" i="21"/>
  <c r="U42" i="21" s="1"/>
  <c r="U41" i="21"/>
  <c r="N41" i="21"/>
  <c r="U40" i="21"/>
  <c r="N40" i="21"/>
  <c r="N39" i="21"/>
  <c r="U39" i="21" s="1"/>
  <c r="S38" i="21"/>
  <c r="U38" i="21" s="1"/>
  <c r="N38" i="21"/>
  <c r="Q38" i="21" s="1"/>
  <c r="N37" i="21"/>
  <c r="J37" i="21"/>
  <c r="N36" i="21"/>
  <c r="U36" i="21" s="1"/>
  <c r="N35" i="21"/>
  <c r="U35" i="21" s="1"/>
  <c r="U34" i="21"/>
  <c r="N34" i="21"/>
  <c r="N33" i="21"/>
  <c r="U33" i="21" s="1"/>
  <c r="N32" i="21"/>
  <c r="U32" i="21" s="1"/>
  <c r="N31" i="21"/>
  <c r="U31" i="21" s="1"/>
  <c r="N30" i="21"/>
  <c r="U30" i="21" s="1"/>
  <c r="N29" i="21"/>
  <c r="U29" i="21" s="1"/>
  <c r="N28" i="21"/>
  <c r="U28" i="21" s="1"/>
  <c r="N27" i="21"/>
  <c r="U27" i="21" s="1"/>
  <c r="U26" i="21"/>
  <c r="N26" i="21"/>
  <c r="N25" i="21"/>
  <c r="U25" i="21" s="1"/>
  <c r="N24" i="21"/>
  <c r="U24" i="21" s="1"/>
  <c r="N23" i="21"/>
  <c r="U23" i="21" s="1"/>
  <c r="N22" i="21"/>
  <c r="U22" i="21" s="1"/>
  <c r="N21" i="21"/>
  <c r="U21" i="21" s="1"/>
  <c r="N20" i="21"/>
  <c r="U20" i="21" s="1"/>
  <c r="U19" i="21"/>
  <c r="N12" i="21"/>
  <c r="A5" i="21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U447" i="20"/>
  <c r="N447" i="20"/>
  <c r="N446" i="20"/>
  <c r="U446" i="20" s="1"/>
  <c r="N445" i="20"/>
  <c r="U445" i="20" s="1"/>
  <c r="U444" i="20"/>
  <c r="N444" i="20"/>
  <c r="N443" i="20"/>
  <c r="U443" i="20" s="1"/>
  <c r="U442" i="20"/>
  <c r="N442" i="20"/>
  <c r="N441" i="20"/>
  <c r="U441" i="20" s="1"/>
  <c r="U440" i="20"/>
  <c r="N440" i="20"/>
  <c r="N439" i="20"/>
  <c r="N438" i="20"/>
  <c r="N437" i="20"/>
  <c r="U437" i="20" s="1"/>
  <c r="N436" i="20"/>
  <c r="U436" i="20" s="1"/>
  <c r="U435" i="20"/>
  <c r="N435" i="20"/>
  <c r="U434" i="20"/>
  <c r="N434" i="20"/>
  <c r="U433" i="20"/>
  <c r="N433" i="20"/>
  <c r="N432" i="20"/>
  <c r="U432" i="20" s="1"/>
  <c r="U431" i="20"/>
  <c r="N431" i="20"/>
  <c r="U430" i="20"/>
  <c r="N430" i="20"/>
  <c r="N429" i="20"/>
  <c r="U429" i="20" s="1"/>
  <c r="N428" i="20"/>
  <c r="U428" i="20" s="1"/>
  <c r="U427" i="20"/>
  <c r="N427" i="20"/>
  <c r="U426" i="20"/>
  <c r="N426" i="20"/>
  <c r="U425" i="20"/>
  <c r="N425" i="20"/>
  <c r="N424" i="20"/>
  <c r="U424" i="20" s="1"/>
  <c r="U423" i="20"/>
  <c r="N423" i="20"/>
  <c r="U422" i="20"/>
  <c r="N422" i="20"/>
  <c r="N421" i="20"/>
  <c r="U421" i="20" s="1"/>
  <c r="N420" i="20"/>
  <c r="U420" i="20" s="1"/>
  <c r="U419" i="20"/>
  <c r="N419" i="20"/>
  <c r="N418" i="20"/>
  <c r="U418" i="20" s="1"/>
  <c r="U417" i="20"/>
  <c r="N417" i="20"/>
  <c r="N416" i="20"/>
  <c r="U416" i="20" s="1"/>
  <c r="U415" i="20"/>
  <c r="N415" i="20"/>
  <c r="U414" i="20"/>
  <c r="N414" i="20"/>
  <c r="N413" i="20"/>
  <c r="U413" i="20" s="1"/>
  <c r="N412" i="20"/>
  <c r="U412" i="20" s="1"/>
  <c r="U411" i="20"/>
  <c r="N411" i="20"/>
  <c r="U410" i="20"/>
  <c r="N410" i="20"/>
  <c r="U409" i="20"/>
  <c r="N409" i="20"/>
  <c r="N408" i="20"/>
  <c r="U408" i="20" s="1"/>
  <c r="U407" i="20"/>
  <c r="N407" i="20"/>
  <c r="U406" i="20"/>
  <c r="N406" i="20"/>
  <c r="N405" i="20"/>
  <c r="U405" i="20" s="1"/>
  <c r="N404" i="20"/>
  <c r="U404" i="20" s="1"/>
  <c r="U403" i="20"/>
  <c r="N403" i="20"/>
  <c r="N402" i="20"/>
  <c r="U402" i="20" s="1"/>
  <c r="U401" i="20"/>
  <c r="N401" i="20"/>
  <c r="N400" i="20"/>
  <c r="U400" i="20" s="1"/>
  <c r="U399" i="20"/>
  <c r="N399" i="20"/>
  <c r="U398" i="20"/>
  <c r="N398" i="20"/>
  <c r="N397" i="20"/>
  <c r="U397" i="20" s="1"/>
  <c r="N396" i="20"/>
  <c r="U396" i="20" s="1"/>
  <c r="U395" i="20"/>
  <c r="N395" i="20"/>
  <c r="U394" i="20"/>
  <c r="N394" i="20"/>
  <c r="U393" i="20"/>
  <c r="N393" i="20"/>
  <c r="N392" i="20"/>
  <c r="U392" i="20" s="1"/>
  <c r="U391" i="20"/>
  <c r="N391" i="20"/>
  <c r="U390" i="20"/>
  <c r="N390" i="20"/>
  <c r="N389" i="20"/>
  <c r="U389" i="20" s="1"/>
  <c r="N388" i="20"/>
  <c r="U388" i="20" s="1"/>
  <c r="U387" i="20"/>
  <c r="N387" i="20"/>
  <c r="N386" i="20"/>
  <c r="U386" i="20" s="1"/>
  <c r="U385" i="20"/>
  <c r="N385" i="20"/>
  <c r="N384" i="20"/>
  <c r="U384" i="20" s="1"/>
  <c r="U383" i="20"/>
  <c r="N383" i="20"/>
  <c r="U382" i="20"/>
  <c r="N382" i="20"/>
  <c r="N381" i="20"/>
  <c r="U381" i="20" s="1"/>
  <c r="N380" i="20"/>
  <c r="U380" i="20" s="1"/>
  <c r="U379" i="20"/>
  <c r="N379" i="20"/>
  <c r="N378" i="20"/>
  <c r="N377" i="20"/>
  <c r="N376" i="20"/>
  <c r="N375" i="20"/>
  <c r="N374" i="20"/>
  <c r="U374" i="20" s="1"/>
  <c r="U373" i="20"/>
  <c r="N373" i="20"/>
  <c r="U372" i="20"/>
  <c r="N372" i="20"/>
  <c r="N371" i="20"/>
  <c r="N370" i="20"/>
  <c r="U370" i="20" s="1"/>
  <c r="N369" i="20"/>
  <c r="U369" i="20" s="1"/>
  <c r="N368" i="20"/>
  <c r="U368" i="20" s="1"/>
  <c r="N367" i="20"/>
  <c r="U367" i="20" s="1"/>
  <c r="N366" i="20"/>
  <c r="U366" i="20" s="1"/>
  <c r="N365" i="20"/>
  <c r="U365" i="20" s="1"/>
  <c r="U364" i="20"/>
  <c r="N364" i="20"/>
  <c r="N363" i="20"/>
  <c r="U363" i="20" s="1"/>
  <c r="N362" i="20"/>
  <c r="U362" i="20" s="1"/>
  <c r="N361" i="20"/>
  <c r="U361" i="20" s="1"/>
  <c r="N360" i="20"/>
  <c r="U360" i="20" s="1"/>
  <c r="U359" i="20"/>
  <c r="N359" i="20"/>
  <c r="N358" i="20"/>
  <c r="U358" i="20" s="1"/>
  <c r="N357" i="20"/>
  <c r="U357" i="20" s="1"/>
  <c r="U356" i="20"/>
  <c r="N356" i="20"/>
  <c r="N355" i="20"/>
  <c r="U355" i="20" s="1"/>
  <c r="N354" i="20"/>
  <c r="U354" i="20" s="1"/>
  <c r="N353" i="20"/>
  <c r="U353" i="20" s="1"/>
  <c r="N352" i="20"/>
  <c r="U352" i="20" s="1"/>
  <c r="N351" i="20"/>
  <c r="U351" i="20" s="1"/>
  <c r="N350" i="20"/>
  <c r="U350" i="20" s="1"/>
  <c r="N349" i="20"/>
  <c r="U349" i="20" s="1"/>
  <c r="U348" i="20"/>
  <c r="N348" i="20"/>
  <c r="N347" i="20"/>
  <c r="U347" i="20" s="1"/>
  <c r="N346" i="20"/>
  <c r="U346" i="20" s="1"/>
  <c r="N345" i="20"/>
  <c r="U345" i="20" s="1"/>
  <c r="N344" i="20"/>
  <c r="U344" i="20" s="1"/>
  <c r="U343" i="20"/>
  <c r="N343" i="20"/>
  <c r="N342" i="20"/>
  <c r="U342" i="20" s="1"/>
  <c r="N341" i="20"/>
  <c r="U341" i="20" s="1"/>
  <c r="U340" i="20"/>
  <c r="N340" i="20"/>
  <c r="N339" i="20"/>
  <c r="U339" i="20" s="1"/>
  <c r="N338" i="20"/>
  <c r="U338" i="20" s="1"/>
  <c r="N337" i="20"/>
  <c r="U337" i="20" s="1"/>
  <c r="N336" i="20"/>
  <c r="U336" i="20" s="1"/>
  <c r="N335" i="20"/>
  <c r="U335" i="20" s="1"/>
  <c r="N334" i="20"/>
  <c r="U334" i="20" s="1"/>
  <c r="N333" i="20"/>
  <c r="U333" i="20" s="1"/>
  <c r="U332" i="20"/>
  <c r="N332" i="20"/>
  <c r="N331" i="20"/>
  <c r="U331" i="20" s="1"/>
  <c r="N330" i="20"/>
  <c r="U330" i="20" s="1"/>
  <c r="N329" i="20"/>
  <c r="U329" i="20" s="1"/>
  <c r="N328" i="20"/>
  <c r="U328" i="20" s="1"/>
  <c r="N327" i="20"/>
  <c r="U327" i="20" s="1"/>
  <c r="N326" i="20"/>
  <c r="U326" i="20" s="1"/>
  <c r="N325" i="20"/>
  <c r="U325" i="20" s="1"/>
  <c r="U324" i="20"/>
  <c r="N324" i="20"/>
  <c r="N323" i="20"/>
  <c r="U323" i="20" s="1"/>
  <c r="N322" i="20"/>
  <c r="U322" i="20" s="1"/>
  <c r="N321" i="20"/>
  <c r="U321" i="20" s="1"/>
  <c r="N320" i="20"/>
  <c r="U320" i="20" s="1"/>
  <c r="N319" i="20"/>
  <c r="U319" i="20" s="1"/>
  <c r="N318" i="20"/>
  <c r="U318" i="20" s="1"/>
  <c r="N317" i="20"/>
  <c r="U317" i="20" s="1"/>
  <c r="U316" i="20"/>
  <c r="N316" i="20"/>
  <c r="N315" i="20"/>
  <c r="U315" i="20" s="1"/>
  <c r="N314" i="20"/>
  <c r="U314" i="20" s="1"/>
  <c r="N313" i="20"/>
  <c r="U313" i="20" s="1"/>
  <c r="N312" i="20"/>
  <c r="U312" i="20" s="1"/>
  <c r="N311" i="20"/>
  <c r="U311" i="20" s="1"/>
  <c r="N310" i="20"/>
  <c r="U310" i="20" s="1"/>
  <c r="N309" i="20"/>
  <c r="U309" i="20" s="1"/>
  <c r="U308" i="20"/>
  <c r="N308" i="20"/>
  <c r="N307" i="20"/>
  <c r="U307" i="20" s="1"/>
  <c r="N306" i="20"/>
  <c r="U306" i="20" s="1"/>
  <c r="N305" i="20"/>
  <c r="U305" i="20" s="1"/>
  <c r="N304" i="20"/>
  <c r="U304" i="20" s="1"/>
  <c r="N303" i="20"/>
  <c r="U303" i="20" s="1"/>
  <c r="N302" i="20"/>
  <c r="U302" i="20" s="1"/>
  <c r="N301" i="20"/>
  <c r="U301" i="20" s="1"/>
  <c r="U300" i="20"/>
  <c r="N300" i="20"/>
  <c r="N299" i="20"/>
  <c r="U299" i="20" s="1"/>
  <c r="N298" i="20"/>
  <c r="U298" i="20" s="1"/>
  <c r="N297" i="20"/>
  <c r="U297" i="20" s="1"/>
  <c r="N296" i="20"/>
  <c r="U296" i="20" s="1"/>
  <c r="U295" i="20"/>
  <c r="N295" i="20"/>
  <c r="N294" i="20"/>
  <c r="U294" i="20" s="1"/>
  <c r="N293" i="20"/>
  <c r="U293" i="20" s="1"/>
  <c r="U292" i="20"/>
  <c r="N292" i="20"/>
  <c r="N291" i="20"/>
  <c r="U291" i="20" s="1"/>
  <c r="N290" i="20"/>
  <c r="U290" i="20" s="1"/>
  <c r="N289" i="20"/>
  <c r="U289" i="20" s="1"/>
  <c r="N288" i="20"/>
  <c r="U288" i="20" s="1"/>
  <c r="N287" i="20"/>
  <c r="U287" i="20" s="1"/>
  <c r="N286" i="20"/>
  <c r="U286" i="20" s="1"/>
  <c r="N285" i="20"/>
  <c r="U285" i="20" s="1"/>
  <c r="U284" i="20"/>
  <c r="N284" i="20"/>
  <c r="N283" i="20"/>
  <c r="U283" i="20" s="1"/>
  <c r="N282" i="20"/>
  <c r="U282" i="20" s="1"/>
  <c r="N281" i="20"/>
  <c r="U281" i="20" s="1"/>
  <c r="N280" i="20"/>
  <c r="U280" i="20" s="1"/>
  <c r="U279" i="20"/>
  <c r="N279" i="20"/>
  <c r="N278" i="20"/>
  <c r="U278" i="20" s="1"/>
  <c r="N277" i="20"/>
  <c r="U277" i="20" s="1"/>
  <c r="U276" i="20"/>
  <c r="N276" i="20"/>
  <c r="N275" i="20"/>
  <c r="U275" i="20" s="1"/>
  <c r="N274" i="20"/>
  <c r="U274" i="20" s="1"/>
  <c r="N273" i="20"/>
  <c r="U273" i="20" s="1"/>
  <c r="N272" i="20"/>
  <c r="U272" i="20" s="1"/>
  <c r="U271" i="20"/>
  <c r="N271" i="20"/>
  <c r="N270" i="20"/>
  <c r="U270" i="20" s="1"/>
  <c r="N269" i="20"/>
  <c r="U269" i="20" s="1"/>
  <c r="U268" i="20"/>
  <c r="N268" i="20"/>
  <c r="N267" i="20"/>
  <c r="U267" i="20" s="1"/>
  <c r="N266" i="20"/>
  <c r="U266" i="20" s="1"/>
  <c r="N265" i="20"/>
  <c r="U265" i="20" s="1"/>
  <c r="N264" i="20"/>
  <c r="U264" i="20" s="1"/>
  <c r="N263" i="20"/>
  <c r="U263" i="20" s="1"/>
  <c r="N262" i="20"/>
  <c r="U262" i="20" s="1"/>
  <c r="N261" i="20"/>
  <c r="U261" i="20" s="1"/>
  <c r="U260" i="20"/>
  <c r="N260" i="20"/>
  <c r="N259" i="20"/>
  <c r="U259" i="20" s="1"/>
  <c r="N258" i="20"/>
  <c r="U258" i="20" s="1"/>
  <c r="N257" i="20"/>
  <c r="U257" i="20" s="1"/>
  <c r="N256" i="20"/>
  <c r="U256" i="20" s="1"/>
  <c r="N255" i="20"/>
  <c r="U255" i="20" s="1"/>
  <c r="N254" i="20"/>
  <c r="U254" i="20" s="1"/>
  <c r="N253" i="20"/>
  <c r="U253" i="20" s="1"/>
  <c r="U252" i="20"/>
  <c r="N252" i="20"/>
  <c r="N251" i="20"/>
  <c r="U251" i="20" s="1"/>
  <c r="N250" i="20"/>
  <c r="U250" i="20" s="1"/>
  <c r="N249" i="20"/>
  <c r="U249" i="20" s="1"/>
  <c r="N248" i="20"/>
  <c r="U248" i="20" s="1"/>
  <c r="N247" i="20"/>
  <c r="U247" i="20" s="1"/>
  <c r="N246" i="20"/>
  <c r="U246" i="20" s="1"/>
  <c r="N245" i="20"/>
  <c r="U245" i="20" s="1"/>
  <c r="U244" i="20"/>
  <c r="N244" i="20"/>
  <c r="N243" i="20"/>
  <c r="N242" i="20"/>
  <c r="U242" i="20" s="1"/>
  <c r="N241" i="20"/>
  <c r="N240" i="20"/>
  <c r="U240" i="20" s="1"/>
  <c r="N239" i="20"/>
  <c r="U239" i="20" s="1"/>
  <c r="U238" i="20"/>
  <c r="N238" i="20"/>
  <c r="N237" i="20"/>
  <c r="N236" i="20"/>
  <c r="N235" i="20"/>
  <c r="U235" i="20" s="1"/>
  <c r="U234" i="20"/>
  <c r="N234" i="20"/>
  <c r="N233" i="20"/>
  <c r="N232" i="20"/>
  <c r="U232" i="20" s="1"/>
  <c r="N231" i="20"/>
  <c r="U231" i="20" s="1"/>
  <c r="U230" i="20"/>
  <c r="N230" i="20"/>
  <c r="U229" i="20"/>
  <c r="O229" i="20"/>
  <c r="N229" i="20"/>
  <c r="N228" i="20"/>
  <c r="U228" i="20" s="1"/>
  <c r="N227" i="20"/>
  <c r="U227" i="20" s="1"/>
  <c r="U226" i="20"/>
  <c r="N226" i="20"/>
  <c r="N225" i="20"/>
  <c r="U225" i="20" s="1"/>
  <c r="N224" i="20"/>
  <c r="U224" i="20" s="1"/>
  <c r="U223" i="20"/>
  <c r="N223" i="20"/>
  <c r="N222" i="20"/>
  <c r="N221" i="20"/>
  <c r="U220" i="20"/>
  <c r="N220" i="20"/>
  <c r="N219" i="20"/>
  <c r="N218" i="20"/>
  <c r="U218" i="20" s="1"/>
  <c r="U217" i="20"/>
  <c r="N217" i="20"/>
  <c r="N216" i="20"/>
  <c r="U216" i="20" s="1"/>
  <c r="N215" i="20"/>
  <c r="U215" i="20" s="1"/>
  <c r="N214" i="20"/>
  <c r="S213" i="20"/>
  <c r="N213" i="20"/>
  <c r="U213" i="20" s="1"/>
  <c r="U212" i="20"/>
  <c r="N212" i="20"/>
  <c r="N211" i="20"/>
  <c r="U211" i="20" s="1"/>
  <c r="N210" i="20"/>
  <c r="U210" i="20" s="1"/>
  <c r="U209" i="20"/>
  <c r="N209" i="20"/>
  <c r="N208" i="20"/>
  <c r="U208" i="20" s="1"/>
  <c r="N207" i="20"/>
  <c r="N206" i="20"/>
  <c r="N205" i="20"/>
  <c r="U205" i="20" s="1"/>
  <c r="N204" i="20"/>
  <c r="U204" i="20" s="1"/>
  <c r="N203" i="20"/>
  <c r="U202" i="20"/>
  <c r="N202" i="20"/>
  <c r="N201" i="20"/>
  <c r="N200" i="20"/>
  <c r="U200" i="20" s="1"/>
  <c r="U199" i="20"/>
  <c r="N199" i="20"/>
  <c r="N198" i="20"/>
  <c r="U198" i="20" s="1"/>
  <c r="N197" i="20"/>
  <c r="U197" i="20" s="1"/>
  <c r="N196" i="20"/>
  <c r="U196" i="20" s="1"/>
  <c r="N195" i="20"/>
  <c r="U195" i="20" s="1"/>
  <c r="N194" i="20"/>
  <c r="U194" i="20" s="1"/>
  <c r="N193" i="20"/>
  <c r="U193" i="20" s="1"/>
  <c r="N192" i="20"/>
  <c r="U192" i="20" s="1"/>
  <c r="U191" i="20"/>
  <c r="N191" i="20"/>
  <c r="N190" i="20"/>
  <c r="U190" i="20" s="1"/>
  <c r="N189" i="20"/>
  <c r="U189" i="20" s="1"/>
  <c r="N188" i="20"/>
  <c r="U188" i="20" s="1"/>
  <c r="N187" i="20"/>
  <c r="U187" i="20" s="1"/>
  <c r="U186" i="20"/>
  <c r="N186" i="20"/>
  <c r="N185" i="20"/>
  <c r="U185" i="20" s="1"/>
  <c r="N184" i="20"/>
  <c r="U184" i="20" s="1"/>
  <c r="U183" i="20"/>
  <c r="N183" i="20"/>
  <c r="N182" i="20"/>
  <c r="U182" i="20" s="1"/>
  <c r="N181" i="20"/>
  <c r="U181" i="20" s="1"/>
  <c r="N180" i="20"/>
  <c r="U180" i="20" s="1"/>
  <c r="N179" i="20"/>
  <c r="U178" i="20"/>
  <c r="N178" i="20"/>
  <c r="U177" i="20"/>
  <c r="N177" i="20"/>
  <c r="N176" i="20"/>
  <c r="N175" i="20"/>
  <c r="N174" i="20"/>
  <c r="U173" i="20"/>
  <c r="N173" i="20"/>
  <c r="N172" i="20"/>
  <c r="U172" i="20" s="1"/>
  <c r="N171" i="20"/>
  <c r="U171" i="20" s="1"/>
  <c r="N170" i="20"/>
  <c r="U170" i="20" s="1"/>
  <c r="N169" i="20"/>
  <c r="U169" i="20" s="1"/>
  <c r="N168" i="20"/>
  <c r="U168" i="20" s="1"/>
  <c r="N167" i="20"/>
  <c r="U167" i="20" s="1"/>
  <c r="N166" i="20"/>
  <c r="U166" i="20" s="1"/>
  <c r="U165" i="20"/>
  <c r="N165" i="20"/>
  <c r="N164" i="20"/>
  <c r="U164" i="20" s="1"/>
  <c r="N163" i="20"/>
  <c r="U163" i="20" s="1"/>
  <c r="N162" i="20"/>
  <c r="U162" i="20" s="1"/>
  <c r="N161" i="20"/>
  <c r="N160" i="20"/>
  <c r="U160" i="20" s="1"/>
  <c r="U159" i="20"/>
  <c r="N159" i="20"/>
  <c r="N158" i="20"/>
  <c r="U158" i="20" s="1"/>
  <c r="U157" i="20"/>
  <c r="N157" i="20"/>
  <c r="U156" i="20"/>
  <c r="N156" i="20"/>
  <c r="N155" i="20"/>
  <c r="U155" i="20" s="1"/>
  <c r="N154" i="20"/>
  <c r="U154" i="20" s="1"/>
  <c r="N153" i="20"/>
  <c r="N152" i="20"/>
  <c r="U152" i="20" s="1"/>
  <c r="N151" i="20"/>
  <c r="U150" i="20"/>
  <c r="N150" i="20"/>
  <c r="N149" i="20"/>
  <c r="U149" i="20" s="1"/>
  <c r="N148" i="20"/>
  <c r="N147" i="20"/>
  <c r="N146" i="20"/>
  <c r="N145" i="20"/>
  <c r="N144" i="20"/>
  <c r="U144" i="20" s="1"/>
  <c r="N143" i="20"/>
  <c r="U143" i="20" s="1"/>
  <c r="U142" i="20"/>
  <c r="N142" i="20"/>
  <c r="N141" i="20"/>
  <c r="N140" i="20"/>
  <c r="N139" i="20"/>
  <c r="N138" i="20"/>
  <c r="N137" i="20"/>
  <c r="N136" i="20"/>
  <c r="U135" i="20"/>
  <c r="N135" i="20"/>
  <c r="U134" i="20"/>
  <c r="N134" i="20"/>
  <c r="N133" i="20"/>
  <c r="U133" i="20" s="1"/>
  <c r="N132" i="20"/>
  <c r="U132" i="20" s="1"/>
  <c r="U131" i="20"/>
  <c r="N131" i="20"/>
  <c r="N130" i="20"/>
  <c r="N129" i="20"/>
  <c r="U128" i="20"/>
  <c r="N128" i="20"/>
  <c r="N127" i="20"/>
  <c r="N126" i="20"/>
  <c r="U125" i="20"/>
  <c r="N125" i="20"/>
  <c r="U124" i="20"/>
  <c r="N124" i="20"/>
  <c r="N123" i="20"/>
  <c r="U123" i="20" s="1"/>
  <c r="N122" i="20"/>
  <c r="U122" i="20" s="1"/>
  <c r="U121" i="20"/>
  <c r="N121" i="20"/>
  <c r="N120" i="20"/>
  <c r="U120" i="20" s="1"/>
  <c r="U119" i="20"/>
  <c r="N119" i="20"/>
  <c r="N118" i="20"/>
  <c r="U118" i="20" s="1"/>
  <c r="U117" i="20"/>
  <c r="N117" i="20"/>
  <c r="U116" i="20"/>
  <c r="N116" i="20"/>
  <c r="N115" i="20"/>
  <c r="N114" i="20"/>
  <c r="U114" i="20" s="1"/>
  <c r="N113" i="20"/>
  <c r="U113" i="20" s="1"/>
  <c r="N112" i="20"/>
  <c r="U112" i="20" s="1"/>
  <c r="U111" i="20"/>
  <c r="N111" i="20"/>
  <c r="N110" i="20"/>
  <c r="U110" i="20" s="1"/>
  <c r="N109" i="20"/>
  <c r="N108" i="20"/>
  <c r="N107" i="20"/>
  <c r="N106" i="20"/>
  <c r="N105" i="20"/>
  <c r="N104" i="20"/>
  <c r="O104" i="20" s="1"/>
  <c r="N103" i="20"/>
  <c r="U103" i="20" s="1"/>
  <c r="U102" i="20"/>
  <c r="N102" i="20"/>
  <c r="N101" i="20"/>
  <c r="U101" i="20" s="1"/>
  <c r="U100" i="20"/>
  <c r="N100" i="20"/>
  <c r="N99" i="20"/>
  <c r="U99" i="20" s="1"/>
  <c r="U98" i="20"/>
  <c r="N98" i="20"/>
  <c r="U97" i="20"/>
  <c r="N97" i="20"/>
  <c r="N96" i="20"/>
  <c r="U96" i="20" s="1"/>
  <c r="N95" i="20"/>
  <c r="U95" i="20" s="1"/>
  <c r="N94" i="20"/>
  <c r="N93" i="20"/>
  <c r="U93" i="20" s="1"/>
  <c r="U92" i="20"/>
  <c r="N92" i="20"/>
  <c r="N91" i="20"/>
  <c r="N90" i="20"/>
  <c r="U90" i="20" s="1"/>
  <c r="U89" i="20"/>
  <c r="N89" i="20"/>
  <c r="U88" i="20"/>
  <c r="N88" i="20"/>
  <c r="N87" i="20"/>
  <c r="U87" i="20" s="1"/>
  <c r="N86" i="20"/>
  <c r="U86" i="20" s="1"/>
  <c r="U85" i="20"/>
  <c r="N85" i="20"/>
  <c r="U84" i="20"/>
  <c r="N84" i="20"/>
  <c r="U83" i="20"/>
  <c r="N83" i="20"/>
  <c r="N82" i="20"/>
  <c r="U82" i="20" s="1"/>
  <c r="U81" i="20"/>
  <c r="N81" i="20"/>
  <c r="U80" i="20"/>
  <c r="N80" i="20"/>
  <c r="N79" i="20"/>
  <c r="U79" i="20" s="1"/>
  <c r="N78" i="20"/>
  <c r="U78" i="20" s="1"/>
  <c r="U77" i="20"/>
  <c r="N77" i="20"/>
  <c r="U76" i="20"/>
  <c r="N76" i="20"/>
  <c r="U75" i="20"/>
  <c r="N75" i="20"/>
  <c r="N74" i="20"/>
  <c r="U74" i="20" s="1"/>
  <c r="U73" i="20"/>
  <c r="N73" i="20"/>
  <c r="U72" i="20"/>
  <c r="N72" i="20"/>
  <c r="N71" i="20"/>
  <c r="U71" i="20" s="1"/>
  <c r="N70" i="20"/>
  <c r="U70" i="20" s="1"/>
  <c r="N69" i="20"/>
  <c r="N68" i="20"/>
  <c r="U68" i="20" s="1"/>
  <c r="N67" i="20"/>
  <c r="U67" i="20" s="1"/>
  <c r="N66" i="20"/>
  <c r="N65" i="20"/>
  <c r="U65" i="20" s="1"/>
  <c r="U64" i="20"/>
  <c r="N64" i="20"/>
  <c r="N63" i="20"/>
  <c r="N62" i="20"/>
  <c r="U62" i="20" s="1"/>
  <c r="N61" i="20"/>
  <c r="U61" i="20" s="1"/>
  <c r="N60" i="20"/>
  <c r="U60" i="20" s="1"/>
  <c r="N59" i="20"/>
  <c r="U59" i="20" s="1"/>
  <c r="N58" i="20"/>
  <c r="U57" i="20"/>
  <c r="N57" i="20"/>
  <c r="N56" i="20"/>
  <c r="U56" i="20" s="1"/>
  <c r="U55" i="20"/>
  <c r="N55" i="20"/>
  <c r="U54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O43" i="20" s="1"/>
  <c r="Q39" i="20" s="1"/>
  <c r="U42" i="20"/>
  <c r="N42" i="20"/>
  <c r="U41" i="20"/>
  <c r="N41" i="20"/>
  <c r="N40" i="20"/>
  <c r="U40" i="20" s="1"/>
  <c r="N39" i="20"/>
  <c r="U39" i="20" s="1"/>
  <c r="N38" i="20"/>
  <c r="U38" i="20" s="1"/>
  <c r="N37" i="20"/>
  <c r="F37" i="20"/>
  <c r="N36" i="20"/>
  <c r="U36" i="20" s="1"/>
  <c r="N35" i="20"/>
  <c r="U34" i="20"/>
  <c r="N34" i="20"/>
  <c r="N33" i="20"/>
  <c r="U33" i="20" s="1"/>
  <c r="N32" i="20"/>
  <c r="U32" i="20" s="1"/>
  <c r="N31" i="20"/>
  <c r="U31" i="20" s="1"/>
  <c r="N30" i="20"/>
  <c r="U30" i="20" s="1"/>
  <c r="N29" i="20"/>
  <c r="U29" i="20" s="1"/>
  <c r="N28" i="20"/>
  <c r="U28" i="20" s="1"/>
  <c r="N27" i="20"/>
  <c r="U27" i="20" s="1"/>
  <c r="U26" i="20"/>
  <c r="N26" i="20"/>
  <c r="N25" i="20"/>
  <c r="N24" i="20"/>
  <c r="U24" i="20" s="1"/>
  <c r="N23" i="20"/>
  <c r="U23" i="20" s="1"/>
  <c r="U22" i="20"/>
  <c r="N22" i="20"/>
  <c r="N21" i="20"/>
  <c r="U21" i="20" s="1"/>
  <c r="N20" i="20"/>
  <c r="U19" i="20"/>
  <c r="N12" i="20"/>
  <c r="A5" i="20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522" i="19" s="1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V450" i="19"/>
  <c r="V449" i="19"/>
  <c r="AX447" i="19"/>
  <c r="AQ447" i="19"/>
  <c r="AQ446" i="19"/>
  <c r="AX446" i="19" s="1"/>
  <c r="AQ445" i="19"/>
  <c r="AX445" i="19" s="1"/>
  <c r="AX444" i="19"/>
  <c r="AQ444" i="19"/>
  <c r="AQ443" i="19"/>
  <c r="AX443" i="19" s="1"/>
  <c r="AX442" i="19"/>
  <c r="AQ442" i="19"/>
  <c r="AQ441" i="19"/>
  <c r="AX441" i="19" s="1"/>
  <c r="AX440" i="19"/>
  <c r="AQ440" i="19"/>
  <c r="AQ439" i="19"/>
  <c r="AQ438" i="19"/>
  <c r="AQ437" i="19"/>
  <c r="AX437" i="19" s="1"/>
  <c r="AQ436" i="19"/>
  <c r="AX436" i="19" s="1"/>
  <c r="AX435" i="19"/>
  <c r="AQ435" i="19"/>
  <c r="AX434" i="19"/>
  <c r="AQ434" i="19"/>
  <c r="AX433" i="19"/>
  <c r="AQ433" i="19"/>
  <c r="AQ432" i="19"/>
  <c r="AX432" i="19" s="1"/>
  <c r="AX431" i="19"/>
  <c r="AQ431" i="19"/>
  <c r="AX430" i="19"/>
  <c r="AQ430" i="19"/>
  <c r="AQ429" i="19"/>
  <c r="AX429" i="19" s="1"/>
  <c r="AQ428" i="19"/>
  <c r="AX428" i="19" s="1"/>
  <c r="AX427" i="19"/>
  <c r="AQ427" i="19"/>
  <c r="AX426" i="19"/>
  <c r="AQ426" i="19"/>
  <c r="AX425" i="19"/>
  <c r="AQ425" i="19"/>
  <c r="AQ424" i="19"/>
  <c r="AX424" i="19" s="1"/>
  <c r="AX423" i="19"/>
  <c r="AQ423" i="19"/>
  <c r="AX422" i="19"/>
  <c r="AQ422" i="19"/>
  <c r="AQ421" i="19"/>
  <c r="AX421" i="19" s="1"/>
  <c r="AQ420" i="19"/>
  <c r="AX420" i="19" s="1"/>
  <c r="AX419" i="19"/>
  <c r="AQ419" i="19"/>
  <c r="AX418" i="19"/>
  <c r="AQ418" i="19"/>
  <c r="AX417" i="19"/>
  <c r="AQ417" i="19"/>
  <c r="AQ416" i="19"/>
  <c r="AX416" i="19" s="1"/>
  <c r="AX415" i="19"/>
  <c r="AQ415" i="19"/>
  <c r="AX414" i="19"/>
  <c r="AQ414" i="19"/>
  <c r="AQ413" i="19"/>
  <c r="AX413" i="19" s="1"/>
  <c r="AQ412" i="19"/>
  <c r="AX412" i="19" s="1"/>
  <c r="AX411" i="19"/>
  <c r="AQ411" i="19"/>
  <c r="AX410" i="19"/>
  <c r="AQ410" i="19"/>
  <c r="AX409" i="19"/>
  <c r="AQ409" i="19"/>
  <c r="AQ408" i="19"/>
  <c r="AX408" i="19" s="1"/>
  <c r="AX407" i="19"/>
  <c r="AQ407" i="19"/>
  <c r="AX406" i="19"/>
  <c r="AQ406" i="19"/>
  <c r="AQ405" i="19"/>
  <c r="AX405" i="19" s="1"/>
  <c r="AQ404" i="19"/>
  <c r="AX404" i="19" s="1"/>
  <c r="AX403" i="19"/>
  <c r="AQ403" i="19"/>
  <c r="AQ402" i="19"/>
  <c r="AX402" i="19" s="1"/>
  <c r="AX401" i="19"/>
  <c r="AQ401" i="19"/>
  <c r="AQ400" i="19"/>
  <c r="AX400" i="19" s="1"/>
  <c r="AX399" i="19"/>
  <c r="AQ399" i="19"/>
  <c r="AX398" i="19"/>
  <c r="AQ398" i="19"/>
  <c r="AQ397" i="19"/>
  <c r="AX397" i="19" s="1"/>
  <c r="AQ396" i="19"/>
  <c r="AX396" i="19" s="1"/>
  <c r="AX395" i="19"/>
  <c r="AQ395" i="19"/>
  <c r="AX394" i="19"/>
  <c r="AQ394" i="19"/>
  <c r="AX393" i="19"/>
  <c r="AQ393" i="19"/>
  <c r="AQ392" i="19"/>
  <c r="AX392" i="19" s="1"/>
  <c r="AX391" i="19"/>
  <c r="AQ391" i="19"/>
  <c r="AX390" i="19"/>
  <c r="AQ390" i="19"/>
  <c r="AQ389" i="19"/>
  <c r="AX389" i="19" s="1"/>
  <c r="AQ388" i="19"/>
  <c r="AX388" i="19" s="1"/>
  <c r="AX387" i="19"/>
  <c r="AQ387" i="19"/>
  <c r="AQ386" i="19"/>
  <c r="AX386" i="19" s="1"/>
  <c r="AX385" i="19"/>
  <c r="AQ385" i="19"/>
  <c r="AQ384" i="19"/>
  <c r="AX384" i="19" s="1"/>
  <c r="AX383" i="19"/>
  <c r="AQ383" i="19"/>
  <c r="AX382" i="19"/>
  <c r="AQ382" i="19"/>
  <c r="AQ381" i="19"/>
  <c r="AX381" i="19" s="1"/>
  <c r="AQ380" i="19"/>
  <c r="AX380" i="19" s="1"/>
  <c r="AX379" i="19"/>
  <c r="AQ379" i="19"/>
  <c r="AQ378" i="19"/>
  <c r="AQ377" i="19"/>
  <c r="AQ376" i="19"/>
  <c r="AQ375" i="19"/>
  <c r="AQ374" i="19"/>
  <c r="AX374" i="19" s="1"/>
  <c r="AX373" i="19"/>
  <c r="AQ373" i="19"/>
  <c r="AX372" i="19"/>
  <c r="AQ372" i="19"/>
  <c r="AQ371" i="19"/>
  <c r="AQ370" i="19"/>
  <c r="AX370" i="19" s="1"/>
  <c r="AQ369" i="19"/>
  <c r="AX369" i="19" s="1"/>
  <c r="AQ368" i="19"/>
  <c r="AX368" i="19" s="1"/>
  <c r="AX367" i="19"/>
  <c r="AQ367" i="19"/>
  <c r="AQ366" i="19"/>
  <c r="AX366" i="19" s="1"/>
  <c r="AQ365" i="19"/>
  <c r="AX365" i="19" s="1"/>
  <c r="AX364" i="19"/>
  <c r="AQ364" i="19"/>
  <c r="AQ363" i="19"/>
  <c r="AX363" i="19" s="1"/>
  <c r="AQ362" i="19"/>
  <c r="AX362" i="19" s="1"/>
  <c r="AQ361" i="19"/>
  <c r="AX361" i="19" s="1"/>
  <c r="AQ360" i="19"/>
  <c r="AX360" i="19" s="1"/>
  <c r="AX359" i="19"/>
  <c r="AQ359" i="19"/>
  <c r="AQ358" i="19"/>
  <c r="AX358" i="19" s="1"/>
  <c r="AQ357" i="19"/>
  <c r="AX357" i="19" s="1"/>
  <c r="AX356" i="19"/>
  <c r="AQ356" i="19"/>
  <c r="AQ355" i="19"/>
  <c r="AX355" i="19" s="1"/>
  <c r="AQ354" i="19"/>
  <c r="AX354" i="19" s="1"/>
  <c r="AQ353" i="19"/>
  <c r="AX353" i="19" s="1"/>
  <c r="AQ352" i="19"/>
  <c r="AX352" i="19" s="1"/>
  <c r="AX351" i="19"/>
  <c r="AQ351" i="19"/>
  <c r="AQ350" i="19"/>
  <c r="AX350" i="19" s="1"/>
  <c r="AQ349" i="19"/>
  <c r="AX349" i="19" s="1"/>
  <c r="AX348" i="19"/>
  <c r="AQ348" i="19"/>
  <c r="AQ347" i="19"/>
  <c r="AX347" i="19" s="1"/>
  <c r="AQ346" i="19"/>
  <c r="AX346" i="19" s="1"/>
  <c r="AQ345" i="19"/>
  <c r="AX345" i="19" s="1"/>
  <c r="AQ344" i="19"/>
  <c r="AX344" i="19" s="1"/>
  <c r="AQ343" i="19"/>
  <c r="AX343" i="19" s="1"/>
  <c r="AQ342" i="19"/>
  <c r="AX342" i="19" s="1"/>
  <c r="AQ341" i="19"/>
  <c r="AX341" i="19" s="1"/>
  <c r="AX340" i="19"/>
  <c r="AQ340" i="19"/>
  <c r="AQ339" i="19"/>
  <c r="AX339" i="19" s="1"/>
  <c r="AQ338" i="19"/>
  <c r="AX338" i="19" s="1"/>
  <c r="AQ337" i="19"/>
  <c r="AX337" i="19" s="1"/>
  <c r="AQ336" i="19"/>
  <c r="AX336" i="19" s="1"/>
  <c r="AX335" i="19"/>
  <c r="AQ335" i="19"/>
  <c r="AQ334" i="19"/>
  <c r="AX334" i="19" s="1"/>
  <c r="AQ333" i="19"/>
  <c r="AX333" i="19" s="1"/>
  <c r="AX332" i="19"/>
  <c r="AQ332" i="19"/>
  <c r="AQ331" i="19"/>
  <c r="AX331" i="19" s="1"/>
  <c r="AQ330" i="19"/>
  <c r="AX330" i="19" s="1"/>
  <c r="AQ329" i="19"/>
  <c r="AX329" i="19" s="1"/>
  <c r="AQ328" i="19"/>
  <c r="AX328" i="19" s="1"/>
  <c r="AQ327" i="19"/>
  <c r="AX327" i="19" s="1"/>
  <c r="AQ326" i="19"/>
  <c r="AX326" i="19" s="1"/>
  <c r="AQ325" i="19"/>
  <c r="AX325" i="19" s="1"/>
  <c r="AX324" i="19"/>
  <c r="AQ324" i="19"/>
  <c r="AQ323" i="19"/>
  <c r="AX323" i="19" s="1"/>
  <c r="AQ322" i="19"/>
  <c r="AX322" i="19" s="1"/>
  <c r="AQ321" i="19"/>
  <c r="AX321" i="19" s="1"/>
  <c r="AQ320" i="19"/>
  <c r="AX320" i="19" s="1"/>
  <c r="AQ319" i="19"/>
  <c r="AX319" i="19" s="1"/>
  <c r="AQ318" i="19"/>
  <c r="AX318" i="19" s="1"/>
  <c r="AX317" i="19"/>
  <c r="AQ317" i="19"/>
  <c r="AX316" i="19"/>
  <c r="AQ316" i="19"/>
  <c r="AQ315" i="19"/>
  <c r="AX315" i="19" s="1"/>
  <c r="AQ314" i="19"/>
  <c r="AX314" i="19" s="1"/>
  <c r="AQ313" i="19"/>
  <c r="AX313" i="19" s="1"/>
  <c r="AQ312" i="19"/>
  <c r="AX312" i="19" s="1"/>
  <c r="AQ311" i="19"/>
  <c r="AX311" i="19" s="1"/>
  <c r="AQ310" i="19"/>
  <c r="AX310" i="19" s="1"/>
  <c r="AX309" i="19"/>
  <c r="AQ309" i="19"/>
  <c r="AX308" i="19"/>
  <c r="AQ308" i="19"/>
  <c r="AQ307" i="19"/>
  <c r="AX307" i="19" s="1"/>
  <c r="AQ306" i="19"/>
  <c r="AX306" i="19" s="1"/>
  <c r="AQ305" i="19"/>
  <c r="AX305" i="19" s="1"/>
  <c r="AQ304" i="19"/>
  <c r="AX304" i="19" s="1"/>
  <c r="AX303" i="19"/>
  <c r="AQ303" i="19"/>
  <c r="AQ302" i="19"/>
  <c r="AX302" i="19" s="1"/>
  <c r="AX301" i="19"/>
  <c r="AQ301" i="19"/>
  <c r="AX300" i="19"/>
  <c r="AQ300" i="19"/>
  <c r="AQ299" i="19"/>
  <c r="AX299" i="19" s="1"/>
  <c r="AQ298" i="19"/>
  <c r="AX298" i="19" s="1"/>
  <c r="AQ297" i="19"/>
  <c r="AX297" i="19" s="1"/>
  <c r="AQ296" i="19"/>
  <c r="AX296" i="19" s="1"/>
  <c r="AQ295" i="19"/>
  <c r="AX295" i="19" s="1"/>
  <c r="AQ294" i="19"/>
  <c r="AX294" i="19" s="1"/>
  <c r="AQ293" i="19"/>
  <c r="AX293" i="19" s="1"/>
  <c r="AX292" i="19"/>
  <c r="AQ292" i="19"/>
  <c r="AQ291" i="19"/>
  <c r="AX291" i="19" s="1"/>
  <c r="AQ290" i="19"/>
  <c r="AX290" i="19" s="1"/>
  <c r="AQ289" i="19"/>
  <c r="AX289" i="19" s="1"/>
  <c r="AQ288" i="19"/>
  <c r="AX288" i="19" s="1"/>
  <c r="AX287" i="19"/>
  <c r="AQ287" i="19"/>
  <c r="AQ286" i="19"/>
  <c r="AX286" i="19" s="1"/>
  <c r="AQ285" i="19"/>
  <c r="AX285" i="19" s="1"/>
  <c r="AX284" i="19"/>
  <c r="AQ284" i="19"/>
  <c r="AQ283" i="19"/>
  <c r="AX283" i="19" s="1"/>
  <c r="AQ282" i="19"/>
  <c r="AX282" i="19" s="1"/>
  <c r="AQ281" i="19"/>
  <c r="AX281" i="19" s="1"/>
  <c r="AQ280" i="19"/>
  <c r="AX280" i="19" s="1"/>
  <c r="AQ279" i="19"/>
  <c r="AX279" i="19" s="1"/>
  <c r="AQ278" i="19"/>
  <c r="AX278" i="19" s="1"/>
  <c r="AX277" i="19"/>
  <c r="AQ277" i="19"/>
  <c r="AX276" i="19"/>
  <c r="AQ276" i="19"/>
  <c r="AQ275" i="19"/>
  <c r="AX275" i="19" s="1"/>
  <c r="AQ274" i="19"/>
  <c r="AX274" i="19" s="1"/>
  <c r="AX273" i="19"/>
  <c r="AQ273" i="19"/>
  <c r="AQ272" i="19"/>
  <c r="AX272" i="19" s="1"/>
  <c r="AX271" i="19"/>
  <c r="AQ271" i="19"/>
  <c r="AQ270" i="19"/>
  <c r="AX270" i="19" s="1"/>
  <c r="AX269" i="19"/>
  <c r="AQ269" i="19"/>
  <c r="AX268" i="19"/>
  <c r="AQ268" i="19"/>
  <c r="AQ267" i="19"/>
  <c r="AX267" i="19" s="1"/>
  <c r="AQ266" i="19"/>
  <c r="AX266" i="19" s="1"/>
  <c r="AQ265" i="19"/>
  <c r="AX265" i="19" s="1"/>
  <c r="AQ264" i="19"/>
  <c r="AX264" i="19" s="1"/>
  <c r="AQ263" i="19"/>
  <c r="AX263" i="19" s="1"/>
  <c r="AQ262" i="19"/>
  <c r="AX262" i="19" s="1"/>
  <c r="AQ261" i="19"/>
  <c r="AX261" i="19" s="1"/>
  <c r="AX260" i="19"/>
  <c r="AQ260" i="19"/>
  <c r="AQ259" i="19"/>
  <c r="AX259" i="19" s="1"/>
  <c r="AQ258" i="19"/>
  <c r="AX258" i="19" s="1"/>
  <c r="AQ257" i="19"/>
  <c r="AX257" i="19" s="1"/>
  <c r="AQ256" i="19"/>
  <c r="AX256" i="19" s="1"/>
  <c r="AX255" i="19"/>
  <c r="AQ255" i="19"/>
  <c r="AQ254" i="19"/>
  <c r="AX254" i="19" s="1"/>
  <c r="AQ253" i="19"/>
  <c r="AX253" i="19" s="1"/>
  <c r="AQ252" i="19"/>
  <c r="AX252" i="19" s="1"/>
  <c r="AQ251" i="19"/>
  <c r="AX251" i="19" s="1"/>
  <c r="AQ250" i="19"/>
  <c r="AX250" i="19" s="1"/>
  <c r="AX249" i="19"/>
  <c r="AQ249" i="19"/>
  <c r="AQ248" i="19"/>
  <c r="AX248" i="19" s="1"/>
  <c r="AX247" i="19"/>
  <c r="AQ247" i="19"/>
  <c r="AQ246" i="19"/>
  <c r="AX246" i="19" s="1"/>
  <c r="AX245" i="19"/>
  <c r="AQ245" i="19"/>
  <c r="AQ244" i="19"/>
  <c r="AX244" i="19" s="1"/>
  <c r="AQ243" i="19"/>
  <c r="AQ242" i="19"/>
  <c r="AX242" i="19" s="1"/>
  <c r="AQ241" i="19"/>
  <c r="AQ240" i="19"/>
  <c r="AX240" i="19" s="1"/>
  <c r="AQ239" i="19"/>
  <c r="AX239" i="19" s="1"/>
  <c r="AQ238" i="19"/>
  <c r="AX238" i="19" s="1"/>
  <c r="AQ237" i="19"/>
  <c r="AQ236" i="19"/>
  <c r="AX235" i="19"/>
  <c r="AQ235" i="19"/>
  <c r="AX234" i="19"/>
  <c r="AQ234" i="19"/>
  <c r="AQ233" i="19"/>
  <c r="AQ232" i="19"/>
  <c r="AX232" i="19" s="1"/>
  <c r="AQ231" i="19"/>
  <c r="AX231" i="19" s="1"/>
  <c r="AX230" i="19"/>
  <c r="AQ230" i="19"/>
  <c r="AR229" i="19"/>
  <c r="AQ229" i="19"/>
  <c r="AX229" i="19" s="1"/>
  <c r="AQ228" i="19"/>
  <c r="AX228" i="19" s="1"/>
  <c r="AQ227" i="19"/>
  <c r="AX226" i="19"/>
  <c r="AQ226" i="19"/>
  <c r="AQ225" i="19"/>
  <c r="AX225" i="19" s="1"/>
  <c r="AQ224" i="19"/>
  <c r="AX224" i="19" s="1"/>
  <c r="AX223" i="19"/>
  <c r="AQ223" i="19"/>
  <c r="AQ222" i="19"/>
  <c r="AE221" i="19"/>
  <c r="AQ221" i="19" s="1"/>
  <c r="Z221" i="19"/>
  <c r="AQ220" i="19"/>
  <c r="AX220" i="19" s="1"/>
  <c r="AQ219" i="19"/>
  <c r="AQ218" i="19"/>
  <c r="AX218" i="19" s="1"/>
  <c r="AQ217" i="19"/>
  <c r="AX217" i="19" s="1"/>
  <c r="AQ216" i="19"/>
  <c r="AX216" i="19" s="1"/>
  <c r="AQ215" i="19"/>
  <c r="AX215" i="19" s="1"/>
  <c r="AQ214" i="19"/>
  <c r="AV213" i="19"/>
  <c r="AX213" i="19" s="1"/>
  <c r="AQ213" i="19"/>
  <c r="AQ212" i="19"/>
  <c r="AX212" i="19" s="1"/>
  <c r="AX211" i="19"/>
  <c r="AQ211" i="19"/>
  <c r="AQ210" i="19"/>
  <c r="AX210" i="19" s="1"/>
  <c r="AQ209" i="19"/>
  <c r="AX209" i="19" s="1"/>
  <c r="AQ208" i="19"/>
  <c r="AX208" i="19" s="1"/>
  <c r="AQ207" i="19"/>
  <c r="AQ206" i="19"/>
  <c r="AQ205" i="19"/>
  <c r="AX205" i="19" s="1"/>
  <c r="AX204" i="19"/>
  <c r="AQ204" i="19"/>
  <c r="AQ203" i="19"/>
  <c r="AQ202" i="19"/>
  <c r="AX202" i="19" s="1"/>
  <c r="AQ201" i="19"/>
  <c r="AQ200" i="19"/>
  <c r="AX200" i="19" s="1"/>
  <c r="AQ199" i="19"/>
  <c r="AX199" i="19" s="1"/>
  <c r="AQ198" i="19"/>
  <c r="AX198" i="19" s="1"/>
  <c r="AX197" i="19"/>
  <c r="AQ197" i="19"/>
  <c r="AQ196" i="19"/>
  <c r="AX196" i="19" s="1"/>
  <c r="AQ195" i="19"/>
  <c r="AX195" i="19" s="1"/>
  <c r="AQ194" i="19"/>
  <c r="AX194" i="19" s="1"/>
  <c r="AX193" i="19"/>
  <c r="AQ193" i="19"/>
  <c r="AQ192" i="19"/>
  <c r="AX192" i="19" s="1"/>
  <c r="AQ191" i="19"/>
  <c r="AX191" i="19" s="1"/>
  <c r="AQ190" i="19"/>
  <c r="AX190" i="19" s="1"/>
  <c r="AQ189" i="19"/>
  <c r="AX189" i="19" s="1"/>
  <c r="AQ188" i="19"/>
  <c r="AX188" i="19" s="1"/>
  <c r="AX187" i="19"/>
  <c r="AQ187" i="19"/>
  <c r="AQ186" i="19"/>
  <c r="AX186" i="19" s="1"/>
  <c r="AQ185" i="19"/>
  <c r="AX185" i="19" s="1"/>
  <c r="AQ184" i="19"/>
  <c r="AX184" i="19" s="1"/>
  <c r="AQ183" i="19"/>
  <c r="AX183" i="19" s="1"/>
  <c r="AQ182" i="19"/>
  <c r="AX182" i="19" s="1"/>
  <c r="AX181" i="19"/>
  <c r="AQ181" i="19"/>
  <c r="AQ180" i="19"/>
  <c r="AX180" i="19" s="1"/>
  <c r="AQ179" i="19"/>
  <c r="AX178" i="19"/>
  <c r="AQ178" i="19"/>
  <c r="AQ177" i="19"/>
  <c r="AX177" i="19" s="1"/>
  <c r="AQ176" i="19"/>
  <c r="AQ175" i="19"/>
  <c r="AQ174" i="19"/>
  <c r="AQ173" i="19"/>
  <c r="AX173" i="19" s="1"/>
  <c r="AQ172" i="19"/>
  <c r="AX172" i="19" s="1"/>
  <c r="AQ171" i="19"/>
  <c r="AX171" i="19" s="1"/>
  <c r="AX170" i="19"/>
  <c r="AQ170" i="19"/>
  <c r="AQ169" i="19"/>
  <c r="AX169" i="19" s="1"/>
  <c r="AQ168" i="19"/>
  <c r="AX168" i="19" s="1"/>
  <c r="AX167" i="19"/>
  <c r="AQ167" i="19"/>
  <c r="AQ166" i="19"/>
  <c r="AX166" i="19" s="1"/>
  <c r="AQ165" i="19"/>
  <c r="AX165" i="19" s="1"/>
  <c r="AQ164" i="19"/>
  <c r="AX164" i="19" s="1"/>
  <c r="AX163" i="19"/>
  <c r="AQ163" i="19"/>
  <c r="AQ162" i="19"/>
  <c r="AX162" i="19" s="1"/>
  <c r="AQ161" i="19"/>
  <c r="AX160" i="19"/>
  <c r="AQ160" i="19"/>
  <c r="AQ159" i="19"/>
  <c r="AX159" i="19" s="1"/>
  <c r="AX158" i="19"/>
  <c r="AQ158" i="19"/>
  <c r="AX157" i="19"/>
  <c r="AQ157" i="19"/>
  <c r="AQ156" i="19"/>
  <c r="AX156" i="19" s="1"/>
  <c r="AQ155" i="19"/>
  <c r="AX155" i="19" s="1"/>
  <c r="AX154" i="19"/>
  <c r="AQ154" i="19"/>
  <c r="AQ153" i="19"/>
  <c r="AQ152" i="19"/>
  <c r="AX152" i="19" s="1"/>
  <c r="AQ151" i="19"/>
  <c r="AQ150" i="19"/>
  <c r="AX150" i="19" s="1"/>
  <c r="AX149" i="19"/>
  <c r="AQ149" i="19"/>
  <c r="AQ148" i="19"/>
  <c r="AQ147" i="19"/>
  <c r="AQ146" i="19"/>
  <c r="AQ145" i="19"/>
  <c r="AQ144" i="19"/>
  <c r="AX144" i="19" s="1"/>
  <c r="AQ143" i="19"/>
  <c r="AX143" i="19" s="1"/>
  <c r="AX142" i="19"/>
  <c r="AQ142" i="19"/>
  <c r="AQ141" i="19"/>
  <c r="AQ140" i="19"/>
  <c r="AQ139" i="19"/>
  <c r="AQ138" i="19"/>
  <c r="AQ137" i="19"/>
  <c r="AQ136" i="19"/>
  <c r="AX135" i="19"/>
  <c r="AQ135" i="19"/>
  <c r="AQ134" i="19"/>
  <c r="AX134" i="19" s="1"/>
  <c r="AX133" i="19"/>
  <c r="AQ133" i="19"/>
  <c r="AQ132" i="19"/>
  <c r="AX132" i="19" s="1"/>
  <c r="AX131" i="19"/>
  <c r="AQ131" i="19"/>
  <c r="AQ130" i="19"/>
  <c r="AQ129" i="19"/>
  <c r="AQ128" i="19"/>
  <c r="AX128" i="19" s="1"/>
  <c r="AQ127" i="19"/>
  <c r="AQ126" i="19"/>
  <c r="AX125" i="19"/>
  <c r="AQ125" i="19"/>
  <c r="AQ124" i="19"/>
  <c r="AX124" i="19" s="1"/>
  <c r="AX123" i="19"/>
  <c r="AQ123" i="19"/>
  <c r="AX122" i="19"/>
  <c r="AQ122" i="19"/>
  <c r="AQ121" i="19"/>
  <c r="AX121" i="19" s="1"/>
  <c r="AX120" i="19"/>
  <c r="AQ120" i="19"/>
  <c r="AQ119" i="19"/>
  <c r="AX119" i="19" s="1"/>
  <c r="AX118" i="19"/>
  <c r="AQ118" i="19"/>
  <c r="AX117" i="19"/>
  <c r="AQ117" i="19"/>
  <c r="AQ116" i="19"/>
  <c r="AX116" i="19" s="1"/>
  <c r="AQ115" i="19"/>
  <c r="AQ114" i="19"/>
  <c r="AX114" i="19" s="1"/>
  <c r="AX113" i="19"/>
  <c r="AQ113" i="19"/>
  <c r="AQ112" i="19"/>
  <c r="AX112" i="19" s="1"/>
  <c r="AQ111" i="19"/>
  <c r="AX111" i="19" s="1"/>
  <c r="AX110" i="19"/>
  <c r="AQ110" i="19"/>
  <c r="AQ109" i="19"/>
  <c r="AQ108" i="19"/>
  <c r="AQ107" i="19"/>
  <c r="AQ106" i="19"/>
  <c r="AQ105" i="19"/>
  <c r="AR104" i="19"/>
  <c r="AQ104" i="19"/>
  <c r="AQ103" i="19"/>
  <c r="AX103" i="19" s="1"/>
  <c r="AQ102" i="19"/>
  <c r="AX102" i="19" s="1"/>
  <c r="AX101" i="19"/>
  <c r="AQ101" i="19"/>
  <c r="AQ100" i="19"/>
  <c r="AX100" i="19" s="1"/>
  <c r="AX99" i="19"/>
  <c r="AQ99" i="19"/>
  <c r="AX98" i="19"/>
  <c r="AQ98" i="19"/>
  <c r="AQ97" i="19"/>
  <c r="AX97" i="19" s="1"/>
  <c r="AQ96" i="19"/>
  <c r="AX96" i="19" s="1"/>
  <c r="AX95" i="19"/>
  <c r="AQ95" i="19"/>
  <c r="AQ94" i="19"/>
  <c r="AQ93" i="19"/>
  <c r="AX93" i="19" s="1"/>
  <c r="AQ92" i="19"/>
  <c r="AX92" i="19" s="1"/>
  <c r="AQ91" i="19"/>
  <c r="AX90" i="19"/>
  <c r="AQ90" i="19"/>
  <c r="AX89" i="19"/>
  <c r="AQ89" i="19"/>
  <c r="AQ88" i="19"/>
  <c r="AX88" i="19" s="1"/>
  <c r="AQ87" i="19"/>
  <c r="AX87" i="19" s="1"/>
  <c r="AQ86" i="19"/>
  <c r="AX86" i="19" s="1"/>
  <c r="AX85" i="19"/>
  <c r="AQ85" i="19"/>
  <c r="AX84" i="19"/>
  <c r="AQ84" i="19"/>
  <c r="AQ83" i="19"/>
  <c r="AX83" i="19" s="1"/>
  <c r="AX82" i="19"/>
  <c r="AQ82" i="19"/>
  <c r="AX81" i="19"/>
  <c r="AQ81" i="19"/>
  <c r="AQ80" i="19"/>
  <c r="AX80" i="19" s="1"/>
  <c r="AX79" i="19"/>
  <c r="AQ79" i="19"/>
  <c r="AQ78" i="19"/>
  <c r="AX78" i="19" s="1"/>
  <c r="AQ77" i="19"/>
  <c r="AX77" i="19" s="1"/>
  <c r="AX76" i="19"/>
  <c r="AQ76" i="19"/>
  <c r="AQ75" i="19"/>
  <c r="AX75" i="19" s="1"/>
  <c r="AX74" i="19"/>
  <c r="AQ74" i="19"/>
  <c r="AX73" i="19"/>
  <c r="AQ73" i="19"/>
  <c r="AQ72" i="19"/>
  <c r="AX72" i="19" s="1"/>
  <c r="AQ71" i="19"/>
  <c r="AX71" i="19" s="1"/>
  <c r="AX70" i="19"/>
  <c r="AQ70" i="19"/>
  <c r="AQ69" i="19"/>
  <c r="AQ68" i="19"/>
  <c r="AX68" i="19" s="1"/>
  <c r="AQ67" i="19"/>
  <c r="AX67" i="19" s="1"/>
  <c r="AQ66" i="19"/>
  <c r="AX65" i="19"/>
  <c r="AQ65" i="19"/>
  <c r="AX64" i="19"/>
  <c r="AQ64" i="19"/>
  <c r="AQ63" i="19"/>
  <c r="AQ62" i="19"/>
  <c r="AX62" i="19" s="1"/>
  <c r="AQ61" i="19"/>
  <c r="AX61" i="19" s="1"/>
  <c r="AX60" i="19"/>
  <c r="AQ60" i="19"/>
  <c r="AQ59" i="19"/>
  <c r="AX59" i="19" s="1"/>
  <c r="AQ58" i="19"/>
  <c r="AQ57" i="19"/>
  <c r="AX57" i="19" s="1"/>
  <c r="AX56" i="19"/>
  <c r="AQ56" i="19"/>
  <c r="AX55" i="19"/>
  <c r="AQ55" i="19"/>
  <c r="AQ54" i="19"/>
  <c r="AX54" i="19" s="1"/>
  <c r="AQ53" i="19"/>
  <c r="AQ52" i="19"/>
  <c r="AQ51" i="19"/>
  <c r="AQ50" i="19"/>
  <c r="AQ49" i="19"/>
  <c r="AQ48" i="19"/>
  <c r="AQ47" i="19"/>
  <c r="AQ46" i="19"/>
  <c r="AQ45" i="19"/>
  <c r="AQ44" i="19"/>
  <c r="E43" i="19"/>
  <c r="AQ43" i="19" s="1"/>
  <c r="AR43" i="19" s="1"/>
  <c r="AT39" i="19" s="1"/>
  <c r="AQ42" i="19"/>
  <c r="AX42" i="19" s="1"/>
  <c r="AQ41" i="19"/>
  <c r="AX41" i="19" s="1"/>
  <c r="AQ40" i="19"/>
  <c r="AX40" i="19" s="1"/>
  <c r="AQ39" i="19"/>
  <c r="AX39" i="19" s="1"/>
  <c r="AX38" i="19"/>
  <c r="AQ38" i="19"/>
  <c r="AT38" i="19" s="1"/>
  <c r="AQ37" i="19"/>
  <c r="AX36" i="19"/>
  <c r="AQ36" i="19"/>
  <c r="AQ35" i="19"/>
  <c r="AQ34" i="19"/>
  <c r="AX34" i="19" s="1"/>
  <c r="AX33" i="19"/>
  <c r="AQ33" i="19"/>
  <c r="AQ32" i="19"/>
  <c r="AX32" i="19" s="1"/>
  <c r="AQ31" i="19"/>
  <c r="AX31" i="19" s="1"/>
  <c r="AQ30" i="19"/>
  <c r="AX30" i="19" s="1"/>
  <c r="AQ29" i="19"/>
  <c r="AX29" i="19" s="1"/>
  <c r="AX28" i="19"/>
  <c r="AQ28" i="19"/>
  <c r="AQ27" i="19"/>
  <c r="AX27" i="19" s="1"/>
  <c r="AQ26" i="19"/>
  <c r="AX26" i="19" s="1"/>
  <c r="AQ25" i="19"/>
  <c r="AQ24" i="19"/>
  <c r="AX24" i="19" s="1"/>
  <c r="AX23" i="19"/>
  <c r="AQ23" i="19"/>
  <c r="AQ22" i="19"/>
  <c r="AX22" i="19" s="1"/>
  <c r="AX21" i="19"/>
  <c r="AQ21" i="19"/>
  <c r="AQ20" i="19"/>
  <c r="AX19" i="19"/>
  <c r="AQ12" i="19"/>
  <c r="A5" i="19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D474" i="18"/>
  <c r="D473" i="18"/>
  <c r="D472" i="18"/>
  <c r="D471" i="18"/>
  <c r="D470" i="18"/>
  <c r="D469" i="18"/>
  <c r="D468" i="18"/>
  <c r="D467" i="18"/>
  <c r="D466" i="18"/>
  <c r="D465" i="18"/>
  <c r="D464" i="18"/>
  <c r="D463" i="18"/>
  <c r="D462" i="18"/>
  <c r="D461" i="18"/>
  <c r="D460" i="18"/>
  <c r="D459" i="18"/>
  <c r="D458" i="18"/>
  <c r="AB447" i="18"/>
  <c r="U447" i="18"/>
  <c r="AB446" i="18"/>
  <c r="U446" i="18"/>
  <c r="U445" i="18"/>
  <c r="AB445" i="18" s="1"/>
  <c r="U444" i="18"/>
  <c r="AB444" i="18" s="1"/>
  <c r="AB443" i="18"/>
  <c r="U443" i="18"/>
  <c r="AB442" i="18"/>
  <c r="U442" i="18"/>
  <c r="AB441" i="18"/>
  <c r="U441" i="18"/>
  <c r="AB440" i="18"/>
  <c r="U440" i="18"/>
  <c r="AB439" i="18"/>
  <c r="U439" i="18"/>
  <c r="AB438" i="18"/>
  <c r="U438" i="18"/>
  <c r="U437" i="18"/>
  <c r="AB437" i="18" s="1"/>
  <c r="U436" i="18"/>
  <c r="AB436" i="18" s="1"/>
  <c r="AB435" i="18"/>
  <c r="U435" i="18"/>
  <c r="AB434" i="18"/>
  <c r="U434" i="18"/>
  <c r="AB433" i="18"/>
  <c r="U433" i="18"/>
  <c r="AB432" i="18"/>
  <c r="U432" i="18"/>
  <c r="AB431" i="18"/>
  <c r="U431" i="18"/>
  <c r="AB430" i="18"/>
  <c r="U430" i="18"/>
  <c r="U429" i="18"/>
  <c r="AB429" i="18" s="1"/>
  <c r="U428" i="18"/>
  <c r="AB428" i="18" s="1"/>
  <c r="AB427" i="18"/>
  <c r="U427" i="18"/>
  <c r="AB426" i="18"/>
  <c r="U426" i="18"/>
  <c r="AB425" i="18"/>
  <c r="U425" i="18"/>
  <c r="AB424" i="18"/>
  <c r="U424" i="18"/>
  <c r="AB423" i="18"/>
  <c r="U423" i="18"/>
  <c r="AB422" i="18"/>
  <c r="U422" i="18"/>
  <c r="U421" i="18"/>
  <c r="AB421" i="18" s="1"/>
  <c r="U420" i="18"/>
  <c r="AB420" i="18" s="1"/>
  <c r="AB419" i="18"/>
  <c r="U419" i="18"/>
  <c r="AB418" i="18"/>
  <c r="U418" i="18"/>
  <c r="AB417" i="18"/>
  <c r="U417" i="18"/>
  <c r="AB416" i="18"/>
  <c r="U416" i="18"/>
  <c r="AB415" i="18"/>
  <c r="U415" i="18"/>
  <c r="AB414" i="18"/>
  <c r="U414" i="18"/>
  <c r="U413" i="18"/>
  <c r="AB413" i="18" s="1"/>
  <c r="U412" i="18"/>
  <c r="AB412" i="18" s="1"/>
  <c r="AB411" i="18"/>
  <c r="U411" i="18"/>
  <c r="AB410" i="18"/>
  <c r="U410" i="18"/>
  <c r="AB409" i="18"/>
  <c r="U409" i="18"/>
  <c r="AB408" i="18"/>
  <c r="U408" i="18"/>
  <c r="AB407" i="18"/>
  <c r="U407" i="18"/>
  <c r="AB406" i="18"/>
  <c r="U406" i="18"/>
  <c r="U405" i="18"/>
  <c r="AB405" i="18" s="1"/>
  <c r="U404" i="18"/>
  <c r="AB404" i="18" s="1"/>
  <c r="AB403" i="18"/>
  <c r="U403" i="18"/>
  <c r="AB402" i="18"/>
  <c r="U402" i="18"/>
  <c r="AB401" i="18"/>
  <c r="U401" i="18"/>
  <c r="AB400" i="18"/>
  <c r="U400" i="18"/>
  <c r="AB399" i="18"/>
  <c r="U399" i="18"/>
  <c r="AB398" i="18"/>
  <c r="U398" i="18"/>
  <c r="U397" i="18"/>
  <c r="AB397" i="18" s="1"/>
  <c r="U396" i="18"/>
  <c r="AB396" i="18" s="1"/>
  <c r="AB395" i="18"/>
  <c r="U395" i="18"/>
  <c r="AB394" i="18"/>
  <c r="U394" i="18"/>
  <c r="AB393" i="18"/>
  <c r="U393" i="18"/>
  <c r="U392" i="18"/>
  <c r="AB392" i="18" s="1"/>
  <c r="AB391" i="18"/>
  <c r="U391" i="18"/>
  <c r="AB390" i="18"/>
  <c r="U390" i="18"/>
  <c r="U389" i="18"/>
  <c r="AB389" i="18" s="1"/>
  <c r="U388" i="18"/>
  <c r="AB388" i="18" s="1"/>
  <c r="AB387" i="18"/>
  <c r="U387" i="18"/>
  <c r="AB386" i="18"/>
  <c r="U386" i="18"/>
  <c r="AB385" i="18"/>
  <c r="U385" i="18"/>
  <c r="U384" i="18"/>
  <c r="AB384" i="18" s="1"/>
  <c r="AB383" i="18"/>
  <c r="U383" i="18"/>
  <c r="AB382" i="18"/>
  <c r="U382" i="18"/>
  <c r="U381" i="18"/>
  <c r="AB381" i="18" s="1"/>
  <c r="U380" i="18"/>
  <c r="AB380" i="18" s="1"/>
  <c r="AB379" i="18"/>
  <c r="U379" i="18"/>
  <c r="AB378" i="18"/>
  <c r="U378" i="18"/>
  <c r="AB377" i="18"/>
  <c r="U377" i="18"/>
  <c r="U376" i="18"/>
  <c r="AB376" i="18" s="1"/>
  <c r="AB375" i="18"/>
  <c r="U375" i="18"/>
  <c r="AB374" i="18"/>
  <c r="U374" i="18"/>
  <c r="U373" i="18"/>
  <c r="AB373" i="18" s="1"/>
  <c r="U372" i="18"/>
  <c r="AB372" i="18" s="1"/>
  <c r="U371" i="18"/>
  <c r="U370" i="18"/>
  <c r="AB370" i="18" s="1"/>
  <c r="U369" i="18"/>
  <c r="AB369" i="18" s="1"/>
  <c r="AB368" i="18"/>
  <c r="U368" i="18"/>
  <c r="U367" i="18"/>
  <c r="AB367" i="18" s="1"/>
  <c r="U366" i="18"/>
  <c r="AB366" i="18" s="1"/>
  <c r="U365" i="18"/>
  <c r="AB365" i="18" s="1"/>
  <c r="U364" i="18"/>
  <c r="AB364" i="18" s="1"/>
  <c r="U363" i="18"/>
  <c r="AB363" i="18" s="1"/>
  <c r="AB362" i="18"/>
  <c r="U362" i="18"/>
  <c r="U361" i="18"/>
  <c r="AB361" i="18" s="1"/>
  <c r="U360" i="18"/>
  <c r="AB360" i="18" s="1"/>
  <c r="AB359" i="18"/>
  <c r="U359" i="18"/>
  <c r="U358" i="18"/>
  <c r="AB358" i="18" s="1"/>
  <c r="U357" i="18"/>
  <c r="AB357" i="18" s="1"/>
  <c r="U356" i="18"/>
  <c r="AB356" i="18" s="1"/>
  <c r="U355" i="18"/>
  <c r="AB355" i="18" s="1"/>
  <c r="U354" i="18"/>
  <c r="AB354" i="18" s="1"/>
  <c r="U353" i="18"/>
  <c r="AB353" i="18" s="1"/>
  <c r="AB352" i="18"/>
  <c r="U352" i="18"/>
  <c r="U351" i="18"/>
  <c r="AB351" i="18" s="1"/>
  <c r="U350" i="18"/>
  <c r="AB350" i="18" s="1"/>
  <c r="U349" i="18"/>
  <c r="AB349" i="18" s="1"/>
  <c r="U348" i="18"/>
  <c r="AB348" i="18" s="1"/>
  <c r="U347" i="18"/>
  <c r="AB347" i="18" s="1"/>
  <c r="U346" i="18"/>
  <c r="AB346" i="18" s="1"/>
  <c r="U345" i="18"/>
  <c r="AB345" i="18" s="1"/>
  <c r="U344" i="18"/>
  <c r="AB344" i="18" s="1"/>
  <c r="AB343" i="18"/>
  <c r="U343" i="18"/>
  <c r="U342" i="18"/>
  <c r="AB342" i="18" s="1"/>
  <c r="AB341" i="18"/>
  <c r="U341" i="18"/>
  <c r="U340" i="18"/>
  <c r="AB340" i="18" s="1"/>
  <c r="U339" i="18"/>
  <c r="AB339" i="18" s="1"/>
  <c r="U338" i="18"/>
  <c r="AB338" i="18" s="1"/>
  <c r="U337" i="18"/>
  <c r="AB337" i="18" s="1"/>
  <c r="U336" i="18"/>
  <c r="AB336" i="18" s="1"/>
  <c r="U335" i="18"/>
  <c r="AB335" i="18" s="1"/>
  <c r="U334" i="18"/>
  <c r="AB334" i="18" s="1"/>
  <c r="U333" i="18"/>
  <c r="AB333" i="18" s="1"/>
  <c r="AB332" i="18"/>
  <c r="U332" i="18"/>
  <c r="U331" i="18"/>
  <c r="AB331" i="18" s="1"/>
  <c r="U330" i="18"/>
  <c r="AB330" i="18" s="1"/>
  <c r="U329" i="18"/>
  <c r="AB329" i="18" s="1"/>
  <c r="AB328" i="18"/>
  <c r="U328" i="18"/>
  <c r="U327" i="18"/>
  <c r="AB327" i="18" s="1"/>
  <c r="U326" i="18"/>
  <c r="AB326" i="18" s="1"/>
  <c r="AB325" i="18"/>
  <c r="U325" i="18"/>
  <c r="U324" i="18"/>
  <c r="AB324" i="18" s="1"/>
  <c r="AB323" i="18"/>
  <c r="U323" i="18"/>
  <c r="U322" i="18"/>
  <c r="AB322" i="18" s="1"/>
  <c r="U321" i="18"/>
  <c r="AB321" i="18" s="1"/>
  <c r="AB320" i="18"/>
  <c r="U320" i="18"/>
  <c r="AB319" i="18"/>
  <c r="U319" i="18"/>
  <c r="U318" i="18"/>
  <c r="AB318" i="18" s="1"/>
  <c r="U317" i="18"/>
  <c r="AB317" i="18" s="1"/>
  <c r="AB316" i="18"/>
  <c r="U316" i="18"/>
  <c r="U315" i="18"/>
  <c r="AB315" i="18" s="1"/>
  <c r="U314" i="18"/>
  <c r="AB314" i="18" s="1"/>
  <c r="U313" i="18"/>
  <c r="AB313" i="18" s="1"/>
  <c r="U312" i="18"/>
  <c r="AB312" i="18" s="1"/>
  <c r="AB311" i="18"/>
  <c r="U311" i="18"/>
  <c r="U310" i="18"/>
  <c r="AB310" i="18" s="1"/>
  <c r="U309" i="18"/>
  <c r="AB309" i="18" s="1"/>
  <c r="U308" i="18"/>
  <c r="AB308" i="18" s="1"/>
  <c r="AB307" i="18"/>
  <c r="U307" i="18"/>
  <c r="U306" i="18"/>
  <c r="AB306" i="18" s="1"/>
  <c r="U305" i="18"/>
  <c r="AB305" i="18" s="1"/>
  <c r="AB304" i="18"/>
  <c r="U304" i="18"/>
  <c r="U303" i="18"/>
  <c r="AB303" i="18" s="1"/>
  <c r="AB302" i="18"/>
  <c r="U302" i="18"/>
  <c r="AB301" i="18"/>
  <c r="U301" i="18"/>
  <c r="U300" i="18"/>
  <c r="AB300" i="18" s="1"/>
  <c r="U299" i="18"/>
  <c r="AB299" i="18" s="1"/>
  <c r="AB298" i="18"/>
  <c r="U298" i="18"/>
  <c r="U297" i="18"/>
  <c r="AB297" i="18" s="1"/>
  <c r="AB296" i="18"/>
  <c r="U296" i="18"/>
  <c r="U295" i="18"/>
  <c r="AB295" i="18" s="1"/>
  <c r="U294" i="18"/>
  <c r="AB294" i="18" s="1"/>
  <c r="U293" i="18"/>
  <c r="AB293" i="18" s="1"/>
  <c r="U292" i="18"/>
  <c r="AB292" i="18" s="1"/>
  <c r="U291" i="18"/>
  <c r="AB291" i="18" s="1"/>
  <c r="AB290" i="18"/>
  <c r="U290" i="18"/>
  <c r="U289" i="18"/>
  <c r="AB289" i="18" s="1"/>
  <c r="AB288" i="18"/>
  <c r="U288" i="18"/>
  <c r="U287" i="18"/>
  <c r="AB287" i="18" s="1"/>
  <c r="U286" i="18"/>
  <c r="AB286" i="18" s="1"/>
  <c r="U285" i="18"/>
  <c r="AB285" i="18" s="1"/>
  <c r="U284" i="18"/>
  <c r="AB284" i="18" s="1"/>
  <c r="U283" i="18"/>
  <c r="AB283" i="18" s="1"/>
  <c r="AB282" i="18"/>
  <c r="U282" i="18"/>
  <c r="U281" i="18"/>
  <c r="AB281" i="18" s="1"/>
  <c r="AB280" i="18"/>
  <c r="U280" i="18"/>
  <c r="U279" i="18"/>
  <c r="AB279" i="18" s="1"/>
  <c r="U278" i="18"/>
  <c r="AB278" i="18" s="1"/>
  <c r="U277" i="18"/>
  <c r="AB277" i="18" s="1"/>
  <c r="U276" i="18"/>
  <c r="AB276" i="18" s="1"/>
  <c r="U275" i="18"/>
  <c r="AB275" i="18" s="1"/>
  <c r="AB274" i="18"/>
  <c r="U274" i="18"/>
  <c r="U273" i="18"/>
  <c r="AB273" i="18" s="1"/>
  <c r="AB272" i="18"/>
  <c r="U272" i="18"/>
  <c r="U271" i="18"/>
  <c r="AB271" i="18" s="1"/>
  <c r="U270" i="18"/>
  <c r="AB270" i="18" s="1"/>
  <c r="U269" i="18"/>
  <c r="AB269" i="18" s="1"/>
  <c r="U268" i="18"/>
  <c r="AB268" i="18" s="1"/>
  <c r="U267" i="18"/>
  <c r="AB267" i="18" s="1"/>
  <c r="AB266" i="18"/>
  <c r="U266" i="18"/>
  <c r="U265" i="18"/>
  <c r="AB265" i="18" s="1"/>
  <c r="U264" i="18"/>
  <c r="AB264" i="18" s="1"/>
  <c r="U263" i="18"/>
  <c r="AB263" i="18" s="1"/>
  <c r="U262" i="18"/>
  <c r="AB262" i="18" s="1"/>
  <c r="AB261" i="18"/>
  <c r="U261" i="18"/>
  <c r="U260" i="18"/>
  <c r="AB260" i="18" s="1"/>
  <c r="U259" i="18"/>
  <c r="AB259" i="18" s="1"/>
  <c r="AB258" i="18"/>
  <c r="U258" i="18"/>
  <c r="U257" i="18"/>
  <c r="AB257" i="18" s="1"/>
  <c r="AB256" i="18"/>
  <c r="U256" i="18"/>
  <c r="U255" i="18"/>
  <c r="AB255" i="18" s="1"/>
  <c r="U254" i="18"/>
  <c r="AB254" i="18" s="1"/>
  <c r="AB253" i="18"/>
  <c r="U253" i="18"/>
  <c r="U252" i="18"/>
  <c r="AB252" i="18" s="1"/>
  <c r="U251" i="18"/>
  <c r="AB251" i="18" s="1"/>
  <c r="AB250" i="18"/>
  <c r="U250" i="18"/>
  <c r="U249" i="18"/>
  <c r="AB249" i="18" s="1"/>
  <c r="AB248" i="18"/>
  <c r="U248" i="18"/>
  <c r="U247" i="18"/>
  <c r="AB247" i="18" s="1"/>
  <c r="U246" i="18"/>
  <c r="AB246" i="18" s="1"/>
  <c r="AB245" i="18"/>
  <c r="U245" i="18"/>
  <c r="U244" i="18"/>
  <c r="AB244" i="18" s="1"/>
  <c r="P243" i="18"/>
  <c r="U243" i="18" s="1"/>
  <c r="AB242" i="18"/>
  <c r="U242" i="18"/>
  <c r="U241" i="18"/>
  <c r="U240" i="18"/>
  <c r="V229" i="18" s="1"/>
  <c r="AB239" i="18"/>
  <c r="U239" i="18"/>
  <c r="U238" i="18"/>
  <c r="AB238" i="18" s="1"/>
  <c r="U237" i="18"/>
  <c r="P237" i="18"/>
  <c r="U236" i="18"/>
  <c r="U235" i="18"/>
  <c r="AB235" i="18" s="1"/>
  <c r="U234" i="18"/>
  <c r="AB234" i="18" s="1"/>
  <c r="U233" i="18"/>
  <c r="P233" i="18"/>
  <c r="U232" i="18"/>
  <c r="AB232" i="18" s="1"/>
  <c r="AB231" i="18"/>
  <c r="U231" i="18"/>
  <c r="U230" i="18"/>
  <c r="AB230" i="18" s="1"/>
  <c r="AB229" i="18"/>
  <c r="U229" i="18"/>
  <c r="AB228" i="18"/>
  <c r="U228" i="18"/>
  <c r="U227" i="18"/>
  <c r="AB227" i="18" s="1"/>
  <c r="V226" i="18"/>
  <c r="U226" i="18"/>
  <c r="AB226" i="18" s="1"/>
  <c r="U225" i="18"/>
  <c r="AB225" i="18" s="1"/>
  <c r="U224" i="18"/>
  <c r="AB224" i="18" s="1"/>
  <c r="U223" i="18"/>
  <c r="AB223" i="18" s="1"/>
  <c r="U222" i="18"/>
  <c r="AB222" i="18" s="1"/>
  <c r="AB221" i="18"/>
  <c r="U221" i="18"/>
  <c r="U220" i="18"/>
  <c r="AB220" i="18" s="1"/>
  <c r="U219" i="18"/>
  <c r="U218" i="18"/>
  <c r="AB218" i="18" s="1"/>
  <c r="AB217" i="18"/>
  <c r="U217" i="18"/>
  <c r="U216" i="18"/>
  <c r="AB216" i="18" s="1"/>
  <c r="AB215" i="18"/>
  <c r="U215" i="18"/>
  <c r="U214" i="18"/>
  <c r="Z213" i="18"/>
  <c r="AB213" i="18" s="1"/>
  <c r="U213" i="18"/>
  <c r="AB212" i="18"/>
  <c r="U212" i="18"/>
  <c r="U211" i="18"/>
  <c r="AB211" i="18" s="1"/>
  <c r="U210" i="18"/>
  <c r="AB210" i="18" s="1"/>
  <c r="AB209" i="18"/>
  <c r="U209" i="18"/>
  <c r="U208" i="18"/>
  <c r="AB208" i="18" s="1"/>
  <c r="U207" i="18"/>
  <c r="U206" i="18"/>
  <c r="U205" i="18"/>
  <c r="AB205" i="18" s="1"/>
  <c r="AB204" i="18"/>
  <c r="U204" i="18"/>
  <c r="U203" i="18"/>
  <c r="U202" i="18"/>
  <c r="AB202" i="18" s="1"/>
  <c r="U201" i="18"/>
  <c r="U200" i="18"/>
  <c r="AB200" i="18" s="1"/>
  <c r="AB199" i="18"/>
  <c r="U199" i="18"/>
  <c r="AB198" i="18"/>
  <c r="U198" i="18"/>
  <c r="AB197" i="18"/>
  <c r="U197" i="18"/>
  <c r="U196" i="18"/>
  <c r="AB196" i="18" s="1"/>
  <c r="AB195" i="18"/>
  <c r="U195" i="18"/>
  <c r="AB194" i="18"/>
  <c r="U194" i="18"/>
  <c r="U193" i="18"/>
  <c r="AB193" i="18" s="1"/>
  <c r="U192" i="18"/>
  <c r="AB192" i="18" s="1"/>
  <c r="AB191" i="18"/>
  <c r="U191" i="18"/>
  <c r="AB190" i="18"/>
  <c r="U190" i="18"/>
  <c r="AB189" i="18"/>
  <c r="U189" i="18"/>
  <c r="U188" i="18"/>
  <c r="AB188" i="18" s="1"/>
  <c r="AB187" i="18"/>
  <c r="U187" i="18"/>
  <c r="AB186" i="18"/>
  <c r="U186" i="18"/>
  <c r="U185" i="18"/>
  <c r="AB185" i="18" s="1"/>
  <c r="U184" i="18"/>
  <c r="AB184" i="18" s="1"/>
  <c r="AB183" i="18"/>
  <c r="U183" i="18"/>
  <c r="AB182" i="18"/>
  <c r="U182" i="18"/>
  <c r="AB181" i="18"/>
  <c r="U181" i="18"/>
  <c r="U180" i="18"/>
  <c r="AB180" i="18" s="1"/>
  <c r="U179" i="18"/>
  <c r="AB178" i="18"/>
  <c r="U178" i="18"/>
  <c r="U177" i="18"/>
  <c r="AB177" i="18" s="1"/>
  <c r="U176" i="18"/>
  <c r="U175" i="18"/>
  <c r="Z174" i="18"/>
  <c r="U174" i="18"/>
  <c r="M174" i="18"/>
  <c r="AB173" i="18"/>
  <c r="U173" i="18"/>
  <c r="AB172" i="18"/>
  <c r="U172" i="18"/>
  <c r="U171" i="18"/>
  <c r="AB171" i="18" s="1"/>
  <c r="AB170" i="18"/>
  <c r="U170" i="18"/>
  <c r="AB169" i="18"/>
  <c r="U169" i="18"/>
  <c r="U168" i="18"/>
  <c r="AB168" i="18" s="1"/>
  <c r="U167" i="18"/>
  <c r="AB167" i="18" s="1"/>
  <c r="AB166" i="18"/>
  <c r="U166" i="18"/>
  <c r="U165" i="18"/>
  <c r="AB165" i="18" s="1"/>
  <c r="AB164" i="18"/>
  <c r="U164" i="18"/>
  <c r="U163" i="18"/>
  <c r="AB163" i="18" s="1"/>
  <c r="AB162" i="18"/>
  <c r="U162" i="18"/>
  <c r="U161" i="18"/>
  <c r="U160" i="18"/>
  <c r="AB160" i="18" s="1"/>
  <c r="U159" i="18"/>
  <c r="AB159" i="18" s="1"/>
  <c r="AB158" i="18"/>
  <c r="U158" i="18"/>
  <c r="U157" i="18"/>
  <c r="AB157" i="18" s="1"/>
  <c r="U156" i="18"/>
  <c r="AB156" i="18" s="1"/>
  <c r="U155" i="18"/>
  <c r="AB155" i="18" s="1"/>
  <c r="U154" i="18"/>
  <c r="AB154" i="18" s="1"/>
  <c r="U153" i="18"/>
  <c r="AB152" i="18"/>
  <c r="U152" i="18"/>
  <c r="U151" i="18"/>
  <c r="U150" i="18"/>
  <c r="AB150" i="18" s="1"/>
  <c r="AB149" i="18"/>
  <c r="U149" i="18"/>
  <c r="U148" i="18"/>
  <c r="U147" i="18"/>
  <c r="U146" i="18"/>
  <c r="U145" i="18"/>
  <c r="U144" i="18"/>
  <c r="AB144" i="18" s="1"/>
  <c r="U143" i="18"/>
  <c r="AB143" i="18" s="1"/>
  <c r="AB142" i="18"/>
  <c r="U142" i="18"/>
  <c r="U141" i="18"/>
  <c r="U140" i="18"/>
  <c r="U139" i="18"/>
  <c r="U138" i="18"/>
  <c r="U137" i="18"/>
  <c r="U136" i="18"/>
  <c r="U135" i="18"/>
  <c r="AB135" i="18" s="1"/>
  <c r="U134" i="18"/>
  <c r="AB134" i="18" s="1"/>
  <c r="U133" i="18"/>
  <c r="AB133" i="18" s="1"/>
  <c r="U132" i="18"/>
  <c r="AB132" i="18" s="1"/>
  <c r="AB131" i="18"/>
  <c r="U131" i="18"/>
  <c r="U130" i="18"/>
  <c r="U129" i="18"/>
  <c r="U128" i="18"/>
  <c r="AB128" i="18" s="1"/>
  <c r="U127" i="18"/>
  <c r="U126" i="18"/>
  <c r="P126" i="18"/>
  <c r="AB125" i="18"/>
  <c r="U125" i="18"/>
  <c r="AB124" i="18"/>
  <c r="U124" i="18"/>
  <c r="U123" i="18"/>
  <c r="AB123" i="18" s="1"/>
  <c r="AB122" i="18"/>
  <c r="U122" i="18"/>
  <c r="AB121" i="18"/>
  <c r="U121" i="18"/>
  <c r="U120" i="18"/>
  <c r="AB120" i="18" s="1"/>
  <c r="U119" i="18"/>
  <c r="AB119" i="18" s="1"/>
  <c r="AB118" i="18"/>
  <c r="U118" i="18"/>
  <c r="U117" i="18"/>
  <c r="AB117" i="18" s="1"/>
  <c r="AB116" i="18"/>
  <c r="U116" i="18"/>
  <c r="U115" i="18"/>
  <c r="U114" i="18"/>
  <c r="AB114" i="18" s="1"/>
  <c r="AB113" i="18"/>
  <c r="U113" i="18"/>
  <c r="U112" i="18"/>
  <c r="AB112" i="18" s="1"/>
  <c r="U111" i="18"/>
  <c r="AB111" i="18" s="1"/>
  <c r="AB110" i="18"/>
  <c r="U110" i="18"/>
  <c r="U109" i="18"/>
  <c r="U108" i="18"/>
  <c r="U107" i="18"/>
  <c r="U106" i="18"/>
  <c r="U105" i="18"/>
  <c r="U104" i="18"/>
  <c r="V104" i="18" s="1"/>
  <c r="AB103" i="18"/>
  <c r="U103" i="18"/>
  <c r="AB102" i="18"/>
  <c r="U102" i="18"/>
  <c r="U101" i="18"/>
  <c r="AB101" i="18" s="1"/>
  <c r="U100" i="18"/>
  <c r="AB100" i="18" s="1"/>
  <c r="AB99" i="18"/>
  <c r="U99" i="18"/>
  <c r="U98" i="18"/>
  <c r="AB98" i="18" s="1"/>
  <c r="AB97" i="18"/>
  <c r="U97" i="18"/>
  <c r="U96" i="18"/>
  <c r="AB96" i="18" s="1"/>
  <c r="AB95" i="18"/>
  <c r="U95" i="18"/>
  <c r="U94" i="18"/>
  <c r="U93" i="18"/>
  <c r="AB93" i="18" s="1"/>
  <c r="U92" i="18"/>
  <c r="AB92" i="18" s="1"/>
  <c r="U91" i="18"/>
  <c r="AB90" i="18"/>
  <c r="U90" i="18"/>
  <c r="U89" i="18"/>
  <c r="AB89" i="18" s="1"/>
  <c r="AB88" i="18"/>
  <c r="U88" i="18"/>
  <c r="U87" i="18"/>
  <c r="AB87" i="18" s="1"/>
  <c r="AB86" i="18"/>
  <c r="U86" i="18"/>
  <c r="AB85" i="18"/>
  <c r="U85" i="18"/>
  <c r="U84" i="18"/>
  <c r="AB84" i="18" s="1"/>
  <c r="U83" i="18"/>
  <c r="AB83" i="18" s="1"/>
  <c r="AB82" i="18"/>
  <c r="U82" i="18"/>
  <c r="U81" i="18"/>
  <c r="AB81" i="18" s="1"/>
  <c r="AB80" i="18"/>
  <c r="U80" i="18"/>
  <c r="U79" i="18"/>
  <c r="AB79" i="18" s="1"/>
  <c r="AB78" i="18"/>
  <c r="U78" i="18"/>
  <c r="AB77" i="18"/>
  <c r="U77" i="18"/>
  <c r="U76" i="18"/>
  <c r="AB76" i="18" s="1"/>
  <c r="U75" i="18"/>
  <c r="AB75" i="18" s="1"/>
  <c r="AB74" i="18"/>
  <c r="U74" i="18"/>
  <c r="AB73" i="18"/>
  <c r="U73" i="18"/>
  <c r="AB72" i="18"/>
  <c r="U72" i="18"/>
  <c r="U71" i="18"/>
  <c r="AB71" i="18" s="1"/>
  <c r="AB70" i="18"/>
  <c r="U70" i="18"/>
  <c r="U69" i="18"/>
  <c r="U68" i="18"/>
  <c r="AB68" i="18" s="1"/>
  <c r="U67" i="18"/>
  <c r="AB67" i="18" s="1"/>
  <c r="U66" i="18"/>
  <c r="AB65" i="18"/>
  <c r="U65" i="18"/>
  <c r="U64" i="18"/>
  <c r="AB64" i="18" s="1"/>
  <c r="U63" i="18"/>
  <c r="U62" i="18"/>
  <c r="AB62" i="18" s="1"/>
  <c r="U61" i="18"/>
  <c r="AB61" i="18" s="1"/>
  <c r="AB60" i="18"/>
  <c r="U60" i="18"/>
  <c r="U59" i="18"/>
  <c r="AB59" i="18" s="1"/>
  <c r="U58" i="18"/>
  <c r="U57" i="18"/>
  <c r="AB57" i="18" s="1"/>
  <c r="AB56" i="18"/>
  <c r="U56" i="18"/>
  <c r="U55" i="18"/>
  <c r="AB55" i="18" s="1"/>
  <c r="AB54" i="18"/>
  <c r="U54" i="18"/>
  <c r="U53" i="18"/>
  <c r="U52" i="18"/>
  <c r="U51" i="18"/>
  <c r="U50" i="18"/>
  <c r="U49" i="18"/>
  <c r="U48" i="18"/>
  <c r="U47" i="18"/>
  <c r="U46" i="18"/>
  <c r="U45" i="18"/>
  <c r="U44" i="18"/>
  <c r="V43" i="18"/>
  <c r="X39" i="18" s="1"/>
  <c r="U43" i="18"/>
  <c r="U42" i="18"/>
  <c r="AB42" i="18" s="1"/>
  <c r="AB41" i="18"/>
  <c r="U41" i="18"/>
  <c r="U40" i="18"/>
  <c r="AB40" i="18" s="1"/>
  <c r="AB39" i="18"/>
  <c r="U39" i="18"/>
  <c r="U38" i="18"/>
  <c r="AB38" i="18" s="1"/>
  <c r="N37" i="18"/>
  <c r="U37" i="18" s="1"/>
  <c r="AB36" i="18"/>
  <c r="U36" i="18"/>
  <c r="AB35" i="18"/>
  <c r="U35" i="18"/>
  <c r="AB34" i="18"/>
  <c r="U34" i="18"/>
  <c r="U33" i="18"/>
  <c r="AB33" i="18" s="1"/>
  <c r="AB32" i="18"/>
  <c r="U32" i="18"/>
  <c r="AB31" i="18"/>
  <c r="U31" i="18"/>
  <c r="U30" i="18"/>
  <c r="AB30" i="18" s="1"/>
  <c r="U29" i="18"/>
  <c r="AB29" i="18" s="1"/>
  <c r="AB28" i="18"/>
  <c r="U28" i="18"/>
  <c r="U27" i="18"/>
  <c r="AB27" i="18" s="1"/>
  <c r="AB26" i="18"/>
  <c r="U26" i="18"/>
  <c r="U25" i="18"/>
  <c r="U24" i="18"/>
  <c r="AB24" i="18" s="1"/>
  <c r="AB23" i="18"/>
  <c r="U23" i="18"/>
  <c r="U22" i="18"/>
  <c r="AB22" i="18" s="1"/>
  <c r="U21" i="18"/>
  <c r="AB21" i="18" s="1"/>
  <c r="U20" i="18"/>
  <c r="AB19" i="18"/>
  <c r="U12" i="18"/>
  <c r="A5" i="18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Y447" i="17"/>
  <c r="AF447" i="17" s="1"/>
  <c r="Y446" i="17"/>
  <c r="AF446" i="17" s="1"/>
  <c r="Y445" i="17"/>
  <c r="AF445" i="17" s="1"/>
  <c r="AF444" i="17"/>
  <c r="Y444" i="17"/>
  <c r="Y443" i="17"/>
  <c r="AF443" i="17" s="1"/>
  <c r="Y442" i="17"/>
  <c r="AF442" i="17" s="1"/>
  <c r="AF441" i="17"/>
  <c r="Y441" i="17"/>
  <c r="Y440" i="17"/>
  <c r="AF440" i="17" s="1"/>
  <c r="AF439" i="17"/>
  <c r="Y439" i="17"/>
  <c r="Y438" i="17"/>
  <c r="AF438" i="17" s="1"/>
  <c r="Y437" i="17"/>
  <c r="AF437" i="17" s="1"/>
  <c r="AF436" i="17"/>
  <c r="Y436" i="17"/>
  <c r="Y435" i="17"/>
  <c r="AF435" i="17" s="1"/>
  <c r="Y434" i="17"/>
  <c r="AF434" i="17" s="1"/>
  <c r="AF433" i="17"/>
  <c r="Y433" i="17"/>
  <c r="Y432" i="17"/>
  <c r="AF432" i="17" s="1"/>
  <c r="Y431" i="17"/>
  <c r="AF431" i="17" s="1"/>
  <c r="Y430" i="17"/>
  <c r="AF430" i="17" s="1"/>
  <c r="Y429" i="17"/>
  <c r="AF429" i="17" s="1"/>
  <c r="AF428" i="17"/>
  <c r="Y428" i="17"/>
  <c r="Y427" i="17"/>
  <c r="AF427" i="17" s="1"/>
  <c r="Y426" i="17"/>
  <c r="AF426" i="17" s="1"/>
  <c r="AF425" i="17"/>
  <c r="Y425" i="17"/>
  <c r="Y424" i="17"/>
  <c r="AF424" i="17" s="1"/>
  <c r="Y423" i="17"/>
  <c r="AF423" i="17" s="1"/>
  <c r="Y422" i="17"/>
  <c r="AF422" i="17" s="1"/>
  <c r="Y421" i="17"/>
  <c r="AF421" i="17" s="1"/>
  <c r="AF420" i="17"/>
  <c r="Y420" i="17"/>
  <c r="Y419" i="17"/>
  <c r="AF419" i="17" s="1"/>
  <c r="Y418" i="17"/>
  <c r="AF418" i="17" s="1"/>
  <c r="AF417" i="17"/>
  <c r="Y417" i="17"/>
  <c r="Y416" i="17"/>
  <c r="AF416" i="17" s="1"/>
  <c r="Y415" i="17"/>
  <c r="AF415" i="17" s="1"/>
  <c r="Y414" i="17"/>
  <c r="AF414" i="17" s="1"/>
  <c r="Y413" i="17"/>
  <c r="AF413" i="17" s="1"/>
  <c r="AF412" i="17"/>
  <c r="Y412" i="17"/>
  <c r="Y411" i="17"/>
  <c r="AF411" i="17" s="1"/>
  <c r="Y410" i="17"/>
  <c r="AF410" i="17" s="1"/>
  <c r="AF409" i="17"/>
  <c r="Y409" i="17"/>
  <c r="Y408" i="17"/>
  <c r="AF408" i="17" s="1"/>
  <c r="Y407" i="17"/>
  <c r="AF407" i="17" s="1"/>
  <c r="Y406" i="17"/>
  <c r="AF406" i="17" s="1"/>
  <c r="Y405" i="17"/>
  <c r="AF405" i="17" s="1"/>
  <c r="AF404" i="17"/>
  <c r="Y404" i="17"/>
  <c r="Y403" i="17"/>
  <c r="AF403" i="17" s="1"/>
  <c r="Y402" i="17"/>
  <c r="AF402" i="17" s="1"/>
  <c r="AF401" i="17"/>
  <c r="Y401" i="17"/>
  <c r="Y400" i="17"/>
  <c r="AF400" i="17" s="1"/>
  <c r="Y399" i="17"/>
  <c r="AF399" i="17" s="1"/>
  <c r="Y398" i="17"/>
  <c r="AF398" i="17" s="1"/>
  <c r="Y397" i="17"/>
  <c r="AF397" i="17" s="1"/>
  <c r="AF396" i="17"/>
  <c r="Y396" i="17"/>
  <c r="Y395" i="17"/>
  <c r="AF395" i="17" s="1"/>
  <c r="Y394" i="17"/>
  <c r="AF394" i="17" s="1"/>
  <c r="AF393" i="17"/>
  <c r="Y393" i="17"/>
  <c r="Y392" i="17"/>
  <c r="AF392" i="17" s="1"/>
  <c r="Y391" i="17"/>
  <c r="AF391" i="17" s="1"/>
  <c r="Y390" i="17"/>
  <c r="AF390" i="17" s="1"/>
  <c r="Y389" i="17"/>
  <c r="AF389" i="17" s="1"/>
  <c r="AF388" i="17"/>
  <c r="Y388" i="17"/>
  <c r="Y387" i="17"/>
  <c r="AF387" i="17" s="1"/>
  <c r="Y386" i="17"/>
  <c r="AF386" i="17" s="1"/>
  <c r="AF385" i="17"/>
  <c r="Y385" i="17"/>
  <c r="Y384" i="17"/>
  <c r="AF384" i="17" s="1"/>
  <c r="AF383" i="17"/>
  <c r="Y383" i="17"/>
  <c r="Y382" i="17"/>
  <c r="AF382" i="17" s="1"/>
  <c r="Y381" i="17"/>
  <c r="AF381" i="17" s="1"/>
  <c r="AF380" i="17"/>
  <c r="Y380" i="17"/>
  <c r="Y379" i="17"/>
  <c r="AF379" i="17" s="1"/>
  <c r="Y378" i="17"/>
  <c r="AF378" i="17" s="1"/>
  <c r="AF377" i="17"/>
  <c r="Y377" i="17"/>
  <c r="Y376" i="17"/>
  <c r="AF376" i="17" s="1"/>
  <c r="AF375" i="17"/>
  <c r="Y375" i="17"/>
  <c r="Y374" i="17"/>
  <c r="AF374" i="17" s="1"/>
  <c r="Y373" i="17"/>
  <c r="AF373" i="17" s="1"/>
  <c r="AF372" i="17"/>
  <c r="Y372" i="17"/>
  <c r="Y371" i="17"/>
  <c r="Y370" i="17"/>
  <c r="AF370" i="17" s="1"/>
  <c r="Y369" i="17"/>
  <c r="AF369" i="17" s="1"/>
  <c r="AF368" i="17"/>
  <c r="Y368" i="17"/>
  <c r="Y367" i="17"/>
  <c r="AF367" i="17" s="1"/>
  <c r="AF366" i="17"/>
  <c r="Y366" i="17"/>
  <c r="Y365" i="17"/>
  <c r="AF365" i="17" s="1"/>
  <c r="AF364" i="17"/>
  <c r="Y364" i="17"/>
  <c r="AF363" i="17"/>
  <c r="Y363" i="17"/>
  <c r="Y362" i="17"/>
  <c r="AF362" i="17" s="1"/>
  <c r="Y361" i="17"/>
  <c r="AF361" i="17" s="1"/>
  <c r="AF360" i="17"/>
  <c r="Y360" i="17"/>
  <c r="AF359" i="17"/>
  <c r="Y359" i="17"/>
  <c r="AF358" i="17"/>
  <c r="Y358" i="17"/>
  <c r="Y357" i="17"/>
  <c r="AF357" i="17" s="1"/>
  <c r="AF356" i="17"/>
  <c r="Y356" i="17"/>
  <c r="AF355" i="17"/>
  <c r="Y355" i="17"/>
  <c r="Y354" i="17"/>
  <c r="AF354" i="17" s="1"/>
  <c r="Y353" i="17"/>
  <c r="AF353" i="17" s="1"/>
  <c r="AF352" i="17"/>
  <c r="Y352" i="17"/>
  <c r="AF351" i="17"/>
  <c r="Y351" i="17"/>
  <c r="AF350" i="17"/>
  <c r="Y350" i="17"/>
  <c r="Y349" i="17"/>
  <c r="AF349" i="17" s="1"/>
  <c r="AF348" i="17"/>
  <c r="Y348" i="17"/>
  <c r="AF347" i="17"/>
  <c r="Y347" i="17"/>
  <c r="Y346" i="17"/>
  <c r="AF346" i="17" s="1"/>
  <c r="Y345" i="17"/>
  <c r="AF345" i="17" s="1"/>
  <c r="AF344" i="17"/>
  <c r="Y344" i="17"/>
  <c r="AF343" i="17"/>
  <c r="Y343" i="17"/>
  <c r="AF342" i="17"/>
  <c r="Y342" i="17"/>
  <c r="Y341" i="17"/>
  <c r="AF341" i="17" s="1"/>
  <c r="AF340" i="17"/>
  <c r="Y340" i="17"/>
  <c r="AF339" i="17"/>
  <c r="Y339" i="17"/>
  <c r="Y338" i="17"/>
  <c r="AF338" i="17" s="1"/>
  <c r="Y337" i="17"/>
  <c r="AF337" i="17" s="1"/>
  <c r="AF336" i="17"/>
  <c r="Y336" i="17"/>
  <c r="Y335" i="17"/>
  <c r="AF335" i="17" s="1"/>
  <c r="AF334" i="17"/>
  <c r="Y334" i="17"/>
  <c r="Y333" i="17"/>
  <c r="AF333" i="17" s="1"/>
  <c r="AF332" i="17"/>
  <c r="Y332" i="17"/>
  <c r="AF331" i="17"/>
  <c r="Y331" i="17"/>
  <c r="Y330" i="17"/>
  <c r="AF330" i="17" s="1"/>
  <c r="Y329" i="17"/>
  <c r="AF329" i="17" s="1"/>
  <c r="AF328" i="17"/>
  <c r="Y328" i="17"/>
  <c r="AF327" i="17"/>
  <c r="Y327" i="17"/>
  <c r="AF326" i="17"/>
  <c r="Y326" i="17"/>
  <c r="Y325" i="17"/>
  <c r="AF325" i="17" s="1"/>
  <c r="AF324" i="17"/>
  <c r="Y324" i="17"/>
  <c r="AF323" i="17"/>
  <c r="Y323" i="17"/>
  <c r="Y322" i="17"/>
  <c r="AF322" i="17" s="1"/>
  <c r="Y321" i="17"/>
  <c r="AF321" i="17" s="1"/>
  <c r="AF320" i="17"/>
  <c r="Y320" i="17"/>
  <c r="Y319" i="17"/>
  <c r="AF319" i="17" s="1"/>
  <c r="AF318" i="17"/>
  <c r="Y318" i="17"/>
  <c r="Y317" i="17"/>
  <c r="AF317" i="17" s="1"/>
  <c r="AF316" i="17"/>
  <c r="Y316" i="17"/>
  <c r="AF315" i="17"/>
  <c r="Y315" i="17"/>
  <c r="Y314" i="17"/>
  <c r="AF314" i="17" s="1"/>
  <c r="Y313" i="17"/>
  <c r="AF313" i="17" s="1"/>
  <c r="AF312" i="17"/>
  <c r="Y312" i="17"/>
  <c r="AF311" i="17"/>
  <c r="Y311" i="17"/>
  <c r="AF310" i="17"/>
  <c r="Y310" i="17"/>
  <c r="Y309" i="17"/>
  <c r="AF309" i="17" s="1"/>
  <c r="AF308" i="17"/>
  <c r="Y308" i="17"/>
  <c r="AF307" i="17"/>
  <c r="Y307" i="17"/>
  <c r="Y306" i="17"/>
  <c r="AF306" i="17" s="1"/>
  <c r="Y305" i="17"/>
  <c r="AF305" i="17" s="1"/>
  <c r="AF304" i="17"/>
  <c r="Y304" i="17"/>
  <c r="Y303" i="17"/>
  <c r="AF303" i="17" s="1"/>
  <c r="AF302" i="17"/>
  <c r="Y302" i="17"/>
  <c r="Y301" i="17"/>
  <c r="AF301" i="17" s="1"/>
  <c r="AF300" i="17"/>
  <c r="Y300" i="17"/>
  <c r="AF299" i="17"/>
  <c r="Y299" i="17"/>
  <c r="Y298" i="17"/>
  <c r="AF298" i="17" s="1"/>
  <c r="Y297" i="17"/>
  <c r="AF297" i="17" s="1"/>
  <c r="AF296" i="17"/>
  <c r="Y296" i="17"/>
  <c r="AF295" i="17"/>
  <c r="Y295" i="17"/>
  <c r="AF294" i="17"/>
  <c r="Y294" i="17"/>
  <c r="Y293" i="17"/>
  <c r="AF293" i="17" s="1"/>
  <c r="AF292" i="17"/>
  <c r="Y292" i="17"/>
  <c r="AF291" i="17"/>
  <c r="Y291" i="17"/>
  <c r="Y290" i="17"/>
  <c r="AF290" i="17" s="1"/>
  <c r="Y289" i="17"/>
  <c r="AF289" i="17" s="1"/>
  <c r="AF288" i="17"/>
  <c r="Y288" i="17"/>
  <c r="Y287" i="17"/>
  <c r="AF287" i="17" s="1"/>
  <c r="AF286" i="17"/>
  <c r="Y286" i="17"/>
  <c r="Y285" i="17"/>
  <c r="AF285" i="17" s="1"/>
  <c r="AF284" i="17"/>
  <c r="Y284" i="17"/>
  <c r="AF283" i="17"/>
  <c r="Y283" i="17"/>
  <c r="Y282" i="17"/>
  <c r="AF282" i="17" s="1"/>
  <c r="Y281" i="17"/>
  <c r="AF281" i="17" s="1"/>
  <c r="AF280" i="17"/>
  <c r="Y280" i="17"/>
  <c r="Y279" i="17"/>
  <c r="AF279" i="17" s="1"/>
  <c r="AF278" i="17"/>
  <c r="Y278" i="17"/>
  <c r="Y277" i="17"/>
  <c r="AF277" i="17" s="1"/>
  <c r="AF276" i="17"/>
  <c r="Y276" i="17"/>
  <c r="AF275" i="17"/>
  <c r="Y275" i="17"/>
  <c r="Y274" i="17"/>
  <c r="AF274" i="17" s="1"/>
  <c r="Y273" i="17"/>
  <c r="AF273" i="17" s="1"/>
  <c r="AF272" i="17"/>
  <c r="Y272" i="17"/>
  <c r="Y271" i="17"/>
  <c r="AF271" i="17" s="1"/>
  <c r="AF270" i="17"/>
  <c r="Y270" i="17"/>
  <c r="Y269" i="17"/>
  <c r="AF269" i="17" s="1"/>
  <c r="AF268" i="17"/>
  <c r="Y268" i="17"/>
  <c r="AF267" i="17"/>
  <c r="Y267" i="17"/>
  <c r="Y266" i="17"/>
  <c r="AF266" i="17" s="1"/>
  <c r="Y265" i="17"/>
  <c r="AF265" i="17" s="1"/>
  <c r="AF264" i="17"/>
  <c r="Y264" i="17"/>
  <c r="Y263" i="17"/>
  <c r="AF263" i="17" s="1"/>
  <c r="AF262" i="17"/>
  <c r="Y262" i="17"/>
  <c r="Y261" i="17"/>
  <c r="AF261" i="17" s="1"/>
  <c r="AF260" i="17"/>
  <c r="Y260" i="17"/>
  <c r="AF259" i="17"/>
  <c r="Y259" i="17"/>
  <c r="Y258" i="17"/>
  <c r="AF258" i="17" s="1"/>
  <c r="Y257" i="17"/>
  <c r="AF257" i="17" s="1"/>
  <c r="AF256" i="17"/>
  <c r="Y256" i="17"/>
  <c r="Y255" i="17"/>
  <c r="AF255" i="17" s="1"/>
  <c r="AF254" i="17"/>
  <c r="Y254" i="17"/>
  <c r="Y253" i="17"/>
  <c r="AF253" i="17" s="1"/>
  <c r="AF252" i="17"/>
  <c r="Y252" i="17"/>
  <c r="AF251" i="17"/>
  <c r="Y251" i="17"/>
  <c r="Y250" i="17"/>
  <c r="AF250" i="17" s="1"/>
  <c r="Y249" i="17"/>
  <c r="AF249" i="17" s="1"/>
  <c r="AF248" i="17"/>
  <c r="Y248" i="17"/>
  <c r="Y247" i="17"/>
  <c r="AF247" i="17" s="1"/>
  <c r="AF246" i="17"/>
  <c r="Y246" i="17"/>
  <c r="Y245" i="17"/>
  <c r="AF245" i="17" s="1"/>
  <c r="AF244" i="17"/>
  <c r="Y244" i="17"/>
  <c r="AF243" i="17"/>
  <c r="Y243" i="17"/>
  <c r="Y242" i="17"/>
  <c r="AF242" i="17" s="1"/>
  <c r="Y241" i="17"/>
  <c r="AF240" i="17"/>
  <c r="Y240" i="17"/>
  <c r="Y239" i="17"/>
  <c r="AF239" i="17" s="1"/>
  <c r="AF238" i="17"/>
  <c r="Y238" i="17"/>
  <c r="Y237" i="17"/>
  <c r="Y236" i="17"/>
  <c r="Y235" i="17"/>
  <c r="AF235" i="17" s="1"/>
  <c r="AF234" i="17"/>
  <c r="Y234" i="17"/>
  <c r="Y233" i="17"/>
  <c r="AF233" i="17" s="1"/>
  <c r="Y232" i="17"/>
  <c r="AF232" i="17" s="1"/>
  <c r="AF231" i="17"/>
  <c r="Y231" i="17"/>
  <c r="Y230" i="17"/>
  <c r="AF230" i="17" s="1"/>
  <c r="AF229" i="17"/>
  <c r="Y229" i="17"/>
  <c r="Y228" i="17"/>
  <c r="AF228" i="17" s="1"/>
  <c r="AF227" i="17"/>
  <c r="Y227" i="17"/>
  <c r="Z226" i="17" s="1"/>
  <c r="Y226" i="17"/>
  <c r="AF226" i="17" s="1"/>
  <c r="Y225" i="17"/>
  <c r="AF225" i="17" s="1"/>
  <c r="AF224" i="17"/>
  <c r="Y224" i="17"/>
  <c r="Y223" i="17"/>
  <c r="AF223" i="17" s="1"/>
  <c r="Y222" i="17"/>
  <c r="AF222" i="17" s="1"/>
  <c r="Y221" i="17"/>
  <c r="AF221" i="17" s="1"/>
  <c r="Y220" i="17"/>
  <c r="AF220" i="17" s="1"/>
  <c r="Y219" i="17"/>
  <c r="AF218" i="17"/>
  <c r="Y218" i="17"/>
  <c r="Y217" i="17"/>
  <c r="AF217" i="17" s="1"/>
  <c r="Y216" i="17"/>
  <c r="AF216" i="17" s="1"/>
  <c r="AF215" i="17"/>
  <c r="Y215" i="17"/>
  <c r="Y214" i="17"/>
  <c r="Y213" i="17"/>
  <c r="AF213" i="17" s="1"/>
  <c r="Y212" i="17"/>
  <c r="AF212" i="17" s="1"/>
  <c r="Y211" i="17"/>
  <c r="AF211" i="17" s="1"/>
  <c r="AF210" i="17"/>
  <c r="Y210" i="17"/>
  <c r="Y209" i="17"/>
  <c r="AF209" i="17" s="1"/>
  <c r="Y208" i="17"/>
  <c r="AF208" i="17" s="1"/>
  <c r="Y207" i="17"/>
  <c r="Y206" i="17"/>
  <c r="Y205" i="17"/>
  <c r="AF205" i="17" s="1"/>
  <c r="Y204" i="17"/>
  <c r="AF204" i="17" s="1"/>
  <c r="Y203" i="17"/>
  <c r="Y202" i="17"/>
  <c r="AF202" i="17" s="1"/>
  <c r="Y201" i="17"/>
  <c r="AF200" i="17"/>
  <c r="Y200" i="17"/>
  <c r="Y199" i="17"/>
  <c r="AF199" i="17" s="1"/>
  <c r="Y198" i="17"/>
  <c r="AF198" i="17" s="1"/>
  <c r="AF197" i="17"/>
  <c r="Y197" i="17"/>
  <c r="Y196" i="17"/>
  <c r="AF196" i="17" s="1"/>
  <c r="AF195" i="17"/>
  <c r="Y195" i="17"/>
  <c r="Y194" i="17"/>
  <c r="AF194" i="17" s="1"/>
  <c r="Y193" i="17"/>
  <c r="AF193" i="17" s="1"/>
  <c r="AF192" i="17"/>
  <c r="Y192" i="17"/>
  <c r="Y191" i="17"/>
  <c r="AF191" i="17" s="1"/>
  <c r="Y190" i="17"/>
  <c r="AF190" i="17" s="1"/>
  <c r="AF189" i="17"/>
  <c r="Y189" i="17"/>
  <c r="Y188" i="17"/>
  <c r="AF188" i="17" s="1"/>
  <c r="Y187" i="17"/>
  <c r="AF187" i="17" s="1"/>
  <c r="Y186" i="17"/>
  <c r="AF186" i="17" s="1"/>
  <c r="Y185" i="17"/>
  <c r="AF185" i="17" s="1"/>
  <c r="AF184" i="17"/>
  <c r="Y184" i="17"/>
  <c r="Y183" i="17"/>
  <c r="AF183" i="17" s="1"/>
  <c r="Y182" i="17"/>
  <c r="AF182" i="17" s="1"/>
  <c r="AF181" i="17"/>
  <c r="Y181" i="17"/>
  <c r="Y180" i="17"/>
  <c r="AF180" i="17" s="1"/>
  <c r="AF179" i="17"/>
  <c r="Y179" i="17"/>
  <c r="Y178" i="17"/>
  <c r="AF178" i="17" s="1"/>
  <c r="Y177" i="17"/>
  <c r="AF177" i="17" s="1"/>
  <c r="AF176" i="17"/>
  <c r="Y176" i="17"/>
  <c r="Y175" i="17"/>
  <c r="AF175" i="17" s="1"/>
  <c r="Y174" i="17"/>
  <c r="AF174" i="17" s="1"/>
  <c r="AF173" i="17"/>
  <c r="Y173" i="17"/>
  <c r="Y172" i="17"/>
  <c r="AF172" i="17" s="1"/>
  <c r="Y171" i="17"/>
  <c r="AF171" i="17" s="1"/>
  <c r="Y170" i="17"/>
  <c r="AF170" i="17" s="1"/>
  <c r="Y169" i="17"/>
  <c r="AF169" i="17" s="1"/>
  <c r="AF168" i="17"/>
  <c r="Y168" i="17"/>
  <c r="Y167" i="17"/>
  <c r="AF167" i="17" s="1"/>
  <c r="Y166" i="17"/>
  <c r="AF166" i="17" s="1"/>
  <c r="AF165" i="17"/>
  <c r="Y165" i="17"/>
  <c r="Y164" i="17"/>
  <c r="AF164" i="17" s="1"/>
  <c r="AF163" i="17"/>
  <c r="Y163" i="17"/>
  <c r="Y162" i="17"/>
  <c r="AF162" i="17" s="1"/>
  <c r="Y161" i="17"/>
  <c r="AF160" i="17"/>
  <c r="Y160" i="17"/>
  <c r="AF159" i="17"/>
  <c r="Y159" i="17"/>
  <c r="Y158" i="17"/>
  <c r="AF158" i="17" s="1"/>
  <c r="Y157" i="17"/>
  <c r="AF157" i="17" s="1"/>
  <c r="AF156" i="17"/>
  <c r="Y156" i="17"/>
  <c r="Y155" i="17"/>
  <c r="AF155" i="17" s="1"/>
  <c r="AF154" i="17"/>
  <c r="Y154" i="17"/>
  <c r="Y153" i="17"/>
  <c r="Y152" i="17"/>
  <c r="AF152" i="17" s="1"/>
  <c r="Y151" i="17"/>
  <c r="AF150" i="17"/>
  <c r="Y150" i="17"/>
  <c r="Y149" i="17"/>
  <c r="AF149" i="17" s="1"/>
  <c r="Y148" i="17"/>
  <c r="Y147" i="17"/>
  <c r="Y146" i="17"/>
  <c r="Y145" i="17"/>
  <c r="AF144" i="17"/>
  <c r="Y144" i="17"/>
  <c r="AF143" i="17"/>
  <c r="Y143" i="17"/>
  <c r="Y142" i="17"/>
  <c r="AF142" i="17" s="1"/>
  <c r="Y141" i="17"/>
  <c r="Y140" i="17"/>
  <c r="Y139" i="17"/>
  <c r="Y138" i="17"/>
  <c r="Y137" i="17"/>
  <c r="Y136" i="17"/>
  <c r="Y135" i="17"/>
  <c r="AF135" i="17" s="1"/>
  <c r="AF134" i="17"/>
  <c r="Y134" i="17"/>
  <c r="Y133" i="17"/>
  <c r="AF133" i="17" s="1"/>
  <c r="AF132" i="17"/>
  <c r="Y132" i="17"/>
  <c r="Y131" i="17"/>
  <c r="AF131" i="17" s="1"/>
  <c r="Y130" i="17"/>
  <c r="Y129" i="17"/>
  <c r="AF128" i="17"/>
  <c r="Y128" i="17"/>
  <c r="Y127" i="17"/>
  <c r="Y126" i="17"/>
  <c r="Y125" i="17"/>
  <c r="AF125" i="17" s="1"/>
  <c r="AF124" i="17"/>
  <c r="Y124" i="17"/>
  <c r="Y123" i="17"/>
  <c r="AF123" i="17" s="1"/>
  <c r="AF122" i="17"/>
  <c r="Y122" i="17"/>
  <c r="Y121" i="17"/>
  <c r="AF121" i="17" s="1"/>
  <c r="AF120" i="17"/>
  <c r="Y120" i="17"/>
  <c r="AF119" i="17"/>
  <c r="Y119" i="17"/>
  <c r="Y118" i="17"/>
  <c r="AF118" i="17" s="1"/>
  <c r="Y117" i="17"/>
  <c r="AF117" i="17" s="1"/>
  <c r="AF116" i="17"/>
  <c r="Y116" i="17"/>
  <c r="Y115" i="17"/>
  <c r="AF114" i="17"/>
  <c r="Y114" i="17"/>
  <c r="Y113" i="17"/>
  <c r="AF113" i="17" s="1"/>
  <c r="Y112" i="17"/>
  <c r="AF112" i="17" s="1"/>
  <c r="AF111" i="17"/>
  <c r="Y111" i="17"/>
  <c r="Y110" i="17"/>
  <c r="AF110" i="17" s="1"/>
  <c r="Y109" i="17"/>
  <c r="Y108" i="17"/>
  <c r="Y107" i="17"/>
  <c r="Y106" i="17"/>
  <c r="Y105" i="17"/>
  <c r="Z104" i="17"/>
  <c r="Y104" i="17"/>
  <c r="AF103" i="17"/>
  <c r="Y103" i="17"/>
  <c r="Y102" i="17"/>
  <c r="AF102" i="17" s="1"/>
  <c r="AF101" i="17"/>
  <c r="Y101" i="17"/>
  <c r="AF100" i="17"/>
  <c r="Y100" i="17"/>
  <c r="Y99" i="17"/>
  <c r="AF99" i="17" s="1"/>
  <c r="Y98" i="17"/>
  <c r="AF98" i="17" s="1"/>
  <c r="AF97" i="17"/>
  <c r="Y97" i="17"/>
  <c r="Y96" i="17"/>
  <c r="AF96" i="17" s="1"/>
  <c r="AF95" i="17"/>
  <c r="Y95" i="17"/>
  <c r="Y94" i="17"/>
  <c r="Y93" i="17"/>
  <c r="AF93" i="17" s="1"/>
  <c r="AF92" i="17"/>
  <c r="Y92" i="17"/>
  <c r="Y91" i="17"/>
  <c r="AF91" i="17" s="1"/>
  <c r="Y90" i="17"/>
  <c r="AF90" i="17" s="1"/>
  <c r="AF89" i="17"/>
  <c r="Y89" i="17"/>
  <c r="Y88" i="17"/>
  <c r="AF88" i="17" s="1"/>
  <c r="AF87" i="17"/>
  <c r="Y87" i="17"/>
  <c r="Y86" i="17"/>
  <c r="AF86" i="17" s="1"/>
  <c r="Y85" i="17"/>
  <c r="AF85" i="17" s="1"/>
  <c r="AF84" i="17"/>
  <c r="Y84" i="17"/>
  <c r="Y83" i="17"/>
  <c r="AF83" i="17" s="1"/>
  <c r="Y82" i="17"/>
  <c r="AF82" i="17" s="1"/>
  <c r="AF81" i="17"/>
  <c r="Y81" i="17"/>
  <c r="Y80" i="17"/>
  <c r="AF80" i="17" s="1"/>
  <c r="Y79" i="17"/>
  <c r="AF79" i="17" s="1"/>
  <c r="Y78" i="17"/>
  <c r="AF78" i="17" s="1"/>
  <c r="Y77" i="17"/>
  <c r="AF77" i="17" s="1"/>
  <c r="AF76" i="17"/>
  <c r="Y76" i="17"/>
  <c r="Y75" i="17"/>
  <c r="AF75" i="17" s="1"/>
  <c r="Y74" i="17"/>
  <c r="AF74" i="17" s="1"/>
  <c r="Y73" i="17"/>
  <c r="AF73" i="17" s="1"/>
  <c r="Y72" i="17"/>
  <c r="AF72" i="17" s="1"/>
  <c r="AF71" i="17"/>
  <c r="Y71" i="17"/>
  <c r="Y70" i="17"/>
  <c r="AF70" i="17" s="1"/>
  <c r="Y69" i="17"/>
  <c r="AF68" i="17"/>
  <c r="Y68" i="17"/>
  <c r="AF67" i="17"/>
  <c r="Y67" i="17"/>
  <c r="Y66" i="17"/>
  <c r="Y65" i="17"/>
  <c r="AF65" i="17" s="1"/>
  <c r="AF64" i="17"/>
  <c r="Y64" i="17"/>
  <c r="Y63" i="17"/>
  <c r="Y62" i="17"/>
  <c r="AF62" i="17" s="1"/>
  <c r="AF61" i="17"/>
  <c r="Y61" i="17"/>
  <c r="Y60" i="17"/>
  <c r="AF60" i="17" s="1"/>
  <c r="AF59" i="17"/>
  <c r="Y59" i="17"/>
  <c r="Y58" i="17"/>
  <c r="Y57" i="17"/>
  <c r="AF57" i="17" s="1"/>
  <c r="Y56" i="17"/>
  <c r="AF56" i="17" s="1"/>
  <c r="Y55" i="17"/>
  <c r="AF55" i="17" s="1"/>
  <c r="Y54" i="17"/>
  <c r="AF54" i="17" s="1"/>
  <c r="Y53" i="17"/>
  <c r="Y52" i="17"/>
  <c r="Y51" i="17"/>
  <c r="Y50" i="17"/>
  <c r="Y49" i="17"/>
  <c r="Y48" i="17"/>
  <c r="Y47" i="17"/>
  <c r="Y46" i="17"/>
  <c r="Y45" i="17"/>
  <c r="Y44" i="17"/>
  <c r="Y43" i="17"/>
  <c r="Y42" i="17"/>
  <c r="AF42" i="17" s="1"/>
  <c r="Y41" i="17"/>
  <c r="AF41" i="17" s="1"/>
  <c r="Y40" i="17"/>
  <c r="AF40" i="17" s="1"/>
  <c r="Y39" i="17"/>
  <c r="AF39" i="17" s="1"/>
  <c r="AF38" i="17"/>
  <c r="AB38" i="17"/>
  <c r="Y38" i="17"/>
  <c r="Y37" i="17"/>
  <c r="Y36" i="17"/>
  <c r="AF36" i="17" s="1"/>
  <c r="Y35" i="17"/>
  <c r="AF35" i="17" s="1"/>
  <c r="AF34" i="17"/>
  <c r="Y34" i="17"/>
  <c r="AF33" i="17"/>
  <c r="Y33" i="17"/>
  <c r="AF32" i="17"/>
  <c r="Y32" i="17"/>
  <c r="Y31" i="17"/>
  <c r="AF31" i="17" s="1"/>
  <c r="AF30" i="17"/>
  <c r="Y30" i="17"/>
  <c r="AF29" i="17"/>
  <c r="Y29" i="17"/>
  <c r="Y28" i="17"/>
  <c r="AF28" i="17" s="1"/>
  <c r="Y27" i="17"/>
  <c r="AF27" i="17" s="1"/>
  <c r="AF26" i="17"/>
  <c r="Y26" i="17"/>
  <c r="AF25" i="17"/>
  <c r="Y25" i="17"/>
  <c r="AF24" i="17"/>
  <c r="Y24" i="17"/>
  <c r="Y23" i="17"/>
  <c r="AF23" i="17" s="1"/>
  <c r="AF22" i="17"/>
  <c r="Y22" i="17"/>
  <c r="AF21" i="17"/>
  <c r="Y21" i="17"/>
  <c r="Y20" i="17"/>
  <c r="AF20" i="17" s="1"/>
  <c r="AF19" i="17"/>
  <c r="Y12" i="17"/>
  <c r="A5" i="17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Y447" i="16"/>
  <c r="AF447" i="16" s="1"/>
  <c r="AF446" i="16"/>
  <c r="Y446" i="16"/>
  <c r="Y445" i="16"/>
  <c r="AF445" i="16" s="1"/>
  <c r="Y444" i="16"/>
  <c r="AF444" i="16" s="1"/>
  <c r="AF443" i="16"/>
  <c r="Y443" i="16"/>
  <c r="Y442" i="16"/>
  <c r="AF442" i="16" s="1"/>
  <c r="Y441" i="16"/>
  <c r="AF441" i="16" s="1"/>
  <c r="Y440" i="16"/>
  <c r="AF440" i="16" s="1"/>
  <c r="Y439" i="16"/>
  <c r="AF439" i="16" s="1"/>
  <c r="Y438" i="16"/>
  <c r="AF438" i="16" s="1"/>
  <c r="Y437" i="16"/>
  <c r="AF437" i="16" s="1"/>
  <c r="Y436" i="16"/>
  <c r="AF436" i="16" s="1"/>
  <c r="AF435" i="16"/>
  <c r="Y435" i="16"/>
  <c r="Y434" i="16"/>
  <c r="AF434" i="16" s="1"/>
  <c r="Y433" i="16"/>
  <c r="AF433" i="16" s="1"/>
  <c r="AF432" i="16"/>
  <c r="Y432" i="16"/>
  <c r="Y431" i="16"/>
  <c r="AF431" i="16" s="1"/>
  <c r="AF430" i="16"/>
  <c r="Y430" i="16"/>
  <c r="Y429" i="16"/>
  <c r="AF429" i="16" s="1"/>
  <c r="Y428" i="16"/>
  <c r="AF428" i="16" s="1"/>
  <c r="AF427" i="16"/>
  <c r="Y427" i="16"/>
  <c r="Y426" i="16"/>
  <c r="AF426" i="16" s="1"/>
  <c r="Y425" i="16"/>
  <c r="AF425" i="16" s="1"/>
  <c r="Y424" i="16"/>
  <c r="AF424" i="16" s="1"/>
  <c r="Y423" i="16"/>
  <c r="AF423" i="16" s="1"/>
  <c r="AF422" i="16"/>
  <c r="Y422" i="16"/>
  <c r="Y421" i="16"/>
  <c r="AF421" i="16" s="1"/>
  <c r="Y420" i="16"/>
  <c r="AF420" i="16" s="1"/>
  <c r="AF419" i="16"/>
  <c r="Y419" i="16"/>
  <c r="Y418" i="16"/>
  <c r="AF418" i="16" s="1"/>
  <c r="Y417" i="16"/>
  <c r="AF417" i="16" s="1"/>
  <c r="Y416" i="16"/>
  <c r="AF416" i="16" s="1"/>
  <c r="Y415" i="16"/>
  <c r="AF415" i="16" s="1"/>
  <c r="Y414" i="16"/>
  <c r="AF414" i="16" s="1"/>
  <c r="Y413" i="16"/>
  <c r="AF413" i="16" s="1"/>
  <c r="Y412" i="16"/>
  <c r="AF412" i="16" s="1"/>
  <c r="AF411" i="16"/>
  <c r="Y411" i="16"/>
  <c r="Y410" i="16"/>
  <c r="AF410" i="16" s="1"/>
  <c r="Y409" i="16"/>
  <c r="AF409" i="16" s="1"/>
  <c r="Y408" i="16"/>
  <c r="AF408" i="16" s="1"/>
  <c r="Y407" i="16"/>
  <c r="AF407" i="16" s="1"/>
  <c r="AF406" i="16"/>
  <c r="Y406" i="16"/>
  <c r="Y405" i="16"/>
  <c r="AF405" i="16" s="1"/>
  <c r="Y404" i="16"/>
  <c r="AF404" i="16" s="1"/>
  <c r="AF403" i="16"/>
  <c r="Y403" i="16"/>
  <c r="Y402" i="16"/>
  <c r="AF402" i="16" s="1"/>
  <c r="Y401" i="16"/>
  <c r="AF401" i="16" s="1"/>
  <c r="Y400" i="16"/>
  <c r="AF400" i="16" s="1"/>
  <c r="Y399" i="16"/>
  <c r="AF399" i="16" s="1"/>
  <c r="Y398" i="16"/>
  <c r="AF398" i="16" s="1"/>
  <c r="Y397" i="16"/>
  <c r="AF397" i="16" s="1"/>
  <c r="Y396" i="16"/>
  <c r="AF396" i="16" s="1"/>
  <c r="AF395" i="16"/>
  <c r="Y395" i="16"/>
  <c r="Y394" i="16"/>
  <c r="AF394" i="16" s="1"/>
  <c r="Y393" i="16"/>
  <c r="AF393" i="16" s="1"/>
  <c r="Y392" i="16"/>
  <c r="AF392" i="16" s="1"/>
  <c r="Y391" i="16"/>
  <c r="AF391" i="16" s="1"/>
  <c r="AF390" i="16"/>
  <c r="Y390" i="16"/>
  <c r="Y389" i="16"/>
  <c r="AF389" i="16" s="1"/>
  <c r="Y388" i="16"/>
  <c r="AF388" i="16" s="1"/>
  <c r="AF387" i="16"/>
  <c r="Y387" i="16"/>
  <c r="Y386" i="16"/>
  <c r="AF386" i="16" s="1"/>
  <c r="Y385" i="16"/>
  <c r="AF385" i="16" s="1"/>
  <c r="Y384" i="16"/>
  <c r="AF384" i="16" s="1"/>
  <c r="Y383" i="16"/>
  <c r="AF383" i="16" s="1"/>
  <c r="Y382" i="16"/>
  <c r="AF382" i="16" s="1"/>
  <c r="Y381" i="16"/>
  <c r="AF381" i="16" s="1"/>
  <c r="Y380" i="16"/>
  <c r="AF380" i="16" s="1"/>
  <c r="AF379" i="16"/>
  <c r="Y379" i="16"/>
  <c r="Y378" i="16"/>
  <c r="AF378" i="16" s="1"/>
  <c r="Y377" i="16"/>
  <c r="AF377" i="16" s="1"/>
  <c r="Y376" i="16"/>
  <c r="AF376" i="16" s="1"/>
  <c r="Y375" i="16"/>
  <c r="AF375" i="16" s="1"/>
  <c r="AF374" i="16"/>
  <c r="Y374" i="16"/>
  <c r="Y373" i="16"/>
  <c r="AF373" i="16" s="1"/>
  <c r="Y372" i="16"/>
  <c r="AF372" i="16" s="1"/>
  <c r="Y371" i="16"/>
  <c r="Y370" i="16"/>
  <c r="AF370" i="16" s="1"/>
  <c r="Y369" i="16"/>
  <c r="AF369" i="16" s="1"/>
  <c r="Y368" i="16"/>
  <c r="AF368" i="16" s="1"/>
  <c r="AF367" i="16"/>
  <c r="Y367" i="16"/>
  <c r="AF366" i="16"/>
  <c r="Y366" i="16"/>
  <c r="AF365" i="16"/>
  <c r="Y365" i="16"/>
  <c r="Y364" i="16"/>
  <c r="AF364" i="16" s="1"/>
  <c r="AF363" i="16"/>
  <c r="Y363" i="16"/>
  <c r="Y362" i="16"/>
  <c r="AF362" i="16" s="1"/>
  <c r="Y361" i="16"/>
  <c r="AF361" i="16" s="1"/>
  <c r="Y360" i="16"/>
  <c r="AF360" i="16" s="1"/>
  <c r="AF359" i="16"/>
  <c r="Y359" i="16"/>
  <c r="Y358" i="16"/>
  <c r="AF358" i="16" s="1"/>
  <c r="AF357" i="16"/>
  <c r="Y357" i="16"/>
  <c r="Y356" i="16"/>
  <c r="AF356" i="16" s="1"/>
  <c r="AF355" i="16"/>
  <c r="Y355" i="16"/>
  <c r="Y354" i="16"/>
  <c r="AF354" i="16" s="1"/>
  <c r="Y353" i="16"/>
  <c r="AF353" i="16" s="1"/>
  <c r="Y352" i="16"/>
  <c r="AF352" i="16" s="1"/>
  <c r="AF351" i="16"/>
  <c r="Y351" i="16"/>
  <c r="Y350" i="16"/>
  <c r="AF350" i="16" s="1"/>
  <c r="AF349" i="16"/>
  <c r="Y349" i="16"/>
  <c r="Y348" i="16"/>
  <c r="AF348" i="16" s="1"/>
  <c r="AF347" i="16"/>
  <c r="Y347" i="16"/>
  <c r="Y346" i="16"/>
  <c r="AF346" i="16" s="1"/>
  <c r="Y345" i="16"/>
  <c r="AF345" i="16" s="1"/>
  <c r="Y344" i="16"/>
  <c r="AF344" i="16" s="1"/>
  <c r="AF343" i="16"/>
  <c r="Y343" i="16"/>
  <c r="AF342" i="16"/>
  <c r="Y342" i="16"/>
  <c r="AF341" i="16"/>
  <c r="Y341" i="16"/>
  <c r="Y340" i="16"/>
  <c r="AF340" i="16" s="1"/>
  <c r="AF339" i="16"/>
  <c r="Y339" i="16"/>
  <c r="Y338" i="16"/>
  <c r="AF338" i="16" s="1"/>
  <c r="Y337" i="16"/>
  <c r="AF337" i="16" s="1"/>
  <c r="Y336" i="16"/>
  <c r="AF336" i="16" s="1"/>
  <c r="AF335" i="16"/>
  <c r="Y335" i="16"/>
  <c r="Y334" i="16"/>
  <c r="AF334" i="16" s="1"/>
  <c r="AF333" i="16"/>
  <c r="Y333" i="16"/>
  <c r="Y332" i="16"/>
  <c r="AF332" i="16" s="1"/>
  <c r="AF331" i="16"/>
  <c r="Y331" i="16"/>
  <c r="Y330" i="16"/>
  <c r="AF330" i="16" s="1"/>
  <c r="Y329" i="16"/>
  <c r="AF329" i="16" s="1"/>
  <c r="AF328" i="16"/>
  <c r="Y328" i="16"/>
  <c r="AF327" i="16"/>
  <c r="Y327" i="16"/>
  <c r="Y326" i="16"/>
  <c r="AF326" i="16" s="1"/>
  <c r="AF325" i="16"/>
  <c r="Y325" i="16"/>
  <c r="Y324" i="16"/>
  <c r="AF324" i="16" s="1"/>
  <c r="AF323" i="16"/>
  <c r="Y323" i="16"/>
  <c r="Y322" i="16"/>
  <c r="AF322" i="16" s="1"/>
  <c r="Y321" i="16"/>
  <c r="AF321" i="16" s="1"/>
  <c r="Y320" i="16"/>
  <c r="AF320" i="16" s="1"/>
  <c r="AF319" i="16"/>
  <c r="Y319" i="16"/>
  <c r="Y318" i="16"/>
  <c r="AF318" i="16" s="1"/>
  <c r="AF317" i="16"/>
  <c r="Y317" i="16"/>
  <c r="Y316" i="16"/>
  <c r="AF316" i="16" s="1"/>
  <c r="AF315" i="16"/>
  <c r="Y315" i="16"/>
  <c r="Y314" i="16"/>
  <c r="AF314" i="16" s="1"/>
  <c r="Y313" i="16"/>
  <c r="AF313" i="16" s="1"/>
  <c r="AF312" i="16"/>
  <c r="Y312" i="16"/>
  <c r="AF311" i="16"/>
  <c r="Y311" i="16"/>
  <c r="Y310" i="16"/>
  <c r="AF310" i="16" s="1"/>
  <c r="AF309" i="16"/>
  <c r="Y309" i="16"/>
  <c r="Y308" i="16"/>
  <c r="AF308" i="16" s="1"/>
  <c r="AF307" i="16"/>
  <c r="Y307" i="16"/>
  <c r="Y306" i="16"/>
  <c r="AF306" i="16" s="1"/>
  <c r="Y305" i="16"/>
  <c r="AF305" i="16" s="1"/>
  <c r="Y304" i="16"/>
  <c r="AF304" i="16" s="1"/>
  <c r="AF303" i="16"/>
  <c r="Y303" i="16"/>
  <c r="Y302" i="16"/>
  <c r="AF302" i="16" s="1"/>
  <c r="AF301" i="16"/>
  <c r="Y301" i="16"/>
  <c r="Y300" i="16"/>
  <c r="AF300" i="16" s="1"/>
  <c r="AF299" i="16"/>
  <c r="Y299" i="16"/>
  <c r="Y298" i="16"/>
  <c r="AF298" i="16" s="1"/>
  <c r="Y297" i="16"/>
  <c r="AF297" i="16" s="1"/>
  <c r="Y296" i="16"/>
  <c r="AF296" i="16" s="1"/>
  <c r="AF295" i="16"/>
  <c r="Y295" i="16"/>
  <c r="Y294" i="16"/>
  <c r="AF294" i="16" s="1"/>
  <c r="AF293" i="16"/>
  <c r="Y293" i="16"/>
  <c r="Y292" i="16"/>
  <c r="AF292" i="16" s="1"/>
  <c r="AF291" i="16"/>
  <c r="Y291" i="16"/>
  <c r="Y290" i="16"/>
  <c r="AF290" i="16" s="1"/>
  <c r="Y289" i="16"/>
  <c r="AF289" i="16" s="1"/>
  <c r="Y288" i="16"/>
  <c r="AF288" i="16" s="1"/>
  <c r="AF287" i="16"/>
  <c r="Y287" i="16"/>
  <c r="Y286" i="16"/>
  <c r="AF286" i="16" s="1"/>
  <c r="AF285" i="16"/>
  <c r="Y285" i="16"/>
  <c r="Y284" i="16"/>
  <c r="AF284" i="16" s="1"/>
  <c r="AF283" i="16"/>
  <c r="Y283" i="16"/>
  <c r="Y282" i="16"/>
  <c r="AF282" i="16" s="1"/>
  <c r="Y281" i="16"/>
  <c r="AF281" i="16" s="1"/>
  <c r="Y280" i="16"/>
  <c r="AF280" i="16" s="1"/>
  <c r="AF279" i="16"/>
  <c r="Y279" i="16"/>
  <c r="Y278" i="16"/>
  <c r="AF278" i="16" s="1"/>
  <c r="AF277" i="16"/>
  <c r="Y277" i="16"/>
  <c r="Y276" i="16"/>
  <c r="AF276" i="16" s="1"/>
  <c r="AF275" i="16"/>
  <c r="Y275" i="16"/>
  <c r="Y274" i="16"/>
  <c r="AF274" i="16" s="1"/>
  <c r="Y273" i="16"/>
  <c r="AF273" i="16" s="1"/>
  <c r="Y272" i="16"/>
  <c r="AF272" i="16" s="1"/>
  <c r="AF271" i="16"/>
  <c r="Y271" i="16"/>
  <c r="AF270" i="16"/>
  <c r="Y270" i="16"/>
  <c r="AF269" i="16"/>
  <c r="Y269" i="16"/>
  <c r="Y268" i="16"/>
  <c r="AF268" i="16" s="1"/>
  <c r="AF267" i="16"/>
  <c r="Y267" i="16"/>
  <c r="Y266" i="16"/>
  <c r="AF266" i="16" s="1"/>
  <c r="Y265" i="16"/>
  <c r="AF265" i="16" s="1"/>
  <c r="Y264" i="16"/>
  <c r="AF264" i="16" s="1"/>
  <c r="AF263" i="16"/>
  <c r="Y263" i="16"/>
  <c r="AF262" i="16"/>
  <c r="Y262" i="16"/>
  <c r="AF261" i="16"/>
  <c r="Y261" i="16"/>
  <c r="Y260" i="16"/>
  <c r="AF260" i="16" s="1"/>
  <c r="AF259" i="16"/>
  <c r="Y259" i="16"/>
  <c r="Y258" i="16"/>
  <c r="AF258" i="16" s="1"/>
  <c r="Y257" i="16"/>
  <c r="AF257" i="16" s="1"/>
  <c r="Y256" i="16"/>
  <c r="AF256" i="16" s="1"/>
  <c r="AF255" i="16"/>
  <c r="Y255" i="16"/>
  <c r="Y254" i="16"/>
  <c r="AF254" i="16" s="1"/>
  <c r="AF253" i="16"/>
  <c r="Y253" i="16"/>
  <c r="Y252" i="16"/>
  <c r="AF252" i="16" s="1"/>
  <c r="AF251" i="16"/>
  <c r="Y251" i="16"/>
  <c r="Y250" i="16"/>
  <c r="AF250" i="16" s="1"/>
  <c r="Y249" i="16"/>
  <c r="AF249" i="16" s="1"/>
  <c r="Y248" i="16"/>
  <c r="AF248" i="16" s="1"/>
  <c r="AF247" i="16"/>
  <c r="Y247" i="16"/>
  <c r="AF246" i="16"/>
  <c r="Y246" i="16"/>
  <c r="AF245" i="16"/>
  <c r="Y245" i="16"/>
  <c r="Y244" i="16"/>
  <c r="AF244" i="16" s="1"/>
  <c r="AF243" i="16"/>
  <c r="Y243" i="16"/>
  <c r="O243" i="16"/>
  <c r="G243" i="16"/>
  <c r="Y242" i="16"/>
  <c r="AF242" i="16" s="1"/>
  <c r="Y241" i="16"/>
  <c r="Y240" i="16"/>
  <c r="AF240" i="16" s="1"/>
  <c r="O239" i="16"/>
  <c r="M239" i="16"/>
  <c r="Y239" i="16" s="1"/>
  <c r="AF239" i="16" s="1"/>
  <c r="J239" i="16"/>
  <c r="G239" i="16"/>
  <c r="E239" i="16"/>
  <c r="AF238" i="16"/>
  <c r="Y238" i="16"/>
  <c r="M237" i="16"/>
  <c r="K237" i="16"/>
  <c r="H237" i="16"/>
  <c r="E237" i="16"/>
  <c r="Y237" i="16" s="1"/>
  <c r="Y236" i="16"/>
  <c r="AF235" i="16"/>
  <c r="Y235" i="16"/>
  <c r="Y234" i="16"/>
  <c r="AF234" i="16" s="1"/>
  <c r="AF233" i="16"/>
  <c r="Y233" i="16"/>
  <c r="Y232" i="16"/>
  <c r="AF232" i="16" s="1"/>
  <c r="AF231" i="16"/>
  <c r="Y231" i="16"/>
  <c r="AF230" i="16"/>
  <c r="Y230" i="16"/>
  <c r="Y229" i="16"/>
  <c r="AF229" i="16" s="1"/>
  <c r="Y228" i="16"/>
  <c r="AF228" i="16" s="1"/>
  <c r="Y227" i="16"/>
  <c r="AF227" i="16" s="1"/>
  <c r="AF226" i="16"/>
  <c r="Y226" i="16"/>
  <c r="Y225" i="16"/>
  <c r="AF225" i="16" s="1"/>
  <c r="AF224" i="16"/>
  <c r="Y224" i="16"/>
  <c r="AF223" i="16"/>
  <c r="Y223" i="16"/>
  <c r="Y222" i="16"/>
  <c r="AF222" i="16" s="1"/>
  <c r="Y221" i="16"/>
  <c r="AF221" i="16" s="1"/>
  <c r="AF220" i="16"/>
  <c r="Y220" i="16"/>
  <c r="Y219" i="16"/>
  <c r="Y218" i="16"/>
  <c r="AF218" i="16" s="1"/>
  <c r="Y217" i="16"/>
  <c r="AF217" i="16" s="1"/>
  <c r="Y216" i="16"/>
  <c r="AF216" i="16" s="1"/>
  <c r="AF215" i="16"/>
  <c r="Y215" i="16"/>
  <c r="Y214" i="16"/>
  <c r="Y213" i="16"/>
  <c r="AF213" i="16" s="1"/>
  <c r="Y212" i="16"/>
  <c r="AF212" i="16" s="1"/>
  <c r="AF211" i="16"/>
  <c r="Y211" i="16"/>
  <c r="Y210" i="16"/>
  <c r="AF210" i="16" s="1"/>
  <c r="AF209" i="16"/>
  <c r="Y209" i="16"/>
  <c r="Y208" i="16"/>
  <c r="AF208" i="16" s="1"/>
  <c r="Y207" i="16"/>
  <c r="K207" i="16"/>
  <c r="K206" i="16"/>
  <c r="H206" i="16"/>
  <c r="Y206" i="16" s="1"/>
  <c r="Y205" i="16"/>
  <c r="AF205" i="16" s="1"/>
  <c r="AF204" i="16"/>
  <c r="Y204" i="16"/>
  <c r="Y203" i="16"/>
  <c r="AF202" i="16"/>
  <c r="Y202" i="16"/>
  <c r="Y201" i="16"/>
  <c r="O201" i="16"/>
  <c r="Y200" i="16"/>
  <c r="AF200" i="16" s="1"/>
  <c r="AF199" i="16"/>
  <c r="Y199" i="16"/>
  <c r="AF198" i="16"/>
  <c r="Y198" i="16"/>
  <c r="Y197" i="16"/>
  <c r="AF197" i="16" s="1"/>
  <c r="Y196" i="16"/>
  <c r="AF196" i="16" s="1"/>
  <c r="AF195" i="16"/>
  <c r="Y195" i="16"/>
  <c r="Y194" i="16"/>
  <c r="AF194" i="16" s="1"/>
  <c r="AF193" i="16"/>
  <c r="Y193" i="16"/>
  <c r="Y192" i="16"/>
  <c r="AF192" i="16" s="1"/>
  <c r="AF191" i="16"/>
  <c r="Y191" i="16"/>
  <c r="AF190" i="16"/>
  <c r="Y190" i="16"/>
  <c r="Y189" i="16"/>
  <c r="AF189" i="16" s="1"/>
  <c r="Y188" i="16"/>
  <c r="AF188" i="16" s="1"/>
  <c r="AF187" i="16"/>
  <c r="Y187" i="16"/>
  <c r="Y186" i="16"/>
  <c r="AF186" i="16" s="1"/>
  <c r="AF185" i="16"/>
  <c r="Y185" i="16"/>
  <c r="Y184" i="16"/>
  <c r="AF184" i="16" s="1"/>
  <c r="AF183" i="16"/>
  <c r="Y183" i="16"/>
  <c r="AF182" i="16"/>
  <c r="Y182" i="16"/>
  <c r="Y181" i="16"/>
  <c r="AF181" i="16" s="1"/>
  <c r="AF180" i="16"/>
  <c r="Y180" i="16"/>
  <c r="AF179" i="16"/>
  <c r="Y179" i="16"/>
  <c r="O178" i="16"/>
  <c r="Y178" i="16" s="1"/>
  <c r="AF178" i="16" s="1"/>
  <c r="Y177" i="16"/>
  <c r="AF177" i="16" s="1"/>
  <c r="Y176" i="16"/>
  <c r="AF176" i="16" s="1"/>
  <c r="AF175" i="16"/>
  <c r="Y175" i="16"/>
  <c r="L174" i="16"/>
  <c r="Y174" i="16" s="1"/>
  <c r="AF174" i="16" s="1"/>
  <c r="O173" i="16"/>
  <c r="Y173" i="16" s="1"/>
  <c r="AF173" i="16" s="1"/>
  <c r="G173" i="16"/>
  <c r="AF172" i="16"/>
  <c r="Y172" i="16"/>
  <c r="AF171" i="16"/>
  <c r="Y171" i="16"/>
  <c r="Y170" i="16"/>
  <c r="AF170" i="16" s="1"/>
  <c r="AF169" i="16"/>
  <c r="Y169" i="16"/>
  <c r="AF168" i="16"/>
  <c r="Y168" i="16"/>
  <c r="Y167" i="16"/>
  <c r="AF167" i="16" s="1"/>
  <c r="AF166" i="16"/>
  <c r="Y166" i="16"/>
  <c r="AF165" i="16"/>
  <c r="Y165" i="16"/>
  <c r="Y164" i="16"/>
  <c r="AF164" i="16" s="1"/>
  <c r="AF163" i="16"/>
  <c r="Y163" i="16"/>
  <c r="Y162" i="16"/>
  <c r="AF162" i="16" s="1"/>
  <c r="Y161" i="16"/>
  <c r="AF160" i="16"/>
  <c r="Y160" i="16"/>
  <c r="Y159" i="16"/>
  <c r="AF159" i="16" s="1"/>
  <c r="Y158" i="16"/>
  <c r="AF158" i="16" s="1"/>
  <c r="AF157" i="16"/>
  <c r="Y157" i="16"/>
  <c r="Y156" i="16"/>
  <c r="AF156" i="16" s="1"/>
  <c r="Y155" i="16"/>
  <c r="AF155" i="16" s="1"/>
  <c r="Y154" i="16"/>
  <c r="AF154" i="16" s="1"/>
  <c r="Y153" i="16"/>
  <c r="AF152" i="16"/>
  <c r="Y152" i="16"/>
  <c r="Y151" i="16"/>
  <c r="Y150" i="16"/>
  <c r="AF150" i="16" s="1"/>
  <c r="Y149" i="16"/>
  <c r="AF149" i="16" s="1"/>
  <c r="Y148" i="16"/>
  <c r="Y147" i="16"/>
  <c r="Y146" i="16"/>
  <c r="Y145" i="16"/>
  <c r="Y144" i="16"/>
  <c r="AF144" i="16" s="1"/>
  <c r="Y143" i="16"/>
  <c r="AF143" i="16" s="1"/>
  <c r="Y142" i="16"/>
  <c r="AF142" i="16" s="1"/>
  <c r="Y141" i="16"/>
  <c r="Y140" i="16"/>
  <c r="Y139" i="16"/>
  <c r="Y138" i="16"/>
  <c r="Y137" i="16"/>
  <c r="Y136" i="16"/>
  <c r="AF135" i="16"/>
  <c r="Y135" i="16"/>
  <c r="Y134" i="16"/>
  <c r="AF134" i="16" s="1"/>
  <c r="AF133" i="16"/>
  <c r="Y133" i="16"/>
  <c r="Y132" i="16"/>
  <c r="AF132" i="16" s="1"/>
  <c r="Y131" i="16"/>
  <c r="AF131" i="16" s="1"/>
  <c r="Y130" i="16"/>
  <c r="Y129" i="16"/>
  <c r="Y128" i="16"/>
  <c r="AF128" i="16" s="1"/>
  <c r="Y127" i="16"/>
  <c r="I126" i="16"/>
  <c r="Y126" i="16" s="1"/>
  <c r="AF125" i="16"/>
  <c r="Y125" i="16"/>
  <c r="Y124" i="16"/>
  <c r="AF124" i="16" s="1"/>
  <c r="Y123" i="16"/>
  <c r="AF123" i="16" s="1"/>
  <c r="Y122" i="16"/>
  <c r="AF122" i="16" s="1"/>
  <c r="AF121" i="16"/>
  <c r="Y121" i="16"/>
  <c r="Y120" i="16"/>
  <c r="AF120" i="16" s="1"/>
  <c r="AF119" i="16"/>
  <c r="Y119" i="16"/>
  <c r="Y118" i="16"/>
  <c r="AF118" i="16" s="1"/>
  <c r="AF117" i="16"/>
  <c r="Y117" i="16"/>
  <c r="AF116" i="16"/>
  <c r="Y116" i="16"/>
  <c r="Y115" i="16"/>
  <c r="Y114" i="16"/>
  <c r="AF114" i="16" s="1"/>
  <c r="Y113" i="16"/>
  <c r="AF113" i="16" s="1"/>
  <c r="AF112" i="16"/>
  <c r="Y112" i="16"/>
  <c r="Y111" i="16"/>
  <c r="AF111" i="16" s="1"/>
  <c r="AF110" i="16"/>
  <c r="Y110" i="16"/>
  <c r="Y109" i="16"/>
  <c r="Y108" i="16"/>
  <c r="Y107" i="16"/>
  <c r="Y106" i="16"/>
  <c r="Y105" i="16"/>
  <c r="I105" i="16"/>
  <c r="I104" i="16"/>
  <c r="Y104" i="16" s="1"/>
  <c r="Z104" i="16" s="1"/>
  <c r="AF103" i="16"/>
  <c r="Y103" i="16"/>
  <c r="Y102" i="16"/>
  <c r="AF102" i="16" s="1"/>
  <c r="Y101" i="16"/>
  <c r="AF101" i="16" s="1"/>
  <c r="AF100" i="16"/>
  <c r="Y100" i="16"/>
  <c r="AF99" i="16"/>
  <c r="Y99" i="16"/>
  <c r="Y98" i="16"/>
  <c r="AF98" i="16" s="1"/>
  <c r="AF97" i="16"/>
  <c r="Y97" i="16"/>
  <c r="AF96" i="16"/>
  <c r="Y96" i="16"/>
  <c r="AF95" i="16"/>
  <c r="Y95" i="16"/>
  <c r="Y94" i="16"/>
  <c r="Y93" i="16"/>
  <c r="AF93" i="16" s="1"/>
  <c r="Y92" i="16"/>
  <c r="AF92" i="16" s="1"/>
  <c r="AF91" i="16"/>
  <c r="Y91" i="16"/>
  <c r="Y90" i="16"/>
  <c r="AF90" i="16" s="1"/>
  <c r="Y89" i="16"/>
  <c r="AF89" i="16" s="1"/>
  <c r="Y88" i="16"/>
  <c r="AF88" i="16" s="1"/>
  <c r="Y87" i="16"/>
  <c r="AF87" i="16" s="1"/>
  <c r="AF86" i="16"/>
  <c r="Y86" i="16"/>
  <c r="Y85" i="16"/>
  <c r="AF85" i="16" s="1"/>
  <c r="AF84" i="16"/>
  <c r="Y84" i="16"/>
  <c r="Y83" i="16"/>
  <c r="AF83" i="16" s="1"/>
  <c r="Y82" i="16"/>
  <c r="AF82" i="16" s="1"/>
  <c r="Y81" i="16"/>
  <c r="AF81" i="16" s="1"/>
  <c r="Y80" i="16"/>
  <c r="AF80" i="16" s="1"/>
  <c r="Y79" i="16"/>
  <c r="AF79" i="16" s="1"/>
  <c r="AF78" i="16"/>
  <c r="Y78" i="16"/>
  <c r="Y77" i="16"/>
  <c r="AF77" i="16" s="1"/>
  <c r="AF76" i="16"/>
  <c r="Y76" i="16"/>
  <c r="AF75" i="16"/>
  <c r="Y75" i="16"/>
  <c r="Y74" i="16"/>
  <c r="AF74" i="16" s="1"/>
  <c r="AF73" i="16"/>
  <c r="Y73" i="16"/>
  <c r="Y72" i="16"/>
  <c r="AF72" i="16" s="1"/>
  <c r="Y71" i="16"/>
  <c r="AF71" i="16" s="1"/>
  <c r="AF70" i="16"/>
  <c r="Y70" i="16"/>
  <c r="Y69" i="16"/>
  <c r="Y68" i="16"/>
  <c r="AF68" i="16" s="1"/>
  <c r="AF67" i="16"/>
  <c r="Y67" i="16"/>
  <c r="Y66" i="16"/>
  <c r="Y65" i="16"/>
  <c r="AF65" i="16" s="1"/>
  <c r="Y64" i="16"/>
  <c r="AF64" i="16" s="1"/>
  <c r="Y63" i="16"/>
  <c r="Y62" i="16"/>
  <c r="AF62" i="16" s="1"/>
  <c r="AF61" i="16"/>
  <c r="Y61" i="16"/>
  <c r="Y60" i="16"/>
  <c r="AF60" i="16" s="1"/>
  <c r="AF59" i="16"/>
  <c r="Y59" i="16"/>
  <c r="Y58" i="16"/>
  <c r="Y57" i="16"/>
  <c r="AF57" i="16" s="1"/>
  <c r="Y56" i="16"/>
  <c r="AF56" i="16" s="1"/>
  <c r="AF55" i="16"/>
  <c r="Y55" i="16"/>
  <c r="Y54" i="16"/>
  <c r="AF54" i="16" s="1"/>
  <c r="Y53" i="16"/>
  <c r="O53" i="16"/>
  <c r="Y52" i="16"/>
  <c r="Y51" i="16"/>
  <c r="Y50" i="16"/>
  <c r="Y49" i="16"/>
  <c r="Y48" i="16"/>
  <c r="Y47" i="16"/>
  <c r="Y46" i="16"/>
  <c r="Y45" i="16"/>
  <c r="Y44" i="16"/>
  <c r="Y43" i="16"/>
  <c r="Z43" i="16" s="1"/>
  <c r="AB39" i="16" s="1"/>
  <c r="Y42" i="16"/>
  <c r="AF42" i="16" s="1"/>
  <c r="AF41" i="16"/>
  <c r="Y41" i="16"/>
  <c r="AF40" i="16"/>
  <c r="Y40" i="16"/>
  <c r="Y39" i="16"/>
  <c r="AF39" i="16" s="1"/>
  <c r="Y38" i="16"/>
  <c r="AF38" i="16" s="1"/>
  <c r="O38" i="16"/>
  <c r="M37" i="16"/>
  <c r="Y37" i="16" s="1"/>
  <c r="AF36" i="16"/>
  <c r="Y36" i="16"/>
  <c r="Y35" i="16"/>
  <c r="AF35" i="16" s="1"/>
  <c r="Y34" i="16"/>
  <c r="AF34" i="16" s="1"/>
  <c r="AF33" i="16"/>
  <c r="Y33" i="16"/>
  <c r="Y32" i="16"/>
  <c r="AF32" i="16" s="1"/>
  <c r="Y31" i="16"/>
  <c r="AF31" i="16" s="1"/>
  <c r="Y30" i="16"/>
  <c r="AF30" i="16" s="1"/>
  <c r="Y29" i="16"/>
  <c r="AF29" i="16" s="1"/>
  <c r="Y28" i="16"/>
  <c r="AF28" i="16" s="1"/>
  <c r="AF27" i="16"/>
  <c r="Y27" i="16"/>
  <c r="Y26" i="16"/>
  <c r="AF26" i="16" s="1"/>
  <c r="AF25" i="16"/>
  <c r="Y25" i="16"/>
  <c r="Y24" i="16"/>
  <c r="AF24" i="16" s="1"/>
  <c r="AF23" i="16"/>
  <c r="Y23" i="16"/>
  <c r="Y22" i="16"/>
  <c r="AF22" i="16" s="1"/>
  <c r="Y21" i="16"/>
  <c r="AF21" i="16" s="1"/>
  <c r="Y20" i="16"/>
  <c r="AF20" i="16" s="1"/>
  <c r="AF19" i="16"/>
  <c r="Y12" i="16"/>
  <c r="A5" i="16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522" i="15" s="1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T447" i="15"/>
  <c r="R447" i="15"/>
  <c r="M447" i="15"/>
  <c r="M446" i="15"/>
  <c r="T446" i="15" s="1"/>
  <c r="M445" i="15"/>
  <c r="T445" i="15" s="1"/>
  <c r="T444" i="15"/>
  <c r="M444" i="15"/>
  <c r="G444" i="15"/>
  <c r="M443" i="15"/>
  <c r="T443" i="15" s="1"/>
  <c r="M442" i="15"/>
  <c r="T442" i="15" s="1"/>
  <c r="M441" i="15"/>
  <c r="T441" i="15" s="1"/>
  <c r="T440" i="15"/>
  <c r="M440" i="15"/>
  <c r="T439" i="15"/>
  <c r="M439" i="15"/>
  <c r="M438" i="15"/>
  <c r="T438" i="15" s="1"/>
  <c r="T437" i="15"/>
  <c r="M437" i="15"/>
  <c r="T436" i="15"/>
  <c r="M436" i="15"/>
  <c r="M435" i="15"/>
  <c r="T435" i="15" s="1"/>
  <c r="M434" i="15"/>
  <c r="T434" i="15" s="1"/>
  <c r="M433" i="15"/>
  <c r="T433" i="15" s="1"/>
  <c r="T432" i="15"/>
  <c r="M432" i="15"/>
  <c r="M431" i="15"/>
  <c r="T431" i="15" s="1"/>
  <c r="T430" i="15"/>
  <c r="M430" i="15"/>
  <c r="M429" i="15"/>
  <c r="T429" i="15" s="1"/>
  <c r="T428" i="15"/>
  <c r="M428" i="15"/>
  <c r="T427" i="15"/>
  <c r="M427" i="15"/>
  <c r="M426" i="15"/>
  <c r="T426" i="15" s="1"/>
  <c r="T425" i="15"/>
  <c r="M425" i="15"/>
  <c r="T424" i="15"/>
  <c r="M424" i="15"/>
  <c r="T423" i="15"/>
  <c r="M423" i="15"/>
  <c r="T422" i="15"/>
  <c r="M422" i="15"/>
  <c r="M421" i="15"/>
  <c r="T421" i="15" s="1"/>
  <c r="T420" i="15"/>
  <c r="M420" i="15"/>
  <c r="T419" i="15"/>
  <c r="M419" i="15"/>
  <c r="M418" i="15"/>
  <c r="T418" i="15" s="1"/>
  <c r="T417" i="15"/>
  <c r="M417" i="15"/>
  <c r="T416" i="15"/>
  <c r="M416" i="15"/>
  <c r="M415" i="15"/>
  <c r="T415" i="15" s="1"/>
  <c r="M414" i="15"/>
  <c r="T414" i="15" s="1"/>
  <c r="M413" i="15"/>
  <c r="T413" i="15" s="1"/>
  <c r="T412" i="15"/>
  <c r="M412" i="15"/>
  <c r="M411" i="15"/>
  <c r="T411" i="15" s="1"/>
  <c r="M410" i="15"/>
  <c r="T410" i="15" s="1"/>
  <c r="M409" i="15"/>
  <c r="T409" i="15" s="1"/>
  <c r="T408" i="15"/>
  <c r="M408" i="15"/>
  <c r="M407" i="15"/>
  <c r="T407" i="15" s="1"/>
  <c r="T406" i="15"/>
  <c r="M406" i="15"/>
  <c r="T405" i="15"/>
  <c r="M405" i="15"/>
  <c r="T404" i="15"/>
  <c r="M404" i="15"/>
  <c r="T403" i="15"/>
  <c r="M403" i="15"/>
  <c r="T402" i="15"/>
  <c r="M402" i="15"/>
  <c r="M401" i="15"/>
  <c r="T401" i="15" s="1"/>
  <c r="T400" i="15"/>
  <c r="M400" i="15"/>
  <c r="M399" i="15"/>
  <c r="T399" i="15" s="1"/>
  <c r="M398" i="15"/>
  <c r="T398" i="15" s="1"/>
  <c r="M397" i="15"/>
  <c r="T397" i="15" s="1"/>
  <c r="T396" i="15"/>
  <c r="M396" i="15"/>
  <c r="T395" i="15"/>
  <c r="M395" i="15"/>
  <c r="M394" i="15"/>
  <c r="T394" i="15" s="1"/>
  <c r="M393" i="15"/>
  <c r="T393" i="15" s="1"/>
  <c r="M392" i="15"/>
  <c r="T392" i="15" s="1"/>
  <c r="M391" i="15"/>
  <c r="T391" i="15" s="1"/>
  <c r="T390" i="15"/>
  <c r="M390" i="15"/>
  <c r="T389" i="15"/>
  <c r="M389" i="15"/>
  <c r="T388" i="15"/>
  <c r="M388" i="15"/>
  <c r="M387" i="15"/>
  <c r="T387" i="15" s="1"/>
  <c r="T386" i="15"/>
  <c r="M386" i="15"/>
  <c r="T385" i="15"/>
  <c r="M385" i="15"/>
  <c r="M384" i="15"/>
  <c r="T384" i="15" s="1"/>
  <c r="M383" i="15"/>
  <c r="T383" i="15" s="1"/>
  <c r="M382" i="15"/>
  <c r="T382" i="15" s="1"/>
  <c r="M381" i="15"/>
  <c r="T381" i="15" s="1"/>
  <c r="T380" i="15"/>
  <c r="M380" i="15"/>
  <c r="M379" i="15"/>
  <c r="T379" i="15" s="1"/>
  <c r="T378" i="15"/>
  <c r="M378" i="15"/>
  <c r="M377" i="15"/>
  <c r="T377" i="15" s="1"/>
  <c r="M376" i="15"/>
  <c r="T376" i="15" s="1"/>
  <c r="M375" i="15"/>
  <c r="T375" i="15" s="1"/>
  <c r="T374" i="15"/>
  <c r="M374" i="15"/>
  <c r="T373" i="15"/>
  <c r="M373" i="15"/>
  <c r="T372" i="15"/>
  <c r="M372" i="15"/>
  <c r="T371" i="15"/>
  <c r="M371" i="15"/>
  <c r="M370" i="15"/>
  <c r="T370" i="15" s="1"/>
  <c r="T369" i="15"/>
  <c r="M369" i="15"/>
  <c r="T368" i="15"/>
  <c r="M368" i="15"/>
  <c r="M367" i="15"/>
  <c r="T367" i="15" s="1"/>
  <c r="M366" i="15"/>
  <c r="T366" i="15" s="1"/>
  <c r="M365" i="15"/>
  <c r="T365" i="15" s="1"/>
  <c r="T364" i="15"/>
  <c r="M364" i="15"/>
  <c r="M363" i="15"/>
  <c r="T363" i="15" s="1"/>
  <c r="M362" i="15"/>
  <c r="T362" i="15" s="1"/>
  <c r="T361" i="15"/>
  <c r="M361" i="15"/>
  <c r="M360" i="15"/>
  <c r="T360" i="15" s="1"/>
  <c r="M359" i="15"/>
  <c r="T359" i="15" s="1"/>
  <c r="M358" i="15"/>
  <c r="T358" i="15" s="1"/>
  <c r="T357" i="15"/>
  <c r="M357" i="15"/>
  <c r="T356" i="15"/>
  <c r="M356" i="15"/>
  <c r="T355" i="15"/>
  <c r="M355" i="15"/>
  <c r="T354" i="15"/>
  <c r="M354" i="15"/>
  <c r="M353" i="15"/>
  <c r="T353" i="15" s="1"/>
  <c r="T352" i="15"/>
  <c r="M352" i="15"/>
  <c r="M351" i="15"/>
  <c r="T351" i="15" s="1"/>
  <c r="M350" i="15"/>
  <c r="T350" i="15" s="1"/>
  <c r="M349" i="15"/>
  <c r="T349" i="15" s="1"/>
  <c r="T348" i="15"/>
  <c r="M348" i="15"/>
  <c r="M347" i="15"/>
  <c r="T347" i="15" s="1"/>
  <c r="M346" i="15"/>
  <c r="T346" i="15" s="1"/>
  <c r="M345" i="15"/>
  <c r="T345" i="15" s="1"/>
  <c r="T344" i="15"/>
  <c r="M344" i="15"/>
  <c r="M343" i="15"/>
  <c r="T343" i="15" s="1"/>
  <c r="T342" i="15"/>
  <c r="M342" i="15"/>
  <c r="M341" i="15"/>
  <c r="T341" i="15" s="1"/>
  <c r="T340" i="15"/>
  <c r="M340" i="15"/>
  <c r="M339" i="15"/>
  <c r="T339" i="15" s="1"/>
  <c r="T338" i="15"/>
  <c r="M338" i="15"/>
  <c r="T337" i="15"/>
  <c r="M337" i="15"/>
  <c r="M336" i="15"/>
  <c r="T336" i="15" s="1"/>
  <c r="M335" i="15"/>
  <c r="T335" i="15" s="1"/>
  <c r="M334" i="15"/>
  <c r="T334" i="15" s="1"/>
  <c r="M333" i="15"/>
  <c r="T333" i="15" s="1"/>
  <c r="T332" i="15"/>
  <c r="M332" i="15"/>
  <c r="M331" i="15"/>
  <c r="T331" i="15" s="1"/>
  <c r="T330" i="15"/>
  <c r="M330" i="15"/>
  <c r="M329" i="15"/>
  <c r="T329" i="15" s="1"/>
  <c r="M328" i="15"/>
  <c r="T328" i="15" s="1"/>
  <c r="M327" i="15"/>
  <c r="T327" i="15" s="1"/>
  <c r="T326" i="15"/>
  <c r="M326" i="15"/>
  <c r="T325" i="15"/>
  <c r="M325" i="15"/>
  <c r="T324" i="15"/>
  <c r="M324" i="15"/>
  <c r="T323" i="15"/>
  <c r="M323" i="15"/>
  <c r="M322" i="15"/>
  <c r="T322" i="15" s="1"/>
  <c r="T321" i="15"/>
  <c r="M321" i="15"/>
  <c r="T320" i="15"/>
  <c r="M320" i="15"/>
  <c r="M319" i="15"/>
  <c r="T319" i="15" s="1"/>
  <c r="T318" i="15"/>
  <c r="M318" i="15"/>
  <c r="M317" i="15"/>
  <c r="T317" i="15" s="1"/>
  <c r="T316" i="15"/>
  <c r="M316" i="15"/>
  <c r="M315" i="15"/>
  <c r="T315" i="15" s="1"/>
  <c r="M314" i="15"/>
  <c r="T314" i="15" s="1"/>
  <c r="M313" i="15"/>
  <c r="T313" i="15" s="1"/>
  <c r="M312" i="15"/>
  <c r="T312" i="15" s="1"/>
  <c r="M311" i="15"/>
  <c r="T311" i="15" s="1"/>
  <c r="M310" i="15"/>
  <c r="T310" i="15" s="1"/>
  <c r="T309" i="15"/>
  <c r="M309" i="15"/>
  <c r="T308" i="15"/>
  <c r="M308" i="15"/>
  <c r="M307" i="15"/>
  <c r="T307" i="15" s="1"/>
  <c r="T306" i="15"/>
  <c r="M306" i="15"/>
  <c r="M305" i="15"/>
  <c r="T305" i="15" s="1"/>
  <c r="T304" i="15"/>
  <c r="M304" i="15"/>
  <c r="M303" i="15"/>
  <c r="T303" i="15" s="1"/>
  <c r="M302" i="15"/>
  <c r="T302" i="15" s="1"/>
  <c r="T301" i="15"/>
  <c r="M301" i="15"/>
  <c r="T300" i="15"/>
  <c r="M300" i="15"/>
  <c r="M299" i="15"/>
  <c r="T299" i="15" s="1"/>
  <c r="M298" i="15"/>
  <c r="T298" i="15" s="1"/>
  <c r="M297" i="15"/>
  <c r="T297" i="15" s="1"/>
  <c r="M296" i="15"/>
  <c r="T296" i="15" s="1"/>
  <c r="M295" i="15"/>
  <c r="T295" i="15" s="1"/>
  <c r="T294" i="15"/>
  <c r="M294" i="15"/>
  <c r="M293" i="15"/>
  <c r="T293" i="15" s="1"/>
  <c r="T292" i="15"/>
  <c r="M292" i="15"/>
  <c r="T291" i="15"/>
  <c r="M291" i="15"/>
  <c r="M290" i="15"/>
  <c r="T290" i="15" s="1"/>
  <c r="T289" i="15"/>
  <c r="M289" i="15"/>
  <c r="M288" i="15"/>
  <c r="T288" i="15" s="1"/>
  <c r="M287" i="15"/>
  <c r="T287" i="15" s="1"/>
  <c r="M286" i="15"/>
  <c r="T286" i="15" s="1"/>
  <c r="M285" i="15"/>
  <c r="T285" i="15" s="1"/>
  <c r="T284" i="15"/>
  <c r="M284" i="15"/>
  <c r="M283" i="15"/>
  <c r="T283" i="15" s="1"/>
  <c r="M282" i="15"/>
  <c r="T282" i="15" s="1"/>
  <c r="M281" i="15"/>
  <c r="T281" i="15" s="1"/>
  <c r="M280" i="15"/>
  <c r="T280" i="15" s="1"/>
  <c r="M279" i="15"/>
  <c r="T279" i="15" s="1"/>
  <c r="T278" i="15"/>
  <c r="M278" i="15"/>
  <c r="T277" i="15"/>
  <c r="M277" i="15"/>
  <c r="T276" i="15"/>
  <c r="M276" i="15"/>
  <c r="T275" i="15"/>
  <c r="M275" i="15"/>
  <c r="T274" i="15"/>
  <c r="M274" i="15"/>
  <c r="M273" i="15"/>
  <c r="T273" i="15" s="1"/>
  <c r="T272" i="15"/>
  <c r="M272" i="15"/>
  <c r="M271" i="15"/>
  <c r="T271" i="15" s="1"/>
  <c r="M270" i="15"/>
  <c r="T270" i="15" s="1"/>
  <c r="M269" i="15"/>
  <c r="T269" i="15" s="1"/>
  <c r="T268" i="15"/>
  <c r="M268" i="15"/>
  <c r="T267" i="15"/>
  <c r="M267" i="15"/>
  <c r="M266" i="15"/>
  <c r="T266" i="15" s="1"/>
  <c r="M265" i="15"/>
  <c r="T265" i="15" s="1"/>
  <c r="M264" i="15"/>
  <c r="T264" i="15" s="1"/>
  <c r="M263" i="15"/>
  <c r="T263" i="15" s="1"/>
  <c r="T262" i="15"/>
  <c r="M262" i="15"/>
  <c r="M261" i="15"/>
  <c r="T261" i="15" s="1"/>
  <c r="M260" i="15"/>
  <c r="T260" i="15" s="1"/>
  <c r="T259" i="15"/>
  <c r="M259" i="15"/>
  <c r="M258" i="15"/>
  <c r="T258" i="15" s="1"/>
  <c r="M257" i="15"/>
  <c r="T257" i="15" s="1"/>
  <c r="M256" i="15"/>
  <c r="T256" i="15" s="1"/>
  <c r="M255" i="15"/>
  <c r="T255" i="15" s="1"/>
  <c r="T254" i="15"/>
  <c r="M254" i="15"/>
  <c r="M253" i="15"/>
  <c r="T253" i="15" s="1"/>
  <c r="M252" i="15"/>
  <c r="T252" i="15" s="1"/>
  <c r="T251" i="15"/>
  <c r="M251" i="15"/>
  <c r="M250" i="15"/>
  <c r="T250" i="15" s="1"/>
  <c r="M249" i="15"/>
  <c r="T249" i="15" s="1"/>
  <c r="M248" i="15"/>
  <c r="T248" i="15" s="1"/>
  <c r="M247" i="15"/>
  <c r="T247" i="15" s="1"/>
  <c r="M246" i="15"/>
  <c r="T246" i="15" s="1"/>
  <c r="M245" i="15"/>
  <c r="T245" i="15" s="1"/>
  <c r="M244" i="15"/>
  <c r="T244" i="15" s="1"/>
  <c r="T243" i="15"/>
  <c r="M243" i="15"/>
  <c r="M242" i="15"/>
  <c r="T242" i="15" s="1"/>
  <c r="M241" i="15"/>
  <c r="T241" i="15" s="1"/>
  <c r="M240" i="15"/>
  <c r="T240" i="15" s="1"/>
  <c r="I239" i="15"/>
  <c r="M239" i="15" s="1"/>
  <c r="T238" i="15"/>
  <c r="M238" i="15"/>
  <c r="I237" i="15"/>
  <c r="G237" i="15"/>
  <c r="M237" i="15" s="1"/>
  <c r="T237" i="15" s="1"/>
  <c r="T236" i="15"/>
  <c r="M236" i="15"/>
  <c r="T235" i="15"/>
  <c r="M235" i="15"/>
  <c r="M234" i="15"/>
  <c r="T234" i="15" s="1"/>
  <c r="T233" i="15"/>
  <c r="M233" i="15"/>
  <c r="T232" i="15"/>
  <c r="M232" i="15"/>
  <c r="T231" i="15"/>
  <c r="M231" i="15"/>
  <c r="T230" i="15"/>
  <c r="M230" i="15"/>
  <c r="T229" i="15"/>
  <c r="M229" i="15"/>
  <c r="M228" i="15"/>
  <c r="T228" i="15" s="1"/>
  <c r="M227" i="15"/>
  <c r="T227" i="15" s="1"/>
  <c r="T226" i="15"/>
  <c r="N226" i="15"/>
  <c r="M226" i="15"/>
  <c r="M225" i="15"/>
  <c r="T225" i="15" s="1"/>
  <c r="T224" i="15"/>
  <c r="M224" i="15"/>
  <c r="T223" i="15"/>
  <c r="M223" i="15"/>
  <c r="M222" i="15"/>
  <c r="T222" i="15" s="1"/>
  <c r="T221" i="15"/>
  <c r="M221" i="15"/>
  <c r="T220" i="15"/>
  <c r="M220" i="15"/>
  <c r="M219" i="15"/>
  <c r="T219" i="15" s="1"/>
  <c r="T218" i="15"/>
  <c r="M218" i="15"/>
  <c r="M217" i="15"/>
  <c r="T217" i="15" s="1"/>
  <c r="T216" i="15"/>
  <c r="M216" i="15"/>
  <c r="T215" i="15"/>
  <c r="M215" i="15"/>
  <c r="M214" i="15"/>
  <c r="T214" i="15" s="1"/>
  <c r="R213" i="15"/>
  <c r="M213" i="15"/>
  <c r="T213" i="15" s="1"/>
  <c r="M212" i="15"/>
  <c r="T212" i="15" s="1"/>
  <c r="M211" i="15"/>
  <c r="T211" i="15" s="1"/>
  <c r="M210" i="15"/>
  <c r="T210" i="15" s="1"/>
  <c r="M209" i="15"/>
  <c r="T209" i="15" s="1"/>
  <c r="M208" i="15"/>
  <c r="T208" i="15" s="1"/>
  <c r="M207" i="15"/>
  <c r="G206" i="15"/>
  <c r="M206" i="15" s="1"/>
  <c r="T205" i="15"/>
  <c r="M205" i="15"/>
  <c r="T204" i="15"/>
  <c r="M204" i="15"/>
  <c r="M203" i="15"/>
  <c r="T203" i="15" s="1"/>
  <c r="T202" i="15"/>
  <c r="M202" i="15"/>
  <c r="M201" i="15"/>
  <c r="T201" i="15" s="1"/>
  <c r="T200" i="15"/>
  <c r="M200" i="15"/>
  <c r="T199" i="15"/>
  <c r="M199" i="15"/>
  <c r="M198" i="15"/>
  <c r="T198" i="15" s="1"/>
  <c r="T197" i="15"/>
  <c r="M197" i="15"/>
  <c r="T196" i="15"/>
  <c r="M196" i="15"/>
  <c r="M195" i="15"/>
  <c r="T195" i="15" s="1"/>
  <c r="T194" i="15"/>
  <c r="M194" i="15"/>
  <c r="M193" i="15"/>
  <c r="T193" i="15" s="1"/>
  <c r="T192" i="15"/>
  <c r="M192" i="15"/>
  <c r="T191" i="15"/>
  <c r="M191" i="15"/>
  <c r="M190" i="15"/>
  <c r="T190" i="15" s="1"/>
  <c r="T189" i="15"/>
  <c r="M189" i="15"/>
  <c r="T188" i="15"/>
  <c r="M188" i="15"/>
  <c r="M187" i="15"/>
  <c r="T187" i="15" s="1"/>
  <c r="T186" i="15"/>
  <c r="M186" i="15"/>
  <c r="T185" i="15"/>
  <c r="M185" i="15"/>
  <c r="T184" i="15"/>
  <c r="M184" i="15"/>
  <c r="T183" i="15"/>
  <c r="M183" i="15"/>
  <c r="M182" i="15"/>
  <c r="T182" i="15" s="1"/>
  <c r="T181" i="15"/>
  <c r="M181" i="15"/>
  <c r="T180" i="15"/>
  <c r="M180" i="15"/>
  <c r="M179" i="15"/>
  <c r="T179" i="15" s="1"/>
  <c r="I178" i="15"/>
  <c r="M178" i="15" s="1"/>
  <c r="T178" i="15" s="1"/>
  <c r="M177" i="15"/>
  <c r="T177" i="15" s="1"/>
  <c r="M176" i="15"/>
  <c r="T176" i="15" s="1"/>
  <c r="M175" i="15"/>
  <c r="T175" i="15" s="1"/>
  <c r="T174" i="15"/>
  <c r="M174" i="15"/>
  <c r="M173" i="15"/>
  <c r="T173" i="15" s="1"/>
  <c r="M172" i="15"/>
  <c r="T172" i="15" s="1"/>
  <c r="M171" i="15"/>
  <c r="T171" i="15" s="1"/>
  <c r="M170" i="15"/>
  <c r="T170" i="15" s="1"/>
  <c r="M169" i="15"/>
  <c r="T169" i="15" s="1"/>
  <c r="M168" i="15"/>
  <c r="T168" i="15" s="1"/>
  <c r="M167" i="15"/>
  <c r="T167" i="15" s="1"/>
  <c r="T166" i="15"/>
  <c r="M166" i="15"/>
  <c r="M165" i="15"/>
  <c r="T165" i="15" s="1"/>
  <c r="M164" i="15"/>
  <c r="T164" i="15" s="1"/>
  <c r="M163" i="15"/>
  <c r="T163" i="15" s="1"/>
  <c r="M162" i="15"/>
  <c r="T162" i="15" s="1"/>
  <c r="M161" i="15"/>
  <c r="T161" i="15" s="1"/>
  <c r="M160" i="15"/>
  <c r="T160" i="15" s="1"/>
  <c r="M159" i="15"/>
  <c r="T159" i="15" s="1"/>
  <c r="T158" i="15"/>
  <c r="M158" i="15"/>
  <c r="M157" i="15"/>
  <c r="T157" i="15" s="1"/>
  <c r="M156" i="15"/>
  <c r="T156" i="15" s="1"/>
  <c r="M155" i="15"/>
  <c r="T155" i="15" s="1"/>
  <c r="M154" i="15"/>
  <c r="T154" i="15" s="1"/>
  <c r="M153" i="15"/>
  <c r="T153" i="15" s="1"/>
  <c r="M152" i="15"/>
  <c r="T152" i="15" s="1"/>
  <c r="M151" i="15"/>
  <c r="T151" i="15" s="1"/>
  <c r="T150" i="15"/>
  <c r="M150" i="15"/>
  <c r="M149" i="15"/>
  <c r="T149" i="15" s="1"/>
  <c r="M148" i="15"/>
  <c r="M147" i="15"/>
  <c r="M146" i="15"/>
  <c r="M145" i="15"/>
  <c r="M144" i="15"/>
  <c r="T144" i="15" s="1"/>
  <c r="M143" i="15"/>
  <c r="T143" i="15" s="1"/>
  <c r="M142" i="15"/>
  <c r="T142" i="15" s="1"/>
  <c r="M141" i="15"/>
  <c r="M140" i="15"/>
  <c r="M139" i="15"/>
  <c r="M138" i="15"/>
  <c r="M137" i="15"/>
  <c r="M136" i="15"/>
  <c r="M135" i="15"/>
  <c r="T135" i="15" s="1"/>
  <c r="M134" i="15"/>
  <c r="T134" i="15" s="1"/>
  <c r="M133" i="15"/>
  <c r="T133" i="15" s="1"/>
  <c r="M132" i="15"/>
  <c r="T132" i="15" s="1"/>
  <c r="M131" i="15"/>
  <c r="T131" i="15" s="1"/>
  <c r="M130" i="15"/>
  <c r="M129" i="15"/>
  <c r="T128" i="15"/>
  <c r="M128" i="15"/>
  <c r="M127" i="15"/>
  <c r="M126" i="15"/>
  <c r="M125" i="15"/>
  <c r="T125" i="15" s="1"/>
  <c r="M124" i="15"/>
  <c r="T124" i="15" s="1"/>
  <c r="M123" i="15"/>
  <c r="T123" i="15" s="1"/>
  <c r="M122" i="15"/>
  <c r="T122" i="15" s="1"/>
  <c r="M121" i="15"/>
  <c r="T121" i="15" s="1"/>
  <c r="F120" i="15"/>
  <c r="M120" i="15" s="1"/>
  <c r="T120" i="15" s="1"/>
  <c r="T119" i="15"/>
  <c r="M119" i="15"/>
  <c r="T118" i="15"/>
  <c r="M118" i="15"/>
  <c r="M117" i="15"/>
  <c r="T117" i="15" s="1"/>
  <c r="F116" i="15"/>
  <c r="M116" i="15" s="1"/>
  <c r="T116" i="15" s="1"/>
  <c r="F115" i="15"/>
  <c r="M115" i="15" s="1"/>
  <c r="N104" i="15" s="1"/>
  <c r="M114" i="15"/>
  <c r="T114" i="15" s="1"/>
  <c r="M113" i="15"/>
  <c r="T113" i="15" s="1"/>
  <c r="T112" i="15"/>
  <c r="M112" i="15"/>
  <c r="M111" i="15"/>
  <c r="T111" i="15" s="1"/>
  <c r="M110" i="15"/>
  <c r="T110" i="15" s="1"/>
  <c r="M109" i="15"/>
  <c r="M108" i="15"/>
  <c r="M107" i="15"/>
  <c r="M106" i="15"/>
  <c r="M105" i="15"/>
  <c r="M104" i="15"/>
  <c r="T103" i="15"/>
  <c r="M103" i="15"/>
  <c r="M102" i="15"/>
  <c r="T102" i="15" s="1"/>
  <c r="T101" i="15"/>
  <c r="M101" i="15"/>
  <c r="T100" i="15"/>
  <c r="M100" i="15"/>
  <c r="M99" i="15"/>
  <c r="T99" i="15" s="1"/>
  <c r="T98" i="15"/>
  <c r="M98" i="15"/>
  <c r="M97" i="15"/>
  <c r="T97" i="15" s="1"/>
  <c r="T96" i="15"/>
  <c r="M96" i="15"/>
  <c r="T95" i="15"/>
  <c r="M95" i="15"/>
  <c r="M94" i="15"/>
  <c r="T93" i="15"/>
  <c r="M93" i="15"/>
  <c r="M92" i="15"/>
  <c r="T92" i="15" s="1"/>
  <c r="M91" i="15"/>
  <c r="T91" i="15" s="1"/>
  <c r="M90" i="15"/>
  <c r="T90" i="15" s="1"/>
  <c r="M89" i="15"/>
  <c r="T89" i="15" s="1"/>
  <c r="T88" i="15"/>
  <c r="M88" i="15"/>
  <c r="M87" i="15"/>
  <c r="T87" i="15" s="1"/>
  <c r="M86" i="15"/>
  <c r="T86" i="15" s="1"/>
  <c r="T85" i="15"/>
  <c r="M85" i="15"/>
  <c r="M84" i="15"/>
  <c r="T84" i="15" s="1"/>
  <c r="M83" i="15"/>
  <c r="T83" i="15" s="1"/>
  <c r="M82" i="15"/>
  <c r="T82" i="15" s="1"/>
  <c r="M81" i="15"/>
  <c r="T81" i="15" s="1"/>
  <c r="M80" i="15"/>
  <c r="T80" i="15" s="1"/>
  <c r="M79" i="15"/>
  <c r="T79" i="15" s="1"/>
  <c r="M78" i="15"/>
  <c r="T78" i="15" s="1"/>
  <c r="T77" i="15"/>
  <c r="M77" i="15"/>
  <c r="M76" i="15"/>
  <c r="T76" i="15" s="1"/>
  <c r="M75" i="15"/>
  <c r="T75" i="15" s="1"/>
  <c r="M74" i="15"/>
  <c r="T74" i="15" s="1"/>
  <c r="M73" i="15"/>
  <c r="T73" i="15" s="1"/>
  <c r="M72" i="15"/>
  <c r="T72" i="15" s="1"/>
  <c r="M71" i="15"/>
  <c r="T71" i="15" s="1"/>
  <c r="M70" i="15"/>
  <c r="T70" i="15" s="1"/>
  <c r="T69" i="15"/>
  <c r="M69" i="15"/>
  <c r="M68" i="15"/>
  <c r="T68" i="15" s="1"/>
  <c r="M67" i="15"/>
  <c r="T67" i="15" s="1"/>
  <c r="M66" i="15"/>
  <c r="T66" i="15" s="1"/>
  <c r="M65" i="15"/>
  <c r="T65" i="15" s="1"/>
  <c r="M64" i="15"/>
  <c r="T64" i="15" s="1"/>
  <c r="M63" i="15"/>
  <c r="T62" i="15"/>
  <c r="M62" i="15"/>
  <c r="M61" i="15"/>
  <c r="T61" i="15" s="1"/>
  <c r="T60" i="15"/>
  <c r="M60" i="15"/>
  <c r="T59" i="15"/>
  <c r="M59" i="15"/>
  <c r="M58" i="15"/>
  <c r="M57" i="15"/>
  <c r="T57" i="15" s="1"/>
  <c r="M56" i="15"/>
  <c r="T56" i="15" s="1"/>
  <c r="M55" i="15"/>
  <c r="T55" i="15" s="1"/>
  <c r="M54" i="15"/>
  <c r="T54" i="15" s="1"/>
  <c r="M53" i="15"/>
  <c r="M52" i="15"/>
  <c r="M51" i="15"/>
  <c r="M50" i="15"/>
  <c r="M49" i="15"/>
  <c r="M48" i="15"/>
  <c r="M47" i="15"/>
  <c r="M46" i="15"/>
  <c r="M45" i="15"/>
  <c r="M44" i="15"/>
  <c r="M43" i="15"/>
  <c r="N43" i="15" s="1"/>
  <c r="P39" i="15" s="1"/>
  <c r="M42" i="15"/>
  <c r="T42" i="15" s="1"/>
  <c r="M41" i="15"/>
  <c r="T41" i="15" s="1"/>
  <c r="M40" i="15"/>
  <c r="T40" i="15" s="1"/>
  <c r="T39" i="15"/>
  <c r="M39" i="15"/>
  <c r="M38" i="15"/>
  <c r="T38" i="15" s="1"/>
  <c r="M37" i="15"/>
  <c r="T37" i="15" s="1"/>
  <c r="G37" i="15"/>
  <c r="M36" i="15"/>
  <c r="T36" i="15" s="1"/>
  <c r="T35" i="15"/>
  <c r="M35" i="15"/>
  <c r="T34" i="15"/>
  <c r="M34" i="15"/>
  <c r="M33" i="15"/>
  <c r="T33" i="15" s="1"/>
  <c r="T32" i="15"/>
  <c r="M32" i="15"/>
  <c r="T31" i="15"/>
  <c r="M31" i="15"/>
  <c r="M30" i="15"/>
  <c r="T30" i="15" s="1"/>
  <c r="T29" i="15"/>
  <c r="M29" i="15"/>
  <c r="T28" i="15"/>
  <c r="M28" i="15"/>
  <c r="T27" i="15"/>
  <c r="M27" i="15"/>
  <c r="T26" i="15"/>
  <c r="M26" i="15"/>
  <c r="M25" i="15"/>
  <c r="T25" i="15" s="1"/>
  <c r="T24" i="15"/>
  <c r="M24" i="15"/>
  <c r="T23" i="15"/>
  <c r="M23" i="15"/>
  <c r="M22" i="15"/>
  <c r="T22" i="15" s="1"/>
  <c r="T21" i="15"/>
  <c r="M21" i="15"/>
  <c r="M20" i="15"/>
  <c r="T20" i="15" s="1"/>
  <c r="T19" i="15"/>
  <c r="M12" i="15"/>
  <c r="A5" i="15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S447" i="14"/>
  <c r="Z447" i="14" s="1"/>
  <c r="AG447" i="14" s="1"/>
  <c r="AG446" i="14"/>
  <c r="Z446" i="14"/>
  <c r="Z445" i="14"/>
  <c r="AG445" i="14" s="1"/>
  <c r="Z444" i="14"/>
  <c r="AG444" i="14" s="1"/>
  <c r="AG443" i="14"/>
  <c r="Z443" i="14"/>
  <c r="Z442" i="14"/>
  <c r="AG442" i="14" s="1"/>
  <c r="AG441" i="14"/>
  <c r="Z441" i="14"/>
  <c r="AG440" i="14"/>
  <c r="Z440" i="14"/>
  <c r="Z439" i="14"/>
  <c r="AG439" i="14" s="1"/>
  <c r="AG438" i="14"/>
  <c r="Z438" i="14"/>
  <c r="Z437" i="14"/>
  <c r="AG437" i="14" s="1"/>
  <c r="Z436" i="14"/>
  <c r="AG436" i="14" s="1"/>
  <c r="AG435" i="14"/>
  <c r="Z435" i="14"/>
  <c r="AG434" i="14"/>
  <c r="Z434" i="14"/>
  <c r="AG433" i="14"/>
  <c r="Z433" i="14"/>
  <c r="AG432" i="14"/>
  <c r="Z432" i="14"/>
  <c r="Z431" i="14"/>
  <c r="AG431" i="14" s="1"/>
  <c r="AG430" i="14"/>
  <c r="Z430" i="14"/>
  <c r="Z429" i="14"/>
  <c r="AG429" i="14" s="1"/>
  <c r="Z428" i="14"/>
  <c r="AG428" i="14" s="1"/>
  <c r="AG427" i="14"/>
  <c r="Z427" i="14"/>
  <c r="Z426" i="14"/>
  <c r="AG426" i="14" s="1"/>
  <c r="AG425" i="14"/>
  <c r="Z425" i="14"/>
  <c r="AG424" i="14"/>
  <c r="Z424" i="14"/>
  <c r="Z423" i="14"/>
  <c r="AG423" i="14" s="1"/>
  <c r="AG422" i="14"/>
  <c r="Z422" i="14"/>
  <c r="Z421" i="14"/>
  <c r="AG421" i="14" s="1"/>
  <c r="Z420" i="14"/>
  <c r="AG420" i="14" s="1"/>
  <c r="AG419" i="14"/>
  <c r="Z419" i="14"/>
  <c r="AG418" i="14"/>
  <c r="Z418" i="14"/>
  <c r="AG417" i="14"/>
  <c r="Z417" i="14"/>
  <c r="AG416" i="14"/>
  <c r="Z416" i="14"/>
  <c r="Z415" i="14"/>
  <c r="AG415" i="14" s="1"/>
  <c r="AG414" i="14"/>
  <c r="Z414" i="14"/>
  <c r="Z413" i="14"/>
  <c r="AG413" i="14" s="1"/>
  <c r="Z412" i="14"/>
  <c r="AG412" i="14" s="1"/>
  <c r="AG411" i="14"/>
  <c r="Z411" i="14"/>
  <c r="Z410" i="14"/>
  <c r="AG410" i="14" s="1"/>
  <c r="AG409" i="14"/>
  <c r="Z409" i="14"/>
  <c r="AG408" i="14"/>
  <c r="Z408" i="14"/>
  <c r="Z407" i="14"/>
  <c r="AG407" i="14" s="1"/>
  <c r="AG406" i="14"/>
  <c r="Z406" i="14"/>
  <c r="Z405" i="14"/>
  <c r="AG405" i="14" s="1"/>
  <c r="Z404" i="14"/>
  <c r="AG404" i="14" s="1"/>
  <c r="AG403" i="14"/>
  <c r="Z403" i="14"/>
  <c r="Z402" i="14"/>
  <c r="AG402" i="14" s="1"/>
  <c r="AG401" i="14"/>
  <c r="Z401" i="14"/>
  <c r="AG400" i="14"/>
  <c r="Z400" i="14"/>
  <c r="Z399" i="14"/>
  <c r="AG399" i="14" s="1"/>
  <c r="AG398" i="14"/>
  <c r="Z398" i="14"/>
  <c r="Z397" i="14"/>
  <c r="AG397" i="14" s="1"/>
  <c r="Z396" i="14"/>
  <c r="AG396" i="14" s="1"/>
  <c r="AG395" i="14"/>
  <c r="Z395" i="14"/>
  <c r="Z394" i="14"/>
  <c r="AG394" i="14" s="1"/>
  <c r="AG393" i="14"/>
  <c r="Z393" i="14"/>
  <c r="AG392" i="14"/>
  <c r="Z392" i="14"/>
  <c r="Z391" i="14"/>
  <c r="AG391" i="14" s="1"/>
  <c r="AG390" i="14"/>
  <c r="Z390" i="14"/>
  <c r="Z389" i="14"/>
  <c r="AG389" i="14" s="1"/>
  <c r="Z388" i="14"/>
  <c r="AG388" i="14" s="1"/>
  <c r="AG387" i="14"/>
  <c r="Z387" i="14"/>
  <c r="Z386" i="14"/>
  <c r="AG386" i="14" s="1"/>
  <c r="AG385" i="14"/>
  <c r="Z385" i="14"/>
  <c r="AG384" i="14"/>
  <c r="Z384" i="14"/>
  <c r="Z383" i="14"/>
  <c r="AG383" i="14" s="1"/>
  <c r="AG382" i="14"/>
  <c r="Z382" i="14"/>
  <c r="Z381" i="14"/>
  <c r="AG381" i="14" s="1"/>
  <c r="Z380" i="14"/>
  <c r="AG380" i="14" s="1"/>
  <c r="AG379" i="14"/>
  <c r="Z379" i="14"/>
  <c r="Z378" i="14"/>
  <c r="AG378" i="14" s="1"/>
  <c r="AG377" i="14"/>
  <c r="Z377" i="14"/>
  <c r="AG376" i="14"/>
  <c r="Z376" i="14"/>
  <c r="Z375" i="14"/>
  <c r="AG375" i="14" s="1"/>
  <c r="AG374" i="14"/>
  <c r="Z374" i="14"/>
  <c r="Z373" i="14"/>
  <c r="AG373" i="14" s="1"/>
  <c r="Z372" i="14"/>
  <c r="AG372" i="14" s="1"/>
  <c r="AG371" i="14"/>
  <c r="Z371" i="14"/>
  <c r="Z370" i="14"/>
  <c r="AG370" i="14" s="1"/>
  <c r="AG369" i="14"/>
  <c r="Z369" i="14"/>
  <c r="AG368" i="14"/>
  <c r="Z368" i="14"/>
  <c r="Z367" i="14"/>
  <c r="AG367" i="14" s="1"/>
  <c r="AG366" i="14"/>
  <c r="Z366" i="14"/>
  <c r="Z365" i="14"/>
  <c r="AG365" i="14" s="1"/>
  <c r="Z364" i="14"/>
  <c r="AG364" i="14" s="1"/>
  <c r="AG363" i="14"/>
  <c r="Z363" i="14"/>
  <c r="Z362" i="14"/>
  <c r="AG362" i="14" s="1"/>
  <c r="AG361" i="14"/>
  <c r="Z361" i="14"/>
  <c r="AG360" i="14"/>
  <c r="Z360" i="14"/>
  <c r="Z359" i="14"/>
  <c r="AG359" i="14" s="1"/>
  <c r="AG358" i="14"/>
  <c r="Z358" i="14"/>
  <c r="Z357" i="14"/>
  <c r="AG357" i="14" s="1"/>
  <c r="Z356" i="14"/>
  <c r="AG356" i="14" s="1"/>
  <c r="AG355" i="14"/>
  <c r="Z355" i="14"/>
  <c r="AG354" i="14"/>
  <c r="Z354" i="14"/>
  <c r="AG353" i="14"/>
  <c r="Z353" i="14"/>
  <c r="AG352" i="14"/>
  <c r="Z352" i="14"/>
  <c r="Z351" i="14"/>
  <c r="AG351" i="14" s="1"/>
  <c r="AG350" i="14"/>
  <c r="Z350" i="14"/>
  <c r="Z349" i="14"/>
  <c r="AG349" i="14" s="1"/>
  <c r="Z348" i="14"/>
  <c r="AG348" i="14" s="1"/>
  <c r="AG347" i="14"/>
  <c r="Z347" i="14"/>
  <c r="AG346" i="14"/>
  <c r="Z346" i="14"/>
  <c r="AG345" i="14"/>
  <c r="Z345" i="14"/>
  <c r="AG344" i="14"/>
  <c r="Z344" i="14"/>
  <c r="Z343" i="14"/>
  <c r="AG343" i="14" s="1"/>
  <c r="AG342" i="14"/>
  <c r="Z342" i="14"/>
  <c r="Z341" i="14"/>
  <c r="AG341" i="14" s="1"/>
  <c r="Z340" i="14"/>
  <c r="AG340" i="14" s="1"/>
  <c r="AG339" i="14"/>
  <c r="Z339" i="14"/>
  <c r="Z338" i="14"/>
  <c r="AG338" i="14" s="1"/>
  <c r="AG337" i="14"/>
  <c r="Z337" i="14"/>
  <c r="AG336" i="14"/>
  <c r="Z336" i="14"/>
  <c r="Z335" i="14"/>
  <c r="AG335" i="14" s="1"/>
  <c r="Z334" i="14"/>
  <c r="AG334" i="14" s="1"/>
  <c r="Z333" i="14"/>
  <c r="AG333" i="14" s="1"/>
  <c r="Z332" i="14"/>
  <c r="AG332" i="14" s="1"/>
  <c r="AG331" i="14"/>
  <c r="Z331" i="14"/>
  <c r="Z330" i="14"/>
  <c r="AG330" i="14" s="1"/>
  <c r="AG329" i="14"/>
  <c r="Z329" i="14"/>
  <c r="AG328" i="14"/>
  <c r="Z328" i="14"/>
  <c r="Z327" i="14"/>
  <c r="AG327" i="14" s="1"/>
  <c r="Z326" i="14"/>
  <c r="AG326" i="14" s="1"/>
  <c r="Z325" i="14"/>
  <c r="AG325" i="14" s="1"/>
  <c r="Z324" i="14"/>
  <c r="AG324" i="14" s="1"/>
  <c r="AG323" i="14"/>
  <c r="Z323" i="14"/>
  <c r="Z322" i="14"/>
  <c r="AG322" i="14" s="1"/>
  <c r="AG321" i="14"/>
  <c r="Z321" i="14"/>
  <c r="AG320" i="14"/>
  <c r="Z320" i="14"/>
  <c r="Z319" i="14"/>
  <c r="AG319" i="14" s="1"/>
  <c r="Z318" i="14"/>
  <c r="AG318" i="14" s="1"/>
  <c r="Z317" i="14"/>
  <c r="AG317" i="14" s="1"/>
  <c r="Z316" i="14"/>
  <c r="AG316" i="14" s="1"/>
  <c r="AG315" i="14"/>
  <c r="Z315" i="14"/>
  <c r="AG314" i="14"/>
  <c r="Z314" i="14"/>
  <c r="AG313" i="14"/>
  <c r="Z313" i="14"/>
  <c r="AG312" i="14"/>
  <c r="Z312" i="14"/>
  <c r="Z311" i="14"/>
  <c r="AG311" i="14" s="1"/>
  <c r="Z310" i="14"/>
  <c r="AG310" i="14" s="1"/>
  <c r="Z309" i="14"/>
  <c r="AG309" i="14" s="1"/>
  <c r="Z308" i="14"/>
  <c r="AG308" i="14" s="1"/>
  <c r="AG307" i="14"/>
  <c r="Z307" i="14"/>
  <c r="Z306" i="14"/>
  <c r="AG306" i="14" s="1"/>
  <c r="AG305" i="14"/>
  <c r="Z305" i="14"/>
  <c r="AG304" i="14"/>
  <c r="Z304" i="14"/>
  <c r="Z303" i="14"/>
  <c r="AG303" i="14" s="1"/>
  <c r="Z302" i="14"/>
  <c r="AG302" i="14" s="1"/>
  <c r="Z301" i="14"/>
  <c r="AG301" i="14" s="1"/>
  <c r="Z300" i="14"/>
  <c r="AG300" i="14" s="1"/>
  <c r="AG299" i="14"/>
  <c r="Z299" i="14"/>
  <c r="Z298" i="14"/>
  <c r="AG298" i="14" s="1"/>
  <c r="AG297" i="14"/>
  <c r="Z297" i="14"/>
  <c r="AG296" i="14"/>
  <c r="Z296" i="14"/>
  <c r="Z295" i="14"/>
  <c r="AG295" i="14" s="1"/>
  <c r="Z294" i="14"/>
  <c r="AG294" i="14" s="1"/>
  <c r="Z293" i="14"/>
  <c r="AG293" i="14" s="1"/>
  <c r="Z292" i="14"/>
  <c r="AG292" i="14" s="1"/>
  <c r="AG291" i="14"/>
  <c r="Z291" i="14"/>
  <c r="Z290" i="14"/>
  <c r="AG290" i="14" s="1"/>
  <c r="AG289" i="14"/>
  <c r="Z289" i="14"/>
  <c r="AG288" i="14"/>
  <c r="Z288" i="14"/>
  <c r="Z287" i="14"/>
  <c r="AG287" i="14" s="1"/>
  <c r="Z286" i="14"/>
  <c r="AG286" i="14" s="1"/>
  <c r="Z285" i="14"/>
  <c r="AG285" i="14" s="1"/>
  <c r="Z284" i="14"/>
  <c r="AG284" i="14" s="1"/>
  <c r="AG283" i="14"/>
  <c r="Z283" i="14"/>
  <c r="AG282" i="14"/>
  <c r="Z282" i="14"/>
  <c r="AG281" i="14"/>
  <c r="Z281" i="14"/>
  <c r="AG280" i="14"/>
  <c r="Z280" i="14"/>
  <c r="Z279" i="14"/>
  <c r="AG279" i="14" s="1"/>
  <c r="Z278" i="14"/>
  <c r="AG278" i="14" s="1"/>
  <c r="Z277" i="14"/>
  <c r="AG277" i="14" s="1"/>
  <c r="Z276" i="14"/>
  <c r="AG276" i="14" s="1"/>
  <c r="AG275" i="14"/>
  <c r="Z275" i="14"/>
  <c r="Z274" i="14"/>
  <c r="AG274" i="14" s="1"/>
  <c r="AG273" i="14"/>
  <c r="Z273" i="14"/>
  <c r="AG272" i="14"/>
  <c r="Z272" i="14"/>
  <c r="Z271" i="14"/>
  <c r="AG271" i="14" s="1"/>
  <c r="Z270" i="14"/>
  <c r="AG270" i="14" s="1"/>
  <c r="Z269" i="14"/>
  <c r="AG269" i="14" s="1"/>
  <c r="Z268" i="14"/>
  <c r="AG268" i="14" s="1"/>
  <c r="AG267" i="14"/>
  <c r="Z267" i="14"/>
  <c r="Z266" i="14"/>
  <c r="AG266" i="14" s="1"/>
  <c r="AG265" i="14"/>
  <c r="Z265" i="14"/>
  <c r="AG264" i="14"/>
  <c r="Z264" i="14"/>
  <c r="Z263" i="14"/>
  <c r="AG263" i="14" s="1"/>
  <c r="Z262" i="14"/>
  <c r="AG262" i="14" s="1"/>
  <c r="Z261" i="14"/>
  <c r="AG261" i="14" s="1"/>
  <c r="Z260" i="14"/>
  <c r="AG260" i="14" s="1"/>
  <c r="AG259" i="14"/>
  <c r="Z259" i="14"/>
  <c r="Z258" i="14"/>
  <c r="AG258" i="14" s="1"/>
  <c r="AG257" i="14"/>
  <c r="Z257" i="14"/>
  <c r="AG256" i="14"/>
  <c r="Z256" i="14"/>
  <c r="Z255" i="14"/>
  <c r="AG255" i="14" s="1"/>
  <c r="Z254" i="14"/>
  <c r="AG254" i="14" s="1"/>
  <c r="Z253" i="14"/>
  <c r="AG253" i="14" s="1"/>
  <c r="Z252" i="14"/>
  <c r="AG252" i="14" s="1"/>
  <c r="AG251" i="14"/>
  <c r="Z251" i="14"/>
  <c r="AG250" i="14"/>
  <c r="Z250" i="14"/>
  <c r="AG249" i="14"/>
  <c r="Z249" i="14"/>
  <c r="AG248" i="14"/>
  <c r="Z248" i="14"/>
  <c r="Z247" i="14"/>
  <c r="AG247" i="14" s="1"/>
  <c r="Z246" i="14"/>
  <c r="AG246" i="14" s="1"/>
  <c r="Z245" i="14"/>
  <c r="AG245" i="14" s="1"/>
  <c r="Z244" i="14"/>
  <c r="AG244" i="14" s="1"/>
  <c r="AG243" i="14"/>
  <c r="Z243" i="14"/>
  <c r="Z242" i="14"/>
  <c r="AG242" i="14" s="1"/>
  <c r="AG241" i="14"/>
  <c r="Z241" i="14"/>
  <c r="AG240" i="14"/>
  <c r="Z240" i="14"/>
  <c r="Z239" i="14"/>
  <c r="AG239" i="14" s="1"/>
  <c r="Z238" i="14"/>
  <c r="AG238" i="14" s="1"/>
  <c r="Z237" i="14"/>
  <c r="AG237" i="14" s="1"/>
  <c r="Z236" i="14"/>
  <c r="AG236" i="14" s="1"/>
  <c r="AG235" i="14"/>
  <c r="Z235" i="14"/>
  <c r="AG234" i="14"/>
  <c r="Z234" i="14"/>
  <c r="AG233" i="14"/>
  <c r="Z233" i="14"/>
  <c r="AG232" i="14"/>
  <c r="Z232" i="14"/>
  <c r="Z231" i="14"/>
  <c r="AG231" i="14" s="1"/>
  <c r="Z230" i="14"/>
  <c r="AG230" i="14" s="1"/>
  <c r="Z229" i="14"/>
  <c r="AG229" i="14" s="1"/>
  <c r="Z228" i="14"/>
  <c r="AG228" i="14" s="1"/>
  <c r="Z227" i="14"/>
  <c r="AG227" i="14" s="1"/>
  <c r="AG226" i="14"/>
  <c r="Z226" i="14"/>
  <c r="AG225" i="14"/>
  <c r="Z225" i="14"/>
  <c r="Z224" i="14"/>
  <c r="AG224" i="14" s="1"/>
  <c r="Z223" i="14"/>
  <c r="AG223" i="14" s="1"/>
  <c r="Z222" i="14"/>
  <c r="AG222" i="14" s="1"/>
  <c r="Z221" i="14"/>
  <c r="AG221" i="14" s="1"/>
  <c r="AG220" i="14"/>
  <c r="Z220" i="14"/>
  <c r="Z219" i="14"/>
  <c r="AG219" i="14" s="1"/>
  <c r="AG218" i="14"/>
  <c r="Z218" i="14"/>
  <c r="AG217" i="14"/>
  <c r="Z217" i="14"/>
  <c r="Z216" i="14"/>
  <c r="AG216" i="14" s="1"/>
  <c r="Z215" i="14"/>
  <c r="AG215" i="14" s="1"/>
  <c r="Z214" i="14"/>
  <c r="AG214" i="14" s="1"/>
  <c r="Z213" i="14"/>
  <c r="AG213" i="14" s="1"/>
  <c r="AG212" i="14"/>
  <c r="Z212" i="14"/>
  <c r="AG211" i="14"/>
  <c r="Z211" i="14"/>
  <c r="AG210" i="14"/>
  <c r="Z210" i="14"/>
  <c r="AG209" i="14"/>
  <c r="Z209" i="14"/>
  <c r="Z208" i="14"/>
  <c r="AG208" i="14" s="1"/>
  <c r="Z207" i="14"/>
  <c r="AG207" i="14" s="1"/>
  <c r="Z206" i="14"/>
  <c r="AG206" i="14" s="1"/>
  <c r="Z205" i="14"/>
  <c r="AG205" i="14" s="1"/>
  <c r="AG204" i="14"/>
  <c r="Z204" i="14"/>
  <c r="AG203" i="14"/>
  <c r="Z203" i="14"/>
  <c r="AG202" i="14"/>
  <c r="Z202" i="14"/>
  <c r="AG201" i="14"/>
  <c r="Z201" i="14"/>
  <c r="Z200" i="14"/>
  <c r="AG200" i="14" s="1"/>
  <c r="Z199" i="14"/>
  <c r="AG199" i="14" s="1"/>
  <c r="Z198" i="14"/>
  <c r="AG198" i="14" s="1"/>
  <c r="Z197" i="14"/>
  <c r="AG197" i="14" s="1"/>
  <c r="AG196" i="14"/>
  <c r="Z196" i="14"/>
  <c r="AG195" i="14"/>
  <c r="Z195" i="14"/>
  <c r="AG194" i="14"/>
  <c r="Z194" i="14"/>
  <c r="AG193" i="14"/>
  <c r="Z193" i="14"/>
  <c r="Z192" i="14"/>
  <c r="AG192" i="14" s="1"/>
  <c r="Z191" i="14"/>
  <c r="AG191" i="14" s="1"/>
  <c r="Z190" i="14"/>
  <c r="AG190" i="14" s="1"/>
  <c r="Z189" i="14"/>
  <c r="AG189" i="14" s="1"/>
  <c r="AG188" i="14"/>
  <c r="Z188" i="14"/>
  <c r="Z187" i="14"/>
  <c r="AG187" i="14" s="1"/>
  <c r="AG186" i="14"/>
  <c r="Z186" i="14"/>
  <c r="AG185" i="14"/>
  <c r="Z185" i="14"/>
  <c r="Z184" i="14"/>
  <c r="AG184" i="14" s="1"/>
  <c r="Z183" i="14"/>
  <c r="AG183" i="14" s="1"/>
  <c r="Z182" i="14"/>
  <c r="AG182" i="14" s="1"/>
  <c r="Z181" i="14"/>
  <c r="AG181" i="14" s="1"/>
  <c r="AG180" i="14"/>
  <c r="Z180" i="14"/>
  <c r="AG179" i="14"/>
  <c r="Z179" i="14"/>
  <c r="AG178" i="14"/>
  <c r="Z178" i="14"/>
  <c r="AG177" i="14"/>
  <c r="Z177" i="14"/>
  <c r="Z176" i="14"/>
  <c r="AG176" i="14" s="1"/>
  <c r="Z175" i="14"/>
  <c r="AG175" i="14" s="1"/>
  <c r="Z174" i="14"/>
  <c r="AG174" i="14" s="1"/>
  <c r="Z173" i="14"/>
  <c r="AG173" i="14" s="1"/>
  <c r="AG172" i="14"/>
  <c r="Z172" i="14"/>
  <c r="AG171" i="14"/>
  <c r="Z171" i="14"/>
  <c r="AG170" i="14"/>
  <c r="Z170" i="14"/>
  <c r="AG169" i="14"/>
  <c r="Z169" i="14"/>
  <c r="Z168" i="14"/>
  <c r="AG168" i="14" s="1"/>
  <c r="Z167" i="14"/>
  <c r="AG167" i="14" s="1"/>
  <c r="Z166" i="14"/>
  <c r="AG166" i="14" s="1"/>
  <c r="Z165" i="14"/>
  <c r="AG165" i="14" s="1"/>
  <c r="AG164" i="14"/>
  <c r="Z164" i="14"/>
  <c r="AG163" i="14"/>
  <c r="Z163" i="14"/>
  <c r="AG162" i="14"/>
  <c r="Z162" i="14"/>
  <c r="AG161" i="14"/>
  <c r="Z161" i="14"/>
  <c r="Z160" i="14"/>
  <c r="AG160" i="14" s="1"/>
  <c r="Z159" i="14"/>
  <c r="AG159" i="14" s="1"/>
  <c r="Z158" i="14"/>
  <c r="AG158" i="14" s="1"/>
  <c r="Z157" i="14"/>
  <c r="AG157" i="14" s="1"/>
  <c r="AG156" i="14"/>
  <c r="Z156" i="14"/>
  <c r="Z155" i="14"/>
  <c r="AG155" i="14" s="1"/>
  <c r="AG154" i="14"/>
  <c r="Z154" i="14"/>
  <c r="AG153" i="14"/>
  <c r="Z153" i="14"/>
  <c r="Z152" i="14"/>
  <c r="AG152" i="14" s="1"/>
  <c r="Z151" i="14"/>
  <c r="AG151" i="14" s="1"/>
  <c r="Z150" i="14"/>
  <c r="AG150" i="14" s="1"/>
  <c r="Z149" i="14"/>
  <c r="AG149" i="14" s="1"/>
  <c r="Z148" i="14"/>
  <c r="Z147" i="14"/>
  <c r="Z146" i="14"/>
  <c r="Z145" i="14"/>
  <c r="AG144" i="14"/>
  <c r="Z144" i="14"/>
  <c r="AG143" i="14"/>
  <c r="Z143" i="14"/>
  <c r="Z142" i="14"/>
  <c r="AG142" i="14" s="1"/>
  <c r="Z141" i="14"/>
  <c r="Q141" i="14"/>
  <c r="Z140" i="14"/>
  <c r="Z139" i="14"/>
  <c r="Z138" i="14"/>
  <c r="Z137" i="14"/>
  <c r="AG136" i="14"/>
  <c r="Z136" i="14"/>
  <c r="AG135" i="14"/>
  <c r="Z135" i="14"/>
  <c r="AG134" i="14"/>
  <c r="Z134" i="14"/>
  <c r="AG133" i="14"/>
  <c r="Z133" i="14"/>
  <c r="Z132" i="14"/>
  <c r="AG132" i="14" s="1"/>
  <c r="AG131" i="14"/>
  <c r="Z131" i="14"/>
  <c r="Z130" i="14"/>
  <c r="Z129" i="14"/>
  <c r="Z128" i="14"/>
  <c r="AG128" i="14" s="1"/>
  <c r="Z127" i="14"/>
  <c r="Z126" i="14"/>
  <c r="Z125" i="14"/>
  <c r="AG125" i="14" s="1"/>
  <c r="AG124" i="14"/>
  <c r="Z124" i="14"/>
  <c r="AG123" i="14"/>
  <c r="Z123" i="14"/>
  <c r="Z122" i="14"/>
  <c r="AG122" i="14" s="1"/>
  <c r="AG121" i="14"/>
  <c r="Z121" i="14"/>
  <c r="Z120" i="14"/>
  <c r="AG120" i="14" s="1"/>
  <c r="Z119" i="14"/>
  <c r="AG119" i="14" s="1"/>
  <c r="AG118" i="14"/>
  <c r="Z118" i="14"/>
  <c r="Z117" i="14"/>
  <c r="AG117" i="14" s="1"/>
  <c r="AG116" i="14"/>
  <c r="Z116" i="14"/>
  <c r="AG115" i="14"/>
  <c r="Z115" i="14"/>
  <c r="Z114" i="14"/>
  <c r="AG114" i="14" s="1"/>
  <c r="AG113" i="14"/>
  <c r="Z113" i="14"/>
  <c r="Z112" i="14"/>
  <c r="AG112" i="14" s="1"/>
  <c r="Z111" i="14"/>
  <c r="AG111" i="14" s="1"/>
  <c r="AG110" i="14"/>
  <c r="Z110" i="14"/>
  <c r="Z109" i="14"/>
  <c r="Z108" i="14"/>
  <c r="Z107" i="14"/>
  <c r="Z106" i="14"/>
  <c r="Z105" i="14"/>
  <c r="Z104" i="14"/>
  <c r="AG103" i="14"/>
  <c r="Z103" i="14"/>
  <c r="Z102" i="14"/>
  <c r="AG102" i="14" s="1"/>
  <c r="Z101" i="14"/>
  <c r="AG101" i="14" s="1"/>
  <c r="AG100" i="14"/>
  <c r="Z100" i="14"/>
  <c r="Z99" i="14"/>
  <c r="AG99" i="14" s="1"/>
  <c r="AG98" i="14"/>
  <c r="Z98" i="14"/>
  <c r="AG97" i="14"/>
  <c r="Z97" i="14"/>
  <c r="Z96" i="14"/>
  <c r="AG96" i="14" s="1"/>
  <c r="AG95" i="14"/>
  <c r="Z95" i="14"/>
  <c r="Z94" i="14"/>
  <c r="AG94" i="14" s="1"/>
  <c r="Z93" i="14"/>
  <c r="AG93" i="14" s="1"/>
  <c r="AG92" i="14"/>
  <c r="Z92" i="14"/>
  <c r="AG91" i="14"/>
  <c r="Z91" i="14"/>
  <c r="AG90" i="14"/>
  <c r="Z90" i="14"/>
  <c r="AG89" i="14"/>
  <c r="Z89" i="14"/>
  <c r="Z88" i="14"/>
  <c r="AG88" i="14" s="1"/>
  <c r="AG87" i="14"/>
  <c r="Z87" i="14"/>
  <c r="Z86" i="14"/>
  <c r="AG86" i="14" s="1"/>
  <c r="Z85" i="14"/>
  <c r="AG85" i="14" s="1"/>
  <c r="AG84" i="14"/>
  <c r="Z84" i="14"/>
  <c r="Z83" i="14"/>
  <c r="AG83" i="14" s="1"/>
  <c r="AG82" i="14"/>
  <c r="Z82" i="14"/>
  <c r="AG81" i="14"/>
  <c r="Z81" i="14"/>
  <c r="Z80" i="14"/>
  <c r="AG80" i="14" s="1"/>
  <c r="Z79" i="14"/>
  <c r="AG79" i="14" s="1"/>
  <c r="Z78" i="14"/>
  <c r="AG78" i="14" s="1"/>
  <c r="Z77" i="14"/>
  <c r="AG77" i="14" s="1"/>
  <c r="AG76" i="14"/>
  <c r="Z76" i="14"/>
  <c r="Z75" i="14"/>
  <c r="AG75" i="14" s="1"/>
  <c r="AG74" i="14"/>
  <c r="Z74" i="14"/>
  <c r="AG73" i="14"/>
  <c r="Z73" i="14"/>
  <c r="Z72" i="14"/>
  <c r="AG72" i="14" s="1"/>
  <c r="Z71" i="14"/>
  <c r="AG71" i="14" s="1"/>
  <c r="Z70" i="14"/>
  <c r="AG70" i="14" s="1"/>
  <c r="Z69" i="14"/>
  <c r="AG69" i="14" s="1"/>
  <c r="AG68" i="14"/>
  <c r="Z68" i="14"/>
  <c r="AG67" i="14"/>
  <c r="Z67" i="14"/>
  <c r="AG66" i="14"/>
  <c r="Z66" i="14"/>
  <c r="AG65" i="14"/>
  <c r="Z65" i="14"/>
  <c r="Z64" i="14"/>
  <c r="AG64" i="14" s="1"/>
  <c r="Z63" i="14"/>
  <c r="Z62" i="14"/>
  <c r="AG62" i="14" s="1"/>
  <c r="Z61" i="14"/>
  <c r="AG61" i="14" s="1"/>
  <c r="Z60" i="14"/>
  <c r="AG60" i="14" s="1"/>
  <c r="Z59" i="14"/>
  <c r="AG59" i="14" s="1"/>
  <c r="Z58" i="14"/>
  <c r="AG57" i="14"/>
  <c r="Z57" i="14"/>
  <c r="AG56" i="14"/>
  <c r="Z56" i="14"/>
  <c r="Z55" i="14"/>
  <c r="AG55" i="14" s="1"/>
  <c r="Z54" i="14"/>
  <c r="AG54" i="14" s="1"/>
  <c r="AE53" i="14"/>
  <c r="Z53" i="14"/>
  <c r="Z52" i="14"/>
  <c r="Z51" i="14"/>
  <c r="Z50" i="14"/>
  <c r="Z49" i="14"/>
  <c r="Z48" i="14"/>
  <c r="Z47" i="14"/>
  <c r="Z46" i="14"/>
  <c r="Z45" i="14"/>
  <c r="Z44" i="14"/>
  <c r="Z43" i="14"/>
  <c r="AG42" i="14"/>
  <c r="Z42" i="14"/>
  <c r="Z41" i="14"/>
  <c r="AG41" i="14" s="1"/>
  <c r="Z40" i="14"/>
  <c r="AG40" i="14" s="1"/>
  <c r="AG39" i="14"/>
  <c r="Z39" i="14"/>
  <c r="AG38" i="14"/>
  <c r="AC38" i="14"/>
  <c r="Z38" i="14"/>
  <c r="Z37" i="14"/>
  <c r="AG37" i="14" s="1"/>
  <c r="Z36" i="14"/>
  <c r="AG36" i="14" s="1"/>
  <c r="AG35" i="14"/>
  <c r="Z35" i="14"/>
  <c r="Z34" i="14"/>
  <c r="AG34" i="14" s="1"/>
  <c r="Z33" i="14"/>
  <c r="AG33" i="14" s="1"/>
  <c r="Z32" i="14"/>
  <c r="AG32" i="14" s="1"/>
  <c r="Z31" i="14"/>
  <c r="AG31" i="14" s="1"/>
  <c r="Z30" i="14"/>
  <c r="AG30" i="14" s="1"/>
  <c r="Z29" i="14"/>
  <c r="AG29" i="14" s="1"/>
  <c r="Z28" i="14"/>
  <c r="AG28" i="14" s="1"/>
  <c r="AG27" i="14"/>
  <c r="Z27" i="14"/>
  <c r="Z26" i="14"/>
  <c r="AG26" i="14" s="1"/>
  <c r="Z25" i="14"/>
  <c r="AG25" i="14" s="1"/>
  <c r="Z24" i="14"/>
  <c r="AG24" i="14" s="1"/>
  <c r="Z23" i="14"/>
  <c r="AG23" i="14" s="1"/>
  <c r="Z22" i="14"/>
  <c r="AG22" i="14" s="1"/>
  <c r="Z21" i="14"/>
  <c r="AG21" i="14" s="1"/>
  <c r="Z20" i="14"/>
  <c r="AG20" i="14" s="1"/>
  <c r="AG19" i="14"/>
  <c r="Z12" i="14"/>
  <c r="A5" i="14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AC447" i="13"/>
  <c r="AJ447" i="13" s="1"/>
  <c r="AC446" i="13"/>
  <c r="AJ446" i="13" s="1"/>
  <c r="AJ445" i="13"/>
  <c r="AC445" i="13"/>
  <c r="O444" i="13"/>
  <c r="AC444" i="13" s="1"/>
  <c r="AJ443" i="13"/>
  <c r="AC443" i="13"/>
  <c r="AJ442" i="13"/>
  <c r="AC442" i="13"/>
  <c r="AC441" i="13"/>
  <c r="AJ441" i="13" s="1"/>
  <c r="AC440" i="13"/>
  <c r="AJ440" i="13" s="1"/>
  <c r="AC439" i="13"/>
  <c r="AJ439" i="13" s="1"/>
  <c r="AC438" i="13"/>
  <c r="AJ438" i="13" s="1"/>
  <c r="AJ437" i="13"/>
  <c r="AC437" i="13"/>
  <c r="AC436" i="13"/>
  <c r="AJ436" i="13" s="1"/>
  <c r="AJ435" i="13"/>
  <c r="AC435" i="13"/>
  <c r="AJ434" i="13"/>
  <c r="AC434" i="13"/>
  <c r="AC433" i="13"/>
  <c r="AJ433" i="13" s="1"/>
  <c r="AC432" i="13"/>
  <c r="AJ432" i="13" s="1"/>
  <c r="AC431" i="13"/>
  <c r="AJ431" i="13" s="1"/>
  <c r="AJ430" i="13"/>
  <c r="AC430" i="13"/>
  <c r="AJ429" i="13"/>
  <c r="AC429" i="13"/>
  <c r="AC428" i="13"/>
  <c r="AJ428" i="13" s="1"/>
  <c r="AJ427" i="13"/>
  <c r="AC427" i="13"/>
  <c r="AJ426" i="13"/>
  <c r="AC426" i="13"/>
  <c r="AJ425" i="13"/>
  <c r="AC425" i="13"/>
  <c r="AC424" i="13"/>
  <c r="AJ424" i="13" s="1"/>
  <c r="AC423" i="13"/>
  <c r="AJ423" i="13" s="1"/>
  <c r="AC422" i="13"/>
  <c r="AJ422" i="13" s="1"/>
  <c r="AJ421" i="13"/>
  <c r="AC421" i="13"/>
  <c r="AC420" i="13"/>
  <c r="AJ420" i="13" s="1"/>
  <c r="AJ419" i="13"/>
  <c r="AC419" i="13"/>
  <c r="AJ418" i="13"/>
  <c r="AC418" i="13"/>
  <c r="AC417" i="13"/>
  <c r="AJ417" i="13" s="1"/>
  <c r="AC416" i="13"/>
  <c r="AJ416" i="13" s="1"/>
  <c r="AC415" i="13"/>
  <c r="AJ415" i="13" s="1"/>
  <c r="AC414" i="13"/>
  <c r="AJ414" i="13" s="1"/>
  <c r="AJ413" i="13"/>
  <c r="AC413" i="13"/>
  <c r="AJ412" i="13"/>
  <c r="AC412" i="13"/>
  <c r="AJ411" i="13"/>
  <c r="AC411" i="13"/>
  <c r="AJ410" i="13"/>
  <c r="AC410" i="13"/>
  <c r="AC409" i="13"/>
  <c r="AJ409" i="13" s="1"/>
  <c r="AC408" i="13"/>
  <c r="AJ408" i="13" s="1"/>
  <c r="AJ407" i="13"/>
  <c r="AC407" i="13"/>
  <c r="AJ406" i="13"/>
  <c r="AC406" i="13"/>
  <c r="AJ405" i="13"/>
  <c r="AC405" i="13"/>
  <c r="AC404" i="13"/>
  <c r="AJ404" i="13" s="1"/>
  <c r="AJ403" i="13"/>
  <c r="AC403" i="13"/>
  <c r="AJ402" i="13"/>
  <c r="AC402" i="13"/>
  <c r="AC401" i="13"/>
  <c r="AJ401" i="13" s="1"/>
  <c r="AC400" i="13"/>
  <c r="AJ400" i="13" s="1"/>
  <c r="AC399" i="13"/>
  <c r="AJ399" i="13" s="1"/>
  <c r="AC398" i="13"/>
  <c r="AJ398" i="13" s="1"/>
  <c r="AJ397" i="13"/>
  <c r="AC397" i="13"/>
  <c r="AC396" i="13"/>
  <c r="AJ396" i="13" s="1"/>
  <c r="AJ395" i="13"/>
  <c r="AC395" i="13"/>
  <c r="AJ394" i="13"/>
  <c r="AC394" i="13"/>
  <c r="AC393" i="13"/>
  <c r="AJ393" i="13" s="1"/>
  <c r="AC392" i="13"/>
  <c r="AJ392" i="13" s="1"/>
  <c r="AJ391" i="13"/>
  <c r="AC391" i="13"/>
  <c r="AC390" i="13"/>
  <c r="AJ390" i="13" s="1"/>
  <c r="AJ389" i="13"/>
  <c r="AC389" i="13"/>
  <c r="AJ388" i="13"/>
  <c r="AC388" i="13"/>
  <c r="AJ387" i="13"/>
  <c r="AC387" i="13"/>
  <c r="AJ386" i="13"/>
  <c r="AC386" i="13"/>
  <c r="AJ385" i="13"/>
  <c r="AC385" i="13"/>
  <c r="AC384" i="13"/>
  <c r="AJ384" i="13" s="1"/>
  <c r="AC383" i="13"/>
  <c r="AJ383" i="13" s="1"/>
  <c r="AC382" i="13"/>
  <c r="AJ382" i="13" s="1"/>
  <c r="AJ381" i="13"/>
  <c r="AC381" i="13"/>
  <c r="AC380" i="13"/>
  <c r="AJ380" i="13" s="1"/>
  <c r="AJ379" i="13"/>
  <c r="AC379" i="13"/>
  <c r="AJ378" i="13"/>
  <c r="AC378" i="13"/>
  <c r="AC377" i="13"/>
  <c r="AJ377" i="13" s="1"/>
  <c r="AC376" i="13"/>
  <c r="AJ376" i="13" s="1"/>
  <c r="AC375" i="13"/>
  <c r="AJ375" i="13" s="1"/>
  <c r="AJ374" i="13"/>
  <c r="AC374" i="13"/>
  <c r="AJ373" i="13"/>
  <c r="AC373" i="13"/>
  <c r="AJ372" i="13"/>
  <c r="AC372" i="13"/>
  <c r="AJ371" i="13"/>
  <c r="AC371" i="13"/>
  <c r="AJ370" i="13"/>
  <c r="AC370" i="13"/>
  <c r="AJ369" i="13"/>
  <c r="AC369" i="13"/>
  <c r="AC368" i="13"/>
  <c r="AJ368" i="13" s="1"/>
  <c r="AC367" i="13"/>
  <c r="AJ367" i="13" s="1"/>
  <c r="AC366" i="13"/>
  <c r="AJ366" i="13" s="1"/>
  <c r="AJ365" i="13"/>
  <c r="AC365" i="13"/>
  <c r="AJ364" i="13"/>
  <c r="AC364" i="13"/>
  <c r="AJ363" i="13"/>
  <c r="AC363" i="13"/>
  <c r="AC362" i="13"/>
  <c r="AJ362" i="13" s="1"/>
  <c r="AJ361" i="13"/>
  <c r="AC361" i="13"/>
  <c r="AC360" i="13"/>
  <c r="AJ360" i="13" s="1"/>
  <c r="AJ359" i="13"/>
  <c r="AC359" i="13"/>
  <c r="AC358" i="13"/>
  <c r="AJ358" i="13" s="1"/>
  <c r="AJ357" i="13"/>
  <c r="AC357" i="13"/>
  <c r="AJ356" i="13"/>
  <c r="AC356" i="13"/>
  <c r="AJ355" i="13"/>
  <c r="AC355" i="13"/>
  <c r="AJ354" i="13"/>
  <c r="AC354" i="13"/>
  <c r="AC353" i="13"/>
  <c r="AJ353" i="13" s="1"/>
  <c r="AC352" i="13"/>
  <c r="AJ352" i="13" s="1"/>
  <c r="AC351" i="13"/>
  <c r="AJ351" i="13" s="1"/>
  <c r="AC350" i="13"/>
  <c r="AJ350" i="13" s="1"/>
  <c r="AJ349" i="13"/>
  <c r="AC349" i="13"/>
  <c r="AC348" i="13"/>
  <c r="AJ348" i="13" s="1"/>
  <c r="AJ347" i="13"/>
  <c r="AC347" i="13"/>
  <c r="AC346" i="13"/>
  <c r="AJ346" i="13" s="1"/>
  <c r="AC345" i="13"/>
  <c r="AJ345" i="13" s="1"/>
  <c r="AC344" i="13"/>
  <c r="AJ344" i="13" s="1"/>
  <c r="AJ343" i="13"/>
  <c r="AC343" i="13"/>
  <c r="AJ342" i="13"/>
  <c r="AC342" i="13"/>
  <c r="AJ341" i="13"/>
  <c r="AC341" i="13"/>
  <c r="AJ340" i="13"/>
  <c r="AC340" i="13"/>
  <c r="AJ339" i="13"/>
  <c r="AC339" i="13"/>
  <c r="AJ338" i="13"/>
  <c r="AC338" i="13"/>
  <c r="AJ337" i="13"/>
  <c r="AC337" i="13"/>
  <c r="AC336" i="13"/>
  <c r="AJ336" i="13" s="1"/>
  <c r="AJ335" i="13"/>
  <c r="AC335" i="13"/>
  <c r="AC334" i="13"/>
  <c r="AJ334" i="13" s="1"/>
  <c r="AJ333" i="13"/>
  <c r="AC333" i="13"/>
  <c r="AC332" i="13"/>
  <c r="AJ332" i="13" s="1"/>
  <c r="AC331" i="13"/>
  <c r="AJ331" i="13" s="1"/>
  <c r="AC330" i="13"/>
  <c r="AJ330" i="13" s="1"/>
  <c r="AC329" i="13"/>
  <c r="AJ329" i="13" s="1"/>
  <c r="AC328" i="13"/>
  <c r="AJ328" i="13" s="1"/>
  <c r="AC327" i="13"/>
  <c r="AJ327" i="13" s="1"/>
  <c r="AJ326" i="13"/>
  <c r="AC326" i="13"/>
  <c r="AJ325" i="13"/>
  <c r="AC325" i="13"/>
  <c r="AC324" i="13"/>
  <c r="AJ324" i="13" s="1"/>
  <c r="AJ323" i="13"/>
  <c r="AC323" i="13"/>
  <c r="AJ322" i="13"/>
  <c r="AC322" i="13"/>
  <c r="AJ321" i="13"/>
  <c r="AC321" i="13"/>
  <c r="AC320" i="13"/>
  <c r="AJ320" i="13" s="1"/>
  <c r="AC319" i="13"/>
  <c r="AJ319" i="13" s="1"/>
  <c r="AJ318" i="13"/>
  <c r="AC318" i="13"/>
  <c r="AJ317" i="13"/>
  <c r="AC317" i="13"/>
  <c r="AC316" i="13"/>
  <c r="AJ316" i="13" s="1"/>
  <c r="AC315" i="13"/>
  <c r="AJ315" i="13" s="1"/>
  <c r="AC314" i="13"/>
  <c r="AJ314" i="13" s="1"/>
  <c r="AC313" i="13"/>
  <c r="AJ313" i="13" s="1"/>
  <c r="AC312" i="13"/>
  <c r="AJ312" i="13" s="1"/>
  <c r="AJ311" i="13"/>
  <c r="AC311" i="13"/>
  <c r="AC310" i="13"/>
  <c r="AJ310" i="13" s="1"/>
  <c r="AJ309" i="13"/>
  <c r="AC309" i="13"/>
  <c r="AC308" i="13"/>
  <c r="AJ308" i="13" s="1"/>
  <c r="AC307" i="13"/>
  <c r="AJ307" i="13" s="1"/>
  <c r="AJ306" i="13"/>
  <c r="AC306" i="13"/>
  <c r="AC305" i="13"/>
  <c r="AJ305" i="13" s="1"/>
  <c r="AC304" i="13"/>
  <c r="AJ304" i="13" s="1"/>
  <c r="AC303" i="13"/>
  <c r="AJ303" i="13" s="1"/>
  <c r="AC302" i="13"/>
  <c r="AJ302" i="13" s="1"/>
  <c r="AJ301" i="13"/>
  <c r="AC301" i="13"/>
  <c r="AC300" i="13"/>
  <c r="AJ300" i="13" s="1"/>
  <c r="AC299" i="13"/>
  <c r="AJ299" i="13" s="1"/>
  <c r="AC298" i="13"/>
  <c r="AJ298" i="13" s="1"/>
  <c r="AC297" i="13"/>
  <c r="AJ297" i="13" s="1"/>
  <c r="AC296" i="13"/>
  <c r="AJ296" i="13" s="1"/>
  <c r="AJ295" i="13"/>
  <c r="AC295" i="13"/>
  <c r="AJ294" i="13"/>
  <c r="AC294" i="13"/>
  <c r="AJ293" i="13"/>
  <c r="AC293" i="13"/>
  <c r="AJ292" i="13"/>
  <c r="AC292" i="13"/>
  <c r="AC291" i="13"/>
  <c r="AJ291" i="13" s="1"/>
  <c r="AC290" i="13"/>
  <c r="AJ290" i="13" s="1"/>
  <c r="AJ289" i="13"/>
  <c r="AC289" i="13"/>
  <c r="AC288" i="13"/>
  <c r="AJ288" i="13" s="1"/>
  <c r="AC287" i="13"/>
  <c r="AJ287" i="13" s="1"/>
  <c r="AC286" i="13"/>
  <c r="AJ286" i="13" s="1"/>
  <c r="AJ285" i="13"/>
  <c r="AC285" i="13"/>
  <c r="AJ284" i="13"/>
  <c r="AC284" i="13"/>
  <c r="O283" i="13"/>
  <c r="AC283" i="13" s="1"/>
  <c r="AC282" i="13"/>
  <c r="AJ282" i="13" s="1"/>
  <c r="AC281" i="13"/>
  <c r="AJ281" i="13" s="1"/>
  <c r="AC280" i="13"/>
  <c r="AJ280" i="13" s="1"/>
  <c r="AC279" i="13"/>
  <c r="AJ279" i="13" s="1"/>
  <c r="AJ278" i="13"/>
  <c r="AC278" i="13"/>
  <c r="AJ277" i="13"/>
  <c r="AC277" i="13"/>
  <c r="AC276" i="13"/>
  <c r="AJ276" i="13" s="1"/>
  <c r="AJ275" i="13"/>
  <c r="AC275" i="13"/>
  <c r="AC274" i="13"/>
  <c r="AJ274" i="13" s="1"/>
  <c r="AC273" i="13"/>
  <c r="AJ273" i="13" s="1"/>
  <c r="AC272" i="13"/>
  <c r="AJ272" i="13" s="1"/>
  <c r="AC271" i="13"/>
  <c r="AJ271" i="13" s="1"/>
  <c r="AJ270" i="13"/>
  <c r="AC270" i="13"/>
  <c r="AJ269" i="13"/>
  <c r="AC269" i="13"/>
  <c r="AC268" i="13"/>
  <c r="AJ268" i="13" s="1"/>
  <c r="AJ267" i="13"/>
  <c r="AC267" i="13"/>
  <c r="AC266" i="13"/>
  <c r="AJ266" i="13" s="1"/>
  <c r="AC265" i="13"/>
  <c r="AJ265" i="13" s="1"/>
  <c r="AC264" i="13"/>
  <c r="AJ264" i="13" s="1"/>
  <c r="AJ263" i="13"/>
  <c r="AC263" i="13"/>
  <c r="AJ262" i="13"/>
  <c r="AC262" i="13"/>
  <c r="AJ261" i="13"/>
  <c r="AC261" i="13"/>
  <c r="AJ260" i="13"/>
  <c r="AC260" i="13"/>
  <c r="AC259" i="13"/>
  <c r="AJ259" i="13" s="1"/>
  <c r="AJ258" i="13"/>
  <c r="AC258" i="13"/>
  <c r="AC257" i="13"/>
  <c r="AJ257" i="13" s="1"/>
  <c r="AC256" i="13"/>
  <c r="AJ256" i="13" s="1"/>
  <c r="AC255" i="13"/>
  <c r="AJ255" i="13" s="1"/>
  <c r="AC254" i="13"/>
  <c r="AJ254" i="13" s="1"/>
  <c r="AJ253" i="13"/>
  <c r="AC253" i="13"/>
  <c r="AC252" i="13"/>
  <c r="AJ252" i="13" s="1"/>
  <c r="AC251" i="13"/>
  <c r="AJ251" i="13" s="1"/>
  <c r="AJ250" i="13"/>
  <c r="AC250" i="13"/>
  <c r="AC249" i="13"/>
  <c r="AJ249" i="13" s="1"/>
  <c r="AC248" i="13"/>
  <c r="AJ248" i="13" s="1"/>
  <c r="AC247" i="13"/>
  <c r="AJ247" i="13" s="1"/>
  <c r="AJ246" i="13"/>
  <c r="AC246" i="13"/>
  <c r="AJ245" i="13"/>
  <c r="AC245" i="13"/>
  <c r="AJ244" i="13"/>
  <c r="AC244" i="13"/>
  <c r="O243" i="13"/>
  <c r="L243" i="13"/>
  <c r="AC243" i="13" s="1"/>
  <c r="AJ242" i="13"/>
  <c r="AC242" i="13"/>
  <c r="AJ241" i="13"/>
  <c r="AC241" i="13"/>
  <c r="AC240" i="13"/>
  <c r="O239" i="13"/>
  <c r="AC239" i="13" s="1"/>
  <c r="AJ239" i="13" s="1"/>
  <c r="L239" i="13"/>
  <c r="AJ238" i="13"/>
  <c r="AC238" i="13"/>
  <c r="AJ237" i="13"/>
  <c r="O237" i="13"/>
  <c r="M237" i="13"/>
  <c r="L237" i="13"/>
  <c r="AC237" i="13" s="1"/>
  <c r="AJ236" i="13"/>
  <c r="AC236" i="13"/>
  <c r="AJ235" i="13"/>
  <c r="AC235" i="13"/>
  <c r="AC234" i="13"/>
  <c r="AJ234" i="13" s="1"/>
  <c r="AC233" i="13"/>
  <c r="AC232" i="13"/>
  <c r="AJ232" i="13" s="1"/>
  <c r="AJ231" i="13"/>
  <c r="AC231" i="13"/>
  <c r="AJ230" i="13"/>
  <c r="AC230" i="13"/>
  <c r="AC229" i="13"/>
  <c r="AC228" i="13"/>
  <c r="AJ228" i="13" s="1"/>
  <c r="AJ227" i="13"/>
  <c r="AC227" i="13"/>
  <c r="AC226" i="13"/>
  <c r="AJ226" i="13" s="1"/>
  <c r="AC225" i="13"/>
  <c r="AJ225" i="13" s="1"/>
  <c r="AC224" i="13"/>
  <c r="AJ224" i="13" s="1"/>
  <c r="AC223" i="13"/>
  <c r="AJ223" i="13" s="1"/>
  <c r="AC222" i="13"/>
  <c r="AJ222" i="13" s="1"/>
  <c r="AC221" i="13"/>
  <c r="AJ220" i="13"/>
  <c r="AC220" i="13"/>
  <c r="AJ219" i="13"/>
  <c r="AC219" i="13"/>
  <c r="AC218" i="13"/>
  <c r="AJ218" i="13" s="1"/>
  <c r="AJ217" i="13"/>
  <c r="AC217" i="13"/>
  <c r="AC216" i="13"/>
  <c r="AJ216" i="13" s="1"/>
  <c r="AJ215" i="13"/>
  <c r="AC215" i="13"/>
  <c r="AC214" i="13"/>
  <c r="AJ214" i="13" s="1"/>
  <c r="AC213" i="13"/>
  <c r="AJ213" i="13" s="1"/>
  <c r="AC212" i="13"/>
  <c r="AJ212" i="13" s="1"/>
  <c r="AC211" i="13"/>
  <c r="AJ211" i="13" s="1"/>
  <c r="AC210" i="13"/>
  <c r="AJ210" i="13" s="1"/>
  <c r="AC209" i="13"/>
  <c r="AJ209" i="13" s="1"/>
  <c r="AJ208" i="13"/>
  <c r="AC208" i="13"/>
  <c r="AJ207" i="13"/>
  <c r="AC207" i="13"/>
  <c r="L206" i="13"/>
  <c r="AC206" i="13" s="1"/>
  <c r="AJ206" i="13" s="1"/>
  <c r="AC205" i="13"/>
  <c r="AJ205" i="13" s="1"/>
  <c r="AC204" i="13"/>
  <c r="AJ204" i="13" s="1"/>
  <c r="AJ203" i="13"/>
  <c r="AC203" i="13"/>
  <c r="AC202" i="13"/>
  <c r="AJ202" i="13" s="1"/>
  <c r="AC201" i="13"/>
  <c r="AJ200" i="13"/>
  <c r="AC200" i="13"/>
  <c r="AJ199" i="13"/>
  <c r="AC199" i="13"/>
  <c r="AC198" i="13"/>
  <c r="AJ198" i="13" s="1"/>
  <c r="AC197" i="13"/>
  <c r="AJ197" i="13" s="1"/>
  <c r="AC196" i="13"/>
  <c r="AJ196" i="13" s="1"/>
  <c r="AJ195" i="13"/>
  <c r="AC195" i="13"/>
  <c r="AC194" i="13"/>
  <c r="AJ194" i="13" s="1"/>
  <c r="AJ193" i="13"/>
  <c r="AC193" i="13"/>
  <c r="AC192" i="13"/>
  <c r="AJ192" i="13" s="1"/>
  <c r="AJ191" i="13"/>
  <c r="AC191" i="13"/>
  <c r="AC190" i="13"/>
  <c r="AJ190" i="13" s="1"/>
  <c r="AC189" i="13"/>
  <c r="AJ189" i="13" s="1"/>
  <c r="AJ188" i="13"/>
  <c r="AC188" i="13"/>
  <c r="AJ187" i="13"/>
  <c r="AC187" i="13"/>
  <c r="AC186" i="13"/>
  <c r="AJ186" i="13" s="1"/>
  <c r="AC185" i="13"/>
  <c r="AJ185" i="13" s="1"/>
  <c r="AC184" i="13"/>
  <c r="AJ184" i="13" s="1"/>
  <c r="AJ183" i="13"/>
  <c r="AC183" i="13"/>
  <c r="AC182" i="13"/>
  <c r="AJ182" i="13" s="1"/>
  <c r="AC181" i="13"/>
  <c r="AJ181" i="13" s="1"/>
  <c r="AC180" i="13"/>
  <c r="AJ180" i="13" s="1"/>
  <c r="AC179" i="13"/>
  <c r="AJ179" i="13" s="1"/>
  <c r="M178" i="13"/>
  <c r="AC178" i="13" s="1"/>
  <c r="AJ178" i="13" s="1"/>
  <c r="AJ177" i="13"/>
  <c r="AC177" i="13"/>
  <c r="AJ176" i="13"/>
  <c r="AC176" i="13"/>
  <c r="AC175" i="13"/>
  <c r="AC174" i="13"/>
  <c r="J174" i="13"/>
  <c r="O173" i="13"/>
  <c r="AC173" i="13" s="1"/>
  <c r="AJ173" i="13" s="1"/>
  <c r="AC172" i="13"/>
  <c r="AJ172" i="13" s="1"/>
  <c r="AJ171" i="13"/>
  <c r="AC171" i="13"/>
  <c r="AC170" i="13"/>
  <c r="AJ170" i="13" s="1"/>
  <c r="AC169" i="13"/>
  <c r="AJ169" i="13" s="1"/>
  <c r="AC168" i="13"/>
  <c r="AJ168" i="13" s="1"/>
  <c r="AC167" i="13"/>
  <c r="AJ167" i="13" s="1"/>
  <c r="AC166" i="13"/>
  <c r="AJ166" i="13" s="1"/>
  <c r="AJ165" i="13"/>
  <c r="AC165" i="13"/>
  <c r="AC164" i="13"/>
  <c r="AJ164" i="13" s="1"/>
  <c r="AJ163" i="13"/>
  <c r="AC163" i="13"/>
  <c r="AC162" i="13"/>
  <c r="AJ162" i="13" s="1"/>
  <c r="AC161" i="13"/>
  <c r="AJ161" i="13" s="1"/>
  <c r="AJ160" i="13"/>
  <c r="AC160" i="13"/>
  <c r="AC159" i="13"/>
  <c r="AJ159" i="13" s="1"/>
  <c r="AJ158" i="13"/>
  <c r="AC158" i="13"/>
  <c r="AC157" i="13"/>
  <c r="AJ157" i="13" s="1"/>
  <c r="AJ156" i="13"/>
  <c r="AC156" i="13"/>
  <c r="AJ155" i="13"/>
  <c r="AC155" i="13"/>
  <c r="AC154" i="13"/>
  <c r="AJ154" i="13" s="1"/>
  <c r="AC153" i="13"/>
  <c r="AJ153" i="13" s="1"/>
  <c r="AC152" i="13"/>
  <c r="AJ152" i="13" s="1"/>
  <c r="AC151" i="13"/>
  <c r="AJ151" i="13" s="1"/>
  <c r="AJ150" i="13"/>
  <c r="AC150" i="13"/>
  <c r="AJ149" i="13"/>
  <c r="AC149" i="13"/>
  <c r="AC148" i="13"/>
  <c r="AC147" i="13"/>
  <c r="AC146" i="13"/>
  <c r="AC145" i="13"/>
  <c r="AC144" i="13"/>
  <c r="AJ144" i="13" s="1"/>
  <c r="AC143" i="13"/>
  <c r="AJ143" i="13" s="1"/>
  <c r="AC142" i="13"/>
  <c r="AJ142" i="13" s="1"/>
  <c r="AC141" i="13"/>
  <c r="AC140" i="13"/>
  <c r="AC139" i="13"/>
  <c r="AC138" i="13"/>
  <c r="AC137" i="13"/>
  <c r="AJ136" i="13"/>
  <c r="AC136" i="13"/>
  <c r="AC135" i="13"/>
  <c r="AJ135" i="13" s="1"/>
  <c r="AC134" i="13"/>
  <c r="AJ134" i="13" s="1"/>
  <c r="AC133" i="13"/>
  <c r="AJ133" i="13" s="1"/>
  <c r="AC132" i="13"/>
  <c r="AJ132" i="13" s="1"/>
  <c r="AJ131" i="13"/>
  <c r="AC131" i="13"/>
  <c r="AC130" i="13"/>
  <c r="AC129" i="13"/>
  <c r="AC128" i="13"/>
  <c r="AJ128" i="13" s="1"/>
  <c r="AC127" i="13"/>
  <c r="AC126" i="13"/>
  <c r="AD104" i="13" s="1"/>
  <c r="L126" i="13"/>
  <c r="AJ125" i="13"/>
  <c r="AC125" i="13"/>
  <c r="AC124" i="13"/>
  <c r="AJ124" i="13" s="1"/>
  <c r="AC123" i="13"/>
  <c r="AJ123" i="13" s="1"/>
  <c r="AC122" i="13"/>
  <c r="AJ122" i="13" s="1"/>
  <c r="AC121" i="13"/>
  <c r="AJ121" i="13" s="1"/>
  <c r="AJ120" i="13"/>
  <c r="AC120" i="13"/>
  <c r="AJ119" i="13"/>
  <c r="AC119" i="13"/>
  <c r="AJ118" i="13"/>
  <c r="AC118" i="13"/>
  <c r="AJ117" i="13"/>
  <c r="AC117" i="13"/>
  <c r="AC116" i="13"/>
  <c r="AJ116" i="13" s="1"/>
  <c r="AJ115" i="13"/>
  <c r="AC115" i="13"/>
  <c r="AC114" i="13"/>
  <c r="AJ114" i="13" s="1"/>
  <c r="AC113" i="13"/>
  <c r="AJ113" i="13" s="1"/>
  <c r="AC112" i="13"/>
  <c r="AJ112" i="13" s="1"/>
  <c r="AJ111" i="13"/>
  <c r="AC111" i="13"/>
  <c r="AC110" i="13"/>
  <c r="AJ110" i="13" s="1"/>
  <c r="AC109" i="13"/>
  <c r="AC108" i="13"/>
  <c r="AC107" i="13"/>
  <c r="AC106" i="13"/>
  <c r="AC105" i="13"/>
  <c r="AJ104" i="13"/>
  <c r="AC104" i="13"/>
  <c r="L104" i="13"/>
  <c r="AC103" i="13"/>
  <c r="AJ103" i="13" s="1"/>
  <c r="AC102" i="13"/>
  <c r="AJ102" i="13" s="1"/>
  <c r="AC101" i="13"/>
  <c r="AJ101" i="13" s="1"/>
  <c r="AJ100" i="13"/>
  <c r="AC100" i="13"/>
  <c r="AC99" i="13"/>
  <c r="AJ99" i="13" s="1"/>
  <c r="AJ98" i="13"/>
  <c r="AC98" i="13"/>
  <c r="AC97" i="13"/>
  <c r="AJ97" i="13" s="1"/>
  <c r="AJ96" i="13"/>
  <c r="AC96" i="13"/>
  <c r="AC95" i="13"/>
  <c r="AJ95" i="13" s="1"/>
  <c r="AC94" i="13"/>
  <c r="AJ94" i="13" s="1"/>
  <c r="AJ93" i="13"/>
  <c r="AC93" i="13"/>
  <c r="AJ92" i="13"/>
  <c r="AC92" i="13"/>
  <c r="AC91" i="13"/>
  <c r="AJ91" i="13" s="1"/>
  <c r="AC90" i="13"/>
  <c r="AJ90" i="13" s="1"/>
  <c r="AC89" i="13"/>
  <c r="AJ89" i="13" s="1"/>
  <c r="AJ88" i="13"/>
  <c r="AC88" i="13"/>
  <c r="AC87" i="13"/>
  <c r="AJ87" i="13" s="1"/>
  <c r="AC86" i="13"/>
  <c r="AJ86" i="13" s="1"/>
  <c r="AC85" i="13"/>
  <c r="AJ85" i="13" s="1"/>
  <c r="AC84" i="13"/>
  <c r="AJ84" i="13" s="1"/>
  <c r="AC83" i="13"/>
  <c r="AJ83" i="13" s="1"/>
  <c r="AJ82" i="13"/>
  <c r="AC82" i="13"/>
  <c r="AJ81" i="13"/>
  <c r="AC81" i="13"/>
  <c r="AJ80" i="13"/>
  <c r="AC80" i="13"/>
  <c r="AJ79" i="13"/>
  <c r="AC79" i="13"/>
  <c r="AC78" i="13"/>
  <c r="AJ78" i="13" s="1"/>
  <c r="AC77" i="13"/>
  <c r="AJ77" i="13" s="1"/>
  <c r="AJ76" i="13"/>
  <c r="AC76" i="13"/>
  <c r="AC75" i="13"/>
  <c r="AJ75" i="13" s="1"/>
  <c r="AJ74" i="13"/>
  <c r="AC74" i="13"/>
  <c r="AC73" i="13"/>
  <c r="AJ73" i="13" s="1"/>
  <c r="AJ72" i="13"/>
  <c r="AC72" i="13"/>
  <c r="AJ71" i="13"/>
  <c r="AC71" i="13"/>
  <c r="AC70" i="13"/>
  <c r="AJ70" i="13" s="1"/>
  <c r="AC69" i="13"/>
  <c r="AJ69" i="13" s="1"/>
  <c r="AC68" i="13"/>
  <c r="AJ68" i="13" s="1"/>
  <c r="AC67" i="13"/>
  <c r="AJ67" i="13" s="1"/>
  <c r="AJ66" i="13"/>
  <c r="AC66" i="13"/>
  <c r="AJ65" i="13"/>
  <c r="AC65" i="13"/>
  <c r="AJ64" i="13"/>
  <c r="AC64" i="13"/>
  <c r="AC63" i="13"/>
  <c r="AJ62" i="13"/>
  <c r="AC62" i="13"/>
  <c r="AC61" i="13"/>
  <c r="AJ61" i="13" s="1"/>
  <c r="AC60" i="13"/>
  <c r="AJ60" i="13" s="1"/>
  <c r="AJ59" i="13"/>
  <c r="AC59" i="13"/>
  <c r="L58" i="13"/>
  <c r="AC58" i="13" s="1"/>
  <c r="AC57" i="13"/>
  <c r="AJ57" i="13" s="1"/>
  <c r="AJ56" i="13"/>
  <c r="AC56" i="13"/>
  <c r="AC55" i="13"/>
  <c r="AJ55" i="13" s="1"/>
  <c r="AC54" i="13"/>
  <c r="AJ54" i="13" s="1"/>
  <c r="AC52" i="13"/>
  <c r="AC51" i="13"/>
  <c r="AC50" i="13"/>
  <c r="AC49" i="13"/>
  <c r="AC48" i="13"/>
  <c r="AC47" i="13"/>
  <c r="AC46" i="13"/>
  <c r="AC45" i="13"/>
  <c r="AC44" i="13"/>
  <c r="AC43" i="13"/>
  <c r="AJ42" i="13"/>
  <c r="AC42" i="13"/>
  <c r="AC41" i="13"/>
  <c r="AJ41" i="13" s="1"/>
  <c r="AJ40" i="13"/>
  <c r="AC40" i="13"/>
  <c r="AJ39" i="13"/>
  <c r="AC39" i="13"/>
  <c r="AC38" i="13"/>
  <c r="AJ38" i="13" s="1"/>
  <c r="AC37" i="13"/>
  <c r="AJ37" i="13" s="1"/>
  <c r="AC36" i="13"/>
  <c r="O36" i="13"/>
  <c r="AC35" i="13"/>
  <c r="AJ35" i="13" s="1"/>
  <c r="AC34" i="13"/>
  <c r="AJ34" i="13" s="1"/>
  <c r="AJ33" i="13"/>
  <c r="AC33" i="13"/>
  <c r="AC32" i="13"/>
  <c r="AJ32" i="13" s="1"/>
  <c r="AC31" i="13"/>
  <c r="AJ31" i="13" s="1"/>
  <c r="AC30" i="13"/>
  <c r="AJ30" i="13" s="1"/>
  <c r="AJ29" i="13"/>
  <c r="AC29" i="13"/>
  <c r="AJ28" i="13"/>
  <c r="AC28" i="13"/>
  <c r="AJ27" i="13"/>
  <c r="AC27" i="13"/>
  <c r="AJ26" i="13"/>
  <c r="AC26" i="13"/>
  <c r="AC25" i="13"/>
  <c r="AJ25" i="13" s="1"/>
  <c r="AJ24" i="13"/>
  <c r="AC24" i="13"/>
  <c r="AC23" i="13"/>
  <c r="AJ23" i="13" s="1"/>
  <c r="AC22" i="13"/>
  <c r="AJ22" i="13" s="1"/>
  <c r="AC21" i="13"/>
  <c r="AJ21" i="13" s="1"/>
  <c r="AJ20" i="13"/>
  <c r="AC20" i="13"/>
  <c r="AJ19" i="13"/>
  <c r="AC12" i="13"/>
  <c r="A5" i="13"/>
  <c r="G66" i="12"/>
  <c r="F66" i="12"/>
  <c r="L65" i="12"/>
  <c r="K65" i="12"/>
  <c r="J65" i="12"/>
  <c r="I65" i="12"/>
  <c r="H65" i="12"/>
  <c r="G65" i="12"/>
  <c r="F65" i="12"/>
  <c r="E65" i="12"/>
  <c r="D65" i="12"/>
  <c r="C65" i="12"/>
  <c r="B65" i="12"/>
  <c r="S65" i="12" s="1"/>
  <c r="S64" i="12"/>
  <c r="L64" i="12"/>
  <c r="K64" i="12"/>
  <c r="J64" i="12"/>
  <c r="I64" i="12"/>
  <c r="H64" i="12"/>
  <c r="G64" i="12"/>
  <c r="F64" i="12"/>
  <c r="E64" i="12"/>
  <c r="D64" i="12"/>
  <c r="C64" i="12"/>
  <c r="B64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S63" i="12" s="1"/>
  <c r="L62" i="12"/>
  <c r="K62" i="12"/>
  <c r="J62" i="12"/>
  <c r="I62" i="12"/>
  <c r="H62" i="12"/>
  <c r="G62" i="12"/>
  <c r="F62" i="12"/>
  <c r="E62" i="12"/>
  <c r="D62" i="12"/>
  <c r="C62" i="12"/>
  <c r="B62" i="12"/>
  <c r="S62" i="12" s="1"/>
  <c r="S61" i="12"/>
  <c r="Q61" i="12"/>
  <c r="L61" i="12"/>
  <c r="K61" i="12"/>
  <c r="J61" i="12"/>
  <c r="I61" i="12"/>
  <c r="H61" i="12"/>
  <c r="G61" i="12"/>
  <c r="F61" i="12"/>
  <c r="E61" i="12"/>
  <c r="D61" i="12"/>
  <c r="C61" i="12"/>
  <c r="B61" i="12"/>
  <c r="L60" i="12"/>
  <c r="K60" i="12"/>
  <c r="J60" i="12"/>
  <c r="I60" i="12"/>
  <c r="H60" i="12"/>
  <c r="G60" i="12"/>
  <c r="F60" i="12"/>
  <c r="E60" i="12"/>
  <c r="D60" i="12"/>
  <c r="C60" i="12"/>
  <c r="B60" i="12"/>
  <c r="S60" i="12" s="1"/>
  <c r="S59" i="12"/>
  <c r="L59" i="12"/>
  <c r="K59" i="12"/>
  <c r="J59" i="12"/>
  <c r="I59" i="12"/>
  <c r="H59" i="12"/>
  <c r="G59" i="12"/>
  <c r="F59" i="12"/>
  <c r="E59" i="12"/>
  <c r="D59" i="12"/>
  <c r="C59" i="12"/>
  <c r="B59" i="12"/>
  <c r="S58" i="12"/>
  <c r="L58" i="12"/>
  <c r="K58" i="12"/>
  <c r="J58" i="12"/>
  <c r="I58" i="12"/>
  <c r="H58" i="12"/>
  <c r="G58" i="12"/>
  <c r="F58" i="12"/>
  <c r="E58" i="12"/>
  <c r="D58" i="12"/>
  <c r="C58" i="12"/>
  <c r="B58" i="12"/>
  <c r="L57" i="12"/>
  <c r="K57" i="12"/>
  <c r="J57" i="12"/>
  <c r="I57" i="12"/>
  <c r="H57" i="12"/>
  <c r="G57" i="12"/>
  <c r="F57" i="12"/>
  <c r="E57" i="12"/>
  <c r="D57" i="12"/>
  <c r="C57" i="12"/>
  <c r="B57" i="12"/>
  <c r="S57" i="12" s="1"/>
  <c r="S56" i="12"/>
  <c r="L56" i="12"/>
  <c r="K56" i="12"/>
  <c r="J56" i="12"/>
  <c r="I56" i="12"/>
  <c r="H56" i="12"/>
  <c r="G56" i="12"/>
  <c r="F56" i="12"/>
  <c r="E56" i="12"/>
  <c r="D56" i="12"/>
  <c r="C56" i="12"/>
  <c r="B56" i="12"/>
  <c r="L55" i="12"/>
  <c r="K55" i="12"/>
  <c r="J55" i="12"/>
  <c r="I55" i="12"/>
  <c r="H55" i="12"/>
  <c r="G55" i="12"/>
  <c r="F55" i="12"/>
  <c r="E55" i="12"/>
  <c r="D55" i="12"/>
  <c r="C55" i="12"/>
  <c r="B55" i="12"/>
  <c r="S55" i="12" s="1"/>
  <c r="O54" i="12"/>
  <c r="L54" i="12"/>
  <c r="K54" i="12"/>
  <c r="J54" i="12"/>
  <c r="I54" i="12"/>
  <c r="H54" i="12"/>
  <c r="G54" i="12"/>
  <c r="F54" i="12"/>
  <c r="E54" i="12"/>
  <c r="D54" i="12"/>
  <c r="C54" i="12"/>
  <c r="B54" i="12"/>
  <c r="S54" i="12" s="1"/>
  <c r="S53" i="12"/>
  <c r="L53" i="12"/>
  <c r="K53" i="12"/>
  <c r="J53" i="12"/>
  <c r="I53" i="12"/>
  <c r="H53" i="12"/>
  <c r="G53" i="12"/>
  <c r="F53" i="12"/>
  <c r="E53" i="12"/>
  <c r="D53" i="12"/>
  <c r="C53" i="12"/>
  <c r="B53" i="12"/>
  <c r="S52" i="12"/>
  <c r="L52" i="12"/>
  <c r="K52" i="12"/>
  <c r="J52" i="12"/>
  <c r="I52" i="12"/>
  <c r="H52" i="12"/>
  <c r="G52" i="12"/>
  <c r="F52" i="12"/>
  <c r="E52" i="12"/>
  <c r="D52" i="12"/>
  <c r="C52" i="12"/>
  <c r="B52" i="12"/>
  <c r="S51" i="12"/>
  <c r="L51" i="12"/>
  <c r="K51" i="12"/>
  <c r="J51" i="12"/>
  <c r="I51" i="12"/>
  <c r="H51" i="12"/>
  <c r="G51" i="12"/>
  <c r="F51" i="12"/>
  <c r="E51" i="12"/>
  <c r="D51" i="12"/>
  <c r="C51" i="12"/>
  <c r="B51" i="12"/>
  <c r="S50" i="12"/>
  <c r="L50" i="12"/>
  <c r="K50" i="12"/>
  <c r="J50" i="12"/>
  <c r="I50" i="12"/>
  <c r="H50" i="12"/>
  <c r="G50" i="12"/>
  <c r="F50" i="12"/>
  <c r="E50" i="12"/>
  <c r="D50" i="12"/>
  <c r="C50" i="12"/>
  <c r="B50" i="12"/>
  <c r="L49" i="12"/>
  <c r="K49" i="12"/>
  <c r="J49" i="12"/>
  <c r="I49" i="12"/>
  <c r="H49" i="12"/>
  <c r="G49" i="12"/>
  <c r="F49" i="12"/>
  <c r="E49" i="12"/>
  <c r="D49" i="12"/>
  <c r="C49" i="12"/>
  <c r="B49" i="12"/>
  <c r="S49" i="12" s="1"/>
  <c r="S48" i="12"/>
  <c r="L48" i="12"/>
  <c r="K48" i="12"/>
  <c r="J48" i="12"/>
  <c r="I48" i="12"/>
  <c r="H48" i="12"/>
  <c r="G48" i="12"/>
  <c r="F48" i="12"/>
  <c r="E48" i="12"/>
  <c r="D48" i="12"/>
  <c r="C48" i="12"/>
  <c r="B48" i="12"/>
  <c r="L47" i="12"/>
  <c r="K47" i="12"/>
  <c r="J47" i="12"/>
  <c r="I47" i="12"/>
  <c r="H47" i="12"/>
  <c r="G47" i="12"/>
  <c r="F47" i="12"/>
  <c r="E47" i="12"/>
  <c r="D47" i="12"/>
  <c r="C47" i="12"/>
  <c r="B47" i="12"/>
  <c r="S47" i="12" s="1"/>
  <c r="L46" i="12"/>
  <c r="K46" i="12"/>
  <c r="J46" i="12"/>
  <c r="I46" i="12"/>
  <c r="H46" i="12"/>
  <c r="G46" i="12"/>
  <c r="F46" i="12"/>
  <c r="E46" i="12"/>
  <c r="D46" i="12"/>
  <c r="C46" i="12"/>
  <c r="B46" i="12"/>
  <c r="S46" i="12" s="1"/>
  <c r="S45" i="12"/>
  <c r="L45" i="12"/>
  <c r="K45" i="12"/>
  <c r="J45" i="12"/>
  <c r="I45" i="12"/>
  <c r="H45" i="12"/>
  <c r="G45" i="12"/>
  <c r="F45" i="12"/>
  <c r="E45" i="12"/>
  <c r="D45" i="12"/>
  <c r="C45" i="12"/>
  <c r="B45" i="12"/>
  <c r="L44" i="12"/>
  <c r="K44" i="12"/>
  <c r="J44" i="12"/>
  <c r="I44" i="12"/>
  <c r="H44" i="12"/>
  <c r="G44" i="12"/>
  <c r="F44" i="12"/>
  <c r="E44" i="12"/>
  <c r="D44" i="12"/>
  <c r="C44" i="12"/>
  <c r="B44" i="12"/>
  <c r="S44" i="12" s="1"/>
  <c r="S43" i="12"/>
  <c r="L43" i="12"/>
  <c r="K43" i="12"/>
  <c r="J43" i="12"/>
  <c r="I43" i="12"/>
  <c r="H43" i="12"/>
  <c r="G43" i="12"/>
  <c r="F43" i="12"/>
  <c r="E43" i="12"/>
  <c r="D43" i="12"/>
  <c r="C43" i="12"/>
  <c r="B43" i="12"/>
  <c r="S42" i="12"/>
  <c r="L42" i="12"/>
  <c r="K42" i="12"/>
  <c r="J42" i="12"/>
  <c r="I42" i="12"/>
  <c r="H42" i="12"/>
  <c r="G42" i="12"/>
  <c r="F42" i="12"/>
  <c r="E42" i="12"/>
  <c r="D42" i="12"/>
  <c r="C42" i="12"/>
  <c r="B42" i="12"/>
  <c r="L41" i="12"/>
  <c r="K41" i="12"/>
  <c r="J41" i="12"/>
  <c r="I41" i="12"/>
  <c r="H41" i="12"/>
  <c r="G41" i="12"/>
  <c r="F41" i="12"/>
  <c r="E41" i="12"/>
  <c r="D41" i="12"/>
  <c r="C41" i="12"/>
  <c r="B41" i="12"/>
  <c r="S41" i="12" s="1"/>
  <c r="S40" i="12"/>
  <c r="L40" i="12"/>
  <c r="K40" i="12"/>
  <c r="J40" i="12"/>
  <c r="I40" i="12"/>
  <c r="H40" i="12"/>
  <c r="G40" i="12"/>
  <c r="F40" i="12"/>
  <c r="E40" i="12"/>
  <c r="D40" i="12"/>
  <c r="C40" i="12"/>
  <c r="B40" i="12"/>
  <c r="L39" i="12"/>
  <c r="K39" i="12"/>
  <c r="J39" i="12"/>
  <c r="I39" i="12"/>
  <c r="H39" i="12"/>
  <c r="G39" i="12"/>
  <c r="F39" i="12"/>
  <c r="E39" i="12"/>
  <c r="D39" i="12"/>
  <c r="C39" i="12"/>
  <c r="B39" i="12"/>
  <c r="S39" i="12" s="1"/>
  <c r="L38" i="12"/>
  <c r="K38" i="12"/>
  <c r="J38" i="12"/>
  <c r="I38" i="12"/>
  <c r="H38" i="12"/>
  <c r="G38" i="12"/>
  <c r="F38" i="12"/>
  <c r="E38" i="12"/>
  <c r="D38" i="12"/>
  <c r="C38" i="12"/>
  <c r="B38" i="12"/>
  <c r="S38" i="12" s="1"/>
  <c r="S37" i="12"/>
  <c r="L37" i="12"/>
  <c r="K37" i="12"/>
  <c r="J37" i="12"/>
  <c r="I37" i="12"/>
  <c r="H37" i="12"/>
  <c r="G37" i="12"/>
  <c r="F37" i="12"/>
  <c r="E37" i="12"/>
  <c r="D37" i="12"/>
  <c r="C37" i="12"/>
  <c r="B37" i="12"/>
  <c r="S36" i="12"/>
  <c r="L36" i="12"/>
  <c r="K36" i="12"/>
  <c r="J36" i="12"/>
  <c r="I36" i="12"/>
  <c r="H36" i="12"/>
  <c r="G36" i="12"/>
  <c r="F36" i="12"/>
  <c r="E36" i="12"/>
  <c r="D36" i="12"/>
  <c r="C36" i="12"/>
  <c r="B36" i="12"/>
  <c r="S35" i="12"/>
  <c r="L35" i="12"/>
  <c r="K35" i="12"/>
  <c r="J35" i="12"/>
  <c r="I35" i="12"/>
  <c r="H35" i="12"/>
  <c r="G35" i="12"/>
  <c r="F35" i="12"/>
  <c r="E35" i="12"/>
  <c r="D35" i="12"/>
  <c r="C35" i="12"/>
  <c r="B35" i="12"/>
  <c r="S34" i="12"/>
  <c r="L34" i="12"/>
  <c r="K34" i="12"/>
  <c r="J34" i="12"/>
  <c r="I34" i="12"/>
  <c r="H34" i="12"/>
  <c r="G34" i="12"/>
  <c r="F34" i="12"/>
  <c r="E34" i="12"/>
  <c r="D34" i="12"/>
  <c r="C34" i="12"/>
  <c r="B34" i="12"/>
  <c r="L33" i="12"/>
  <c r="K33" i="12"/>
  <c r="J33" i="12"/>
  <c r="I33" i="12"/>
  <c r="H33" i="12"/>
  <c r="G33" i="12"/>
  <c r="F33" i="12"/>
  <c r="E33" i="12"/>
  <c r="D33" i="12"/>
  <c r="C33" i="12"/>
  <c r="B33" i="12"/>
  <c r="S33" i="12" s="1"/>
  <c r="S32" i="12"/>
  <c r="L32" i="12"/>
  <c r="K32" i="12"/>
  <c r="J32" i="12"/>
  <c r="I32" i="12"/>
  <c r="H32" i="12"/>
  <c r="G32" i="12"/>
  <c r="F32" i="12"/>
  <c r="E32" i="12"/>
  <c r="D32" i="12"/>
  <c r="C32" i="12"/>
  <c r="B32" i="12"/>
  <c r="L31" i="12"/>
  <c r="K31" i="12"/>
  <c r="J31" i="12"/>
  <c r="I31" i="12"/>
  <c r="H31" i="12"/>
  <c r="G31" i="12"/>
  <c r="F31" i="12"/>
  <c r="E31" i="12"/>
  <c r="D31" i="12"/>
  <c r="C31" i="12"/>
  <c r="B31" i="12"/>
  <c r="S31" i="12" s="1"/>
  <c r="L30" i="12"/>
  <c r="K30" i="12"/>
  <c r="J30" i="12"/>
  <c r="I30" i="12"/>
  <c r="H30" i="12"/>
  <c r="G30" i="12"/>
  <c r="F30" i="12"/>
  <c r="E30" i="12"/>
  <c r="D30" i="12"/>
  <c r="C30" i="12"/>
  <c r="B30" i="12"/>
  <c r="S30" i="12" s="1"/>
  <c r="S29" i="12"/>
  <c r="L29" i="12"/>
  <c r="K29" i="12"/>
  <c r="J29" i="12"/>
  <c r="I29" i="12"/>
  <c r="H29" i="12"/>
  <c r="G29" i="12"/>
  <c r="F29" i="12"/>
  <c r="E29" i="12"/>
  <c r="D29" i="12"/>
  <c r="C29" i="12"/>
  <c r="B29" i="12"/>
  <c r="S28" i="12"/>
  <c r="R28" i="12"/>
  <c r="L28" i="12"/>
  <c r="K28" i="12"/>
  <c r="J28" i="12"/>
  <c r="I28" i="12"/>
  <c r="H28" i="12"/>
  <c r="G28" i="12"/>
  <c r="F28" i="12"/>
  <c r="E28" i="12"/>
  <c r="D28" i="12"/>
  <c r="C28" i="12"/>
  <c r="B28" i="12"/>
  <c r="S27" i="12"/>
  <c r="L27" i="12"/>
  <c r="K27" i="12"/>
  <c r="J27" i="12"/>
  <c r="I27" i="12"/>
  <c r="H27" i="12"/>
  <c r="G27" i="12"/>
  <c r="F27" i="12"/>
  <c r="E27" i="12"/>
  <c r="D27" i="12"/>
  <c r="C27" i="12"/>
  <c r="B27" i="12"/>
  <c r="S26" i="12"/>
  <c r="L26" i="12"/>
  <c r="K26" i="12"/>
  <c r="J26" i="12"/>
  <c r="I26" i="12"/>
  <c r="H26" i="12"/>
  <c r="G26" i="12"/>
  <c r="F26" i="12"/>
  <c r="E26" i="12"/>
  <c r="D26" i="12"/>
  <c r="C26" i="12"/>
  <c r="B26" i="12"/>
  <c r="S25" i="12"/>
  <c r="L25" i="12"/>
  <c r="K25" i="12"/>
  <c r="J25" i="12"/>
  <c r="I25" i="12"/>
  <c r="H25" i="12"/>
  <c r="G25" i="12"/>
  <c r="F25" i="12"/>
  <c r="E25" i="12"/>
  <c r="D25" i="12"/>
  <c r="C25" i="12"/>
  <c r="B25" i="12"/>
  <c r="S24" i="12"/>
  <c r="L24" i="12"/>
  <c r="K24" i="12"/>
  <c r="J24" i="12"/>
  <c r="I24" i="12"/>
  <c r="H24" i="12"/>
  <c r="G24" i="12"/>
  <c r="F24" i="12"/>
  <c r="E24" i="12"/>
  <c r="D24" i="12"/>
  <c r="C24" i="12"/>
  <c r="B24" i="12"/>
  <c r="L23" i="12"/>
  <c r="K23" i="12"/>
  <c r="J23" i="12"/>
  <c r="I23" i="12"/>
  <c r="H23" i="12"/>
  <c r="G23" i="12"/>
  <c r="F23" i="12"/>
  <c r="E23" i="12"/>
  <c r="D23" i="12"/>
  <c r="C23" i="12"/>
  <c r="B23" i="12"/>
  <c r="S23" i="12" s="1"/>
  <c r="L22" i="12"/>
  <c r="K22" i="12"/>
  <c r="J22" i="12"/>
  <c r="I22" i="12"/>
  <c r="H22" i="12"/>
  <c r="G22" i="12"/>
  <c r="F22" i="12"/>
  <c r="E22" i="12"/>
  <c r="D22" i="12"/>
  <c r="C22" i="12"/>
  <c r="B22" i="12"/>
  <c r="S22" i="12" s="1"/>
  <c r="S21" i="12"/>
  <c r="L21" i="12"/>
  <c r="K21" i="12"/>
  <c r="J21" i="12"/>
  <c r="I21" i="12"/>
  <c r="H21" i="12"/>
  <c r="G21" i="12"/>
  <c r="F21" i="12"/>
  <c r="E21" i="12"/>
  <c r="D21" i="12"/>
  <c r="C21" i="12"/>
  <c r="B21" i="12"/>
  <c r="L20" i="12"/>
  <c r="K20" i="12"/>
  <c r="J20" i="12"/>
  <c r="I20" i="12"/>
  <c r="H20" i="12"/>
  <c r="G20" i="12"/>
  <c r="F20" i="12"/>
  <c r="E20" i="12"/>
  <c r="D20" i="12"/>
  <c r="C20" i="12"/>
  <c r="B20" i="12"/>
  <c r="S20" i="12" s="1"/>
  <c r="S19" i="12"/>
  <c r="L19" i="12"/>
  <c r="K19" i="12"/>
  <c r="J19" i="12"/>
  <c r="I19" i="12"/>
  <c r="H19" i="12"/>
  <c r="G19" i="12"/>
  <c r="F19" i="12"/>
  <c r="E19" i="12"/>
  <c r="D19" i="12"/>
  <c r="C19" i="12"/>
  <c r="B19" i="12"/>
  <c r="S18" i="12"/>
  <c r="L18" i="12"/>
  <c r="K18" i="12"/>
  <c r="J18" i="12"/>
  <c r="I18" i="12"/>
  <c r="H18" i="12"/>
  <c r="G18" i="12"/>
  <c r="F18" i="12"/>
  <c r="E18" i="12"/>
  <c r="D18" i="12"/>
  <c r="C18" i="12"/>
  <c r="B18" i="12"/>
  <c r="S17" i="12"/>
  <c r="L17" i="12"/>
  <c r="K17" i="12"/>
  <c r="J17" i="12"/>
  <c r="I17" i="12"/>
  <c r="H17" i="12"/>
  <c r="G17" i="12"/>
  <c r="F17" i="12"/>
  <c r="E17" i="12"/>
  <c r="D17" i="12"/>
  <c r="C17" i="12"/>
  <c r="B17" i="12"/>
  <c r="S16" i="12"/>
  <c r="L16" i="12"/>
  <c r="K16" i="12"/>
  <c r="J16" i="12"/>
  <c r="I16" i="12"/>
  <c r="H16" i="12"/>
  <c r="G16" i="12"/>
  <c r="F16" i="12"/>
  <c r="E16" i="12"/>
  <c r="D16" i="12"/>
  <c r="C16" i="12"/>
  <c r="B16" i="12"/>
  <c r="L15" i="12"/>
  <c r="K15" i="12"/>
  <c r="J15" i="12"/>
  <c r="I15" i="12"/>
  <c r="H15" i="12"/>
  <c r="G15" i="12"/>
  <c r="F15" i="12"/>
  <c r="E15" i="12"/>
  <c r="D15" i="12"/>
  <c r="C15" i="12"/>
  <c r="B15" i="12"/>
  <c r="S15" i="12" s="1"/>
  <c r="L14" i="12"/>
  <c r="K14" i="12"/>
  <c r="J14" i="12"/>
  <c r="I14" i="12"/>
  <c r="H14" i="12"/>
  <c r="G14" i="12"/>
  <c r="F14" i="12"/>
  <c r="E14" i="12"/>
  <c r="D14" i="12"/>
  <c r="C14" i="12"/>
  <c r="B14" i="12"/>
  <c r="S14" i="12" s="1"/>
  <c r="S13" i="12"/>
  <c r="Q13" i="12"/>
  <c r="L13" i="12"/>
  <c r="K13" i="12"/>
  <c r="J13" i="12"/>
  <c r="I13" i="12"/>
  <c r="H13" i="12"/>
  <c r="G13" i="12"/>
  <c r="F13" i="12"/>
  <c r="E13" i="12"/>
  <c r="D13" i="12"/>
  <c r="C13" i="12"/>
  <c r="B13" i="12"/>
  <c r="S12" i="12"/>
  <c r="R12" i="12"/>
  <c r="Q12" i="12"/>
  <c r="L12" i="12"/>
  <c r="K12" i="12"/>
  <c r="J12" i="12"/>
  <c r="I12" i="12"/>
  <c r="H12" i="12"/>
  <c r="G12" i="12"/>
  <c r="F12" i="12"/>
  <c r="E12" i="12"/>
  <c r="D12" i="12"/>
  <c r="C12" i="12"/>
  <c r="B12" i="12"/>
  <c r="S11" i="12"/>
  <c r="L11" i="12"/>
  <c r="K11" i="12"/>
  <c r="J11" i="12"/>
  <c r="I11" i="12"/>
  <c r="H11" i="12"/>
  <c r="G11" i="12"/>
  <c r="F11" i="12"/>
  <c r="E11" i="12"/>
  <c r="D11" i="12"/>
  <c r="C11" i="12"/>
  <c r="B11" i="12"/>
  <c r="S10" i="12"/>
  <c r="L10" i="12"/>
  <c r="K10" i="12"/>
  <c r="J10" i="12"/>
  <c r="I10" i="12"/>
  <c r="H10" i="12"/>
  <c r="G10" i="12"/>
  <c r="F10" i="12"/>
  <c r="E10" i="12"/>
  <c r="D10" i="12"/>
  <c r="C10" i="12"/>
  <c r="B10" i="12"/>
  <c r="S9" i="12"/>
  <c r="L9" i="12"/>
  <c r="K9" i="12"/>
  <c r="J9" i="12"/>
  <c r="I9" i="12"/>
  <c r="H9" i="12"/>
  <c r="G9" i="12"/>
  <c r="F9" i="12"/>
  <c r="E9" i="12"/>
  <c r="D9" i="12"/>
  <c r="C9" i="12"/>
  <c r="B9" i="12"/>
  <c r="L8" i="12"/>
  <c r="K8" i="12"/>
  <c r="J8" i="12"/>
  <c r="I8" i="12"/>
  <c r="H8" i="12"/>
  <c r="G8" i="12"/>
  <c r="F8" i="12"/>
  <c r="E8" i="12"/>
  <c r="D8" i="12"/>
  <c r="C8" i="12"/>
  <c r="B8" i="12"/>
  <c r="S8" i="12" s="1"/>
  <c r="L7" i="12"/>
  <c r="K7" i="12"/>
  <c r="J7" i="12"/>
  <c r="I7" i="12"/>
  <c r="H7" i="12"/>
  <c r="G7" i="12"/>
  <c r="F7" i="12"/>
  <c r="E7" i="12"/>
  <c r="D7" i="12"/>
  <c r="C7" i="12"/>
  <c r="B7" i="12"/>
  <c r="S7" i="12" s="1"/>
  <c r="L6" i="12"/>
  <c r="K6" i="12"/>
  <c r="J6" i="12"/>
  <c r="I6" i="12"/>
  <c r="H6" i="12"/>
  <c r="G6" i="12"/>
  <c r="F6" i="12"/>
  <c r="E6" i="12"/>
  <c r="D6" i="12"/>
  <c r="C6" i="12"/>
  <c r="B6" i="12"/>
  <c r="S6" i="12" s="1"/>
  <c r="S5" i="12"/>
  <c r="L5" i="12"/>
  <c r="K5" i="12"/>
  <c r="J5" i="12"/>
  <c r="I5" i="12"/>
  <c r="H5" i="12"/>
  <c r="G5" i="12"/>
  <c r="F5" i="12"/>
  <c r="E5" i="12"/>
  <c r="D5" i="12"/>
  <c r="C5" i="12"/>
  <c r="B5" i="12"/>
  <c r="L4" i="12"/>
  <c r="K4" i="12"/>
  <c r="J4" i="12"/>
  <c r="I4" i="12"/>
  <c r="H4" i="12"/>
  <c r="G4" i="12"/>
  <c r="F4" i="12"/>
  <c r="E4" i="12"/>
  <c r="D4" i="12"/>
  <c r="C4" i="12"/>
  <c r="B4" i="12"/>
  <c r="S4" i="12" s="1"/>
  <c r="S3" i="12"/>
  <c r="L3" i="12"/>
  <c r="L66" i="12" s="1"/>
  <c r="K3" i="12"/>
  <c r="K66" i="12" s="1"/>
  <c r="J3" i="12"/>
  <c r="J66" i="12" s="1"/>
  <c r="I3" i="12"/>
  <c r="I66" i="12" s="1"/>
  <c r="H3" i="12"/>
  <c r="H66" i="12" s="1"/>
  <c r="G3" i="12"/>
  <c r="F3" i="12"/>
  <c r="E3" i="12"/>
  <c r="E66" i="12" s="1"/>
  <c r="D3" i="12"/>
  <c r="D66" i="12" s="1"/>
  <c r="C3" i="12"/>
  <c r="C66" i="12" s="1"/>
  <c r="B3" i="12"/>
  <c r="B66" i="12" s="1"/>
  <c r="S66" i="12" s="1"/>
  <c r="BL447" i="11"/>
  <c r="BL446" i="11"/>
  <c r="BL445" i="11"/>
  <c r="BL444" i="11"/>
  <c r="BL443" i="11"/>
  <c r="BL442" i="11"/>
  <c r="BL441" i="11"/>
  <c r="BL440" i="11"/>
  <c r="BL439" i="11"/>
  <c r="BL438" i="11"/>
  <c r="BL437" i="11"/>
  <c r="BL436" i="11"/>
  <c r="BL435" i="11"/>
  <c r="BL434" i="11"/>
  <c r="BL433" i="11"/>
  <c r="BL432" i="11"/>
  <c r="BL431" i="11"/>
  <c r="BL430" i="11"/>
  <c r="BL429" i="11"/>
  <c r="BL428" i="11"/>
  <c r="BL427" i="11"/>
  <c r="BL426" i="11"/>
  <c r="BL425" i="11"/>
  <c r="BL424" i="11"/>
  <c r="BL423" i="11"/>
  <c r="BL422" i="11"/>
  <c r="BL421" i="11"/>
  <c r="BL420" i="11"/>
  <c r="BL419" i="11"/>
  <c r="BL418" i="11"/>
  <c r="BL417" i="11"/>
  <c r="BL416" i="11"/>
  <c r="BL415" i="11"/>
  <c r="BL414" i="11"/>
  <c r="BL413" i="11"/>
  <c r="BL412" i="11"/>
  <c r="BL411" i="11"/>
  <c r="BL410" i="11"/>
  <c r="BL409" i="11"/>
  <c r="BL408" i="11"/>
  <c r="BL407" i="11"/>
  <c r="BL406" i="11"/>
  <c r="BL405" i="11"/>
  <c r="BL404" i="11"/>
  <c r="BL403" i="11"/>
  <c r="BL402" i="11"/>
  <c r="BL401" i="11"/>
  <c r="BL400" i="11"/>
  <c r="BL399" i="11"/>
  <c r="BL398" i="11"/>
  <c r="BL397" i="11"/>
  <c r="BL396" i="11"/>
  <c r="BL395" i="11"/>
  <c r="BL394" i="11"/>
  <c r="BL393" i="11"/>
  <c r="BL392" i="11"/>
  <c r="BL391" i="11"/>
  <c r="BL390" i="11"/>
  <c r="BL389" i="11"/>
  <c r="BL388" i="11"/>
  <c r="BL387" i="11"/>
  <c r="BL386" i="11"/>
  <c r="BL385" i="11"/>
  <c r="BL384" i="11"/>
  <c r="BL383" i="11"/>
  <c r="BL382" i="11"/>
  <c r="BL381" i="11"/>
  <c r="BL380" i="11"/>
  <c r="BL379" i="11"/>
  <c r="BL378" i="11"/>
  <c r="BL377" i="11"/>
  <c r="BL376" i="11"/>
  <c r="BL375" i="11"/>
  <c r="BL374" i="11"/>
  <c r="BL373" i="11"/>
  <c r="BL372" i="11"/>
  <c r="BL371" i="11"/>
  <c r="BL370" i="11"/>
  <c r="BL369" i="11"/>
  <c r="BL368" i="11"/>
  <c r="BL367" i="11"/>
  <c r="BL366" i="11"/>
  <c r="BL365" i="11"/>
  <c r="BL364" i="11"/>
  <c r="BL363" i="11"/>
  <c r="BL362" i="11"/>
  <c r="BL361" i="11"/>
  <c r="BL360" i="11"/>
  <c r="BL359" i="11"/>
  <c r="BL358" i="11"/>
  <c r="BL357" i="11"/>
  <c r="BL356" i="11"/>
  <c r="BL355" i="11"/>
  <c r="BL354" i="11"/>
  <c r="BL353" i="11"/>
  <c r="BL352" i="11"/>
  <c r="BL351" i="11"/>
  <c r="BL350" i="11"/>
  <c r="BL349" i="11"/>
  <c r="BL348" i="11"/>
  <c r="BL347" i="11"/>
  <c r="BL346" i="11"/>
  <c r="BL345" i="11"/>
  <c r="BL344" i="11"/>
  <c r="BL343" i="11"/>
  <c r="BL342" i="11"/>
  <c r="BL341" i="11"/>
  <c r="BL340" i="11"/>
  <c r="BL339" i="11"/>
  <c r="BL338" i="11"/>
  <c r="BL337" i="11"/>
  <c r="BL336" i="11"/>
  <c r="BL335" i="11"/>
  <c r="BL334" i="11"/>
  <c r="BL333" i="11"/>
  <c r="BL332" i="11"/>
  <c r="BL331" i="11"/>
  <c r="BL330" i="11"/>
  <c r="BL329" i="11"/>
  <c r="BL328" i="11"/>
  <c r="BL327" i="11"/>
  <c r="BL326" i="11"/>
  <c r="BL325" i="11"/>
  <c r="BL324" i="11"/>
  <c r="BL323" i="11"/>
  <c r="BL322" i="11"/>
  <c r="BL321" i="11"/>
  <c r="BL320" i="11"/>
  <c r="BL319" i="11"/>
  <c r="BL318" i="11"/>
  <c r="BL317" i="11"/>
  <c r="BL316" i="11"/>
  <c r="BL315" i="11"/>
  <c r="BL314" i="11"/>
  <c r="BL313" i="11"/>
  <c r="BL312" i="11"/>
  <c r="BL311" i="11"/>
  <c r="BL310" i="11"/>
  <c r="BL309" i="11"/>
  <c r="BL308" i="11"/>
  <c r="BL307" i="11"/>
  <c r="BL306" i="11"/>
  <c r="BL305" i="11"/>
  <c r="BL304" i="11"/>
  <c r="BL303" i="11"/>
  <c r="BL302" i="11"/>
  <c r="BL301" i="11"/>
  <c r="BL300" i="11"/>
  <c r="BL299" i="11"/>
  <c r="BL298" i="11"/>
  <c r="BL297" i="11"/>
  <c r="BL296" i="11"/>
  <c r="BL295" i="11"/>
  <c r="BL294" i="11"/>
  <c r="BL293" i="11"/>
  <c r="BL292" i="11"/>
  <c r="BL291" i="11"/>
  <c r="BL290" i="11"/>
  <c r="BL289" i="11"/>
  <c r="BL288" i="11"/>
  <c r="BL287" i="11"/>
  <c r="BL286" i="11"/>
  <c r="BL285" i="11"/>
  <c r="BL284" i="11"/>
  <c r="BL283" i="11"/>
  <c r="BL282" i="11"/>
  <c r="BL281" i="11"/>
  <c r="BL280" i="11"/>
  <c r="BL279" i="11"/>
  <c r="BL278" i="11"/>
  <c r="BL277" i="11"/>
  <c r="BL276" i="11"/>
  <c r="BL275" i="11"/>
  <c r="BL274" i="11"/>
  <c r="BL273" i="11"/>
  <c r="BL272" i="11"/>
  <c r="BL271" i="11"/>
  <c r="BL270" i="11"/>
  <c r="BL269" i="11"/>
  <c r="BL268" i="11"/>
  <c r="BL267" i="11"/>
  <c r="BL266" i="11"/>
  <c r="BL265" i="11"/>
  <c r="BL264" i="11"/>
  <c r="BL263" i="11"/>
  <c r="BL262" i="11"/>
  <c r="BL261" i="11"/>
  <c r="BL260" i="11"/>
  <c r="BL259" i="11"/>
  <c r="BL258" i="11"/>
  <c r="BL257" i="11"/>
  <c r="BL256" i="11"/>
  <c r="BL255" i="11"/>
  <c r="BL254" i="11"/>
  <c r="BL253" i="11"/>
  <c r="BL252" i="11"/>
  <c r="BL251" i="11"/>
  <c r="BL250" i="11"/>
  <c r="BL249" i="11"/>
  <c r="BL248" i="11"/>
  <c r="BL247" i="11"/>
  <c r="BL246" i="11"/>
  <c r="BL245" i="11"/>
  <c r="BL244" i="11"/>
  <c r="BL243" i="11"/>
  <c r="BL242" i="11"/>
  <c r="BL241" i="11"/>
  <c r="BL240" i="11"/>
  <c r="BL239" i="11"/>
  <c r="BL238" i="11"/>
  <c r="BL237" i="11"/>
  <c r="BL236" i="11"/>
  <c r="BL235" i="11"/>
  <c r="BL234" i="11"/>
  <c r="BL233" i="11"/>
  <c r="BL232" i="11"/>
  <c r="BL231" i="11"/>
  <c r="BL230" i="11"/>
  <c r="BL229" i="11"/>
  <c r="BL228" i="11"/>
  <c r="BL227" i="11"/>
  <c r="BL226" i="11"/>
  <c r="BL225" i="11"/>
  <c r="BL224" i="11"/>
  <c r="BL223" i="11"/>
  <c r="BL222" i="11"/>
  <c r="BL221" i="11"/>
  <c r="BL220" i="11"/>
  <c r="BL219" i="11"/>
  <c r="BL218" i="11"/>
  <c r="BL217" i="11"/>
  <c r="BL216" i="11"/>
  <c r="BL215" i="11"/>
  <c r="BL214" i="11"/>
  <c r="BL213" i="11"/>
  <c r="BL212" i="11"/>
  <c r="BL211" i="11"/>
  <c r="BL210" i="11"/>
  <c r="BL209" i="11"/>
  <c r="BL208" i="11"/>
  <c r="BL207" i="11"/>
  <c r="BL206" i="11"/>
  <c r="BL205" i="11"/>
  <c r="BL204" i="11"/>
  <c r="BL203" i="11"/>
  <c r="BL202" i="11"/>
  <c r="BL201" i="11"/>
  <c r="BL200" i="11"/>
  <c r="BL199" i="11"/>
  <c r="BL198" i="11"/>
  <c r="BL197" i="11"/>
  <c r="BL196" i="11"/>
  <c r="BL195" i="11"/>
  <c r="BL194" i="11"/>
  <c r="BL193" i="11"/>
  <c r="BL192" i="11"/>
  <c r="BL191" i="11"/>
  <c r="BL190" i="11"/>
  <c r="BL189" i="11"/>
  <c r="BL188" i="11"/>
  <c r="BL187" i="11"/>
  <c r="BL186" i="11"/>
  <c r="BL185" i="11"/>
  <c r="BL184" i="11"/>
  <c r="BL183" i="11"/>
  <c r="BL182" i="11"/>
  <c r="BL181" i="11"/>
  <c r="BL180" i="11"/>
  <c r="BL179" i="11"/>
  <c r="BL178" i="11"/>
  <c r="BL177" i="11"/>
  <c r="BL176" i="11"/>
  <c r="BL175" i="11"/>
  <c r="BL174" i="11"/>
  <c r="BL173" i="11"/>
  <c r="BL172" i="11"/>
  <c r="BL171" i="11"/>
  <c r="BL170" i="11"/>
  <c r="BL169" i="11"/>
  <c r="BL168" i="11"/>
  <c r="BL167" i="11"/>
  <c r="BL166" i="11"/>
  <c r="BL165" i="11"/>
  <c r="BL164" i="11"/>
  <c r="BL163" i="11"/>
  <c r="BL162" i="11"/>
  <c r="BL161" i="11"/>
  <c r="BL160" i="11"/>
  <c r="BL159" i="11"/>
  <c r="BL158" i="11"/>
  <c r="BL157" i="11"/>
  <c r="BL156" i="11"/>
  <c r="BL155" i="11"/>
  <c r="BL154" i="11"/>
  <c r="BL153" i="11"/>
  <c r="BL152" i="11"/>
  <c r="BL151" i="11"/>
  <c r="BL150" i="11"/>
  <c r="BL149" i="11"/>
  <c r="BL148" i="11"/>
  <c r="BL147" i="11"/>
  <c r="BL146" i="11"/>
  <c r="BL145" i="11"/>
  <c r="BL144" i="11"/>
  <c r="BL143" i="11"/>
  <c r="BL142" i="11"/>
  <c r="BL141" i="11"/>
  <c r="BL140" i="11"/>
  <c r="BL139" i="11"/>
  <c r="BL138" i="11"/>
  <c r="BL137" i="11"/>
  <c r="BL136" i="11"/>
  <c r="BL135" i="11"/>
  <c r="BL134" i="11"/>
  <c r="BL133" i="11"/>
  <c r="BL132" i="11"/>
  <c r="BL131" i="11"/>
  <c r="BL130" i="11"/>
  <c r="BL129" i="11"/>
  <c r="BL128" i="11"/>
  <c r="BL127" i="11"/>
  <c r="BL126" i="11"/>
  <c r="BL125" i="11"/>
  <c r="BL124" i="11"/>
  <c r="BL123" i="11"/>
  <c r="BL122" i="11"/>
  <c r="BL121" i="11"/>
  <c r="BL120" i="11"/>
  <c r="BL119" i="11"/>
  <c r="BL118" i="11"/>
  <c r="BL117" i="11"/>
  <c r="BL116" i="11"/>
  <c r="BL115" i="11"/>
  <c r="BL114" i="11"/>
  <c r="BL113" i="11"/>
  <c r="BL112" i="11"/>
  <c r="BL111" i="11"/>
  <c r="BL110" i="11"/>
  <c r="BL109" i="11"/>
  <c r="BL108" i="11"/>
  <c r="BL107" i="11"/>
  <c r="BL106" i="11"/>
  <c r="BL105" i="11"/>
  <c r="BL104" i="11"/>
  <c r="BL103" i="11"/>
  <c r="BL102" i="11"/>
  <c r="BL101" i="11"/>
  <c r="BL100" i="11"/>
  <c r="BL99" i="11"/>
  <c r="BL98" i="11"/>
  <c r="BL97" i="11"/>
  <c r="BL96" i="11"/>
  <c r="BL95" i="11"/>
  <c r="BL94" i="11"/>
  <c r="BL93" i="11"/>
  <c r="BL92" i="11"/>
  <c r="BL91" i="11"/>
  <c r="BL90" i="11"/>
  <c r="BL89" i="11"/>
  <c r="BL88" i="11"/>
  <c r="BL87" i="11"/>
  <c r="BL86" i="11"/>
  <c r="BL85" i="11"/>
  <c r="BL84" i="11"/>
  <c r="BL83" i="11"/>
  <c r="BL82" i="11"/>
  <c r="BL81" i="11"/>
  <c r="BL80" i="11"/>
  <c r="BL79" i="11"/>
  <c r="BL78" i="11"/>
  <c r="BL77" i="11"/>
  <c r="BL76" i="11"/>
  <c r="BL75" i="11"/>
  <c r="BL74" i="11"/>
  <c r="BL73" i="11"/>
  <c r="BL72" i="11"/>
  <c r="BL71" i="11"/>
  <c r="BL70" i="11"/>
  <c r="BL69" i="11"/>
  <c r="BL68" i="11"/>
  <c r="BL67" i="11"/>
  <c r="BL66" i="11"/>
  <c r="BL65" i="11"/>
  <c r="BL64" i="11"/>
  <c r="BL63" i="11"/>
  <c r="BL62" i="11"/>
  <c r="BL61" i="11"/>
  <c r="BL60" i="11"/>
  <c r="BL59" i="11"/>
  <c r="BL58" i="11"/>
  <c r="BL57" i="11"/>
  <c r="BL56" i="11"/>
  <c r="BL55" i="11"/>
  <c r="BL54" i="11"/>
  <c r="BL53" i="11"/>
  <c r="BL52" i="11"/>
  <c r="BL51" i="11"/>
  <c r="BL50" i="11"/>
  <c r="BL49" i="11"/>
  <c r="BL48" i="11"/>
  <c r="BL47" i="11"/>
  <c r="BL46" i="11"/>
  <c r="BL45" i="11"/>
  <c r="BL44" i="11"/>
  <c r="BL43" i="11"/>
  <c r="BL42" i="11"/>
  <c r="BL41" i="11"/>
  <c r="BL40" i="11"/>
  <c r="BL39" i="11"/>
  <c r="BL38" i="11"/>
  <c r="BL37" i="11"/>
  <c r="BL36" i="11"/>
  <c r="BL35" i="11"/>
  <c r="BL34" i="11"/>
  <c r="BL33" i="11"/>
  <c r="BL32" i="11"/>
  <c r="BL31" i="11"/>
  <c r="BL30" i="11"/>
  <c r="BL29" i="11"/>
  <c r="BL28" i="11"/>
  <c r="BL27" i="11"/>
  <c r="BL26" i="11"/>
  <c r="BL25" i="11"/>
  <c r="BL24" i="11"/>
  <c r="BL23" i="11"/>
  <c r="BL22" i="11"/>
  <c r="BL21" i="11"/>
  <c r="BL20" i="11"/>
  <c r="BL12" i="11"/>
  <c r="A5" i="11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R11" i="10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R11" i="9"/>
  <c r="D511" i="8"/>
  <c r="Q64" i="12" s="1"/>
  <c r="D509" i="8"/>
  <c r="Q62" i="12" s="1"/>
  <c r="D508" i="8"/>
  <c r="D507" i="8"/>
  <c r="Q60" i="12" s="1"/>
  <c r="D496" i="8"/>
  <c r="Q49" i="12" s="1"/>
  <c r="D495" i="8"/>
  <c r="Q48" i="12" s="1"/>
  <c r="D493" i="8"/>
  <c r="Q46" i="12" s="1"/>
  <c r="D492" i="8"/>
  <c r="Q45" i="12" s="1"/>
  <c r="D491" i="8"/>
  <c r="Q44" i="12" s="1"/>
  <c r="D480" i="8"/>
  <c r="Q33" i="12" s="1"/>
  <c r="D479" i="8"/>
  <c r="Q32" i="12" s="1"/>
  <c r="D477" i="8"/>
  <c r="Q30" i="12" s="1"/>
  <c r="D476" i="8"/>
  <c r="Q29" i="12" s="1"/>
  <c r="D475" i="8"/>
  <c r="Q28" i="12" s="1"/>
  <c r="D471" i="8"/>
  <c r="Q24" i="12" s="1"/>
  <c r="D464" i="8"/>
  <c r="Q17" i="12" s="1"/>
  <c r="D463" i="8"/>
  <c r="Q16" i="12" s="1"/>
  <c r="D461" i="8"/>
  <c r="Q14" i="12" s="1"/>
  <c r="D460" i="8"/>
  <c r="D459" i="8"/>
  <c r="D455" i="8"/>
  <c r="Q8" i="12" s="1"/>
  <c r="D454" i="8"/>
  <c r="Q7" i="12" s="1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S178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V11" i="8"/>
  <c r="D506" i="8" s="1"/>
  <c r="Q59" i="12" s="1"/>
  <c r="D507" i="7"/>
  <c r="R60" i="12" s="1"/>
  <c r="D506" i="7"/>
  <c r="R59" i="12" s="1"/>
  <c r="D505" i="7"/>
  <c r="R58" i="12" s="1"/>
  <c r="D491" i="7"/>
  <c r="R44" i="12" s="1"/>
  <c r="D490" i="7"/>
  <c r="R43" i="12" s="1"/>
  <c r="D489" i="7"/>
  <c r="R42" i="12" s="1"/>
  <c r="D475" i="7"/>
  <c r="D474" i="7"/>
  <c r="R27" i="12" s="1"/>
  <c r="D473" i="7"/>
  <c r="R26" i="12" s="1"/>
  <c r="D459" i="7"/>
  <c r="D458" i="7"/>
  <c r="R11" i="12" s="1"/>
  <c r="D457" i="7"/>
  <c r="R10" i="12" s="1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V11" i="7"/>
  <c r="D504" i="7" s="1"/>
  <c r="R57" i="12" s="1"/>
  <c r="D503" i="6"/>
  <c r="P57" i="12" s="1"/>
  <c r="D502" i="6"/>
  <c r="P56" i="12" s="1"/>
  <c r="D501" i="6"/>
  <c r="P55" i="12" s="1"/>
  <c r="D487" i="6"/>
  <c r="P41" i="12" s="1"/>
  <c r="D486" i="6"/>
  <c r="P40" i="12" s="1"/>
  <c r="D485" i="6"/>
  <c r="P39" i="12" s="1"/>
  <c r="D474" i="6"/>
  <c r="P28" i="12" s="1"/>
  <c r="D473" i="6"/>
  <c r="P27" i="12" s="1"/>
  <c r="D471" i="6"/>
  <c r="P25" i="12" s="1"/>
  <c r="D470" i="6"/>
  <c r="P24" i="12" s="1"/>
  <c r="D469" i="6"/>
  <c r="P23" i="12" s="1"/>
  <c r="D458" i="6"/>
  <c r="P12" i="12" s="1"/>
  <c r="D457" i="6"/>
  <c r="P11" i="12" s="1"/>
  <c r="D455" i="6"/>
  <c r="P9" i="12" s="1"/>
  <c r="D454" i="6"/>
  <c r="P8" i="12" s="1"/>
  <c r="D453" i="6"/>
  <c r="P7" i="12" s="1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V11" i="6"/>
  <c r="D500" i="6" s="1"/>
  <c r="P54" i="12" s="1"/>
  <c r="D500" i="5"/>
  <c r="D499" i="5"/>
  <c r="O53" i="12" s="1"/>
  <c r="D482" i="5"/>
  <c r="O36" i="12" s="1"/>
  <c r="D468" i="5"/>
  <c r="O22" i="12" s="1"/>
  <c r="D452" i="5"/>
  <c r="O6" i="12" s="1"/>
  <c r="D451" i="5"/>
  <c r="O5" i="12" s="1"/>
  <c r="D450" i="5"/>
  <c r="O4" i="12" s="1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R11" i="5"/>
  <c r="D512" i="4"/>
  <c r="N65" i="12" s="1"/>
  <c r="D498" i="4"/>
  <c r="N51" i="12" s="1"/>
  <c r="D497" i="4"/>
  <c r="N50" i="12" s="1"/>
  <c r="D496" i="4"/>
  <c r="N49" i="12" s="1"/>
  <c r="D481" i="4"/>
  <c r="N34" i="12" s="1"/>
  <c r="D480" i="4"/>
  <c r="N33" i="12" s="1"/>
  <c r="D476" i="4"/>
  <c r="N29" i="12" s="1"/>
  <c r="D453" i="4"/>
  <c r="N6" i="12" s="1"/>
  <c r="D452" i="4"/>
  <c r="N5" i="12" s="1"/>
  <c r="D450" i="4"/>
  <c r="N3" i="12" s="1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W11" i="4"/>
  <c r="D482" i="4" s="1"/>
  <c r="N35" i="12" s="1"/>
  <c r="D512" i="3"/>
  <c r="M65" i="12" s="1"/>
  <c r="D511" i="3"/>
  <c r="M64" i="12" s="1"/>
  <c r="D510" i="3"/>
  <c r="D509" i="3"/>
  <c r="M62" i="12" s="1"/>
  <c r="D508" i="3"/>
  <c r="M61" i="12" s="1"/>
  <c r="D507" i="3"/>
  <c r="M60" i="12" s="1"/>
  <c r="D506" i="3"/>
  <c r="M59" i="12" s="1"/>
  <c r="D498" i="3"/>
  <c r="M51" i="12" s="1"/>
  <c r="D497" i="3"/>
  <c r="M50" i="12" s="1"/>
  <c r="D496" i="3"/>
  <c r="M49" i="12" s="1"/>
  <c r="D495" i="3"/>
  <c r="M48" i="12" s="1"/>
  <c r="D494" i="3"/>
  <c r="M47" i="12" s="1"/>
  <c r="D493" i="3"/>
  <c r="M46" i="12" s="1"/>
  <c r="D492" i="3"/>
  <c r="M45" i="12" s="1"/>
  <c r="D491" i="3"/>
  <c r="M44" i="12" s="1"/>
  <c r="D490" i="3"/>
  <c r="M43" i="12" s="1"/>
  <c r="D482" i="3"/>
  <c r="M35" i="12" s="1"/>
  <c r="D481" i="3"/>
  <c r="M34" i="12" s="1"/>
  <c r="D480" i="3"/>
  <c r="M33" i="12" s="1"/>
  <c r="D479" i="3"/>
  <c r="M32" i="12" s="1"/>
  <c r="D478" i="3"/>
  <c r="M31" i="12" s="1"/>
  <c r="D477" i="3"/>
  <c r="M30" i="12" s="1"/>
  <c r="D476" i="3"/>
  <c r="M29" i="12" s="1"/>
  <c r="D475" i="3"/>
  <c r="M28" i="12" s="1"/>
  <c r="D474" i="3"/>
  <c r="M27" i="12" s="1"/>
  <c r="D466" i="3"/>
  <c r="M19" i="12" s="1"/>
  <c r="D465" i="3"/>
  <c r="M18" i="12" s="1"/>
  <c r="D464" i="3"/>
  <c r="M17" i="12" s="1"/>
  <c r="D463" i="3"/>
  <c r="M16" i="12" s="1"/>
  <c r="D462" i="3"/>
  <c r="M15" i="12" s="1"/>
  <c r="D461" i="3"/>
  <c r="M14" i="12" s="1"/>
  <c r="D460" i="3"/>
  <c r="M13" i="12" s="1"/>
  <c r="D459" i="3"/>
  <c r="M12" i="12" s="1"/>
  <c r="D458" i="3"/>
  <c r="M11" i="12" s="1"/>
  <c r="D450" i="3"/>
  <c r="M3" i="12" s="1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Y11" i="3"/>
  <c r="D505" i="3" s="1"/>
  <c r="M58" i="12" s="1"/>
  <c r="AI447" i="1"/>
  <c r="AI446" i="1"/>
  <c r="H446" i="1" s="1"/>
  <c r="AI445" i="1"/>
  <c r="H445" i="1" s="1"/>
  <c r="AI444" i="1"/>
  <c r="H444" i="1" s="1"/>
  <c r="AI443" i="1"/>
  <c r="H443" i="1" s="1"/>
  <c r="AI442" i="1"/>
  <c r="H442" i="1" s="1"/>
  <c r="AI441" i="1"/>
  <c r="H441" i="1" s="1"/>
  <c r="AI440" i="1"/>
  <c r="H440" i="1" s="1"/>
  <c r="AI439" i="1"/>
  <c r="H439" i="1" s="1"/>
  <c r="AI438" i="1"/>
  <c r="H438" i="1"/>
  <c r="AI437" i="1"/>
  <c r="H437" i="1" s="1"/>
  <c r="AI436" i="1"/>
  <c r="H436" i="1" s="1"/>
  <c r="AI435" i="1"/>
  <c r="H435" i="1" s="1"/>
  <c r="AI434" i="1"/>
  <c r="H434" i="1" s="1"/>
  <c r="AI433" i="1"/>
  <c r="H433" i="1" s="1"/>
  <c r="AI432" i="1"/>
  <c r="H432" i="1" s="1"/>
  <c r="AI431" i="1"/>
  <c r="H431" i="1" s="1"/>
  <c r="AI430" i="1"/>
  <c r="H430" i="1" s="1"/>
  <c r="AI429" i="1"/>
  <c r="H429" i="1" s="1"/>
  <c r="P428" i="1"/>
  <c r="L428" i="1"/>
  <c r="AI428" i="1" s="1"/>
  <c r="H428" i="1" s="1"/>
  <c r="AI427" i="1"/>
  <c r="H427" i="1" s="1"/>
  <c r="AI426" i="1"/>
  <c r="H426" i="1" s="1"/>
  <c r="AI425" i="1"/>
  <c r="H425" i="1" s="1"/>
  <c r="AI424" i="1"/>
  <c r="H424" i="1" s="1"/>
  <c r="AI423" i="1"/>
  <c r="H423" i="1" s="1"/>
  <c r="AI422" i="1"/>
  <c r="H422" i="1"/>
  <c r="AI421" i="1"/>
  <c r="H421" i="1" s="1"/>
  <c r="AI420" i="1"/>
  <c r="H420" i="1"/>
  <c r="AI419" i="1"/>
  <c r="H419" i="1" s="1"/>
  <c r="AI418" i="1"/>
  <c r="H418" i="1" s="1"/>
  <c r="AI417" i="1"/>
  <c r="H417" i="1" s="1"/>
  <c r="AI416" i="1"/>
  <c r="H416" i="1" s="1"/>
  <c r="AI415" i="1"/>
  <c r="H415" i="1"/>
  <c r="AI414" i="1"/>
  <c r="H414" i="1" s="1"/>
  <c r="AI413" i="1"/>
  <c r="H413" i="1" s="1"/>
  <c r="AI412" i="1"/>
  <c r="H412" i="1" s="1"/>
  <c r="AI411" i="1"/>
  <c r="H411" i="1" s="1"/>
  <c r="AI410" i="1"/>
  <c r="H410" i="1" s="1"/>
  <c r="AI409" i="1"/>
  <c r="H409" i="1" s="1"/>
  <c r="AI408" i="1"/>
  <c r="H408" i="1" s="1"/>
  <c r="AI407" i="1"/>
  <c r="H407" i="1" s="1"/>
  <c r="AI406" i="1"/>
  <c r="H406" i="1"/>
  <c r="AI405" i="1"/>
  <c r="H405" i="1" s="1"/>
  <c r="AI404" i="1"/>
  <c r="H404" i="1"/>
  <c r="AI403" i="1"/>
  <c r="H403" i="1" s="1"/>
  <c r="AI402" i="1"/>
  <c r="H402" i="1" s="1"/>
  <c r="AI401" i="1"/>
  <c r="H401" i="1" s="1"/>
  <c r="AI400" i="1"/>
  <c r="H400" i="1" s="1"/>
  <c r="AI399" i="1"/>
  <c r="H399" i="1" s="1"/>
  <c r="AI398" i="1"/>
  <c r="H398" i="1"/>
  <c r="AI397" i="1"/>
  <c r="H397" i="1" s="1"/>
  <c r="AI396" i="1"/>
  <c r="H396" i="1" s="1"/>
  <c r="AI395" i="1"/>
  <c r="H395" i="1" s="1"/>
  <c r="AI394" i="1"/>
  <c r="H394" i="1" s="1"/>
  <c r="AI393" i="1"/>
  <c r="H393" i="1" s="1"/>
  <c r="AI392" i="1"/>
  <c r="H392" i="1" s="1"/>
  <c r="AI391" i="1"/>
  <c r="H391" i="1"/>
  <c r="AI390" i="1"/>
  <c r="H390" i="1" s="1"/>
  <c r="AI389" i="1"/>
  <c r="H389" i="1" s="1"/>
  <c r="AI388" i="1"/>
  <c r="H388" i="1" s="1"/>
  <c r="AI387" i="1"/>
  <c r="H387" i="1" s="1"/>
  <c r="AI386" i="1"/>
  <c r="H386" i="1" s="1"/>
  <c r="AI385" i="1"/>
  <c r="H385" i="1" s="1"/>
  <c r="AI384" i="1"/>
  <c r="H384" i="1" s="1"/>
  <c r="AI383" i="1"/>
  <c r="H383" i="1" s="1"/>
  <c r="AI382" i="1"/>
  <c r="H382" i="1" s="1"/>
  <c r="AI381" i="1"/>
  <c r="H381" i="1" s="1"/>
  <c r="AI380" i="1"/>
  <c r="H380" i="1"/>
  <c r="AI379" i="1"/>
  <c r="H379" i="1" s="1"/>
  <c r="AI378" i="1"/>
  <c r="H378" i="1" s="1"/>
  <c r="AI377" i="1"/>
  <c r="H377" i="1" s="1"/>
  <c r="AI376" i="1"/>
  <c r="H376" i="1" s="1"/>
  <c r="R375" i="1"/>
  <c r="P375" i="1"/>
  <c r="AI375" i="1" s="1"/>
  <c r="H375" i="1" s="1"/>
  <c r="AI374" i="1"/>
  <c r="H374" i="1" s="1"/>
  <c r="AI373" i="1"/>
  <c r="H373" i="1"/>
  <c r="R372" i="1"/>
  <c r="P372" i="1"/>
  <c r="AI372" i="1" s="1"/>
  <c r="H372" i="1" s="1"/>
  <c r="AI371" i="1"/>
  <c r="H371" i="1" s="1"/>
  <c r="AI370" i="1"/>
  <c r="H370" i="1" s="1"/>
  <c r="AH369" i="1"/>
  <c r="U369" i="1"/>
  <c r="S369" i="1"/>
  <c r="R369" i="1"/>
  <c r="P369" i="1"/>
  <c r="O369" i="1"/>
  <c r="AI368" i="1"/>
  <c r="H368" i="1" s="1"/>
  <c r="AI367" i="1"/>
  <c r="H367" i="1" s="1"/>
  <c r="AI366" i="1"/>
  <c r="H366" i="1" s="1"/>
  <c r="AI365" i="1"/>
  <c r="H365" i="1" s="1"/>
  <c r="AI364" i="1"/>
  <c r="H364" i="1" s="1"/>
  <c r="AI363" i="1"/>
  <c r="H363" i="1" s="1"/>
  <c r="AI362" i="1"/>
  <c r="H362" i="1" s="1"/>
  <c r="AI361" i="1"/>
  <c r="H361" i="1"/>
  <c r="AI360" i="1"/>
  <c r="H360" i="1" s="1"/>
  <c r="AI359" i="1"/>
  <c r="H359" i="1" s="1"/>
  <c r="AI358" i="1"/>
  <c r="H358" i="1" s="1"/>
  <c r="AI357" i="1"/>
  <c r="H357" i="1" s="1"/>
  <c r="AI356" i="1"/>
  <c r="H356" i="1" s="1"/>
  <c r="AI355" i="1"/>
  <c r="H355" i="1" s="1"/>
  <c r="S354" i="1"/>
  <c r="AI354" i="1" s="1"/>
  <c r="H354" i="1" s="1"/>
  <c r="AI353" i="1"/>
  <c r="H353" i="1" s="1"/>
  <c r="AI352" i="1"/>
  <c r="H352" i="1" s="1"/>
  <c r="AI351" i="1"/>
  <c r="H351" i="1"/>
  <c r="AI350" i="1"/>
  <c r="H350" i="1" s="1"/>
  <c r="AI349" i="1"/>
  <c r="H349" i="1"/>
  <c r="AI348" i="1"/>
  <c r="H348" i="1" s="1"/>
  <c r="AI347" i="1"/>
  <c r="H347" i="1" s="1"/>
  <c r="AI346" i="1"/>
  <c r="H346" i="1"/>
  <c r="AI345" i="1"/>
  <c r="H345" i="1" s="1"/>
  <c r="AI344" i="1"/>
  <c r="H344" i="1" s="1"/>
  <c r="AI343" i="1"/>
  <c r="H343" i="1" s="1"/>
  <c r="AI342" i="1"/>
  <c r="H342" i="1" s="1"/>
  <c r="AI341" i="1"/>
  <c r="H341" i="1" s="1"/>
  <c r="AI340" i="1"/>
  <c r="H340" i="1"/>
  <c r="AI339" i="1"/>
  <c r="H339" i="1" s="1"/>
  <c r="AI338" i="1"/>
  <c r="H338" i="1"/>
  <c r="AI337" i="1"/>
  <c r="H337" i="1"/>
  <c r="AI336" i="1"/>
  <c r="H336" i="1" s="1"/>
  <c r="AI335" i="1"/>
  <c r="H335" i="1" s="1"/>
  <c r="AI334" i="1"/>
  <c r="H334" i="1" s="1"/>
  <c r="AI333" i="1"/>
  <c r="H333" i="1"/>
  <c r="AI332" i="1"/>
  <c r="H332" i="1" s="1"/>
  <c r="AI331" i="1"/>
  <c r="H331" i="1" s="1"/>
  <c r="AI330" i="1"/>
  <c r="H330" i="1" s="1"/>
  <c r="AI329" i="1"/>
  <c r="H329" i="1"/>
  <c r="AI328" i="1"/>
  <c r="H328" i="1" s="1"/>
  <c r="AI327" i="1"/>
  <c r="H327" i="1" s="1"/>
  <c r="AI326" i="1"/>
  <c r="H326" i="1" s="1"/>
  <c r="AI325" i="1"/>
  <c r="H325" i="1"/>
  <c r="AI324" i="1"/>
  <c r="H324" i="1"/>
  <c r="AI323" i="1"/>
  <c r="H323" i="1" s="1"/>
  <c r="AI322" i="1"/>
  <c r="H322" i="1" s="1"/>
  <c r="AI321" i="1"/>
  <c r="H321" i="1" s="1"/>
  <c r="AI320" i="1"/>
  <c r="H320" i="1" s="1"/>
  <c r="AI319" i="1"/>
  <c r="H319" i="1" s="1"/>
  <c r="AI318" i="1"/>
  <c r="H318" i="1" s="1"/>
  <c r="AI317" i="1"/>
  <c r="H317" i="1"/>
  <c r="AI316" i="1"/>
  <c r="H316" i="1"/>
  <c r="AI315" i="1"/>
  <c r="H315" i="1" s="1"/>
  <c r="AI314" i="1"/>
  <c r="H314" i="1"/>
  <c r="AI313" i="1"/>
  <c r="H313" i="1" s="1"/>
  <c r="AI312" i="1"/>
  <c r="H312" i="1" s="1"/>
  <c r="AI311" i="1"/>
  <c r="H311" i="1" s="1"/>
  <c r="AI310" i="1"/>
  <c r="H310" i="1" s="1"/>
  <c r="AI309" i="1"/>
  <c r="H309" i="1" s="1"/>
  <c r="AI308" i="1"/>
  <c r="H308" i="1" s="1"/>
  <c r="AI307" i="1"/>
  <c r="H307" i="1" s="1"/>
  <c r="AI306" i="1"/>
  <c r="H306" i="1"/>
  <c r="AI305" i="1"/>
  <c r="H305" i="1"/>
  <c r="AI304" i="1"/>
  <c r="H304" i="1" s="1"/>
  <c r="AI303" i="1"/>
  <c r="H303" i="1" s="1"/>
  <c r="AI302" i="1"/>
  <c r="H302" i="1" s="1"/>
  <c r="AI301" i="1"/>
  <c r="H301" i="1"/>
  <c r="AI300" i="1"/>
  <c r="H300" i="1"/>
  <c r="AI299" i="1"/>
  <c r="H299" i="1" s="1"/>
  <c r="AI298" i="1"/>
  <c r="H298" i="1" s="1"/>
  <c r="AI297" i="1"/>
  <c r="H297" i="1"/>
  <c r="AI296" i="1"/>
  <c r="H296" i="1"/>
  <c r="AI295" i="1"/>
  <c r="H295" i="1" s="1"/>
  <c r="AI294" i="1"/>
  <c r="H294" i="1" s="1"/>
  <c r="AI293" i="1"/>
  <c r="H293" i="1"/>
  <c r="AI292" i="1"/>
  <c r="H292" i="1" s="1"/>
  <c r="AI291" i="1"/>
  <c r="H291" i="1" s="1"/>
  <c r="AI290" i="1"/>
  <c r="H290" i="1" s="1"/>
  <c r="R289" i="1"/>
  <c r="AI289" i="1" s="1"/>
  <c r="H289" i="1" s="1"/>
  <c r="AI288" i="1"/>
  <c r="H288" i="1" s="1"/>
  <c r="AI287" i="1"/>
  <c r="H287" i="1" s="1"/>
  <c r="AI286" i="1"/>
  <c r="H286" i="1" s="1"/>
  <c r="AI285" i="1"/>
  <c r="H285" i="1"/>
  <c r="AI284" i="1"/>
  <c r="H284" i="1" s="1"/>
  <c r="V283" i="1"/>
  <c r="V282" i="1" s="1"/>
  <c r="P283" i="1"/>
  <c r="P282" i="1" s="1"/>
  <c r="J283" i="1"/>
  <c r="J282" i="1" s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U282" i="1"/>
  <c r="T282" i="1"/>
  <c r="S282" i="1"/>
  <c r="R282" i="1"/>
  <c r="Q282" i="1"/>
  <c r="O282" i="1"/>
  <c r="N282" i="1"/>
  <c r="M282" i="1"/>
  <c r="L282" i="1"/>
  <c r="K282" i="1"/>
  <c r="I282" i="1"/>
  <c r="AI281" i="1"/>
  <c r="H281" i="1"/>
  <c r="AI280" i="1"/>
  <c r="H280" i="1" s="1"/>
  <c r="AI279" i="1"/>
  <c r="H279" i="1"/>
  <c r="AI278" i="1"/>
  <c r="H278" i="1" s="1"/>
  <c r="AI277" i="1"/>
  <c r="H277" i="1" s="1"/>
  <c r="AI276" i="1"/>
  <c r="H276" i="1" s="1"/>
  <c r="AI275" i="1"/>
  <c r="H275" i="1" s="1"/>
  <c r="AI274" i="1"/>
  <c r="H274" i="1" s="1"/>
  <c r="AI273" i="1"/>
  <c r="H273" i="1"/>
  <c r="AI272" i="1"/>
  <c r="H272" i="1"/>
  <c r="AI271" i="1"/>
  <c r="H271" i="1" s="1"/>
  <c r="AI270" i="1"/>
  <c r="H270" i="1"/>
  <c r="AI269" i="1"/>
  <c r="H269" i="1" s="1"/>
  <c r="AI268" i="1"/>
  <c r="H268" i="1" s="1"/>
  <c r="AI267" i="1"/>
  <c r="H267" i="1" s="1"/>
  <c r="AI266" i="1"/>
  <c r="H266" i="1" s="1"/>
  <c r="AI265" i="1"/>
  <c r="H265" i="1" s="1"/>
  <c r="Y264" i="1"/>
  <c r="AI264" i="1" s="1"/>
  <c r="H264" i="1" s="1"/>
  <c r="AI263" i="1"/>
  <c r="H263" i="1" s="1"/>
  <c r="AI262" i="1"/>
  <c r="H262" i="1" s="1"/>
  <c r="AI261" i="1"/>
  <c r="H261" i="1" s="1"/>
  <c r="AI260" i="1"/>
  <c r="H260" i="1" s="1"/>
  <c r="AI259" i="1"/>
  <c r="H259" i="1"/>
  <c r="AI258" i="1"/>
  <c r="H258" i="1" s="1"/>
  <c r="AI257" i="1"/>
  <c r="H257" i="1" s="1"/>
  <c r="AI256" i="1"/>
  <c r="H256" i="1" s="1"/>
  <c r="AI255" i="1"/>
  <c r="H255" i="1" s="1"/>
  <c r="AI254" i="1"/>
  <c r="H254" i="1" s="1"/>
  <c r="AI253" i="1"/>
  <c r="H253" i="1" s="1"/>
  <c r="AI252" i="1"/>
  <c r="H252" i="1" s="1"/>
  <c r="AI251" i="1"/>
  <c r="H251" i="1" s="1"/>
  <c r="AI250" i="1"/>
  <c r="H250" i="1" s="1"/>
  <c r="AI249" i="1"/>
  <c r="H249" i="1" s="1"/>
  <c r="AI248" i="1"/>
  <c r="H248" i="1" s="1"/>
  <c r="AI247" i="1"/>
  <c r="H247" i="1" s="1"/>
  <c r="AI246" i="1"/>
  <c r="H246" i="1" s="1"/>
  <c r="AI245" i="1"/>
  <c r="H245" i="1" s="1"/>
  <c r="AI244" i="1"/>
  <c r="H244" i="1"/>
  <c r="AH243" i="1"/>
  <c r="M243" i="1"/>
  <c r="L243" i="1"/>
  <c r="K243" i="1"/>
  <c r="J243" i="1"/>
  <c r="AH242" i="1"/>
  <c r="K242" i="1"/>
  <c r="AI242" i="1" s="1"/>
  <c r="H242" i="1" s="1"/>
  <c r="K241" i="1"/>
  <c r="AI241" i="1" s="1"/>
  <c r="H241" i="1" s="1"/>
  <c r="AH240" i="1"/>
  <c r="U240" i="1"/>
  <c r="T240" i="1"/>
  <c r="L240" i="1"/>
  <c r="K240" i="1"/>
  <c r="J240" i="1"/>
  <c r="AI239" i="1"/>
  <c r="H239" i="1" s="1"/>
  <c r="U238" i="1"/>
  <c r="AI238" i="1" s="1"/>
  <c r="H238" i="1" s="1"/>
  <c r="AH237" i="1"/>
  <c r="Z237" i="1"/>
  <c r="L237" i="1"/>
  <c r="K237" i="1"/>
  <c r="AI237" i="1" s="1"/>
  <c r="H237" i="1" s="1"/>
  <c r="AI236" i="1"/>
  <c r="H236" i="1" s="1"/>
  <c r="AI235" i="1"/>
  <c r="H235" i="1" s="1"/>
  <c r="AI234" i="1"/>
  <c r="H234" i="1" s="1"/>
  <c r="P233" i="1"/>
  <c r="O233" i="1"/>
  <c r="M233" i="1"/>
  <c r="K233" i="1"/>
  <c r="J233" i="1"/>
  <c r="AI232" i="1"/>
  <c r="H232" i="1"/>
  <c r="AI231" i="1"/>
  <c r="H231" i="1" s="1"/>
  <c r="AI230" i="1"/>
  <c r="H230" i="1"/>
  <c r="AI229" i="1"/>
  <c r="H229" i="1"/>
  <c r="AI228" i="1"/>
  <c r="H228" i="1"/>
  <c r="N227" i="1"/>
  <c r="AI227" i="1" s="1"/>
  <c r="H227" i="1" s="1"/>
  <c r="AI226" i="1"/>
  <c r="H226" i="1" s="1"/>
  <c r="AI225" i="1"/>
  <c r="H225" i="1" s="1"/>
  <c r="AI224" i="1"/>
  <c r="H224" i="1" s="1"/>
  <c r="AI223" i="1"/>
  <c r="H223" i="1" s="1"/>
  <c r="AI222" i="1"/>
  <c r="H222" i="1" s="1"/>
  <c r="AI221" i="1"/>
  <c r="H221" i="1" s="1"/>
  <c r="AI220" i="1"/>
  <c r="H220" i="1" s="1"/>
  <c r="V219" i="1"/>
  <c r="AI219" i="1" s="1"/>
  <c r="H219" i="1" s="1"/>
  <c r="AI218" i="1"/>
  <c r="H218" i="1"/>
  <c r="AI217" i="1"/>
  <c r="H217" i="1" s="1"/>
  <c r="P216" i="1"/>
  <c r="AI216" i="1" s="1"/>
  <c r="H216" i="1" s="1"/>
  <c r="AI215" i="1"/>
  <c r="H215" i="1"/>
  <c r="AI214" i="1"/>
  <c r="H214" i="1" s="1"/>
  <c r="R213" i="1"/>
  <c r="AI213" i="1" s="1"/>
  <c r="H213" i="1" s="1"/>
  <c r="AI212" i="1"/>
  <c r="H212" i="1" s="1"/>
  <c r="AI211" i="1"/>
  <c r="H211" i="1" s="1"/>
  <c r="AI210" i="1"/>
  <c r="H210" i="1"/>
  <c r="AG209" i="1"/>
  <c r="AE209" i="1"/>
  <c r="R209" i="1"/>
  <c r="AI208" i="1"/>
  <c r="H208" i="1" s="1"/>
  <c r="AI207" i="1"/>
  <c r="H207" i="1" s="1"/>
  <c r="AI206" i="1"/>
  <c r="H206" i="1" s="1"/>
  <c r="AI205" i="1"/>
  <c r="H205" i="1" s="1"/>
  <c r="AI204" i="1"/>
  <c r="H204" i="1"/>
  <c r="AI203" i="1"/>
  <c r="H203" i="1" s="1"/>
  <c r="AI202" i="1"/>
  <c r="H202" i="1" s="1"/>
  <c r="AI201" i="1"/>
  <c r="H201" i="1" s="1"/>
  <c r="AI200" i="1"/>
  <c r="H200" i="1" s="1"/>
  <c r="AI199" i="1"/>
  <c r="H199" i="1" s="1"/>
  <c r="AI198" i="1"/>
  <c r="H198" i="1" s="1"/>
  <c r="AI197" i="1"/>
  <c r="H197" i="1" s="1"/>
  <c r="AI196" i="1"/>
  <c r="H196" i="1" s="1"/>
  <c r="AI195" i="1"/>
  <c r="H195" i="1" s="1"/>
  <c r="AI194" i="1"/>
  <c r="H194" i="1" s="1"/>
  <c r="AI193" i="1"/>
  <c r="H193" i="1"/>
  <c r="AI192" i="1"/>
  <c r="H192" i="1" s="1"/>
  <c r="AI191" i="1"/>
  <c r="H191" i="1" s="1"/>
  <c r="AI190" i="1"/>
  <c r="H190" i="1" s="1"/>
  <c r="AI189" i="1"/>
  <c r="H189" i="1" s="1"/>
  <c r="AI188" i="1"/>
  <c r="H188" i="1"/>
  <c r="AI187" i="1"/>
  <c r="H187" i="1"/>
  <c r="AI186" i="1"/>
  <c r="H186" i="1" s="1"/>
  <c r="AI185" i="1"/>
  <c r="H185" i="1" s="1"/>
  <c r="AI184" i="1"/>
  <c r="H184" i="1" s="1"/>
  <c r="AI183" i="1"/>
  <c r="H183" i="1" s="1"/>
  <c r="AI182" i="1"/>
  <c r="H182" i="1" s="1"/>
  <c r="AI181" i="1"/>
  <c r="H181" i="1" s="1"/>
  <c r="AI180" i="1"/>
  <c r="H180" i="1"/>
  <c r="AI179" i="1"/>
  <c r="H179" i="1" s="1"/>
  <c r="AB178" i="1"/>
  <c r="AA178" i="1"/>
  <c r="L178" i="1"/>
  <c r="AI178" i="1" s="1"/>
  <c r="H178" i="1" s="1"/>
  <c r="AI177" i="1"/>
  <c r="H177" i="1"/>
  <c r="AI176" i="1"/>
  <c r="H176" i="1" s="1"/>
  <c r="AI175" i="1"/>
  <c r="H175" i="1" s="1"/>
  <c r="AI174" i="1"/>
  <c r="H174" i="1" s="1"/>
  <c r="AH173" i="1"/>
  <c r="AB173" i="1"/>
  <c r="AA173" i="1"/>
  <c r="L173" i="1"/>
  <c r="K173" i="1"/>
  <c r="J173" i="1"/>
  <c r="AI173" i="1" s="1"/>
  <c r="H173" i="1" s="1"/>
  <c r="AI172" i="1"/>
  <c r="H172" i="1" s="1"/>
  <c r="AI171" i="1"/>
  <c r="H171" i="1"/>
  <c r="AI170" i="1"/>
  <c r="H170" i="1" s="1"/>
  <c r="AI169" i="1"/>
  <c r="H169" i="1" s="1"/>
  <c r="AI168" i="1"/>
  <c r="H168" i="1"/>
  <c r="AI167" i="1"/>
  <c r="H167" i="1" s="1"/>
  <c r="AI166" i="1"/>
  <c r="H166" i="1" s="1"/>
  <c r="AI165" i="1"/>
  <c r="H165" i="1"/>
  <c r="AI164" i="1"/>
  <c r="H164" i="1"/>
  <c r="AI163" i="1"/>
  <c r="H163" i="1" s="1"/>
  <c r="AI162" i="1"/>
  <c r="H162" i="1" s="1"/>
  <c r="AI161" i="1"/>
  <c r="H161" i="1"/>
  <c r="AI160" i="1"/>
  <c r="H160" i="1" s="1"/>
  <c r="AI159" i="1"/>
  <c r="H159" i="1" s="1"/>
  <c r="AI158" i="1"/>
  <c r="H158" i="1" s="1"/>
  <c r="AI157" i="1"/>
  <c r="H157" i="1" s="1"/>
  <c r="AI156" i="1"/>
  <c r="H156" i="1"/>
  <c r="AI155" i="1"/>
  <c r="H155" i="1"/>
  <c r="AI154" i="1"/>
  <c r="H154" i="1" s="1"/>
  <c r="AI153" i="1"/>
  <c r="H153" i="1"/>
  <c r="AI152" i="1"/>
  <c r="H152" i="1"/>
  <c r="AI151" i="1"/>
  <c r="H151" i="1" s="1"/>
  <c r="R151" i="1"/>
  <c r="P151" i="1"/>
  <c r="AI150" i="1"/>
  <c r="H150" i="1" s="1"/>
  <c r="AI149" i="1"/>
  <c r="H149" i="1"/>
  <c r="AI148" i="1"/>
  <c r="H148" i="1" s="1"/>
  <c r="AI147" i="1"/>
  <c r="H147" i="1" s="1"/>
  <c r="R146" i="1"/>
  <c r="P146" i="1"/>
  <c r="AI146" i="1" s="1"/>
  <c r="H146" i="1" s="1"/>
  <c r="AI145" i="1"/>
  <c r="H145" i="1" s="1"/>
  <c r="AI144" i="1"/>
  <c r="H144" i="1"/>
  <c r="AI143" i="1"/>
  <c r="H143" i="1" s="1"/>
  <c r="AI142" i="1"/>
  <c r="H142" i="1"/>
  <c r="R141" i="1"/>
  <c r="AI141" i="1" s="1"/>
  <c r="H141" i="1" s="1"/>
  <c r="AI140" i="1"/>
  <c r="H140" i="1" s="1"/>
  <c r="AI139" i="1"/>
  <c r="H139" i="1"/>
  <c r="AI138" i="1"/>
  <c r="H138" i="1"/>
  <c r="AI137" i="1"/>
  <c r="H137" i="1" s="1"/>
  <c r="R136" i="1"/>
  <c r="P136" i="1"/>
  <c r="AI136" i="1" s="1"/>
  <c r="H136" i="1" s="1"/>
  <c r="AI135" i="1"/>
  <c r="H135" i="1" s="1"/>
  <c r="AI134" i="1"/>
  <c r="H134" i="1" s="1"/>
  <c r="AI133" i="1"/>
  <c r="H133" i="1" s="1"/>
  <c r="AI132" i="1"/>
  <c r="H132" i="1"/>
  <c r="P131" i="1"/>
  <c r="AI131" i="1" s="1"/>
  <c r="H131" i="1" s="1"/>
  <c r="AI130" i="1"/>
  <c r="H130" i="1" s="1"/>
  <c r="AI129" i="1"/>
  <c r="H129" i="1"/>
  <c r="AI128" i="1"/>
  <c r="H128" i="1" s="1"/>
  <c r="AI127" i="1"/>
  <c r="H127" i="1"/>
  <c r="W126" i="1"/>
  <c r="T126" i="1"/>
  <c r="R126" i="1"/>
  <c r="P126" i="1"/>
  <c r="I126" i="1"/>
  <c r="AI125" i="1"/>
  <c r="H125" i="1" s="1"/>
  <c r="AI124" i="1"/>
  <c r="H124" i="1" s="1"/>
  <c r="AI123" i="1"/>
  <c r="H123" i="1" s="1"/>
  <c r="AI122" i="1"/>
  <c r="H122" i="1" s="1"/>
  <c r="AI121" i="1"/>
  <c r="H121" i="1" s="1"/>
  <c r="AI120" i="1"/>
  <c r="H120" i="1"/>
  <c r="AI119" i="1"/>
  <c r="H119" i="1" s="1"/>
  <c r="AI118" i="1"/>
  <c r="H118" i="1"/>
  <c r="AI117" i="1"/>
  <c r="H117" i="1" s="1"/>
  <c r="AI116" i="1"/>
  <c r="H116" i="1"/>
  <c r="AI115" i="1"/>
  <c r="H115" i="1" s="1"/>
  <c r="AI114" i="1"/>
  <c r="H114" i="1" s="1"/>
  <c r="AI113" i="1"/>
  <c r="H113" i="1" s="1"/>
  <c r="AI112" i="1"/>
  <c r="H112" i="1" s="1"/>
  <c r="AI111" i="1"/>
  <c r="H111" i="1" s="1"/>
  <c r="R110" i="1"/>
  <c r="AI110" i="1" s="1"/>
  <c r="H110" i="1" s="1"/>
  <c r="AI109" i="1"/>
  <c r="H109" i="1"/>
  <c r="AI108" i="1"/>
  <c r="H108" i="1" s="1"/>
  <c r="AI107" i="1"/>
  <c r="H107" i="1"/>
  <c r="N106" i="1"/>
  <c r="AI106" i="1" s="1"/>
  <c r="H106" i="1" s="1"/>
  <c r="R105" i="1"/>
  <c r="AI105" i="1" s="1"/>
  <c r="H105" i="1" s="1"/>
  <c r="W104" i="1"/>
  <c r="V104" i="1"/>
  <c r="T104" i="1"/>
  <c r="P104" i="1"/>
  <c r="AI103" i="1"/>
  <c r="H103" i="1" s="1"/>
  <c r="AI102" i="1"/>
  <c r="H102" i="1" s="1"/>
  <c r="AI101" i="1"/>
  <c r="H101" i="1" s="1"/>
  <c r="AI100" i="1"/>
  <c r="H100" i="1" s="1"/>
  <c r="AI99" i="1"/>
  <c r="H99" i="1"/>
  <c r="AI98" i="1"/>
  <c r="H98" i="1" s="1"/>
  <c r="AI97" i="1"/>
  <c r="H97" i="1"/>
  <c r="AI96" i="1"/>
  <c r="H96" i="1" s="1"/>
  <c r="AI95" i="1"/>
  <c r="H95" i="1" s="1"/>
  <c r="AI94" i="1"/>
  <c r="H94" i="1" s="1"/>
  <c r="AI93" i="1"/>
  <c r="H93" i="1" s="1"/>
  <c r="AI92" i="1"/>
  <c r="H92" i="1"/>
  <c r="AI91" i="1"/>
  <c r="H91" i="1" s="1"/>
  <c r="AI90" i="1"/>
  <c r="H90" i="1" s="1"/>
  <c r="AI89" i="1"/>
  <c r="H89" i="1"/>
  <c r="AI88" i="1"/>
  <c r="H88" i="1"/>
  <c r="AI87" i="1"/>
  <c r="H87" i="1" s="1"/>
  <c r="AI86" i="1"/>
  <c r="H86" i="1" s="1"/>
  <c r="AI85" i="1"/>
  <c r="H85" i="1" s="1"/>
  <c r="AI84" i="1"/>
  <c r="H84" i="1"/>
  <c r="AI83" i="1"/>
  <c r="H83" i="1"/>
  <c r="AI82" i="1"/>
  <c r="H82" i="1" s="1"/>
  <c r="AI81" i="1"/>
  <c r="H81" i="1"/>
  <c r="AI80" i="1"/>
  <c r="H80" i="1"/>
  <c r="AI79" i="1"/>
  <c r="H79" i="1"/>
  <c r="AG78" i="1"/>
  <c r="AF78" i="1"/>
  <c r="P78" i="1"/>
  <c r="AI77" i="1"/>
  <c r="H77" i="1" s="1"/>
  <c r="AI76" i="1"/>
  <c r="H76" i="1"/>
  <c r="AI75" i="1"/>
  <c r="H75" i="1" s="1"/>
  <c r="AI74" i="1"/>
  <c r="H74" i="1"/>
  <c r="AI73" i="1"/>
  <c r="H73" i="1" s="1"/>
  <c r="AI72" i="1"/>
  <c r="H72" i="1" s="1"/>
  <c r="AI71" i="1"/>
  <c r="H71" i="1" s="1"/>
  <c r="AI70" i="1"/>
  <c r="H70" i="1" s="1"/>
  <c r="AI69" i="1"/>
  <c r="H69" i="1" s="1"/>
  <c r="AI68" i="1"/>
  <c r="H68" i="1"/>
  <c r="AI67" i="1"/>
  <c r="H67" i="1" s="1"/>
  <c r="P66" i="1"/>
  <c r="AI66" i="1" s="1"/>
  <c r="H66" i="1" s="1"/>
  <c r="AI65" i="1"/>
  <c r="H65" i="1"/>
  <c r="AI64" i="1"/>
  <c r="H64" i="1" s="1"/>
  <c r="AI63" i="1"/>
  <c r="H63" i="1" s="1"/>
  <c r="AI62" i="1"/>
  <c r="H62" i="1" s="1"/>
  <c r="AI61" i="1"/>
  <c r="H61" i="1" s="1"/>
  <c r="AI60" i="1"/>
  <c r="H60" i="1"/>
  <c r="AI59" i="1"/>
  <c r="H59" i="1" s="1"/>
  <c r="P58" i="1"/>
  <c r="AI58" i="1" s="1"/>
  <c r="H58" i="1" s="1"/>
  <c r="AI57" i="1"/>
  <c r="H57" i="1" s="1"/>
  <c r="AI56" i="1"/>
  <c r="H56" i="1" s="1"/>
  <c r="AI55" i="1"/>
  <c r="H55" i="1" s="1"/>
  <c r="AI54" i="1"/>
  <c r="H54" i="1" s="1"/>
  <c r="T53" i="1"/>
  <c r="T37" i="1" s="1"/>
  <c r="P53" i="1"/>
  <c r="M53" i="1"/>
  <c r="M37" i="1" s="1"/>
  <c r="I53" i="1"/>
  <c r="I37" i="1" s="1"/>
  <c r="AI52" i="1"/>
  <c r="H52" i="1" s="1"/>
  <c r="AI51" i="1"/>
  <c r="H51" i="1" s="1"/>
  <c r="AI50" i="1"/>
  <c r="H50" i="1" s="1"/>
  <c r="AI49" i="1"/>
  <c r="H49" i="1" s="1"/>
  <c r="P48" i="1"/>
  <c r="AI48" i="1" s="1"/>
  <c r="H48" i="1" s="1"/>
  <c r="AI47" i="1"/>
  <c r="H47" i="1" s="1"/>
  <c r="AI46" i="1"/>
  <c r="H46" i="1"/>
  <c r="AI45" i="1"/>
  <c r="H45" i="1" s="1"/>
  <c r="AI44" i="1"/>
  <c r="H44" i="1" s="1"/>
  <c r="P43" i="1"/>
  <c r="AI43" i="1" s="1"/>
  <c r="H43" i="1" s="1"/>
  <c r="AI42" i="1"/>
  <c r="H42" i="1" s="1"/>
  <c r="AI41" i="1"/>
  <c r="H41" i="1"/>
  <c r="AI40" i="1"/>
  <c r="H40" i="1" s="1"/>
  <c r="AI39" i="1"/>
  <c r="H39" i="1" s="1"/>
  <c r="P38" i="1"/>
  <c r="P37" i="1" s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S37" i="1"/>
  <c r="R37" i="1"/>
  <c r="Q37" i="1"/>
  <c r="O37" i="1"/>
  <c r="N37" i="1"/>
  <c r="L37" i="1"/>
  <c r="K37" i="1"/>
  <c r="J37" i="1"/>
  <c r="AI36" i="1"/>
  <c r="H36" i="1"/>
  <c r="AI35" i="1"/>
  <c r="H35" i="1"/>
  <c r="AI34" i="1"/>
  <c r="H34" i="1"/>
  <c r="AI33" i="1"/>
  <c r="H33" i="1" s="1"/>
  <c r="AI32" i="1"/>
  <c r="H32" i="1" s="1"/>
  <c r="AI31" i="1"/>
  <c r="H31" i="1" s="1"/>
  <c r="AI30" i="1"/>
  <c r="H30" i="1"/>
  <c r="AI29" i="1"/>
  <c r="H29" i="1" s="1"/>
  <c r="AI28" i="1"/>
  <c r="H28" i="1" s="1"/>
  <c r="AI27" i="1"/>
  <c r="H27" i="1"/>
  <c r="AI26" i="1"/>
  <c r="H26" i="1"/>
  <c r="AI25" i="1"/>
  <c r="H25" i="1" s="1"/>
  <c r="AI24" i="1"/>
  <c r="H24" i="1" s="1"/>
  <c r="AI23" i="1"/>
  <c r="H23" i="1" s="1"/>
  <c r="AI22" i="1"/>
  <c r="H22" i="1" s="1"/>
  <c r="AI21" i="1"/>
  <c r="H21" i="1" s="1"/>
  <c r="AI20" i="1"/>
  <c r="H20" i="1" s="1"/>
  <c r="AI12" i="1"/>
  <c r="AI240" i="1" l="1"/>
  <c r="H240" i="1" s="1"/>
  <c r="AI233" i="1"/>
  <c r="H233" i="1" s="1"/>
  <c r="N104" i="1"/>
  <c r="AI369" i="1"/>
  <c r="H369" i="1" s="1"/>
  <c r="AI78" i="1"/>
  <c r="H78" i="1" s="1"/>
  <c r="AI126" i="1"/>
  <c r="H126" i="1" s="1"/>
  <c r="AI209" i="1"/>
  <c r="H209" i="1" s="1"/>
  <c r="AI37" i="1"/>
  <c r="H37" i="1" s="1"/>
  <c r="AI243" i="1"/>
  <c r="H243" i="1" s="1"/>
  <c r="AK236" i="1"/>
  <c r="AI282" i="1"/>
  <c r="H282" i="1" s="1"/>
  <c r="R104" i="1"/>
  <c r="AI104" i="1" s="1"/>
  <c r="H104" i="1" s="1"/>
  <c r="AI283" i="1"/>
  <c r="H283" i="1" s="1"/>
  <c r="AI53" i="1"/>
  <c r="H53" i="1" s="1"/>
  <c r="D511" i="4"/>
  <c r="N64" i="12" s="1"/>
  <c r="D495" i="4"/>
  <c r="N48" i="12" s="1"/>
  <c r="D479" i="4"/>
  <c r="N32" i="12" s="1"/>
  <c r="D463" i="4"/>
  <c r="N16" i="12" s="1"/>
  <c r="D510" i="4"/>
  <c r="N63" i="12" s="1"/>
  <c r="D494" i="4"/>
  <c r="N47" i="12" s="1"/>
  <c r="D478" i="4"/>
  <c r="N31" i="12" s="1"/>
  <c r="D462" i="4"/>
  <c r="N15" i="12" s="1"/>
  <c r="D509" i="4"/>
  <c r="N62" i="12" s="1"/>
  <c r="D493" i="4"/>
  <c r="N46" i="12" s="1"/>
  <c r="D477" i="4"/>
  <c r="N30" i="12" s="1"/>
  <c r="D461" i="4"/>
  <c r="N14" i="12" s="1"/>
  <c r="D508" i="4"/>
  <c r="N61" i="12" s="1"/>
  <c r="D492" i="4"/>
  <c r="N45" i="12" s="1"/>
  <c r="D507" i="4"/>
  <c r="N60" i="12" s="1"/>
  <c r="D491" i="4"/>
  <c r="N44" i="12" s="1"/>
  <c r="D506" i="4"/>
  <c r="N59" i="12" s="1"/>
  <c r="D490" i="4"/>
  <c r="N43" i="12" s="1"/>
  <c r="D474" i="4"/>
  <c r="N27" i="12" s="1"/>
  <c r="D458" i="4"/>
  <c r="N11" i="12" s="1"/>
  <c r="D505" i="4"/>
  <c r="N58" i="12" s="1"/>
  <c r="D489" i="4"/>
  <c r="N42" i="12" s="1"/>
  <c r="D473" i="4"/>
  <c r="N26" i="12" s="1"/>
  <c r="D457" i="4"/>
  <c r="N10" i="12" s="1"/>
  <c r="D504" i="4"/>
  <c r="N57" i="12" s="1"/>
  <c r="D488" i="4"/>
  <c r="N41" i="12" s="1"/>
  <c r="D472" i="4"/>
  <c r="N25" i="12" s="1"/>
  <c r="D456" i="4"/>
  <c r="N9" i="12" s="1"/>
  <c r="D503" i="4"/>
  <c r="N56" i="12" s="1"/>
  <c r="D487" i="4"/>
  <c r="N40" i="12" s="1"/>
  <c r="D471" i="4"/>
  <c r="N24" i="12" s="1"/>
  <c r="D455" i="4"/>
  <c r="N8" i="12" s="1"/>
  <c r="D502" i="4"/>
  <c r="N55" i="12" s="1"/>
  <c r="D486" i="4"/>
  <c r="N39" i="12" s="1"/>
  <c r="D470" i="4"/>
  <c r="N23" i="12" s="1"/>
  <c r="D454" i="4"/>
  <c r="N7" i="12" s="1"/>
  <c r="D501" i="4"/>
  <c r="N54" i="12" s="1"/>
  <c r="D485" i="4"/>
  <c r="N38" i="12" s="1"/>
  <c r="D500" i="4"/>
  <c r="N53" i="12" s="1"/>
  <c r="D484" i="4"/>
  <c r="N37" i="12" s="1"/>
  <c r="D499" i="4"/>
  <c r="N52" i="12" s="1"/>
  <c r="D483" i="4"/>
  <c r="N36" i="12" s="1"/>
  <c r="D467" i="4"/>
  <c r="N20" i="12" s="1"/>
  <c r="D451" i="4"/>
  <c r="N4" i="12" s="1"/>
  <c r="N66" i="12" s="1"/>
  <c r="D459" i="4"/>
  <c r="N12" i="12" s="1"/>
  <c r="D451" i="3"/>
  <c r="D467" i="3"/>
  <c r="M20" i="12" s="1"/>
  <c r="D483" i="3"/>
  <c r="M36" i="12" s="1"/>
  <c r="D499" i="3"/>
  <c r="M52" i="12" s="1"/>
  <c r="D460" i="4"/>
  <c r="N13" i="12" s="1"/>
  <c r="D497" i="5"/>
  <c r="O51" i="12" s="1"/>
  <c r="D481" i="5"/>
  <c r="O35" i="12" s="1"/>
  <c r="D465" i="5"/>
  <c r="O19" i="12" s="1"/>
  <c r="D449" i="5"/>
  <c r="D496" i="5"/>
  <c r="O50" i="12" s="1"/>
  <c r="D480" i="5"/>
  <c r="O34" i="12" s="1"/>
  <c r="D464" i="5"/>
  <c r="O18" i="12" s="1"/>
  <c r="D511" i="5"/>
  <c r="O65" i="12" s="1"/>
  <c r="D495" i="5"/>
  <c r="O49" i="12" s="1"/>
  <c r="D479" i="5"/>
  <c r="O33" i="12" s="1"/>
  <c r="D463" i="5"/>
  <c r="O17" i="12" s="1"/>
  <c r="D510" i="5"/>
  <c r="O64" i="12" s="1"/>
  <c r="D494" i="5"/>
  <c r="O48" i="12" s="1"/>
  <c r="D478" i="5"/>
  <c r="O32" i="12" s="1"/>
  <c r="D462" i="5"/>
  <c r="O16" i="12" s="1"/>
  <c r="D509" i="5"/>
  <c r="O63" i="12" s="1"/>
  <c r="D493" i="5"/>
  <c r="O47" i="12" s="1"/>
  <c r="D477" i="5"/>
  <c r="O31" i="12" s="1"/>
  <c r="D461" i="5"/>
  <c r="O15" i="12" s="1"/>
  <c r="D508" i="5"/>
  <c r="O62" i="12" s="1"/>
  <c r="D492" i="5"/>
  <c r="O46" i="12" s="1"/>
  <c r="D476" i="5"/>
  <c r="O30" i="12" s="1"/>
  <c r="D460" i="5"/>
  <c r="O14" i="12" s="1"/>
  <c r="D507" i="5"/>
  <c r="O61" i="12" s="1"/>
  <c r="D491" i="5"/>
  <c r="O45" i="12" s="1"/>
  <c r="D475" i="5"/>
  <c r="O29" i="12" s="1"/>
  <c r="D459" i="5"/>
  <c r="O13" i="12" s="1"/>
  <c r="D506" i="5"/>
  <c r="O60" i="12" s="1"/>
  <c r="D490" i="5"/>
  <c r="O44" i="12" s="1"/>
  <c r="D474" i="5"/>
  <c r="O28" i="12" s="1"/>
  <c r="D458" i="5"/>
  <c r="O12" i="12" s="1"/>
  <c r="D505" i="5"/>
  <c r="O59" i="12" s="1"/>
  <c r="D489" i="5"/>
  <c r="O43" i="12" s="1"/>
  <c r="D473" i="5"/>
  <c r="O27" i="12" s="1"/>
  <c r="D457" i="5"/>
  <c r="O11" i="12" s="1"/>
  <c r="D504" i="5"/>
  <c r="O58" i="12" s="1"/>
  <c r="D488" i="5"/>
  <c r="O42" i="12" s="1"/>
  <c r="D472" i="5"/>
  <c r="O26" i="12" s="1"/>
  <c r="D456" i="5"/>
  <c r="O10" i="12" s="1"/>
  <c r="D503" i="5"/>
  <c r="O57" i="12" s="1"/>
  <c r="D487" i="5"/>
  <c r="O41" i="12" s="1"/>
  <c r="D471" i="5"/>
  <c r="O25" i="12" s="1"/>
  <c r="D455" i="5"/>
  <c r="O9" i="12" s="1"/>
  <c r="D502" i="5"/>
  <c r="O56" i="12" s="1"/>
  <c r="D486" i="5"/>
  <c r="O40" i="12" s="1"/>
  <c r="D470" i="5"/>
  <c r="O24" i="12" s="1"/>
  <c r="D454" i="5"/>
  <c r="O8" i="12" s="1"/>
  <c r="D501" i="5"/>
  <c r="O55" i="12" s="1"/>
  <c r="D485" i="5"/>
  <c r="O39" i="12" s="1"/>
  <c r="D469" i="5"/>
  <c r="O23" i="12" s="1"/>
  <c r="D453" i="5"/>
  <c r="O7" i="12" s="1"/>
  <c r="D466" i="5"/>
  <c r="O20" i="12" s="1"/>
  <c r="AI38" i="1"/>
  <c r="H38" i="1" s="1"/>
  <c r="D452" i="3"/>
  <c r="M5" i="12" s="1"/>
  <c r="D468" i="3"/>
  <c r="M21" i="12" s="1"/>
  <c r="D484" i="3"/>
  <c r="M37" i="12" s="1"/>
  <c r="D500" i="3"/>
  <c r="M53" i="12" s="1"/>
  <c r="D464" i="4"/>
  <c r="N17" i="12" s="1"/>
  <c r="D467" i="5"/>
  <c r="O21" i="12" s="1"/>
  <c r="D453" i="3"/>
  <c r="M6" i="12" s="1"/>
  <c r="D469" i="3"/>
  <c r="M22" i="12" s="1"/>
  <c r="D485" i="3"/>
  <c r="M38" i="12" s="1"/>
  <c r="D501" i="3"/>
  <c r="M54" i="12" s="1"/>
  <c r="D465" i="4"/>
  <c r="N18" i="12" s="1"/>
  <c r="D454" i="3"/>
  <c r="M7" i="12" s="1"/>
  <c r="D470" i="3"/>
  <c r="M23" i="12" s="1"/>
  <c r="D486" i="3"/>
  <c r="M39" i="12" s="1"/>
  <c r="D502" i="3"/>
  <c r="M55" i="12" s="1"/>
  <c r="D466" i="4"/>
  <c r="N19" i="12" s="1"/>
  <c r="D455" i="3"/>
  <c r="M8" i="12" s="1"/>
  <c r="D471" i="3"/>
  <c r="M24" i="12" s="1"/>
  <c r="D487" i="3"/>
  <c r="M40" i="12" s="1"/>
  <c r="D503" i="3"/>
  <c r="M56" i="12" s="1"/>
  <c r="D468" i="4"/>
  <c r="N21" i="12" s="1"/>
  <c r="D483" i="5"/>
  <c r="O37" i="12" s="1"/>
  <c r="N229" i="15"/>
  <c r="T239" i="15"/>
  <c r="D456" i="3"/>
  <c r="M9" i="12" s="1"/>
  <c r="D472" i="3"/>
  <c r="M25" i="12" s="1"/>
  <c r="D488" i="3"/>
  <c r="M41" i="12" s="1"/>
  <c r="D504" i="3"/>
  <c r="M57" i="12" s="1"/>
  <c r="D469" i="4"/>
  <c r="N22" i="12" s="1"/>
  <c r="D484" i="5"/>
  <c r="O38" i="12" s="1"/>
  <c r="AD229" i="13"/>
  <c r="D457" i="3"/>
  <c r="M10" i="12" s="1"/>
  <c r="D473" i="3"/>
  <c r="M26" i="12" s="1"/>
  <c r="D489" i="3"/>
  <c r="M42" i="12" s="1"/>
  <c r="D475" i="4"/>
  <c r="N28" i="12" s="1"/>
  <c r="D498" i="5"/>
  <c r="O52" i="12" s="1"/>
  <c r="D456" i="6"/>
  <c r="P10" i="12" s="1"/>
  <c r="D472" i="6"/>
  <c r="P26" i="12" s="1"/>
  <c r="D488" i="6"/>
  <c r="P42" i="12" s="1"/>
  <c r="D504" i="6"/>
  <c r="P58" i="12" s="1"/>
  <c r="D460" i="7"/>
  <c r="R13" i="12" s="1"/>
  <c r="D476" i="7"/>
  <c r="R29" i="12" s="1"/>
  <c r="D492" i="7"/>
  <c r="R45" i="12" s="1"/>
  <c r="D508" i="7"/>
  <c r="R61" i="12" s="1"/>
  <c r="D462" i="8"/>
  <c r="Q15" i="12" s="1"/>
  <c r="D478" i="8"/>
  <c r="Q31" i="12" s="1"/>
  <c r="D494" i="8"/>
  <c r="Q47" i="12" s="1"/>
  <c r="D510" i="8"/>
  <c r="Q63" i="12" s="1"/>
  <c r="D489" i="6"/>
  <c r="P43" i="12" s="1"/>
  <c r="D505" i="6"/>
  <c r="P59" i="12" s="1"/>
  <c r="D461" i="7"/>
  <c r="R14" i="12" s="1"/>
  <c r="D477" i="7"/>
  <c r="R30" i="12" s="1"/>
  <c r="D493" i="7"/>
  <c r="R46" i="12" s="1"/>
  <c r="D509" i="7"/>
  <c r="R62" i="12" s="1"/>
  <c r="AG104" i="14"/>
  <c r="AA104" i="14"/>
  <c r="D490" i="6"/>
  <c r="P44" i="12" s="1"/>
  <c r="D506" i="6"/>
  <c r="P60" i="12" s="1"/>
  <c r="D462" i="7"/>
  <c r="R15" i="12" s="1"/>
  <c r="D478" i="7"/>
  <c r="R31" i="12" s="1"/>
  <c r="D494" i="7"/>
  <c r="R47" i="12" s="1"/>
  <c r="D510" i="7"/>
  <c r="R63" i="12" s="1"/>
  <c r="D512" i="8"/>
  <c r="Q65" i="12" s="1"/>
  <c r="AF38" i="13"/>
  <c r="D459" i="6"/>
  <c r="P13" i="12" s="1"/>
  <c r="D475" i="6"/>
  <c r="P29" i="12" s="1"/>
  <c r="D491" i="6"/>
  <c r="P45" i="12" s="1"/>
  <c r="D507" i="6"/>
  <c r="P61" i="12" s="1"/>
  <c r="D463" i="7"/>
  <c r="R16" i="12" s="1"/>
  <c r="D479" i="7"/>
  <c r="R32" i="12" s="1"/>
  <c r="D495" i="7"/>
  <c r="R48" i="12" s="1"/>
  <c r="D511" i="7"/>
  <c r="R64" i="12" s="1"/>
  <c r="D465" i="8"/>
  <c r="Q18" i="12" s="1"/>
  <c r="D481" i="8"/>
  <c r="Q34" i="12" s="1"/>
  <c r="D497" i="8"/>
  <c r="Q50" i="12" s="1"/>
  <c r="AA226" i="14"/>
  <c r="D522" i="17"/>
  <c r="D460" i="6"/>
  <c r="P14" i="12" s="1"/>
  <c r="D476" i="6"/>
  <c r="P30" i="12" s="1"/>
  <c r="D492" i="6"/>
  <c r="P46" i="12" s="1"/>
  <c r="D508" i="6"/>
  <c r="P62" i="12" s="1"/>
  <c r="D464" i="7"/>
  <c r="R17" i="12" s="1"/>
  <c r="D480" i="7"/>
  <c r="R33" i="12" s="1"/>
  <c r="D496" i="7"/>
  <c r="R49" i="12" s="1"/>
  <c r="D512" i="7"/>
  <c r="R65" i="12" s="1"/>
  <c r="D450" i="8"/>
  <c r="D466" i="8"/>
  <c r="Q19" i="12" s="1"/>
  <c r="D482" i="8"/>
  <c r="Q35" i="12" s="1"/>
  <c r="D498" i="8"/>
  <c r="Q51" i="12" s="1"/>
  <c r="D461" i="6"/>
  <c r="P15" i="12" s="1"/>
  <c r="D477" i="6"/>
  <c r="P31" i="12" s="1"/>
  <c r="D493" i="6"/>
  <c r="P47" i="12" s="1"/>
  <c r="D509" i="6"/>
  <c r="P63" i="12" s="1"/>
  <c r="D465" i="7"/>
  <c r="R18" i="12" s="1"/>
  <c r="D481" i="7"/>
  <c r="R34" i="12" s="1"/>
  <c r="D497" i="7"/>
  <c r="R50" i="12" s="1"/>
  <c r="D451" i="8"/>
  <c r="Q4" i="12" s="1"/>
  <c r="D467" i="8"/>
  <c r="Q20" i="12" s="1"/>
  <c r="D483" i="8"/>
  <c r="Q36" i="12" s="1"/>
  <c r="D499" i="8"/>
  <c r="Q52" i="12" s="1"/>
  <c r="D462" i="6"/>
  <c r="P16" i="12" s="1"/>
  <c r="D478" i="6"/>
  <c r="P32" i="12" s="1"/>
  <c r="D494" i="6"/>
  <c r="P48" i="12" s="1"/>
  <c r="D510" i="6"/>
  <c r="P64" i="12" s="1"/>
  <c r="D450" i="7"/>
  <c r="D466" i="7"/>
  <c r="R19" i="12" s="1"/>
  <c r="D482" i="7"/>
  <c r="R35" i="12" s="1"/>
  <c r="D498" i="7"/>
  <c r="R51" i="12" s="1"/>
  <c r="D452" i="8"/>
  <c r="Q5" i="12" s="1"/>
  <c r="D468" i="8"/>
  <c r="Q21" i="12" s="1"/>
  <c r="D484" i="8"/>
  <c r="Q37" i="12" s="1"/>
  <c r="D500" i="8"/>
  <c r="Q53" i="12" s="1"/>
  <c r="D463" i="6"/>
  <c r="P17" i="12" s="1"/>
  <c r="D479" i="6"/>
  <c r="P33" i="12" s="1"/>
  <c r="D495" i="6"/>
  <c r="P49" i="12" s="1"/>
  <c r="D511" i="6"/>
  <c r="P65" i="12" s="1"/>
  <c r="D451" i="7"/>
  <c r="R4" i="12" s="1"/>
  <c r="D467" i="7"/>
  <c r="R20" i="12" s="1"/>
  <c r="D483" i="7"/>
  <c r="R36" i="12" s="1"/>
  <c r="D499" i="7"/>
  <c r="R52" i="12" s="1"/>
  <c r="D453" i="8"/>
  <c r="Q6" i="12" s="1"/>
  <c r="D469" i="8"/>
  <c r="Q22" i="12" s="1"/>
  <c r="D485" i="8"/>
  <c r="Q38" i="12" s="1"/>
  <c r="D501" i="8"/>
  <c r="Q54" i="12" s="1"/>
  <c r="L53" i="13"/>
  <c r="AC53" i="13" s="1"/>
  <c r="AD43" i="13" s="1"/>
  <c r="AF39" i="13" s="1"/>
  <c r="AD226" i="13"/>
  <c r="D464" i="6"/>
  <c r="P18" i="12" s="1"/>
  <c r="D480" i="6"/>
  <c r="P34" i="12" s="1"/>
  <c r="D496" i="6"/>
  <c r="P50" i="12" s="1"/>
  <c r="D452" i="7"/>
  <c r="R5" i="12" s="1"/>
  <c r="D468" i="7"/>
  <c r="R21" i="12" s="1"/>
  <c r="D484" i="7"/>
  <c r="R37" i="12" s="1"/>
  <c r="D500" i="7"/>
  <c r="R53" i="12" s="1"/>
  <c r="D470" i="8"/>
  <c r="Q23" i="12" s="1"/>
  <c r="D486" i="8"/>
  <c r="Q39" i="12" s="1"/>
  <c r="D502" i="8"/>
  <c r="Q55" i="12" s="1"/>
  <c r="D522" i="13"/>
  <c r="D449" i="6"/>
  <c r="D465" i="6"/>
  <c r="P19" i="12" s="1"/>
  <c r="D481" i="6"/>
  <c r="P35" i="12" s="1"/>
  <c r="D497" i="6"/>
  <c r="P51" i="12" s="1"/>
  <c r="D453" i="7"/>
  <c r="R6" i="12" s="1"/>
  <c r="D469" i="7"/>
  <c r="R22" i="12" s="1"/>
  <c r="D485" i="7"/>
  <c r="R38" i="12" s="1"/>
  <c r="D501" i="7"/>
  <c r="R54" i="12" s="1"/>
  <c r="D487" i="8"/>
  <c r="Q40" i="12" s="1"/>
  <c r="D503" i="8"/>
  <c r="Q56" i="12" s="1"/>
  <c r="D450" i="6"/>
  <c r="P4" i="12" s="1"/>
  <c r="D466" i="6"/>
  <c r="P20" i="12" s="1"/>
  <c r="D482" i="6"/>
  <c r="P36" i="12" s="1"/>
  <c r="D498" i="6"/>
  <c r="P52" i="12" s="1"/>
  <c r="D454" i="7"/>
  <c r="R7" i="12" s="1"/>
  <c r="D470" i="7"/>
  <c r="R23" i="12" s="1"/>
  <c r="D486" i="7"/>
  <c r="R39" i="12" s="1"/>
  <c r="D502" i="7"/>
  <c r="R55" i="12" s="1"/>
  <c r="D456" i="8"/>
  <c r="Q9" i="12" s="1"/>
  <c r="D472" i="8"/>
  <c r="Q25" i="12" s="1"/>
  <c r="D488" i="8"/>
  <c r="Q41" i="12" s="1"/>
  <c r="D504" i="8"/>
  <c r="Q57" i="12" s="1"/>
  <c r="AA43" i="14"/>
  <c r="AC39" i="14" s="1"/>
  <c r="D451" i="6"/>
  <c r="P5" i="12" s="1"/>
  <c r="D467" i="6"/>
  <c r="P21" i="12" s="1"/>
  <c r="D483" i="6"/>
  <c r="P37" i="12" s="1"/>
  <c r="D499" i="6"/>
  <c r="P53" i="12" s="1"/>
  <c r="D455" i="7"/>
  <c r="R8" i="12" s="1"/>
  <c r="D471" i="7"/>
  <c r="R24" i="12" s="1"/>
  <c r="D487" i="7"/>
  <c r="R40" i="12" s="1"/>
  <c r="D503" i="7"/>
  <c r="R56" i="12" s="1"/>
  <c r="D457" i="8"/>
  <c r="Q10" i="12" s="1"/>
  <c r="D473" i="8"/>
  <c r="Q26" i="12" s="1"/>
  <c r="D489" i="8"/>
  <c r="Q42" i="12" s="1"/>
  <c r="D505" i="8"/>
  <c r="Q58" i="12" s="1"/>
  <c r="AR226" i="19"/>
  <c r="AX227" i="19"/>
  <c r="D452" i="6"/>
  <c r="P6" i="12" s="1"/>
  <c r="D468" i="6"/>
  <c r="P22" i="12" s="1"/>
  <c r="D484" i="6"/>
  <c r="P38" i="12" s="1"/>
  <c r="D456" i="7"/>
  <c r="R9" i="12" s="1"/>
  <c r="D472" i="7"/>
  <c r="R25" i="12" s="1"/>
  <c r="D488" i="7"/>
  <c r="R41" i="12" s="1"/>
  <c r="D458" i="8"/>
  <c r="Q11" i="12" s="1"/>
  <c r="D474" i="8"/>
  <c r="Q27" i="12" s="1"/>
  <c r="D490" i="8"/>
  <c r="Q43" i="12" s="1"/>
  <c r="D522" i="14"/>
  <c r="D522" i="16"/>
  <c r="AB38" i="16"/>
  <c r="AB240" i="18"/>
  <c r="AA229" i="14"/>
  <c r="P38" i="15"/>
  <c r="Z229" i="17"/>
  <c r="Z226" i="16"/>
  <c r="Z43" i="17"/>
  <c r="AB39" i="17" s="1"/>
  <c r="Z229" i="16"/>
  <c r="Y43" i="24"/>
  <c r="AA43" i="24" s="1"/>
  <c r="S43" i="24"/>
  <c r="U39" i="24" s="1"/>
  <c r="D522" i="20"/>
  <c r="X38" i="18"/>
  <c r="D522" i="18"/>
  <c r="Q38" i="20"/>
  <c r="D522" i="22"/>
  <c r="AK43" i="22"/>
  <c r="AI104" i="22"/>
  <c r="AC104" i="22"/>
  <c r="W115" i="24"/>
  <c r="Y115" i="24" s="1"/>
  <c r="Y116" i="24"/>
  <c r="O226" i="20"/>
  <c r="S43" i="23"/>
  <c r="U39" i="23" s="1"/>
  <c r="D522" i="23"/>
  <c r="S226" i="24"/>
  <c r="U43" i="25"/>
  <c r="W39" i="25" s="1"/>
  <c r="U38" i="24"/>
  <c r="U104" i="25"/>
  <c r="U104" i="26"/>
  <c r="AC43" i="22"/>
  <c r="AE39" i="22" s="1"/>
  <c r="S226" i="23"/>
  <c r="AC226" i="22"/>
  <c r="D522" i="25"/>
  <c r="D522" i="26"/>
  <c r="T62" i="26"/>
  <c r="U43" i="26" s="1"/>
  <c r="W39" i="26" s="1"/>
  <c r="T53" i="25"/>
  <c r="U229" i="25"/>
  <c r="P229" i="27"/>
  <c r="U226" i="26"/>
  <c r="W38" i="25"/>
  <c r="R3" i="12" l="1"/>
  <c r="R66" i="12" s="1"/>
  <c r="D514" i="7"/>
  <c r="D513" i="5"/>
  <c r="O3" i="12"/>
  <c r="O66" i="12" s="1"/>
  <c r="P3" i="12"/>
  <c r="P66" i="12" s="1"/>
  <c r="D513" i="6"/>
  <c r="M4" i="12"/>
  <c r="M66" i="12" s="1"/>
  <c r="D514" i="3"/>
  <c r="D514" i="4"/>
  <c r="Q3" i="12"/>
  <c r="Q66" i="12" s="1"/>
  <c r="D51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Z20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======
ID#AAABXG-YbJQ
DELL    (2024-10-24 08:55:46)
lấy số chết trong nội tỉnh</t>
        </r>
      </text>
    </comment>
    <comment ref="S62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======
ID#AAABXG-YbJY
Nguyen Duy Cong    (2024-10-24 08:55:46)
Cần xem lại</t>
        </r>
      </text>
    </comment>
    <comment ref="AE141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======
ID#AAABXG-YbJk
DELL    (2024-10-24 08:55:46)
Không bóc tách được hàng năm, lâu năm</t>
        </r>
      </text>
    </comment>
    <comment ref="I146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======
ID#AAABXG-YbKU
DELL    (2024-10-24 08:55:46)
Không bóc tách được</t>
        </r>
      </text>
    </comment>
    <comment ref="K146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======
ID#AAABXG-YbJU
Nguyen Duy Cong    (2024-10-24 08:55:46)
không bóc tách được</t>
        </r>
      </text>
    </comment>
    <comment ref="K17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======
ID#AAABXG-YbKc
DELL    (2024-10-24 08:55:46)
không bóc tách được gia súc, gia cầm</t>
        </r>
      </text>
    </comment>
    <comment ref="Q17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======
ID#AAABXG-YbKg
DELL    (2024-10-24 08:55:46)
Không bóc tách được</t>
        </r>
      </text>
    </comment>
    <comment ref="Y17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======
ID#AAABXG-YbKM
DELL    (2024-10-24 08:55:46)
k tách gia súc, gia cầm</t>
        </r>
      </text>
    </comment>
    <comment ref="AE17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======
ID#AAABXG-YbJs
DELL    (2024-10-24 08:55:46)
k bóc tách gia súc, gia cầm</t>
        </r>
      </text>
    </comment>
    <comment ref="K240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======
ID#AAABXG-YbKo
Nguyen Duy Cong    (2024-10-24 08:55:46)
số liệu cũ</t>
        </r>
      </text>
    </comment>
    <comment ref="W24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ID#AAABXG-YbKs
DELL    (2024-10-24 08:55:46)
DELL:Không bóc tách được cầu, cống, đập</t>
        </r>
      </text>
    </comment>
    <comment ref="U242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======
ID#AAABXG-YbKE
DELL    (2024-10-24 08:55:46)
Không bóc tách được cầu, cống</t>
        </r>
      </text>
    </comment>
    <comment ref="Y447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======
ID#AAABXG-YbJ0
DELL    (2024-10-24 08:55:46)
Lấy từ vb Báo cáo Tỉnh uỷ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UQboHqxNF8Aymj3RXLXs3lfJZF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62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======
ID#AAABXG-YbJc
Administrator    (2022-08-14 03:03:04)
12 hộ/55 khẩu sơ tán nguy cơ lũ ống, lũ quét</t>
        </r>
      </text>
    </comment>
    <comment ref="V189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ID#AAABXG-YbJ4
Administrator    (2022-08-16 08:19:19)
3 sự cố đê: 2 sự cố đê cấp III; 01 sự cố đê cấp I</t>
        </r>
      </text>
    </comment>
    <comment ref="L19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======
ID#AAABXG-YbJI
Administrator    (2022-08-16 08:19:19)
4 sự cố đê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ROEFY7tUX3NLr+UBu/77M7q+pg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58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======
ID#AAABXG-YbKI
Administrator    (2022-10-03 04:13:53)
Số nhà ngập thời điểm lớn nhất</t>
        </r>
      </text>
    </comment>
    <comment ref="Q58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======
ID#AAABXG-YbJo
Administrator    (2022-10-03 04:13:53)
Số nhà ngập lớn nhất lúc 17h ngày 01/10</t>
        </r>
      </text>
    </comment>
    <comment ref="O214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Loại nhỏ
======</t>
        </r>
      </text>
    </comment>
    <comment ref="O215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Loại nhỏ
======</t>
        </r>
      </text>
    </comment>
    <comment ref="O241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Cầu tạm, loại nhỏ
======</t>
        </r>
      </text>
    </comment>
    <comment ref="O245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Tràn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DxWiPyHndiiz91WEU9LniRtjDB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378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======
ID#AAABXG-YbJw
Administrator    (2022-10-11 02:46:38)
Thuỷ điện Kà Tinh bị sạt lở vùi lấp 01 tổ máy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0SftdRMfdQkmEuPT2Qn6UiX6ccA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378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======
ID#AAABXG-YbJg
Administrator    (2022-10-11 02:46:38)
Thuỷ điện Kà Tinh bị sạt lở vùi lấp 01 tổ máy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TrV+80L7CnDGQxM1dy9otxs6o+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58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======
ID#AAABXG-YbKY
VietAnhDao    (2022-12-06 08:30:50)
21h/2/12 nước đã rút</t>
        </r>
      </text>
    </comment>
    <comment ref="G378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======
ID#AAABXG-YbJM
Administrator    (2022-10-11 02:46:38)
Thuỷ điện Kà Tinh bị sạt lở vùi lấp 01 tổ máy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eZ4QQ/zIUtDqLKHv1R9VzXVeL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378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======
ID#AAABXG-YbKQ
Administrator    (2022-10-11 02:46:38)
Thuỷ điện Kà Tinh bị sạt lở vùi lấp 01 tổ máy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FjFiKlHz/+0Ya9DXVaz8rCv+/OQ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352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======
ID#AAABXG-YbJ8
Administrator    (2022-06-16 12:22:53)
500 kg cá chết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QS7WO8qs8Mo9A9CZ5Hj19G2yh7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01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>======
ID#AAABXG-YbKA
Administrator    (2022-05-31 00:40:46)
2 công trình kè</t>
        </r>
      </text>
    </comment>
    <comment ref="J226" authorId="0" shapeId="0" xr:uid="{00000000-0006-0000-1400-000002000000}">
      <text>
        <r>
          <rPr>
            <sz val="11"/>
            <color theme="1"/>
            <rFont val="Calibri"/>
            <family val="2"/>
            <scheme val="minor"/>
          </rPr>
          <t>======
ID#AAABXG-YbKk
Administrator    (2022-05-27 07:55:38)
QL 4C, 280, 279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Xt94F2HbGzQzdtxOHTsu89rynUg=="/>
    </ext>
  </extLst>
</comments>
</file>

<file path=xl/sharedStrings.xml><?xml version="1.0" encoding="utf-8"?>
<sst xmlns="http://schemas.openxmlformats.org/spreadsheetml/2006/main" count="39008" uniqueCount="2532">
  <si>
    <t>BIỂU 01/TKTH</t>
  </si>
  <si>
    <t>Ban hành kèm theo TTTL số:        /2015TTLT-BNNPTNT-BKHĐT
 ngày       /11/2015 của Bộ NN và PTNT và Bộ KH và ĐT</t>
  </si>
  <si>
    <t xml:space="preserve">Ngày nhận báo cáo: </t>
  </si>
  <si>
    <t>Phụ lục I
TỔNG HỢP THIỆT HẠI DO BÃO SỐ 3 VÀ MƯA LŨ SAU BÃO</t>
  </si>
  <si>
    <t>(Kèm theo văn bản số               /BNN-ĐĐ ngày          /10/2024 của Bộ Nông nghiệp và Phát triển nông thôn)</t>
  </si>
  <si>
    <t>TT</t>
  </si>
  <si>
    <t>Mã</t>
  </si>
  <si>
    <t>CHỈ TIÊU THIỆT HẠI</t>
  </si>
  <si>
    <t>Đơn vị tính</t>
  </si>
  <si>
    <t>DAMAGE INDICATORS</t>
  </si>
  <si>
    <t>Unit</t>
  </si>
  <si>
    <t>Tổng</t>
  </si>
  <si>
    <t>Hà Giang</t>
  </si>
  <si>
    <t>Cao Bằng</t>
  </si>
  <si>
    <t>Lào Cai</t>
  </si>
  <si>
    <t>Bắc Kạn</t>
  </si>
  <si>
    <t>Lạng Sơn</t>
  </si>
  <si>
    <t>Điện Biên</t>
  </si>
  <si>
    <t>Tuyên Quang</t>
  </si>
  <si>
    <t>Yên Bái</t>
  </si>
  <si>
    <t>Thái Nguyên</t>
  </si>
  <si>
    <t>Phú Thọ</t>
  </si>
  <si>
    <t>Bắc Giang</t>
  </si>
  <si>
    <t>Lai Châu</t>
  </si>
  <si>
    <t>Sơn La</t>
  </si>
  <si>
    <t>Hoà Bình</t>
  </si>
  <si>
    <t>Hà Nội</t>
  </si>
  <si>
    <t>Hải Phòng</t>
  </si>
  <si>
    <t>Quảng Ninh</t>
  </si>
  <si>
    <t>Hải Dương</t>
  </si>
  <si>
    <t>Hưng Yên</t>
  </si>
  <si>
    <t>Vĩnh Phúc</t>
  </si>
  <si>
    <t>Bắc Ninh</t>
  </si>
  <si>
    <t>Hà Nam</t>
  </si>
  <si>
    <t>Ninh Bình</t>
  </si>
  <si>
    <t>Thái Bình</t>
  </si>
  <si>
    <t>Nam Định</t>
  </si>
  <si>
    <t>Thanh Hoá</t>
  </si>
  <si>
    <t>Tổng số</t>
  </si>
  <si>
    <t>Số trận</t>
  </si>
  <si>
    <t>Thời gian xảy ra</t>
  </si>
  <si>
    <t>Địa bàn</t>
  </si>
  <si>
    <t>Nguyên nhân</t>
  </si>
  <si>
    <t>Số văn bản</t>
  </si>
  <si>
    <t>13/BC-BCH ngày 27/9/2024 và 92/TTr-UBND ngày 19/9/2024</t>
  </si>
  <si>
    <t>2543/BC-BCH ngày 29/9/2024 và 2505/BC-UBND ngày 20/9/2024</t>
  </si>
  <si>
    <t>459/BC-UBND ngày 01/10/2024</t>
  </si>
  <si>
    <t>319/BC-SNN ngày 24/9/2024 và 6746/UBND-TH ngày 20/9/2024</t>
  </si>
  <si>
    <t>62/BC-BCHPCTT ngày 24/9/2024 và 454/BC-UBND ngày 20/9/2024</t>
  </si>
  <si>
    <t>67/BC-BCH ngày 25/9/2024 và 4205/BC-UBND ngày 19/9/2024</t>
  </si>
  <si>
    <t>188/BC-UBND ngày 25/9/2024</t>
  </si>
  <si>
    <t>207/BC-UBND ngày 25/9/2024</t>
  </si>
  <si>
    <t>189/BC-UBND ngày 20/9/2024</t>
  </si>
  <si>
    <t>166/BC-UBND ngày 25/9/2024</t>
  </si>
  <si>
    <t>65/BC-UBND ngày 20/9/2024</t>
  </si>
  <si>
    <t>405/BC-UBND ngày 20/9/2024</t>
  </si>
  <si>
    <t>419/BC-UBND ngày 13/9/2024</t>
  </si>
  <si>
    <t>383/BC-UBND ngày 26/9/2024</t>
  </si>
  <si>
    <t>213/BC-BCH ngày 30/9/2024;  354/BC-UBND ngày 25/9/2024; 288/BC-SNN ngày 26/9/2024</t>
  </si>
  <si>
    <t>311/BC-UBND ngày 24/9/2024</t>
  </si>
  <si>
    <t>2762/UBND-KTTC ngày 21/9/2024</t>
  </si>
  <si>
    <t>155/BC-UBND ngày 26/9/2024</t>
  </si>
  <si>
    <t>148/BC-UBND ngày 23/9/2024</t>
  </si>
  <si>
    <t>283/BC-UBND ngày 25/9/2024</t>
  </si>
  <si>
    <t>1635/STC-QLNS ngày 26/9/2024</t>
  </si>
  <si>
    <t>183/BC-UBND ngày 26/9/2024</t>
  </si>
  <si>
    <t>196/BC-UBND ngày 24/9/2024</t>
  </si>
  <si>
    <t>137/BC-UBND ngày 20/9/2024</t>
  </si>
  <si>
    <t>279/BC-UBND ngày 24/9/2024</t>
  </si>
  <si>
    <t>13888/UBND-NN ngày 20/9/2024</t>
  </si>
  <si>
    <t>Ngày ban hành văn bản</t>
  </si>
  <si>
    <t>27/09 và 19/9/2024</t>
  </si>
  <si>
    <t>29/9 và 20/9/2024</t>
  </si>
  <si>
    <t>28/9 và 01/10</t>
  </si>
  <si>
    <t>24/9 và 20/9/2024</t>
  </si>
  <si>
    <t>25/9 và 19/9/2024</t>
  </si>
  <si>
    <t>25/9/2024</t>
  </si>
  <si>
    <t>20/9/2024</t>
  </si>
  <si>
    <t>13/9/2024</t>
  </si>
  <si>
    <t>26/9/2024</t>
  </si>
  <si>
    <t>30/9 và 25/9; 26/9/2024</t>
  </si>
  <si>
    <t>24/9/2024</t>
  </si>
  <si>
    <t xml:space="preserve">21/9/2024 </t>
  </si>
  <si>
    <t>23/9/2024</t>
  </si>
  <si>
    <t>A</t>
  </si>
  <si>
    <t>B</t>
  </si>
  <si>
    <t>C</t>
  </si>
  <si>
    <t>NG</t>
  </si>
  <si>
    <t>THIỆT HẠI VỀ NGƯỜI</t>
  </si>
  <si>
    <t>NG01</t>
  </si>
  <si>
    <t>Số người chết:</t>
  </si>
  <si>
    <t>người</t>
  </si>
  <si>
    <t>Number of deaths:</t>
  </si>
  <si>
    <t>people</t>
  </si>
  <si>
    <t>NG011</t>
  </si>
  <si>
    <t xml:space="preserve">Trẻ em </t>
  </si>
  <si>
    <t>NG012</t>
  </si>
  <si>
    <t>Nữ giới</t>
  </si>
  <si>
    <t>NG013</t>
  </si>
  <si>
    <t>Người khuyết tật</t>
  </si>
  <si>
    <t>NG014</t>
  </si>
  <si>
    <t>Đối tượng khác</t>
  </si>
  <si>
    <t>NG02</t>
  </si>
  <si>
    <t>Số người mất tích</t>
  </si>
  <si>
    <t>Number of missing people</t>
  </si>
  <si>
    <t>NG021</t>
  </si>
  <si>
    <t>NG022</t>
  </si>
  <si>
    <t>NG023</t>
  </si>
  <si>
    <t>NG024</t>
  </si>
  <si>
    <t>NG03</t>
  </si>
  <si>
    <t>Số người bị thương</t>
  </si>
  <si>
    <t>Number of injured people</t>
  </si>
  <si>
    <t>1.3.1</t>
  </si>
  <si>
    <t>NG031</t>
  </si>
  <si>
    <t>1.3.2</t>
  </si>
  <si>
    <t>NG032</t>
  </si>
  <si>
    <t>1.3.3</t>
  </si>
  <si>
    <t>NG033</t>
  </si>
  <si>
    <t>1.3.4</t>
  </si>
  <si>
    <t>NG034</t>
  </si>
  <si>
    <t>NG04</t>
  </si>
  <si>
    <t>Số hộ bị ảnh hưởng</t>
  </si>
  <si>
    <t>hộ</t>
  </si>
  <si>
    <t>Number of affected households</t>
  </si>
  <si>
    <t>households</t>
  </si>
  <si>
    <t>NG05</t>
  </si>
  <si>
    <t>Số người bị ảnh hưởng</t>
  </si>
  <si>
    <t>Number of people affected</t>
  </si>
  <si>
    <t>NH</t>
  </si>
  <si>
    <t>THIỆT HẠI VỀ NHÀ Ở</t>
  </si>
  <si>
    <t>NH01</t>
  </si>
  <si>
    <t>Thiệt hại hoàn toàn (trên 70%)</t>
  </si>
  <si>
    <t>cái</t>
  </si>
  <si>
    <t>Complete damage (over 70%)</t>
  </si>
  <si>
    <t>unit</t>
  </si>
  <si>
    <t>NH011</t>
  </si>
  <si>
    <t>Nhà kiên cố</t>
  </si>
  <si>
    <t>NH012</t>
  </si>
  <si>
    <t>Nhà bán kiên cố</t>
  </si>
  <si>
    <t>NH013</t>
  </si>
  <si>
    <t>Nhà thiếu kiên cố</t>
  </si>
  <si>
    <t>NH014</t>
  </si>
  <si>
    <t xml:space="preserve">Nhà đơn sơ </t>
  </si>
  <si>
    <t>NH02</t>
  </si>
  <si>
    <t>Thiệt hại rất nặng (từ 50% -70%)</t>
  </si>
  <si>
    <t>Very heavy damage (from 50% -70%)</t>
  </si>
  <si>
    <t xml:space="preserve"> </t>
  </si>
  <si>
    <t>NH021</t>
  </si>
  <si>
    <t>NH022</t>
  </si>
  <si>
    <t>NH023</t>
  </si>
  <si>
    <t>NH024</t>
  </si>
  <si>
    <t>NH03</t>
  </si>
  <si>
    <t>Thiệt hại nặng (từ 30% -50%)</t>
  </si>
  <si>
    <t>Heavy damage (from 30% -50%)</t>
  </si>
  <si>
    <t>NH031</t>
  </si>
  <si>
    <t>NH032</t>
  </si>
  <si>
    <t>NH033</t>
  </si>
  <si>
    <t>NH034</t>
  </si>
  <si>
    <t>NH04</t>
  </si>
  <si>
    <t>Thiệt hại một phần (dưới 30%)</t>
  </si>
  <si>
    <t>Partial damage (less than 30%)</t>
  </si>
  <si>
    <t>NH041</t>
  </si>
  <si>
    <t>NH042</t>
  </si>
  <si>
    <t>NH043</t>
  </si>
  <si>
    <t>NH044</t>
  </si>
  <si>
    <t>NH05</t>
  </si>
  <si>
    <t>Nhà bị ngập nước</t>
  </si>
  <si>
    <t>The house was flooded</t>
  </si>
  <si>
    <t>2.5.1</t>
  </si>
  <si>
    <t>NH051</t>
  </si>
  <si>
    <t>Bị ngập dưới 1m</t>
  </si>
  <si>
    <t>lượt</t>
  </si>
  <si>
    <t>2.5.2</t>
  </si>
  <si>
    <t>NH052</t>
  </si>
  <si>
    <t>Bị ngập nước (1-3)m</t>
  </si>
  <si>
    <t>2.5.3</t>
  </si>
  <si>
    <t>NH053</t>
  </si>
  <si>
    <t>Bị ngập nước trên 3m</t>
  </si>
  <si>
    <t>NH07</t>
  </si>
  <si>
    <t xml:space="preserve">Nhà phải di dời khẩn cấp </t>
  </si>
  <si>
    <t>The house must be relocated urgently</t>
  </si>
  <si>
    <t>NH09</t>
  </si>
  <si>
    <t>Các thiệt hại về nhà ở khác (*)</t>
  </si>
  <si>
    <t>triệu đồng</t>
  </si>
  <si>
    <t>Other housing damages (*)</t>
  </si>
  <si>
    <t>1569 nhà sụt lún, hư hỏng công trình phụ</t>
  </si>
  <si>
    <t>1,941 nhà thiệt hại công trình phụ</t>
  </si>
  <si>
    <t>GD</t>
  </si>
  <si>
    <t>THIỆT HẠI VỀ GIÁO DỤC</t>
  </si>
  <si>
    <t>EDUCATIONAL DAMAGE</t>
  </si>
  <si>
    <t xml:space="preserve">GD02 </t>
  </si>
  <si>
    <t xml:space="preserve">Phòng học, phòng chức năng công vụ, nhà ở tập thể, nhà bán trú cho học sinh/sinh viên/học viên </t>
  </si>
  <si>
    <t>GD01</t>
  </si>
  <si>
    <t>Số điểm/trường bị ảnh hưởng</t>
  </si>
  <si>
    <t>điểm</t>
  </si>
  <si>
    <t>Number of affected points/schools</t>
  </si>
  <si>
    <t>3.2.1</t>
  </si>
  <si>
    <t>GD021</t>
  </si>
  <si>
    <t>3.2.2</t>
  </si>
  <si>
    <t>GD022</t>
  </si>
  <si>
    <t>Thiệt hại rất nặng từ 50% -70%</t>
  </si>
  <si>
    <t>3.2.3</t>
  </si>
  <si>
    <t>GD023</t>
  </si>
  <si>
    <t>Thiệt hại nặng từ 30% -50%</t>
  </si>
  <si>
    <t>3.2.4</t>
  </si>
  <si>
    <t>GD024</t>
  </si>
  <si>
    <t>GD03</t>
  </si>
  <si>
    <t>Phòng học, phòng chức năng công vụ, nhà ở tập thể, nhà bán trú cho học sinh/sinh viên/học viên bị ngập nước</t>
  </si>
  <si>
    <t>3.3.1</t>
  </si>
  <si>
    <t>GD031</t>
  </si>
  <si>
    <t>3.3.2</t>
  </si>
  <si>
    <t>GD032</t>
  </si>
  <si>
    <t>3.3.3</t>
  </si>
  <si>
    <t>GD033</t>
  </si>
  <si>
    <t>GD04</t>
  </si>
  <si>
    <t>Các thiết bị giáo dục ở điểm/trường bị hư hỏng</t>
  </si>
  <si>
    <t>GD05</t>
  </si>
  <si>
    <t>Các thiệt hại về giáo dục khác (*)</t>
  </si>
  <si>
    <t>YT</t>
  </si>
  <si>
    <t>THIỆT HẠI VỀ Y TẾ</t>
  </si>
  <si>
    <t>MEDICAL DAMAGE</t>
  </si>
  <si>
    <t>YT01</t>
  </si>
  <si>
    <t xml:space="preserve">Số cơ sở y tế (bệnh viện, trung tâm y tế, trạm y tế) </t>
  </si>
  <si>
    <t>Number of medical facilities (hospitals, medical centers, medical stations)</t>
  </si>
  <si>
    <t>4.1.1</t>
  </si>
  <si>
    <t>YT011</t>
  </si>
  <si>
    <t>4.1.2</t>
  </si>
  <si>
    <t>YT012</t>
  </si>
  <si>
    <t>4.1.3</t>
  </si>
  <si>
    <t>YT013</t>
  </si>
  <si>
    <t>4.1.4</t>
  </si>
  <si>
    <t>YT014</t>
  </si>
  <si>
    <t>Số cơ sở y tế (bệnh viện, trung tâm y tế, trạm y tế) bị ngập nước</t>
  </si>
  <si>
    <t>4.2.1</t>
  </si>
  <si>
    <t>YT021</t>
  </si>
  <si>
    <t>4.2.2</t>
  </si>
  <si>
    <t>YT022</t>
  </si>
  <si>
    <t>4.2.3</t>
  </si>
  <si>
    <t>YT023</t>
  </si>
  <si>
    <t>YT04</t>
  </si>
  <si>
    <t>Thuốc bị ướt, hư hỏng, cuốn trôi</t>
  </si>
  <si>
    <t>YT05</t>
  </si>
  <si>
    <t>Vật tư, máy móc và thiết bị y tế bị hư hỏng, cuốn trôi</t>
  </si>
  <si>
    <t>YT06</t>
  </si>
  <si>
    <t>Các thiệt hại về Y tế khác (*)</t>
  </si>
  <si>
    <t>VH</t>
  </si>
  <si>
    <t>THIỆT HẠI VỀ VĂN HÓA</t>
  </si>
  <si>
    <t>CULTURAL DAMAGE</t>
  </si>
  <si>
    <t>VH01</t>
  </si>
  <si>
    <t xml:space="preserve">Công trình văn hoá </t>
  </si>
  <si>
    <t>Cultural works</t>
  </si>
  <si>
    <t>VH02</t>
  </si>
  <si>
    <t>VH03</t>
  </si>
  <si>
    <t>VH04</t>
  </si>
  <si>
    <t>Di tích lịch sử văn hóa, danh lam thắng cảnh</t>
  </si>
  <si>
    <t>Cultural and historical relics, scenic spots</t>
  </si>
  <si>
    <t>5.2.1</t>
  </si>
  <si>
    <t>VH021</t>
  </si>
  <si>
    <t>5.2.2</t>
  </si>
  <si>
    <t>VH022</t>
  </si>
  <si>
    <t>5.2.3</t>
  </si>
  <si>
    <t>VH023</t>
  </si>
  <si>
    <t>5.2.4</t>
  </si>
  <si>
    <t>VH024</t>
  </si>
  <si>
    <t xml:space="preserve">Trang thiết bị tại công trình văn hóa </t>
  </si>
  <si>
    <t>Các thiệt hại về văn hóa khác (*)</t>
  </si>
  <si>
    <t>NLN</t>
  </si>
  <si>
    <t>THIỆT HẠI VỀ NÔNG, LÂM, DIÊM NGHIỆP</t>
  </si>
  <si>
    <t>DAMAGE TO AGRICULTURE, FORESTRY AND SALT INDUSTRY</t>
  </si>
  <si>
    <t>NLN01</t>
  </si>
  <si>
    <t xml:space="preserve">Diện tích lúa </t>
  </si>
  <si>
    <t>ha</t>
  </si>
  <si>
    <t>Rice area</t>
  </si>
  <si>
    <t>NLN011</t>
  </si>
  <si>
    <t>Diện tích gieo cấy lúa thuần</t>
  </si>
  <si>
    <t>NLN0111</t>
  </si>
  <si>
    <t>NLN0112</t>
  </si>
  <si>
    <t>NLN0113</t>
  </si>
  <si>
    <t>NLN0114</t>
  </si>
  <si>
    <t>NLN012</t>
  </si>
  <si>
    <t>Diện tích gieo cấy lúa lai</t>
  </si>
  <si>
    <t>NLN0121</t>
  </si>
  <si>
    <t>NLN0122</t>
  </si>
  <si>
    <t>NLN0123</t>
  </si>
  <si>
    <t>NLN0124</t>
  </si>
  <si>
    <t>NLN02</t>
  </si>
  <si>
    <t xml:space="preserve">Diện tích mạ </t>
  </si>
  <si>
    <t>NLN021</t>
  </si>
  <si>
    <t>Diện tích mạ lúa thuần</t>
  </si>
  <si>
    <t>NLN0211</t>
  </si>
  <si>
    <t>NLN0212</t>
  </si>
  <si>
    <t>NLN0213</t>
  </si>
  <si>
    <t>NLN0214</t>
  </si>
  <si>
    <t>NLN022</t>
  </si>
  <si>
    <t>Diện tích mạ lúa lai</t>
  </si>
  <si>
    <t>NLN0221</t>
  </si>
  <si>
    <t>NLN0222</t>
  </si>
  <si>
    <t>NLN0223</t>
  </si>
  <si>
    <t>NLN0224</t>
  </si>
  <si>
    <t>NLN03</t>
  </si>
  <si>
    <t xml:space="preserve">Diện tích hoa màu, rau màu </t>
  </si>
  <si>
    <t>Area of ​​crops and vegetables</t>
  </si>
  <si>
    <t>NN031</t>
  </si>
  <si>
    <t>NN032</t>
  </si>
  <si>
    <t>NN033</t>
  </si>
  <si>
    <t>NN034</t>
  </si>
  <si>
    <t>NLN04</t>
  </si>
  <si>
    <t xml:space="preserve">Số lượng hoa, cây cảnh các loại </t>
  </si>
  <si>
    <t>chậu,cây</t>
  </si>
  <si>
    <t>Number of flowers and ornamental plants of all kinds</t>
  </si>
  <si>
    <t>NLN041</t>
  </si>
  <si>
    <t>NLN042</t>
  </si>
  <si>
    <t>NLN043</t>
  </si>
  <si>
    <t>NLN044</t>
  </si>
  <si>
    <t>NLN05</t>
  </si>
  <si>
    <t xml:space="preserve">Diện tích cây trồng lâu năm </t>
  </si>
  <si>
    <t>Area of perennial crops</t>
  </si>
  <si>
    <t>NLN051</t>
  </si>
  <si>
    <t>NLN052</t>
  </si>
  <si>
    <t>NLN053</t>
  </si>
  <si>
    <t>NLN054</t>
  </si>
  <si>
    <t>NLN06</t>
  </si>
  <si>
    <t xml:space="preserve">Diện tích cây trồng hàng năm </t>
  </si>
  <si>
    <t>Annual crop area</t>
  </si>
  <si>
    <t>NLN061</t>
  </si>
  <si>
    <t>NLN062</t>
  </si>
  <si>
    <t>NLN063</t>
  </si>
  <si>
    <t>NLN064</t>
  </si>
  <si>
    <t>NLN07</t>
  </si>
  <si>
    <t xml:space="preserve">Diện tích cây ăn quả tập trung </t>
  </si>
  <si>
    <t>Concentrated fruit tree area</t>
  </si>
  <si>
    <t>NLN071</t>
  </si>
  <si>
    <t>NLN072</t>
  </si>
  <si>
    <t>NLN073</t>
  </si>
  <si>
    <t>NLN074</t>
  </si>
  <si>
    <t>NLN08</t>
  </si>
  <si>
    <t>Diện tích rừng hiện có</t>
  </si>
  <si>
    <t>Existing forest area</t>
  </si>
  <si>
    <t>NLN081</t>
  </si>
  <si>
    <t>NLN082</t>
  </si>
  <si>
    <t>NLN083</t>
  </si>
  <si>
    <t>NLN084</t>
  </si>
  <si>
    <t>NLN09</t>
  </si>
  <si>
    <t xml:space="preserve">Diện tích rừng trồng phân tán </t>
  </si>
  <si>
    <t>NLN091</t>
  </si>
  <si>
    <t>NLN092</t>
  </si>
  <si>
    <t>NLN093</t>
  </si>
  <si>
    <t>NLN094</t>
  </si>
  <si>
    <t>NLN9</t>
  </si>
  <si>
    <t>Cây bóng mát, cây xanh đô thị bị đổ, gãy</t>
  </si>
  <si>
    <t>cây</t>
  </si>
  <si>
    <t>Shade trees, urban green trees fell and broke</t>
  </si>
  <si>
    <t>NLN10</t>
  </si>
  <si>
    <t>Cây giống bị hư hỏng</t>
  </si>
  <si>
    <t>Damaged seedlings</t>
  </si>
  <si>
    <t>485.000 cây giống</t>
  </si>
  <si>
    <t>NLN11</t>
  </si>
  <si>
    <t>Hạt giống hư hỏng</t>
  </si>
  <si>
    <t>tấn</t>
  </si>
  <si>
    <t>Damaged seeds</t>
  </si>
  <si>
    <t>NLN12</t>
  </si>
  <si>
    <t>Lương thực bị trôi, ẩm, ướt và hư hỏng</t>
  </si>
  <si>
    <t>Food is drifting, damp, wet, and spoiled</t>
  </si>
  <si>
    <t>NLN13</t>
  </si>
  <si>
    <t>Diện tích đất ở bị xói lở, vùi lấp</t>
  </si>
  <si>
    <t>NLN14</t>
  </si>
  <si>
    <t>Diện tích ruộng muối bị vùi lấp, hư hỏng</t>
  </si>
  <si>
    <t>NLN15</t>
  </si>
  <si>
    <t>Muối bị hư hỏng</t>
  </si>
  <si>
    <t>NLN16</t>
  </si>
  <si>
    <t xml:space="preserve">Diện tích canh tác bị ngập mặn </t>
  </si>
  <si>
    <t>NLN17</t>
  </si>
  <si>
    <t>Diện tích canh tác bị hạn, thiếu nước</t>
  </si>
  <si>
    <t>NLN18</t>
  </si>
  <si>
    <t>Diện tích ngừng sản xuất do thiếu nước tưới</t>
  </si>
  <si>
    <t>NLN19</t>
  </si>
  <si>
    <t>Các thiệt hại về nông, lâm, diêm nghiệp khác (*)</t>
  </si>
  <si>
    <t>25,98 ha diện tích nhà màng, nhà lưới</t>
  </si>
  <si>
    <t>CHN</t>
  </si>
  <si>
    <t>THIỆT HẠI VỀ CHĂN NUÔI</t>
  </si>
  <si>
    <t>LIVESTOCK DAMAGE</t>
  </si>
  <si>
    <t>CHN1</t>
  </si>
  <si>
    <t>Gia súc bị chết, cuốn trôi</t>
  </si>
  <si>
    <t>con</t>
  </si>
  <si>
    <t>Cattle died and were swept away</t>
  </si>
  <si>
    <t>heads</t>
  </si>
  <si>
    <t>CHN01</t>
  </si>
  <si>
    <t>Trâu, bò, ngựa</t>
  </si>
  <si>
    <t>CHN02</t>
  </si>
  <si>
    <t>Nai, cừu, dê</t>
  </si>
  <si>
    <t>CHN03</t>
  </si>
  <si>
    <t>Lợn</t>
  </si>
  <si>
    <t>CHN04</t>
  </si>
  <si>
    <t>Các loại gia súc khác</t>
  </si>
  <si>
    <t>Gia cầm bị chết, cuốn trôi</t>
  </si>
  <si>
    <t>Poultry died and was swept away</t>
  </si>
  <si>
    <t>7.2.1</t>
  </si>
  <si>
    <t>CHN021</t>
  </si>
  <si>
    <t>Gà, vịt, ngan, ngỗng</t>
  </si>
  <si>
    <t>7.2.2</t>
  </si>
  <si>
    <t>CHN023</t>
  </si>
  <si>
    <t>Các loại gia cầm khác</t>
  </si>
  <si>
    <t>Các loại vật nuôi khác bị chết, cuốn trôi</t>
  </si>
  <si>
    <t>Thức ăn gia súc, gia cầm bị cuốn trôi, vùi lấp, hư hỏng</t>
  </si>
  <si>
    <t>CHN05</t>
  </si>
  <si>
    <t>Vật tư phục vụ chăn nuôi bị cuốn trôi, hư hỏng</t>
  </si>
  <si>
    <t>CHN06</t>
  </si>
  <si>
    <t>Chuồng trại, trang thiết bị chăn nuôi bị hư hỏng</t>
  </si>
  <si>
    <t>998 chuồng</t>
  </si>
  <si>
    <t>55 chuồng</t>
  </si>
  <si>
    <t>108.322 chuồng trại bị hư hỏng, thiệt hại</t>
  </si>
  <si>
    <t>96 hộ với 7500m2 chuồng tốc mái</t>
  </si>
  <si>
    <t>CHN07</t>
  </si>
  <si>
    <t>Nước cấp chăn nuôi tập trung bị thiếu hụt</t>
  </si>
  <si>
    <r>
      <rPr>
        <b/>
        <sz val="12"/>
        <color theme="1"/>
        <rFont val="Times New Roman"/>
        <family val="1"/>
      </rPr>
      <t>m</t>
    </r>
    <r>
      <rPr>
        <b/>
        <vertAlign val="superscript"/>
        <sz val="12"/>
        <color theme="1"/>
        <rFont val="Times New Roman"/>
        <family val="1"/>
      </rPr>
      <t>3</t>
    </r>
  </si>
  <si>
    <t>Các thiệt hại về chăn nuôi khác (*)</t>
  </si>
  <si>
    <t>TL</t>
  </si>
  <si>
    <t>THIỆT HẠI VỀ THỦY LỢI</t>
  </si>
  <si>
    <t>IRRIGATION DAMAGE</t>
  </si>
  <si>
    <t>TL01</t>
  </si>
  <si>
    <t>Đê từ cấp III đến cấp đặc biệt</t>
  </si>
  <si>
    <t>Dikes from grade III to special grade</t>
  </si>
  <si>
    <t>TL011</t>
  </si>
  <si>
    <t>Chiều dài bị sạt, nứt, vỡ (ghi rõ chiều dài vỡ)</t>
  </si>
  <si>
    <t>m</t>
  </si>
  <si>
    <t>Length of landslide, crack, break (specify the length of breakage)</t>
  </si>
  <si>
    <t>TL012</t>
  </si>
  <si>
    <t>Số lượng mạch đùn, mạch sủi, lỗ rò</t>
  </si>
  <si>
    <t>TL013</t>
  </si>
  <si>
    <t>Diện tích thẩm lậu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</si>
  <si>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2</t>
    </r>
  </si>
  <si>
    <t xml:space="preserve">Khối lượng đất 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</si>
  <si>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</si>
  <si>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 xml:space="preserve">Khối lượng đá, bê tông 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</si>
  <si>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</si>
  <si>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TL02</t>
  </si>
  <si>
    <t xml:space="preserve">Đê từ cấp IV trở xuống, đê bối, bờ bao </t>
  </si>
  <si>
    <t>Dikes of grade IV or lower, dikes, embankments</t>
  </si>
  <si>
    <t>TL021</t>
  </si>
  <si>
    <t>TL022</t>
  </si>
  <si>
    <t>TL023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</si>
  <si>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2</t>
    </r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</si>
  <si>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</si>
  <si>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</si>
  <si>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TL03</t>
  </si>
  <si>
    <t xml:space="preserve">Kè </t>
  </si>
  <si>
    <t>TL031</t>
  </si>
  <si>
    <t>Chiều dài sạt lở, hư hỏng</t>
  </si>
  <si>
    <t>Length of landslides and damage</t>
  </si>
  <si>
    <t>TL032</t>
  </si>
  <si>
    <t>Diện tích bong xô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</si>
  <si>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2</t>
    </r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</si>
  <si>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</si>
  <si>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TL033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</si>
  <si>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</si>
  <si>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TL04</t>
  </si>
  <si>
    <t>Kênh mương bị sạt, trôi, hư hỏng</t>
  </si>
  <si>
    <t>Canals and ditches are washed away, washed away, damaged</t>
  </si>
  <si>
    <t>TL041</t>
  </si>
  <si>
    <t xml:space="preserve">Chiều dài </t>
  </si>
  <si>
    <t>Length</t>
  </si>
  <si>
    <t>TL042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</si>
  <si>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</si>
  <si>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Soil Volume</t>
  </si>
  <si>
    <t>TL043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</si>
  <si>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</si>
  <si>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Volume of stone and concrete</t>
  </si>
  <si>
    <t>Cống</t>
  </si>
  <si>
    <t>Drain</t>
  </si>
  <si>
    <t>Cống, bọng bị hư hỏng</t>
  </si>
  <si>
    <t>Damaged drains and bulbs</t>
  </si>
  <si>
    <t>Bọng bị trôi</t>
  </si>
  <si>
    <t>Drifting puffiness</t>
  </si>
  <si>
    <t>Cống bị trôi</t>
  </si>
  <si>
    <t>Drains are washed away</t>
  </si>
  <si>
    <t>TL05</t>
  </si>
  <si>
    <t xml:space="preserve">Đập thủy lợi </t>
  </si>
  <si>
    <t>Irrigation Dam</t>
  </si>
  <si>
    <t>TL051</t>
  </si>
  <si>
    <t xml:space="preserve">Đập bị sạt lở, hư hỏng </t>
  </si>
  <si>
    <t>Dam is damaged by landslides</t>
  </si>
  <si>
    <t>TL052</t>
  </si>
  <si>
    <t>Đập bị vỡ (ghi rõ tên đập, chiều dài vỡ)</t>
  </si>
  <si>
    <t>Broken dam (specify the name of the dam, the length of the break)</t>
  </si>
  <si>
    <t>TL06</t>
  </si>
  <si>
    <t xml:space="preserve">Số trạm bơm </t>
  </si>
  <si>
    <t>Number of pumping stations</t>
  </si>
  <si>
    <t>TL061</t>
  </si>
  <si>
    <t>Kiên cố bị hư hỏng</t>
  </si>
  <si>
    <t>Damaged fortifications</t>
  </si>
  <si>
    <t>TL062</t>
  </si>
  <si>
    <t>Bán kiên cố bị hư hỏng</t>
  </si>
  <si>
    <t>Semi-permanent damaged</t>
  </si>
  <si>
    <t>TL07</t>
  </si>
  <si>
    <t>Công trình thủy lợi khác bị vỡ, trôi và hư hỏng</t>
  </si>
  <si>
    <t>Other irrigation works are broken, washed away and damaged</t>
  </si>
  <si>
    <t>TL08</t>
  </si>
  <si>
    <t>Bờ biển, bờ sông, suối bị sạt lở</t>
  </si>
  <si>
    <t>Coasts, riverbanks, streams are eroded</t>
  </si>
  <si>
    <t>TL081</t>
  </si>
  <si>
    <t>Chiều dài sạt lở</t>
  </si>
  <si>
    <t>Landslide Length</t>
  </si>
  <si>
    <t>TL082</t>
  </si>
  <si>
    <t>Diện tích bị mất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</si>
  <si>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2</t>
    </r>
  </si>
  <si>
    <t>Lost Area</t>
  </si>
  <si>
    <t>TL084</t>
  </si>
  <si>
    <t>Khối lượng đá, bê tông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</si>
  <si>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</si>
  <si>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TL09</t>
  </si>
  <si>
    <t>Các thiệt hại về thủy lợi khác (*)</t>
  </si>
  <si>
    <t>Other irrigation damages (*)</t>
  </si>
  <si>
    <t>GT</t>
  </si>
  <si>
    <t>THIỆT HẠI VỀ GIAO THÔNG</t>
  </si>
  <si>
    <t>TRAFFIC DAMAGE</t>
  </si>
  <si>
    <t>GT01</t>
  </si>
  <si>
    <t xml:space="preserve">Đường giao thông Trung ương (quốc lộ) </t>
  </si>
  <si>
    <t>Central roads (national highways)</t>
  </si>
  <si>
    <t>GT011</t>
  </si>
  <si>
    <t xml:space="preserve">Length of landslides and damage </t>
  </si>
  <si>
    <t>GT012</t>
  </si>
  <si>
    <t xml:space="preserve">Chiều dài bị ngập </t>
  </si>
  <si>
    <t>Flooded length</t>
  </si>
  <si>
    <t>GT013</t>
  </si>
  <si>
    <t>Khối lượng đất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</si>
  <si>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</si>
  <si>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GT014</t>
  </si>
  <si>
    <t>Khối lượng đá, bê tông, nhựa đường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</si>
  <si>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</si>
  <si>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Volume of stone, concrete, asphalt</t>
  </si>
  <si>
    <t>GT015</t>
  </si>
  <si>
    <t>Cầu bị hư hỏng</t>
  </si>
  <si>
    <t>Damaged bridge</t>
  </si>
  <si>
    <t>GT016</t>
  </si>
  <si>
    <t>Cống bị hư hỏng</t>
  </si>
  <si>
    <t>Damaged drains</t>
  </si>
  <si>
    <t>GT017</t>
  </si>
  <si>
    <t>Điểm/đường giao thông bị sạt lở, ách tắc</t>
  </si>
  <si>
    <t>Traffic points/roads are subject to landslides and traffic jams</t>
  </si>
  <si>
    <t>GT018</t>
  </si>
  <si>
    <t>Thiết bị, máy móc, vật tư</t>
  </si>
  <si>
    <t>Equipment, machinery and supplies</t>
  </si>
  <si>
    <t>GT019</t>
  </si>
  <si>
    <t>Công trình phụ trợ khác</t>
  </si>
  <si>
    <t>Other ancillary works</t>
  </si>
  <si>
    <t>GT02</t>
  </si>
  <si>
    <t>Đường giao thông địa phương (đường tỉnh, đường huyện, đường xã)</t>
  </si>
  <si>
    <t>Local roads (provincial roads, district roads, commune roads)</t>
  </si>
  <si>
    <t>GT021</t>
  </si>
  <si>
    <t>Length of landslide and damage</t>
  </si>
  <si>
    <t>GT022</t>
  </si>
  <si>
    <t>GT023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</si>
  <si>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</si>
  <si>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GT024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</si>
  <si>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3</t>
    </r>
  </si>
  <si>
    <t>GT025</t>
  </si>
  <si>
    <t>GT026</t>
  </si>
  <si>
    <t>GT027</t>
  </si>
  <si>
    <t>GT028</t>
  </si>
  <si>
    <t>GT029</t>
  </si>
  <si>
    <t>GT03</t>
  </si>
  <si>
    <t xml:space="preserve">Đường sắt </t>
  </si>
  <si>
    <t>GT031</t>
  </si>
  <si>
    <t>Chiều dài hư hỏng đường ray</t>
  </si>
  <si>
    <t>GT032</t>
  </si>
  <si>
    <t>Chiều dài đường ray bị ngập</t>
  </si>
  <si>
    <t>GT033</t>
  </si>
  <si>
    <t>Khối lượng đất nền đường sạt lở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</si>
  <si>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</si>
  <si>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GT034</t>
  </si>
  <si>
    <t>Khối lượng đất, đá lấp đường sắt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</si>
  <si>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</si>
  <si>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GT035</t>
  </si>
  <si>
    <t>Cầu đường sắt bị hư hỏng</t>
  </si>
  <si>
    <t>GT036</t>
  </si>
  <si>
    <t>Cống đường sắt bị hư hỏng</t>
  </si>
  <si>
    <t>GT037</t>
  </si>
  <si>
    <t xml:space="preserve">Đầu máy, toa xe, phương tiện chuyên dùng đường sắt </t>
  </si>
  <si>
    <t>GT038</t>
  </si>
  <si>
    <t>Điểm đường giao thông bị sạt lở, ách tắc</t>
  </si>
  <si>
    <t>GT039</t>
  </si>
  <si>
    <t>GT04</t>
  </si>
  <si>
    <t>Đường thủy nội địa trung ương</t>
  </si>
  <si>
    <t>Central Inland Waterways</t>
  </si>
  <si>
    <t>GT041</t>
  </si>
  <si>
    <t>Phà, canô, tầu vận tải thủy bị chìm</t>
  </si>
  <si>
    <t>GT042</t>
  </si>
  <si>
    <t>Phà, canô, tầu vận tải thủy bị hư hỏng</t>
  </si>
  <si>
    <t>Ferries, canoes, and water transport ships were damaged</t>
  </si>
  <si>
    <t>GT043</t>
  </si>
  <si>
    <t>GT044</t>
  </si>
  <si>
    <t>Biển báo, báo hiệu bị trôi, hư hỏng</t>
  </si>
  <si>
    <t>GT045</t>
  </si>
  <si>
    <t>Khối lượng đất, đá sạt lở bờ sông</t>
  </si>
  <si>
    <t>m3</t>
  </si>
  <si>
    <t>GT046</t>
  </si>
  <si>
    <t>GT05</t>
  </si>
  <si>
    <t>Đường thủy nội địa địa phương</t>
  </si>
  <si>
    <t>Local inland waterways</t>
  </si>
  <si>
    <t>GT051</t>
  </si>
  <si>
    <t>Ferries, canoes, and water transport ships sank</t>
  </si>
  <si>
    <t>9.5.2</t>
  </si>
  <si>
    <t>GT052</t>
  </si>
  <si>
    <t>9.5.3</t>
  </si>
  <si>
    <t>GT054</t>
  </si>
  <si>
    <t>9.5.4</t>
  </si>
  <si>
    <t>GT055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</si>
  <si>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</si>
  <si>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9.5.5</t>
  </si>
  <si>
    <t>GT056</t>
  </si>
  <si>
    <t>GT06</t>
  </si>
  <si>
    <t>Hàng hải</t>
  </si>
  <si>
    <t>9.6.1</t>
  </si>
  <si>
    <t>GT061</t>
  </si>
  <si>
    <t>Tàu, thuyền vận tải thủy bị chìm</t>
  </si>
  <si>
    <t>9.6.2</t>
  </si>
  <si>
    <t>GT062</t>
  </si>
  <si>
    <t>9.6.3</t>
  </si>
  <si>
    <t>GT063</t>
  </si>
  <si>
    <t>Thiết bị, máy móc, vật tư bị hư hỏng</t>
  </si>
  <si>
    <t>9.6.4</t>
  </si>
  <si>
    <t>GT064</t>
  </si>
  <si>
    <t>Khối lượng đất, đát sạt lở cảng biển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</si>
  <si>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</si>
  <si>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9.6.5</t>
  </si>
  <si>
    <t>GT065</t>
  </si>
  <si>
    <t>GT07</t>
  </si>
  <si>
    <t>Hàng không</t>
  </si>
  <si>
    <t>9.7.1</t>
  </si>
  <si>
    <t>GT071</t>
  </si>
  <si>
    <t xml:space="preserve">Máy bay, trực thăng, phương tiện chuyên dùng khác </t>
  </si>
  <si>
    <t>9.7.2</t>
  </si>
  <si>
    <t>GT072</t>
  </si>
  <si>
    <t>Thiết bị, vật tư, máy móc hư hỏng</t>
  </si>
  <si>
    <t>9.7.3</t>
  </si>
  <si>
    <t>GT073</t>
  </si>
  <si>
    <t>9.7.4</t>
  </si>
  <si>
    <t>GT074</t>
  </si>
  <si>
    <t>Khối lượng đất, đá sạt lở cảng hàng không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</si>
  <si>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</si>
  <si>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9.7.5</t>
  </si>
  <si>
    <t>TS9</t>
  </si>
  <si>
    <t>Các thiệt hại về giao thông khác (*)</t>
  </si>
  <si>
    <t>TS</t>
  </si>
  <si>
    <t>THIỆT HẠI VỀ THỦY SẢN</t>
  </si>
  <si>
    <t>DAMAGE TO FISHERIES</t>
  </si>
  <si>
    <t>TS01</t>
  </si>
  <si>
    <t xml:space="preserve">Diện tích nuôi cá truyền thống </t>
  </si>
  <si>
    <t>Traditional fish farming area</t>
  </si>
  <si>
    <t>TS011</t>
  </si>
  <si>
    <t>Diện tích nuôi ao hồ nhỏ</t>
  </si>
  <si>
    <t>TS0111</t>
  </si>
  <si>
    <t>TS0112</t>
  </si>
  <si>
    <t>TS0113</t>
  </si>
  <si>
    <t>TS0114</t>
  </si>
  <si>
    <t>TS012</t>
  </si>
  <si>
    <t>Diện tích nuôi cá - lúa, nuôi hồ mặt nước lớn</t>
  </si>
  <si>
    <t>TS0121</t>
  </si>
  <si>
    <t>TS0122</t>
  </si>
  <si>
    <t>TS0123</t>
  </si>
  <si>
    <t>TS0124</t>
  </si>
  <si>
    <t>TS02</t>
  </si>
  <si>
    <t>Diện tích nuôi cá da trơn</t>
  </si>
  <si>
    <t>Catfish farming area</t>
  </si>
  <si>
    <t>TS021</t>
  </si>
  <si>
    <t>TS022</t>
  </si>
  <si>
    <t>TS023</t>
  </si>
  <si>
    <t>TS024</t>
  </si>
  <si>
    <t>TS03</t>
  </si>
  <si>
    <t xml:space="preserve">Diện tích nuôi tôm </t>
  </si>
  <si>
    <t>Shrimp farming area</t>
  </si>
  <si>
    <t>TS031</t>
  </si>
  <si>
    <t xml:space="preserve">Diện tích nuôi tôm quảng canh </t>
  </si>
  <si>
    <t>TS0311</t>
  </si>
  <si>
    <t>TS0312</t>
  </si>
  <si>
    <t>TS0313</t>
  </si>
  <si>
    <t>TS0314</t>
  </si>
  <si>
    <t>TS032</t>
  </si>
  <si>
    <t xml:space="preserve">Diện tích nuôi tôm thâm canh </t>
  </si>
  <si>
    <t>TS0321</t>
  </si>
  <si>
    <t>TS0322</t>
  </si>
  <si>
    <t>TS0323</t>
  </si>
  <si>
    <t>TS0324</t>
  </si>
  <si>
    <t>TS033</t>
  </si>
  <si>
    <t xml:space="preserve">Diện tích nuôi nhuyễn thể </t>
  </si>
  <si>
    <t>TS0331</t>
  </si>
  <si>
    <t>TS0332</t>
  </si>
  <si>
    <t>TS0333</t>
  </si>
  <si>
    <t>TS0334</t>
  </si>
  <si>
    <t>TS04</t>
  </si>
  <si>
    <t xml:space="preserve">Diện tích nuôi ngao </t>
  </si>
  <si>
    <t>Clam farming area</t>
  </si>
  <si>
    <t>TS041</t>
  </si>
  <si>
    <t>TS042</t>
  </si>
  <si>
    <t>TS043</t>
  </si>
  <si>
    <t>TS044</t>
  </si>
  <si>
    <t>TS05</t>
  </si>
  <si>
    <t>Các loại thuỷ, hải sản khác  (*)</t>
  </si>
  <si>
    <t>Other seafood (*)</t>
  </si>
  <si>
    <t>TS051</t>
  </si>
  <si>
    <t>TS052</t>
  </si>
  <si>
    <t>TS053</t>
  </si>
  <si>
    <t>TS054</t>
  </si>
  <si>
    <t>TS06</t>
  </si>
  <si>
    <t xml:space="preserve">Lồng, bè nuôi thủy, hải sản các loại </t>
  </si>
  <si>
    <r>
      <rPr>
        <b/>
        <sz val="10"/>
        <color theme="1"/>
        <rFont val="Times New Roman"/>
        <family val="1"/>
      </rPr>
      <t>100m</t>
    </r>
    <r>
      <rPr>
        <b/>
        <i/>
        <sz val="10"/>
        <color theme="1"/>
        <rFont val="Times New Roman"/>
        <family val="1"/>
      </rPr>
      <t>3/ lồng</t>
    </r>
  </si>
  <si>
    <t>Cages, aquaculture rafts, seafood of all kinds</t>
  </si>
  <si>
    <t>TS061</t>
  </si>
  <si>
    <r>
      <rPr>
        <sz val="10"/>
        <color theme="1"/>
        <rFont val="Times New Roman"/>
        <family val="1"/>
      </rPr>
      <t>100m</t>
    </r>
    <r>
      <rPr>
        <i/>
        <sz val="10"/>
        <color theme="1"/>
        <rFont val="Times New Roman"/>
        <family val="1"/>
      </rPr>
      <t>3/ lồng</t>
    </r>
  </si>
  <si>
    <t>TS062</t>
  </si>
  <si>
    <r>
      <rPr>
        <sz val="10"/>
        <color theme="1"/>
        <rFont val="Times New Roman"/>
        <family val="1"/>
      </rPr>
      <t>100m</t>
    </r>
    <r>
      <rPr>
        <i/>
        <sz val="10"/>
        <color theme="1"/>
        <rFont val="Times New Roman"/>
        <family val="1"/>
      </rPr>
      <t>3/lồng</t>
    </r>
  </si>
  <si>
    <t>TS063</t>
  </si>
  <si>
    <r>
      <rPr>
        <sz val="10"/>
        <color theme="1"/>
        <rFont val="Times New Roman"/>
        <family val="1"/>
      </rPr>
      <t>100m</t>
    </r>
    <r>
      <rPr>
        <i/>
        <sz val="10"/>
        <color theme="1"/>
        <rFont val="Times New Roman"/>
        <family val="1"/>
      </rPr>
      <t>3/lồng</t>
    </r>
  </si>
  <si>
    <t>TS064</t>
  </si>
  <si>
    <r>
      <rPr>
        <sz val="10"/>
        <color theme="1"/>
        <rFont val="Times New Roman"/>
        <family val="1"/>
      </rPr>
      <t>100m</t>
    </r>
    <r>
      <rPr>
        <i/>
        <sz val="10"/>
        <color theme="1"/>
        <rFont val="Times New Roman"/>
        <family val="1"/>
      </rPr>
      <t>3/lồng</t>
    </r>
  </si>
  <si>
    <t>TS07</t>
  </si>
  <si>
    <t xml:space="preserve">Phương tiện khai thác thuỷ, hải sản </t>
  </si>
  <si>
    <t>chiếc</t>
  </si>
  <si>
    <t>Means of exploitation of aquatic and seafood</t>
  </si>
  <si>
    <t>10.7.1</t>
  </si>
  <si>
    <t>TS071</t>
  </si>
  <si>
    <t>Công suất &lt;20CV</t>
  </si>
  <si>
    <t>10.7.1.1</t>
  </si>
  <si>
    <t>TS0711</t>
  </si>
  <si>
    <t>10.7.1.2</t>
  </si>
  <si>
    <t>TS0712</t>
  </si>
  <si>
    <t>10.7.1.3</t>
  </si>
  <si>
    <t>TS0713</t>
  </si>
  <si>
    <t>10.7.1.4</t>
  </si>
  <si>
    <t>TS0714</t>
  </si>
  <si>
    <t>10.7.2</t>
  </si>
  <si>
    <t>TS072</t>
  </si>
  <si>
    <t>Công suất 20-90CV</t>
  </si>
  <si>
    <t>10.7.2.1</t>
  </si>
  <si>
    <t>TS0721</t>
  </si>
  <si>
    <t>10.7.2.2</t>
  </si>
  <si>
    <t>TS0722</t>
  </si>
  <si>
    <t>10.7.2.3</t>
  </si>
  <si>
    <t>TS0723</t>
  </si>
  <si>
    <t>10.7.2.4</t>
  </si>
  <si>
    <t>TS0724</t>
  </si>
  <si>
    <t>10.7.3</t>
  </si>
  <si>
    <t>TS073</t>
  </si>
  <si>
    <t>Công suất trên 90CV</t>
  </si>
  <si>
    <t>10.7.3.1</t>
  </si>
  <si>
    <t>10.7.3.2</t>
  </si>
  <si>
    <t>10.7.3.3</t>
  </si>
  <si>
    <t>10.7.3.4</t>
  </si>
  <si>
    <t>TS074</t>
  </si>
  <si>
    <t>TS08</t>
  </si>
  <si>
    <t xml:space="preserve">Ngư cụ, trang thiết bị thông tin liên lạc </t>
  </si>
  <si>
    <t>10.8.1</t>
  </si>
  <si>
    <t>TS081</t>
  </si>
  <si>
    <t>10.8.2</t>
  </si>
  <si>
    <t>TS082</t>
  </si>
  <si>
    <t>10.8.3</t>
  </si>
  <si>
    <t>TS083</t>
  </si>
  <si>
    <t>10.8.4</t>
  </si>
  <si>
    <t>TS084</t>
  </si>
  <si>
    <t xml:space="preserve">Công trình tránh trú bão </t>
  </si>
  <si>
    <t>công trình</t>
  </si>
  <si>
    <t>TS10</t>
  </si>
  <si>
    <t>Các thiệt hại về thủy sản khác (*)</t>
  </si>
  <si>
    <t>Other damage to fisheries (*)</t>
  </si>
  <si>
    <t>THIỆT HẠI VỀ THÔNG TIN LIÊN LẠC</t>
  </si>
  <si>
    <t>COMMUNICATION DAMAGE</t>
  </si>
  <si>
    <t>TT01</t>
  </si>
  <si>
    <t>Cột Ăng ten bị đổ, gãy (BTS)</t>
  </si>
  <si>
    <t>Collapsed or broken Antenna Pole (BTS)</t>
  </si>
  <si>
    <t>TT02</t>
  </si>
  <si>
    <t>Cột treo cáp bị đổ, gãy</t>
  </si>
  <si>
    <t>The cable pole fell and broke</t>
  </si>
  <si>
    <t>TT03</t>
  </si>
  <si>
    <t xml:space="preserve">Nhà trạm </t>
  </si>
  <si>
    <t>Station House</t>
  </si>
  <si>
    <t>11.3.1</t>
  </si>
  <si>
    <t>TT031</t>
  </si>
  <si>
    <t>11.3.2</t>
  </si>
  <si>
    <t>TT032</t>
  </si>
  <si>
    <t>11.3.3</t>
  </si>
  <si>
    <t>TT033</t>
  </si>
  <si>
    <t>11.3.4</t>
  </si>
  <si>
    <t>TT034</t>
  </si>
  <si>
    <t>TT04</t>
  </si>
  <si>
    <t xml:space="preserve">Tuyến cáp </t>
  </si>
  <si>
    <t>Cable Glands</t>
  </si>
  <si>
    <t>11.4.1</t>
  </si>
  <si>
    <t>TT041</t>
  </si>
  <si>
    <t>11.4.2</t>
  </si>
  <si>
    <t>TT042</t>
  </si>
  <si>
    <t>11.4.3</t>
  </si>
  <si>
    <t>TT043</t>
  </si>
  <si>
    <t>11.4.4</t>
  </si>
  <si>
    <t>TT044</t>
  </si>
  <si>
    <t>TT05</t>
  </si>
  <si>
    <t xml:space="preserve">Các máy móc, thiết bị thông tin liên lạc </t>
  </si>
  <si>
    <t>Communication machines and equipment</t>
  </si>
  <si>
    <t>TT06</t>
  </si>
  <si>
    <t>Các thiệt hại về thông tin liên lạc khác (*)</t>
  </si>
  <si>
    <t>Other communication damage (*)</t>
  </si>
  <si>
    <t>CN</t>
  </si>
  <si>
    <t>THIỆT HẠI VỀ CÔNG NGHIỆP</t>
  </si>
  <si>
    <t>INDUSTRIAL DAMAGE</t>
  </si>
  <si>
    <t>CN01</t>
  </si>
  <si>
    <t>Cột điện</t>
  </si>
  <si>
    <t> cái</t>
  </si>
  <si>
    <t>Power Pole</t>
  </si>
  <si>
    <t>CN011</t>
  </si>
  <si>
    <t>Trung và cao thế</t>
  </si>
  <si>
    <t>Medium and high voltage</t>
  </si>
  <si>
    <t>CN012</t>
  </si>
  <si>
    <t>Hạ thế</t>
  </si>
  <si>
    <t>Low Voltage</t>
  </si>
  <si>
    <t>CN02</t>
  </si>
  <si>
    <t>Dây điện bị đứt</t>
  </si>
  <si>
    <t>Broken wires</t>
  </si>
  <si>
    <t>CN021</t>
  </si>
  <si>
    <t>CN022</t>
  </si>
  <si>
    <t>CN03</t>
  </si>
  <si>
    <t xml:space="preserve">Trạm biến thế bị hư hỏng </t>
  </si>
  <si>
    <t>Damaged transformer station</t>
  </si>
  <si>
    <t>CN031</t>
  </si>
  <si>
    <t>CN032</t>
  </si>
  <si>
    <t>CN04</t>
  </si>
  <si>
    <t xml:space="preserve">Kè bờ thủy điện </t>
  </si>
  <si>
    <t>Hydropower embankment</t>
  </si>
  <si>
    <t>CN041</t>
  </si>
  <si>
    <t>Chiều dài bị sạt</t>
  </si>
  <si>
    <t>CN042</t>
  </si>
  <si>
    <t>Diện tích bị bong xô</t>
  </si>
  <si>
    <r>
      <rPr>
        <i/>
        <sz val="12"/>
        <color theme="1"/>
        <rFont val="Times New Roman"/>
        <family val="1"/>
      </rPr>
      <t>m</t>
    </r>
    <r>
      <rPr>
        <i/>
        <vertAlign val="superscript"/>
        <sz val="12"/>
        <color theme="1"/>
        <rFont val="Times New Roman"/>
        <family val="1"/>
      </rPr>
      <t>2</t>
    </r>
  </si>
  <si>
    <t>CN043</t>
  </si>
  <si>
    <t>CN05</t>
  </si>
  <si>
    <t>Hệ thống thoát nước bị bồi lấp, phá hủy</t>
  </si>
  <si>
    <t>The drainage system is filled and destroyed</t>
  </si>
  <si>
    <t>CN06</t>
  </si>
  <si>
    <t xml:space="preserve">Nhà xưởng, xí nghiệp, công trình công nghiệp  </t>
  </si>
  <si>
    <t>Factories, factories, industrial works</t>
  </si>
  <si>
    <t>CN061</t>
  </si>
  <si>
    <t>CN062</t>
  </si>
  <si>
    <t>CN063</t>
  </si>
  <si>
    <t>CN064</t>
  </si>
  <si>
    <t>CN07</t>
  </si>
  <si>
    <t>Máy móc, thiết bị bị phá hủy, hư hỏng</t>
  </si>
  <si>
    <t>Destroyed or damaged machinery and equipment</t>
  </si>
  <si>
    <t>CN08</t>
  </si>
  <si>
    <t>Than, khoảng sản bị trôi</t>
  </si>
  <si>
    <t>CN09</t>
  </si>
  <si>
    <t>Sản phẩm công nghiệp khác bị cuốn trôi, hư hỏng</t>
  </si>
  <si>
    <t>12.10</t>
  </si>
  <si>
    <t>CN10</t>
  </si>
  <si>
    <t>Thiệt hại khác trong nhà máy, xí nghiệp (*)</t>
  </si>
  <si>
    <t>12.11</t>
  </si>
  <si>
    <t>CN11</t>
  </si>
  <si>
    <t>Thiệt hại khác trong hầm mỏ (*)</t>
  </si>
  <si>
    <t>CN12</t>
  </si>
  <si>
    <t>Thiệt hại khác trong công trình thủy điện (*)</t>
  </si>
  <si>
    <t>CN13</t>
  </si>
  <si>
    <t>Giàn khoan, giàn khai thác Dầu khí bị trôi, đổ, hư hỏng</t>
  </si>
  <si>
    <t>12.13.1</t>
  </si>
  <si>
    <t>CN141</t>
  </si>
  <si>
    <t>Giàn khoan</t>
  </si>
  <si>
    <t>12.13.2</t>
  </si>
  <si>
    <t>CN142</t>
  </si>
  <si>
    <t>Giàn khai thác</t>
  </si>
  <si>
    <t>CN14</t>
  </si>
  <si>
    <t>Đường ống bị vỡ</t>
  </si>
  <si>
    <t>12.14.1</t>
  </si>
  <si>
    <t>Đường ống nội mỏ</t>
  </si>
  <si>
    <t>12.14.2</t>
  </si>
  <si>
    <t>Đường ống chuyển dầu khí vào bờ, trên bờ</t>
  </si>
  <si>
    <t>CN15</t>
  </si>
  <si>
    <t xml:space="preserve">Kho chứa nỗi </t>
  </si>
  <si>
    <t>12.15.1</t>
  </si>
  <si>
    <t>CN151</t>
  </si>
  <si>
    <t>Tàu nổi xử lý và chứa dầu (FTSO)</t>
  </si>
  <si>
    <t>12.15.2</t>
  </si>
  <si>
    <t>CN152</t>
  </si>
  <si>
    <t>Tàu nổi chứa dầu FSO</t>
  </si>
  <si>
    <t>CN17</t>
  </si>
  <si>
    <t>Các thiệt hại về công nghiệp khác (*)</t>
  </si>
  <si>
    <t>XD</t>
  </si>
  <si>
    <t>THIỆT HẠI VỀ XÂY DỰNG</t>
  </si>
  <si>
    <t>XD01</t>
  </si>
  <si>
    <t xml:space="preserve">Các công trình đang thi công </t>
  </si>
  <si>
    <t>13.1.1</t>
  </si>
  <si>
    <t>XD011</t>
  </si>
  <si>
    <t>13.1.2</t>
  </si>
  <si>
    <t>XD012</t>
  </si>
  <si>
    <t>13.1.3</t>
  </si>
  <si>
    <t>XD013</t>
  </si>
  <si>
    <t>13.1.4</t>
  </si>
  <si>
    <t>XD014</t>
  </si>
  <si>
    <t>XD02</t>
  </si>
  <si>
    <t xml:space="preserve">Máy móc, thiết bị xây dựng </t>
  </si>
  <si>
    <t>13.2.1</t>
  </si>
  <si>
    <t>XD021</t>
  </si>
  <si>
    <t>13.2.2</t>
  </si>
  <si>
    <t>XD022</t>
  </si>
  <si>
    <t>13.2.3</t>
  </si>
  <si>
    <t>XD023</t>
  </si>
  <si>
    <t>13.2.4</t>
  </si>
  <si>
    <t>XD024</t>
  </si>
  <si>
    <t>XD03</t>
  </si>
  <si>
    <t xml:space="preserve">Vật liệu xây dựng </t>
  </si>
  <si>
    <t>13.3.1</t>
  </si>
  <si>
    <t>XD031</t>
  </si>
  <si>
    <t>13.3.2</t>
  </si>
  <si>
    <t>XD032</t>
  </si>
  <si>
    <t>13.3.3</t>
  </si>
  <si>
    <t>XD033</t>
  </si>
  <si>
    <t>13.3.4</t>
  </si>
  <si>
    <t>XD034</t>
  </si>
  <si>
    <t>XD04</t>
  </si>
  <si>
    <t>Các thiệt hại về xây dựng khác (*)</t>
  </si>
  <si>
    <t>MT</t>
  </si>
  <si>
    <t>THIỆT HẠI VỀ NƯỚC SẠCH VÀ VỆ SINH MÔI TRƯỜNG</t>
  </si>
  <si>
    <t>DAMAGE TO CLEAN WATER AND ENVIRONMENTAL SANITATION</t>
  </si>
  <si>
    <t>MT01</t>
  </si>
  <si>
    <t>Diện tích vùng dân cư thiếu nước bị nhiễm mặn</t>
  </si>
  <si>
    <t>MT02</t>
  </si>
  <si>
    <t xml:space="preserve">Diện tích vùng dân cư bị ô nhiễm </t>
  </si>
  <si>
    <t>MT03</t>
  </si>
  <si>
    <t>Số hộ thiếu nước sạch sử dụng</t>
  </si>
  <si>
    <t>MT04</t>
  </si>
  <si>
    <t>Công trình cấp nước bị hư hỏng</t>
  </si>
  <si>
    <t>Damaged water supply works</t>
  </si>
  <si>
    <t>MT05</t>
  </si>
  <si>
    <t>Các thiệt hại về NS và VSMT khác (*)</t>
  </si>
  <si>
    <t>Other NS and VSMT damages (*)</t>
  </si>
  <si>
    <t>CT</t>
  </si>
  <si>
    <t>THIỆT HẠI VỀ CÁC CÔNG TRÌNH KHÁC</t>
  </si>
  <si>
    <t>DAMAGE TO OTHER WORKS</t>
  </si>
  <si>
    <t>CT01</t>
  </si>
  <si>
    <t xml:space="preserve">Trụ sở cơ quan </t>
  </si>
  <si>
    <t>Agency Headquarters</t>
  </si>
  <si>
    <t>CT011</t>
  </si>
  <si>
    <t>CT012</t>
  </si>
  <si>
    <t>CT013</t>
  </si>
  <si>
    <t>CT014</t>
  </si>
  <si>
    <t>CT02</t>
  </si>
  <si>
    <t xml:space="preserve">Chợ, trung tâm thương mại </t>
  </si>
  <si>
    <t>Markets, commercial centers</t>
  </si>
  <si>
    <t>CT021</t>
  </si>
  <si>
    <t>CT022</t>
  </si>
  <si>
    <t>CT023</t>
  </si>
  <si>
    <t>CT024</t>
  </si>
  <si>
    <t>CT03</t>
  </si>
  <si>
    <t xml:space="preserve">Nhà kho, phân xưởng </t>
  </si>
  <si>
    <r>
      <rPr>
        <b/>
        <sz val="12"/>
        <color theme="1"/>
        <rFont val="Times New Roman"/>
        <family val="1"/>
      </rPr>
      <t>cái/m</t>
    </r>
    <r>
      <rPr>
        <b/>
        <vertAlign val="superscript"/>
        <sz val="12"/>
        <color theme="1"/>
        <rFont val="Times New Roman"/>
        <family val="1"/>
      </rPr>
      <t>2</t>
    </r>
  </si>
  <si>
    <t>Warehouses, workshops</t>
  </si>
  <si>
    <t>CT031</t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</si>
  <si>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</si>
  <si>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CT032</t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</si>
  <si>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</si>
  <si>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CT033</t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</si>
  <si>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</si>
  <si>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CT034</t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</si>
  <si>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</si>
  <si>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CT06</t>
  </si>
  <si>
    <t>Công trình quốc phòng, an ninh và các công trình phòng chống thiên tai khác (*)</t>
  </si>
  <si>
    <t>National defense and security works and other natural disaster prevention and control works (*)</t>
  </si>
  <si>
    <t>CT04</t>
  </si>
  <si>
    <t>Tường rào, cổng bị đổ, sập, hư hỏng</t>
  </si>
  <si>
    <t>Fences and gates have collapsed, collapsed, or damaged</t>
  </si>
  <si>
    <t>CT05</t>
  </si>
  <si>
    <t>Công trình phụ bị hư hỏng</t>
  </si>
  <si>
    <t>CT07</t>
  </si>
  <si>
    <t>Các thiệt hại khác (*)</t>
  </si>
  <si>
    <t>ƯỚC TÍNH TỔNG THIỆT HẠI BẰNG TIỀN</t>
  </si>
  <si>
    <t>Triệu đồng</t>
  </si>
  <si>
    <t xml:space="preserve">                                                                                                                </t>
  </si>
  <si>
    <t xml:space="preserve">                                                                                                                    </t>
  </si>
  <si>
    <t>PHỤ LỤC</t>
  </si>
  <si>
    <t>Phụ lục</t>
  </si>
  <si>
    <t xml:space="preserve">TỔNG HỢP THIỆT HẠI DO </t>
  </si>
  <si>
    <t>Tổng cộng</t>
  </si>
  <si>
    <t>Số văn bản báo cáo</t>
  </si>
  <si>
    <t>1.2.1</t>
  </si>
  <si>
    <t>1.2.2</t>
  </si>
  <si>
    <t>1.2.3</t>
  </si>
  <si>
    <t>1.2.4</t>
  </si>
  <si>
    <t>5.1.1</t>
  </si>
  <si>
    <t>5.1.2</t>
  </si>
  <si>
    <t>5.1.3</t>
  </si>
  <si>
    <t>5.1.4</t>
  </si>
  <si>
    <t>7.1.4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</si>
  <si>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</si>
  <si>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Điểm</t>
  </si>
  <si>
    <t>8.1.1</t>
  </si>
  <si>
    <t>8.1.2</t>
  </si>
  <si>
    <t>8.1.3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</si>
  <si>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</si>
  <si>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</si>
  <si>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</si>
  <si>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8.2.1</t>
  </si>
  <si>
    <t>8.2.2</t>
  </si>
  <si>
    <t>8.2.3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</si>
  <si>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</si>
  <si>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</si>
  <si>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</si>
  <si>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</si>
  <si>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</si>
  <si>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</si>
  <si>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</si>
  <si>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</si>
  <si>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8.8.1</t>
  </si>
  <si>
    <t>8.8.2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</si>
  <si>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</si>
  <si>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t>8.8.4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</si>
  <si>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</si>
  <si>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Tuyến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</si>
  <si>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</si>
  <si>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</si>
  <si>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</si>
  <si>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</si>
  <si>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9.2.8</t>
  </si>
  <si>
    <t>9.2.9</t>
  </si>
  <si>
    <t>9.3.1</t>
  </si>
  <si>
    <t>9.3.2</t>
  </si>
  <si>
    <t>9.3.3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</si>
  <si>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</si>
  <si>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9.3.4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</si>
  <si>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</si>
  <si>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9.3.5</t>
  </si>
  <si>
    <t>9.3.6</t>
  </si>
  <si>
    <t>9.3.7</t>
  </si>
  <si>
    <t>9.3.8</t>
  </si>
  <si>
    <t>9.3.9</t>
  </si>
  <si>
    <t>9.4.1</t>
  </si>
  <si>
    <t>9.4.2</t>
  </si>
  <si>
    <t>9.4.3</t>
  </si>
  <si>
    <t>9.4.4</t>
  </si>
  <si>
    <t>9.4.5</t>
  </si>
  <si>
    <t>9.4.6</t>
  </si>
  <si>
    <t>9.5.1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</si>
  <si>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</si>
  <si>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</si>
  <si>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</si>
  <si>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t>10.1.1</t>
  </si>
  <si>
    <t>10.1.1.1</t>
  </si>
  <si>
    <t>10.1.1.2</t>
  </si>
  <si>
    <t>10.1.1.3</t>
  </si>
  <si>
    <t>10.1.1.4</t>
  </si>
  <si>
    <t>10.1.2</t>
  </si>
  <si>
    <t>10.1.2.1</t>
  </si>
  <si>
    <t>10.1.2.2</t>
  </si>
  <si>
    <t>10.1.2.3</t>
  </si>
  <si>
    <t>10.1.2.4</t>
  </si>
  <si>
    <t>10.2.1</t>
  </si>
  <si>
    <t>10.2.2</t>
  </si>
  <si>
    <t>10.2.3</t>
  </si>
  <si>
    <t>10.2.4</t>
  </si>
  <si>
    <t>10.3.1</t>
  </si>
  <si>
    <t>10.3.1.1</t>
  </si>
  <si>
    <t>10.3.1.2</t>
  </si>
  <si>
    <t>10.3.1.3</t>
  </si>
  <si>
    <t>10.3.1.4</t>
  </si>
  <si>
    <t>10.3.2</t>
  </si>
  <si>
    <t>10.3.2.1</t>
  </si>
  <si>
    <t>10.3.2.2</t>
  </si>
  <si>
    <t>10.3.2.3</t>
  </si>
  <si>
    <t>10.3.2.4</t>
  </si>
  <si>
    <t>10.3.3</t>
  </si>
  <si>
    <t>10.3.3.1</t>
  </si>
  <si>
    <t>10.3.3.2</t>
  </si>
  <si>
    <t>10.3.3.3</t>
  </si>
  <si>
    <t>10.3.3.4</t>
  </si>
  <si>
    <t>10.4.1</t>
  </si>
  <si>
    <t>10.4.2</t>
  </si>
  <si>
    <t>10.4.3</t>
  </si>
  <si>
    <t>10.4.4</t>
  </si>
  <si>
    <t>10.5.1</t>
  </si>
  <si>
    <t>10.5.2</t>
  </si>
  <si>
    <t>10.5.3</t>
  </si>
  <si>
    <t>10.5.4</t>
  </si>
  <si>
    <t>100m3/lồng</t>
  </si>
  <si>
    <t>10.6.1</t>
  </si>
  <si>
    <t>10.6.2</t>
  </si>
  <si>
    <t>10.6.3</t>
  </si>
  <si>
    <t>10.6.4</t>
  </si>
  <si>
    <t>10.10</t>
  </si>
  <si>
    <t>Cột Ăng ten bị đổ, gãy</t>
  </si>
  <si>
    <t>Cột điện bị đổ, gãy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</si>
  <si>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</si>
  <si>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</si>
  <si>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</si>
  <si>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</si>
  <si>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</si>
  <si>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</si>
  <si>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 xml:space="preserve">Sơn La </t>
  </si>
  <si>
    <t xml:space="preserve">Thái Nguyên </t>
  </si>
  <si>
    <t xml:space="preserve">Bắc Giang </t>
  </si>
  <si>
    <t xml:space="preserve">Vĩnh Phúc </t>
  </si>
  <si>
    <t xml:space="preserve">Thái Bình </t>
  </si>
  <si>
    <t>Nghệ An</t>
  </si>
  <si>
    <t>Hà Tĩnh</t>
  </si>
  <si>
    <t>Quảng Bình</t>
  </si>
  <si>
    <t xml:space="preserve">Quảng Trị </t>
  </si>
  <si>
    <t>Thừa Thiên Huế</t>
  </si>
  <si>
    <t>Đà Nẵng</t>
  </si>
  <si>
    <t>Quảng Nam</t>
  </si>
  <si>
    <t>Quảng Ngãi</t>
  </si>
  <si>
    <t>Bình Định</t>
  </si>
  <si>
    <t>Phú Yên</t>
  </si>
  <si>
    <t>Khánh Hoà</t>
  </si>
  <si>
    <t>Ninh Thuận</t>
  </si>
  <si>
    <t>Bình Thuận</t>
  </si>
  <si>
    <t xml:space="preserve">Kon Tum </t>
  </si>
  <si>
    <t>Gia Lai</t>
  </si>
  <si>
    <t>Đắk Lắk</t>
  </si>
  <si>
    <t>Đắk Nông</t>
  </si>
  <si>
    <t>Lâm Đồng</t>
  </si>
  <si>
    <t>Tây Ninh</t>
  </si>
  <si>
    <t xml:space="preserve">Bình Phước </t>
  </si>
  <si>
    <t>Bình Dương</t>
  </si>
  <si>
    <t>Bà Rịa - Vũng Tàu</t>
  </si>
  <si>
    <t>Bến Tre</t>
  </si>
  <si>
    <t>An Giang</t>
  </si>
  <si>
    <t>Vĩnh Long</t>
  </si>
  <si>
    <t>TP. Cần Thơ</t>
  </si>
  <si>
    <t>Hậu Giang</t>
  </si>
  <si>
    <t>Sóc Trăng</t>
  </si>
  <si>
    <t>Bạc Liêu</t>
  </si>
  <si>
    <t xml:space="preserve">Cà Mau </t>
  </si>
  <si>
    <t xml:space="preserve">Kiên Giang </t>
  </si>
  <si>
    <t>Đồng Tháp</t>
  </si>
  <si>
    <t xml:space="preserve">Trà Vinh </t>
  </si>
  <si>
    <t>Tiền Giang</t>
  </si>
  <si>
    <t>Long An</t>
  </si>
  <si>
    <t>Đồng Nai</t>
  </si>
  <si>
    <t xml:space="preserve">TP. Hồ Chí Minh 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</si>
  <si>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</si>
  <si>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</si>
  <si>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</si>
  <si>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</si>
  <si>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</si>
  <si>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</si>
  <si>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</si>
  <si>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</si>
  <si>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</si>
  <si>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</si>
  <si>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</si>
  <si>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</si>
  <si>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</si>
  <si>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</si>
  <si>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</si>
  <si>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</si>
  <si>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</si>
  <si>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</si>
  <si>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</si>
  <si>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</si>
  <si>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</si>
  <si>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</si>
  <si>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</si>
  <si>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</si>
  <si>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</si>
  <si>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</si>
  <si>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</si>
  <si>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</si>
  <si>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</si>
  <si>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</si>
  <si>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</si>
  <si>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</si>
  <si>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</si>
  <si>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</si>
  <si>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</si>
  <si>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</si>
  <si>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</si>
  <si>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</si>
  <si>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</si>
  <si>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</si>
  <si>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</si>
  <si>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</si>
  <si>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</si>
  <si>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</si>
  <si>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</si>
  <si>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</si>
  <si>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</si>
  <si>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</si>
  <si>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</si>
  <si>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</si>
  <si>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</si>
  <si>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</si>
  <si>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</si>
  <si>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</si>
  <si>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</si>
  <si>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</si>
  <si>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</si>
  <si>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</si>
  <si>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</si>
  <si>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</si>
  <si>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</si>
  <si>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</si>
  <si>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</si>
  <si>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</si>
  <si>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</si>
  <si>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</si>
  <si>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</si>
  <si>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</si>
  <si>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</si>
  <si>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</si>
  <si>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</si>
  <si>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</si>
  <si>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</si>
  <si>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</si>
  <si>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</si>
  <si>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</si>
  <si>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</si>
  <si>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</si>
  <si>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</si>
  <si>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</si>
  <si>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</si>
  <si>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</si>
  <si>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</si>
  <si>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</si>
  <si>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</si>
  <si>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</si>
  <si>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</si>
  <si>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 xml:space="preserve">TỔNG HỢP THIỆT HẠI DO  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</si>
  <si>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</si>
  <si>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</si>
  <si>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</si>
  <si>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</si>
  <si>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</si>
  <si>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</si>
  <si>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</si>
  <si>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</si>
  <si>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</si>
  <si>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</si>
  <si>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</si>
  <si>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</si>
  <si>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</si>
  <si>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</si>
  <si>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</si>
  <si>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</si>
  <si>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</si>
  <si>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</si>
  <si>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</si>
  <si>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</si>
  <si>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</si>
  <si>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</si>
  <si>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</si>
  <si>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</si>
  <si>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</si>
  <si>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</si>
  <si>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</si>
  <si>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</si>
  <si>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</si>
  <si>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TỔNG HỢP THIỆT HẠI DO</t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</si>
  <si>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</si>
  <si>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</si>
  <si>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</si>
  <si>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</si>
  <si>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</si>
  <si>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</si>
  <si>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</si>
  <si>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</si>
  <si>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</si>
  <si>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</si>
  <si>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</si>
  <si>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</si>
  <si>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</si>
  <si>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</si>
  <si>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</si>
  <si>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</si>
  <si>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</si>
  <si>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</si>
  <si>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</si>
  <si>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</si>
  <si>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</si>
  <si>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</si>
  <si>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</si>
  <si>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</si>
  <si>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</si>
  <si>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</si>
  <si>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</si>
  <si>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</si>
  <si>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</si>
  <si>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</si>
  <si>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</si>
  <si>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</si>
  <si>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</si>
  <si>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</si>
  <si>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</si>
  <si>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</si>
  <si>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</si>
  <si>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</si>
  <si>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</si>
  <si>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</si>
  <si>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</si>
  <si>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</si>
  <si>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</si>
  <si>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</si>
  <si>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</si>
  <si>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</si>
  <si>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</si>
  <si>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</si>
  <si>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</si>
  <si>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</si>
  <si>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</si>
  <si>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</si>
  <si>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</si>
  <si>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</si>
  <si>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</si>
  <si>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</si>
  <si>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</si>
  <si>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</si>
  <si>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</si>
  <si>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</si>
  <si>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</si>
  <si>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</si>
  <si>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</si>
  <si>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</si>
  <si>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</si>
  <si>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</si>
  <si>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</si>
  <si>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</si>
  <si>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</si>
  <si>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</si>
  <si>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</si>
  <si>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</si>
  <si>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</si>
  <si>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</si>
  <si>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</si>
  <si>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</si>
  <si>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</si>
  <si>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</si>
  <si>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</si>
  <si>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</si>
  <si>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3</t>
    </r>
  </si>
  <si>
    <r>
      <rPr>
        <sz val="12"/>
        <color theme="1"/>
        <rFont val="Times New Roman"/>
        <family val="1"/>
      </rPr>
      <t>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</si>
  <si>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</si>
  <si>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</si>
  <si>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</si>
  <si>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</si>
  <si>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r>
      <rPr>
        <sz val="12"/>
        <color theme="1"/>
        <rFont val="Times New Roman"/>
        <family val="1"/>
      </rPr>
      <t>cái/m</t>
    </r>
    <r>
      <rPr>
        <vertAlign val="superscript"/>
        <sz val="12"/>
        <color theme="1"/>
        <rFont val="Times New Roman"/>
        <family val="1"/>
      </rPr>
      <t>2</t>
    </r>
  </si>
  <si>
    <t>THIỆT HẠITHIÊN TAI THÁNG 12 NĂM 2021 (TÍNH ĐẾN 28/12/2021)</t>
  </si>
  <si>
    <t>(Tính đến ngày 28/12/2017)</t>
  </si>
  <si>
    <t>Thời gian:</t>
  </si>
  <si>
    <t>Địa điểm nơi xảy ra thiên tai</t>
  </si>
  <si>
    <t>Loại hình thiên tai: (ghi loại hình thiên tai cụ thể)</t>
  </si>
  <si>
    <t>Mưa lũ 9-11/10 MT</t>
  </si>
  <si>
    <t>Trà Vinh</t>
  </si>
  <si>
    <t>Quảng Trị</t>
  </si>
  <si>
    <t>Kon Tum</t>
  </si>
  <si>
    <t>Khánh Hòa</t>
  </si>
  <si>
    <t>10-13/10/2022</t>
  </si>
  <si>
    <t>10/10/2022</t>
  </si>
  <si>
    <t>06-13/10/2022</t>
  </si>
  <si>
    <t>1-2/10/2022</t>
  </si>
  <si>
    <t>09/10/2022</t>
  </si>
  <si>
    <t>26/10/2022</t>
  </si>
  <si>
    <t>10-11/10/2022</t>
  </si>
  <si>
    <t>Hàm Thuận Bắc, Hàm Thuận Nam</t>
  </si>
  <si>
    <t>02h51h41'' ngày 01/10/2022</t>
  </si>
  <si>
    <t>20h41h51'' ngày 01/10/2022</t>
  </si>
  <si>
    <t>08h57p14'' ngày 02/10/2022</t>
  </si>
  <si>
    <t>13h35p04'' ngày 03/10/2022</t>
  </si>
  <si>
    <t>12h28h57'' ngày 05/10/2022
(trận 1)</t>
  </si>
  <si>
    <t>14h00h31'' ngày 05/10/2022
(trận 2)</t>
  </si>
  <si>
    <t>17h09h29'' ngày 05/10/2022
(trận 3)</t>
  </si>
  <si>
    <t>01h37p37'' ngày 06/10/2022</t>
  </si>
  <si>
    <t>18h02p06'' ngày 07/10/2022</t>
  </si>
  <si>
    <t>16h15h00'' ngày 10/10/2022
(trận 1)</t>
  </si>
  <si>
    <t>18h00h28'' ngày 10/10/2022
(trận 2)</t>
  </si>
  <si>
    <t>14h00h50'' ngày 12/10/2022</t>
  </si>
  <si>
    <t>11h21h49'' ngày 13/10/2022</t>
  </si>
  <si>
    <t>02h56h31'' ngày 19/10/2022</t>
  </si>
  <si>
    <t>08h35h53'' ngày 19/10/2022 (trận 2)</t>
  </si>
  <si>
    <t>22h08h52'' ngày 21/10/2022</t>
  </si>
  <si>
    <t>18h56h35'' ngày 23/10/2022</t>
  </si>
  <si>
    <t>12h19h12'' ngày 24/10/2022 (trận 1)</t>
  </si>
  <si>
    <t>23h03h40'' ngày 24/10/2022 (trận 2)</t>
  </si>
  <si>
    <t>10h19h02'' ngày 25/10/2022 (trận 1)</t>
  </si>
  <si>
    <t>13h09h23'' ngày 25/10/2022 (trận 2)</t>
  </si>
  <si>
    <t>15h02h45'' ngày 27/10/2022 (trận 1)</t>
  </si>
  <si>
    <t>15h28h50'' ngày 27/10/2022 (trận 2)</t>
  </si>
  <si>
    <t>03h20h35'' ngày 30/10/2022</t>
  </si>
  <si>
    <t>02h55h47'' ngày 31/10/2022</t>
  </si>
  <si>
    <t>15h/04/10</t>
  </si>
  <si>
    <t>21/10/2022</t>
  </si>
  <si>
    <t>Tân Châu</t>
  </si>
  <si>
    <t>thị xã Tân Châu</t>
  </si>
  <si>
    <t>Tân Biên, Dương Minh Châu</t>
  </si>
  <si>
    <t>Tân Biên</t>
  </si>
  <si>
    <t>Kon Plông</t>
  </si>
  <si>
    <t>Mộc Châu</t>
  </si>
  <si>
    <t>Tương Dương</t>
  </si>
  <si>
    <t>sạt lở đất bờ sông</t>
  </si>
  <si>
    <t>mưa, gió lốc, triều cường</t>
  </si>
  <si>
    <t>sạt lở bờ sông</t>
  </si>
  <si>
    <t>lũ kết hợp triều cường</t>
  </si>
  <si>
    <t>triều cường gây ngập, sạt lở</t>
  </si>
  <si>
    <t>mưa lớn</t>
  </si>
  <si>
    <t>mưa lớn, ngập úng</t>
  </si>
  <si>
    <t xml:space="preserve">Sóng to, gió lớn </t>
  </si>
  <si>
    <t>sóng lớn kết hợp triều cường</t>
  </si>
  <si>
    <t>100/BC-VPTT</t>
  </si>
  <si>
    <t>91/BĐKH-PCTT.VP</t>
  </si>
  <si>
    <t>/BC-VPTT</t>
  </si>
  <si>
    <t>25/BC-PCTT&amp;TKCN</t>
  </si>
  <si>
    <t>43/BC-BCH</t>
  </si>
  <si>
    <t>87/BC-VPTT</t>
  </si>
  <si>
    <t>88/BC-VPTT</t>
  </si>
  <si>
    <t>93/BC-VPTT</t>
  </si>
  <si>
    <t>160/BC-PCTT</t>
  </si>
  <si>
    <t>188/BC-UBND</t>
  </si>
  <si>
    <t>221, 222/BC-PCTT</t>
  </si>
  <si>
    <t>177/BC-VPTT-PCTT</t>
  </si>
  <si>
    <t>403/BC-UBND</t>
  </si>
  <si>
    <t>220/BC-UBND</t>
  </si>
  <si>
    <t>208/BC-BCH</t>
  </si>
  <si>
    <t>14.945 độ vĩ Bắc, 108.250 độ kinh Đông</t>
  </si>
  <si>
    <t>14.851 độ vĩ Bắc, 108.233 độ kinh Đông</t>
  </si>
  <si>
    <t>20.812 độ vĩ Bắc, 104.730 độ kinh Đông</t>
  </si>
  <si>
    <t>20.854 độ vĩ Bắc, 104.755 độ kinh Đông</t>
  </si>
  <si>
    <t>14.904 độ vĩ Bắc, 108.222 độ kinh Đông</t>
  </si>
  <si>
    <t>14.845 độ vĩ Bắc, 108.280 độ kinh Đông</t>
  </si>
  <si>
    <t>14.877 độ vĩ Bắc, 108.207 độ kinh Đông</t>
  </si>
  <si>
    <t>20.882 độ vĩ Bắc, 104.713 độ kinh Đông</t>
  </si>
  <si>
    <t>20.880 độ vĩ Bắc, 104.721 độ kinh Đông</t>
  </si>
  <si>
    <t>14.865  độ vĩ Bắc, 108.237  độ kinh Đông</t>
  </si>
  <si>
    <t>14.971  độ vĩ Bắc, 108.182  độ kinh Đông</t>
  </si>
  <si>
    <t>14.973 độ vĩ Bắc, 108.205  độ kinh Đông</t>
  </si>
  <si>
    <t>14.886  độ vĩ Bắc, 108.245  độ kinh Đông</t>
  </si>
  <si>
    <t>14.829 độ vĩ Bắc, 108.253  độ kinh Đông</t>
  </si>
  <si>
    <t>14.812 độ vĩ Bắc, 108.252  độ kinh Đông</t>
  </si>
  <si>
    <t>14.932 độ vĩ Bắc, 108.251 độ kinh Đông</t>
  </si>
  <si>
    <t>14.905 độ vĩ Bắc, 108.171 độ kinh Đông</t>
  </si>
  <si>
    <t>14.950 độ vĩ Bắc, 108.174 độ kinh Đông</t>
  </si>
  <si>
    <t>14.829  độ vĩ Bắc, 108.276  độ kinh Đông</t>
  </si>
  <si>
    <t>14.924 độ vĩ Bắc, 108.252 độ kinh Đông</t>
  </si>
  <si>
    <t>14.821 độ vĩ Bắc, 108.209 độ kinh Đông</t>
  </si>
  <si>
    <t>14.913 độ vĩ Bắc, 108.200 độ kinh Đông</t>
  </si>
  <si>
    <t>14.896 độ vĩ Bắc, 108.261 độ kinh Đông</t>
  </si>
  <si>
    <t>14.917  độ vĩ Bắc, 108.232  độ kinh Đông</t>
  </si>
  <si>
    <t>19.142 độ vĩ Bắc, 104.458 độ kinh Đông</t>
  </si>
  <si>
    <t>63/BCH-PCTT</t>
  </si>
  <si>
    <t>237/BC-PCTT</t>
  </si>
  <si>
    <t>15h/11/10/2022</t>
  </si>
  <si>
    <t>11/10/2022</t>
  </si>
  <si>
    <t>06/10/2022</t>
  </si>
  <si>
    <t>07/10/2022</t>
  </si>
  <si>
    <t>27/10/2022</t>
  </si>
  <si>
    <t>17h/12/10/2022</t>
  </si>
  <si>
    <t>16h/12/10/2022</t>
  </si>
  <si>
    <t>03/11/2022</t>
  </si>
  <si>
    <t>07h/12/10/2022</t>
  </si>
  <si>
    <t>06h/15/10/2022</t>
  </si>
  <si>
    <t>20/10/2022</t>
  </si>
  <si>
    <t>19/10/2022</t>
  </si>
  <si>
    <t>05/10/2022</t>
  </si>
  <si>
    <t>25/10/2022</t>
  </si>
  <si>
    <t>42.200 học sinh không thể đến trường do lụt</t>
  </si>
  <si>
    <t>6.8.1</t>
  </si>
  <si>
    <t>6.8.2</t>
  </si>
  <si>
    <t>6.8.3</t>
  </si>
  <si>
    <t>6.8.4</t>
  </si>
  <si>
    <t>6.9.1</t>
  </si>
  <si>
    <t>6.9.2</t>
  </si>
  <si>
    <t>6.9.3</t>
  </si>
  <si>
    <t>6.9.4</t>
  </si>
  <si>
    <t>6.10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</si>
  <si>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</si>
  <si>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</si>
  <si>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</si>
  <si>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</si>
  <si>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</si>
  <si>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</si>
  <si>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</si>
  <si>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</si>
  <si>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</si>
  <si>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</si>
  <si>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</si>
  <si>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</si>
  <si>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</si>
  <si>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</si>
  <si>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24, 24B, 24C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</si>
  <si>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</si>
  <si>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</si>
  <si>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</si>
  <si>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</si>
  <si>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t>9.2.7</t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</si>
  <si>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</si>
  <si>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</si>
  <si>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</si>
  <si>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</si>
  <si>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</si>
  <si>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</si>
  <si>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</si>
  <si>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</si>
  <si>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</si>
  <si>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</si>
  <si>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t>12.2.1</t>
  </si>
  <si>
    <t>12.2.2</t>
  </si>
  <si>
    <t>12.3.1</t>
  </si>
  <si>
    <t>12.3.2</t>
  </si>
  <si>
    <t>21.4.1</t>
  </si>
  <si>
    <t>21.4.2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</si>
  <si>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</si>
  <si>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t>21.4.3</t>
  </si>
  <si>
    <t>12.6.1</t>
  </si>
  <si>
    <t>12.6.2</t>
  </si>
  <si>
    <t>12.6.3</t>
  </si>
  <si>
    <t>12.6.4</t>
  </si>
  <si>
    <t>15.1.1</t>
  </si>
  <si>
    <t>15.1.2</t>
  </si>
  <si>
    <t>15.1.3</t>
  </si>
  <si>
    <t>15.1.4</t>
  </si>
  <si>
    <t>15.2.1</t>
  </si>
  <si>
    <t>15.2.2</t>
  </si>
  <si>
    <t>15.2.3</t>
  </si>
  <si>
    <t>15.2.4</t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</si>
  <si>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</si>
  <si>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t>15.3.1</t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</si>
  <si>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</si>
  <si>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15.3.2</t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</si>
  <si>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</si>
  <si>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15.3.3</t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</si>
  <si>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</si>
  <si>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15.3.4</t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</si>
  <si>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</si>
  <si>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Ghi chú:</t>
  </si>
  <si>
    <t>(*)</t>
  </si>
  <si>
    <t>Liệt kê chi tiết các loại thiệt hại chưa thống kê trong bảng (nếu có)</t>
  </si>
  <si>
    <t>(x)</t>
  </si>
  <si>
    <t>Bỏ qua không ước giá trị thiệt hại bằng tiền, hoặc số lượng</t>
  </si>
  <si>
    <t xml:space="preserve">        Người lập biểu  </t>
  </si>
  <si>
    <t xml:space="preserve">       (Ký, ghi rõ họ tên)     </t>
  </si>
  <si>
    <t xml:space="preserve">  </t>
  </si>
  <si>
    <t>Dông lốc</t>
  </si>
  <si>
    <t>Sạt lở, triều cường</t>
  </si>
  <si>
    <t>Mưa lớn, ngập lụt</t>
  </si>
  <si>
    <t>Hạn hán</t>
  </si>
  <si>
    <t xml:space="preserve">Rét </t>
  </si>
  <si>
    <t>GMTB</t>
  </si>
  <si>
    <t>Phụ lục
TỔNG HỢP THIỆT HẠI LỐC, SÉT, MƯA ĐÁ</t>
  </si>
  <si>
    <t>01-02/6/2022</t>
  </si>
  <si>
    <t>17/01/2022</t>
  </si>
  <si>
    <t>22-24/03/2022</t>
  </si>
  <si>
    <t>20-21/8/2022</t>
  </si>
  <si>
    <t>19-23/02</t>
  </si>
  <si>
    <t>11-13/6/2022</t>
  </si>
  <si>
    <t>10-12/8/2022</t>
  </si>
  <si>
    <t>25-26/8/2022</t>
  </si>
  <si>
    <t>28/9-03/10</t>
  </si>
  <si>
    <t>Đà Bắc</t>
  </si>
  <si>
    <t>bão 2</t>
  </si>
  <si>
    <t>bão 3</t>
  </si>
  <si>
    <t>bão 4</t>
  </si>
  <si>
    <t>mưa 7-10/9</t>
  </si>
  <si>
    <t>mưa dông</t>
  </si>
  <si>
    <t>mưa dông, sét</t>
  </si>
  <si>
    <t>mưa gây sạt lở</t>
  </si>
  <si>
    <t>mưa lớn, lốc</t>
  </si>
  <si>
    <t>rét</t>
  </si>
  <si>
    <t>xả lũ hồ Hoà Bình</t>
  </si>
  <si>
    <t>mưa lớn, lũ, lũ quét, sạt lở đất</t>
  </si>
  <si>
    <t>24/BC-BCH</t>
  </si>
  <si>
    <t>60/BC-BCH</t>
  </si>
  <si>
    <t>30/BC-BCH</t>
  </si>
  <si>
    <t>116/BC-BCH</t>
  </si>
  <si>
    <t>19/BC-BCH</t>
  </si>
  <si>
    <t>113/BC-BCH</t>
  </si>
  <si>
    <t>124/BC-BCH</t>
  </si>
  <si>
    <t>145/BC-BCH</t>
  </si>
  <si>
    <t>131/BC-BCH</t>
  </si>
  <si>
    <t>02/6/2022</t>
  </si>
  <si>
    <t>24/03/2022</t>
  </si>
  <si>
    <t>21/8/2022</t>
  </si>
  <si>
    <t>22/02/2022</t>
  </si>
  <si>
    <t>13/6/2022</t>
  </si>
  <si>
    <t>12/8/2022</t>
  </si>
  <si>
    <t>26/8/2022</t>
  </si>
  <si>
    <t>15h/10/9/2022</t>
  </si>
  <si>
    <t>Thiệt hại về nhà, từ đầu năm 2020</t>
  </si>
  <si>
    <t xml:space="preserve">Nhà sập </t>
  </si>
  <si>
    <t>Nhà tốc mái</t>
  </si>
  <si>
    <t>Lúa+rau màu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</si>
  <si>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</si>
  <si>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</si>
  <si>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</si>
  <si>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</si>
  <si>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</si>
  <si>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</si>
  <si>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</si>
  <si>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</si>
  <si>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</si>
  <si>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</si>
  <si>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</si>
  <si>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</si>
  <si>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</si>
  <si>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</si>
  <si>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Đường hỏng, s.lở</t>
  </si>
  <si>
    <t>Khối lượng đất đá, bê tông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</si>
  <si>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</si>
  <si>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</si>
  <si>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</si>
  <si>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</si>
  <si>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</si>
  <si>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</si>
  <si>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</si>
  <si>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</si>
  <si>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</si>
  <si>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</si>
  <si>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</si>
  <si>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</si>
  <si>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</si>
  <si>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</si>
  <si>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t>500 kg cá chết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</si>
  <si>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</si>
  <si>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</si>
  <si>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</si>
  <si>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</si>
  <si>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</si>
  <si>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</si>
  <si>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10/02/2022</t>
  </si>
  <si>
    <t>04/02/2022</t>
  </si>
  <si>
    <t>27/3/2022</t>
  </si>
  <si>
    <t>27-29/3/2022</t>
  </si>
  <si>
    <t>27/5/2022</t>
  </si>
  <si>
    <t>10/6</t>
  </si>
  <si>
    <t>2/7</t>
  </si>
  <si>
    <t>11/9/2022</t>
  </si>
  <si>
    <t>10, 12/9/2022</t>
  </si>
  <si>
    <t>4-5/5/2022</t>
  </si>
  <si>
    <t>3-15/5</t>
  </si>
  <si>
    <t>06/5; 11/7; 20-21/7</t>
  </si>
  <si>
    <t>27/9/2022</t>
  </si>
  <si>
    <t>5-6/11/2022</t>
  </si>
  <si>
    <t>Châu Thành</t>
  </si>
  <si>
    <t>Châu Thành, Bến Cầu</t>
  </si>
  <si>
    <t xml:space="preserve">huyện Tân Châu, thị xã Trảng Bàng </t>
  </si>
  <si>
    <t>tp Tây Ninh</t>
  </si>
  <si>
    <t>huyện Gò Dầu, Bến Cầu</t>
  </si>
  <si>
    <t>xã Ninh Điền</t>
  </si>
  <si>
    <t>Bến Cầu, Châu Thành</t>
  </si>
  <si>
    <t>Gò Dầu, Bến Cầu, Dương Minh Châu</t>
  </si>
  <si>
    <t>Dương Minh Châu</t>
  </si>
  <si>
    <t>mưa dông, lốc</t>
  </si>
  <si>
    <t>mưa lớn kèm dông lốc</t>
  </si>
  <si>
    <t>mưa kèm dông lốc</t>
  </si>
  <si>
    <t>77/BC-CCTL</t>
  </si>
  <si>
    <t>91/BC-CCTL</t>
  </si>
  <si>
    <t>11/BC-VPTT</t>
  </si>
  <si>
    <t>12/BC-VPTT</t>
  </si>
  <si>
    <t>28/BC-VPTT</t>
  </si>
  <si>
    <t>37/BC-VPTT</t>
  </si>
  <si>
    <t>41/BC-VPTT</t>
  </si>
  <si>
    <t>47/BC-VPTT</t>
  </si>
  <si>
    <t>53/BC-VPTT</t>
  </si>
  <si>
    <t>69/BC-VPTT</t>
  </si>
  <si>
    <t>74/BC-VPTT</t>
  </si>
  <si>
    <t>73/BC-VPTT</t>
  </si>
  <si>
    <t>23/BC-VPTT</t>
  </si>
  <si>
    <t>22/BC-VPTT</t>
  </si>
  <si>
    <t>82/BC-VPTT</t>
  </si>
  <si>
    <t>97/BC-VPTT</t>
  </si>
  <si>
    <t>17/02/2022</t>
  </si>
  <si>
    <t>23/02/2022</t>
  </si>
  <si>
    <t>30/3/2022</t>
  </si>
  <si>
    <t>31/3/2022</t>
  </si>
  <si>
    <t>30/5/2022</t>
  </si>
  <si>
    <t>15/6</t>
  </si>
  <si>
    <t>24/6/2022</t>
  </si>
  <si>
    <t>7/7/2022</t>
  </si>
  <si>
    <t>22/7/2022</t>
  </si>
  <si>
    <t>30/8/2022</t>
  </si>
  <si>
    <t>13/9/2022</t>
  </si>
  <si>
    <t>12/9/2022</t>
  </si>
  <si>
    <t>17/5/2022</t>
  </si>
  <si>
    <t>16/5/2022</t>
  </si>
  <si>
    <t>29/9/2022</t>
  </si>
  <si>
    <t>6/11/2022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</si>
  <si>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</si>
  <si>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</si>
  <si>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</si>
  <si>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</si>
  <si>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</si>
  <si>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</si>
  <si>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</si>
  <si>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</si>
  <si>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</si>
  <si>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</si>
  <si>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</si>
  <si>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</si>
  <si>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</si>
  <si>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</si>
  <si>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</si>
  <si>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</si>
  <si>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</si>
  <si>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</si>
  <si>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</si>
  <si>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</si>
  <si>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</si>
  <si>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</si>
  <si>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</si>
  <si>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</si>
  <si>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</si>
  <si>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</si>
  <si>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</si>
  <si>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</si>
  <si>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</si>
  <si>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</si>
  <si>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</si>
  <si>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</si>
  <si>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</si>
  <si>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</si>
  <si>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18-20/02/2022</t>
  </si>
  <si>
    <t>20-23/5/2022</t>
  </si>
  <si>
    <t>24-26/8/2022</t>
  </si>
  <si>
    <t>mưa lớn, lũ</t>
  </si>
  <si>
    <t>06/BC-VPTT</t>
  </si>
  <si>
    <t>06/BC-BCH</t>
  </si>
  <si>
    <t>09/BC-VPTT</t>
  </si>
  <si>
    <t>21/02/2022</t>
  </si>
  <si>
    <t>24/5/2022</t>
  </si>
  <si>
    <t>10/9/2022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</si>
  <si>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</si>
  <si>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</si>
  <si>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</si>
  <si>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</si>
  <si>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</si>
  <si>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</si>
  <si>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</si>
  <si>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</si>
  <si>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</si>
  <si>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</si>
  <si>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</si>
  <si>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</si>
  <si>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</si>
  <si>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</si>
  <si>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</si>
  <si>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</si>
  <si>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</si>
  <si>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</si>
  <si>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</si>
  <si>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</si>
  <si>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</si>
  <si>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</si>
  <si>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</si>
  <si>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</si>
  <si>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</si>
  <si>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</si>
  <si>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</si>
  <si>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</si>
  <si>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</si>
  <si>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</si>
  <si>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</si>
  <si>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</si>
  <si>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</si>
  <si>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</si>
  <si>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23-24/03/2022</t>
  </si>
  <si>
    <t>29-30/4/2022</t>
  </si>
  <si>
    <t>04-8/8/2022</t>
  </si>
  <si>
    <t>20-22/8/2022</t>
  </si>
  <si>
    <t>03-4/9/2022</t>
  </si>
  <si>
    <t>11-12/9/2022</t>
  </si>
  <si>
    <t>15-16/9/2022</t>
  </si>
  <si>
    <t>21/5/2022</t>
  </si>
  <si>
    <t>06/6/2022</t>
  </si>
  <si>
    <t>13-14/6/2022</t>
  </si>
  <si>
    <t>Bảo Yên</t>
  </si>
  <si>
    <t>mưa lớn, lũ, ngập lụt, sạt lở</t>
  </si>
  <si>
    <t>mưa, sụt lún</t>
  </si>
  <si>
    <t>mưa lớn, sét</t>
  </si>
  <si>
    <t>thiên tai 9 tháng đầu năm</t>
  </si>
  <si>
    <t>193/BC-VPTT</t>
  </si>
  <si>
    <t>215/BC-VPTT</t>
  </si>
  <si>
    <t>222/BC-VPTT</t>
  </si>
  <si>
    <t>230/BC-VPTT</t>
  </si>
  <si>
    <t>246/BC-VPTT</t>
  </si>
  <si>
    <t>115/BC-VPTT</t>
  </si>
  <si>
    <t>128/BC-VPTT</t>
  </si>
  <si>
    <t>139/BC-VPTT</t>
  </si>
  <si>
    <t>196 và 200/BC-VPTT</t>
  </si>
  <si>
    <t>333/BC-UBND</t>
  </si>
  <si>
    <t>31/03/2022</t>
  </si>
  <si>
    <t>02/5/2022</t>
  </si>
  <si>
    <t>9/8/2022</t>
  </si>
  <si>
    <t>22/8/2022</t>
  </si>
  <si>
    <t>4/9/2022</t>
  </si>
  <si>
    <t>20/9/2022</t>
  </si>
  <si>
    <t>22/5/2022</t>
  </si>
  <si>
    <t>15/6/2022</t>
  </si>
  <si>
    <t>12, 13/8/2022</t>
  </si>
  <si>
    <t>22/9/2022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</si>
  <si>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</si>
  <si>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</si>
  <si>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</si>
  <si>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</si>
  <si>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</si>
  <si>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</si>
  <si>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</si>
  <si>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</si>
  <si>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</si>
  <si>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</si>
  <si>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</si>
  <si>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</si>
  <si>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</si>
  <si>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</si>
  <si>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 70</t>
  </si>
  <si>
    <t>QL 4, 279, 4D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</si>
  <si>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</si>
  <si>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</si>
  <si>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</si>
  <si>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</si>
  <si>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</si>
  <si>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</si>
  <si>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</si>
  <si>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</si>
  <si>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</si>
  <si>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4,95 tấn</t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</si>
  <si>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</si>
  <si>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</si>
  <si>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</si>
  <si>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</si>
  <si>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</si>
  <si>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</si>
  <si>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</si>
  <si>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</si>
  <si>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</si>
  <si>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</si>
  <si>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</si>
  <si>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17/3/2022</t>
  </si>
  <si>
    <t>13-14/8/2022</t>
  </si>
  <si>
    <t>14-15/8/2022</t>
  </si>
  <si>
    <t>Kỳ Sơn, Con Cuông</t>
  </si>
  <si>
    <t>mưa đá, dông lốc</t>
  </si>
  <si>
    <t>mưa lớn, lốc, sét</t>
  </si>
  <si>
    <t>22/BC.VP-VPTT</t>
  </si>
  <si>
    <t>48/BC-VPTT</t>
  </si>
  <si>
    <t>49/BC-VPTT</t>
  </si>
  <si>
    <t>51/BC-VP.PCTT</t>
  </si>
  <si>
    <t>20/3/2022</t>
  </si>
  <si>
    <t>15/8/2022</t>
  </si>
  <si>
    <t>16/8/2022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</si>
  <si>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</si>
  <si>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</si>
  <si>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</si>
  <si>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</si>
  <si>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</si>
  <si>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</si>
  <si>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</si>
  <si>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</si>
  <si>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</si>
  <si>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</si>
  <si>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</si>
  <si>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</si>
  <si>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</si>
  <si>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</si>
  <si>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</si>
  <si>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</si>
  <si>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</si>
  <si>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</si>
  <si>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</si>
  <si>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</si>
  <si>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</si>
  <si>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</si>
  <si>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</si>
  <si>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</si>
  <si>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</si>
  <si>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</si>
  <si>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</si>
  <si>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</si>
  <si>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</si>
  <si>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</si>
  <si>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</si>
  <si>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</si>
  <si>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</si>
  <si>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</si>
  <si>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Sơn la</t>
  </si>
  <si>
    <t>14-15/3/2022</t>
  </si>
  <si>
    <t>21/7/2022</t>
  </si>
  <si>
    <t>23-24/8/2022</t>
  </si>
  <si>
    <t>28/01-14/02</t>
  </si>
  <si>
    <t>06-7/6/2022</t>
  </si>
  <si>
    <t>11-15/8/2022</t>
  </si>
  <si>
    <t>Phù Yên</t>
  </si>
  <si>
    <t>Mai Sơn</t>
  </si>
  <si>
    <t>mưa dông, lốc, mưa đá</t>
  </si>
  <si>
    <t>dông lốc, sét</t>
  </si>
  <si>
    <t>Sét</t>
  </si>
  <si>
    <t>mưa to, lũ ống, lũ quét</t>
  </si>
  <si>
    <t>mưa lớn, sạt lở đất</t>
  </si>
  <si>
    <t>mưa lũ</t>
  </si>
  <si>
    <t>mưa lũ, dông lốc, sét</t>
  </si>
  <si>
    <t>mưa lớn, dông, sét</t>
  </si>
  <si>
    <t>mưa lũ bão số 2</t>
  </si>
  <si>
    <t>33/BC-PCTT</t>
  </si>
  <si>
    <t>39/BC-PCTT</t>
  </si>
  <si>
    <t>116/BC-PCTT</t>
  </si>
  <si>
    <t>108/BC-PCTT</t>
  </si>
  <si>
    <t>140/BC-PCTT</t>
  </si>
  <si>
    <t>Thông tin từ PGĐ Sở - A Thịnh</t>
  </si>
  <si>
    <t>23/BC-PCTT</t>
  </si>
  <si>
    <t>83/BC-PCTT</t>
  </si>
  <si>
    <t>90/BC-PCTT</t>
  </si>
  <si>
    <t>123/BC-PCTT</t>
  </si>
  <si>
    <t>129/BC-PCTT</t>
  </si>
  <si>
    <t>16/3/2022</t>
  </si>
  <si>
    <t>9/7/2022</t>
  </si>
  <si>
    <t>24/8/2022</t>
  </si>
  <si>
    <t>07/6/2022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</si>
  <si>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</si>
  <si>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</si>
  <si>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</si>
  <si>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</si>
  <si>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</si>
  <si>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</si>
  <si>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</si>
  <si>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</si>
  <si>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</si>
  <si>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</si>
  <si>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</si>
  <si>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</si>
  <si>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</si>
  <si>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</si>
  <si>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QL.4G, QL.279, QL.279D, QL.37, QL.43, QL.12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</si>
  <si>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</si>
  <si>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</si>
  <si>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</si>
  <si>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</si>
  <si>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</si>
  <si>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</si>
  <si>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</si>
  <si>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</si>
  <si>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</si>
  <si>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</si>
  <si>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</si>
  <si>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</si>
  <si>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</si>
  <si>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</si>
  <si>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</si>
  <si>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</si>
  <si>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</si>
  <si>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</si>
  <si>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</si>
  <si>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</si>
  <si>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19/3/2022</t>
  </si>
  <si>
    <t>28/3/2022</t>
  </si>
  <si>
    <t>14/4/2022</t>
  </si>
  <si>
    <t>28/4/2022</t>
  </si>
  <si>
    <t>10/5/2022</t>
  </si>
  <si>
    <t>19/7/2022</t>
  </si>
  <si>
    <t>31/7</t>
  </si>
  <si>
    <t>08/8/2022</t>
  </si>
  <si>
    <t>8/8</t>
  </si>
  <si>
    <t>28-29/8/2022</t>
  </si>
  <si>
    <t>3/1/2022</t>
  </si>
  <si>
    <t>15/4/2022</t>
  </si>
  <si>
    <t>27/4/2022</t>
  </si>
  <si>
    <t>29/4/2022</t>
  </si>
  <si>
    <t>18/5/2022</t>
  </si>
  <si>
    <t>4, 5/7/2022</t>
  </si>
  <si>
    <t>15/7/2022</t>
  </si>
  <si>
    <t>17/8/2022</t>
  </si>
  <si>
    <t>15/9/2022</t>
  </si>
  <si>
    <t>Phú Tân</t>
  </si>
  <si>
    <t>Châu Phú</t>
  </si>
  <si>
    <t>Chợ Mới</t>
  </si>
  <si>
    <t>Tân Châu, Châu Đốc</t>
  </si>
  <si>
    <t>huyện An Phú, tx Tân Châu</t>
  </si>
  <si>
    <t>huyện Phú Tân</t>
  </si>
  <si>
    <t>huyện Phú Tân, Chợ Mới và Thành phố Châu Đốc</t>
  </si>
  <si>
    <t>toàn tỉnh</t>
  </si>
  <si>
    <t>xã Long Điền và thị trấn Mỹ Luông, huyện Chợ Mới</t>
  </si>
  <si>
    <t>Long Xuyên, Chợ Mới</t>
  </si>
  <si>
    <t>Tri Tôn</t>
  </si>
  <si>
    <t>huyện Châu Phú</t>
  </si>
  <si>
    <t>An Phú</t>
  </si>
  <si>
    <t>Thoại Sơn</t>
  </si>
  <si>
    <t>mưa, dông lốc</t>
  </si>
  <si>
    <t>sạt lở bờ kênh</t>
  </si>
  <si>
    <t>sụp lún, rạn nứt bờ sông</t>
  </si>
  <si>
    <t xml:space="preserve">sạt lở đất bờ sông </t>
  </si>
  <si>
    <t>sạt lở tuyến đê</t>
  </si>
  <si>
    <t>sạt lở sông Hậu</t>
  </si>
  <si>
    <t>sạt lở đất bờ Bắc Cây Dương</t>
  </si>
  <si>
    <t>sạt lở bờ Tây sông Hậu</t>
  </si>
  <si>
    <t>sạt lở bờ Tây đê kênh Rạch Giá Long Xuyên</t>
  </si>
  <si>
    <t>sạt lở ven sông</t>
  </si>
  <si>
    <t>sạt lở đê</t>
  </si>
  <si>
    <t>sạt lở tuyến đê Nam kênh Vĩnh Hậu</t>
  </si>
  <si>
    <t>sạt lở tuyến bờ nam Cây Dương</t>
  </si>
  <si>
    <t>Sạt lở ven sông</t>
  </si>
  <si>
    <t>24/BC-VPTT</t>
  </si>
  <si>
    <t>25/BC-VPTT</t>
  </si>
  <si>
    <t>30/BC-VPTT</t>
  </si>
  <si>
    <t>31/BC-VPTT</t>
  </si>
  <si>
    <t>33/BC-VPTT</t>
  </si>
  <si>
    <t>45/BC-VPTT</t>
  </si>
  <si>
    <t>68/BC-VPTT</t>
  </si>
  <si>
    <t>70/BC-VPTT</t>
  </si>
  <si>
    <t>76/BC-VPTT</t>
  </si>
  <si>
    <t>78/BC-VPTT</t>
  </si>
  <si>
    <t>79/BC-VPTT</t>
  </si>
  <si>
    <t>03/BC-VPTT</t>
  </si>
  <si>
    <t>32/BC-VPTT</t>
  </si>
  <si>
    <t>39/BC-VPTT</t>
  </si>
  <si>
    <t>50/BC-VPTT</t>
  </si>
  <si>
    <t>59/BC-VPTT</t>
  </si>
  <si>
    <t>66/BC-VPTT</t>
  </si>
  <si>
    <t>72/BC-VPTT</t>
  </si>
  <si>
    <t>84/BC-VPTT</t>
  </si>
  <si>
    <t>21/3/2022</t>
  </si>
  <si>
    <t>29/3/2022</t>
  </si>
  <si>
    <t>11/5/2022</t>
  </si>
  <si>
    <t>31/5/2022</t>
  </si>
  <si>
    <t>16/6/2022</t>
  </si>
  <si>
    <t>31/7/2022</t>
  </si>
  <si>
    <t>29/8/2022</t>
  </si>
  <si>
    <t>31/8/2022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</si>
  <si>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</si>
  <si>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</si>
  <si>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</si>
  <si>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</si>
  <si>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</si>
  <si>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</si>
  <si>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</si>
  <si>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</si>
  <si>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</si>
  <si>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</si>
  <si>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</si>
  <si>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</si>
  <si>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</si>
  <si>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</si>
  <si>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</si>
  <si>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</si>
  <si>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</si>
  <si>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</si>
  <si>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</si>
  <si>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</si>
  <si>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</si>
  <si>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</si>
  <si>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</si>
  <si>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</si>
  <si>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</si>
  <si>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</si>
  <si>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</si>
  <si>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</si>
  <si>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</si>
  <si>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</si>
  <si>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</si>
  <si>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</si>
  <si>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</si>
  <si>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</si>
  <si>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6/8</t>
  </si>
  <si>
    <t>10-11/7/2022</t>
  </si>
  <si>
    <t>mưa lớn, gió mạnh</t>
  </si>
  <si>
    <t>15/BC-PCTT&amp;TKCN</t>
  </si>
  <si>
    <t>11/BC-PCTT&amp;TKCN</t>
  </si>
  <si>
    <t>12/7/2022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</si>
  <si>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</si>
  <si>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</si>
  <si>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</si>
  <si>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</si>
  <si>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</si>
  <si>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</si>
  <si>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</si>
  <si>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</si>
  <si>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</si>
  <si>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</si>
  <si>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</si>
  <si>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</si>
  <si>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</si>
  <si>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</si>
  <si>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</si>
  <si>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</si>
  <si>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</si>
  <si>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</si>
  <si>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</si>
  <si>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</si>
  <si>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</si>
  <si>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</si>
  <si>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</si>
  <si>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</si>
  <si>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</si>
  <si>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</si>
  <si>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</si>
  <si>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</si>
  <si>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</si>
  <si>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</si>
  <si>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</si>
  <si>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</si>
  <si>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</si>
  <si>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</si>
  <si>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21-22/6/2022</t>
  </si>
  <si>
    <t>27-29/5/2022</t>
  </si>
  <si>
    <t>8-9/5/2022</t>
  </si>
  <si>
    <t>10-11/5/2022</t>
  </si>
  <si>
    <t>22-23/5/2022</t>
  </si>
  <si>
    <t>Bắc Quang</t>
  </si>
  <si>
    <t>mưa to, lốc</t>
  </si>
  <si>
    <t>42/BC-PCTT</t>
  </si>
  <si>
    <t>19/BC-VPTT</t>
  </si>
  <si>
    <t>21/BC-VPTT</t>
  </si>
  <si>
    <t>140/BC/UBND</t>
  </si>
  <si>
    <t>36/BC-VPTT</t>
  </si>
  <si>
    <t>22/6/2022</t>
  </si>
  <si>
    <t>29/5/2022</t>
  </si>
  <si>
    <t>09/5/2022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</si>
  <si>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</si>
  <si>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</si>
  <si>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</si>
  <si>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</si>
  <si>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</si>
  <si>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</si>
  <si>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</si>
  <si>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</si>
  <si>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</si>
  <si>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</si>
  <si>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</si>
  <si>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</si>
  <si>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</si>
  <si>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</si>
  <si>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4C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</si>
  <si>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</si>
  <si>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</si>
  <si>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</si>
  <si>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</si>
  <si>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</si>
  <si>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</si>
  <si>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</si>
  <si>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</si>
  <si>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</si>
  <si>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</si>
  <si>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</si>
  <si>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</si>
  <si>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</si>
  <si>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</si>
  <si>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</si>
  <si>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</si>
  <si>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</si>
  <si>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</si>
  <si>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</si>
  <si>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</si>
  <si>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15-18/4/2022</t>
  </si>
  <si>
    <t>30/4/2022</t>
  </si>
  <si>
    <t>8/5/2022</t>
  </si>
  <si>
    <t>26/7/2022</t>
  </si>
  <si>
    <t>09/8/2022</t>
  </si>
  <si>
    <t>19-20/5/2022</t>
  </si>
  <si>
    <t>30/6/2022</t>
  </si>
  <si>
    <t>20/8/2022</t>
  </si>
  <si>
    <t>7/6/2022</t>
  </si>
  <si>
    <t>14/6/2022</t>
  </si>
  <si>
    <t>Tuần Giáo</t>
  </si>
  <si>
    <t>Tủa Chùa</t>
  </si>
  <si>
    <t>Nậm Pồ</t>
  </si>
  <si>
    <t>Mường Ảng</t>
  </si>
  <si>
    <t>Tủa Chùa, Mường Nhé</t>
  </si>
  <si>
    <t>Nậm Pồ, Tủa Chùa</t>
  </si>
  <si>
    <t>mưa dông, gió mạnh</t>
  </si>
  <si>
    <t>mưa dông, lốc, sét</t>
  </si>
  <si>
    <t>sét</t>
  </si>
  <si>
    <t>dông sét</t>
  </si>
  <si>
    <t>gió lốc</t>
  </si>
  <si>
    <t>mưa lớn, sạt lở đất đá</t>
  </si>
  <si>
    <t>mưa lớn, lũ, sự cố thuỷ điện Phi Lĩnh, Nậm Pồ</t>
  </si>
  <si>
    <t>mưa, lũ, sạt lở, sét</t>
  </si>
  <si>
    <t>mưa lớn, sạt lở</t>
  </si>
  <si>
    <t>mưa lũ sau bão</t>
  </si>
  <si>
    <t>17/BC-BCH</t>
  </si>
  <si>
    <t>40/BCN-BCH</t>
  </si>
  <si>
    <t>59/BCN-BCH</t>
  </si>
  <si>
    <t>3021/TTr-UBND</t>
  </si>
  <si>
    <t>65/BC-BCH</t>
  </si>
  <si>
    <t>35/BC-BCH</t>
  </si>
  <si>
    <t>55/BCN-BCH</t>
  </si>
  <si>
    <t>56/BCN-BCH</t>
  </si>
  <si>
    <t>57/BCN-BCH</t>
  </si>
  <si>
    <t>68/BCN-BCH</t>
  </si>
  <si>
    <t>31/BC-BCH</t>
  </si>
  <si>
    <t>35+37/BCN-BCH</t>
  </si>
  <si>
    <t>44/BC-BCH</t>
  </si>
  <si>
    <t>45/BC-BCH</t>
  </si>
  <si>
    <t>48/BC-BCH</t>
  </si>
  <si>
    <t>50/BC-BCH</t>
  </si>
  <si>
    <t>71/BCN-BCH</t>
  </si>
  <si>
    <t>18/4/2022</t>
  </si>
  <si>
    <t>01/5/2022</t>
  </si>
  <si>
    <t>27/7/2022</t>
  </si>
  <si>
    <t>11/8/2022</t>
  </si>
  <si>
    <t>23/5/2022</t>
  </si>
  <si>
    <t>25/5/2022</t>
  </si>
  <si>
    <t>08/6/2022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</si>
  <si>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</si>
  <si>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</si>
  <si>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</si>
  <si>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</si>
  <si>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</si>
  <si>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</si>
  <si>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</si>
  <si>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</si>
  <si>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</si>
  <si>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</si>
  <si>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</si>
  <si>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</si>
  <si>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</si>
  <si>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</si>
  <si>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 12, 4H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</si>
  <si>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</si>
  <si>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</si>
  <si>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</si>
  <si>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</si>
  <si>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</si>
  <si>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</si>
  <si>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</si>
  <si>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</si>
  <si>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</si>
  <si>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</si>
  <si>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</si>
  <si>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</si>
  <si>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</si>
  <si>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</si>
  <si>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</si>
  <si>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</si>
  <si>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</si>
  <si>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</si>
  <si>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</si>
  <si>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</si>
  <si>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30-31/5/2022</t>
  </si>
  <si>
    <t>19-20/7/2022</t>
  </si>
  <si>
    <t>22-23/03/2022</t>
  </si>
  <si>
    <t>8-11/5/2022</t>
  </si>
  <si>
    <t>27-28/5/2022</t>
  </si>
  <si>
    <t>11-12/6/2022</t>
  </si>
  <si>
    <t>Bảo Lâm</t>
  </si>
  <si>
    <t>lốc cục bộ</t>
  </si>
  <si>
    <t>mưa lớn, lốc, sạt lở đất</t>
  </si>
  <si>
    <t>mưa lớn, lũ ống</t>
  </si>
  <si>
    <t>mưa lũ, sạt lở đất</t>
  </si>
  <si>
    <t>sạt lở đất</t>
  </si>
  <si>
    <t>87/BC-PCTT</t>
  </si>
  <si>
    <t>242/BC-PCTT</t>
  </si>
  <si>
    <t>144/BC-PCTT</t>
  </si>
  <si>
    <t>163/BC</t>
  </si>
  <si>
    <t>20/7/2022</t>
  </si>
  <si>
    <t>12/5/2022</t>
  </si>
  <si>
    <t>28/5/2022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</si>
  <si>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</si>
  <si>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</si>
  <si>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</si>
  <si>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</si>
  <si>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</si>
  <si>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</si>
  <si>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</si>
  <si>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</si>
  <si>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</si>
  <si>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</si>
  <si>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</si>
  <si>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</si>
  <si>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</si>
  <si>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</si>
  <si>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</si>
  <si>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</si>
  <si>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</si>
  <si>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</si>
  <si>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</si>
  <si>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</si>
  <si>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</si>
  <si>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</si>
  <si>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</si>
  <si>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</si>
  <si>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</si>
  <si>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</si>
  <si>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</si>
  <si>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</si>
  <si>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</si>
  <si>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</si>
  <si>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</si>
  <si>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</si>
  <si>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</si>
  <si>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</si>
  <si>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29-30/7/2022</t>
  </si>
  <si>
    <t>19/02/2022</t>
  </si>
  <si>
    <t>30/4-01/5/2022</t>
  </si>
  <si>
    <t>25-26/6/2022</t>
  </si>
  <si>
    <t>2-3/8/2022</t>
  </si>
  <si>
    <t>đêm 4-5/8/2022</t>
  </si>
  <si>
    <t>7/8/2022</t>
  </si>
  <si>
    <t>14-15/6/2022</t>
  </si>
  <si>
    <t>Văn Yên, Trấn Yên, Văn Chấn</t>
  </si>
  <si>
    <t>Văn Chấn</t>
  </si>
  <si>
    <t>Trấn Yên</t>
  </si>
  <si>
    <t>mưa to kèm lốc xoáy</t>
  </si>
  <si>
    <t>mưa lớn, lũ cục bộ</t>
  </si>
  <si>
    <t>mưa lớn, lốc xoáy</t>
  </si>
  <si>
    <t>29/BC-BCH</t>
  </si>
  <si>
    <t>13/BC-BCH</t>
  </si>
  <si>
    <t>14/BC-BCH</t>
  </si>
  <si>
    <t>26/BC-BCH</t>
  </si>
  <si>
    <t>32/BC-BCH</t>
  </si>
  <si>
    <t>33/BC-BCH</t>
  </si>
  <si>
    <t>41/BC-BCH</t>
  </si>
  <si>
    <t>07/BC-BCH</t>
  </si>
  <si>
    <t>22/BC-BCH</t>
  </si>
  <si>
    <t>25/BC-BCH</t>
  </si>
  <si>
    <t>30/7/2022</t>
  </si>
  <si>
    <t>26/6/2022</t>
  </si>
  <si>
    <t>3/8/2022</t>
  </si>
  <si>
    <t>5/8/2022</t>
  </si>
  <si>
    <t>25/02/2022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</si>
  <si>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</si>
  <si>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</si>
  <si>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</si>
  <si>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</si>
  <si>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</si>
  <si>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</si>
  <si>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</si>
  <si>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</si>
  <si>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</si>
  <si>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</si>
  <si>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</si>
  <si>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</si>
  <si>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</si>
  <si>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</si>
  <si>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QL32</t>
  </si>
  <si>
    <t>QL37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</si>
  <si>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</si>
  <si>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</si>
  <si>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</si>
  <si>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</si>
  <si>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</si>
  <si>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</si>
  <si>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</si>
  <si>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</si>
  <si>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</si>
  <si>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</si>
  <si>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</si>
  <si>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</si>
  <si>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</si>
  <si>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</si>
  <si>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</si>
  <si>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</si>
  <si>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</si>
  <si>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</si>
  <si>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</si>
  <si>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</si>
  <si>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15-16/4/2022</t>
  </si>
  <si>
    <t>22-23/6/2022</t>
  </si>
  <si>
    <t>7-8/5/2022</t>
  </si>
  <si>
    <t>01/7/2022</t>
  </si>
  <si>
    <t>21-31/5/2022</t>
  </si>
  <si>
    <t>05-6/6/2022</t>
  </si>
  <si>
    <t>11-12/8/2022</t>
  </si>
  <si>
    <t>Yên Sơn</t>
  </si>
  <si>
    <t>mưa to kèm dông lốc</t>
  </si>
  <si>
    <t>mưa lớn, dông lốc</t>
  </si>
  <si>
    <t>mưa, sạt lở đất</t>
  </si>
  <si>
    <t>13/BC-VPTT</t>
  </si>
  <si>
    <t>38/BC-VPTT</t>
  </si>
  <si>
    <t>08 /BC – VPTT</t>
  </si>
  <si>
    <t>16/BC-VPTT</t>
  </si>
  <si>
    <t>122/BC-SNN</t>
  </si>
  <si>
    <t>207/BC-SNN</t>
  </si>
  <si>
    <t>43/BC-VPTT</t>
  </si>
  <si>
    <t>137/BC-SNN</t>
  </si>
  <si>
    <t>04/BC-VPTT</t>
  </si>
  <si>
    <t>16/4/2022</t>
  </si>
  <si>
    <t>23/6/2022</t>
  </si>
  <si>
    <t>23/03/2022</t>
  </si>
  <si>
    <t>03/6/2022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</si>
  <si>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</si>
  <si>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</si>
  <si>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</si>
  <si>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</si>
  <si>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</si>
  <si>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</si>
  <si>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</si>
  <si>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</si>
  <si>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</si>
  <si>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</si>
  <si>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</si>
  <si>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</si>
  <si>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</si>
  <si>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</si>
  <si>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QL2, QL37, QL 279, QL 280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</si>
  <si>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</si>
  <si>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</si>
  <si>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</si>
  <si>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</si>
  <si>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</si>
  <si>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</si>
  <si>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</si>
  <si>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</si>
  <si>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</si>
  <si>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</si>
  <si>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</si>
  <si>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</si>
  <si>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</si>
  <si>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</si>
  <si>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</si>
  <si>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</si>
  <si>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</si>
  <si>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</si>
  <si>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</si>
  <si>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</si>
  <si>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03/7/2022</t>
  </si>
  <si>
    <t>18-21/7/2022</t>
  </si>
  <si>
    <t>31/3-01/4/2022</t>
  </si>
  <si>
    <t>4/8/2022</t>
  </si>
  <si>
    <t>8/8/2022</t>
  </si>
  <si>
    <t>9-10/5/2022</t>
  </si>
  <si>
    <t>11-12/5/2022</t>
  </si>
  <si>
    <t>Võ Nhai, Sông Công</t>
  </si>
  <si>
    <t>dông lốc sét</t>
  </si>
  <si>
    <t>mưa dông, gió giật mạnh</t>
  </si>
  <si>
    <t>91/BC-VPTT</t>
  </si>
  <si>
    <t>105/BC-VPTT</t>
  </si>
  <si>
    <t>26/BC-VPTT</t>
  </si>
  <si>
    <t>40/BC-VPTT</t>
  </si>
  <si>
    <t>108/BC-VPTT</t>
  </si>
  <si>
    <t>111/BC-VPTT</t>
  </si>
  <si>
    <t>51/BC-VPTT</t>
  </si>
  <si>
    <t>67/BC-BCH</t>
  </si>
  <si>
    <t>15/BC-BCH</t>
  </si>
  <si>
    <t>85/VPTT-QLCT&amp;PCTT</t>
  </si>
  <si>
    <t>118/BC-VPTT</t>
  </si>
  <si>
    <t>02/4/2022</t>
  </si>
  <si>
    <t>10/8/2022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</si>
  <si>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</si>
  <si>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</si>
  <si>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</si>
  <si>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</si>
  <si>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</si>
  <si>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</si>
  <si>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</si>
  <si>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</si>
  <si>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</si>
  <si>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</si>
  <si>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</si>
  <si>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</si>
  <si>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</si>
  <si>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</si>
  <si>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</si>
  <si>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</si>
  <si>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</si>
  <si>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</si>
  <si>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</si>
  <si>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</si>
  <si>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</si>
  <si>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</si>
  <si>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</si>
  <si>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</si>
  <si>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</si>
  <si>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</si>
  <si>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</si>
  <si>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</si>
  <si>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</si>
  <si>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</si>
  <si>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</si>
  <si>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</si>
  <si>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</si>
  <si>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</si>
  <si>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25/4/2022</t>
  </si>
  <si>
    <t>15/5/2022</t>
  </si>
  <si>
    <t>30/4-03/5/2022</t>
  </si>
  <si>
    <t>1/7/2022</t>
  </si>
  <si>
    <t>Hải Lăng</t>
  </si>
  <si>
    <t>Gio Linh</t>
  </si>
  <si>
    <t>Vĩnh Linh</t>
  </si>
  <si>
    <t>dông kèm lốc xoáy</t>
  </si>
  <si>
    <t>d.chuyển tránh bão số 1</t>
  </si>
  <si>
    <t>46/VP-PCTT</t>
  </si>
  <si>
    <t>67/VP-PCTT</t>
  </si>
  <si>
    <t>03/BC-VP</t>
  </si>
  <si>
    <t>09/BC-VP</t>
  </si>
  <si>
    <t>65/BC-UBND</t>
  </si>
  <si>
    <t>217/BC-UBND</t>
  </si>
  <si>
    <t>252/BC-UBND</t>
  </si>
  <si>
    <t>26/4/2022</t>
  </si>
  <si>
    <t>04/5/2022</t>
  </si>
  <si>
    <t>2/7/2022</t>
  </si>
  <si>
    <t>21/4/2022</t>
  </si>
  <si>
    <t>14/10/2022</t>
  </si>
  <si>
    <t>22/11/2022</t>
  </si>
  <si>
    <r>
      <rPr>
        <b/>
        <sz val="12"/>
        <color rgb="FF000000"/>
        <rFont val="Times New Roman"/>
        <family val="1"/>
      </rPr>
      <t>m</t>
    </r>
    <r>
      <rPr>
        <b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</si>
  <si>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</si>
  <si>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</si>
  <si>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</si>
  <si>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</si>
  <si>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</si>
  <si>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</si>
  <si>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</si>
  <si>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</si>
  <si>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</si>
  <si>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</si>
  <si>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</si>
  <si>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</si>
  <si>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</si>
  <si>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t>QL 15D, 9D, 49C</t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</si>
  <si>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</si>
  <si>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</si>
  <si>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</si>
  <si>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</si>
  <si>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</si>
  <si>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</si>
  <si>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</si>
  <si>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</si>
  <si>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sz val="12"/>
        <color rgb="FF000000"/>
        <rFont val="Times New Roman"/>
        <family val="1"/>
      </rPr>
      <t>m</t>
    </r>
    <r>
      <rPr>
        <vertAlign val="superscript"/>
        <sz val="12"/>
        <color rgb="FF000000"/>
        <rFont val="Times New Roman"/>
        <family val="1"/>
      </rPr>
      <t>3</t>
    </r>
  </si>
  <si>
    <r>
      <rPr>
        <b/>
        <sz val="10"/>
        <color rgb="FF000000"/>
        <rFont val="Times New Roman"/>
        <family val="1"/>
      </rPr>
      <t>100m</t>
    </r>
    <r>
      <rPr>
        <b/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</si>
  <si>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 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</si>
  <si>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</si>
  <si>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</si>
  <si>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sz val="10"/>
        <color rgb="FF000000"/>
        <rFont val="Times New Roman"/>
        <family val="1"/>
      </rPr>
      <t>100m</t>
    </r>
    <r>
      <rPr>
        <i/>
        <sz val="10"/>
        <color rgb="FF000000"/>
        <rFont val="Times New Roman"/>
        <family val="1"/>
      </rPr>
      <t>3/lồng</t>
    </r>
  </si>
  <si>
    <r>
      <rPr>
        <i/>
        <sz val="12"/>
        <color rgb="FF000000"/>
        <rFont val="Times New Roman"/>
        <family val="1"/>
      </rPr>
      <t>m</t>
    </r>
    <r>
      <rPr>
        <i/>
        <vertAlign val="superscript"/>
        <sz val="12"/>
        <color rgb="FF000000"/>
        <rFont val="Times New Roman"/>
        <family val="1"/>
      </rPr>
      <t>2</t>
    </r>
  </si>
  <si>
    <r>
      <rPr>
        <b/>
        <sz val="12"/>
        <color rgb="FF000000"/>
        <rFont val="Times New Roman"/>
        <family val="1"/>
      </rPr>
      <t>cái/m</t>
    </r>
    <r>
      <rPr>
        <b/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</si>
  <si>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</si>
  <si>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</si>
  <si>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</si>
  <si>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r>
      <rPr>
        <sz val="12"/>
        <color rgb="FF000000"/>
        <rFont val="Times New Roman"/>
        <family val="1"/>
      </rPr>
      <t>cái/m</t>
    </r>
    <r>
      <rPr>
        <vertAlign val="superscript"/>
        <sz val="12"/>
        <color rgb="FF000000"/>
        <rFont val="Times New Roman"/>
        <family val="1"/>
      </rPr>
      <t>2</t>
    </r>
  </si>
  <si>
    <t>Agriculture, forestry and salt damage</t>
  </si>
  <si>
    <t>Transportation damage</t>
  </si>
  <si>
    <t>Fisheries</t>
  </si>
  <si>
    <t>Communications</t>
  </si>
  <si>
    <t>Industry</t>
  </si>
  <si>
    <t>Water and sanitation</t>
  </si>
  <si>
    <t>Other</t>
  </si>
  <si>
    <t>Transportation</t>
  </si>
  <si>
    <t>Irrigation</t>
  </si>
  <si>
    <t>Livestock</t>
  </si>
  <si>
    <t>Agriculture, forestry and salt</t>
  </si>
  <si>
    <t>Culture</t>
  </si>
  <si>
    <t>Health</t>
  </si>
  <si>
    <t>Education</t>
  </si>
  <si>
    <t>Housing</t>
  </si>
  <si>
    <t>Human lives</t>
  </si>
  <si>
    <t>Sector</t>
  </si>
  <si>
    <t>Monetary 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</si>
</sst>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d/m/yyyy"/>
    <numFmt numFmtId="167" formatCode="_(* #,##0.0_);_(* \(#,##0.0\);_(* &quot;-&quot;_);_(@_)"/>
    <numFmt numFmtId="168" formatCode="_(* #,##0.00_);_(* \(#,##0.00\);_(* &quot;-&quot;_);_(@_)"/>
    <numFmt numFmtId="169" formatCode="_(* #,##0.0_);_(* \(#,##0.0\);_(* &quot;-&quot;?_);_(@_)"/>
    <numFmt numFmtId="170" formatCode="_(* #,##0.0_);_(* \(#,##0.0\);_(* &quot;-&quot;??_);_(@_)"/>
    <numFmt numFmtId="171" formatCode="_-* #,##0_-;\-* #,##0_-;_-* &quot;-&quot;_-;_-@"/>
    <numFmt numFmtId="172" formatCode="m/d"/>
    <numFmt numFmtId="173" formatCode="[$-1010000]d/m/yyyy"/>
    <numFmt numFmtId="174" formatCode="_-* #,##0.0_-;\-* #,##0.0_-;_-* &quot;-&quot;_-;_-@"/>
  </numFmts>
  <fonts count="69">
    <font>
      <sz val="11"/>
      <color theme="1"/>
      <name val="Calibri"/>
      <scheme val="minor"/>
    </font>
    <font>
      <b/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9"/>
      <color theme="1"/>
      <name val="Times New Roman"/>
      <family val="1"/>
    </font>
    <font>
      <b/>
      <sz val="18"/>
      <color theme="1"/>
      <name val="Times New Roman"/>
      <family val="1"/>
    </font>
    <font>
      <i/>
      <sz val="20"/>
      <color theme="1"/>
      <name val="Times New Roman"/>
      <family val="1"/>
    </font>
    <font>
      <b/>
      <sz val="20"/>
      <color theme="1"/>
      <name val="Times New Roman"/>
      <family val="1"/>
    </font>
    <font>
      <sz val="18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Calibri"/>
      <family val="2"/>
    </font>
    <font>
      <sz val="11"/>
      <name val="Calibri"/>
      <family val="2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</font>
    <font>
      <i/>
      <sz val="10"/>
      <color theme="1"/>
      <name val="Times New Roman"/>
      <family val="1"/>
    </font>
    <font>
      <b/>
      <i/>
      <sz val="10"/>
      <color theme="1"/>
      <name val="Times New Roman"/>
      <family val="1"/>
    </font>
    <font>
      <b/>
      <sz val="10"/>
      <color theme="1"/>
      <name val="Times New Roman"/>
      <family val="1"/>
    </font>
    <font>
      <i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rgb="FF000000"/>
      <name val="Helvetica Neue"/>
    </font>
    <font>
      <b/>
      <i/>
      <sz val="12"/>
      <color theme="1"/>
      <name val="Times New Roman"/>
      <family val="1"/>
    </font>
    <font>
      <sz val="12"/>
      <color rgb="FFFF0000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2"/>
      <color rgb="FF000000"/>
      <name val="Times New Roman"/>
      <family val="1"/>
    </font>
    <font>
      <sz val="14"/>
      <color rgb="FF000000"/>
      <name val="Times New Roman"/>
      <family val="1"/>
    </font>
    <font>
      <b/>
      <sz val="14"/>
      <color rgb="FF000000"/>
      <name val="Times New Roman"/>
      <family val="1"/>
    </font>
    <font>
      <sz val="13"/>
      <color rgb="FF000000"/>
      <name val="Times New Roman"/>
      <family val="1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i/>
      <sz val="13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1"/>
      <color rgb="FF000000"/>
      <name val="Times New Roman"/>
      <family val="1"/>
    </font>
    <font>
      <i/>
      <sz val="13"/>
      <color theme="1"/>
      <name val="Times New Roman"/>
      <family val="1"/>
    </font>
    <font>
      <b/>
      <sz val="18"/>
      <color rgb="FF000000"/>
      <name val="Times New Roman"/>
      <family val="1"/>
    </font>
    <font>
      <i/>
      <sz val="13"/>
      <color rgb="FF000000"/>
      <name val="Times New Roman"/>
      <family val="1"/>
    </font>
    <font>
      <i/>
      <sz val="14"/>
      <color rgb="FFFFFFFF"/>
      <name val="Times New Roman"/>
      <family val="1"/>
    </font>
    <font>
      <b/>
      <sz val="16"/>
      <color rgb="FF000000"/>
      <name val="Times New Roman"/>
      <family val="1"/>
    </font>
    <font>
      <b/>
      <u/>
      <sz val="11"/>
      <color rgb="FF000000"/>
      <name val="Times New Roman"/>
      <family val="1"/>
    </font>
    <font>
      <b/>
      <u/>
      <sz val="13"/>
      <color rgb="FF000000"/>
      <name val="Times New Roman"/>
      <family val="1"/>
    </font>
    <font>
      <b/>
      <u/>
      <sz val="11"/>
      <color rgb="FF000000"/>
      <name val="Times New Roman"/>
      <family val="1"/>
    </font>
    <font>
      <b/>
      <sz val="13"/>
      <color rgb="FF000000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i/>
      <sz val="12"/>
      <color rgb="FF000000"/>
      <name val="Times New Roman"/>
      <family val="1"/>
    </font>
    <font>
      <i/>
      <sz val="11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i/>
      <sz val="14"/>
      <color rgb="FF000000"/>
      <name val="Times New Roman"/>
      <family val="1"/>
    </font>
    <font>
      <b/>
      <sz val="16"/>
      <color theme="1"/>
      <name val="Times New Roman"/>
      <family val="1"/>
    </font>
    <font>
      <b/>
      <u/>
      <sz val="13"/>
      <color theme="1"/>
      <name val="Times New Roman"/>
      <family val="1"/>
    </font>
    <font>
      <b/>
      <u/>
      <sz val="11"/>
      <color rgb="FF000000"/>
      <name val="Times New Roman"/>
      <family val="1"/>
    </font>
    <font>
      <b/>
      <sz val="14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rgb="FFFF0000"/>
      <name val="Calibri"/>
      <family val="2"/>
    </font>
    <font>
      <sz val="11"/>
      <color rgb="FFFF0000"/>
      <name val="Times New Roman"/>
      <family val="1"/>
    </font>
    <font>
      <b/>
      <vertAlign val="superscript"/>
      <sz val="12"/>
      <color theme="1"/>
      <name val="Times New Roman"/>
      <family val="1"/>
    </font>
    <font>
      <i/>
      <vertAlign val="super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vertAlign val="superscript"/>
      <sz val="12"/>
      <color rgb="FF000000"/>
      <name val="Times New Roman"/>
      <family val="1"/>
    </font>
    <font>
      <i/>
      <vertAlign val="superscript"/>
      <sz val="12"/>
      <color rgb="FF000000"/>
      <name val="Times New Roman"/>
      <family val="1"/>
    </font>
    <font>
      <vertAlign val="superscript"/>
      <sz val="12"/>
      <color rgb="FF00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  <fill>
      <patternFill patternType="solid">
        <fgColor rgb="FF99CC00"/>
        <bgColor rgb="FF99CC00"/>
      </patternFill>
    </fill>
    <fill>
      <patternFill patternType="solid">
        <fgColor rgb="FFD6E3BC"/>
        <bgColor rgb="FFD6E3BC"/>
      </patternFill>
    </fill>
    <fill>
      <patternFill patternType="solid">
        <fgColor rgb="FF0066CC"/>
        <bgColor rgb="FF0066CC"/>
      </patternFill>
    </fill>
    <fill>
      <patternFill patternType="solid">
        <fgColor rgb="FFFDE9D9"/>
        <bgColor rgb="FFFDE9D9"/>
      </patternFill>
    </fill>
    <fill>
      <patternFill patternType="solid">
        <fgColor rgb="FF4F6128"/>
        <bgColor rgb="FF4F6128"/>
      </patternFill>
    </fill>
    <fill>
      <patternFill patternType="solid">
        <fgColor rgb="FF76923C"/>
        <bgColor rgb="FF76923C"/>
      </patternFill>
    </fill>
    <fill>
      <patternFill patternType="solid">
        <fgColor rgb="FF366092"/>
        <bgColor rgb="FF366092"/>
      </patternFill>
    </fill>
    <fill>
      <patternFill patternType="solid">
        <fgColor rgb="FFE06666"/>
        <bgColor rgb="FFE06666"/>
      </patternFill>
    </fill>
    <fill>
      <patternFill patternType="solid">
        <fgColor rgb="FFC00000"/>
        <bgColor rgb="FFC00000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80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2" borderId="1" xfId="0" applyFont="1" applyFill="1" applyBorder="1"/>
    <xf numFmtId="0" fontId="3" fillId="2" borderId="1" xfId="0" applyFont="1" applyFill="1" applyBorder="1"/>
    <xf numFmtId="0" fontId="4" fillId="0" borderId="0" xfId="0" applyFont="1"/>
    <xf numFmtId="0" fontId="8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41" fontId="6" fillId="0" borderId="5" xfId="0" applyNumberFormat="1" applyFont="1" applyBorder="1" applyAlignment="1">
      <alignment horizontal="center" vertical="center" wrapText="1"/>
    </xf>
    <xf numFmtId="14" fontId="2" fillId="2" borderId="5" xfId="0" applyNumberFormat="1" applyFont="1" applyFill="1" applyBorder="1" applyAlignment="1">
      <alignment horizontal="center" vertical="center" wrapText="1"/>
    </xf>
    <xf numFmtId="0" fontId="1" fillId="0" borderId="5" xfId="0" applyFont="1" applyBorder="1" applyAlignment="1">
      <alignment vertical="center"/>
    </xf>
    <xf numFmtId="0" fontId="15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4" fillId="0" borderId="0" xfId="0" applyFont="1" applyAlignment="1">
      <alignment wrapText="1"/>
    </xf>
    <xf numFmtId="0" fontId="16" fillId="2" borderId="5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17" fillId="0" borderId="0" xfId="0" applyFont="1"/>
    <xf numFmtId="14" fontId="2" fillId="2" borderId="5" xfId="0" quotePrefix="1" applyNumberFormat="1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43" fontId="16" fillId="2" borderId="5" xfId="0" applyNumberFormat="1" applyFont="1" applyFill="1" applyBorder="1" applyAlignment="1">
      <alignment horizontal="center" vertical="center" wrapText="1"/>
    </xf>
    <xf numFmtId="43" fontId="6" fillId="0" borderId="5" xfId="0" applyNumberFormat="1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wrapText="1"/>
    </xf>
    <xf numFmtId="0" fontId="20" fillId="0" borderId="5" xfId="0" applyFont="1" applyBorder="1" applyAlignment="1">
      <alignment wrapText="1"/>
    </xf>
    <xf numFmtId="0" fontId="6" fillId="0" borderId="5" xfId="0" applyFont="1" applyBorder="1"/>
    <xf numFmtId="0" fontId="6" fillId="2" borderId="5" xfId="0" applyFont="1" applyFill="1" applyBorder="1" applyAlignment="1">
      <alignment vertical="center" wrapText="1"/>
    </xf>
    <xf numFmtId="164" fontId="6" fillId="0" borderId="5" xfId="0" applyNumberFormat="1" applyFont="1" applyBorder="1" applyAlignment="1">
      <alignment horizontal="center" vertical="center" wrapText="1"/>
    </xf>
    <xf numFmtId="164" fontId="16" fillId="2" borderId="5" xfId="0" applyNumberFormat="1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center" wrapText="1"/>
    </xf>
    <xf numFmtId="0" fontId="18" fillId="0" borderId="5" xfId="0" applyFont="1" applyBorder="1" applyAlignment="1">
      <alignment wrapText="1"/>
    </xf>
    <xf numFmtId="0" fontId="21" fillId="0" borderId="5" xfId="0" applyFont="1" applyBorder="1"/>
    <xf numFmtId="0" fontId="16" fillId="0" borderId="5" xfId="0" applyFont="1" applyBorder="1" applyAlignment="1">
      <alignment horizontal="center" vertical="center" wrapText="1"/>
    </xf>
    <xf numFmtId="0" fontId="16" fillId="2" borderId="5" xfId="0" applyFont="1" applyFill="1" applyBorder="1" applyAlignment="1">
      <alignment vertical="center" wrapText="1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wrapText="1"/>
    </xf>
    <xf numFmtId="0" fontId="1" fillId="0" borderId="5" xfId="0" applyFont="1" applyBorder="1"/>
    <xf numFmtId="0" fontId="22" fillId="0" borderId="5" xfId="0" applyFont="1" applyBorder="1" applyAlignment="1">
      <alignment horizontal="center" vertical="center" wrapText="1"/>
    </xf>
    <xf numFmtId="0" fontId="22" fillId="2" borderId="5" xfId="0" applyFont="1" applyFill="1" applyBorder="1" applyAlignment="1">
      <alignment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wrapText="1"/>
    </xf>
    <xf numFmtId="0" fontId="15" fillId="4" borderId="5" xfId="0" applyFont="1" applyFill="1" applyBorder="1" applyAlignment="1">
      <alignment wrapText="1"/>
    </xf>
    <xf numFmtId="0" fontId="16" fillId="4" borderId="5" xfId="0" applyFont="1" applyFill="1" applyBorder="1"/>
    <xf numFmtId="0" fontId="16" fillId="4" borderId="5" xfId="0" applyFont="1" applyFill="1" applyBorder="1" applyAlignment="1">
      <alignment horizontal="center" vertical="center" wrapText="1"/>
    </xf>
    <xf numFmtId="0" fontId="16" fillId="4" borderId="5" xfId="0" applyFont="1" applyFill="1" applyBorder="1" applyAlignment="1">
      <alignment vertical="center" wrapText="1"/>
    </xf>
    <xf numFmtId="164" fontId="16" fillId="4" borderId="5" xfId="0" applyNumberFormat="1" applyFont="1" applyFill="1" applyBorder="1" applyAlignment="1">
      <alignment horizontal="center" vertical="center" wrapText="1"/>
    </xf>
    <xf numFmtId="43" fontId="16" fillId="0" borderId="5" xfId="0" applyNumberFormat="1" applyFont="1" applyBorder="1" applyAlignment="1">
      <alignment horizontal="center" vertical="center" wrapText="1"/>
    </xf>
    <xf numFmtId="0" fontId="18" fillId="4" borderId="5" xfId="0" applyFont="1" applyFill="1" applyBorder="1" applyAlignment="1">
      <alignment wrapText="1"/>
    </xf>
    <xf numFmtId="0" fontId="21" fillId="4" borderId="5" xfId="0" applyFont="1" applyFill="1" applyBorder="1"/>
    <xf numFmtId="164" fontId="16" fillId="4" borderId="1" xfId="0" applyNumberFormat="1" applyFont="1" applyFill="1" applyBorder="1" applyAlignment="1">
      <alignment vertical="center" wrapText="1"/>
    </xf>
    <xf numFmtId="164" fontId="6" fillId="4" borderId="5" xfId="0" applyNumberFormat="1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wrapText="1"/>
    </xf>
    <xf numFmtId="0" fontId="21" fillId="4" borderId="5" xfId="0" applyFont="1" applyFill="1" applyBorder="1" applyAlignment="1">
      <alignment horizontal="center" vertical="center" wrapText="1"/>
    </xf>
    <xf numFmtId="0" fontId="21" fillId="4" borderId="5" xfId="0" applyFont="1" applyFill="1" applyBorder="1" applyAlignment="1">
      <alignment vertical="center" wrapText="1"/>
    </xf>
    <xf numFmtId="0" fontId="23" fillId="0" borderId="0" xfId="0" applyFont="1" applyAlignment="1">
      <alignment wrapText="1"/>
    </xf>
    <xf numFmtId="0" fontId="19" fillId="0" borderId="5" xfId="0" applyFont="1" applyBorder="1" applyAlignment="1">
      <alignment wrapText="1"/>
    </xf>
    <xf numFmtId="0" fontId="6" fillId="0" borderId="5" xfId="0" applyFont="1" applyBorder="1" applyAlignment="1">
      <alignment wrapText="1"/>
    </xf>
    <xf numFmtId="0" fontId="18" fillId="0" borderId="5" xfId="0" applyFont="1" applyBorder="1" applyAlignment="1">
      <alignment horizontal="center" wrapText="1"/>
    </xf>
    <xf numFmtId="0" fontId="21" fillId="0" borderId="5" xfId="0" applyFont="1" applyBorder="1" applyAlignment="1">
      <alignment horizontal="center" vertical="center" wrapText="1"/>
    </xf>
    <xf numFmtId="0" fontId="21" fillId="2" borderId="5" xfId="0" applyFont="1" applyFill="1" applyBorder="1" applyAlignment="1">
      <alignment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20" fillId="0" borderId="5" xfId="0" applyFont="1" applyBorder="1"/>
    <xf numFmtId="0" fontId="18" fillId="0" borderId="5" xfId="0" applyFont="1" applyBorder="1"/>
    <xf numFmtId="0" fontId="15" fillId="0" borderId="5" xfId="0" applyFont="1" applyBorder="1" applyAlignment="1">
      <alignment wrapText="1"/>
    </xf>
    <xf numFmtId="0" fontId="19" fillId="0" borderId="5" xfId="0" applyFont="1" applyBorder="1" applyAlignment="1">
      <alignment horizontal="center" wrapText="1"/>
    </xf>
    <xf numFmtId="0" fontId="24" fillId="0" borderId="5" xfId="0" applyFont="1" applyBorder="1"/>
    <xf numFmtId="0" fontId="24" fillId="0" borderId="5" xfId="0" applyFont="1" applyBorder="1" applyAlignment="1">
      <alignment horizontal="center" vertical="center" wrapText="1"/>
    </xf>
    <xf numFmtId="0" fontId="24" fillId="2" borderId="5" xfId="0" applyFont="1" applyFill="1" applyBorder="1" applyAlignment="1">
      <alignment vertical="center" wrapText="1"/>
    </xf>
    <xf numFmtId="0" fontId="24" fillId="2" borderId="5" xfId="0" applyFont="1" applyFill="1" applyBorder="1" applyAlignment="1">
      <alignment horizontal="center" vertical="center" wrapText="1"/>
    </xf>
    <xf numFmtId="164" fontId="4" fillId="2" borderId="1" xfId="0" applyNumberFormat="1" applyFont="1" applyFill="1" applyBorder="1"/>
    <xf numFmtId="0" fontId="20" fillId="0" borderId="5" xfId="0" applyFont="1" applyBorder="1" applyAlignment="1">
      <alignment horizontal="center" vertical="center" wrapText="1"/>
    </xf>
    <xf numFmtId="0" fontId="20" fillId="0" borderId="5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21" fillId="0" borderId="5" xfId="0" applyFont="1" applyBorder="1" applyAlignment="1">
      <alignment vertical="center"/>
    </xf>
    <xf numFmtId="164" fontId="25" fillId="2" borderId="5" xfId="0" applyNumberFormat="1" applyFont="1" applyFill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 wrapText="1"/>
    </xf>
    <xf numFmtId="43" fontId="4" fillId="0" borderId="0" xfId="0" applyNumberFormat="1" applyFont="1" applyAlignment="1">
      <alignment vertical="center"/>
    </xf>
    <xf numFmtId="0" fontId="18" fillId="0" borderId="5" xfId="0" applyFont="1" applyBorder="1" applyAlignment="1">
      <alignment vertical="center" wrapText="1"/>
    </xf>
    <xf numFmtId="0" fontId="21" fillId="0" borderId="5" xfId="0" applyFont="1" applyBorder="1" applyAlignment="1">
      <alignment vertical="center" wrapText="1"/>
    </xf>
    <xf numFmtId="0" fontId="26" fillId="2" borderId="5" xfId="0" applyFont="1" applyFill="1" applyBorder="1" applyAlignment="1">
      <alignment vertical="center" wrapText="1"/>
    </xf>
    <xf numFmtId="0" fontId="21" fillId="0" borderId="5" xfId="0" applyFont="1" applyBorder="1" applyAlignment="1">
      <alignment wrapText="1"/>
    </xf>
    <xf numFmtId="0" fontId="27" fillId="0" borderId="5" xfId="0" applyFont="1" applyBorder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left"/>
    </xf>
    <xf numFmtId="0" fontId="20" fillId="2" borderId="5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2" borderId="5" xfId="0" applyFont="1" applyFill="1" applyBorder="1" applyAlignment="1">
      <alignment vertical="center" wrapText="1"/>
    </xf>
    <xf numFmtId="0" fontId="24" fillId="0" borderId="5" xfId="0" applyFont="1" applyBorder="1" applyAlignment="1">
      <alignment vertical="center"/>
    </xf>
    <xf numFmtId="0" fontId="20" fillId="0" borderId="5" xfId="0" applyFont="1" applyBorder="1" applyAlignment="1">
      <alignment horizontal="left" wrapText="1"/>
    </xf>
    <xf numFmtId="0" fontId="6" fillId="0" borderId="5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18" fillId="0" borderId="5" xfId="0" applyFont="1" applyBorder="1" applyAlignment="1">
      <alignment horizontal="left" wrapText="1"/>
    </xf>
    <xf numFmtId="0" fontId="16" fillId="0" borderId="5" xfId="0" applyFont="1" applyBorder="1" applyAlignment="1">
      <alignment horizontal="center" vertical="center"/>
    </xf>
    <xf numFmtId="0" fontId="19" fillId="0" borderId="5" xfId="0" applyFont="1" applyBorder="1" applyAlignment="1">
      <alignment horizontal="left" wrapText="1"/>
    </xf>
    <xf numFmtId="0" fontId="27" fillId="2" borderId="5" xfId="0" applyFont="1" applyFill="1" applyBorder="1" applyAlignment="1">
      <alignment vertical="center" wrapText="1"/>
    </xf>
    <xf numFmtId="0" fontId="16" fillId="0" borderId="5" xfId="0" applyFont="1" applyBorder="1" applyAlignment="1">
      <alignment wrapText="1"/>
    </xf>
    <xf numFmtId="0" fontId="21" fillId="0" borderId="5" xfId="0" applyFont="1" applyBorder="1" applyAlignment="1">
      <alignment horizontal="center" wrapText="1"/>
    </xf>
    <xf numFmtId="0" fontId="21" fillId="2" borderId="5" xfId="0" applyFont="1" applyFill="1" applyBorder="1" applyAlignment="1">
      <alignment wrapText="1"/>
    </xf>
    <xf numFmtId="0" fontId="21" fillId="2" borderId="5" xfId="0" applyFont="1" applyFill="1" applyBorder="1" applyAlignment="1">
      <alignment horizontal="center" wrapText="1"/>
    </xf>
    <xf numFmtId="0" fontId="16" fillId="0" borderId="5" xfId="0" applyFont="1" applyBorder="1"/>
    <xf numFmtId="0" fontId="20" fillId="4" borderId="5" xfId="0" applyFont="1" applyFill="1" applyBorder="1" applyAlignment="1">
      <alignment horizontal="center" wrapText="1"/>
    </xf>
    <xf numFmtId="0" fontId="20" fillId="4" borderId="5" xfId="0" applyFont="1" applyFill="1" applyBorder="1" applyAlignment="1">
      <alignment wrapText="1"/>
    </xf>
    <xf numFmtId="0" fontId="24" fillId="4" borderId="5" xfId="0" applyFont="1" applyFill="1" applyBorder="1" applyAlignment="1">
      <alignment horizontal="center" wrapText="1"/>
    </xf>
    <xf numFmtId="0" fontId="23" fillId="4" borderId="0" xfId="0" applyFont="1" applyFill="1" applyAlignment="1">
      <alignment wrapText="1"/>
    </xf>
    <xf numFmtId="43" fontId="6" fillId="4" borderId="5" xfId="0" applyNumberFormat="1" applyFont="1" applyFill="1" applyBorder="1" applyAlignment="1">
      <alignment horizontal="center" vertical="center" wrapText="1"/>
    </xf>
    <xf numFmtId="0" fontId="4" fillId="4" borderId="0" xfId="0" applyFont="1" applyFill="1"/>
    <xf numFmtId="0" fontId="26" fillId="2" borderId="12" xfId="0" applyFont="1" applyFill="1" applyBorder="1" applyAlignment="1">
      <alignment vertical="center" wrapText="1"/>
    </xf>
    <xf numFmtId="0" fontId="26" fillId="2" borderId="12" xfId="0" applyFont="1" applyFill="1" applyBorder="1" applyAlignment="1">
      <alignment horizontal="center" vertical="center" wrapText="1"/>
    </xf>
    <xf numFmtId="164" fontId="6" fillId="2" borderId="5" xfId="0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1" fontId="6" fillId="2" borderId="1" xfId="0" applyNumberFormat="1" applyFont="1" applyFill="1" applyBorder="1" applyAlignment="1">
      <alignment horizontal="center" vertical="center" wrapText="1"/>
    </xf>
    <xf numFmtId="41" fontId="16" fillId="2" borderId="1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0" fontId="6" fillId="2" borderId="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/>
    <xf numFmtId="0" fontId="16" fillId="0" borderId="0" xfId="0" applyFont="1"/>
    <xf numFmtId="0" fontId="6" fillId="0" borderId="0" xfId="0" applyFont="1" applyAlignment="1">
      <alignment horizontal="center" wrapText="1"/>
    </xf>
    <xf numFmtId="0" fontId="26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/>
    <xf numFmtId="0" fontId="22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4" fillId="2" borderId="1" xfId="0" applyFont="1" applyFill="1" applyBorder="1"/>
    <xf numFmtId="2" fontId="1" fillId="0" borderId="0" xfId="0" applyNumberFormat="1" applyFont="1"/>
    <xf numFmtId="3" fontId="2" fillId="0" borderId="0" xfId="0" applyNumberFormat="1" applyFont="1"/>
    <xf numFmtId="2" fontId="15" fillId="0" borderId="0" xfId="0" applyNumberFormat="1" applyFont="1" applyAlignment="1">
      <alignment horizontal="center" vertical="center"/>
    </xf>
    <xf numFmtId="3" fontId="20" fillId="0" borderId="0" xfId="0" applyNumberFormat="1" applyFont="1"/>
    <xf numFmtId="3" fontId="2" fillId="0" borderId="0" xfId="0" applyNumberFormat="1" applyFont="1" applyAlignment="1">
      <alignment horizontal="left" wrapText="1"/>
    </xf>
    <xf numFmtId="0" fontId="28" fillId="2" borderId="6" xfId="0" applyFont="1" applyFill="1" applyBorder="1" applyAlignment="1">
      <alignment horizontal="center" vertical="center" wrapText="1"/>
    </xf>
    <xf numFmtId="0" fontId="29" fillId="5" borderId="6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/>
    </xf>
    <xf numFmtId="0" fontId="31" fillId="2" borderId="5" xfId="0" applyFont="1" applyFill="1" applyBorder="1" applyAlignment="1">
      <alignment horizontal="center" vertical="center" wrapText="1"/>
    </xf>
    <xf numFmtId="0" fontId="31" fillId="5" borderId="5" xfId="0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14" fontId="16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31" fillId="2" borderId="5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center" wrapText="1"/>
    </xf>
    <xf numFmtId="0" fontId="32" fillId="2" borderId="5" xfId="0" applyFont="1" applyFill="1" applyBorder="1" applyAlignment="1">
      <alignment horizontal="center" vertical="center" wrapText="1"/>
    </xf>
    <xf numFmtId="37" fontId="2" fillId="2" borderId="5" xfId="0" applyNumberFormat="1" applyFont="1" applyFill="1" applyBorder="1" applyAlignment="1">
      <alignment horizontal="center" vertical="center" wrapText="1"/>
    </xf>
    <xf numFmtId="3" fontId="3" fillId="0" borderId="5" xfId="0" applyNumberFormat="1" applyFont="1" applyBorder="1" applyAlignment="1">
      <alignment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3" fontId="34" fillId="2" borderId="5" xfId="0" applyNumberFormat="1" applyFont="1" applyFill="1" applyBorder="1" applyAlignment="1">
      <alignment horizontal="center" vertical="center"/>
    </xf>
    <xf numFmtId="3" fontId="26" fillId="0" borderId="0" xfId="0" applyNumberFormat="1" applyFont="1"/>
    <xf numFmtId="3" fontId="22" fillId="0" borderId="5" xfId="0" applyNumberFormat="1" applyFont="1" applyBorder="1"/>
    <xf numFmtId="3" fontId="6" fillId="2" borderId="5" xfId="0" applyNumberFormat="1" applyFont="1" applyFill="1" applyBorder="1" applyAlignment="1">
      <alignment horizontal="center" vertical="center" wrapText="1"/>
    </xf>
    <xf numFmtId="3" fontId="28" fillId="5" borderId="5" xfId="0" applyNumberFormat="1" applyFont="1" applyFill="1" applyBorder="1" applyAlignment="1">
      <alignment horizontal="center" vertical="center" wrapText="1"/>
    </xf>
    <xf numFmtId="3" fontId="28" fillId="2" borderId="5" xfId="0" applyNumberFormat="1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/>
    </xf>
    <xf numFmtId="3" fontId="4" fillId="0" borderId="0" xfId="0" applyNumberFormat="1" applyFont="1"/>
    <xf numFmtId="0" fontId="20" fillId="4" borderId="5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wrapText="1"/>
    </xf>
    <xf numFmtId="3" fontId="22" fillId="4" borderId="5" xfId="0" applyNumberFormat="1" applyFont="1" applyFill="1" applyBorder="1"/>
    <xf numFmtId="41" fontId="16" fillId="4" borderId="5" xfId="0" applyNumberFormat="1" applyFont="1" applyFill="1" applyBorder="1" applyAlignment="1">
      <alignment horizontal="center" vertical="center" wrapText="1"/>
    </xf>
    <xf numFmtId="41" fontId="35" fillId="4" borderId="5" xfId="0" applyNumberFormat="1" applyFont="1" applyFill="1" applyBorder="1" applyAlignment="1">
      <alignment horizontal="center" vertical="center" wrapText="1"/>
    </xf>
    <xf numFmtId="165" fontId="2" fillId="4" borderId="5" xfId="0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/>
    <xf numFmtId="41" fontId="16" fillId="2" borderId="5" xfId="0" applyNumberFormat="1" applyFont="1" applyFill="1" applyBorder="1" applyAlignment="1">
      <alignment horizontal="center" vertical="center" wrapText="1"/>
    </xf>
    <xf numFmtId="41" fontId="35" fillId="5" borderId="5" xfId="0" applyNumberFormat="1" applyFont="1" applyFill="1" applyBorder="1" applyAlignment="1">
      <alignment horizontal="center" vertical="center" wrapText="1"/>
    </xf>
    <xf numFmtId="165" fontId="2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center" wrapText="1"/>
    </xf>
    <xf numFmtId="3" fontId="4" fillId="0" borderId="0" xfId="0" applyNumberFormat="1" applyFont="1" applyAlignment="1">
      <alignment horizontal="center" vertical="center"/>
    </xf>
    <xf numFmtId="41" fontId="6" fillId="2" borderId="5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41" fontId="35" fillId="2" borderId="5" xfId="0" applyNumberFormat="1" applyFont="1" applyFill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0" fontId="24" fillId="0" borderId="5" xfId="0" applyFont="1" applyBorder="1" applyAlignment="1">
      <alignment vertical="center" wrapText="1"/>
    </xf>
    <xf numFmtId="0" fontId="16" fillId="0" borderId="5" xfId="0" applyFont="1" applyBorder="1" applyAlignment="1">
      <alignment vertical="center" wrapText="1"/>
    </xf>
    <xf numFmtId="0" fontId="24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left" vertical="center"/>
    </xf>
    <xf numFmtId="0" fontId="22" fillId="0" borderId="5" xfId="0" applyFont="1" applyBorder="1" applyAlignment="1">
      <alignment horizontal="center" vertical="center"/>
    </xf>
    <xf numFmtId="4" fontId="22" fillId="0" borderId="5" xfId="0" applyNumberFormat="1" applyFont="1" applyBorder="1"/>
    <xf numFmtId="41" fontId="6" fillId="2" borderId="15" xfId="0" applyNumberFormat="1" applyFont="1" applyFill="1" applyBorder="1" applyAlignment="1">
      <alignment horizontal="center" vertical="center" wrapText="1"/>
    </xf>
    <xf numFmtId="41" fontId="36" fillId="5" borderId="5" xfId="0" applyNumberFormat="1" applyFont="1" applyFill="1" applyBorder="1" applyAlignment="1">
      <alignment horizontal="center" vertical="center" wrapText="1"/>
    </xf>
    <xf numFmtId="41" fontId="36" fillId="5" borderId="15" xfId="0" applyNumberFormat="1" applyFont="1" applyFill="1" applyBorder="1" applyAlignment="1">
      <alignment horizontal="center" vertical="center" wrapText="1"/>
    </xf>
    <xf numFmtId="41" fontId="36" fillId="2" borderId="15" xfId="0" applyNumberFormat="1" applyFont="1" applyFill="1" applyBorder="1" applyAlignment="1">
      <alignment horizontal="center" vertical="center" wrapText="1"/>
    </xf>
    <xf numFmtId="4" fontId="3" fillId="2" borderId="5" xfId="0" applyNumberFormat="1" applyFont="1" applyFill="1" applyBorder="1" applyAlignment="1">
      <alignment horizontal="center" vertical="center"/>
    </xf>
    <xf numFmtId="3" fontId="37" fillId="0" borderId="0" xfId="0" applyNumberFormat="1" applyFont="1"/>
    <xf numFmtId="3" fontId="38" fillId="0" borderId="0" xfId="0" applyNumberFormat="1" applyFont="1"/>
    <xf numFmtId="3" fontId="4" fillId="0" borderId="0" xfId="0" applyNumberFormat="1" applyFont="1" applyAlignment="1">
      <alignment horizontal="center"/>
    </xf>
    <xf numFmtId="3" fontId="15" fillId="0" borderId="0" xfId="0" applyNumberFormat="1" applyFont="1"/>
    <xf numFmtId="3" fontId="15" fillId="2" borderId="1" xfId="0" applyNumberFormat="1" applyFont="1" applyFill="1" applyBorder="1"/>
    <xf numFmtId="0" fontId="35" fillId="5" borderId="1" xfId="0" applyFont="1" applyFill="1" applyBorder="1"/>
    <xf numFmtId="41" fontId="28" fillId="5" borderId="1" xfId="0" applyNumberFormat="1" applyFont="1" applyFill="1" applyBorder="1" applyAlignment="1">
      <alignment horizontal="center"/>
    </xf>
    <xf numFmtId="0" fontId="39" fillId="5" borderId="1" xfId="0" applyFont="1" applyFill="1" applyBorder="1"/>
    <xf numFmtId="0" fontId="39" fillId="5" borderId="1" xfId="0" applyFont="1" applyFill="1" applyBorder="1" applyAlignment="1">
      <alignment horizontal="center"/>
    </xf>
    <xf numFmtId="41" fontId="30" fillId="5" borderId="1" xfId="0" applyNumberFormat="1" applyFont="1" applyFill="1" applyBorder="1" applyAlignment="1">
      <alignment horizontal="center"/>
    </xf>
    <xf numFmtId="4" fontId="6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4" fontId="5" fillId="2" borderId="5" xfId="0" applyNumberFormat="1" applyFont="1" applyFill="1" applyBorder="1" applyAlignment="1">
      <alignment vertical="center"/>
    </xf>
    <xf numFmtId="3" fontId="5" fillId="2" borderId="5" xfId="0" applyNumberFormat="1" applyFont="1" applyFill="1" applyBorder="1" applyAlignment="1">
      <alignment vertical="center"/>
    </xf>
    <xf numFmtId="14" fontId="5" fillId="2" borderId="5" xfId="0" applyNumberFormat="1" applyFont="1" applyFill="1" applyBorder="1" applyAlignment="1">
      <alignment vertical="center" wrapText="1"/>
    </xf>
    <xf numFmtId="4" fontId="2" fillId="2" borderId="5" xfId="0" applyNumberFormat="1" applyFont="1" applyFill="1" applyBorder="1" applyAlignment="1">
      <alignment horizontal="center" vertical="center" wrapText="1"/>
    </xf>
    <xf numFmtId="166" fontId="5" fillId="2" borderId="5" xfId="0" applyNumberFormat="1" applyFont="1" applyFill="1" applyBorder="1" applyAlignment="1">
      <alignment vertical="center" wrapText="1"/>
    </xf>
    <xf numFmtId="37" fontId="5" fillId="2" borderId="5" xfId="0" applyNumberFormat="1" applyFont="1" applyFill="1" applyBorder="1" applyAlignment="1">
      <alignment vertical="center" wrapText="1"/>
    </xf>
    <xf numFmtId="14" fontId="5" fillId="2" borderId="5" xfId="0" applyNumberFormat="1" applyFont="1" applyFill="1" applyBorder="1" applyAlignment="1">
      <alignment vertical="center"/>
    </xf>
    <xf numFmtId="0" fontId="5" fillId="2" borderId="6" xfId="0" applyFont="1" applyFill="1" applyBorder="1"/>
    <xf numFmtId="4" fontId="5" fillId="2" borderId="6" xfId="0" applyNumberFormat="1" applyFont="1" applyFill="1" applyBorder="1"/>
    <xf numFmtId="3" fontId="5" fillId="2" borderId="6" xfId="0" applyNumberFormat="1" applyFont="1" applyFill="1" applyBorder="1"/>
    <xf numFmtId="3" fontId="5" fillId="2" borderId="5" xfId="0" applyNumberFormat="1" applyFont="1" applyFill="1" applyBorder="1"/>
    <xf numFmtId="4" fontId="5" fillId="2" borderId="5" xfId="0" applyNumberFormat="1" applyFont="1" applyFill="1" applyBorder="1"/>
    <xf numFmtId="3" fontId="5" fillId="0" borderId="0" xfId="0" applyNumberFormat="1" applyFont="1"/>
    <xf numFmtId="41" fontId="16" fillId="2" borderId="5" xfId="0" applyNumberFormat="1" applyFont="1" applyFill="1" applyBorder="1" applyAlignment="1">
      <alignment horizontal="center" wrapText="1"/>
    </xf>
    <xf numFmtId="41" fontId="5" fillId="2" borderId="5" xfId="0" applyNumberFormat="1" applyFont="1" applyFill="1" applyBorder="1"/>
    <xf numFmtId="3" fontId="5" fillId="4" borderId="1" xfId="0" applyNumberFormat="1" applyFont="1" applyFill="1" applyBorder="1"/>
    <xf numFmtId="3" fontId="5" fillId="0" borderId="0" xfId="0" applyNumberFormat="1" applyFont="1" applyAlignment="1">
      <alignment horizontal="center" vertical="center"/>
    </xf>
    <xf numFmtId="4" fontId="25" fillId="2" borderId="5" xfId="0" applyNumberFormat="1" applyFont="1" applyFill="1" applyBorder="1" applyAlignment="1">
      <alignment horizontal="center" wrapText="1"/>
    </xf>
    <xf numFmtId="41" fontId="25" fillId="2" borderId="5" xfId="0" applyNumberFormat="1" applyFont="1" applyFill="1" applyBorder="1" applyAlignment="1">
      <alignment horizontal="center" wrapText="1"/>
    </xf>
    <xf numFmtId="3" fontId="5" fillId="0" borderId="0" xfId="0" applyNumberFormat="1" applyFont="1" applyAlignment="1">
      <alignment vertical="center"/>
    </xf>
    <xf numFmtId="4" fontId="25" fillId="2" borderId="5" xfId="0" applyNumberFormat="1" applyFont="1" applyFill="1" applyBorder="1" applyAlignment="1">
      <alignment horizontal="right" wrapText="1"/>
    </xf>
    <xf numFmtId="167" fontId="25" fillId="2" borderId="5" xfId="0" applyNumberFormat="1" applyFont="1" applyFill="1" applyBorder="1" applyAlignment="1">
      <alignment horizontal="center" wrapText="1"/>
    </xf>
    <xf numFmtId="167" fontId="5" fillId="2" borderId="5" xfId="0" applyNumberFormat="1" applyFont="1" applyFill="1" applyBorder="1"/>
    <xf numFmtId="168" fontId="16" fillId="2" borderId="5" xfId="0" applyNumberFormat="1" applyFont="1" applyFill="1" applyBorder="1" applyAlignment="1">
      <alignment horizontal="center" wrapText="1"/>
    </xf>
    <xf numFmtId="169" fontId="16" fillId="2" borderId="5" xfId="0" applyNumberFormat="1" applyFont="1" applyFill="1" applyBorder="1" applyAlignment="1">
      <alignment horizontal="center" wrapText="1"/>
    </xf>
    <xf numFmtId="167" fontId="16" fillId="2" borderId="5" xfId="0" applyNumberFormat="1" applyFont="1" applyFill="1" applyBorder="1" applyAlignment="1">
      <alignment horizontal="center" wrapText="1"/>
    </xf>
    <xf numFmtId="165" fontId="5" fillId="2" borderId="5" xfId="0" applyNumberFormat="1" applyFont="1" applyFill="1" applyBorder="1"/>
    <xf numFmtId="4" fontId="5" fillId="0" borderId="0" xfId="0" applyNumberFormat="1" applyFont="1"/>
    <xf numFmtId="41" fontId="6" fillId="2" borderId="5" xfId="0" applyNumberFormat="1" applyFont="1" applyFill="1" applyBorder="1" applyAlignment="1">
      <alignment horizontal="center" wrapText="1"/>
    </xf>
    <xf numFmtId="3" fontId="22" fillId="0" borderId="0" xfId="0" applyNumberFormat="1" applyFont="1"/>
    <xf numFmtId="3" fontId="5" fillId="0" borderId="0" xfId="0" applyNumberFormat="1" applyFont="1" applyAlignment="1">
      <alignment horizontal="center"/>
    </xf>
    <xf numFmtId="0" fontId="6" fillId="2" borderId="6" xfId="0" applyFont="1" applyFill="1" applyBorder="1" applyAlignment="1">
      <alignment horizontal="center" vertical="center" wrapText="1"/>
    </xf>
    <xf numFmtId="4" fontId="6" fillId="2" borderId="6" xfId="0" applyNumberFormat="1" applyFont="1" applyFill="1" applyBorder="1" applyAlignment="1">
      <alignment horizontal="center" vertical="center" wrapText="1"/>
    </xf>
    <xf numFmtId="4" fontId="5" fillId="2" borderId="5" xfId="0" applyNumberFormat="1" applyFont="1" applyFill="1" applyBorder="1" applyAlignment="1">
      <alignment vertical="center" wrapText="1"/>
    </xf>
    <xf numFmtId="41" fontId="16" fillId="6" borderId="5" xfId="0" applyNumberFormat="1" applyFont="1" applyFill="1" applyBorder="1" applyAlignment="1">
      <alignment horizontal="center" wrapText="1"/>
    </xf>
    <xf numFmtId="4" fontId="5" fillId="4" borderId="5" xfId="0" applyNumberFormat="1" applyFont="1" applyFill="1" applyBorder="1"/>
    <xf numFmtId="41" fontId="16" fillId="4" borderId="5" xfId="0" applyNumberFormat="1" applyFont="1" applyFill="1" applyBorder="1" applyAlignment="1">
      <alignment horizontal="center" wrapText="1"/>
    </xf>
    <xf numFmtId="0" fontId="4" fillId="4" borderId="1" xfId="0" applyFont="1" applyFill="1" applyBorder="1"/>
    <xf numFmtId="41" fontId="5" fillId="4" borderId="5" xfId="0" applyNumberFormat="1" applyFont="1" applyFill="1" applyBorder="1"/>
    <xf numFmtId="0" fontId="4" fillId="0" borderId="14" xfId="0" applyFont="1" applyBorder="1"/>
    <xf numFmtId="164" fontId="6" fillId="2" borderId="15" xfId="0" applyNumberFormat="1" applyFont="1" applyFill="1" applyBorder="1" applyAlignment="1">
      <alignment horizontal="center" vertical="center" wrapText="1"/>
    </xf>
    <xf numFmtId="3" fontId="3" fillId="2" borderId="5" xfId="0" applyNumberFormat="1" applyFont="1" applyFill="1" applyBorder="1" applyAlignment="1">
      <alignment horizontal="center" vertical="center" wrapText="1"/>
    </xf>
    <xf numFmtId="164" fontId="5" fillId="2" borderId="15" xfId="0" applyNumberFormat="1" applyFont="1" applyFill="1" applyBorder="1" applyAlignment="1">
      <alignment horizontal="center" vertical="center"/>
    </xf>
    <xf numFmtId="164" fontId="5" fillId="2" borderId="5" xfId="0" applyNumberFormat="1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0" fontId="31" fillId="2" borderId="10" xfId="0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5" fillId="2" borderId="5" xfId="0" applyNumberFormat="1" applyFont="1" applyFill="1" applyBorder="1" applyAlignment="1">
      <alignment vertical="center" wrapText="1"/>
    </xf>
    <xf numFmtId="164" fontId="5" fillId="2" borderId="15" xfId="0" applyNumberFormat="1" applyFont="1" applyFill="1" applyBorder="1" applyAlignment="1">
      <alignment vertical="center"/>
    </xf>
    <xf numFmtId="164" fontId="5" fillId="2" borderId="5" xfId="0" applyNumberFormat="1" applyFont="1" applyFill="1" applyBorder="1" applyAlignment="1">
      <alignment vertical="center"/>
    </xf>
    <xf numFmtId="3" fontId="2" fillId="2" borderId="5" xfId="0" applyNumberFormat="1" applyFont="1" applyFill="1" applyBorder="1" applyAlignment="1">
      <alignment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164" fontId="5" fillId="2" borderId="6" xfId="0" applyNumberFormat="1" applyFont="1" applyFill="1" applyBorder="1"/>
    <xf numFmtId="3" fontId="40" fillId="2" borderId="5" xfId="0" applyNumberFormat="1" applyFont="1" applyFill="1" applyBorder="1"/>
    <xf numFmtId="164" fontId="5" fillId="2" borderId="5" xfId="0" applyNumberFormat="1" applyFont="1" applyFill="1" applyBorder="1"/>
    <xf numFmtId="3" fontId="2" fillId="2" borderId="5" xfId="0" applyNumberFormat="1" applyFont="1" applyFill="1" applyBorder="1"/>
    <xf numFmtId="164" fontId="16" fillId="2" borderId="5" xfId="0" applyNumberFormat="1" applyFont="1" applyFill="1" applyBorder="1" applyAlignment="1">
      <alignment horizontal="center" wrapText="1"/>
    </xf>
    <xf numFmtId="3" fontId="22" fillId="2" borderId="5" xfId="0" applyNumberFormat="1" applyFont="1" applyFill="1" applyBorder="1"/>
    <xf numFmtId="3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/>
    <xf numFmtId="164" fontId="25" fillId="2" borderId="5" xfId="0" applyNumberFormat="1" applyFont="1" applyFill="1" applyBorder="1" applyAlignment="1">
      <alignment horizontal="center" wrapText="1"/>
    </xf>
    <xf numFmtId="41" fontId="28" fillId="2" borderId="5" xfId="0" applyNumberFormat="1" applyFont="1" applyFill="1" applyBorder="1" applyAlignment="1">
      <alignment horizontal="center" vertical="center" wrapText="1"/>
    </xf>
    <xf numFmtId="164" fontId="25" fillId="2" borderId="5" xfId="0" applyNumberFormat="1" applyFont="1" applyFill="1" applyBorder="1" applyAlignment="1">
      <alignment horizontal="right" wrapText="1"/>
    </xf>
    <xf numFmtId="4" fontId="2" fillId="2" borderId="5" xfId="0" applyNumberFormat="1" applyFont="1" applyFill="1" applyBorder="1" applyAlignment="1">
      <alignment horizontal="center" vertical="center"/>
    </xf>
    <xf numFmtId="43" fontId="2" fillId="2" borderId="19" xfId="0" applyNumberFormat="1" applyFont="1" applyFill="1" applyBorder="1" applyAlignment="1">
      <alignment horizontal="center" vertical="center" wrapText="1"/>
    </xf>
    <xf numFmtId="3" fontId="31" fillId="2" borderId="5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 wrapText="1"/>
    </xf>
    <xf numFmtId="165" fontId="2" fillId="2" borderId="5" xfId="0" applyNumberFormat="1" applyFont="1" applyFill="1" applyBorder="1" applyAlignment="1">
      <alignment horizontal="center" wrapText="1"/>
    </xf>
    <xf numFmtId="164" fontId="22" fillId="2" borderId="5" xfId="0" applyNumberFormat="1" applyFont="1" applyFill="1" applyBorder="1"/>
    <xf numFmtId="164" fontId="6" fillId="2" borderId="5" xfId="0" applyNumberFormat="1" applyFont="1" applyFill="1" applyBorder="1" applyAlignment="1">
      <alignment horizontal="center" wrapText="1"/>
    </xf>
    <xf numFmtId="0" fontId="37" fillId="0" borderId="0" xfId="0" applyFont="1"/>
    <xf numFmtId="164" fontId="3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/>
    </xf>
    <xf numFmtId="0" fontId="31" fillId="2" borderId="10" xfId="0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31" fillId="2" borderId="5" xfId="0" applyFont="1" applyFill="1" applyBorder="1" applyAlignment="1">
      <alignment horizontal="right" vertical="center" wrapText="1"/>
    </xf>
    <xf numFmtId="0" fontId="32" fillId="2" borderId="5" xfId="0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right" vertical="center" wrapText="1"/>
    </xf>
    <xf numFmtId="3" fontId="40" fillId="2" borderId="5" xfId="0" applyNumberFormat="1" applyFont="1" applyFill="1" applyBorder="1" applyAlignment="1">
      <alignment horizontal="right"/>
    </xf>
    <xf numFmtId="3" fontId="34" fillId="2" borderId="5" xfId="0" applyNumberFormat="1" applyFont="1" applyFill="1" applyBorder="1" applyAlignment="1">
      <alignment horizontal="right" vertical="center"/>
    </xf>
    <xf numFmtId="0" fontId="33" fillId="2" borderId="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 vertical="center"/>
    </xf>
    <xf numFmtId="3" fontId="28" fillId="2" borderId="5" xfId="0" applyNumberFormat="1" applyFont="1" applyFill="1" applyBorder="1" applyAlignment="1">
      <alignment horizontal="right" vertical="center" wrapText="1"/>
    </xf>
    <xf numFmtId="41" fontId="35" fillId="2" borderId="5" xfId="0" applyNumberFormat="1" applyFont="1" applyFill="1" applyBorder="1" applyAlignment="1">
      <alignment horizontal="right" vertical="center" wrapText="1"/>
    </xf>
    <xf numFmtId="165" fontId="2" fillId="2" borderId="5" xfId="0" applyNumberFormat="1" applyFont="1" applyFill="1" applyBorder="1" applyAlignment="1">
      <alignment horizontal="right" vertical="center"/>
    </xf>
    <xf numFmtId="164" fontId="5" fillId="2" borderId="5" xfId="0" applyNumberFormat="1" applyFont="1" applyFill="1" applyBorder="1" applyAlignment="1">
      <alignment wrapText="1"/>
    </xf>
    <xf numFmtId="170" fontId="2" fillId="2" borderId="19" xfId="0" applyNumberFormat="1" applyFont="1" applyFill="1" applyBorder="1" applyAlignment="1">
      <alignment horizontal="right" vertical="center" wrapText="1"/>
    </xf>
    <xf numFmtId="3" fontId="35" fillId="2" borderId="5" xfId="0" applyNumberFormat="1" applyFont="1" applyFill="1" applyBorder="1" applyAlignment="1">
      <alignment horizontal="right" vertical="center" wrapText="1"/>
    </xf>
    <xf numFmtId="3" fontId="35" fillId="2" borderId="5" xfId="0" applyNumberFormat="1" applyFont="1" applyFill="1" applyBorder="1" applyAlignment="1">
      <alignment horizontal="center" vertical="center" wrapText="1"/>
    </xf>
    <xf numFmtId="167" fontId="35" fillId="2" borderId="5" xfId="0" applyNumberFormat="1" applyFont="1" applyFill="1" applyBorder="1" applyAlignment="1">
      <alignment horizontal="center" vertical="center" wrapText="1"/>
    </xf>
    <xf numFmtId="165" fontId="2" fillId="2" borderId="5" xfId="0" applyNumberFormat="1" applyFont="1" applyFill="1" applyBorder="1" applyAlignment="1">
      <alignment horizontal="right" vertical="center" wrapText="1"/>
    </xf>
    <xf numFmtId="165" fontId="2" fillId="2" borderId="5" xfId="0" applyNumberFormat="1" applyFont="1" applyFill="1" applyBorder="1" applyAlignment="1">
      <alignment horizontal="right" wrapText="1"/>
    </xf>
    <xf numFmtId="41" fontId="28" fillId="2" borderId="5" xfId="0" applyNumberFormat="1" applyFont="1" applyFill="1" applyBorder="1" applyAlignment="1">
      <alignment horizontal="right" vertical="center" wrapText="1"/>
    </xf>
    <xf numFmtId="3" fontId="3" fillId="0" borderId="5" xfId="0" applyNumberFormat="1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5" xfId="0" applyNumberFormat="1" applyFont="1" applyFill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vertical="center" wrapText="1"/>
    </xf>
    <xf numFmtId="0" fontId="32" fillId="5" borderId="5" xfId="0" applyFont="1" applyFill="1" applyBorder="1" applyAlignment="1">
      <alignment horizontal="center" vertical="center" wrapText="1"/>
    </xf>
    <xf numFmtId="49" fontId="2" fillId="5" borderId="5" xfId="0" applyNumberFormat="1" applyFont="1" applyFill="1" applyBorder="1" applyAlignment="1">
      <alignment horizontal="center" vertical="center" wrapText="1"/>
    </xf>
    <xf numFmtId="3" fontId="40" fillId="0" borderId="5" xfId="0" applyNumberFormat="1" applyFont="1" applyBorder="1"/>
    <xf numFmtId="3" fontId="40" fillId="5" borderId="5" xfId="0" applyNumberFormat="1" applyFont="1" applyFill="1" applyBorder="1"/>
    <xf numFmtId="3" fontId="34" fillId="5" borderId="5" xfId="0" applyNumberFormat="1" applyFont="1" applyFill="1" applyBorder="1" applyAlignment="1">
      <alignment horizontal="center" vertical="center"/>
    </xf>
    <xf numFmtId="3" fontId="5" fillId="5" borderId="6" xfId="0" applyNumberFormat="1" applyFont="1" applyFill="1" applyBorder="1"/>
    <xf numFmtId="3" fontId="2" fillId="5" borderId="5" xfId="0" applyNumberFormat="1" applyFont="1" applyFill="1" applyBorder="1"/>
    <xf numFmtId="3" fontId="3" fillId="5" borderId="5" xfId="0" applyNumberFormat="1" applyFont="1" applyFill="1" applyBorder="1" applyAlignment="1">
      <alignment horizontal="center" vertical="center"/>
    </xf>
    <xf numFmtId="164" fontId="5" fillId="5" borderId="5" xfId="0" applyNumberFormat="1" applyFont="1" applyFill="1" applyBorder="1"/>
    <xf numFmtId="3" fontId="5" fillId="5" borderId="5" xfId="0" applyNumberFormat="1" applyFont="1" applyFill="1" applyBorder="1"/>
    <xf numFmtId="3" fontId="2" fillId="4" borderId="5" xfId="0" applyNumberFormat="1" applyFont="1" applyFill="1" applyBorder="1" applyAlignment="1">
      <alignment horizontal="center" vertical="center"/>
    </xf>
    <xf numFmtId="165" fontId="2" fillId="6" borderId="5" xfId="0" applyNumberFormat="1" applyFont="1" applyFill="1" applyBorder="1" applyAlignment="1">
      <alignment horizontal="center" vertical="center"/>
    </xf>
    <xf numFmtId="164" fontId="5" fillId="6" borderId="5" xfId="0" applyNumberFormat="1" applyFont="1" applyFill="1" applyBorder="1"/>
    <xf numFmtId="164" fontId="5" fillId="4" borderId="5" xfId="0" applyNumberFormat="1" applyFont="1" applyFill="1" applyBorder="1"/>
    <xf numFmtId="165" fontId="2" fillId="0" borderId="5" xfId="0" applyNumberFormat="1" applyFont="1" applyBorder="1" applyAlignment="1">
      <alignment horizontal="center" vertical="center"/>
    </xf>
    <xf numFmtId="165" fontId="2" fillId="5" borderId="5" xfId="0" applyNumberFormat="1" applyFont="1" applyFill="1" applyBorder="1" applyAlignment="1">
      <alignment horizontal="center" vertical="center"/>
    </xf>
    <xf numFmtId="41" fontId="5" fillId="5" borderId="5" xfId="0" applyNumberFormat="1" applyFont="1" applyFill="1" applyBorder="1"/>
    <xf numFmtId="164" fontId="16" fillId="5" borderId="5" xfId="0" applyNumberFormat="1" applyFont="1" applyFill="1" applyBorder="1" applyAlignment="1">
      <alignment horizontal="center" wrapText="1"/>
    </xf>
    <xf numFmtId="41" fontId="16" fillId="5" borderId="5" xfId="0" applyNumberFormat="1" applyFont="1" applyFill="1" applyBorder="1" applyAlignment="1">
      <alignment horizontal="center" wrapText="1"/>
    </xf>
    <xf numFmtId="164" fontId="25" fillId="5" borderId="5" xfId="0" applyNumberFormat="1" applyFont="1" applyFill="1" applyBorder="1" applyAlignment="1">
      <alignment horizontal="center" wrapText="1"/>
    </xf>
    <xf numFmtId="41" fontId="28" fillId="5" borderId="5" xfId="0" applyNumberFormat="1" applyFont="1" applyFill="1" applyBorder="1" applyAlignment="1">
      <alignment horizontal="center" vertical="center" wrapText="1"/>
    </xf>
    <xf numFmtId="164" fontId="5" fillId="5" borderId="5" xfId="0" applyNumberFormat="1" applyFont="1" applyFill="1" applyBorder="1" applyAlignment="1">
      <alignment wrapText="1"/>
    </xf>
    <xf numFmtId="4" fontId="2" fillId="5" borderId="5" xfId="0" applyNumberFormat="1" applyFont="1" applyFill="1" applyBorder="1" applyAlignment="1">
      <alignment horizontal="center" vertical="center"/>
    </xf>
    <xf numFmtId="43" fontId="2" fillId="0" borderId="19" xfId="0" applyNumberFormat="1" applyFont="1" applyBorder="1" applyAlignment="1">
      <alignment horizontal="center" vertical="center" wrapText="1"/>
    </xf>
    <xf numFmtId="164" fontId="16" fillId="5" borderId="5" xfId="0" applyNumberFormat="1" applyFont="1" applyFill="1" applyBorder="1" applyAlignment="1">
      <alignment horizontal="center" vertical="center" wrapText="1"/>
    </xf>
    <xf numFmtId="164" fontId="5" fillId="5" borderId="5" xfId="0" applyNumberFormat="1" applyFont="1" applyFill="1" applyBorder="1" applyAlignment="1">
      <alignment vertical="center"/>
    </xf>
    <xf numFmtId="165" fontId="2" fillId="0" borderId="5" xfId="0" applyNumberFormat="1" applyFont="1" applyBorder="1" applyAlignment="1">
      <alignment horizontal="center" vertical="center" wrapText="1"/>
    </xf>
    <xf numFmtId="165" fontId="2" fillId="0" borderId="5" xfId="0" applyNumberFormat="1" applyFont="1" applyBorder="1" applyAlignment="1">
      <alignment horizontal="center" wrapText="1"/>
    </xf>
    <xf numFmtId="4" fontId="3" fillId="0" borderId="5" xfId="0" applyNumberFormat="1" applyFont="1" applyBorder="1" applyAlignment="1">
      <alignment horizontal="center" vertical="center"/>
    </xf>
    <xf numFmtId="4" fontId="3" fillId="5" borderId="5" xfId="0" applyNumberFormat="1" applyFont="1" applyFill="1" applyBorder="1" applyAlignment="1">
      <alignment horizontal="center" vertical="center"/>
    </xf>
    <xf numFmtId="164" fontId="6" fillId="5" borderId="5" xfId="0" applyNumberFormat="1" applyFont="1" applyFill="1" applyBorder="1" applyAlignment="1">
      <alignment horizontal="center" wrapText="1"/>
    </xf>
    <xf numFmtId="41" fontId="6" fillId="5" borderId="5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1" fillId="5" borderId="5" xfId="0" applyFont="1" applyFill="1" applyBorder="1" applyAlignment="1">
      <alignment horizontal="right" vertical="center" wrapText="1"/>
    </xf>
    <xf numFmtId="0" fontId="33" fillId="5" borderId="5" xfId="0" applyFont="1" applyFill="1" applyBorder="1" applyAlignment="1">
      <alignment horizontal="right" vertical="center" wrapText="1"/>
    </xf>
    <xf numFmtId="3" fontId="28" fillId="5" borderId="5" xfId="0" applyNumberFormat="1" applyFont="1" applyFill="1" applyBorder="1" applyAlignment="1">
      <alignment horizontal="right" vertical="center" wrapText="1"/>
    </xf>
    <xf numFmtId="41" fontId="35" fillId="4" borderId="5" xfId="0" applyNumberFormat="1" applyFont="1" applyFill="1" applyBorder="1" applyAlignment="1">
      <alignment horizontal="right" vertical="center" wrapText="1"/>
    </xf>
    <xf numFmtId="41" fontId="35" fillId="5" borderId="5" xfId="0" applyNumberFormat="1" applyFont="1" applyFill="1" applyBorder="1" applyAlignment="1">
      <alignment horizontal="right" vertical="center" wrapText="1"/>
    </xf>
    <xf numFmtId="41" fontId="28" fillId="5" borderId="5" xfId="0" applyNumberFormat="1" applyFont="1" applyFill="1" applyBorder="1" applyAlignment="1">
      <alignment horizontal="right" vertical="center" wrapText="1"/>
    </xf>
    <xf numFmtId="41" fontId="22" fillId="2" borderId="5" xfId="0" applyNumberFormat="1" applyFont="1" applyFill="1" applyBorder="1"/>
    <xf numFmtId="0" fontId="4" fillId="0" borderId="0" xfId="0" applyFont="1" applyAlignment="1">
      <alignment horizontal="right"/>
    </xf>
    <xf numFmtId="0" fontId="32" fillId="5" borderId="5" xfId="0" applyFont="1" applyFill="1" applyBorder="1" applyAlignment="1">
      <alignment horizontal="right" vertical="center" wrapText="1"/>
    </xf>
    <xf numFmtId="0" fontId="30" fillId="5" borderId="1" xfId="0" applyFont="1" applyFill="1" applyBorder="1" applyAlignment="1">
      <alignment horizontal="center"/>
    </xf>
    <xf numFmtId="0" fontId="30" fillId="5" borderId="1" xfId="0" applyFont="1" applyFill="1" applyBorder="1"/>
    <xf numFmtId="0" fontId="31" fillId="5" borderId="1" xfId="0" applyFont="1" applyFill="1" applyBorder="1"/>
    <xf numFmtId="0" fontId="31" fillId="2" borderId="1" xfId="0" applyFont="1" applyFill="1" applyBorder="1"/>
    <xf numFmtId="0" fontId="36" fillId="5" borderId="1" xfId="0" applyFont="1" applyFill="1" applyBorder="1"/>
    <xf numFmtId="0" fontId="31" fillId="5" borderId="1" xfId="0" applyFont="1" applyFill="1" applyBorder="1" applyAlignment="1">
      <alignment horizontal="left" wrapText="1"/>
    </xf>
    <xf numFmtId="0" fontId="44" fillId="5" borderId="1" xfId="0" applyFont="1" applyFill="1" applyBorder="1" applyAlignment="1">
      <alignment horizontal="center"/>
    </xf>
    <xf numFmtId="0" fontId="45" fillId="5" borderId="1" xfId="0" applyFont="1" applyFill="1" applyBorder="1"/>
    <xf numFmtId="0" fontId="46" fillId="5" borderId="1" xfId="0" applyFont="1" applyFill="1" applyBorder="1"/>
    <xf numFmtId="0" fontId="39" fillId="2" borderId="1" xfId="0" applyFont="1" applyFill="1" applyBorder="1" applyAlignment="1">
      <alignment horizontal="center"/>
    </xf>
    <xf numFmtId="0" fontId="47" fillId="2" borderId="1" xfId="0" applyFont="1" applyFill="1" applyBorder="1"/>
    <xf numFmtId="0" fontId="31" fillId="2" borderId="1" xfId="0" applyFont="1" applyFill="1" applyBorder="1" applyAlignment="1">
      <alignment horizontal="left" wrapText="1"/>
    </xf>
    <xf numFmtId="0" fontId="31" fillId="2" borderId="3" xfId="0" applyFont="1" applyFill="1" applyBorder="1" applyAlignment="1">
      <alignment horizontal="center"/>
    </xf>
    <xf numFmtId="0" fontId="31" fillId="4" borderId="3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/>
    </xf>
    <xf numFmtId="0" fontId="28" fillId="5" borderId="5" xfId="0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center" vertical="center" wrapText="1"/>
    </xf>
    <xf numFmtId="0" fontId="28" fillId="4" borderId="5" xfId="0" applyFont="1" applyFill="1" applyBorder="1" applyAlignment="1">
      <alignment horizontal="center" vertical="center" wrapText="1"/>
    </xf>
    <xf numFmtId="0" fontId="28" fillId="7" borderId="5" xfId="0" applyFont="1" applyFill="1" applyBorder="1" applyAlignment="1">
      <alignment horizontal="center" vertical="center" wrapText="1"/>
    </xf>
    <xf numFmtId="0" fontId="6" fillId="10" borderId="5" xfId="0" applyFont="1" applyFill="1" applyBorder="1" applyAlignment="1">
      <alignment horizontal="center" vertical="center" wrapText="1"/>
    </xf>
    <xf numFmtId="0" fontId="28" fillId="9" borderId="6" xfId="0" applyFont="1" applyFill="1" applyBorder="1" applyAlignment="1">
      <alignment horizontal="center" vertical="center" wrapText="1"/>
    </xf>
    <xf numFmtId="0" fontId="28" fillId="11" borderId="5" xfId="0" applyFont="1" applyFill="1" applyBorder="1" applyAlignment="1">
      <alignment horizontal="center" vertical="center" wrapText="1"/>
    </xf>
    <xf numFmtId="0" fontId="30" fillId="2" borderId="15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31" fillId="8" borderId="5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2" fillId="10" borderId="10" xfId="0" applyFont="1" applyFill="1" applyBorder="1" applyAlignment="1">
      <alignment horizontal="center" vertical="center" wrapText="1"/>
    </xf>
    <xf numFmtId="41" fontId="35" fillId="9" borderId="12" xfId="0" applyNumberFormat="1" applyFont="1" applyFill="1" applyBorder="1" applyAlignment="1">
      <alignment horizontal="center" vertical="center" wrapText="1"/>
    </xf>
    <xf numFmtId="0" fontId="31" fillId="11" borderId="5" xfId="0" applyFont="1" applyFill="1" applyBorder="1" applyAlignment="1">
      <alignment horizontal="center" vertical="center" wrapText="1"/>
    </xf>
    <xf numFmtId="41" fontId="28" fillId="2" borderId="26" xfId="0" applyNumberFormat="1" applyFont="1" applyFill="1" applyBorder="1" applyAlignment="1">
      <alignment horizontal="center" vertical="center" wrapText="1"/>
    </xf>
    <xf numFmtId="0" fontId="48" fillId="5" borderId="5" xfId="0" applyFont="1" applyFill="1" applyBorder="1" applyAlignment="1">
      <alignment horizontal="center" vertical="center" wrapText="1"/>
    </xf>
    <xf numFmtId="14" fontId="2" fillId="8" borderId="5" xfId="0" applyNumberFormat="1" applyFont="1" applyFill="1" applyBorder="1" applyAlignment="1">
      <alignment horizontal="center" vertical="center" wrapText="1"/>
    </xf>
    <xf numFmtId="14" fontId="2" fillId="8" borderId="5" xfId="0" quotePrefix="1" applyNumberFormat="1" applyFont="1" applyFill="1" applyBorder="1" applyAlignment="1">
      <alignment horizontal="center" vertical="center" wrapText="1"/>
    </xf>
    <xf numFmtId="14" fontId="2" fillId="9" borderId="5" xfId="0" quotePrefix="1" applyNumberFormat="1" applyFont="1" applyFill="1" applyBorder="1" applyAlignment="1">
      <alignment horizontal="center" vertical="center" wrapText="1"/>
    </xf>
    <xf numFmtId="14" fontId="16" fillId="9" borderId="5" xfId="0" quotePrefix="1" applyNumberFormat="1" applyFont="1" applyFill="1" applyBorder="1" applyAlignment="1">
      <alignment horizontal="center" vertical="center" wrapText="1"/>
    </xf>
    <xf numFmtId="14" fontId="2" fillId="9" borderId="5" xfId="0" applyNumberFormat="1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166" fontId="35" fillId="9" borderId="5" xfId="0" applyNumberFormat="1" applyFont="1" applyFill="1" applyBorder="1" applyAlignment="1">
      <alignment horizontal="center" vertical="center" wrapText="1"/>
    </xf>
    <xf numFmtId="0" fontId="2" fillId="10" borderId="5" xfId="0" applyFont="1" applyFill="1" applyBorder="1" applyAlignment="1">
      <alignment horizontal="center" vertical="center" wrapText="1"/>
    </xf>
    <xf numFmtId="14" fontId="2" fillId="10" borderId="5" xfId="0" applyNumberFormat="1" applyFont="1" applyFill="1" applyBorder="1" applyAlignment="1">
      <alignment horizontal="center" vertical="center" wrapText="1"/>
    </xf>
    <xf numFmtId="0" fontId="35" fillId="9" borderId="5" xfId="0" applyFont="1" applyFill="1" applyBorder="1" applyAlignment="1">
      <alignment horizontal="center" vertical="center" wrapText="1"/>
    </xf>
    <xf numFmtId="0" fontId="35" fillId="9" borderId="5" xfId="0" quotePrefix="1" applyFont="1" applyFill="1" applyBorder="1" applyAlignment="1">
      <alignment horizontal="center" vertical="center" wrapText="1"/>
    </xf>
    <xf numFmtId="14" fontId="35" fillId="11" borderId="5" xfId="0" applyNumberFormat="1" applyFont="1" applyFill="1" applyBorder="1" applyAlignment="1">
      <alignment horizontal="center" vertical="center" wrapText="1"/>
    </xf>
    <xf numFmtId="0" fontId="30" fillId="2" borderId="5" xfId="0" applyFont="1" applyFill="1" applyBorder="1" applyAlignment="1">
      <alignment vertical="center"/>
    </xf>
    <xf numFmtId="0" fontId="30" fillId="2" borderId="6" xfId="0" applyFont="1" applyFill="1" applyBorder="1" applyAlignment="1">
      <alignment vertical="center"/>
    </xf>
    <xf numFmtId="0" fontId="31" fillId="8" borderId="5" xfId="0" applyFont="1" applyFill="1" applyBorder="1" applyAlignment="1">
      <alignment vertical="center" wrapText="1"/>
    </xf>
    <xf numFmtId="0" fontId="31" fillId="9" borderId="5" xfId="0" applyFont="1" applyFill="1" applyBorder="1" applyAlignment="1">
      <alignment vertical="center" wrapText="1"/>
    </xf>
    <xf numFmtId="0" fontId="32" fillId="8" borderId="5" xfId="0" applyFont="1" applyFill="1" applyBorder="1" applyAlignment="1">
      <alignment horizontal="center" vertical="center" wrapText="1"/>
    </xf>
    <xf numFmtId="0" fontId="32" fillId="9" borderId="5" xfId="0" quotePrefix="1" applyFont="1" applyFill="1" applyBorder="1" applyAlignment="1">
      <alignment horizontal="center" vertical="center" wrapText="1"/>
    </xf>
    <xf numFmtId="0" fontId="32" fillId="9" borderId="5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wrapText="1"/>
    </xf>
    <xf numFmtId="0" fontId="15" fillId="10" borderId="5" xfId="0" applyFont="1" applyFill="1" applyBorder="1" applyAlignment="1">
      <alignment horizontal="center" vertical="center" wrapText="1"/>
    </xf>
    <xf numFmtId="0" fontId="31" fillId="11" borderId="5" xfId="0" applyFont="1" applyFill="1" applyBorder="1" applyAlignment="1">
      <alignment wrapText="1"/>
    </xf>
    <xf numFmtId="14" fontId="31" fillId="9" borderId="5" xfId="0" quotePrefix="1" applyNumberFormat="1" applyFont="1" applyFill="1" applyBorder="1" applyAlignment="1">
      <alignment horizontal="center" vertical="center" wrapText="1"/>
    </xf>
    <xf numFmtId="16" fontId="31" fillId="9" borderId="5" xfId="0" applyNumberFormat="1" applyFont="1" applyFill="1" applyBorder="1" applyAlignment="1">
      <alignment horizontal="center" vertical="center" wrapText="1"/>
    </xf>
    <xf numFmtId="0" fontId="31" fillId="9" borderId="5" xfId="0" quotePrefix="1" applyFont="1" applyFill="1" applyBorder="1" applyAlignment="1">
      <alignment horizontal="center" vertical="center" wrapText="1"/>
    </xf>
    <xf numFmtId="16" fontId="31" fillId="11" borderId="5" xfId="0" applyNumberFormat="1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18" fillId="8" borderId="5" xfId="0" applyFont="1" applyFill="1" applyBorder="1" applyAlignment="1">
      <alignment horizontal="center" vertical="center" wrapText="1"/>
    </xf>
    <xf numFmtId="0" fontId="18" fillId="9" borderId="5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5" fillId="5" borderId="6" xfId="0" applyFont="1" applyFill="1" applyBorder="1"/>
    <xf numFmtId="4" fontId="5" fillId="5" borderId="6" xfId="0" applyNumberFormat="1" applyFont="1" applyFill="1" applyBorder="1"/>
    <xf numFmtId="0" fontId="33" fillId="11" borderId="5" xfId="0" applyFont="1" applyFill="1" applyBorder="1" applyAlignment="1">
      <alignment horizontal="center" vertical="center" wrapText="1"/>
    </xf>
    <xf numFmtId="0" fontId="49" fillId="2" borderId="5" xfId="0" applyFont="1" applyFill="1" applyBorder="1" applyAlignment="1">
      <alignment horizontal="center" vertical="center"/>
    </xf>
    <xf numFmtId="0" fontId="30" fillId="5" borderId="5" xfId="0" applyFont="1" applyFill="1" applyBorder="1" applyAlignment="1">
      <alignment horizontal="center" vertical="center" wrapText="1"/>
    </xf>
    <xf numFmtId="0" fontId="30" fillId="5" borderId="5" xfId="0" applyFont="1" applyFill="1" applyBorder="1" applyAlignment="1">
      <alignment horizontal="left" vertical="center" wrapText="1"/>
    </xf>
    <xf numFmtId="3" fontId="6" fillId="8" borderId="5" xfId="0" applyNumberFormat="1" applyFont="1" applyFill="1" applyBorder="1" applyAlignment="1">
      <alignment horizontal="center" vertical="center" wrapText="1"/>
    </xf>
    <xf numFmtId="3" fontId="6" fillId="9" borderId="5" xfId="0" applyNumberFormat="1" applyFont="1" applyFill="1" applyBorder="1" applyAlignment="1">
      <alignment horizontal="center" vertical="center" wrapText="1"/>
    </xf>
    <xf numFmtId="3" fontId="28" fillId="9" borderId="5" xfId="0" applyNumberFormat="1" applyFont="1" applyFill="1" applyBorder="1" applyAlignment="1">
      <alignment horizontal="center" vertical="center" wrapText="1"/>
    </xf>
    <xf numFmtId="3" fontId="6" fillId="10" borderId="5" xfId="0" applyNumberFormat="1" applyFont="1" applyFill="1" applyBorder="1" applyAlignment="1">
      <alignment horizontal="center" vertical="center" wrapText="1"/>
    </xf>
    <xf numFmtId="4" fontId="5" fillId="5" borderId="5" xfId="0" applyNumberFormat="1" applyFont="1" applyFill="1" applyBorder="1"/>
    <xf numFmtId="3" fontId="28" fillId="11" borderId="5" xfId="0" applyNumberFormat="1" applyFont="1" applyFill="1" applyBorder="1" applyAlignment="1">
      <alignment horizontal="center" vertical="center" wrapText="1"/>
    </xf>
    <xf numFmtId="0" fontId="50" fillId="4" borderId="5" xfId="0" applyFont="1" applyFill="1" applyBorder="1" applyAlignment="1">
      <alignment horizontal="center" wrapText="1"/>
    </xf>
    <xf numFmtId="0" fontId="50" fillId="4" borderId="5" xfId="0" applyFont="1" applyFill="1" applyBorder="1" applyAlignment="1">
      <alignment wrapText="1"/>
    </xf>
    <xf numFmtId="0" fontId="28" fillId="4" borderId="5" xfId="0" applyFont="1" applyFill="1" applyBorder="1" applyAlignment="1">
      <alignment wrapText="1"/>
    </xf>
    <xf numFmtId="41" fontId="16" fillId="8" borderId="5" xfId="0" applyNumberFormat="1" applyFont="1" applyFill="1" applyBorder="1" applyAlignment="1">
      <alignment horizontal="center" vertical="center" wrapText="1"/>
    </xf>
    <xf numFmtId="41" fontId="16" fillId="9" borderId="5" xfId="0" applyNumberFormat="1" applyFont="1" applyFill="1" applyBorder="1" applyAlignment="1">
      <alignment horizontal="center" vertical="center" wrapText="1"/>
    </xf>
    <xf numFmtId="41" fontId="35" fillId="9" borderId="5" xfId="0" applyNumberFormat="1" applyFont="1" applyFill="1" applyBorder="1" applyAlignment="1">
      <alignment horizontal="center" vertical="center" wrapText="1"/>
    </xf>
    <xf numFmtId="41" fontId="16" fillId="10" borderId="5" xfId="0" applyNumberFormat="1" applyFont="1" applyFill="1" applyBorder="1" applyAlignment="1">
      <alignment horizontal="center" vertical="center" wrapText="1"/>
    </xf>
    <xf numFmtId="41" fontId="35" fillId="11" borderId="5" xfId="0" applyNumberFormat="1" applyFont="1" applyFill="1" applyBorder="1" applyAlignment="1">
      <alignment horizontal="center" vertical="center" wrapText="1"/>
    </xf>
    <xf numFmtId="0" fontId="32" fillId="5" borderId="5" xfId="0" applyFont="1" applyFill="1" applyBorder="1" applyAlignment="1">
      <alignment horizontal="center" wrapText="1"/>
    </xf>
    <xf numFmtId="0" fontId="33" fillId="5" borderId="5" xfId="0" applyFont="1" applyFill="1" applyBorder="1" applyAlignment="1">
      <alignment wrapText="1"/>
    </xf>
    <xf numFmtId="0" fontId="51" fillId="5" borderId="5" xfId="0" applyFont="1" applyFill="1" applyBorder="1" applyAlignment="1">
      <alignment wrapText="1"/>
    </xf>
    <xf numFmtId="0" fontId="35" fillId="5" borderId="5" xfId="0" applyFont="1" applyFill="1" applyBorder="1" applyAlignment="1">
      <alignment horizontal="center" vertical="center" wrapText="1"/>
    </xf>
    <xf numFmtId="0" fontId="50" fillId="5" borderId="5" xfId="0" applyFont="1" applyFill="1" applyBorder="1" applyAlignment="1">
      <alignment horizontal="center" wrapText="1"/>
    </xf>
    <xf numFmtId="0" fontId="50" fillId="5" borderId="5" xfId="0" applyFont="1" applyFill="1" applyBorder="1" applyAlignment="1">
      <alignment wrapText="1"/>
    </xf>
    <xf numFmtId="0" fontId="28" fillId="5" borderId="5" xfId="0" applyFont="1" applyFill="1" applyBorder="1" applyAlignment="1">
      <alignment wrapText="1"/>
    </xf>
    <xf numFmtId="0" fontId="30" fillId="5" borderId="5" xfId="0" applyFont="1" applyFill="1" applyBorder="1" applyAlignment="1">
      <alignment horizontal="center" wrapText="1"/>
    </xf>
    <xf numFmtId="0" fontId="30" fillId="5" borderId="5" xfId="0" applyFont="1" applyFill="1" applyBorder="1" applyAlignment="1">
      <alignment wrapText="1"/>
    </xf>
    <xf numFmtId="0" fontId="36" fillId="5" borderId="5" xfId="0" applyFont="1" applyFill="1" applyBorder="1" applyAlignment="1">
      <alignment horizontal="center" vertical="center" wrapText="1"/>
    </xf>
    <xf numFmtId="0" fontId="32" fillId="4" borderId="5" xfId="0" applyFont="1" applyFill="1" applyBorder="1" applyAlignment="1">
      <alignment horizontal="center" wrapText="1"/>
    </xf>
    <xf numFmtId="0" fontId="32" fillId="4" borderId="5" xfId="0" applyFont="1" applyFill="1" applyBorder="1" applyAlignment="1">
      <alignment wrapText="1"/>
    </xf>
    <xf numFmtId="0" fontId="35" fillId="4" borderId="5" xfId="0" applyFont="1" applyFill="1" applyBorder="1" applyAlignment="1">
      <alignment wrapText="1"/>
    </xf>
    <xf numFmtId="0" fontId="35" fillId="4" borderId="5" xfId="0" applyFont="1" applyFill="1" applyBorder="1" applyAlignment="1">
      <alignment horizontal="center" vertical="center" wrapText="1"/>
    </xf>
    <xf numFmtId="0" fontId="32" fillId="5" borderId="5" xfId="0" applyFont="1" applyFill="1" applyBorder="1" applyAlignment="1">
      <alignment wrapText="1"/>
    </xf>
    <xf numFmtId="0" fontId="35" fillId="5" borderId="5" xfId="0" applyFont="1" applyFill="1" applyBorder="1" applyAlignment="1">
      <alignment wrapText="1"/>
    </xf>
    <xf numFmtId="4" fontId="25" fillId="5" borderId="5" xfId="0" applyNumberFormat="1" applyFont="1" applyFill="1" applyBorder="1" applyAlignment="1">
      <alignment horizontal="center" wrapText="1"/>
    </xf>
    <xf numFmtId="41" fontId="25" fillId="5" borderId="5" xfId="0" applyNumberFormat="1" applyFont="1" applyFill="1" applyBorder="1" applyAlignment="1">
      <alignment horizontal="center" wrapText="1"/>
    </xf>
    <xf numFmtId="41" fontId="6" fillId="8" borderId="5" xfId="0" applyNumberFormat="1" applyFont="1" applyFill="1" applyBorder="1" applyAlignment="1">
      <alignment horizontal="center" vertical="center" wrapText="1"/>
    </xf>
    <xf numFmtId="41" fontId="6" fillId="9" borderId="5" xfId="0" applyNumberFormat="1" applyFont="1" applyFill="1" applyBorder="1" applyAlignment="1">
      <alignment horizontal="center" vertical="center" wrapText="1"/>
    </xf>
    <xf numFmtId="41" fontId="6" fillId="10" borderId="5" xfId="0" applyNumberFormat="1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wrapText="1"/>
    </xf>
    <xf numFmtId="0" fontId="51" fillId="5" borderId="5" xfId="0" applyFont="1" applyFill="1" applyBorder="1" applyAlignment="1">
      <alignment horizontal="center" vertical="center" wrapText="1"/>
    </xf>
    <xf numFmtId="0" fontId="49" fillId="5" borderId="5" xfId="0" applyFont="1" applyFill="1" applyBorder="1" applyAlignment="1">
      <alignment wrapText="1"/>
    </xf>
    <xf numFmtId="0" fontId="50" fillId="5" borderId="5" xfId="0" applyFont="1" applyFill="1" applyBorder="1"/>
    <xf numFmtId="0" fontId="28" fillId="5" borderId="5" xfId="0" applyFont="1" applyFill="1" applyBorder="1" applyAlignment="1">
      <alignment horizontal="center" vertical="center"/>
    </xf>
    <xf numFmtId="0" fontId="33" fillId="5" borderId="5" xfId="0" applyFont="1" applyFill="1" applyBorder="1"/>
    <xf numFmtId="4" fontId="25" fillId="5" borderId="5" xfId="0" applyNumberFormat="1" applyFont="1" applyFill="1" applyBorder="1" applyAlignment="1">
      <alignment horizontal="right" wrapText="1"/>
    </xf>
    <xf numFmtId="0" fontId="49" fillId="5" borderId="5" xfId="0" applyFont="1" applyFill="1" applyBorder="1" applyAlignment="1">
      <alignment horizontal="center" wrapText="1"/>
    </xf>
    <xf numFmtId="0" fontId="52" fillId="5" borderId="5" xfId="0" applyFont="1" applyFill="1" applyBorder="1" applyAlignment="1">
      <alignment wrapText="1"/>
    </xf>
    <xf numFmtId="0" fontId="52" fillId="5" borderId="5" xfId="0" applyFont="1" applyFill="1" applyBorder="1" applyAlignment="1">
      <alignment horizontal="center" vertical="center" wrapText="1"/>
    </xf>
    <xf numFmtId="0" fontId="28" fillId="5" borderId="5" xfId="0" applyFont="1" applyFill="1" applyBorder="1" applyAlignment="1">
      <alignment vertical="center" wrapText="1"/>
    </xf>
    <xf numFmtId="0" fontId="51" fillId="5" borderId="5" xfId="0" applyFont="1" applyFill="1" applyBorder="1" applyAlignment="1">
      <alignment vertical="center" wrapText="1"/>
    </xf>
    <xf numFmtId="0" fontId="53" fillId="5" borderId="5" xfId="0" applyFont="1" applyFill="1" applyBorder="1" applyAlignment="1">
      <alignment horizontal="center" vertical="center" wrapText="1"/>
    </xf>
    <xf numFmtId="0" fontId="54" fillId="5" borderId="5" xfId="0" applyFont="1" applyFill="1" applyBorder="1" applyAlignment="1">
      <alignment horizontal="center" vertical="center" wrapText="1"/>
    </xf>
    <xf numFmtId="41" fontId="28" fillId="2" borderId="1" xfId="0" applyNumberFormat="1" applyFont="1" applyFill="1" applyBorder="1" applyAlignment="1">
      <alignment horizontal="center" vertical="center" wrapText="1"/>
    </xf>
    <xf numFmtId="0" fontId="28" fillId="5" borderId="5" xfId="0" applyFont="1" applyFill="1" applyBorder="1" applyAlignment="1">
      <alignment horizontal="left"/>
    </xf>
    <xf numFmtId="0" fontId="50" fillId="5" borderId="5" xfId="0" applyFont="1" applyFill="1" applyBorder="1" applyAlignment="1">
      <alignment horizontal="center" vertical="center" wrapText="1"/>
    </xf>
    <xf numFmtId="0" fontId="52" fillId="5" borderId="5" xfId="0" applyFont="1" applyFill="1" applyBorder="1" applyAlignment="1">
      <alignment vertical="center" wrapText="1"/>
    </xf>
    <xf numFmtId="0" fontId="50" fillId="5" borderId="5" xfId="0" applyFont="1" applyFill="1" applyBorder="1" applyAlignment="1">
      <alignment horizontal="left" wrapText="1"/>
    </xf>
    <xf numFmtId="0" fontId="28" fillId="5" borderId="5" xfId="0" applyFont="1" applyFill="1" applyBorder="1" applyAlignment="1">
      <alignment horizontal="center"/>
    </xf>
    <xf numFmtId="0" fontId="52" fillId="5" borderId="5" xfId="0" applyFont="1" applyFill="1" applyBorder="1" applyAlignment="1">
      <alignment horizontal="center"/>
    </xf>
    <xf numFmtId="0" fontId="33" fillId="5" borderId="5" xfId="0" applyFont="1" applyFill="1" applyBorder="1" applyAlignment="1">
      <alignment horizontal="left" wrapText="1"/>
    </xf>
    <xf numFmtId="0" fontId="35" fillId="5" borderId="5" xfId="0" applyFont="1" applyFill="1" applyBorder="1" applyAlignment="1">
      <alignment horizontal="center" vertical="center"/>
    </xf>
    <xf numFmtId="0" fontId="49" fillId="5" borderId="5" xfId="0" applyFont="1" applyFill="1" applyBorder="1" applyAlignment="1">
      <alignment horizontal="left" wrapText="1"/>
    </xf>
    <xf numFmtId="0" fontId="51" fillId="5" borderId="5" xfId="0" applyFont="1" applyFill="1" applyBorder="1" applyAlignment="1">
      <alignment horizontal="center" wrapText="1"/>
    </xf>
    <xf numFmtId="0" fontId="52" fillId="5" borderId="5" xfId="0" applyFont="1" applyFill="1" applyBorder="1" applyAlignment="1">
      <alignment horizontal="center" wrapText="1"/>
    </xf>
    <xf numFmtId="41" fontId="6" fillId="9" borderId="15" xfId="0" applyNumberFormat="1" applyFont="1" applyFill="1" applyBorder="1" applyAlignment="1">
      <alignment horizontal="center" vertical="center" wrapText="1"/>
    </xf>
    <xf numFmtId="41" fontId="28" fillId="9" borderId="5" xfId="0" applyNumberFormat="1" applyFont="1" applyFill="1" applyBorder="1" applyAlignment="1">
      <alignment horizontal="center" vertical="center" wrapText="1"/>
    </xf>
    <xf numFmtId="41" fontId="6" fillId="10" borderId="15" xfId="0" applyNumberFormat="1" applyFont="1" applyFill="1" applyBorder="1" applyAlignment="1">
      <alignment horizontal="center" vertical="center" wrapText="1"/>
    </xf>
    <xf numFmtId="41" fontId="28" fillId="11" borderId="5" xfId="0" applyNumberFormat="1" applyFont="1" applyFill="1" applyBorder="1" applyAlignment="1">
      <alignment horizontal="center" vertical="center" wrapText="1"/>
    </xf>
    <xf numFmtId="41" fontId="28" fillId="2" borderId="15" xfId="0" applyNumberFormat="1" applyFont="1" applyFill="1" applyBorder="1" applyAlignment="1">
      <alignment horizontal="center" vertical="center" wrapText="1"/>
    </xf>
    <xf numFmtId="0" fontId="50" fillId="5" borderId="1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vertical="center" wrapText="1"/>
    </xf>
    <xf numFmtId="171" fontId="28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vertical="center" wrapText="1"/>
    </xf>
    <xf numFmtId="0" fontId="51" fillId="5" borderId="1" xfId="0" applyFont="1" applyFill="1" applyBorder="1" applyAlignment="1">
      <alignment horizontal="center"/>
    </xf>
    <xf numFmtId="0" fontId="51" fillId="5" borderId="1" xfId="0" applyFont="1" applyFill="1" applyBorder="1"/>
    <xf numFmtId="171" fontId="52" fillId="5" borderId="1" xfId="0" applyNumberFormat="1" applyFont="1" applyFill="1" applyBorder="1" applyAlignment="1">
      <alignment horizontal="center"/>
    </xf>
    <xf numFmtId="0" fontId="51" fillId="2" borderId="1" xfId="0" applyFont="1" applyFill="1" applyBorder="1"/>
    <xf numFmtId="0" fontId="51" fillId="5" borderId="1" xfId="0" applyFont="1" applyFill="1" applyBorder="1" applyAlignment="1">
      <alignment horizontal="right"/>
    </xf>
    <xf numFmtId="0" fontId="28" fillId="5" borderId="1" xfId="0" applyFont="1" applyFill="1" applyBorder="1" applyAlignment="1">
      <alignment horizontal="center"/>
    </xf>
    <xf numFmtId="0" fontId="28" fillId="5" borderId="1" xfId="0" applyFont="1" applyFill="1" applyBorder="1"/>
    <xf numFmtId="0" fontId="28" fillId="2" borderId="1" xfId="0" applyFont="1" applyFill="1" applyBorder="1"/>
    <xf numFmtId="0" fontId="53" fillId="5" borderId="1" xfId="0" applyFont="1" applyFill="1" applyBorder="1" applyAlignment="1">
      <alignment horizontal="center"/>
    </xf>
    <xf numFmtId="0" fontId="53" fillId="5" borderId="1" xfId="0" applyFont="1" applyFill="1" applyBorder="1"/>
    <xf numFmtId="0" fontId="53" fillId="2" borderId="1" xfId="0" applyFont="1" applyFill="1" applyBorder="1"/>
    <xf numFmtId="0" fontId="28" fillId="5" borderId="1" xfId="0" applyFont="1" applyFill="1" applyBorder="1" applyAlignment="1">
      <alignment horizontal="right"/>
    </xf>
    <xf numFmtId="0" fontId="5" fillId="0" borderId="0" xfId="0" applyFont="1" applyAlignment="1">
      <alignment horizontal="center" vertical="center" wrapText="1"/>
    </xf>
    <xf numFmtId="0" fontId="37" fillId="0" borderId="5" xfId="0" applyFont="1" applyBorder="1"/>
    <xf numFmtId="0" fontId="35" fillId="5" borderId="5" xfId="0" applyFont="1" applyFill="1" applyBorder="1"/>
    <xf numFmtId="41" fontId="39" fillId="5" borderId="5" xfId="0" applyNumberFormat="1" applyFont="1" applyFill="1" applyBorder="1" applyAlignment="1">
      <alignment horizontal="center" vertical="center" wrapText="1"/>
    </xf>
    <xf numFmtId="41" fontId="5" fillId="0" borderId="5" xfId="0" applyNumberFormat="1" applyFont="1" applyBorder="1" applyAlignment="1">
      <alignment horizontal="center" vertical="center" wrapText="1"/>
    </xf>
    <xf numFmtId="41" fontId="37" fillId="4" borderId="5" xfId="0" applyNumberFormat="1" applyFont="1" applyFill="1" applyBorder="1"/>
    <xf numFmtId="0" fontId="39" fillId="5" borderId="5" xfId="0" applyFont="1" applyFill="1" applyBorder="1"/>
    <xf numFmtId="41" fontId="37" fillId="0" borderId="5" xfId="0" applyNumberFormat="1" applyFont="1" applyBorder="1"/>
    <xf numFmtId="0" fontId="36" fillId="5" borderId="5" xfId="0" applyFont="1" applyFill="1" applyBorder="1"/>
    <xf numFmtId="0" fontId="2" fillId="5" borderId="1" xfId="0" applyFont="1" applyFill="1" applyBorder="1"/>
    <xf numFmtId="0" fontId="40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left"/>
    </xf>
    <xf numFmtId="0" fontId="56" fillId="5" borderId="1" xfId="0" applyFont="1" applyFill="1" applyBorder="1" applyAlignment="1">
      <alignment horizontal="center"/>
    </xf>
    <xf numFmtId="0" fontId="57" fillId="5" borderId="1" xfId="0" applyFont="1" applyFill="1" applyBorder="1"/>
    <xf numFmtId="0" fontId="2" fillId="5" borderId="1" xfId="0" applyFont="1" applyFill="1" applyBorder="1" applyAlignment="1">
      <alignment horizontal="left" wrapText="1"/>
    </xf>
    <xf numFmtId="0" fontId="39" fillId="5" borderId="1" xfId="0" applyFont="1" applyFill="1" applyBorder="1" applyAlignment="1">
      <alignment horizontal="center" vertical="center"/>
    </xf>
    <xf numFmtId="0" fontId="58" fillId="5" borderId="1" xfId="0" applyFont="1" applyFill="1" applyBorder="1" applyAlignment="1">
      <alignment vertical="center"/>
    </xf>
    <xf numFmtId="0" fontId="31" fillId="5" borderId="1" xfId="0" applyFont="1" applyFill="1" applyBorder="1" applyAlignment="1">
      <alignment horizontal="left" vertical="center"/>
    </xf>
    <xf numFmtId="0" fontId="31" fillId="5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29" fillId="4" borderId="5" xfId="0" applyFont="1" applyFill="1" applyBorder="1" applyAlignment="1">
      <alignment horizontal="center" vertical="center" wrapText="1"/>
    </xf>
    <xf numFmtId="172" fontId="6" fillId="0" borderId="5" xfId="0" applyNumberFormat="1" applyFont="1" applyBorder="1" applyAlignment="1">
      <alignment horizontal="center" vertical="center" wrapText="1"/>
    </xf>
    <xf numFmtId="171" fontId="30" fillId="5" borderId="5" xfId="0" applyNumberFormat="1" applyFont="1" applyFill="1" applyBorder="1" applyAlignment="1">
      <alignment horizontal="center" vertical="center" wrapText="1"/>
    </xf>
    <xf numFmtId="0" fontId="30" fillId="5" borderId="1" xfId="0" applyFont="1" applyFill="1" applyBorder="1" applyAlignment="1">
      <alignment horizontal="center" vertical="center" wrapText="1"/>
    </xf>
    <xf numFmtId="0" fontId="48" fillId="5" borderId="5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2" borderId="12" xfId="0" applyFont="1" applyFill="1" applyBorder="1" applyAlignment="1">
      <alignment horizontal="center" vertical="center" wrapText="1"/>
    </xf>
    <xf numFmtId="171" fontId="30" fillId="5" borderId="5" xfId="0" applyNumberFormat="1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 vertical="center"/>
    </xf>
    <xf numFmtId="173" fontId="48" fillId="5" borderId="5" xfId="0" applyNumberFormat="1" applyFont="1" applyFill="1" applyBorder="1" applyAlignment="1">
      <alignment horizontal="center" vertical="center"/>
    </xf>
    <xf numFmtId="173" fontId="48" fillId="5" borderId="5" xfId="0" applyNumberFormat="1" applyFont="1" applyFill="1" applyBorder="1" applyAlignment="1">
      <alignment horizontal="center" vertical="center" wrapText="1"/>
    </xf>
    <xf numFmtId="173" fontId="31" fillId="5" borderId="5" xfId="0" applyNumberFormat="1" applyFont="1" applyFill="1" applyBorder="1" applyAlignment="1">
      <alignment horizontal="center" vertical="center"/>
    </xf>
    <xf numFmtId="14" fontId="31" fillId="2" borderId="5" xfId="0" applyNumberFormat="1" applyFont="1" applyFill="1" applyBorder="1" applyAlignment="1">
      <alignment horizontal="center" vertical="center" wrapText="1"/>
    </xf>
    <xf numFmtId="14" fontId="16" fillId="2" borderId="5" xfId="0" quotePrefix="1" applyNumberFormat="1" applyFont="1" applyFill="1" applyBorder="1" applyAlignment="1">
      <alignment horizontal="center" vertical="center" wrapText="1"/>
    </xf>
    <xf numFmtId="172" fontId="2" fillId="2" borderId="8" xfId="0" applyNumberFormat="1" applyFont="1" applyFill="1" applyBorder="1" applyAlignment="1">
      <alignment horizontal="center" vertical="center" wrapText="1"/>
    </xf>
    <xf numFmtId="172" fontId="2" fillId="2" borderId="5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173" fontId="30" fillId="5" borderId="1" xfId="0" applyNumberFormat="1" applyFont="1" applyFill="1" applyBorder="1" applyAlignment="1">
      <alignment horizontal="center" vertical="center"/>
    </xf>
    <xf numFmtId="0" fontId="48" fillId="2" borderId="5" xfId="0" applyFont="1" applyFill="1" applyBorder="1" applyAlignment="1">
      <alignment horizontal="center" vertical="center" wrapText="1"/>
    </xf>
    <xf numFmtId="3" fontId="59" fillId="0" borderId="5" xfId="0" applyNumberFormat="1" applyFont="1" applyBorder="1" applyAlignment="1">
      <alignment horizontal="center" vertical="center"/>
    </xf>
    <xf numFmtId="0" fontId="31" fillId="5" borderId="5" xfId="0" applyFont="1" applyFill="1" applyBorder="1" applyAlignment="1">
      <alignment vertical="center" wrapText="1"/>
    </xf>
    <xf numFmtId="172" fontId="2" fillId="0" borderId="9" xfId="0" applyNumberFormat="1" applyFont="1" applyBorder="1" applyAlignment="1">
      <alignment horizontal="center" vertical="center" wrapText="1"/>
    </xf>
    <xf numFmtId="172" fontId="2" fillId="0" borderId="5" xfId="0" applyNumberFormat="1" applyFont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 wrapText="1"/>
    </xf>
    <xf numFmtId="171" fontId="29" fillId="5" borderId="5" xfId="0" applyNumberFormat="1" applyFont="1" applyFill="1" applyBorder="1" applyAlignment="1">
      <alignment horizontal="center" vertical="center"/>
    </xf>
    <xf numFmtId="0" fontId="29" fillId="5" borderId="1" xfId="0" applyFont="1" applyFill="1" applyBorder="1" applyAlignment="1">
      <alignment horizontal="center" vertical="center"/>
    </xf>
    <xf numFmtId="4" fontId="2" fillId="2" borderId="5" xfId="0" quotePrefix="1" applyNumberFormat="1" applyFont="1" applyFill="1" applyBorder="1" applyAlignment="1">
      <alignment horizontal="center" vertical="center" wrapText="1"/>
    </xf>
    <xf numFmtId="14" fontId="31" fillId="5" borderId="5" xfId="0" applyNumberFormat="1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33" fillId="5" borderId="8" xfId="0" applyFont="1" applyFill="1" applyBorder="1" applyAlignment="1">
      <alignment horizontal="center" vertical="center" wrapText="1"/>
    </xf>
    <xf numFmtId="3" fontId="26" fillId="2" borderId="8" xfId="0" applyNumberFormat="1" applyFont="1" applyFill="1" applyBorder="1"/>
    <xf numFmtId="3" fontId="26" fillId="2" borderId="5" xfId="0" applyNumberFormat="1" applyFont="1" applyFill="1" applyBorder="1"/>
    <xf numFmtId="3" fontId="60" fillId="0" borderId="5" xfId="0" applyNumberFormat="1" applyFont="1" applyBorder="1"/>
    <xf numFmtId="171" fontId="49" fillId="5" borderId="5" xfId="0" applyNumberFormat="1" applyFont="1" applyFill="1" applyBorder="1" applyAlignment="1">
      <alignment horizontal="center" vertical="center"/>
    </xf>
    <xf numFmtId="0" fontId="49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/>
    </xf>
    <xf numFmtId="0" fontId="30" fillId="5" borderId="5" xfId="0" applyFont="1" applyFill="1" applyBorder="1" applyAlignment="1">
      <alignment horizontal="left" vertical="center"/>
    </xf>
    <xf numFmtId="0" fontId="29" fillId="2" borderId="5" xfId="0" applyFont="1" applyFill="1" applyBorder="1" applyAlignment="1">
      <alignment horizontal="center" vertical="center" wrapText="1"/>
    </xf>
    <xf numFmtId="3" fontId="28" fillId="5" borderId="8" xfId="0" applyNumberFormat="1" applyFont="1" applyFill="1" applyBorder="1" applyAlignment="1">
      <alignment horizontal="center" vertical="center" wrapText="1"/>
    </xf>
    <xf numFmtId="1" fontId="1" fillId="2" borderId="8" xfId="0" applyNumberFormat="1" applyFont="1" applyFill="1" applyBorder="1" applyAlignment="1">
      <alignment horizontal="center" vertical="center" wrapText="1"/>
    </xf>
    <xf numFmtId="1" fontId="1" fillId="2" borderId="5" xfId="0" applyNumberFormat="1" applyFont="1" applyFill="1" applyBorder="1" applyAlignment="1">
      <alignment horizontal="center" vertical="center" wrapText="1"/>
    </xf>
    <xf numFmtId="3" fontId="61" fillId="0" borderId="5" xfId="0" applyNumberFormat="1" applyFont="1" applyBorder="1"/>
    <xf numFmtId="171" fontId="28" fillId="5" borderId="5" xfId="0" applyNumberFormat="1" applyFont="1" applyFill="1" applyBorder="1" applyAlignment="1">
      <alignment horizontal="center" vertical="center" wrapText="1"/>
    </xf>
    <xf numFmtId="3" fontId="28" fillId="5" borderId="1" xfId="0" applyNumberFormat="1" applyFont="1" applyFill="1" applyBorder="1" applyAlignment="1">
      <alignment horizontal="center" vertical="center" wrapText="1"/>
    </xf>
    <xf numFmtId="171" fontId="4" fillId="0" borderId="0" xfId="0" applyNumberFormat="1" applyFont="1"/>
    <xf numFmtId="0" fontId="28" fillId="4" borderId="5" xfId="0" applyFont="1" applyFill="1" applyBorder="1"/>
    <xf numFmtId="0" fontId="35" fillId="2" borderId="5" xfId="0" applyFont="1" applyFill="1" applyBorder="1" applyAlignment="1">
      <alignment horizontal="center" vertical="center" wrapText="1"/>
    </xf>
    <xf numFmtId="41" fontId="35" fillId="4" borderId="8" xfId="0" applyNumberFormat="1" applyFont="1" applyFill="1" applyBorder="1" applyAlignment="1">
      <alignment horizontal="center" vertical="center" wrapText="1"/>
    </xf>
    <xf numFmtId="1" fontId="5" fillId="4" borderId="8" xfId="0" applyNumberFormat="1" applyFont="1" applyFill="1" applyBorder="1" applyAlignment="1">
      <alignment horizontal="center" vertical="center"/>
    </xf>
    <xf numFmtId="1" fontId="5" fillId="4" borderId="5" xfId="0" applyNumberFormat="1" applyFont="1" applyFill="1" applyBorder="1" applyAlignment="1">
      <alignment horizontal="center" vertical="center"/>
    </xf>
    <xf numFmtId="165" fontId="16" fillId="4" borderId="5" xfId="0" applyNumberFormat="1" applyFont="1" applyFill="1" applyBorder="1" applyAlignment="1">
      <alignment horizontal="center" vertical="center" wrapText="1"/>
    </xf>
    <xf numFmtId="171" fontId="28" fillId="4" borderId="5" xfId="0" applyNumberFormat="1" applyFont="1" applyFill="1" applyBorder="1" applyAlignment="1">
      <alignment horizontal="center" vertical="center" wrapText="1"/>
    </xf>
    <xf numFmtId="41" fontId="28" fillId="4" borderId="1" xfId="0" applyNumberFormat="1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wrapText="1"/>
    </xf>
    <xf numFmtId="174" fontId="5" fillId="5" borderId="5" xfId="0" applyNumberFormat="1" applyFont="1" applyFill="1" applyBorder="1" applyAlignment="1">
      <alignment horizontal="center"/>
    </xf>
    <xf numFmtId="0" fontId="51" fillId="5" borderId="5" xfId="0" applyFont="1" applyFill="1" applyBorder="1"/>
    <xf numFmtId="41" fontId="35" fillId="5" borderId="8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/>
    </xf>
    <xf numFmtId="41" fontId="28" fillId="5" borderId="1" xfId="0" applyNumberFormat="1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wrapText="1"/>
    </xf>
    <xf numFmtId="0" fontId="28" fillId="5" borderId="5" xfId="0" applyFont="1" applyFill="1" applyBorder="1"/>
    <xf numFmtId="0" fontId="28" fillId="5" borderId="1" xfId="0" applyFont="1" applyFill="1" applyBorder="1" applyAlignment="1">
      <alignment wrapText="1"/>
    </xf>
    <xf numFmtId="0" fontId="30" fillId="5" borderId="5" xfId="0" applyFont="1" applyFill="1" applyBorder="1"/>
    <xf numFmtId="0" fontId="39" fillId="2" borderId="5" xfId="0" applyFont="1" applyFill="1" applyBorder="1" applyAlignment="1">
      <alignment horizontal="center" vertical="center" wrapText="1"/>
    </xf>
    <xf numFmtId="165" fontId="5" fillId="0" borderId="5" xfId="0" applyNumberFormat="1" applyFont="1" applyBorder="1" applyAlignment="1">
      <alignment horizontal="center" vertical="center"/>
    </xf>
    <xf numFmtId="0" fontId="30" fillId="5" borderId="1" xfId="0" applyFont="1" applyFill="1" applyBorder="1" applyAlignment="1">
      <alignment wrapText="1"/>
    </xf>
    <xf numFmtId="0" fontId="35" fillId="4" borderId="5" xfId="0" applyFont="1" applyFill="1" applyBorder="1"/>
    <xf numFmtId="41" fontId="28" fillId="4" borderId="1" xfId="0" applyNumberFormat="1" applyFont="1" applyFill="1" applyBorder="1" applyAlignment="1">
      <alignment wrapText="1"/>
    </xf>
    <xf numFmtId="165" fontId="16" fillId="5" borderId="5" xfId="0" applyNumberFormat="1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left"/>
    </xf>
    <xf numFmtId="41" fontId="28" fillId="5" borderId="1" xfId="0" applyNumberFormat="1" applyFont="1" applyFill="1" applyBorder="1" applyAlignment="1">
      <alignment horizontal="right" wrapText="1"/>
    </xf>
    <xf numFmtId="41" fontId="28" fillId="5" borderId="8" xfId="0" applyNumberFormat="1" applyFont="1" applyFill="1" applyBorder="1" applyAlignment="1">
      <alignment horizontal="center" vertical="center" wrapText="1"/>
    </xf>
    <xf numFmtId="0" fontId="51" fillId="2" borderId="5" xfId="0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wrapText="1"/>
    </xf>
    <xf numFmtId="0" fontId="35" fillId="2" borderId="5" xfId="0" applyFont="1" applyFill="1" applyBorder="1" applyAlignment="1">
      <alignment horizontal="center" vertical="center"/>
    </xf>
    <xf numFmtId="41" fontId="28" fillId="5" borderId="1" xfId="0" applyNumberFormat="1" applyFont="1" applyFill="1" applyBorder="1" applyAlignment="1">
      <alignment horizontal="center" vertical="center"/>
    </xf>
    <xf numFmtId="167" fontId="25" fillId="5" borderId="5" xfId="0" applyNumberFormat="1" applyFont="1" applyFill="1" applyBorder="1" applyAlignment="1">
      <alignment horizontal="center" wrapText="1"/>
    </xf>
    <xf numFmtId="0" fontId="16" fillId="2" borderId="8" xfId="0" applyFont="1" applyFill="1" applyBorder="1" applyAlignment="1">
      <alignment horizontal="center" vertical="center" wrapText="1"/>
    </xf>
    <xf numFmtId="0" fontId="52" fillId="5" borderId="5" xfId="0" applyFont="1" applyFill="1" applyBorder="1" applyAlignment="1">
      <alignment horizontal="left"/>
    </xf>
    <xf numFmtId="0" fontId="52" fillId="5" borderId="1" xfId="0" applyFont="1" applyFill="1" applyBorder="1" applyAlignment="1">
      <alignment wrapText="1"/>
    </xf>
    <xf numFmtId="0" fontId="52" fillId="5" borderId="5" xfId="0" applyFont="1" applyFill="1" applyBorder="1"/>
    <xf numFmtId="0" fontId="28" fillId="5" borderId="5" xfId="0" applyFont="1" applyFill="1" applyBorder="1" applyAlignment="1">
      <alignment vertical="center"/>
    </xf>
    <xf numFmtId="165" fontId="6" fillId="5" borderId="5" xfId="0" applyNumberFormat="1" applyFont="1" applyFill="1" applyBorder="1" applyAlignment="1">
      <alignment horizontal="center" vertical="center" wrapText="1"/>
    </xf>
    <xf numFmtId="0" fontId="51" fillId="5" borderId="5" xfId="0" applyFont="1" applyFill="1" applyBorder="1" applyAlignment="1">
      <alignment vertical="center"/>
    </xf>
    <xf numFmtId="174" fontId="22" fillId="5" borderId="5" xfId="0" applyNumberFormat="1" applyFont="1" applyFill="1" applyBorder="1" applyAlignment="1">
      <alignment horizontal="center"/>
    </xf>
    <xf numFmtId="0" fontId="28" fillId="4" borderId="1" xfId="0" applyFont="1" applyFill="1" applyBorder="1"/>
    <xf numFmtId="41" fontId="28" fillId="4" borderId="1" xfId="0" applyNumberFormat="1" applyFont="1" applyFill="1" applyBorder="1"/>
    <xf numFmtId="0" fontId="53" fillId="2" borderId="5" xfId="0" applyFont="1" applyFill="1" applyBorder="1" applyAlignment="1">
      <alignment horizontal="center" vertical="center" wrapText="1"/>
    </xf>
    <xf numFmtId="167" fontId="5" fillId="5" borderId="5" xfId="0" applyNumberFormat="1" applyFont="1" applyFill="1" applyBorder="1"/>
    <xf numFmtId="0" fontId="52" fillId="5" borderId="5" xfId="0" applyFont="1" applyFill="1" applyBorder="1" applyAlignment="1">
      <alignment vertical="center"/>
    </xf>
    <xf numFmtId="0" fontId="35" fillId="2" borderId="5" xfId="0" applyFont="1" applyFill="1" applyBorder="1" applyAlignment="1">
      <alignment vertical="center" wrapText="1"/>
    </xf>
    <xf numFmtId="0" fontId="52" fillId="5" borderId="1" xfId="0" applyFont="1" applyFill="1" applyBorder="1"/>
    <xf numFmtId="1" fontId="16" fillId="2" borderId="8" xfId="0" applyNumberFormat="1" applyFont="1" applyFill="1" applyBorder="1" applyAlignment="1">
      <alignment horizontal="center" vertical="center" wrapText="1"/>
    </xf>
    <xf numFmtId="1" fontId="16" fillId="2" borderId="5" xfId="0" applyNumberFormat="1" applyFont="1" applyFill="1" applyBorder="1" applyAlignment="1">
      <alignment horizontal="center" vertical="center" wrapText="1"/>
    </xf>
    <xf numFmtId="171" fontId="5" fillId="5" borderId="5" xfId="0" applyNumberFormat="1" applyFont="1" applyFill="1" applyBorder="1" applyAlignment="1">
      <alignment horizontal="center"/>
    </xf>
    <xf numFmtId="1" fontId="5" fillId="2" borderId="8" xfId="0" applyNumberFormat="1" applyFont="1" applyFill="1" applyBorder="1" applyAlignment="1">
      <alignment horizontal="center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0" fontId="51" fillId="2" borderId="5" xfId="0" applyFont="1" applyFill="1" applyBorder="1" applyAlignment="1">
      <alignment horizontal="center" wrapText="1"/>
    </xf>
    <xf numFmtId="1" fontId="16" fillId="2" borderId="8" xfId="0" applyNumberFormat="1" applyFont="1" applyFill="1" applyBorder="1" applyAlignment="1">
      <alignment horizontal="center" wrapText="1"/>
    </xf>
    <xf numFmtId="1" fontId="16" fillId="2" borderId="5" xfId="0" applyNumberFormat="1" applyFont="1" applyFill="1" applyBorder="1" applyAlignment="1">
      <alignment horizontal="center" wrapText="1"/>
    </xf>
    <xf numFmtId="0" fontId="36" fillId="2" borderId="5" xfId="0" applyFont="1" applyFill="1" applyBorder="1" applyAlignment="1">
      <alignment horizontal="center" vertical="center" wrapText="1"/>
    </xf>
    <xf numFmtId="1" fontId="22" fillId="2" borderId="8" xfId="0" applyNumberFormat="1" applyFont="1" applyFill="1" applyBorder="1" applyAlignment="1">
      <alignment horizontal="center" vertical="center"/>
    </xf>
    <xf numFmtId="1" fontId="22" fillId="2" borderId="5" xfId="0" applyNumberFormat="1" applyFont="1" applyFill="1" applyBorder="1" applyAlignment="1">
      <alignment horizontal="center" vertical="center"/>
    </xf>
    <xf numFmtId="37" fontId="22" fillId="0" borderId="13" xfId="0" applyNumberFormat="1" applyFont="1" applyBorder="1" applyAlignment="1">
      <alignment horizontal="center" vertical="center"/>
    </xf>
    <xf numFmtId="165" fontId="22" fillId="5" borderId="5" xfId="0" applyNumberFormat="1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/>
    </xf>
    <xf numFmtId="0" fontId="6" fillId="5" borderId="1" xfId="0" applyFont="1" applyFill="1" applyBorder="1"/>
    <xf numFmtId="171" fontId="28" fillId="5" borderId="1" xfId="0" applyNumberFormat="1" applyFont="1" applyFill="1" applyBorder="1" applyAlignment="1">
      <alignment horizontal="center"/>
    </xf>
    <xf numFmtId="0" fontId="26" fillId="5" borderId="1" xfId="0" applyFont="1" applyFill="1" applyBorder="1"/>
    <xf numFmtId="171" fontId="54" fillId="5" borderId="1" xfId="0" applyNumberFormat="1" applyFont="1" applyFill="1" applyBorder="1" applyAlignment="1">
      <alignment horizontal="center"/>
    </xf>
    <xf numFmtId="0" fontId="32" fillId="5" borderId="1" xfId="0" applyFont="1" applyFill="1" applyBorder="1" applyAlignment="1">
      <alignment horizontal="center"/>
    </xf>
    <xf numFmtId="0" fontId="32" fillId="5" borderId="1" xfId="0" applyFont="1" applyFill="1" applyBorder="1"/>
    <xf numFmtId="0" fontId="5" fillId="5" borderId="1" xfId="0" applyFont="1" applyFill="1" applyBorder="1" applyAlignment="1">
      <alignment horizontal="center"/>
    </xf>
    <xf numFmtId="171" fontId="36" fillId="5" borderId="1" xfId="0" applyNumberFormat="1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 wrapText="1"/>
    </xf>
    <xf numFmtId="0" fontId="31" fillId="5" borderId="10" xfId="0" applyFont="1" applyFill="1" applyBorder="1" applyAlignment="1">
      <alignment horizontal="center" vertical="center" wrapText="1"/>
    </xf>
    <xf numFmtId="172" fontId="2" fillId="2" borderId="8" xfId="0" quotePrefix="1" applyNumberFormat="1" applyFont="1" applyFill="1" applyBorder="1" applyAlignment="1">
      <alignment horizontal="center" vertical="center" wrapText="1"/>
    </xf>
    <xf numFmtId="172" fontId="2" fillId="2" borderId="5" xfId="0" quotePrefix="1" applyNumberFormat="1" applyFont="1" applyFill="1" applyBorder="1" applyAlignment="1">
      <alignment horizontal="center" vertical="center" wrapText="1"/>
    </xf>
    <xf numFmtId="49" fontId="2" fillId="2" borderId="15" xfId="0" quotePrefix="1" applyNumberFormat="1" applyFont="1" applyFill="1" applyBorder="1" applyAlignment="1">
      <alignment horizontal="center" vertical="center" wrapText="1"/>
    </xf>
    <xf numFmtId="0" fontId="15" fillId="2" borderId="5" xfId="0" quotePrefix="1" applyFont="1" applyFill="1" applyBorder="1" applyAlignment="1">
      <alignment horizontal="center" vertical="center" wrapText="1"/>
    </xf>
    <xf numFmtId="172" fontId="2" fillId="0" borderId="9" xfId="0" quotePrefix="1" applyNumberFormat="1" applyFont="1" applyBorder="1" applyAlignment="1">
      <alignment horizontal="center" vertical="center" wrapText="1"/>
    </xf>
    <xf numFmtId="172" fontId="2" fillId="0" borderId="5" xfId="0" quotePrefix="1" applyNumberFormat="1" applyFont="1" applyBorder="1" applyAlignment="1">
      <alignment horizontal="center" vertical="center" wrapText="1"/>
    </xf>
    <xf numFmtId="0" fontId="36" fillId="5" borderId="15" xfId="0" applyFont="1" applyFill="1" applyBorder="1" applyAlignment="1">
      <alignment horizontal="center" vertical="center" wrapText="1"/>
    </xf>
    <xf numFmtId="174" fontId="5" fillId="5" borderId="5" xfId="0" applyNumberFormat="1" applyFont="1" applyFill="1" applyBorder="1" applyAlignment="1">
      <alignment horizontal="center" vertical="center"/>
    </xf>
    <xf numFmtId="174" fontId="5" fillId="0" borderId="5" xfId="0" applyNumberFormat="1" applyFont="1" applyBorder="1" applyAlignment="1">
      <alignment horizontal="center" vertical="center"/>
    </xf>
    <xf numFmtId="174" fontId="39" fillId="0" borderId="5" xfId="0" applyNumberFormat="1" applyFont="1" applyBorder="1" applyAlignment="1">
      <alignment horizontal="center" vertical="center" wrapText="1"/>
    </xf>
    <xf numFmtId="174" fontId="39" fillId="5" borderId="5" xfId="0" applyNumberFormat="1" applyFont="1" applyFill="1" applyBorder="1" applyAlignment="1">
      <alignment horizontal="center" vertical="center" wrapText="1"/>
    </xf>
    <xf numFmtId="174" fontId="22" fillId="5" borderId="5" xfId="0" applyNumberFormat="1" applyFont="1" applyFill="1" applyBorder="1" applyAlignment="1">
      <alignment horizontal="center" vertical="center"/>
    </xf>
    <xf numFmtId="165" fontId="5" fillId="5" borderId="5" xfId="0" applyNumberFormat="1" applyFont="1" applyFill="1" applyBorder="1" applyAlignment="1">
      <alignment horizontal="center" vertical="center"/>
    </xf>
    <xf numFmtId="4" fontId="4" fillId="5" borderId="1" xfId="0" applyNumberFormat="1" applyFont="1" applyFill="1" applyBorder="1" applyAlignment="1">
      <alignment horizontal="center"/>
    </xf>
    <xf numFmtId="41" fontId="33" fillId="5" borderId="1" xfId="0" applyNumberFormat="1" applyFont="1" applyFill="1" applyBorder="1" applyAlignment="1">
      <alignment horizontal="center"/>
    </xf>
    <xf numFmtId="3" fontId="21" fillId="5" borderId="1" xfId="0" applyNumberFormat="1" applyFont="1" applyFill="1" applyBorder="1" applyAlignment="1">
      <alignment horizontal="center"/>
    </xf>
    <xf numFmtId="3" fontId="15" fillId="5" borderId="1" xfId="0" applyNumberFormat="1" applyFont="1" applyFill="1" applyBorder="1"/>
    <xf numFmtId="0" fontId="31" fillId="2" borderId="8" xfId="0" applyFont="1" applyFill="1" applyBorder="1" applyAlignment="1">
      <alignment vertical="center" wrapText="1"/>
    </xf>
    <xf numFmtId="49" fontId="2" fillId="2" borderId="5" xfId="0" quotePrefix="1" applyNumberFormat="1" applyFont="1" applyFill="1" applyBorder="1" applyAlignment="1">
      <alignment horizontal="center" vertical="center" wrapText="1"/>
    </xf>
    <xf numFmtId="165" fontId="2" fillId="12" borderId="5" xfId="0" applyNumberFormat="1" applyFont="1" applyFill="1" applyBorder="1" applyAlignment="1">
      <alignment horizontal="center" vertical="center"/>
    </xf>
    <xf numFmtId="41" fontId="16" fillId="6" borderId="5" xfId="0" applyNumberFormat="1" applyFont="1" applyFill="1" applyBorder="1" applyAlignment="1">
      <alignment horizontal="center" vertical="center" wrapText="1"/>
    </xf>
    <xf numFmtId="0" fontId="32" fillId="5" borderId="8" xfId="0" applyFont="1" applyFill="1" applyBorder="1" applyAlignment="1">
      <alignment horizontal="center" vertical="center" wrapText="1"/>
    </xf>
    <xf numFmtId="3" fontId="12" fillId="2" borderId="5" xfId="0" applyNumberFormat="1" applyFont="1" applyFill="1" applyBorder="1" applyAlignment="1">
      <alignment horizontal="center" vertical="center" wrapText="1"/>
    </xf>
    <xf numFmtId="41" fontId="16" fillId="13" borderId="5" xfId="0" applyNumberFormat="1" applyFont="1" applyFill="1" applyBorder="1" applyAlignment="1">
      <alignment horizontal="center" vertical="center" wrapText="1"/>
    </xf>
    <xf numFmtId="41" fontId="16" fillId="12" borderId="5" xfId="0" applyNumberFormat="1" applyFont="1" applyFill="1" applyBorder="1" applyAlignment="1">
      <alignment horizontal="center" vertical="center" wrapText="1"/>
    </xf>
    <xf numFmtId="165" fontId="2" fillId="14" borderId="5" xfId="0" applyNumberFormat="1" applyFont="1" applyFill="1" applyBorder="1" applyAlignment="1">
      <alignment horizontal="center" vertical="center"/>
    </xf>
    <xf numFmtId="1" fontId="5" fillId="14" borderId="5" xfId="0" applyNumberFormat="1" applyFont="1" applyFill="1" applyBorder="1" applyAlignment="1">
      <alignment horizontal="center" vertical="center"/>
    </xf>
    <xf numFmtId="174" fontId="62" fillId="4" borderId="5" xfId="0" applyNumberFormat="1" applyFont="1" applyFill="1" applyBorder="1" applyAlignment="1">
      <alignment horizontal="center" vertical="center"/>
    </xf>
    <xf numFmtId="172" fontId="3" fillId="4" borderId="5" xfId="0" applyNumberFormat="1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172" fontId="12" fillId="0" borderId="5" xfId="0" applyNumberFormat="1" applyFont="1" applyBorder="1" applyAlignment="1">
      <alignment horizontal="center" vertical="center" wrapText="1"/>
    </xf>
    <xf numFmtId="174" fontId="5" fillId="4" borderId="5" xfId="0" applyNumberFormat="1" applyFont="1" applyFill="1" applyBorder="1" applyAlignment="1">
      <alignment horizontal="center" vertical="center"/>
    </xf>
    <xf numFmtId="0" fontId="12" fillId="0" borderId="0" xfId="0" applyFont="1"/>
    <xf numFmtId="171" fontId="5" fillId="5" borderId="5" xfId="0" applyNumberFormat="1" applyFont="1" applyFill="1" applyBorder="1" applyAlignment="1">
      <alignment horizontal="center" vertical="center"/>
    </xf>
    <xf numFmtId="165" fontId="22" fillId="2" borderId="5" xfId="0" applyNumberFormat="1" applyFont="1" applyFill="1" applyBorder="1" applyAlignment="1">
      <alignment horizontal="center" vertical="center"/>
    </xf>
    <xf numFmtId="41" fontId="4" fillId="0" borderId="0" xfId="0" applyNumberFormat="1" applyFont="1"/>
    <xf numFmtId="171" fontId="5" fillId="0" borderId="5" xfId="0" applyNumberFormat="1" applyFont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 wrapText="1"/>
    </xf>
    <xf numFmtId="41" fontId="16" fillId="14" borderId="5" xfId="0" applyNumberFormat="1" applyFont="1" applyFill="1" applyBorder="1" applyAlignment="1">
      <alignment horizontal="center" vertical="center" wrapText="1"/>
    </xf>
    <xf numFmtId="174" fontId="62" fillId="4" borderId="5" xfId="0" applyNumberFormat="1" applyFont="1" applyFill="1" applyBorder="1" applyAlignment="1">
      <alignment horizontal="center"/>
    </xf>
    <xf numFmtId="0" fontId="6" fillId="2" borderId="1" xfId="0" applyFont="1" applyFill="1" applyBorder="1"/>
    <xf numFmtId="0" fontId="26" fillId="2" borderId="1" xfId="0" applyFont="1" applyFill="1" applyBorder="1"/>
    <xf numFmtId="41" fontId="6" fillId="4" borderId="5" xfId="0" applyNumberFormat="1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51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/>
    </xf>
    <xf numFmtId="43" fontId="2" fillId="2" borderId="27" xfId="0" applyNumberFormat="1" applyFont="1" applyFill="1" applyBorder="1" applyAlignment="1">
      <alignment horizontal="center" vertical="center" wrapText="1"/>
    </xf>
    <xf numFmtId="167" fontId="16" fillId="5" borderId="5" xfId="0" applyNumberFormat="1" applyFont="1" applyFill="1" applyBorder="1" applyAlignment="1">
      <alignment horizontal="center" wrapText="1"/>
    </xf>
    <xf numFmtId="0" fontId="6" fillId="2" borderId="15" xfId="0" applyFont="1" applyFill="1" applyBorder="1" applyAlignment="1">
      <alignment vertical="center" wrapText="1"/>
    </xf>
    <xf numFmtId="0" fontId="29" fillId="5" borderId="5" xfId="0" applyFont="1" applyFill="1" applyBorder="1" applyAlignment="1">
      <alignment horizontal="center" vertical="center" wrapText="1"/>
    </xf>
    <xf numFmtId="164" fontId="6" fillId="15" borderId="5" xfId="0" applyNumberFormat="1" applyFont="1" applyFill="1" applyBorder="1" applyAlignment="1">
      <alignment horizontal="center" vertical="center" wrapText="1"/>
    </xf>
    <xf numFmtId="0" fontId="3" fillId="16" borderId="5" xfId="0" applyFont="1" applyFill="1" applyBorder="1" applyAlignment="1">
      <alignment horizontal="center" vertical="center" wrapText="1"/>
    </xf>
    <xf numFmtId="14" fontId="31" fillId="5" borderId="5" xfId="0" quotePrefix="1" applyNumberFormat="1" applyFont="1" applyFill="1" applyBorder="1" applyAlignment="1">
      <alignment horizontal="center" vertical="center" wrapText="1"/>
    </xf>
    <xf numFmtId="49" fontId="2" fillId="5" borderId="5" xfId="0" quotePrefix="1" applyNumberFormat="1" applyFont="1" applyFill="1" applyBorder="1" applyAlignment="1">
      <alignment horizontal="center" vertical="center" wrapText="1"/>
    </xf>
    <xf numFmtId="164" fontId="2" fillId="2" borderId="5" xfId="0" quotePrefix="1" applyNumberFormat="1" applyFont="1" applyFill="1" applyBorder="1" applyAlignment="1">
      <alignment horizontal="center" vertical="center" wrapText="1"/>
    </xf>
    <xf numFmtId="164" fontId="2" fillId="2" borderId="5" xfId="0" quotePrefix="1" applyNumberFormat="1" applyFont="1" applyFill="1" applyBorder="1" applyAlignment="1">
      <alignment horizontal="right" vertical="center" wrapText="1"/>
    </xf>
    <xf numFmtId="164" fontId="5" fillId="5" borderId="6" xfId="0" applyNumberFormat="1" applyFont="1" applyFill="1" applyBorder="1"/>
    <xf numFmtId="41" fontId="35" fillId="6" borderId="5" xfId="0" applyNumberFormat="1" applyFont="1" applyFill="1" applyBorder="1" applyAlignment="1">
      <alignment horizontal="right" vertical="center" wrapText="1"/>
    </xf>
    <xf numFmtId="164" fontId="25" fillId="5" borderId="5" xfId="0" applyNumberFormat="1" applyFont="1" applyFill="1" applyBorder="1" applyAlignment="1">
      <alignment horizontal="right" wrapText="1"/>
    </xf>
    <xf numFmtId="3" fontId="35" fillId="5" borderId="5" xfId="0" applyNumberFormat="1" applyFont="1" applyFill="1" applyBorder="1" applyAlignment="1">
      <alignment horizontal="right" vertical="center" wrapText="1"/>
    </xf>
    <xf numFmtId="3" fontId="22" fillId="2" borderId="5" xfId="0" applyNumberFormat="1" applyFont="1" applyFill="1" applyBorder="1" applyAlignment="1">
      <alignment horizontal="center"/>
    </xf>
    <xf numFmtId="164" fontId="22" fillId="5" borderId="5" xfId="0" applyNumberFormat="1" applyFont="1" applyFill="1" applyBorder="1"/>
    <xf numFmtId="0" fontId="12" fillId="0" borderId="25" xfId="0" applyFont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24" fillId="0" borderId="0" xfId="0" applyFont="1" applyAlignment="1">
      <alignment horizontal="left"/>
    </xf>
    <xf numFmtId="0" fontId="0" fillId="0" borderId="0" xfId="0"/>
    <xf numFmtId="0" fontId="21" fillId="0" borderId="0" xfId="0" applyFont="1" applyAlignment="1">
      <alignment horizontal="left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14" fillId="0" borderId="7" xfId="0" applyFont="1" applyBorder="1"/>
    <xf numFmtId="0" fontId="14" fillId="0" borderId="11" xfId="0" applyFont="1" applyBorder="1"/>
    <xf numFmtId="0" fontId="3" fillId="0" borderId="4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left" vertical="center" wrapText="1"/>
    </xf>
    <xf numFmtId="0" fontId="14" fillId="0" borderId="9" xfId="0" applyFont="1" applyBorder="1"/>
    <xf numFmtId="3" fontId="22" fillId="0" borderId="4" xfId="0" applyNumberFormat="1" applyFont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 wrapText="1"/>
    </xf>
    <xf numFmtId="2" fontId="22" fillId="0" borderId="4" xfId="0" applyNumberFormat="1" applyFont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 wrapText="1"/>
    </xf>
    <xf numFmtId="3" fontId="3" fillId="0" borderId="13" xfId="0" applyNumberFormat="1" applyFont="1" applyBorder="1" applyAlignment="1">
      <alignment horizontal="center" vertical="center" wrapText="1"/>
    </xf>
    <xf numFmtId="0" fontId="14" fillId="0" borderId="14" xfId="0" applyFont="1" applyBorder="1"/>
    <xf numFmtId="3" fontId="3" fillId="0" borderId="16" xfId="0" applyNumberFormat="1" applyFont="1" applyBorder="1" applyAlignment="1">
      <alignment horizontal="center" vertical="center" wrapText="1"/>
    </xf>
    <xf numFmtId="0" fontId="14" fillId="0" borderId="17" xfId="0" applyFont="1" applyBorder="1"/>
    <xf numFmtId="0" fontId="14" fillId="0" borderId="18" xfId="0" applyFont="1" applyBorder="1"/>
    <xf numFmtId="3" fontId="3" fillId="5" borderId="13" xfId="0" applyNumberFormat="1" applyFont="1" applyFill="1" applyBorder="1" applyAlignment="1">
      <alignment horizontal="center" vertical="center" wrapText="1"/>
    </xf>
    <xf numFmtId="0" fontId="4" fillId="0" borderId="14" xfId="0" applyFont="1" applyBorder="1"/>
    <xf numFmtId="0" fontId="22" fillId="0" borderId="14" xfId="0" applyFont="1" applyBorder="1" applyAlignment="1">
      <alignment horizontal="center" vertical="center"/>
    </xf>
    <xf numFmtId="0" fontId="31" fillId="4" borderId="23" xfId="0" applyFont="1" applyFill="1" applyBorder="1" applyAlignment="1">
      <alignment horizontal="center"/>
    </xf>
    <xf numFmtId="0" fontId="14" fillId="0" borderId="24" xfId="0" applyFont="1" applyBorder="1"/>
    <xf numFmtId="0" fontId="14" fillId="0" borderId="25" xfId="0" applyFont="1" applyBorder="1"/>
    <xf numFmtId="0" fontId="31" fillId="7" borderId="23" xfId="0" applyFont="1" applyFill="1" applyBorder="1" applyAlignment="1">
      <alignment horizontal="center"/>
    </xf>
    <xf numFmtId="0" fontId="51" fillId="5" borderId="20" xfId="0" applyFont="1" applyFill="1" applyBorder="1" applyAlignment="1">
      <alignment horizontal="left"/>
    </xf>
    <xf numFmtId="0" fontId="14" fillId="0" borderId="22" xfId="0" applyFont="1" applyBorder="1"/>
    <xf numFmtId="0" fontId="39" fillId="5" borderId="20" xfId="0" applyFont="1" applyFill="1" applyBorder="1" applyAlignment="1">
      <alignment horizontal="left" vertical="center" wrapText="1"/>
    </xf>
    <xf numFmtId="0" fontId="14" fillId="0" borderId="21" xfId="0" applyFont="1" applyBorder="1"/>
    <xf numFmtId="0" fontId="28" fillId="5" borderId="20" xfId="0" applyFont="1" applyFill="1" applyBorder="1" applyAlignment="1">
      <alignment horizontal="left" vertical="center" wrapText="1"/>
    </xf>
    <xf numFmtId="0" fontId="41" fillId="5" borderId="20" xfId="0" applyFont="1" applyFill="1" applyBorder="1" applyAlignment="1">
      <alignment horizontal="center" vertical="center" wrapText="1"/>
    </xf>
    <xf numFmtId="0" fontId="42" fillId="2" borderId="20" xfId="0" applyFont="1" applyFill="1" applyBorder="1" applyAlignment="1">
      <alignment horizontal="center" wrapText="1"/>
    </xf>
    <xf numFmtId="0" fontId="43" fillId="2" borderId="20" xfId="0" applyFont="1" applyFill="1" applyBorder="1" applyAlignment="1">
      <alignment horizontal="center" wrapText="1"/>
    </xf>
    <xf numFmtId="0" fontId="31" fillId="2" borderId="20" xfId="0" applyFont="1" applyFill="1" applyBorder="1" applyAlignment="1">
      <alignment horizontal="left" wrapText="1"/>
    </xf>
    <xf numFmtId="0" fontId="48" fillId="5" borderId="4" xfId="0" applyFont="1" applyFill="1" applyBorder="1" applyAlignment="1">
      <alignment horizontal="center" vertical="center"/>
    </xf>
    <xf numFmtId="0" fontId="48" fillId="2" borderId="4" xfId="0" applyFont="1" applyFill="1" applyBorder="1" applyAlignment="1">
      <alignment horizontal="center" vertical="center" wrapText="1"/>
    </xf>
    <xf numFmtId="0" fontId="30" fillId="5" borderId="13" xfId="0" applyFont="1" applyFill="1" applyBorder="1" applyAlignment="1">
      <alignment horizontal="left" vertical="center" wrapText="1"/>
    </xf>
    <xf numFmtId="0" fontId="52" fillId="5" borderId="20" xfId="0" applyFont="1" applyFill="1" applyBorder="1" applyAlignment="1">
      <alignment horizontal="left"/>
    </xf>
    <xf numFmtId="0" fontId="41" fillId="2" borderId="20" xfId="0" applyFont="1" applyFill="1" applyBorder="1" applyAlignment="1">
      <alignment horizontal="center" wrapText="1"/>
    </xf>
    <xf numFmtId="0" fontId="55" fillId="5" borderId="20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vertical="center" wrapText="1"/>
    </xf>
    <xf numFmtId="0" fontId="31" fillId="2" borderId="13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</cellXfs>
  <cellStyles count="1">
    <cellStyle name="Normal" xfId="0" builtinId="0"/>
  </cellStyles>
  <dxfs count="8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800080"/>
      </font>
      <fill>
        <patternFill patternType="solid">
          <fgColor rgb="FFFF99CC"/>
          <bgColor rgb="FFFF99C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
<Relationships xmlns="http://schemas.openxmlformats.org/package/2006/relationships"><Relationship Id="rId1" Type="http://customschemas.google.com/relationships/workbookmetadata" Target="commentsmeta8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ban2/A%20giao%20ban/Users/My/AppData/Local/Temp/Rar$DI00.012/Phu%20luc%201-%20Bieu%20mau%20thong%20ke%20thiet%20hai_%20filal%20(Sua%20theo%20y%20cua%20Bo%20KH%20va%20DT%20sau%20khi%20da%20ky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u luc 01- Danh sach bieu mau"/>
      <sheetName val="Bieu thong ke nhanh"/>
      <sheetName val="Bieu 1-TKTH"/>
      <sheetName val="Bieu 2-TKTH"/>
      <sheetName val="Bieu 3- TKTH"/>
      <sheetName val="Bieu 4- TKTH"/>
      <sheetName val="Bieu 5-TKTH"/>
      <sheetName val="Bieu 06-PTNguyen nhan"/>
      <sheetName val="Bieu 6-TKTHNC"/>
      <sheetName val="Bieu 07_ Dinh ky-Nam"/>
      <sheetName val="Bieu 01"/>
      <sheetName val="Bieu 02"/>
      <sheetName val="Bieu 03"/>
      <sheetName val="Bieu 04"/>
      <sheetName val="Bieu 05"/>
      <sheetName val="Bieu 8- Sua"/>
      <sheetName val="Bieu 08- THiet hai chinh"/>
      <sheetName val="TONG HOP NAM 2018_IN"/>
      <sheetName val="Sheet4"/>
      <sheetName val="Thiet hai Tinh,tp (Toan quoc)"/>
      <sheetName val="T.hại Tỉnh, tp (loại thiên tai)"/>
      <sheetName val="THIET HAI NGUOI"/>
      <sheetName val="Nắn nóng, hạn hán"/>
      <sheetName val="Giông lốc, sét, mưa đá"/>
      <sheetName val="Sạt lở, triều cường"/>
      <sheetName val="Lũ quyét, sạt lở đất"/>
      <sheetName val="Gió mạnh trên biển"/>
      <sheetName val="Mưa lớn, ngập úng"/>
      <sheetName val="Lũ,l.quét, s.lở đất 23-26.6"/>
      <sheetName val="M.lũ B.Bộ-H.Tĩnh 13-22.7 "/>
      <sheetName val="Rét đậm, rét hại"/>
      <sheetName val="Phu luc gui UBQG"/>
      <sheetName val="Sheet3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6699"/>
    <pageSetUpPr fitToPage="1"/>
  </sheetPr>
  <dimension ref="A1:AK1000"/>
  <sheetViews>
    <sheetView tabSelected="1" workbookViewId="0">
      <pane xSplit="4" ySplit="17" topLeftCell="E189" activePane="bottomRight" state="frozen"/>
      <selection pane="topRight" activeCell="E1" sqref="E1"/>
      <selection pane="bottomLeft" activeCell="A18" sqref="A18"/>
      <selection pane="bottomRight" activeCell="G451" sqref="G451"/>
    </sheetView>
  </sheetViews>
  <sheetFormatPr defaultColWidth="14.453125" defaultRowHeight="15" customHeight="1"/>
  <cols>
    <col min="1" max="1" width="6" customWidth="1"/>
    <col min="2" max="2" width="9.7265625" hidden="1" customWidth="1"/>
    <col min="3" max="3" width="50.453125" customWidth="1"/>
    <col min="4" max="4" width="11" customWidth="1"/>
    <col min="5" max="6" width="33.7265625" customWidth="1"/>
    <col min="7" max="7" width="23.08984375" customWidth="1"/>
    <col min="8" max="34" width="17.7265625" customWidth="1"/>
    <col min="35" max="35" width="18.08984375" hidden="1" customWidth="1"/>
    <col min="36" max="36" width="14.453125" customWidth="1"/>
    <col min="37" max="37" width="16.26953125" customWidth="1"/>
  </cols>
  <sheetData>
    <row r="1" spans="1:37" ht="24.75" customHeight="1">
      <c r="A1" s="1" t="s">
        <v>0</v>
      </c>
      <c r="B1" s="2"/>
      <c r="C1" s="2"/>
      <c r="D1" s="3"/>
      <c r="E1" s="4"/>
      <c r="F1" s="4"/>
      <c r="G1" s="4"/>
      <c r="H1" s="3"/>
      <c r="I1" s="5"/>
      <c r="J1" s="5"/>
      <c r="K1" s="5"/>
      <c r="L1" s="5"/>
      <c r="M1" s="5"/>
      <c r="N1" s="5"/>
      <c r="O1" s="5"/>
      <c r="P1" s="5"/>
      <c r="Q1" s="5"/>
      <c r="R1" s="6"/>
      <c r="S1" s="6"/>
      <c r="T1" s="6"/>
      <c r="U1" s="6"/>
      <c r="V1" s="5"/>
      <c r="W1" s="5"/>
      <c r="X1" s="5"/>
      <c r="Y1" s="5"/>
      <c r="Z1" s="5"/>
      <c r="AA1" s="6"/>
      <c r="AB1" s="6"/>
      <c r="AC1" s="5"/>
      <c r="AD1" s="5"/>
      <c r="AE1" s="5"/>
      <c r="AF1" s="5"/>
      <c r="AG1" s="5"/>
      <c r="AH1" s="6"/>
      <c r="AI1" s="7"/>
      <c r="AJ1" s="7"/>
      <c r="AK1" s="7"/>
    </row>
    <row r="2" spans="1:37" ht="33" customHeight="1">
      <c r="A2" s="762" t="s">
        <v>1</v>
      </c>
      <c r="B2" s="760"/>
      <c r="C2" s="760"/>
      <c r="D2" s="3"/>
      <c r="E2" s="4"/>
      <c r="F2" s="4"/>
      <c r="G2" s="4"/>
      <c r="H2" s="3"/>
      <c r="I2" s="5"/>
      <c r="J2" s="5"/>
      <c r="K2" s="5"/>
      <c r="L2" s="5"/>
      <c r="M2" s="5"/>
      <c r="N2" s="5"/>
      <c r="O2" s="5"/>
      <c r="P2" s="5"/>
      <c r="Q2" s="5"/>
      <c r="R2" s="6"/>
      <c r="S2" s="6"/>
      <c r="T2" s="6"/>
      <c r="U2" s="6"/>
      <c r="V2" s="5"/>
      <c r="W2" s="5"/>
      <c r="X2" s="5"/>
      <c r="Y2" s="5"/>
      <c r="Z2" s="5"/>
      <c r="AA2" s="6"/>
      <c r="AB2" s="6"/>
      <c r="AC2" s="5"/>
      <c r="AD2" s="5"/>
      <c r="AE2" s="5"/>
      <c r="AF2" s="5"/>
      <c r="AG2" s="5"/>
      <c r="AH2" s="6"/>
      <c r="AI2" s="7"/>
      <c r="AJ2" s="7"/>
      <c r="AK2" s="7"/>
    </row>
    <row r="3" spans="1:37" ht="23.25" customHeight="1">
      <c r="A3" s="763" t="s">
        <v>2</v>
      </c>
      <c r="B3" s="760"/>
      <c r="C3" s="760"/>
      <c r="D3" s="3"/>
      <c r="E3" s="4"/>
      <c r="F3" s="4"/>
      <c r="G3" s="4"/>
      <c r="H3" s="3"/>
      <c r="I3" s="5"/>
      <c r="J3" s="5"/>
      <c r="K3" s="5"/>
      <c r="L3" s="5"/>
      <c r="M3" s="5"/>
      <c r="N3" s="5"/>
      <c r="O3" s="5"/>
      <c r="P3" s="5"/>
      <c r="Q3" s="5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5"/>
      <c r="AD3" s="5"/>
      <c r="AE3" s="5"/>
      <c r="AF3" s="5"/>
      <c r="AG3" s="5"/>
      <c r="AH3" s="6"/>
      <c r="AI3" s="7"/>
      <c r="AJ3" s="7"/>
      <c r="AK3" s="7"/>
    </row>
    <row r="4" spans="1:37" ht="21" customHeight="1">
      <c r="A4" s="764" t="s">
        <v>3</v>
      </c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8"/>
      <c r="AJ4" s="7"/>
      <c r="AK4" s="7"/>
    </row>
    <row r="5" spans="1:37" ht="4.5" customHeight="1">
      <c r="A5" s="765" t="s">
        <v>4</v>
      </c>
      <c r="B5" s="760"/>
      <c r="C5" s="760"/>
      <c r="D5" s="760"/>
      <c r="E5" s="760"/>
      <c r="F5" s="760"/>
      <c r="G5" s="760"/>
      <c r="H5" s="760"/>
      <c r="I5" s="760"/>
      <c r="J5" s="760"/>
      <c r="K5" s="760"/>
      <c r="L5" s="760"/>
      <c r="M5" s="760"/>
      <c r="N5" s="760"/>
      <c r="O5" s="760"/>
      <c r="P5" s="760"/>
      <c r="Q5" s="760"/>
      <c r="R5" s="760"/>
      <c r="S5" s="760"/>
      <c r="T5" s="760"/>
      <c r="U5" s="760"/>
      <c r="V5" s="760"/>
      <c r="W5" s="760"/>
      <c r="X5" s="760"/>
      <c r="Y5" s="760"/>
      <c r="Z5" s="760"/>
      <c r="AA5" s="760"/>
      <c r="AB5" s="760"/>
      <c r="AC5" s="760"/>
      <c r="AD5" s="760"/>
      <c r="AE5" s="760"/>
      <c r="AF5" s="760"/>
      <c r="AG5" s="760"/>
      <c r="AH5" s="760"/>
      <c r="AI5" s="8"/>
      <c r="AJ5" s="7"/>
      <c r="AK5" s="7"/>
    </row>
    <row r="6" spans="1:37" ht="1.5" customHeight="1">
      <c r="A6" s="9"/>
      <c r="B6" s="9"/>
      <c r="C6" s="9"/>
      <c r="D6" s="9"/>
      <c r="E6" s="9"/>
      <c r="F6" s="9"/>
      <c r="G6" s="9"/>
      <c r="H6" s="9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8"/>
      <c r="AJ6" s="7"/>
      <c r="AK6" s="7"/>
    </row>
    <row r="7" spans="1:37" ht="18.75" hidden="1" customHeight="1">
      <c r="A7" s="8"/>
      <c r="B7" s="8"/>
      <c r="C7" s="8"/>
      <c r="D7" s="8"/>
      <c r="E7" s="8"/>
      <c r="F7" s="8"/>
      <c r="G7" s="8"/>
      <c r="H7" s="8"/>
      <c r="I7" s="11"/>
      <c r="J7" s="11"/>
      <c r="K7" s="11"/>
      <c r="L7" s="11"/>
      <c r="M7" s="11"/>
      <c r="N7" s="11"/>
      <c r="O7" s="11"/>
      <c r="P7" s="11"/>
      <c r="Q7" s="11"/>
      <c r="R7" s="12"/>
      <c r="S7" s="12"/>
      <c r="T7" s="12"/>
      <c r="U7" s="12"/>
      <c r="V7" s="11"/>
      <c r="W7" s="11"/>
      <c r="X7" s="11"/>
      <c r="Y7" s="11"/>
      <c r="Z7" s="11"/>
      <c r="AA7" s="12"/>
      <c r="AB7" s="12"/>
      <c r="AC7" s="11"/>
      <c r="AD7" s="11"/>
      <c r="AE7" s="11"/>
      <c r="AF7" s="11"/>
      <c r="AG7" s="11"/>
      <c r="AH7" s="12"/>
      <c r="AI7" s="8"/>
      <c r="AJ7" s="7"/>
      <c r="AK7" s="7"/>
    </row>
    <row r="8" spans="1:37" ht="16.5" hidden="1" customHeight="1">
      <c r="A8" s="8"/>
      <c r="B8" s="8"/>
      <c r="C8" s="8"/>
      <c r="D8" s="8"/>
      <c r="E8" s="8"/>
      <c r="F8" s="8"/>
      <c r="G8" s="8"/>
      <c r="H8" s="8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1"/>
      <c r="W8" s="11"/>
      <c r="X8" s="11"/>
      <c r="Y8" s="11"/>
      <c r="Z8" s="11"/>
      <c r="AA8" s="12"/>
      <c r="AB8" s="12"/>
      <c r="AC8" s="11"/>
      <c r="AD8" s="11"/>
      <c r="AE8" s="11"/>
      <c r="AF8" s="11"/>
      <c r="AG8" s="11"/>
      <c r="AH8" s="12"/>
      <c r="AI8" s="8"/>
      <c r="AJ8" s="7"/>
      <c r="AK8" s="7"/>
    </row>
    <row r="9" spans="1:37" ht="16.5" hidden="1" customHeight="1">
      <c r="A9" s="8"/>
      <c r="B9" s="8"/>
      <c r="C9" s="8"/>
      <c r="D9" s="8"/>
      <c r="E9" s="8"/>
      <c r="F9" s="8"/>
      <c r="G9" s="8"/>
      <c r="H9" s="8"/>
      <c r="I9" s="11"/>
      <c r="J9" s="11"/>
      <c r="K9" s="11"/>
      <c r="L9" s="11"/>
      <c r="M9" s="11"/>
      <c r="N9" s="11"/>
      <c r="O9" s="11"/>
      <c r="P9" s="11"/>
      <c r="Q9" s="11"/>
      <c r="R9" s="12"/>
      <c r="S9" s="12"/>
      <c r="T9" s="12"/>
      <c r="U9" s="12"/>
      <c r="V9" s="11"/>
      <c r="W9" s="11"/>
      <c r="X9" s="11"/>
      <c r="Y9" s="11"/>
      <c r="Z9" s="11"/>
      <c r="AA9" s="12"/>
      <c r="AB9" s="12"/>
      <c r="AC9" s="11"/>
      <c r="AD9" s="11"/>
      <c r="AE9" s="11"/>
      <c r="AF9" s="11"/>
      <c r="AG9" s="11"/>
      <c r="AH9" s="12"/>
      <c r="AI9" s="8"/>
      <c r="AJ9" s="7"/>
      <c r="AK9" s="7"/>
    </row>
    <row r="10" spans="1:37" ht="21.75" hidden="1" customHeight="1">
      <c r="A10" s="13"/>
      <c r="B10" s="13"/>
      <c r="C10" s="13"/>
      <c r="D10" s="13"/>
      <c r="E10" s="13"/>
      <c r="F10" s="755"/>
      <c r="G10" s="13"/>
      <c r="H10" s="13"/>
      <c r="I10" s="14">
        <v>1</v>
      </c>
      <c r="J10" s="14">
        <v>2</v>
      </c>
      <c r="K10" s="14">
        <v>3</v>
      </c>
      <c r="L10" s="14">
        <v>4</v>
      </c>
      <c r="M10" s="14">
        <v>5</v>
      </c>
      <c r="N10" s="14">
        <v>6</v>
      </c>
      <c r="O10" s="14">
        <v>7</v>
      </c>
      <c r="P10" s="14">
        <v>8</v>
      </c>
      <c r="Q10" s="14">
        <v>9</v>
      </c>
      <c r="R10" s="14">
        <v>10</v>
      </c>
      <c r="S10" s="14">
        <v>11</v>
      </c>
      <c r="T10" s="14">
        <v>12</v>
      </c>
      <c r="U10" s="14">
        <v>13</v>
      </c>
      <c r="V10" s="14">
        <v>14</v>
      </c>
      <c r="W10" s="14">
        <v>15</v>
      </c>
      <c r="X10" s="14">
        <v>16</v>
      </c>
      <c r="Y10" s="14">
        <v>17</v>
      </c>
      <c r="Z10" s="14">
        <v>18</v>
      </c>
      <c r="AA10" s="14">
        <v>19</v>
      </c>
      <c r="AB10" s="14">
        <v>20</v>
      </c>
      <c r="AC10" s="14">
        <v>21</v>
      </c>
      <c r="AD10" s="14">
        <v>22</v>
      </c>
      <c r="AE10" s="14">
        <v>23</v>
      </c>
      <c r="AF10" s="14">
        <v>24</v>
      </c>
      <c r="AG10" s="14">
        <v>25</v>
      </c>
      <c r="AH10" s="14">
        <v>26</v>
      </c>
      <c r="AI10" s="13"/>
      <c r="AJ10" s="15"/>
      <c r="AK10" s="15"/>
    </row>
    <row r="11" spans="1:37" ht="33" customHeight="1">
      <c r="A11" s="766" t="s">
        <v>5</v>
      </c>
      <c r="B11" s="769" t="s">
        <v>6</v>
      </c>
      <c r="C11" s="16" t="s">
        <v>7</v>
      </c>
      <c r="D11" s="17" t="s">
        <v>8</v>
      </c>
      <c r="E11" s="18" t="s">
        <v>9</v>
      </c>
      <c r="F11" s="756" t="s">
        <v>2530</v>
      </c>
      <c r="G11" s="18" t="s">
        <v>10</v>
      </c>
      <c r="H11" s="19" t="s">
        <v>11</v>
      </c>
      <c r="I11" s="20" t="s">
        <v>12</v>
      </c>
      <c r="J11" s="20" t="s">
        <v>13</v>
      </c>
      <c r="K11" s="20" t="s">
        <v>14</v>
      </c>
      <c r="L11" s="21" t="s">
        <v>15</v>
      </c>
      <c r="M11" s="20" t="s">
        <v>16</v>
      </c>
      <c r="N11" s="21" t="s">
        <v>17</v>
      </c>
      <c r="O11" s="20" t="s">
        <v>18</v>
      </c>
      <c r="P11" s="20" t="s">
        <v>19</v>
      </c>
      <c r="Q11" s="21" t="s">
        <v>20</v>
      </c>
      <c r="R11" s="21" t="s">
        <v>21</v>
      </c>
      <c r="S11" s="21" t="s">
        <v>22</v>
      </c>
      <c r="T11" s="21" t="s">
        <v>23</v>
      </c>
      <c r="U11" s="21" t="s">
        <v>24</v>
      </c>
      <c r="V11" s="22" t="s">
        <v>25</v>
      </c>
      <c r="W11" s="22" t="s">
        <v>26</v>
      </c>
      <c r="X11" s="22" t="s">
        <v>27</v>
      </c>
      <c r="Y11" s="22" t="s">
        <v>28</v>
      </c>
      <c r="Z11" s="21" t="s">
        <v>29</v>
      </c>
      <c r="AA11" s="22" t="s">
        <v>30</v>
      </c>
      <c r="AB11" s="21" t="s">
        <v>31</v>
      </c>
      <c r="AC11" s="22" t="s">
        <v>32</v>
      </c>
      <c r="AD11" s="22" t="s">
        <v>33</v>
      </c>
      <c r="AE11" s="22" t="s">
        <v>34</v>
      </c>
      <c r="AF11" s="22" t="s">
        <v>35</v>
      </c>
      <c r="AG11" s="22" t="s">
        <v>36</v>
      </c>
      <c r="AH11" s="22" t="s">
        <v>37</v>
      </c>
      <c r="AI11" s="23" t="s">
        <v>38</v>
      </c>
      <c r="AJ11" s="7"/>
      <c r="AK11" s="7"/>
    </row>
    <row r="12" spans="1:37" ht="29.25" hidden="1" customHeight="1">
      <c r="A12" s="767"/>
      <c r="B12" s="767"/>
      <c r="C12" s="24" t="s">
        <v>39</v>
      </c>
      <c r="D12" s="25"/>
      <c r="E12" s="26"/>
      <c r="F12" s="757"/>
      <c r="G12" s="26"/>
      <c r="H12" s="27"/>
      <c r="I12" s="28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30"/>
      <c r="W12" s="30"/>
      <c r="X12" s="30"/>
      <c r="Y12" s="30"/>
      <c r="Z12" s="29"/>
      <c r="AA12" s="30"/>
      <c r="AB12" s="29"/>
      <c r="AC12" s="29"/>
      <c r="AD12" s="29"/>
      <c r="AE12" s="29"/>
      <c r="AF12" s="29"/>
      <c r="AG12" s="29"/>
      <c r="AH12" s="29"/>
      <c r="AI12" s="31">
        <f>+SUM(I12:AH12)</f>
        <v>0</v>
      </c>
      <c r="AJ12" s="7"/>
      <c r="AK12" s="7"/>
    </row>
    <row r="13" spans="1:37" ht="27" hidden="1" customHeight="1">
      <c r="A13" s="767"/>
      <c r="B13" s="767"/>
      <c r="C13" s="24" t="s">
        <v>40</v>
      </c>
      <c r="D13" s="19"/>
      <c r="E13" s="21"/>
      <c r="F13" s="21"/>
      <c r="G13" s="21"/>
      <c r="H13" s="1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3"/>
      <c r="AJ13" s="7"/>
      <c r="AK13" s="7"/>
    </row>
    <row r="14" spans="1:37" ht="27" hidden="1" customHeight="1">
      <c r="A14" s="767"/>
      <c r="B14" s="767"/>
      <c r="C14" s="25" t="s">
        <v>41</v>
      </c>
      <c r="D14" s="19"/>
      <c r="E14" s="21"/>
      <c r="F14" s="21"/>
      <c r="G14" s="21"/>
      <c r="H14" s="19"/>
      <c r="I14" s="30"/>
      <c r="J14" s="30"/>
      <c r="K14" s="34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5"/>
      <c r="AJ14" s="36"/>
      <c r="AK14" s="7"/>
    </row>
    <row r="15" spans="1:37" ht="26.25" hidden="1" customHeight="1">
      <c r="A15" s="767"/>
      <c r="B15" s="767"/>
      <c r="C15" s="24" t="s">
        <v>42</v>
      </c>
      <c r="D15" s="19"/>
      <c r="E15" s="21"/>
      <c r="F15" s="21"/>
      <c r="G15" s="21"/>
      <c r="H15" s="1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5"/>
      <c r="AJ15" s="7"/>
      <c r="AK15" s="7"/>
    </row>
    <row r="16" spans="1:37" ht="1.5" customHeight="1">
      <c r="A16" s="767"/>
      <c r="B16" s="767"/>
      <c r="C16" s="24" t="s">
        <v>43</v>
      </c>
      <c r="D16" s="17"/>
      <c r="E16" s="22"/>
      <c r="F16" s="22"/>
      <c r="G16" s="22"/>
      <c r="H16" s="17"/>
      <c r="I16" s="37" t="s">
        <v>44</v>
      </c>
      <c r="J16" s="37" t="s">
        <v>45</v>
      </c>
      <c r="K16" s="37" t="s">
        <v>46</v>
      </c>
      <c r="L16" s="37" t="s">
        <v>47</v>
      </c>
      <c r="M16" s="37" t="s">
        <v>48</v>
      </c>
      <c r="N16" s="37" t="s">
        <v>49</v>
      </c>
      <c r="O16" s="37" t="s">
        <v>50</v>
      </c>
      <c r="P16" s="37" t="s">
        <v>51</v>
      </c>
      <c r="Q16" s="37" t="s">
        <v>52</v>
      </c>
      <c r="R16" s="37" t="s">
        <v>53</v>
      </c>
      <c r="S16" s="37" t="s">
        <v>54</v>
      </c>
      <c r="T16" s="37" t="s">
        <v>55</v>
      </c>
      <c r="U16" s="37" t="s">
        <v>56</v>
      </c>
      <c r="V16" s="37" t="s">
        <v>57</v>
      </c>
      <c r="W16" s="37" t="s">
        <v>58</v>
      </c>
      <c r="X16" s="37" t="s">
        <v>59</v>
      </c>
      <c r="Y16" s="37" t="s">
        <v>60</v>
      </c>
      <c r="Z16" s="37" t="s">
        <v>61</v>
      </c>
      <c r="AA16" s="37" t="s">
        <v>62</v>
      </c>
      <c r="AB16" s="37" t="s">
        <v>63</v>
      </c>
      <c r="AC16" s="37" t="s">
        <v>64</v>
      </c>
      <c r="AD16" s="37" t="s">
        <v>65</v>
      </c>
      <c r="AE16" s="37" t="s">
        <v>66</v>
      </c>
      <c r="AF16" s="37" t="s">
        <v>67</v>
      </c>
      <c r="AG16" s="37" t="s">
        <v>68</v>
      </c>
      <c r="AH16" s="37" t="s">
        <v>69</v>
      </c>
      <c r="AI16" s="38"/>
      <c r="AJ16" s="39"/>
      <c r="AK16" s="39"/>
    </row>
    <row r="17" spans="1:37" ht="41.25" hidden="1" customHeight="1">
      <c r="A17" s="768"/>
      <c r="B17" s="768"/>
      <c r="C17" s="24" t="s">
        <v>70</v>
      </c>
      <c r="D17" s="19"/>
      <c r="E17" s="21"/>
      <c r="F17" s="21"/>
      <c r="G17" s="21"/>
      <c r="H17" s="19"/>
      <c r="I17" s="40" t="s">
        <v>71</v>
      </c>
      <c r="J17" s="40" t="s">
        <v>72</v>
      </c>
      <c r="K17" s="40" t="s">
        <v>73</v>
      </c>
      <c r="L17" s="40" t="s">
        <v>74</v>
      </c>
      <c r="M17" s="40" t="s">
        <v>74</v>
      </c>
      <c r="N17" s="40" t="s">
        <v>75</v>
      </c>
      <c r="O17" s="40" t="s">
        <v>76</v>
      </c>
      <c r="P17" s="40" t="s">
        <v>76</v>
      </c>
      <c r="Q17" s="40" t="s">
        <v>77</v>
      </c>
      <c r="R17" s="40" t="s">
        <v>77</v>
      </c>
      <c r="S17" s="40" t="s">
        <v>77</v>
      </c>
      <c r="T17" s="40" t="s">
        <v>77</v>
      </c>
      <c r="U17" s="40" t="s">
        <v>78</v>
      </c>
      <c r="V17" s="40" t="s">
        <v>79</v>
      </c>
      <c r="W17" s="40" t="s">
        <v>80</v>
      </c>
      <c r="X17" s="40" t="s">
        <v>81</v>
      </c>
      <c r="Y17" s="40" t="s">
        <v>82</v>
      </c>
      <c r="Z17" s="40" t="s">
        <v>79</v>
      </c>
      <c r="AA17" s="40" t="s">
        <v>83</v>
      </c>
      <c r="AB17" s="40" t="s">
        <v>76</v>
      </c>
      <c r="AC17" s="40" t="s">
        <v>79</v>
      </c>
      <c r="AD17" s="40" t="s">
        <v>79</v>
      </c>
      <c r="AE17" s="40" t="s">
        <v>81</v>
      </c>
      <c r="AF17" s="40" t="s">
        <v>77</v>
      </c>
      <c r="AG17" s="40" t="s">
        <v>81</v>
      </c>
      <c r="AH17" s="40" t="s">
        <v>77</v>
      </c>
      <c r="AI17" s="33"/>
      <c r="AJ17" s="7"/>
      <c r="AK17" s="7"/>
    </row>
    <row r="18" spans="1:37" ht="16.5" customHeight="1">
      <c r="A18" s="41" t="s">
        <v>84</v>
      </c>
      <c r="B18" s="42" t="s">
        <v>85</v>
      </c>
      <c r="C18" s="41" t="s">
        <v>86</v>
      </c>
      <c r="D18" s="42">
        <v>1</v>
      </c>
      <c r="E18" s="43"/>
      <c r="F18" s="43"/>
      <c r="G18" s="43"/>
      <c r="H18" s="42"/>
      <c r="I18" s="43"/>
      <c r="J18" s="43"/>
      <c r="K18" s="34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4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5"/>
      <c r="AJ18" s="7"/>
      <c r="AK18" s="7"/>
    </row>
    <row r="19" spans="1:37" ht="27" customHeight="1">
      <c r="A19" s="46">
        <v>1</v>
      </c>
      <c r="B19" s="47" t="s">
        <v>87</v>
      </c>
      <c r="C19" s="48" t="s">
        <v>88</v>
      </c>
      <c r="D19" s="46"/>
      <c r="E19" s="49"/>
      <c r="F19" s="758" t="s">
        <v>2529</v>
      </c>
      <c r="G19" s="49"/>
      <c r="H19" s="46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1"/>
      <c r="AJ19" s="7"/>
      <c r="AK19" s="7"/>
    </row>
    <row r="20" spans="1:37" ht="20.25" customHeight="1">
      <c r="A20" s="52"/>
      <c r="B20" s="53" t="s">
        <v>89</v>
      </c>
      <c r="C20" s="54" t="s">
        <v>90</v>
      </c>
      <c r="D20" s="17" t="s">
        <v>91</v>
      </c>
      <c r="E20" s="55" t="s">
        <v>92</v>
      </c>
      <c r="F20" s="758" t="s">
        <v>2529</v>
      </c>
      <c r="G20" s="22" t="s">
        <v>93</v>
      </c>
      <c r="H20" s="56">
        <f t="shared" ref="H20:H37" si="0">AI20</f>
        <v>321</v>
      </c>
      <c r="I20" s="57">
        <v>2</v>
      </c>
      <c r="J20" s="57">
        <v>55</v>
      </c>
      <c r="K20" s="57">
        <v>135</v>
      </c>
      <c r="L20" s="57"/>
      <c r="M20" s="57">
        <v>3</v>
      </c>
      <c r="N20" s="57"/>
      <c r="O20" s="57">
        <v>5</v>
      </c>
      <c r="P20" s="57">
        <v>54</v>
      </c>
      <c r="Q20" s="57">
        <v>8</v>
      </c>
      <c r="R20" s="57">
        <v>6</v>
      </c>
      <c r="S20" s="57">
        <v>2</v>
      </c>
      <c r="T20" s="57">
        <v>1</v>
      </c>
      <c r="U20" s="57"/>
      <c r="V20" s="57">
        <v>7</v>
      </c>
      <c r="W20" s="57">
        <v>1</v>
      </c>
      <c r="X20" s="57">
        <v>2</v>
      </c>
      <c r="Y20" s="57">
        <v>29</v>
      </c>
      <c r="Z20" s="57">
        <v>8</v>
      </c>
      <c r="AA20" s="57"/>
      <c r="AB20" s="57">
        <v>2</v>
      </c>
      <c r="AC20" s="57"/>
      <c r="AD20" s="57"/>
      <c r="AE20" s="57"/>
      <c r="AF20" s="57"/>
      <c r="AG20" s="57"/>
      <c r="AH20" s="57">
        <v>1</v>
      </c>
      <c r="AI20" s="51">
        <f t="shared" ref="AI20:AI274" si="1">+SUM(I20:AH20)</f>
        <v>321</v>
      </c>
      <c r="AJ20" s="7"/>
      <c r="AK20" s="7"/>
    </row>
    <row r="21" spans="1:37" ht="20.25" customHeight="1">
      <c r="A21" s="58"/>
      <c r="B21" s="59" t="s">
        <v>94</v>
      </c>
      <c r="C21" s="60" t="s">
        <v>95</v>
      </c>
      <c r="D21" s="61" t="s">
        <v>91</v>
      </c>
      <c r="E21" s="62"/>
      <c r="F21" s="758" t="s">
        <v>2529</v>
      </c>
      <c r="G21" s="37"/>
      <c r="H21" s="56">
        <f t="shared" si="0"/>
        <v>0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1">
        <f t="shared" si="1"/>
        <v>0</v>
      </c>
      <c r="AJ21" s="7"/>
      <c r="AK21" s="7"/>
    </row>
    <row r="22" spans="1:37" ht="20.25" customHeight="1">
      <c r="A22" s="58"/>
      <c r="B22" s="59" t="s">
        <v>96</v>
      </c>
      <c r="C22" s="60" t="s">
        <v>97</v>
      </c>
      <c r="D22" s="61" t="s">
        <v>91</v>
      </c>
      <c r="E22" s="62"/>
      <c r="F22" s="758" t="s">
        <v>2529</v>
      </c>
      <c r="G22" s="37"/>
      <c r="H22" s="56">
        <f t="shared" si="0"/>
        <v>0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1">
        <f t="shared" si="1"/>
        <v>0</v>
      </c>
      <c r="AJ22" s="7"/>
      <c r="AK22" s="7"/>
    </row>
    <row r="23" spans="1:37" ht="20.25" customHeight="1">
      <c r="A23" s="58"/>
      <c r="B23" s="59" t="s">
        <v>98</v>
      </c>
      <c r="C23" s="60" t="s">
        <v>99</v>
      </c>
      <c r="D23" s="61" t="s">
        <v>91</v>
      </c>
      <c r="E23" s="62"/>
      <c r="F23" s="758" t="s">
        <v>2529</v>
      </c>
      <c r="G23" s="37"/>
      <c r="H23" s="56">
        <f t="shared" si="0"/>
        <v>0</v>
      </c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1">
        <f t="shared" si="1"/>
        <v>0</v>
      </c>
      <c r="AJ23" s="7"/>
      <c r="AK23" s="7"/>
    </row>
    <row r="24" spans="1:37" ht="20.25" customHeight="1">
      <c r="A24" s="58"/>
      <c r="B24" s="59" t="s">
        <v>100</v>
      </c>
      <c r="C24" s="60" t="s">
        <v>101</v>
      </c>
      <c r="D24" s="61" t="s">
        <v>91</v>
      </c>
      <c r="E24" s="62"/>
      <c r="F24" s="758" t="s">
        <v>2529</v>
      </c>
      <c r="G24" s="37"/>
      <c r="H24" s="56">
        <f t="shared" si="0"/>
        <v>0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1">
        <f t="shared" si="1"/>
        <v>0</v>
      </c>
      <c r="AJ24" s="7"/>
      <c r="AK24" s="7"/>
    </row>
    <row r="25" spans="1:37" ht="20.25" customHeight="1">
      <c r="A25" s="52"/>
      <c r="B25" s="53" t="s">
        <v>102</v>
      </c>
      <c r="C25" s="54" t="s">
        <v>103</v>
      </c>
      <c r="D25" s="17" t="s">
        <v>91</v>
      </c>
      <c r="E25" s="55" t="s">
        <v>104</v>
      </c>
      <c r="F25" s="758" t="s">
        <v>2529</v>
      </c>
      <c r="G25" s="22" t="s">
        <v>93</v>
      </c>
      <c r="H25" s="56">
        <f t="shared" si="0"/>
        <v>24</v>
      </c>
      <c r="I25" s="57"/>
      <c r="J25" s="57">
        <v>3</v>
      </c>
      <c r="K25" s="57">
        <v>16</v>
      </c>
      <c r="L25" s="57"/>
      <c r="M25" s="57"/>
      <c r="N25" s="57"/>
      <c r="O25" s="57"/>
      <c r="P25" s="57">
        <v>0</v>
      </c>
      <c r="Q25" s="57"/>
      <c r="R25" s="57">
        <v>4</v>
      </c>
      <c r="S25" s="57"/>
      <c r="T25" s="57"/>
      <c r="U25" s="57">
        <v>1</v>
      </c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1">
        <f t="shared" si="1"/>
        <v>24</v>
      </c>
      <c r="AJ25" s="7"/>
      <c r="AK25" s="7"/>
    </row>
    <row r="26" spans="1:37" ht="20.25" hidden="1" customHeight="1">
      <c r="A26" s="58"/>
      <c r="B26" s="59" t="s">
        <v>105</v>
      </c>
      <c r="C26" s="60" t="s">
        <v>95</v>
      </c>
      <c r="D26" s="61" t="s">
        <v>91</v>
      </c>
      <c r="E26" s="62"/>
      <c r="F26" s="758" t="s">
        <v>2529</v>
      </c>
      <c r="G26" s="37"/>
      <c r="H26" s="56">
        <f t="shared" si="0"/>
        <v>0</v>
      </c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1">
        <f t="shared" si="1"/>
        <v>0</v>
      </c>
      <c r="AJ26" s="7"/>
      <c r="AK26" s="7"/>
    </row>
    <row r="27" spans="1:37" ht="20.25" hidden="1" customHeight="1">
      <c r="A27" s="58"/>
      <c r="B27" s="59" t="s">
        <v>106</v>
      </c>
      <c r="C27" s="60" t="s">
        <v>97</v>
      </c>
      <c r="D27" s="61" t="s">
        <v>91</v>
      </c>
      <c r="E27" s="62"/>
      <c r="F27" s="758" t="s">
        <v>2529</v>
      </c>
      <c r="G27" s="37"/>
      <c r="H27" s="56">
        <f t="shared" si="0"/>
        <v>0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1">
        <f t="shared" si="1"/>
        <v>0</v>
      </c>
      <c r="AJ27" s="7"/>
      <c r="AK27" s="7"/>
    </row>
    <row r="28" spans="1:37" ht="20.25" hidden="1" customHeight="1">
      <c r="A28" s="58"/>
      <c r="B28" s="59" t="s">
        <v>107</v>
      </c>
      <c r="C28" s="60" t="s">
        <v>99</v>
      </c>
      <c r="D28" s="61" t="s">
        <v>91</v>
      </c>
      <c r="E28" s="62"/>
      <c r="F28" s="758" t="s">
        <v>2529</v>
      </c>
      <c r="G28" s="37"/>
      <c r="H28" s="56">
        <f t="shared" si="0"/>
        <v>0</v>
      </c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1">
        <f t="shared" si="1"/>
        <v>0</v>
      </c>
      <c r="AJ28" s="7"/>
      <c r="AK28" s="7"/>
    </row>
    <row r="29" spans="1:37" ht="20.25" hidden="1" customHeight="1">
      <c r="A29" s="58"/>
      <c r="B29" s="59" t="s">
        <v>108</v>
      </c>
      <c r="C29" s="60" t="s">
        <v>101</v>
      </c>
      <c r="D29" s="61" t="s">
        <v>91</v>
      </c>
      <c r="E29" s="62"/>
      <c r="F29" s="758" t="s">
        <v>2529</v>
      </c>
      <c r="G29" s="37"/>
      <c r="H29" s="56">
        <f t="shared" si="0"/>
        <v>0</v>
      </c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1">
        <f t="shared" si="1"/>
        <v>0</v>
      </c>
      <c r="AJ29" s="7"/>
      <c r="AK29" s="7"/>
    </row>
    <row r="30" spans="1:37" ht="20.25" customHeight="1">
      <c r="A30" s="52"/>
      <c r="B30" s="53" t="s">
        <v>109</v>
      </c>
      <c r="C30" s="54" t="s">
        <v>110</v>
      </c>
      <c r="D30" s="17" t="s">
        <v>91</v>
      </c>
      <c r="E30" s="55" t="s">
        <v>111</v>
      </c>
      <c r="F30" s="758" t="s">
        <v>2529</v>
      </c>
      <c r="G30" s="22" t="s">
        <v>93</v>
      </c>
      <c r="H30" s="56">
        <f t="shared" si="0"/>
        <v>1978</v>
      </c>
      <c r="I30" s="57">
        <v>1</v>
      </c>
      <c r="J30" s="57">
        <v>19</v>
      </c>
      <c r="K30" s="57">
        <v>88</v>
      </c>
      <c r="L30" s="57">
        <v>4</v>
      </c>
      <c r="M30" s="57">
        <v>10</v>
      </c>
      <c r="N30" s="57"/>
      <c r="O30" s="57"/>
      <c r="P30" s="57">
        <v>42</v>
      </c>
      <c r="Q30" s="57"/>
      <c r="R30" s="57">
        <v>8</v>
      </c>
      <c r="S30" s="57">
        <v>15</v>
      </c>
      <c r="T30" s="57"/>
      <c r="U30" s="57"/>
      <c r="V30" s="57">
        <v>2</v>
      </c>
      <c r="W30" s="57">
        <v>10</v>
      </c>
      <c r="X30" s="57">
        <v>67</v>
      </c>
      <c r="Y30" s="57">
        <v>1609</v>
      </c>
      <c r="Z30" s="57">
        <v>41</v>
      </c>
      <c r="AA30" s="57">
        <v>6</v>
      </c>
      <c r="AB30" s="57">
        <v>2</v>
      </c>
      <c r="AC30" s="57">
        <v>52</v>
      </c>
      <c r="AD30" s="57"/>
      <c r="AE30" s="57"/>
      <c r="AF30" s="57"/>
      <c r="AG30" s="57"/>
      <c r="AH30" s="57">
        <v>2</v>
      </c>
      <c r="AI30" s="51">
        <f t="shared" si="1"/>
        <v>1978</v>
      </c>
      <c r="AJ30" s="7"/>
      <c r="AK30" s="7"/>
    </row>
    <row r="31" spans="1:37" ht="20.25" hidden="1" customHeight="1">
      <c r="A31" s="58" t="s">
        <v>112</v>
      </c>
      <c r="B31" s="59" t="s">
        <v>113</v>
      </c>
      <c r="C31" s="60" t="s">
        <v>95</v>
      </c>
      <c r="D31" s="61" t="s">
        <v>91</v>
      </c>
      <c r="E31" s="62"/>
      <c r="F31" s="758" t="s">
        <v>2529</v>
      </c>
      <c r="G31" s="37"/>
      <c r="H31" s="56">
        <f t="shared" si="0"/>
        <v>0</v>
      </c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1">
        <f t="shared" si="1"/>
        <v>0</v>
      </c>
      <c r="AJ31" s="7"/>
      <c r="AK31" s="7"/>
    </row>
    <row r="32" spans="1:37" ht="20.25" hidden="1" customHeight="1">
      <c r="A32" s="58" t="s">
        <v>114</v>
      </c>
      <c r="B32" s="59" t="s">
        <v>115</v>
      </c>
      <c r="C32" s="60" t="s">
        <v>97</v>
      </c>
      <c r="D32" s="61" t="s">
        <v>91</v>
      </c>
      <c r="E32" s="62"/>
      <c r="F32" s="758" t="s">
        <v>2529</v>
      </c>
      <c r="G32" s="37"/>
      <c r="H32" s="56">
        <f t="shared" si="0"/>
        <v>0</v>
      </c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1">
        <f t="shared" si="1"/>
        <v>0</v>
      </c>
      <c r="AJ32" s="7"/>
      <c r="AK32" s="7"/>
    </row>
    <row r="33" spans="1:37" ht="20.25" hidden="1" customHeight="1">
      <c r="A33" s="58" t="s">
        <v>116</v>
      </c>
      <c r="B33" s="59" t="s">
        <v>117</v>
      </c>
      <c r="C33" s="60" t="s">
        <v>99</v>
      </c>
      <c r="D33" s="61" t="s">
        <v>91</v>
      </c>
      <c r="E33" s="62"/>
      <c r="F33" s="758" t="s">
        <v>2529</v>
      </c>
      <c r="G33" s="37"/>
      <c r="H33" s="56">
        <f t="shared" si="0"/>
        <v>0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1">
        <f t="shared" si="1"/>
        <v>0</v>
      </c>
      <c r="AJ33" s="7"/>
      <c r="AK33" s="7"/>
    </row>
    <row r="34" spans="1:37" ht="20.25" hidden="1" customHeight="1">
      <c r="A34" s="58" t="s">
        <v>118</v>
      </c>
      <c r="B34" s="59" t="s">
        <v>119</v>
      </c>
      <c r="C34" s="60" t="s">
        <v>101</v>
      </c>
      <c r="D34" s="61" t="s">
        <v>91</v>
      </c>
      <c r="E34" s="62"/>
      <c r="F34" s="758" t="s">
        <v>2529</v>
      </c>
      <c r="G34" s="37"/>
      <c r="H34" s="56">
        <f t="shared" si="0"/>
        <v>0</v>
      </c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1">
        <f t="shared" si="1"/>
        <v>0</v>
      </c>
      <c r="AJ34" s="7"/>
      <c r="AK34" s="7"/>
    </row>
    <row r="35" spans="1:37" ht="20.25" customHeight="1">
      <c r="A35" s="52"/>
      <c r="B35" s="53" t="s">
        <v>120</v>
      </c>
      <c r="C35" s="54" t="s">
        <v>121</v>
      </c>
      <c r="D35" s="17" t="s">
        <v>122</v>
      </c>
      <c r="E35" s="55" t="s">
        <v>123</v>
      </c>
      <c r="F35" s="758" t="s">
        <v>2529</v>
      </c>
      <c r="G35" s="22" t="s">
        <v>124</v>
      </c>
      <c r="H35" s="56">
        <f t="shared" si="0"/>
        <v>65479</v>
      </c>
      <c r="I35" s="57"/>
      <c r="J35" s="57"/>
      <c r="K35" s="57">
        <v>6262</v>
      </c>
      <c r="L35" s="57"/>
      <c r="M35" s="57">
        <v>4473</v>
      </c>
      <c r="N35" s="57"/>
      <c r="O35" s="57"/>
      <c r="P35" s="57">
        <v>30000</v>
      </c>
      <c r="Q35" s="57"/>
      <c r="R35" s="57"/>
      <c r="S35" s="57"/>
      <c r="T35" s="57"/>
      <c r="U35" s="57"/>
      <c r="V35" s="57">
        <v>2300</v>
      </c>
      <c r="W35" s="57"/>
      <c r="X35" s="57"/>
      <c r="Y35" s="57"/>
      <c r="Z35" s="57">
        <v>4138</v>
      </c>
      <c r="AA35" s="57"/>
      <c r="AB35" s="57"/>
      <c r="AC35" s="57"/>
      <c r="AD35" s="57">
        <v>13396</v>
      </c>
      <c r="AE35" s="57"/>
      <c r="AF35" s="57">
        <v>3870</v>
      </c>
      <c r="AG35" s="57"/>
      <c r="AH35" s="57">
        <v>1040</v>
      </c>
      <c r="AI35" s="51">
        <f t="shared" si="1"/>
        <v>65479</v>
      </c>
      <c r="AJ35" s="7"/>
      <c r="AK35" s="7"/>
    </row>
    <row r="36" spans="1:37" ht="20.25" customHeight="1">
      <c r="A36" s="52"/>
      <c r="B36" s="53" t="s">
        <v>125</v>
      </c>
      <c r="C36" s="54" t="s">
        <v>126</v>
      </c>
      <c r="D36" s="17" t="s">
        <v>91</v>
      </c>
      <c r="E36" s="55" t="s">
        <v>127</v>
      </c>
      <c r="F36" s="758" t="s">
        <v>2529</v>
      </c>
      <c r="G36" s="22" t="s">
        <v>93</v>
      </c>
      <c r="H36" s="56">
        <f t="shared" si="0"/>
        <v>309399</v>
      </c>
      <c r="I36" s="57"/>
      <c r="J36" s="57"/>
      <c r="K36" s="57">
        <v>27315</v>
      </c>
      <c r="L36" s="57">
        <v>8000</v>
      </c>
      <c r="M36" s="57"/>
      <c r="N36" s="57"/>
      <c r="O36" s="57"/>
      <c r="P36" s="57">
        <v>123000</v>
      </c>
      <c r="Q36" s="57"/>
      <c r="R36" s="57"/>
      <c r="S36" s="57"/>
      <c r="T36" s="57"/>
      <c r="U36" s="57"/>
      <c r="V36" s="57"/>
      <c r="W36" s="57">
        <v>78455</v>
      </c>
      <c r="X36" s="57"/>
      <c r="Y36" s="57"/>
      <c r="Z36" s="57">
        <v>12293</v>
      </c>
      <c r="AA36" s="57"/>
      <c r="AB36" s="57"/>
      <c r="AC36" s="57"/>
      <c r="AD36" s="57">
        <v>46090</v>
      </c>
      <c r="AE36" s="57"/>
      <c r="AF36" s="57">
        <v>9907</v>
      </c>
      <c r="AG36" s="57"/>
      <c r="AH36" s="57">
        <v>4339</v>
      </c>
      <c r="AI36" s="51">
        <f t="shared" si="1"/>
        <v>309399</v>
      </c>
      <c r="AJ36" s="7"/>
      <c r="AK36" s="7"/>
    </row>
    <row r="37" spans="1:37" ht="19.5" customHeight="1">
      <c r="A37" s="63">
        <v>2</v>
      </c>
      <c r="B37" s="64" t="s">
        <v>128</v>
      </c>
      <c r="C37" s="65" t="s">
        <v>129</v>
      </c>
      <c r="D37" s="66"/>
      <c r="E37" s="67"/>
      <c r="F37" s="67" t="s">
        <v>2528</v>
      </c>
      <c r="G37" s="68"/>
      <c r="H37" s="56">
        <f t="shared" si="0"/>
        <v>283294</v>
      </c>
      <c r="I37" s="57">
        <f t="shared" ref="I37:AH37" si="2">+SUM(I38:I53)</f>
        <v>545</v>
      </c>
      <c r="J37" s="57">
        <f t="shared" si="2"/>
        <v>1137</v>
      </c>
      <c r="K37" s="57">
        <f t="shared" si="2"/>
        <v>8478</v>
      </c>
      <c r="L37" s="57">
        <f t="shared" si="2"/>
        <v>1608</v>
      </c>
      <c r="M37" s="57">
        <f t="shared" si="2"/>
        <v>3568</v>
      </c>
      <c r="N37" s="57">
        <f t="shared" si="2"/>
        <v>16</v>
      </c>
      <c r="O37" s="57">
        <f t="shared" si="2"/>
        <v>1451</v>
      </c>
      <c r="P37" s="57">
        <f t="shared" si="2"/>
        <v>4194</v>
      </c>
      <c r="Q37" s="57">
        <f t="shared" si="2"/>
        <v>538</v>
      </c>
      <c r="R37" s="57">
        <f t="shared" si="2"/>
        <v>460</v>
      </c>
      <c r="S37" s="57">
        <f t="shared" si="2"/>
        <v>8634</v>
      </c>
      <c r="T37" s="57">
        <f t="shared" si="2"/>
        <v>22</v>
      </c>
      <c r="U37" s="57">
        <f t="shared" si="2"/>
        <v>546</v>
      </c>
      <c r="V37" s="57">
        <f t="shared" si="2"/>
        <v>747</v>
      </c>
      <c r="W37" s="57">
        <f t="shared" si="2"/>
        <v>0</v>
      </c>
      <c r="X37" s="57">
        <f t="shared" si="2"/>
        <v>111870</v>
      </c>
      <c r="Y37" s="57">
        <f t="shared" si="2"/>
        <v>103113</v>
      </c>
      <c r="Z37" s="57">
        <f t="shared" si="2"/>
        <v>21424</v>
      </c>
      <c r="AA37" s="57">
        <f t="shared" si="2"/>
        <v>3678</v>
      </c>
      <c r="AB37" s="57">
        <f t="shared" si="2"/>
        <v>338</v>
      </c>
      <c r="AC37" s="57">
        <f t="shared" si="2"/>
        <v>3772</v>
      </c>
      <c r="AD37" s="57">
        <f t="shared" si="2"/>
        <v>136</v>
      </c>
      <c r="AE37" s="57">
        <f t="shared" si="2"/>
        <v>1</v>
      </c>
      <c r="AF37" s="57">
        <f t="shared" si="2"/>
        <v>6576</v>
      </c>
      <c r="AG37" s="57">
        <f t="shared" si="2"/>
        <v>160</v>
      </c>
      <c r="AH37" s="57">
        <f t="shared" si="2"/>
        <v>282</v>
      </c>
      <c r="AI37" s="51">
        <f t="shared" si="1"/>
        <v>283294</v>
      </c>
      <c r="AJ37" s="7"/>
      <c r="AK37" s="7"/>
    </row>
    <row r="38" spans="1:37" ht="20.25" customHeight="1">
      <c r="A38" s="69"/>
      <c r="B38" s="70" t="s">
        <v>130</v>
      </c>
      <c r="C38" s="71" t="s">
        <v>131</v>
      </c>
      <c r="D38" s="72" t="s">
        <v>132</v>
      </c>
      <c r="E38" s="73" t="s">
        <v>133</v>
      </c>
      <c r="F38" s="67" t="s">
        <v>2528</v>
      </c>
      <c r="G38" s="72" t="s">
        <v>134</v>
      </c>
      <c r="H38" s="74">
        <f>+AI38</f>
        <v>4599</v>
      </c>
      <c r="I38" s="74">
        <v>28</v>
      </c>
      <c r="J38" s="74">
        <v>68</v>
      </c>
      <c r="K38" s="74">
        <v>849</v>
      </c>
      <c r="L38" s="74">
        <v>20</v>
      </c>
      <c r="M38" s="74">
        <v>20</v>
      </c>
      <c r="N38" s="74"/>
      <c r="O38" s="74">
        <v>72</v>
      </c>
      <c r="P38" s="74">
        <f>193+122+9+2</f>
        <v>326</v>
      </c>
      <c r="Q38" s="74">
        <v>50</v>
      </c>
      <c r="R38" s="74">
        <v>19</v>
      </c>
      <c r="S38" s="74"/>
      <c r="T38" s="74"/>
      <c r="U38" s="74">
        <v>23</v>
      </c>
      <c r="V38" s="74">
        <v>6</v>
      </c>
      <c r="W38" s="74"/>
      <c r="X38" s="74"/>
      <c r="Y38" s="74">
        <v>254</v>
      </c>
      <c r="Z38" s="74">
        <v>2563</v>
      </c>
      <c r="AA38" s="74"/>
      <c r="AB38" s="74">
        <v>6</v>
      </c>
      <c r="AC38" s="74"/>
      <c r="AD38" s="74">
        <v>21</v>
      </c>
      <c r="AE38" s="74"/>
      <c r="AF38" s="74">
        <v>252</v>
      </c>
      <c r="AG38" s="74"/>
      <c r="AH38" s="74">
        <v>22</v>
      </c>
      <c r="AI38" s="75">
        <f t="shared" si="1"/>
        <v>4599</v>
      </c>
      <c r="AJ38" s="7"/>
      <c r="AK38" s="7"/>
    </row>
    <row r="39" spans="1:37" ht="20.25" hidden="1" customHeight="1">
      <c r="A39" s="69"/>
      <c r="B39" s="76" t="s">
        <v>135</v>
      </c>
      <c r="C39" s="77" t="s">
        <v>136</v>
      </c>
      <c r="D39" s="72" t="s">
        <v>132</v>
      </c>
      <c r="E39" s="73"/>
      <c r="F39" s="67" t="s">
        <v>2528</v>
      </c>
      <c r="G39" s="72"/>
      <c r="H39" s="74">
        <f t="shared" ref="H39:H42" si="3">AI39</f>
        <v>0</v>
      </c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5">
        <f t="shared" si="1"/>
        <v>0</v>
      </c>
      <c r="AJ39" s="7"/>
      <c r="AK39" s="7"/>
    </row>
    <row r="40" spans="1:37" ht="20.25" hidden="1" customHeight="1">
      <c r="A40" s="69"/>
      <c r="B40" s="76" t="s">
        <v>137</v>
      </c>
      <c r="C40" s="77" t="s">
        <v>138</v>
      </c>
      <c r="D40" s="72" t="s">
        <v>132</v>
      </c>
      <c r="E40" s="73"/>
      <c r="F40" s="67" t="s">
        <v>2528</v>
      </c>
      <c r="G40" s="72"/>
      <c r="H40" s="74">
        <f t="shared" si="3"/>
        <v>0</v>
      </c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5">
        <f t="shared" si="1"/>
        <v>0</v>
      </c>
      <c r="AJ40" s="7"/>
      <c r="AK40" s="7"/>
    </row>
    <row r="41" spans="1:37" ht="20.25" hidden="1" customHeight="1">
      <c r="A41" s="69"/>
      <c r="B41" s="76" t="s">
        <v>139</v>
      </c>
      <c r="C41" s="77" t="s">
        <v>140</v>
      </c>
      <c r="D41" s="72" t="s">
        <v>132</v>
      </c>
      <c r="E41" s="73"/>
      <c r="F41" s="67" t="s">
        <v>2528</v>
      </c>
      <c r="G41" s="72"/>
      <c r="H41" s="74">
        <f t="shared" si="3"/>
        <v>0</v>
      </c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5">
        <f t="shared" si="1"/>
        <v>0</v>
      </c>
      <c r="AJ41" s="7"/>
      <c r="AK41" s="7"/>
    </row>
    <row r="42" spans="1:37" ht="20.25" hidden="1" customHeight="1">
      <c r="A42" s="69"/>
      <c r="B42" s="76" t="s">
        <v>141</v>
      </c>
      <c r="C42" s="77" t="s">
        <v>142</v>
      </c>
      <c r="D42" s="72" t="s">
        <v>132</v>
      </c>
      <c r="E42" s="73"/>
      <c r="F42" s="67" t="s">
        <v>2528</v>
      </c>
      <c r="G42" s="72"/>
      <c r="H42" s="74">
        <f t="shared" si="3"/>
        <v>0</v>
      </c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5">
        <f t="shared" si="1"/>
        <v>0</v>
      </c>
      <c r="AJ42" s="7"/>
      <c r="AK42" s="7"/>
    </row>
    <row r="43" spans="1:37" ht="28.5" customHeight="1">
      <c r="A43" s="69"/>
      <c r="B43" s="70" t="s">
        <v>143</v>
      </c>
      <c r="C43" s="71" t="s">
        <v>144</v>
      </c>
      <c r="D43" s="72" t="s">
        <v>132</v>
      </c>
      <c r="E43" s="73" t="s">
        <v>145</v>
      </c>
      <c r="F43" s="67" t="s">
        <v>2528</v>
      </c>
      <c r="G43" s="72" t="s">
        <v>134</v>
      </c>
      <c r="H43" s="74">
        <f>+AI43</f>
        <v>1898</v>
      </c>
      <c r="I43" s="74" t="s">
        <v>146</v>
      </c>
      <c r="J43" s="74">
        <v>265</v>
      </c>
      <c r="K43" s="74">
        <v>469</v>
      </c>
      <c r="L43" s="74"/>
      <c r="M43" s="74"/>
      <c r="N43" s="74"/>
      <c r="O43" s="74">
        <v>64</v>
      </c>
      <c r="P43" s="74">
        <f>279+261+53</f>
        <v>593</v>
      </c>
      <c r="Q43" s="74"/>
      <c r="R43" s="74">
        <v>15</v>
      </c>
      <c r="S43" s="74"/>
      <c r="T43" s="74"/>
      <c r="U43" s="74">
        <v>4</v>
      </c>
      <c r="V43" s="74"/>
      <c r="W43" s="74"/>
      <c r="X43" s="74"/>
      <c r="Y43" s="74"/>
      <c r="Z43" s="74">
        <v>115</v>
      </c>
      <c r="AA43" s="74"/>
      <c r="AB43" s="74">
        <v>31</v>
      </c>
      <c r="AC43" s="74"/>
      <c r="AD43" s="74">
        <v>1</v>
      </c>
      <c r="AE43" s="74"/>
      <c r="AF43" s="74">
        <v>340</v>
      </c>
      <c r="AG43" s="74"/>
      <c r="AH43" s="74">
        <v>1</v>
      </c>
      <c r="AI43" s="75">
        <f t="shared" si="1"/>
        <v>1898</v>
      </c>
      <c r="AJ43" s="7"/>
      <c r="AK43" s="7"/>
    </row>
    <row r="44" spans="1:37" ht="20.25" hidden="1" customHeight="1">
      <c r="A44" s="69"/>
      <c r="B44" s="76" t="s">
        <v>147</v>
      </c>
      <c r="C44" s="77" t="s">
        <v>136</v>
      </c>
      <c r="D44" s="72" t="s">
        <v>132</v>
      </c>
      <c r="E44" s="73"/>
      <c r="F44" s="67" t="s">
        <v>2528</v>
      </c>
      <c r="G44" s="72"/>
      <c r="H44" s="74">
        <f t="shared" ref="H44:H298" si="4">AI44</f>
        <v>0</v>
      </c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5">
        <f t="shared" si="1"/>
        <v>0</v>
      </c>
      <c r="AJ44" s="7"/>
      <c r="AK44" s="7"/>
    </row>
    <row r="45" spans="1:37" ht="20.25" hidden="1" customHeight="1">
      <c r="A45" s="69"/>
      <c r="B45" s="76" t="s">
        <v>148</v>
      </c>
      <c r="C45" s="77" t="s">
        <v>138</v>
      </c>
      <c r="D45" s="72" t="s">
        <v>132</v>
      </c>
      <c r="E45" s="73"/>
      <c r="F45" s="67" t="s">
        <v>2528</v>
      </c>
      <c r="G45" s="72"/>
      <c r="H45" s="74">
        <f t="shared" si="4"/>
        <v>0</v>
      </c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5">
        <f t="shared" si="1"/>
        <v>0</v>
      </c>
      <c r="AJ45" s="7"/>
      <c r="AK45" s="7"/>
    </row>
    <row r="46" spans="1:37" ht="20.25" hidden="1" customHeight="1">
      <c r="A46" s="69"/>
      <c r="B46" s="76" t="s">
        <v>149</v>
      </c>
      <c r="C46" s="77" t="s">
        <v>140</v>
      </c>
      <c r="D46" s="72" t="s">
        <v>132</v>
      </c>
      <c r="E46" s="73"/>
      <c r="F46" s="67" t="s">
        <v>2528</v>
      </c>
      <c r="G46" s="72"/>
      <c r="H46" s="74">
        <f t="shared" si="4"/>
        <v>0</v>
      </c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5">
        <f t="shared" si="1"/>
        <v>0</v>
      </c>
      <c r="AJ46" s="7"/>
      <c r="AK46" s="7"/>
    </row>
    <row r="47" spans="1:37" ht="20.25" hidden="1" customHeight="1">
      <c r="A47" s="69"/>
      <c r="B47" s="76" t="s">
        <v>150</v>
      </c>
      <c r="C47" s="77" t="s">
        <v>142</v>
      </c>
      <c r="D47" s="72" t="s">
        <v>132</v>
      </c>
      <c r="E47" s="73"/>
      <c r="F47" s="67" t="s">
        <v>2528</v>
      </c>
      <c r="G47" s="72"/>
      <c r="H47" s="74">
        <f t="shared" si="4"/>
        <v>0</v>
      </c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5">
        <f t="shared" si="1"/>
        <v>0</v>
      </c>
      <c r="AJ47" s="7"/>
      <c r="AK47" s="7"/>
    </row>
    <row r="48" spans="1:37" ht="20.25" customHeight="1">
      <c r="A48" s="69"/>
      <c r="B48" s="70" t="s">
        <v>151</v>
      </c>
      <c r="C48" s="71" t="s">
        <v>152</v>
      </c>
      <c r="D48" s="72" t="s">
        <v>132</v>
      </c>
      <c r="E48" s="73" t="s">
        <v>153</v>
      </c>
      <c r="F48" s="67" t="s">
        <v>2528</v>
      </c>
      <c r="G48" s="72" t="s">
        <v>134</v>
      </c>
      <c r="H48" s="74">
        <f t="shared" si="4"/>
        <v>3913</v>
      </c>
      <c r="I48" s="74">
        <v>138</v>
      </c>
      <c r="J48" s="74">
        <v>89</v>
      </c>
      <c r="K48" s="74">
        <v>1116</v>
      </c>
      <c r="L48" s="74"/>
      <c r="M48" s="74"/>
      <c r="N48" s="74">
        <v>1</v>
      </c>
      <c r="O48" s="74">
        <v>47</v>
      </c>
      <c r="P48" s="74">
        <f>236+128+13+3</f>
        <v>380</v>
      </c>
      <c r="Q48" s="74">
        <v>121</v>
      </c>
      <c r="R48" s="74">
        <v>14</v>
      </c>
      <c r="S48" s="74"/>
      <c r="T48" s="74"/>
      <c r="U48" s="74">
        <v>4</v>
      </c>
      <c r="V48" s="74">
        <v>151</v>
      </c>
      <c r="W48" s="74"/>
      <c r="X48" s="74"/>
      <c r="Y48" s="74"/>
      <c r="Z48" s="74">
        <v>983</v>
      </c>
      <c r="AA48" s="74"/>
      <c r="AB48" s="74">
        <v>52</v>
      </c>
      <c r="AC48" s="74"/>
      <c r="AD48" s="74">
        <v>22</v>
      </c>
      <c r="AE48" s="74">
        <v>1</v>
      </c>
      <c r="AF48" s="74">
        <v>791</v>
      </c>
      <c r="AG48" s="74"/>
      <c r="AH48" s="74">
        <v>3</v>
      </c>
      <c r="AI48" s="75">
        <f t="shared" si="1"/>
        <v>3913</v>
      </c>
      <c r="AJ48" s="7"/>
      <c r="AK48" s="7"/>
    </row>
    <row r="49" spans="1:37" ht="20.25" hidden="1" customHeight="1">
      <c r="A49" s="69"/>
      <c r="B49" s="76" t="s">
        <v>154</v>
      </c>
      <c r="C49" s="77" t="s">
        <v>136</v>
      </c>
      <c r="D49" s="72" t="s">
        <v>132</v>
      </c>
      <c r="E49" s="73"/>
      <c r="F49" s="67" t="s">
        <v>2528</v>
      </c>
      <c r="G49" s="72"/>
      <c r="H49" s="74">
        <f t="shared" si="4"/>
        <v>0</v>
      </c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5">
        <f t="shared" si="1"/>
        <v>0</v>
      </c>
      <c r="AJ49" s="7"/>
      <c r="AK49" s="7"/>
    </row>
    <row r="50" spans="1:37" ht="20.25" hidden="1" customHeight="1">
      <c r="A50" s="69"/>
      <c r="B50" s="76" t="s">
        <v>155</v>
      </c>
      <c r="C50" s="77" t="s">
        <v>138</v>
      </c>
      <c r="D50" s="72" t="s">
        <v>132</v>
      </c>
      <c r="E50" s="73"/>
      <c r="F50" s="67" t="s">
        <v>2528</v>
      </c>
      <c r="G50" s="72"/>
      <c r="H50" s="74">
        <f t="shared" si="4"/>
        <v>0</v>
      </c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5">
        <f t="shared" si="1"/>
        <v>0</v>
      </c>
      <c r="AJ50" s="7"/>
      <c r="AK50" s="7"/>
    </row>
    <row r="51" spans="1:37" ht="20.25" hidden="1" customHeight="1">
      <c r="A51" s="69"/>
      <c r="B51" s="76" t="s">
        <v>156</v>
      </c>
      <c r="C51" s="77" t="s">
        <v>140</v>
      </c>
      <c r="D51" s="72" t="s">
        <v>132</v>
      </c>
      <c r="E51" s="73"/>
      <c r="F51" s="67" t="s">
        <v>2528</v>
      </c>
      <c r="G51" s="72"/>
      <c r="H51" s="74">
        <f t="shared" si="4"/>
        <v>0</v>
      </c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5">
        <f t="shared" si="1"/>
        <v>0</v>
      </c>
      <c r="AJ51" s="7"/>
      <c r="AK51" s="7"/>
    </row>
    <row r="52" spans="1:37" ht="20.25" hidden="1" customHeight="1">
      <c r="A52" s="69"/>
      <c r="B52" s="76" t="s">
        <v>157</v>
      </c>
      <c r="C52" s="77" t="s">
        <v>142</v>
      </c>
      <c r="D52" s="72" t="s">
        <v>132</v>
      </c>
      <c r="E52" s="73"/>
      <c r="F52" s="67" t="s">
        <v>2528</v>
      </c>
      <c r="G52" s="72"/>
      <c r="H52" s="74">
        <f t="shared" si="4"/>
        <v>0</v>
      </c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5">
        <f t="shared" si="1"/>
        <v>0</v>
      </c>
      <c r="AJ52" s="7"/>
      <c r="AK52" s="7"/>
    </row>
    <row r="53" spans="1:37" ht="21" customHeight="1">
      <c r="A53" s="69"/>
      <c r="B53" s="76" t="s">
        <v>158</v>
      </c>
      <c r="C53" s="71" t="s">
        <v>159</v>
      </c>
      <c r="D53" s="72" t="s">
        <v>132</v>
      </c>
      <c r="E53" s="73" t="s">
        <v>160</v>
      </c>
      <c r="F53" s="67" t="s">
        <v>2528</v>
      </c>
      <c r="G53" s="72" t="s">
        <v>134</v>
      </c>
      <c r="H53" s="74">
        <f t="shared" si="4"/>
        <v>272884</v>
      </c>
      <c r="I53" s="74">
        <f>362+17</f>
        <v>379</v>
      </c>
      <c r="J53" s="74">
        <v>715</v>
      </c>
      <c r="K53" s="78">
        <v>6044</v>
      </c>
      <c r="L53" s="74">
        <v>1588</v>
      </c>
      <c r="M53" s="74">
        <f>2709+839</f>
        <v>3548</v>
      </c>
      <c r="N53" s="74">
        <v>15</v>
      </c>
      <c r="O53" s="74">
        <v>1268</v>
      </c>
      <c r="P53" s="74">
        <f>1777+957+153+8</f>
        <v>2895</v>
      </c>
      <c r="Q53" s="74">
        <v>367</v>
      </c>
      <c r="R53" s="74">
        <v>412</v>
      </c>
      <c r="S53" s="74">
        <v>8634</v>
      </c>
      <c r="T53" s="74">
        <f>7+13+2</f>
        <v>22</v>
      </c>
      <c r="U53" s="74">
        <v>515</v>
      </c>
      <c r="V53" s="74">
        <v>590</v>
      </c>
      <c r="W53" s="74"/>
      <c r="X53" s="74">
        <v>111870</v>
      </c>
      <c r="Y53" s="74">
        <v>102859</v>
      </c>
      <c r="Z53" s="74">
        <v>17763</v>
      </c>
      <c r="AA53" s="74">
        <v>3678</v>
      </c>
      <c r="AB53" s="74">
        <v>249</v>
      </c>
      <c r="AC53" s="74">
        <v>3772</v>
      </c>
      <c r="AD53" s="74">
        <v>92</v>
      </c>
      <c r="AE53" s="74"/>
      <c r="AF53" s="74">
        <v>5193</v>
      </c>
      <c r="AG53" s="74">
        <v>160</v>
      </c>
      <c r="AH53" s="74">
        <v>256</v>
      </c>
      <c r="AI53" s="75">
        <f t="shared" si="1"/>
        <v>272884</v>
      </c>
      <c r="AJ53" s="7"/>
      <c r="AK53" s="7"/>
    </row>
    <row r="54" spans="1:37" ht="20.25" hidden="1" customHeight="1">
      <c r="A54" s="69"/>
      <c r="B54" s="76" t="s">
        <v>161</v>
      </c>
      <c r="C54" s="77" t="s">
        <v>136</v>
      </c>
      <c r="D54" s="72" t="s">
        <v>132</v>
      </c>
      <c r="E54" s="73"/>
      <c r="F54" s="67" t="s">
        <v>2528</v>
      </c>
      <c r="G54" s="72"/>
      <c r="H54" s="79">
        <f t="shared" si="4"/>
        <v>0</v>
      </c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51">
        <f t="shared" si="1"/>
        <v>0</v>
      </c>
      <c r="AJ54" s="7"/>
      <c r="AK54" s="7"/>
    </row>
    <row r="55" spans="1:37" ht="20.25" hidden="1" customHeight="1">
      <c r="A55" s="69"/>
      <c r="B55" s="76" t="s">
        <v>162</v>
      </c>
      <c r="C55" s="77" t="s">
        <v>138</v>
      </c>
      <c r="D55" s="72" t="s">
        <v>132</v>
      </c>
      <c r="E55" s="73"/>
      <c r="F55" s="67" t="s">
        <v>2528</v>
      </c>
      <c r="G55" s="72"/>
      <c r="H55" s="79">
        <f t="shared" si="4"/>
        <v>0</v>
      </c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51">
        <f t="shared" si="1"/>
        <v>0</v>
      </c>
      <c r="AJ55" s="7"/>
      <c r="AK55" s="7"/>
    </row>
    <row r="56" spans="1:37" ht="20.25" hidden="1" customHeight="1">
      <c r="A56" s="69"/>
      <c r="B56" s="76" t="s">
        <v>163</v>
      </c>
      <c r="C56" s="77" t="s">
        <v>140</v>
      </c>
      <c r="D56" s="72" t="s">
        <v>132</v>
      </c>
      <c r="E56" s="73"/>
      <c r="F56" s="67" t="s">
        <v>2528</v>
      </c>
      <c r="G56" s="72"/>
      <c r="H56" s="79">
        <f t="shared" si="4"/>
        <v>0</v>
      </c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51">
        <f t="shared" si="1"/>
        <v>0</v>
      </c>
      <c r="AJ56" s="7"/>
      <c r="AK56" s="7"/>
    </row>
    <row r="57" spans="1:37" ht="20.25" hidden="1" customHeight="1">
      <c r="A57" s="69"/>
      <c r="B57" s="76" t="s">
        <v>164</v>
      </c>
      <c r="C57" s="77" t="s">
        <v>142</v>
      </c>
      <c r="D57" s="72" t="s">
        <v>132</v>
      </c>
      <c r="E57" s="73"/>
      <c r="F57" s="67" t="s">
        <v>2528</v>
      </c>
      <c r="G57" s="72"/>
      <c r="H57" s="79">
        <f t="shared" si="4"/>
        <v>0</v>
      </c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51">
        <f t="shared" si="1"/>
        <v>0</v>
      </c>
      <c r="AJ57" s="7"/>
      <c r="AK57" s="7"/>
    </row>
    <row r="58" spans="1:37" ht="29.25" customHeight="1">
      <c r="A58" s="69"/>
      <c r="B58" s="70" t="s">
        <v>165</v>
      </c>
      <c r="C58" s="71" t="s">
        <v>166</v>
      </c>
      <c r="D58" s="72" t="s">
        <v>132</v>
      </c>
      <c r="E58" s="80" t="s">
        <v>167</v>
      </c>
      <c r="F58" s="67" t="s">
        <v>2528</v>
      </c>
      <c r="G58" s="81" t="s">
        <v>134</v>
      </c>
      <c r="H58" s="74">
        <f t="shared" si="4"/>
        <v>122415</v>
      </c>
      <c r="I58" s="74">
        <v>664</v>
      </c>
      <c r="J58" s="74">
        <v>1064</v>
      </c>
      <c r="K58" s="74"/>
      <c r="L58" s="74">
        <v>591</v>
      </c>
      <c r="M58" s="74">
        <v>6945</v>
      </c>
      <c r="N58" s="74"/>
      <c r="O58" s="74">
        <v>19206</v>
      </c>
      <c r="P58" s="74">
        <f>3096+14046+4607</f>
        <v>21749</v>
      </c>
      <c r="Q58" s="74"/>
      <c r="R58" s="74">
        <v>6867</v>
      </c>
      <c r="S58" s="74"/>
      <c r="T58" s="74"/>
      <c r="U58" s="74">
        <v>300</v>
      </c>
      <c r="V58" s="74">
        <v>1024</v>
      </c>
      <c r="W58" s="74">
        <v>29468</v>
      </c>
      <c r="X58" s="74"/>
      <c r="Y58" s="74">
        <v>5008</v>
      </c>
      <c r="Z58" s="74">
        <v>2136</v>
      </c>
      <c r="AA58" s="74"/>
      <c r="AB58" s="74"/>
      <c r="AC58" s="74"/>
      <c r="AD58" s="74">
        <v>14849</v>
      </c>
      <c r="AE58" s="74">
        <v>4923</v>
      </c>
      <c r="AF58" s="74">
        <v>490</v>
      </c>
      <c r="AG58" s="74">
        <v>6705</v>
      </c>
      <c r="AH58" s="74">
        <v>426</v>
      </c>
      <c r="AI58" s="75">
        <f t="shared" si="1"/>
        <v>122415</v>
      </c>
      <c r="AJ58" s="7"/>
      <c r="AK58" s="7"/>
    </row>
    <row r="59" spans="1:37" ht="20.25" hidden="1" customHeight="1">
      <c r="A59" s="82" t="s">
        <v>168</v>
      </c>
      <c r="B59" s="76" t="s">
        <v>169</v>
      </c>
      <c r="C59" s="77" t="s">
        <v>170</v>
      </c>
      <c r="D59" s="83" t="s">
        <v>171</v>
      </c>
      <c r="E59" s="84"/>
      <c r="F59" s="67" t="s">
        <v>2528</v>
      </c>
      <c r="G59" s="83"/>
      <c r="H59" s="79">
        <f t="shared" si="4"/>
        <v>0</v>
      </c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51">
        <f t="shared" si="1"/>
        <v>0</v>
      </c>
      <c r="AJ59" s="7"/>
      <c r="AK59" s="7"/>
    </row>
    <row r="60" spans="1:37" ht="20.25" hidden="1" customHeight="1">
      <c r="A60" s="82" t="s">
        <v>172</v>
      </c>
      <c r="B60" s="76" t="s">
        <v>173</v>
      </c>
      <c r="C60" s="77" t="s">
        <v>174</v>
      </c>
      <c r="D60" s="83" t="s">
        <v>171</v>
      </c>
      <c r="E60" s="84"/>
      <c r="F60" s="67" t="s">
        <v>2528</v>
      </c>
      <c r="G60" s="83"/>
      <c r="H60" s="79">
        <f t="shared" si="4"/>
        <v>0</v>
      </c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51">
        <f t="shared" si="1"/>
        <v>0</v>
      </c>
      <c r="AJ60" s="7"/>
      <c r="AK60" s="7"/>
    </row>
    <row r="61" spans="1:37" ht="20.25" hidden="1" customHeight="1">
      <c r="A61" s="82" t="s">
        <v>175</v>
      </c>
      <c r="B61" s="76" t="s">
        <v>176</v>
      </c>
      <c r="C61" s="77" t="s">
        <v>177</v>
      </c>
      <c r="D61" s="83" t="s">
        <v>171</v>
      </c>
      <c r="E61" s="84"/>
      <c r="F61" s="67" t="s">
        <v>2528</v>
      </c>
      <c r="G61" s="83"/>
      <c r="H61" s="79">
        <f t="shared" si="4"/>
        <v>0</v>
      </c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51">
        <f t="shared" si="1"/>
        <v>0</v>
      </c>
      <c r="AJ61" s="7"/>
      <c r="AK61" s="7"/>
    </row>
    <row r="62" spans="1:37" ht="38.25" customHeight="1">
      <c r="A62" s="69"/>
      <c r="B62" s="70" t="s">
        <v>178</v>
      </c>
      <c r="C62" s="71" t="s">
        <v>179</v>
      </c>
      <c r="D62" s="72" t="s">
        <v>132</v>
      </c>
      <c r="E62" s="80" t="s">
        <v>180</v>
      </c>
      <c r="F62" s="67" t="s">
        <v>2528</v>
      </c>
      <c r="G62" s="81" t="s">
        <v>134</v>
      </c>
      <c r="H62" s="74">
        <f t="shared" si="4"/>
        <v>18706</v>
      </c>
      <c r="I62" s="74">
        <v>184</v>
      </c>
      <c r="J62" s="74">
        <v>796</v>
      </c>
      <c r="K62" s="74"/>
      <c r="L62" s="74"/>
      <c r="M62" s="74"/>
      <c r="N62" s="74">
        <v>250</v>
      </c>
      <c r="O62" s="74">
        <v>4603</v>
      </c>
      <c r="P62" s="74">
        <v>1082</v>
      </c>
      <c r="Q62" s="74"/>
      <c r="R62" s="74">
        <v>7303</v>
      </c>
      <c r="S62" s="74"/>
      <c r="T62" s="74"/>
      <c r="U62" s="74">
        <v>152</v>
      </c>
      <c r="V62" s="74">
        <v>596</v>
      </c>
      <c r="W62" s="74"/>
      <c r="X62" s="74"/>
      <c r="Y62" s="74"/>
      <c r="Z62" s="74">
        <v>359</v>
      </c>
      <c r="AA62" s="74"/>
      <c r="AB62" s="74"/>
      <c r="AC62" s="74"/>
      <c r="AD62" s="74">
        <v>876</v>
      </c>
      <c r="AE62" s="74">
        <v>319</v>
      </c>
      <c r="AF62" s="74">
        <v>19</v>
      </c>
      <c r="AG62" s="74">
        <v>2148</v>
      </c>
      <c r="AH62" s="74">
        <v>19</v>
      </c>
      <c r="AI62" s="75">
        <f t="shared" si="1"/>
        <v>18706</v>
      </c>
      <c r="AJ62" s="7"/>
      <c r="AK62" s="7"/>
    </row>
    <row r="63" spans="1:37" ht="48.75" customHeight="1">
      <c r="A63" s="52"/>
      <c r="B63" s="53" t="s">
        <v>181</v>
      </c>
      <c r="C63" s="54" t="s">
        <v>182</v>
      </c>
      <c r="D63" s="66" t="s">
        <v>183</v>
      </c>
      <c r="E63" s="85" t="s">
        <v>184</v>
      </c>
      <c r="F63" s="67" t="s">
        <v>2528</v>
      </c>
      <c r="G63" s="68"/>
      <c r="H63" s="56">
        <f t="shared" si="4"/>
        <v>0</v>
      </c>
      <c r="I63" s="57"/>
      <c r="J63" s="57"/>
      <c r="K63" s="57" t="s">
        <v>185</v>
      </c>
      <c r="L63" s="57"/>
      <c r="M63" s="57" t="s">
        <v>186</v>
      </c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1">
        <f t="shared" si="1"/>
        <v>0</v>
      </c>
      <c r="AJ63" s="7"/>
      <c r="AK63" s="7"/>
    </row>
    <row r="64" spans="1:37" ht="18.75" customHeight="1">
      <c r="A64" s="63">
        <v>3</v>
      </c>
      <c r="B64" s="64" t="s">
        <v>187</v>
      </c>
      <c r="C64" s="65" t="s">
        <v>188</v>
      </c>
      <c r="D64" s="66" t="s">
        <v>183</v>
      </c>
      <c r="E64" s="85" t="s">
        <v>189</v>
      </c>
      <c r="F64" s="85" t="s">
        <v>2527</v>
      </c>
      <c r="G64" s="68"/>
      <c r="H64" s="56">
        <f t="shared" si="4"/>
        <v>0</v>
      </c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1">
        <f t="shared" si="1"/>
        <v>0</v>
      </c>
      <c r="AJ64" s="7"/>
      <c r="AK64" s="7"/>
    </row>
    <row r="65" spans="1:37" ht="48.75" customHeight="1">
      <c r="A65" s="52">
        <v>3.2</v>
      </c>
      <c r="B65" s="86" t="s">
        <v>190</v>
      </c>
      <c r="C65" s="87" t="s">
        <v>191</v>
      </c>
      <c r="D65" s="17" t="s">
        <v>132</v>
      </c>
      <c r="E65" s="55"/>
      <c r="F65" s="85" t="s">
        <v>2527</v>
      </c>
      <c r="G65" s="22"/>
      <c r="H65" s="56">
        <f t="shared" si="4"/>
        <v>0</v>
      </c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1">
        <f t="shared" si="1"/>
        <v>0</v>
      </c>
      <c r="AJ65" s="7"/>
      <c r="AK65" s="7"/>
    </row>
    <row r="66" spans="1:37" ht="15.5">
      <c r="A66" s="52"/>
      <c r="B66" s="53" t="s">
        <v>192</v>
      </c>
      <c r="C66" s="54" t="s">
        <v>193</v>
      </c>
      <c r="D66" s="17" t="s">
        <v>194</v>
      </c>
      <c r="E66" s="55" t="s">
        <v>195</v>
      </c>
      <c r="F66" s="85" t="s">
        <v>2527</v>
      </c>
      <c r="G66" s="22" t="s">
        <v>134</v>
      </c>
      <c r="H66" s="56">
        <f t="shared" si="4"/>
        <v>2350</v>
      </c>
      <c r="I66" s="57">
        <v>20</v>
      </c>
      <c r="J66" s="57">
        <v>49</v>
      </c>
      <c r="K66" s="57">
        <v>149</v>
      </c>
      <c r="L66" s="57">
        <v>39</v>
      </c>
      <c r="M66" s="57"/>
      <c r="N66" s="57">
        <v>8</v>
      </c>
      <c r="O66" s="57"/>
      <c r="P66" s="57">
        <f>28+37</f>
        <v>65</v>
      </c>
      <c r="Q66" s="57">
        <v>93</v>
      </c>
      <c r="R66" s="57">
        <v>42</v>
      </c>
      <c r="S66" s="57">
        <v>214</v>
      </c>
      <c r="T66" s="57"/>
      <c r="U66" s="57">
        <v>14</v>
      </c>
      <c r="V66" s="57">
        <v>33</v>
      </c>
      <c r="W66" s="57">
        <v>93</v>
      </c>
      <c r="X66" s="57">
        <v>603</v>
      </c>
      <c r="Y66" s="57"/>
      <c r="Z66" s="57">
        <v>575</v>
      </c>
      <c r="AA66" s="57"/>
      <c r="AB66" s="57">
        <v>32</v>
      </c>
      <c r="AC66" s="57"/>
      <c r="AD66" s="57">
        <v>17</v>
      </c>
      <c r="AE66" s="57">
        <v>6</v>
      </c>
      <c r="AF66" s="57">
        <v>266</v>
      </c>
      <c r="AG66" s="57">
        <v>15</v>
      </c>
      <c r="AH66" s="57">
        <v>17</v>
      </c>
      <c r="AI66" s="51">
        <f t="shared" si="1"/>
        <v>2350</v>
      </c>
      <c r="AJ66" s="7"/>
      <c r="AK66" s="7"/>
    </row>
    <row r="67" spans="1:37" ht="20.25" customHeight="1">
      <c r="A67" s="58" t="s">
        <v>196</v>
      </c>
      <c r="B67" s="59" t="s">
        <v>197</v>
      </c>
      <c r="C67" s="60" t="s">
        <v>131</v>
      </c>
      <c r="D67" s="61" t="s">
        <v>132</v>
      </c>
      <c r="E67" s="62"/>
      <c r="F67" s="85" t="s">
        <v>2527</v>
      </c>
      <c r="G67" s="37"/>
      <c r="H67" s="56">
        <f t="shared" si="4"/>
        <v>0</v>
      </c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1">
        <f t="shared" si="1"/>
        <v>0</v>
      </c>
      <c r="AJ67" s="7"/>
      <c r="AK67" s="7"/>
    </row>
    <row r="68" spans="1:37" ht="20.25" customHeight="1">
      <c r="A68" s="58" t="s">
        <v>198</v>
      </c>
      <c r="B68" s="59" t="s">
        <v>199</v>
      </c>
      <c r="C68" s="60" t="s">
        <v>200</v>
      </c>
      <c r="D68" s="61" t="s">
        <v>132</v>
      </c>
      <c r="E68" s="62"/>
      <c r="F68" s="85" t="s">
        <v>2527</v>
      </c>
      <c r="G68" s="37"/>
      <c r="H68" s="56">
        <f t="shared" si="4"/>
        <v>0</v>
      </c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1">
        <f t="shared" si="1"/>
        <v>0</v>
      </c>
      <c r="AJ68" s="7"/>
      <c r="AK68" s="7"/>
    </row>
    <row r="69" spans="1:37" ht="20.25" customHeight="1">
      <c r="A69" s="58" t="s">
        <v>201</v>
      </c>
      <c r="B69" s="59" t="s">
        <v>202</v>
      </c>
      <c r="C69" s="60" t="s">
        <v>203</v>
      </c>
      <c r="D69" s="61" t="s">
        <v>132</v>
      </c>
      <c r="E69" s="62"/>
      <c r="F69" s="85" t="s">
        <v>2527</v>
      </c>
      <c r="G69" s="37"/>
      <c r="H69" s="56">
        <f t="shared" si="4"/>
        <v>0</v>
      </c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1">
        <f t="shared" si="1"/>
        <v>0</v>
      </c>
      <c r="AJ69" s="7"/>
      <c r="AK69" s="7"/>
    </row>
    <row r="70" spans="1:37" ht="20.25" customHeight="1">
      <c r="A70" s="58" t="s">
        <v>204</v>
      </c>
      <c r="B70" s="59" t="s">
        <v>205</v>
      </c>
      <c r="C70" s="60" t="s">
        <v>159</v>
      </c>
      <c r="D70" s="61" t="s">
        <v>132</v>
      </c>
      <c r="E70" s="62"/>
      <c r="F70" s="85" t="s">
        <v>2527</v>
      </c>
      <c r="G70" s="37"/>
      <c r="H70" s="56">
        <f t="shared" si="4"/>
        <v>0</v>
      </c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1">
        <f t="shared" si="1"/>
        <v>0</v>
      </c>
      <c r="AJ70" s="7"/>
      <c r="AK70" s="7"/>
    </row>
    <row r="71" spans="1:37" ht="16.5" customHeight="1">
      <c r="A71" s="52">
        <v>3.3</v>
      </c>
      <c r="B71" s="53" t="s">
        <v>206</v>
      </c>
      <c r="C71" s="54" t="s">
        <v>207</v>
      </c>
      <c r="D71" s="17" t="s">
        <v>132</v>
      </c>
      <c r="E71" s="55"/>
      <c r="F71" s="85" t="s">
        <v>2527</v>
      </c>
      <c r="G71" s="22"/>
      <c r="H71" s="56">
        <f t="shared" si="4"/>
        <v>0</v>
      </c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1">
        <f t="shared" si="1"/>
        <v>0</v>
      </c>
      <c r="AJ71" s="7"/>
      <c r="AK71" s="7"/>
    </row>
    <row r="72" spans="1:37" ht="20.25" customHeight="1">
      <c r="A72" s="88" t="s">
        <v>208</v>
      </c>
      <c r="B72" s="59" t="s">
        <v>209</v>
      </c>
      <c r="C72" s="60" t="s">
        <v>170</v>
      </c>
      <c r="D72" s="89" t="s">
        <v>132</v>
      </c>
      <c r="E72" s="90"/>
      <c r="F72" s="85" t="s">
        <v>2527</v>
      </c>
      <c r="G72" s="91"/>
      <c r="H72" s="56">
        <f t="shared" si="4"/>
        <v>0</v>
      </c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1">
        <f t="shared" si="1"/>
        <v>0</v>
      </c>
      <c r="AJ72" s="7"/>
      <c r="AK72" s="7"/>
    </row>
    <row r="73" spans="1:37" ht="20.25" customHeight="1">
      <c r="A73" s="88" t="s">
        <v>210</v>
      </c>
      <c r="B73" s="59" t="s">
        <v>211</v>
      </c>
      <c r="C73" s="60" t="s">
        <v>174</v>
      </c>
      <c r="D73" s="89" t="s">
        <v>132</v>
      </c>
      <c r="E73" s="90"/>
      <c r="F73" s="85" t="s">
        <v>2527</v>
      </c>
      <c r="G73" s="91"/>
      <c r="H73" s="56">
        <f t="shared" si="4"/>
        <v>0</v>
      </c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1">
        <f t="shared" si="1"/>
        <v>0</v>
      </c>
      <c r="AJ73" s="7"/>
      <c r="AK73" s="7"/>
    </row>
    <row r="74" spans="1:37" ht="20.25" customHeight="1">
      <c r="A74" s="88" t="s">
        <v>212</v>
      </c>
      <c r="B74" s="59" t="s">
        <v>213</v>
      </c>
      <c r="C74" s="60" t="s">
        <v>177</v>
      </c>
      <c r="D74" s="89" t="s">
        <v>132</v>
      </c>
      <c r="E74" s="90"/>
      <c r="F74" s="85" t="s">
        <v>2527</v>
      </c>
      <c r="G74" s="91"/>
      <c r="H74" s="56">
        <f t="shared" si="4"/>
        <v>0</v>
      </c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1">
        <f t="shared" si="1"/>
        <v>0</v>
      </c>
      <c r="AJ74" s="7"/>
      <c r="AK74" s="7"/>
    </row>
    <row r="75" spans="1:37" ht="20.25" customHeight="1">
      <c r="A75" s="52">
        <v>3.4</v>
      </c>
      <c r="B75" s="53" t="s">
        <v>214</v>
      </c>
      <c r="C75" s="54" t="s">
        <v>215</v>
      </c>
      <c r="D75" s="66" t="s">
        <v>183</v>
      </c>
      <c r="E75" s="67"/>
      <c r="F75" s="85" t="s">
        <v>2527</v>
      </c>
      <c r="G75" s="68"/>
      <c r="H75" s="56">
        <f t="shared" si="4"/>
        <v>0</v>
      </c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1">
        <f t="shared" si="1"/>
        <v>0</v>
      </c>
      <c r="AJ75" s="7"/>
      <c r="AK75" s="7"/>
    </row>
    <row r="76" spans="1:37" ht="24" customHeight="1">
      <c r="A76" s="52">
        <v>3.5</v>
      </c>
      <c r="B76" s="53" t="s">
        <v>216</v>
      </c>
      <c r="C76" s="54" t="s">
        <v>217</v>
      </c>
      <c r="D76" s="66" t="s">
        <v>183</v>
      </c>
      <c r="E76" s="67"/>
      <c r="F76" s="85" t="s">
        <v>2527</v>
      </c>
      <c r="G76" s="68"/>
      <c r="H76" s="56">
        <f t="shared" si="4"/>
        <v>0</v>
      </c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1">
        <f t="shared" si="1"/>
        <v>0</v>
      </c>
      <c r="AJ76" s="7"/>
      <c r="AK76" s="7"/>
    </row>
    <row r="77" spans="1:37" ht="24" customHeight="1">
      <c r="A77" s="63">
        <v>4</v>
      </c>
      <c r="B77" s="64" t="s">
        <v>218</v>
      </c>
      <c r="C77" s="65" t="s">
        <v>219</v>
      </c>
      <c r="D77" s="66" t="s">
        <v>183</v>
      </c>
      <c r="E77" s="85" t="s">
        <v>220</v>
      </c>
      <c r="F77" s="85" t="s">
        <v>2526</v>
      </c>
      <c r="G77" s="68"/>
      <c r="H77" s="56">
        <f t="shared" si="4"/>
        <v>0</v>
      </c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1">
        <f t="shared" si="1"/>
        <v>0</v>
      </c>
      <c r="AJ77" s="7"/>
      <c r="AK77" s="7"/>
    </row>
    <row r="78" spans="1:37" ht="51" customHeight="1">
      <c r="A78" s="52"/>
      <c r="B78" s="92" t="s">
        <v>221</v>
      </c>
      <c r="C78" s="54" t="s">
        <v>222</v>
      </c>
      <c r="D78" s="16" t="s">
        <v>132</v>
      </c>
      <c r="E78" s="55" t="s">
        <v>223</v>
      </c>
      <c r="F78" s="85" t="s">
        <v>2526</v>
      </c>
      <c r="G78" s="22" t="s">
        <v>134</v>
      </c>
      <c r="H78" s="56">
        <f t="shared" si="4"/>
        <v>745</v>
      </c>
      <c r="I78" s="57">
        <v>17</v>
      </c>
      <c r="J78" s="57">
        <v>5</v>
      </c>
      <c r="K78" s="57">
        <v>34</v>
      </c>
      <c r="L78" s="57">
        <v>2</v>
      </c>
      <c r="M78" s="57"/>
      <c r="N78" s="57"/>
      <c r="O78" s="57"/>
      <c r="P78" s="57">
        <f>2+8+18</f>
        <v>28</v>
      </c>
      <c r="Q78" s="57"/>
      <c r="R78" s="57">
        <v>7</v>
      </c>
      <c r="S78" s="57">
        <v>74</v>
      </c>
      <c r="T78" s="57"/>
      <c r="U78" s="57"/>
      <c r="V78" s="57">
        <v>2</v>
      </c>
      <c r="W78" s="57">
        <v>41</v>
      </c>
      <c r="X78" s="57">
        <v>237</v>
      </c>
      <c r="Y78" s="57"/>
      <c r="Z78" s="57">
        <v>118</v>
      </c>
      <c r="AA78" s="57"/>
      <c r="AB78" s="57">
        <v>9</v>
      </c>
      <c r="AC78" s="57"/>
      <c r="AD78" s="57">
        <v>20</v>
      </c>
      <c r="AE78" s="57">
        <v>5</v>
      </c>
      <c r="AF78" s="57">
        <f>136+7</f>
        <v>143</v>
      </c>
      <c r="AG78" s="57">
        <f>2+1</f>
        <v>3</v>
      </c>
      <c r="AH78" s="57"/>
      <c r="AI78" s="51">
        <f t="shared" si="1"/>
        <v>745</v>
      </c>
      <c r="AJ78" s="7"/>
      <c r="AK78" s="7"/>
    </row>
    <row r="79" spans="1:37" ht="20.25" customHeight="1">
      <c r="A79" s="58" t="s">
        <v>224</v>
      </c>
      <c r="B79" s="93" t="s">
        <v>225</v>
      </c>
      <c r="C79" s="60" t="s">
        <v>131</v>
      </c>
      <c r="D79" s="61" t="s">
        <v>132</v>
      </c>
      <c r="E79" s="62"/>
      <c r="F79" s="85" t="s">
        <v>2526</v>
      </c>
      <c r="G79" s="37"/>
      <c r="H79" s="56">
        <f t="shared" si="4"/>
        <v>0</v>
      </c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1">
        <f t="shared" si="1"/>
        <v>0</v>
      </c>
      <c r="AJ79" s="7"/>
      <c r="AK79" s="7"/>
    </row>
    <row r="80" spans="1:37" ht="20.25" customHeight="1">
      <c r="A80" s="58" t="s">
        <v>226</v>
      </c>
      <c r="B80" s="93" t="s">
        <v>227</v>
      </c>
      <c r="C80" s="60" t="s">
        <v>200</v>
      </c>
      <c r="D80" s="61" t="s">
        <v>132</v>
      </c>
      <c r="E80" s="62"/>
      <c r="F80" s="85" t="s">
        <v>2526</v>
      </c>
      <c r="G80" s="37"/>
      <c r="H80" s="56">
        <f t="shared" si="4"/>
        <v>0</v>
      </c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1">
        <f t="shared" si="1"/>
        <v>0</v>
      </c>
      <c r="AJ80" s="7"/>
      <c r="AK80" s="7"/>
    </row>
    <row r="81" spans="1:37" ht="20.25" customHeight="1">
      <c r="A81" s="58" t="s">
        <v>228</v>
      </c>
      <c r="B81" s="93" t="s">
        <v>229</v>
      </c>
      <c r="C81" s="60" t="s">
        <v>203</v>
      </c>
      <c r="D81" s="61" t="s">
        <v>132</v>
      </c>
      <c r="E81" s="62"/>
      <c r="F81" s="85" t="s">
        <v>2526</v>
      </c>
      <c r="G81" s="37"/>
      <c r="H81" s="56">
        <f t="shared" si="4"/>
        <v>0</v>
      </c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1">
        <f t="shared" si="1"/>
        <v>0</v>
      </c>
      <c r="AJ81" s="7"/>
      <c r="AK81" s="7"/>
    </row>
    <row r="82" spans="1:37" ht="20.25" customHeight="1">
      <c r="A82" s="58" t="s">
        <v>230</v>
      </c>
      <c r="B82" s="93" t="s">
        <v>231</v>
      </c>
      <c r="C82" s="60" t="s">
        <v>159</v>
      </c>
      <c r="D82" s="61" t="s">
        <v>132</v>
      </c>
      <c r="E82" s="62"/>
      <c r="F82" s="85" t="s">
        <v>2526</v>
      </c>
      <c r="G82" s="37"/>
      <c r="H82" s="56">
        <f t="shared" si="4"/>
        <v>0</v>
      </c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1">
        <f t="shared" si="1"/>
        <v>0</v>
      </c>
      <c r="AJ82" s="7"/>
      <c r="AK82" s="7"/>
    </row>
    <row r="83" spans="1:37" ht="36" customHeight="1">
      <c r="A83" s="52">
        <v>4.2</v>
      </c>
      <c r="B83" s="92" t="s">
        <v>227</v>
      </c>
      <c r="C83" s="87" t="s">
        <v>232</v>
      </c>
      <c r="D83" s="16" t="s">
        <v>132</v>
      </c>
      <c r="E83" s="55"/>
      <c r="F83" s="85" t="s">
        <v>2526</v>
      </c>
      <c r="G83" s="22"/>
      <c r="H83" s="56">
        <f t="shared" si="4"/>
        <v>0</v>
      </c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1">
        <f t="shared" si="1"/>
        <v>0</v>
      </c>
      <c r="AJ83" s="7"/>
      <c r="AK83" s="7"/>
    </row>
    <row r="84" spans="1:37" ht="20.25" customHeight="1">
      <c r="A84" s="88" t="s">
        <v>233</v>
      </c>
      <c r="B84" s="93" t="s">
        <v>234</v>
      </c>
      <c r="C84" s="60" t="s">
        <v>170</v>
      </c>
      <c r="D84" s="89" t="s">
        <v>132</v>
      </c>
      <c r="E84" s="90"/>
      <c r="F84" s="85" t="s">
        <v>2526</v>
      </c>
      <c r="G84" s="91"/>
      <c r="H84" s="56">
        <f t="shared" si="4"/>
        <v>0</v>
      </c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1">
        <f t="shared" si="1"/>
        <v>0</v>
      </c>
      <c r="AJ84" s="7"/>
      <c r="AK84" s="7"/>
    </row>
    <row r="85" spans="1:37" ht="20.25" customHeight="1">
      <c r="A85" s="88" t="s">
        <v>235</v>
      </c>
      <c r="B85" s="93" t="s">
        <v>236</v>
      </c>
      <c r="C85" s="60" t="s">
        <v>174</v>
      </c>
      <c r="D85" s="89" t="s">
        <v>132</v>
      </c>
      <c r="E85" s="90"/>
      <c r="F85" s="85" t="s">
        <v>2526</v>
      </c>
      <c r="G85" s="91"/>
      <c r="H85" s="56">
        <f t="shared" si="4"/>
        <v>0</v>
      </c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1">
        <f t="shared" si="1"/>
        <v>0</v>
      </c>
      <c r="AJ85" s="7"/>
      <c r="AK85" s="7"/>
    </row>
    <row r="86" spans="1:37" ht="20.25" customHeight="1">
      <c r="A86" s="88" t="s">
        <v>237</v>
      </c>
      <c r="B86" s="93" t="s">
        <v>238</v>
      </c>
      <c r="C86" s="60" t="s">
        <v>177</v>
      </c>
      <c r="D86" s="89" t="s">
        <v>132</v>
      </c>
      <c r="E86" s="90"/>
      <c r="F86" s="85" t="s">
        <v>2526</v>
      </c>
      <c r="G86" s="91"/>
      <c r="H86" s="56">
        <f t="shared" si="4"/>
        <v>0</v>
      </c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1">
        <f t="shared" si="1"/>
        <v>0</v>
      </c>
      <c r="AJ86" s="7"/>
      <c r="AK86" s="7"/>
    </row>
    <row r="87" spans="1:37" ht="20.25" customHeight="1">
      <c r="A87" s="52">
        <v>4.3</v>
      </c>
      <c r="B87" s="92" t="s">
        <v>239</v>
      </c>
      <c r="C87" s="54" t="s">
        <v>240</v>
      </c>
      <c r="D87" s="66" t="s">
        <v>183</v>
      </c>
      <c r="E87" s="67"/>
      <c r="F87" s="85" t="s">
        <v>2526</v>
      </c>
      <c r="G87" s="68"/>
      <c r="H87" s="56">
        <f t="shared" si="4"/>
        <v>0</v>
      </c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1">
        <f t="shared" si="1"/>
        <v>0</v>
      </c>
      <c r="AJ87" s="7"/>
      <c r="AK87" s="7"/>
    </row>
    <row r="88" spans="1:37" ht="20.25" customHeight="1">
      <c r="A88" s="52">
        <v>4.4000000000000004</v>
      </c>
      <c r="B88" s="92" t="s">
        <v>241</v>
      </c>
      <c r="C88" s="54" t="s">
        <v>242</v>
      </c>
      <c r="D88" s="66" t="s">
        <v>183</v>
      </c>
      <c r="E88" s="67"/>
      <c r="F88" s="85" t="s">
        <v>2526</v>
      </c>
      <c r="G88" s="68"/>
      <c r="H88" s="56">
        <f t="shared" si="4"/>
        <v>0</v>
      </c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1">
        <f t="shared" si="1"/>
        <v>0</v>
      </c>
      <c r="AJ88" s="7"/>
      <c r="AK88" s="7"/>
    </row>
    <row r="89" spans="1:37" ht="20.25" customHeight="1">
      <c r="A89" s="52">
        <v>4.5</v>
      </c>
      <c r="B89" s="53" t="s">
        <v>243</v>
      </c>
      <c r="C89" s="54" t="s">
        <v>244</v>
      </c>
      <c r="D89" s="66" t="s">
        <v>183</v>
      </c>
      <c r="E89" s="67"/>
      <c r="F89" s="85" t="s">
        <v>2526</v>
      </c>
      <c r="G89" s="68"/>
      <c r="H89" s="56">
        <f t="shared" si="4"/>
        <v>0</v>
      </c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1">
        <f t="shared" si="1"/>
        <v>0</v>
      </c>
      <c r="AJ89" s="7"/>
      <c r="AK89" s="7"/>
    </row>
    <row r="90" spans="1:37" ht="21.75" customHeight="1">
      <c r="A90" s="63">
        <v>5</v>
      </c>
      <c r="B90" s="64" t="s">
        <v>245</v>
      </c>
      <c r="C90" s="65" t="s">
        <v>246</v>
      </c>
      <c r="D90" s="66" t="s">
        <v>183</v>
      </c>
      <c r="E90" s="85" t="s">
        <v>247</v>
      </c>
      <c r="F90" s="85" t="s">
        <v>2525</v>
      </c>
      <c r="G90" s="68"/>
      <c r="H90" s="56">
        <f t="shared" si="4"/>
        <v>0</v>
      </c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1">
        <f t="shared" si="1"/>
        <v>0</v>
      </c>
      <c r="AJ90" s="7"/>
      <c r="AK90" s="7"/>
    </row>
    <row r="91" spans="1:37" ht="20.25" customHeight="1">
      <c r="A91" s="52"/>
      <c r="B91" s="53" t="s">
        <v>248</v>
      </c>
      <c r="C91" s="54" t="s">
        <v>249</v>
      </c>
      <c r="D91" s="17" t="s">
        <v>132</v>
      </c>
      <c r="E91" s="85" t="s">
        <v>250</v>
      </c>
      <c r="F91" s="85" t="s">
        <v>2525</v>
      </c>
      <c r="G91" s="22"/>
      <c r="H91" s="56">
        <f t="shared" si="4"/>
        <v>2143</v>
      </c>
      <c r="I91" s="57"/>
      <c r="J91" s="57">
        <v>6</v>
      </c>
      <c r="K91" s="57">
        <v>47</v>
      </c>
      <c r="L91" s="57">
        <v>10</v>
      </c>
      <c r="M91" s="57"/>
      <c r="N91" s="57"/>
      <c r="O91" s="57"/>
      <c r="P91" s="57">
        <v>2</v>
      </c>
      <c r="Q91" s="57"/>
      <c r="R91" s="57">
        <v>29</v>
      </c>
      <c r="S91" s="57">
        <v>245</v>
      </c>
      <c r="T91" s="57"/>
      <c r="U91" s="57">
        <v>1</v>
      </c>
      <c r="V91" s="57">
        <v>11</v>
      </c>
      <c r="W91" s="57">
        <v>109</v>
      </c>
      <c r="X91" s="57">
        <v>1046</v>
      </c>
      <c r="Y91" s="57"/>
      <c r="Z91" s="57">
        <v>260</v>
      </c>
      <c r="AA91" s="57"/>
      <c r="AB91" s="57">
        <v>11</v>
      </c>
      <c r="AC91" s="57"/>
      <c r="AD91" s="57">
        <v>8</v>
      </c>
      <c r="AE91" s="57">
        <v>1</v>
      </c>
      <c r="AF91" s="57">
        <v>326</v>
      </c>
      <c r="AG91" s="57">
        <v>28</v>
      </c>
      <c r="AH91" s="57">
        <v>3</v>
      </c>
      <c r="AI91" s="51">
        <f t="shared" si="1"/>
        <v>2143</v>
      </c>
      <c r="AJ91" s="7"/>
      <c r="AK91" s="7"/>
    </row>
    <row r="92" spans="1:37" ht="20.25" customHeight="1">
      <c r="A92" s="58"/>
      <c r="B92" s="94" t="s">
        <v>248</v>
      </c>
      <c r="C92" s="60" t="s">
        <v>131</v>
      </c>
      <c r="D92" s="61" t="s">
        <v>132</v>
      </c>
      <c r="E92" s="62"/>
      <c r="F92" s="85" t="s">
        <v>2525</v>
      </c>
      <c r="G92" s="37"/>
      <c r="H92" s="56">
        <f t="shared" si="4"/>
        <v>0</v>
      </c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1">
        <f t="shared" si="1"/>
        <v>0</v>
      </c>
      <c r="AJ92" s="7"/>
      <c r="AK92" s="7"/>
    </row>
    <row r="93" spans="1:37" ht="20.25" customHeight="1">
      <c r="A93" s="58"/>
      <c r="B93" s="94" t="s">
        <v>251</v>
      </c>
      <c r="C93" s="60" t="s">
        <v>200</v>
      </c>
      <c r="D93" s="61" t="s">
        <v>132</v>
      </c>
      <c r="E93" s="62"/>
      <c r="F93" s="85" t="s">
        <v>2525</v>
      </c>
      <c r="G93" s="37"/>
      <c r="H93" s="56">
        <f t="shared" si="4"/>
        <v>0</v>
      </c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1">
        <f t="shared" si="1"/>
        <v>0</v>
      </c>
      <c r="AJ93" s="7"/>
      <c r="AK93" s="7"/>
    </row>
    <row r="94" spans="1:37" ht="20.25" customHeight="1">
      <c r="A94" s="58"/>
      <c r="B94" s="94" t="s">
        <v>252</v>
      </c>
      <c r="C94" s="60" t="s">
        <v>203</v>
      </c>
      <c r="D94" s="61" t="s">
        <v>132</v>
      </c>
      <c r="E94" s="62"/>
      <c r="F94" s="85" t="s">
        <v>2525</v>
      </c>
      <c r="G94" s="37"/>
      <c r="H94" s="56">
        <f t="shared" si="4"/>
        <v>0</v>
      </c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1">
        <f t="shared" si="1"/>
        <v>0</v>
      </c>
      <c r="AJ94" s="7"/>
      <c r="AK94" s="7"/>
    </row>
    <row r="95" spans="1:37" ht="20.25" customHeight="1">
      <c r="A95" s="58"/>
      <c r="B95" s="94" t="s">
        <v>253</v>
      </c>
      <c r="C95" s="60" t="s">
        <v>159</v>
      </c>
      <c r="D95" s="61" t="s">
        <v>132</v>
      </c>
      <c r="E95" s="62"/>
      <c r="F95" s="85" t="s">
        <v>2525</v>
      </c>
      <c r="G95" s="37"/>
      <c r="H95" s="56">
        <f t="shared" si="4"/>
        <v>0</v>
      </c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1">
        <f t="shared" si="1"/>
        <v>0</v>
      </c>
      <c r="AJ95" s="7"/>
      <c r="AK95" s="7"/>
    </row>
    <row r="96" spans="1:37" ht="29.25" customHeight="1">
      <c r="A96" s="52"/>
      <c r="B96" s="53" t="s">
        <v>251</v>
      </c>
      <c r="C96" s="54" t="s">
        <v>254</v>
      </c>
      <c r="D96" s="17" t="s">
        <v>132</v>
      </c>
      <c r="E96" s="85" t="s">
        <v>255</v>
      </c>
      <c r="F96" s="85" t="s">
        <v>2525</v>
      </c>
      <c r="G96" s="22"/>
      <c r="H96" s="56">
        <f t="shared" si="4"/>
        <v>369</v>
      </c>
      <c r="I96" s="57"/>
      <c r="J96" s="57"/>
      <c r="K96" s="57"/>
      <c r="L96" s="57"/>
      <c r="M96" s="57"/>
      <c r="N96" s="57"/>
      <c r="O96" s="57"/>
      <c r="P96" s="57">
        <v>12</v>
      </c>
      <c r="Q96" s="57"/>
      <c r="R96" s="57">
        <v>1</v>
      </c>
      <c r="S96" s="57">
        <v>81</v>
      </c>
      <c r="T96" s="57"/>
      <c r="U96" s="57"/>
      <c r="V96" s="57"/>
      <c r="W96" s="57">
        <v>176</v>
      </c>
      <c r="X96" s="57"/>
      <c r="Y96" s="57"/>
      <c r="Z96" s="57">
        <v>93</v>
      </c>
      <c r="AA96" s="57"/>
      <c r="AB96" s="57">
        <v>4</v>
      </c>
      <c r="AC96" s="57"/>
      <c r="AD96" s="57">
        <v>1</v>
      </c>
      <c r="AE96" s="57"/>
      <c r="AF96" s="57"/>
      <c r="AG96" s="57"/>
      <c r="AH96" s="57">
        <v>1</v>
      </c>
      <c r="AI96" s="51">
        <f t="shared" si="1"/>
        <v>369</v>
      </c>
      <c r="AJ96" s="7"/>
      <c r="AK96" s="7"/>
    </row>
    <row r="97" spans="1:37" ht="20.25" customHeight="1">
      <c r="A97" s="58" t="s">
        <v>256</v>
      </c>
      <c r="B97" s="94" t="s">
        <v>257</v>
      </c>
      <c r="C97" s="60" t="s">
        <v>131</v>
      </c>
      <c r="D97" s="61" t="s">
        <v>132</v>
      </c>
      <c r="E97" s="62"/>
      <c r="F97" s="85" t="s">
        <v>2525</v>
      </c>
      <c r="G97" s="37"/>
      <c r="H97" s="56">
        <f t="shared" si="4"/>
        <v>0</v>
      </c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1">
        <f t="shared" si="1"/>
        <v>0</v>
      </c>
      <c r="AJ97" s="7"/>
      <c r="AK97" s="7"/>
    </row>
    <row r="98" spans="1:37" ht="20.25" customHeight="1">
      <c r="A98" s="58" t="s">
        <v>258</v>
      </c>
      <c r="B98" s="94" t="s">
        <v>259</v>
      </c>
      <c r="C98" s="60" t="s">
        <v>200</v>
      </c>
      <c r="D98" s="61" t="s">
        <v>132</v>
      </c>
      <c r="E98" s="62"/>
      <c r="F98" s="85" t="s">
        <v>2525</v>
      </c>
      <c r="G98" s="37"/>
      <c r="H98" s="56">
        <f t="shared" si="4"/>
        <v>0</v>
      </c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1">
        <f t="shared" si="1"/>
        <v>0</v>
      </c>
      <c r="AJ98" s="7"/>
      <c r="AK98" s="7"/>
    </row>
    <row r="99" spans="1:37" ht="20.25" customHeight="1">
      <c r="A99" s="58" t="s">
        <v>260</v>
      </c>
      <c r="B99" s="94" t="s">
        <v>261</v>
      </c>
      <c r="C99" s="60" t="s">
        <v>203</v>
      </c>
      <c r="D99" s="61" t="s">
        <v>132</v>
      </c>
      <c r="E99" s="62"/>
      <c r="F99" s="85" t="s">
        <v>2525</v>
      </c>
      <c r="G99" s="37"/>
      <c r="H99" s="56">
        <f t="shared" si="4"/>
        <v>0</v>
      </c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1">
        <f t="shared" si="1"/>
        <v>0</v>
      </c>
      <c r="AJ99" s="7"/>
      <c r="AK99" s="7"/>
    </row>
    <row r="100" spans="1:37" ht="20.25" customHeight="1">
      <c r="A100" s="58" t="s">
        <v>262</v>
      </c>
      <c r="B100" s="94" t="s">
        <v>263</v>
      </c>
      <c r="C100" s="60" t="s">
        <v>159</v>
      </c>
      <c r="D100" s="61" t="s">
        <v>132</v>
      </c>
      <c r="E100" s="62"/>
      <c r="F100" s="85" t="s">
        <v>2525</v>
      </c>
      <c r="G100" s="37"/>
      <c r="H100" s="56">
        <f t="shared" si="4"/>
        <v>0</v>
      </c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1">
        <f t="shared" si="1"/>
        <v>0</v>
      </c>
      <c r="AJ100" s="7"/>
      <c r="AK100" s="7"/>
    </row>
    <row r="101" spans="1:37" ht="21" customHeight="1">
      <c r="A101" s="52">
        <v>5.3</v>
      </c>
      <c r="B101" s="53" t="s">
        <v>252</v>
      </c>
      <c r="C101" s="54" t="s">
        <v>264</v>
      </c>
      <c r="D101" s="66" t="s">
        <v>183</v>
      </c>
      <c r="E101" s="67"/>
      <c r="F101" s="85" t="s">
        <v>2525</v>
      </c>
      <c r="G101" s="68"/>
      <c r="H101" s="56">
        <f t="shared" si="4"/>
        <v>0</v>
      </c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1">
        <f t="shared" si="1"/>
        <v>0</v>
      </c>
      <c r="AJ101" s="7"/>
      <c r="AK101" s="7"/>
    </row>
    <row r="102" spans="1:37" ht="18" customHeight="1">
      <c r="A102" s="52">
        <v>5.4</v>
      </c>
      <c r="B102" s="53" t="s">
        <v>253</v>
      </c>
      <c r="C102" s="54" t="s">
        <v>265</v>
      </c>
      <c r="D102" s="66" t="s">
        <v>183</v>
      </c>
      <c r="E102" s="67"/>
      <c r="F102" s="85" t="s">
        <v>2525</v>
      </c>
      <c r="G102" s="68"/>
      <c r="H102" s="56">
        <f t="shared" si="4"/>
        <v>0</v>
      </c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1">
        <f t="shared" si="1"/>
        <v>0</v>
      </c>
      <c r="AJ102" s="7"/>
      <c r="AK102" s="7"/>
    </row>
    <row r="103" spans="1:37" ht="30.75" customHeight="1">
      <c r="A103" s="63">
        <v>6</v>
      </c>
      <c r="B103" s="64" t="s">
        <v>266</v>
      </c>
      <c r="C103" s="65" t="s">
        <v>267</v>
      </c>
      <c r="D103" s="66"/>
      <c r="E103" s="85" t="s">
        <v>268</v>
      </c>
      <c r="F103" s="85" t="s">
        <v>2524</v>
      </c>
      <c r="G103" s="68"/>
      <c r="H103" s="56">
        <f t="shared" si="4"/>
        <v>0</v>
      </c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1">
        <f t="shared" si="1"/>
        <v>0</v>
      </c>
      <c r="AJ103" s="7"/>
      <c r="AK103" s="7"/>
    </row>
    <row r="104" spans="1:37" ht="20.25" customHeight="1">
      <c r="A104" s="52"/>
      <c r="B104" s="53" t="s">
        <v>269</v>
      </c>
      <c r="C104" s="54" t="s">
        <v>270</v>
      </c>
      <c r="D104" s="17" t="s">
        <v>271</v>
      </c>
      <c r="E104" s="55" t="s">
        <v>272</v>
      </c>
      <c r="F104" s="85" t="s">
        <v>2524</v>
      </c>
      <c r="G104" s="22" t="s">
        <v>271</v>
      </c>
      <c r="H104" s="56">
        <f t="shared" si="4"/>
        <v>286659.51</v>
      </c>
      <c r="I104" s="57">
        <v>1189.2</v>
      </c>
      <c r="J104" s="57">
        <v>1168.8</v>
      </c>
      <c r="K104" s="57">
        <v>2475.56</v>
      </c>
      <c r="L104" s="57">
        <v>1025.4000000000001</v>
      </c>
      <c r="M104" s="57">
        <v>5108</v>
      </c>
      <c r="N104" s="57">
        <f>N106+N107+N108+N109</f>
        <v>397.33000000000004</v>
      </c>
      <c r="O104" s="57">
        <v>5182.6000000000004</v>
      </c>
      <c r="P104" s="57">
        <f>573+155+1+1849+488+30</f>
        <v>3096</v>
      </c>
      <c r="Q104" s="57">
        <v>8915.7000000000007</v>
      </c>
      <c r="R104" s="57">
        <f>+R105+R110</f>
        <v>5635.0599999999995</v>
      </c>
      <c r="S104" s="57">
        <v>18857</v>
      </c>
      <c r="T104" s="57">
        <f>9.1+21+6.52+0.7</f>
        <v>37.320000000000007</v>
      </c>
      <c r="U104" s="57">
        <v>733.9</v>
      </c>
      <c r="V104" s="57">
        <f>2219.21+1213.89</f>
        <v>3433.1000000000004</v>
      </c>
      <c r="W104" s="57">
        <f>23467+15270</f>
        <v>38737</v>
      </c>
      <c r="X104" s="57">
        <v>23342</v>
      </c>
      <c r="Y104" s="57">
        <v>5891</v>
      </c>
      <c r="Z104" s="57">
        <v>34168</v>
      </c>
      <c r="AA104" s="57">
        <v>10539</v>
      </c>
      <c r="AB104" s="57">
        <v>9830</v>
      </c>
      <c r="AC104" s="57">
        <v>7930.6</v>
      </c>
      <c r="AD104" s="57">
        <v>7129</v>
      </c>
      <c r="AE104" s="57">
        <v>2115.8000000000002</v>
      </c>
      <c r="AF104" s="57">
        <v>60191</v>
      </c>
      <c r="AG104" s="57">
        <v>27085.26</v>
      </c>
      <c r="AH104" s="57">
        <v>2445.88</v>
      </c>
      <c r="AI104" s="51">
        <f t="shared" si="1"/>
        <v>286659.51</v>
      </c>
      <c r="AJ104" s="7"/>
      <c r="AK104" s="7"/>
    </row>
    <row r="105" spans="1:37" ht="20.25" hidden="1" customHeight="1">
      <c r="A105" s="95"/>
      <c r="B105" s="86" t="s">
        <v>273</v>
      </c>
      <c r="C105" s="96" t="s">
        <v>274</v>
      </c>
      <c r="D105" s="97" t="s">
        <v>271</v>
      </c>
      <c r="E105" s="98"/>
      <c r="F105" s="85" t="s">
        <v>2524</v>
      </c>
      <c r="G105" s="99"/>
      <c r="H105" s="56">
        <f t="shared" si="4"/>
        <v>29374.14</v>
      </c>
      <c r="I105" s="57"/>
      <c r="J105" s="57"/>
      <c r="K105" s="57"/>
      <c r="L105" s="57"/>
      <c r="M105" s="57"/>
      <c r="N105" s="57"/>
      <c r="O105" s="57"/>
      <c r="P105" s="57"/>
      <c r="Q105" s="57"/>
      <c r="R105" s="57">
        <f>+SUM(R106:R109)</f>
        <v>3030.5000000000005</v>
      </c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>
        <v>26343.64</v>
      </c>
      <c r="AH105" s="57"/>
      <c r="AI105" s="51">
        <f t="shared" si="1"/>
        <v>29374.14</v>
      </c>
      <c r="AJ105" s="7"/>
      <c r="AK105" s="7"/>
    </row>
    <row r="106" spans="1:37" ht="20.25" hidden="1" customHeight="1">
      <c r="A106" s="88"/>
      <c r="B106" s="59" t="s">
        <v>275</v>
      </c>
      <c r="C106" s="60" t="s">
        <v>131</v>
      </c>
      <c r="D106" s="89" t="s">
        <v>271</v>
      </c>
      <c r="E106" s="90"/>
      <c r="F106" s="85" t="s">
        <v>2524</v>
      </c>
      <c r="G106" s="91"/>
      <c r="H106" s="56">
        <f t="shared" si="4"/>
        <v>575.87</v>
      </c>
      <c r="I106" s="57"/>
      <c r="J106" s="57"/>
      <c r="K106" s="57"/>
      <c r="L106" s="57"/>
      <c r="M106" s="57"/>
      <c r="N106" s="57">
        <f>13.7+0.07</f>
        <v>13.77</v>
      </c>
      <c r="O106" s="57"/>
      <c r="P106" s="57"/>
      <c r="Q106" s="57"/>
      <c r="R106" s="57">
        <v>562.1</v>
      </c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1">
        <f t="shared" si="1"/>
        <v>575.87</v>
      </c>
      <c r="AJ106" s="7"/>
      <c r="AK106" s="7"/>
    </row>
    <row r="107" spans="1:37" ht="20.25" hidden="1" customHeight="1">
      <c r="A107" s="88"/>
      <c r="B107" s="59" t="s">
        <v>276</v>
      </c>
      <c r="C107" s="60" t="s">
        <v>200</v>
      </c>
      <c r="D107" s="89" t="s">
        <v>271</v>
      </c>
      <c r="E107" s="90"/>
      <c r="F107" s="85" t="s">
        <v>2524</v>
      </c>
      <c r="G107" s="91"/>
      <c r="H107" s="56">
        <f t="shared" si="4"/>
        <v>363.3</v>
      </c>
      <c r="I107" s="57"/>
      <c r="J107" s="57"/>
      <c r="K107" s="57"/>
      <c r="L107" s="57"/>
      <c r="M107" s="57"/>
      <c r="N107" s="57">
        <v>8</v>
      </c>
      <c r="O107" s="57"/>
      <c r="P107" s="57"/>
      <c r="Q107" s="57"/>
      <c r="R107" s="57">
        <v>355.3</v>
      </c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1">
        <f t="shared" si="1"/>
        <v>363.3</v>
      </c>
      <c r="AJ107" s="7"/>
      <c r="AK107" s="7"/>
    </row>
    <row r="108" spans="1:37" ht="20.25" hidden="1" customHeight="1">
      <c r="A108" s="88"/>
      <c r="B108" s="59" t="s">
        <v>277</v>
      </c>
      <c r="C108" s="60" t="s">
        <v>203</v>
      </c>
      <c r="D108" s="89" t="s">
        <v>271</v>
      </c>
      <c r="E108" s="90"/>
      <c r="F108" s="85" t="s">
        <v>2524</v>
      </c>
      <c r="G108" s="91"/>
      <c r="H108" s="56">
        <f t="shared" si="4"/>
        <v>1174.96</v>
      </c>
      <c r="I108" s="57"/>
      <c r="J108" s="57"/>
      <c r="K108" s="57"/>
      <c r="L108" s="57"/>
      <c r="M108" s="57"/>
      <c r="N108" s="57">
        <v>10.26</v>
      </c>
      <c r="O108" s="57"/>
      <c r="P108" s="57"/>
      <c r="Q108" s="57"/>
      <c r="R108" s="57">
        <v>1164.7</v>
      </c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1">
        <f t="shared" si="1"/>
        <v>1174.96</v>
      </c>
      <c r="AJ108" s="7"/>
      <c r="AK108" s="7"/>
    </row>
    <row r="109" spans="1:37" ht="20.25" hidden="1" customHeight="1">
      <c r="A109" s="88"/>
      <c r="B109" s="59" t="s">
        <v>278</v>
      </c>
      <c r="C109" s="60" t="s">
        <v>159</v>
      </c>
      <c r="D109" s="89" t="s">
        <v>271</v>
      </c>
      <c r="E109" s="90"/>
      <c r="F109" s="85" t="s">
        <v>2524</v>
      </c>
      <c r="G109" s="91"/>
      <c r="H109" s="56">
        <f t="shared" si="4"/>
        <v>1313.7</v>
      </c>
      <c r="I109" s="57"/>
      <c r="J109" s="57"/>
      <c r="K109" s="57"/>
      <c r="L109" s="57"/>
      <c r="M109" s="57"/>
      <c r="N109" s="57">
        <v>365.3</v>
      </c>
      <c r="O109" s="57"/>
      <c r="P109" s="57"/>
      <c r="Q109" s="57"/>
      <c r="R109" s="57">
        <v>948.4</v>
      </c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1">
        <f t="shared" si="1"/>
        <v>1313.7</v>
      </c>
      <c r="AJ109" s="7"/>
      <c r="AK109" s="7"/>
    </row>
    <row r="110" spans="1:37" ht="20.25" hidden="1" customHeight="1">
      <c r="A110" s="95"/>
      <c r="B110" s="86" t="s">
        <v>279</v>
      </c>
      <c r="C110" s="96" t="s">
        <v>280</v>
      </c>
      <c r="D110" s="97" t="s">
        <v>271</v>
      </c>
      <c r="E110" s="98"/>
      <c r="F110" s="85" t="s">
        <v>2524</v>
      </c>
      <c r="G110" s="99"/>
      <c r="H110" s="56">
        <f t="shared" si="4"/>
        <v>3346.1599999999994</v>
      </c>
      <c r="I110" s="57"/>
      <c r="J110" s="57"/>
      <c r="K110" s="57"/>
      <c r="L110" s="57"/>
      <c r="M110" s="57"/>
      <c r="N110" s="57"/>
      <c r="O110" s="57"/>
      <c r="P110" s="57"/>
      <c r="Q110" s="57"/>
      <c r="R110" s="57">
        <f>+SUM(R111:R114)</f>
        <v>2604.5599999999995</v>
      </c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>
        <v>741.6</v>
      </c>
      <c r="AH110" s="57"/>
      <c r="AI110" s="51">
        <f t="shared" si="1"/>
        <v>3346.1599999999994</v>
      </c>
      <c r="AJ110" s="7"/>
      <c r="AK110" s="7"/>
    </row>
    <row r="111" spans="1:37" ht="20.25" hidden="1" customHeight="1">
      <c r="A111" s="58"/>
      <c r="B111" s="59" t="s">
        <v>281</v>
      </c>
      <c r="C111" s="60" t="s">
        <v>131</v>
      </c>
      <c r="D111" s="89" t="s">
        <v>271</v>
      </c>
      <c r="E111" s="90"/>
      <c r="F111" s="85" t="s">
        <v>2524</v>
      </c>
      <c r="G111" s="91"/>
      <c r="H111" s="56">
        <f t="shared" si="4"/>
        <v>1050.79</v>
      </c>
      <c r="I111" s="57"/>
      <c r="J111" s="57"/>
      <c r="K111" s="57"/>
      <c r="L111" s="57"/>
      <c r="M111" s="57"/>
      <c r="N111" s="57"/>
      <c r="O111" s="57"/>
      <c r="P111" s="57"/>
      <c r="Q111" s="57"/>
      <c r="R111" s="57">
        <v>1050.79</v>
      </c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1">
        <f t="shared" si="1"/>
        <v>1050.79</v>
      </c>
      <c r="AJ111" s="7"/>
      <c r="AK111" s="7"/>
    </row>
    <row r="112" spans="1:37" ht="20.25" hidden="1" customHeight="1">
      <c r="A112" s="58"/>
      <c r="B112" s="59" t="s">
        <v>282</v>
      </c>
      <c r="C112" s="60" t="s">
        <v>200</v>
      </c>
      <c r="D112" s="89" t="s">
        <v>271</v>
      </c>
      <c r="E112" s="90"/>
      <c r="F112" s="85" t="s">
        <v>2524</v>
      </c>
      <c r="G112" s="91"/>
      <c r="H112" s="56">
        <f t="shared" si="4"/>
        <v>530.17999999999995</v>
      </c>
      <c r="I112" s="57"/>
      <c r="J112" s="57"/>
      <c r="K112" s="57"/>
      <c r="L112" s="57"/>
      <c r="M112" s="57"/>
      <c r="N112" s="57"/>
      <c r="O112" s="57"/>
      <c r="P112" s="57"/>
      <c r="Q112" s="57"/>
      <c r="R112" s="57">
        <v>530.17999999999995</v>
      </c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1">
        <f t="shared" si="1"/>
        <v>530.17999999999995</v>
      </c>
      <c r="AJ112" s="7"/>
      <c r="AK112" s="7"/>
    </row>
    <row r="113" spans="1:37" ht="20.25" hidden="1" customHeight="1">
      <c r="A113" s="58"/>
      <c r="B113" s="59" t="s">
        <v>283</v>
      </c>
      <c r="C113" s="60" t="s">
        <v>203</v>
      </c>
      <c r="D113" s="89" t="s">
        <v>271</v>
      </c>
      <c r="E113" s="90"/>
      <c r="F113" s="85" t="s">
        <v>2524</v>
      </c>
      <c r="G113" s="91"/>
      <c r="H113" s="56">
        <f t="shared" si="4"/>
        <v>409.37</v>
      </c>
      <c r="I113" s="57"/>
      <c r="J113" s="57"/>
      <c r="K113" s="57"/>
      <c r="L113" s="57"/>
      <c r="M113" s="57"/>
      <c r="N113" s="57"/>
      <c r="O113" s="57"/>
      <c r="P113" s="57"/>
      <c r="Q113" s="57"/>
      <c r="R113" s="57">
        <v>409.37</v>
      </c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1">
        <f t="shared" si="1"/>
        <v>409.37</v>
      </c>
      <c r="AJ113" s="7"/>
      <c r="AK113" s="7"/>
    </row>
    <row r="114" spans="1:37" ht="20.25" hidden="1" customHeight="1">
      <c r="A114" s="58"/>
      <c r="B114" s="59" t="s">
        <v>284</v>
      </c>
      <c r="C114" s="60" t="s">
        <v>159</v>
      </c>
      <c r="D114" s="89" t="s">
        <v>271</v>
      </c>
      <c r="E114" s="90"/>
      <c r="F114" s="85" t="s">
        <v>2524</v>
      </c>
      <c r="G114" s="91"/>
      <c r="H114" s="56">
        <f t="shared" si="4"/>
        <v>614.22</v>
      </c>
      <c r="I114" s="57"/>
      <c r="J114" s="57"/>
      <c r="K114" s="57"/>
      <c r="L114" s="57"/>
      <c r="M114" s="57"/>
      <c r="N114" s="57"/>
      <c r="O114" s="57"/>
      <c r="P114" s="57"/>
      <c r="Q114" s="57"/>
      <c r="R114" s="57">
        <v>614.22</v>
      </c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1">
        <f t="shared" si="1"/>
        <v>614.22</v>
      </c>
      <c r="AJ114" s="7"/>
      <c r="AK114" s="7"/>
    </row>
    <row r="115" spans="1:37" ht="20.25" hidden="1" customHeight="1">
      <c r="A115" s="52"/>
      <c r="B115" s="53" t="s">
        <v>285</v>
      </c>
      <c r="C115" s="54" t="s">
        <v>286</v>
      </c>
      <c r="D115" s="97" t="s">
        <v>271</v>
      </c>
      <c r="E115" s="98"/>
      <c r="F115" s="85" t="s">
        <v>2524</v>
      </c>
      <c r="G115" s="99"/>
      <c r="H115" s="56">
        <f t="shared" si="4"/>
        <v>0</v>
      </c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1">
        <f t="shared" si="1"/>
        <v>0</v>
      </c>
      <c r="AJ115" s="7"/>
      <c r="AK115" s="7"/>
    </row>
    <row r="116" spans="1:37" ht="20.25" hidden="1" customHeight="1">
      <c r="A116" s="95"/>
      <c r="B116" s="86" t="s">
        <v>287</v>
      </c>
      <c r="C116" s="96" t="s">
        <v>288</v>
      </c>
      <c r="D116" s="97" t="s">
        <v>271</v>
      </c>
      <c r="E116" s="98"/>
      <c r="F116" s="85" t="s">
        <v>2524</v>
      </c>
      <c r="G116" s="99"/>
      <c r="H116" s="56">
        <f t="shared" si="4"/>
        <v>0</v>
      </c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1">
        <f t="shared" si="1"/>
        <v>0</v>
      </c>
      <c r="AJ116" s="7"/>
      <c r="AK116" s="7"/>
    </row>
    <row r="117" spans="1:37" ht="20.25" hidden="1" customHeight="1">
      <c r="A117" s="88"/>
      <c r="B117" s="59" t="s">
        <v>289</v>
      </c>
      <c r="C117" s="60" t="s">
        <v>131</v>
      </c>
      <c r="D117" s="89" t="s">
        <v>271</v>
      </c>
      <c r="E117" s="90"/>
      <c r="F117" s="85" t="s">
        <v>2524</v>
      </c>
      <c r="G117" s="91"/>
      <c r="H117" s="56">
        <f t="shared" si="4"/>
        <v>0</v>
      </c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1">
        <f t="shared" si="1"/>
        <v>0</v>
      </c>
      <c r="AJ117" s="7"/>
      <c r="AK117" s="7"/>
    </row>
    <row r="118" spans="1:37" ht="20.25" hidden="1" customHeight="1">
      <c r="A118" s="88"/>
      <c r="B118" s="59" t="s">
        <v>290</v>
      </c>
      <c r="C118" s="60" t="s">
        <v>200</v>
      </c>
      <c r="D118" s="89" t="s">
        <v>271</v>
      </c>
      <c r="E118" s="90"/>
      <c r="F118" s="85" t="s">
        <v>2524</v>
      </c>
      <c r="G118" s="91"/>
      <c r="H118" s="56">
        <f t="shared" si="4"/>
        <v>0</v>
      </c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1">
        <f t="shared" si="1"/>
        <v>0</v>
      </c>
      <c r="AJ118" s="7"/>
      <c r="AK118" s="7"/>
    </row>
    <row r="119" spans="1:37" ht="20.25" hidden="1" customHeight="1">
      <c r="A119" s="88"/>
      <c r="B119" s="59" t="s">
        <v>291</v>
      </c>
      <c r="C119" s="60" t="s">
        <v>203</v>
      </c>
      <c r="D119" s="89" t="s">
        <v>271</v>
      </c>
      <c r="E119" s="90"/>
      <c r="F119" s="85" t="s">
        <v>2524</v>
      </c>
      <c r="G119" s="91"/>
      <c r="H119" s="56">
        <f t="shared" si="4"/>
        <v>0</v>
      </c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1">
        <f t="shared" si="1"/>
        <v>0</v>
      </c>
      <c r="AJ119" s="7"/>
      <c r="AK119" s="7"/>
    </row>
    <row r="120" spans="1:37" ht="20.25" hidden="1" customHeight="1">
      <c r="A120" s="88"/>
      <c r="B120" s="59" t="s">
        <v>292</v>
      </c>
      <c r="C120" s="60" t="s">
        <v>159</v>
      </c>
      <c r="D120" s="89" t="s">
        <v>271</v>
      </c>
      <c r="E120" s="90"/>
      <c r="F120" s="85" t="s">
        <v>2524</v>
      </c>
      <c r="G120" s="91"/>
      <c r="H120" s="56">
        <f t="shared" si="4"/>
        <v>0</v>
      </c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1">
        <f t="shared" si="1"/>
        <v>0</v>
      </c>
      <c r="AJ120" s="7"/>
      <c r="AK120" s="7"/>
    </row>
    <row r="121" spans="1:37" ht="20.25" hidden="1" customHeight="1">
      <c r="A121" s="95"/>
      <c r="B121" s="86" t="s">
        <v>293</v>
      </c>
      <c r="C121" s="96" t="s">
        <v>294</v>
      </c>
      <c r="D121" s="97" t="s">
        <v>271</v>
      </c>
      <c r="E121" s="98"/>
      <c r="F121" s="85" t="s">
        <v>2524</v>
      </c>
      <c r="G121" s="99"/>
      <c r="H121" s="56">
        <f t="shared" si="4"/>
        <v>0</v>
      </c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1">
        <f t="shared" si="1"/>
        <v>0</v>
      </c>
      <c r="AJ121" s="7"/>
      <c r="AK121" s="7"/>
    </row>
    <row r="122" spans="1:37" ht="20.25" hidden="1" customHeight="1">
      <c r="A122" s="88"/>
      <c r="B122" s="59" t="s">
        <v>295</v>
      </c>
      <c r="C122" s="60" t="s">
        <v>131</v>
      </c>
      <c r="D122" s="89" t="s">
        <v>271</v>
      </c>
      <c r="E122" s="90"/>
      <c r="F122" s="85" t="s">
        <v>2524</v>
      </c>
      <c r="G122" s="91"/>
      <c r="H122" s="56">
        <f t="shared" si="4"/>
        <v>0</v>
      </c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1">
        <f t="shared" si="1"/>
        <v>0</v>
      </c>
      <c r="AJ122" s="7"/>
      <c r="AK122" s="7"/>
    </row>
    <row r="123" spans="1:37" ht="20.25" hidden="1" customHeight="1">
      <c r="A123" s="88"/>
      <c r="B123" s="59" t="s">
        <v>296</v>
      </c>
      <c r="C123" s="60" t="s">
        <v>200</v>
      </c>
      <c r="D123" s="89" t="s">
        <v>271</v>
      </c>
      <c r="E123" s="90"/>
      <c r="F123" s="85" t="s">
        <v>2524</v>
      </c>
      <c r="G123" s="91"/>
      <c r="H123" s="56">
        <f t="shared" si="4"/>
        <v>0</v>
      </c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1">
        <f t="shared" si="1"/>
        <v>0</v>
      </c>
      <c r="AJ123" s="7"/>
      <c r="AK123" s="7"/>
    </row>
    <row r="124" spans="1:37" ht="20.25" hidden="1" customHeight="1">
      <c r="A124" s="88"/>
      <c r="B124" s="59" t="s">
        <v>297</v>
      </c>
      <c r="C124" s="60" t="s">
        <v>203</v>
      </c>
      <c r="D124" s="89" t="s">
        <v>271</v>
      </c>
      <c r="E124" s="90"/>
      <c r="F124" s="85" t="s">
        <v>2524</v>
      </c>
      <c r="G124" s="91"/>
      <c r="H124" s="56">
        <f t="shared" si="4"/>
        <v>0</v>
      </c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1">
        <f t="shared" si="1"/>
        <v>0</v>
      </c>
      <c r="AJ124" s="7"/>
      <c r="AK124" s="7"/>
    </row>
    <row r="125" spans="1:37" ht="20.25" hidden="1" customHeight="1">
      <c r="A125" s="88"/>
      <c r="B125" s="59" t="s">
        <v>298</v>
      </c>
      <c r="C125" s="60" t="s">
        <v>159</v>
      </c>
      <c r="D125" s="89" t="s">
        <v>271</v>
      </c>
      <c r="E125" s="90"/>
      <c r="F125" s="85" t="s">
        <v>2524</v>
      </c>
      <c r="G125" s="91"/>
      <c r="H125" s="56">
        <f t="shared" si="4"/>
        <v>0</v>
      </c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1">
        <f t="shared" si="1"/>
        <v>0</v>
      </c>
      <c r="AJ125" s="7"/>
      <c r="AK125" s="7"/>
    </row>
    <row r="126" spans="1:37" ht="20.25" customHeight="1">
      <c r="A126" s="52"/>
      <c r="B126" s="53" t="s">
        <v>299</v>
      </c>
      <c r="C126" s="54" t="s">
        <v>300</v>
      </c>
      <c r="D126" s="17" t="s">
        <v>271</v>
      </c>
      <c r="E126" s="55" t="s">
        <v>301</v>
      </c>
      <c r="F126" s="85" t="s">
        <v>2524</v>
      </c>
      <c r="G126" s="22" t="s">
        <v>271</v>
      </c>
      <c r="H126" s="56">
        <f t="shared" si="4"/>
        <v>63349.760000000002</v>
      </c>
      <c r="I126" s="57">
        <f>469+148.9</f>
        <v>617.9</v>
      </c>
      <c r="J126" s="57">
        <v>746.43</v>
      </c>
      <c r="K126" s="57">
        <v>1448.14</v>
      </c>
      <c r="L126" s="57">
        <v>820.6</v>
      </c>
      <c r="M126" s="57">
        <v>2669</v>
      </c>
      <c r="N126" s="57">
        <v>3.05</v>
      </c>
      <c r="O126" s="57">
        <v>12890.8</v>
      </c>
      <c r="P126" s="57">
        <f>+SUM(P127:P130)</f>
        <v>1611</v>
      </c>
      <c r="Q126" s="57">
        <v>812.84</v>
      </c>
      <c r="R126" s="57">
        <f>+SUM(R127:R130)</f>
        <v>2191.4399999999996</v>
      </c>
      <c r="S126" s="57">
        <v>2846.9</v>
      </c>
      <c r="T126" s="57">
        <f>0.6+2.14+3</f>
        <v>5.74</v>
      </c>
      <c r="U126" s="57">
        <v>57.3</v>
      </c>
      <c r="V126" s="57">
        <v>1467.31</v>
      </c>
      <c r="W126" s="57">
        <f>10256+2926</f>
        <v>13182</v>
      </c>
      <c r="X126" s="57">
        <v>2978</v>
      </c>
      <c r="Y126" s="57">
        <v>1643</v>
      </c>
      <c r="Z126" s="57">
        <v>4904</v>
      </c>
      <c r="AA126" s="57">
        <v>2536</v>
      </c>
      <c r="AB126" s="57">
        <v>2296</v>
      </c>
      <c r="AC126" s="57">
        <v>1250.1400000000001</v>
      </c>
      <c r="AD126" s="57">
        <v>557</v>
      </c>
      <c r="AE126" s="57">
        <v>304.8</v>
      </c>
      <c r="AF126" s="57">
        <v>3200</v>
      </c>
      <c r="AG126" s="57">
        <v>1671.22</v>
      </c>
      <c r="AH126" s="57">
        <v>639.15</v>
      </c>
      <c r="AI126" s="51">
        <f t="shared" si="1"/>
        <v>63349.760000000002</v>
      </c>
      <c r="AJ126" s="7"/>
      <c r="AK126" s="7"/>
    </row>
    <row r="127" spans="1:37" ht="19.5" hidden="1" customHeight="1">
      <c r="A127" s="58"/>
      <c r="B127" s="59" t="s">
        <v>302</v>
      </c>
      <c r="C127" s="60" t="s">
        <v>131</v>
      </c>
      <c r="D127" s="89" t="s">
        <v>271</v>
      </c>
      <c r="E127" s="90"/>
      <c r="F127" s="85" t="s">
        <v>2514</v>
      </c>
      <c r="G127" s="91"/>
      <c r="H127" s="56">
        <f t="shared" si="4"/>
        <v>2240.33</v>
      </c>
      <c r="I127" s="57"/>
      <c r="J127" s="57"/>
      <c r="K127" s="57"/>
      <c r="L127" s="57"/>
      <c r="M127" s="57"/>
      <c r="N127" s="57"/>
      <c r="O127" s="57"/>
      <c r="P127" s="57">
        <v>1455</v>
      </c>
      <c r="Q127" s="57"/>
      <c r="R127" s="57">
        <v>785.33</v>
      </c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1">
        <f t="shared" si="1"/>
        <v>2240.33</v>
      </c>
      <c r="AJ127" s="7"/>
      <c r="AK127" s="7"/>
    </row>
    <row r="128" spans="1:37" ht="20.25" hidden="1" customHeight="1">
      <c r="A128" s="58"/>
      <c r="B128" s="59" t="s">
        <v>303</v>
      </c>
      <c r="C128" s="60" t="s">
        <v>200</v>
      </c>
      <c r="D128" s="89" t="s">
        <v>271</v>
      </c>
      <c r="E128" s="90"/>
      <c r="F128" s="85" t="s">
        <v>2514</v>
      </c>
      <c r="G128" s="91"/>
      <c r="H128" s="56">
        <f t="shared" si="4"/>
        <v>206.8</v>
      </c>
      <c r="I128" s="57"/>
      <c r="J128" s="57"/>
      <c r="K128" s="57"/>
      <c r="L128" s="57"/>
      <c r="M128" s="57"/>
      <c r="N128" s="57"/>
      <c r="O128" s="57"/>
      <c r="P128" s="57">
        <v>146</v>
      </c>
      <c r="Q128" s="57"/>
      <c r="R128" s="57">
        <v>60.8</v>
      </c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1">
        <f t="shared" si="1"/>
        <v>206.8</v>
      </c>
      <c r="AJ128" s="7"/>
      <c r="AK128" s="7"/>
    </row>
    <row r="129" spans="1:37" ht="20.25" hidden="1" customHeight="1">
      <c r="A129" s="58"/>
      <c r="B129" s="59" t="s">
        <v>304</v>
      </c>
      <c r="C129" s="60" t="s">
        <v>203</v>
      </c>
      <c r="D129" s="89" t="s">
        <v>271</v>
      </c>
      <c r="E129" s="90"/>
      <c r="F129" s="85" t="s">
        <v>2514</v>
      </c>
      <c r="G129" s="91"/>
      <c r="H129" s="56">
        <f t="shared" si="4"/>
        <v>238.2</v>
      </c>
      <c r="I129" s="57"/>
      <c r="J129" s="57"/>
      <c r="K129" s="57"/>
      <c r="L129" s="57"/>
      <c r="M129" s="57"/>
      <c r="N129" s="57"/>
      <c r="O129" s="57"/>
      <c r="P129" s="57"/>
      <c r="Q129" s="57"/>
      <c r="R129" s="57">
        <v>238.2</v>
      </c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1">
        <f t="shared" si="1"/>
        <v>238.2</v>
      </c>
      <c r="AJ129" s="7"/>
      <c r="AK129" s="7"/>
    </row>
    <row r="130" spans="1:37" ht="20.25" hidden="1" customHeight="1">
      <c r="A130" s="58"/>
      <c r="B130" s="59" t="s">
        <v>305</v>
      </c>
      <c r="C130" s="60" t="s">
        <v>159</v>
      </c>
      <c r="D130" s="89" t="s">
        <v>271</v>
      </c>
      <c r="E130" s="90"/>
      <c r="F130" s="85" t="s">
        <v>2514</v>
      </c>
      <c r="G130" s="91"/>
      <c r="H130" s="56">
        <f t="shared" si="4"/>
        <v>1117.1099999999999</v>
      </c>
      <c r="I130" s="57"/>
      <c r="J130" s="57"/>
      <c r="K130" s="57"/>
      <c r="L130" s="57"/>
      <c r="M130" s="57"/>
      <c r="N130" s="57"/>
      <c r="O130" s="57"/>
      <c r="P130" s="57">
        <v>10</v>
      </c>
      <c r="Q130" s="57"/>
      <c r="R130" s="57">
        <v>1107.1099999999999</v>
      </c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1">
        <f t="shared" si="1"/>
        <v>1117.1099999999999</v>
      </c>
      <c r="AJ130" s="7"/>
      <c r="AK130" s="7"/>
    </row>
    <row r="131" spans="1:37" ht="33.75" customHeight="1">
      <c r="A131" s="52"/>
      <c r="B131" s="86" t="s">
        <v>306</v>
      </c>
      <c r="C131" s="54" t="s">
        <v>307</v>
      </c>
      <c r="D131" s="17" t="s">
        <v>308</v>
      </c>
      <c r="E131" s="85" t="s">
        <v>309</v>
      </c>
      <c r="F131" s="85" t="s">
        <v>2524</v>
      </c>
      <c r="G131" s="22"/>
      <c r="H131" s="56">
        <f t="shared" si="4"/>
        <v>2287529</v>
      </c>
      <c r="I131" s="57"/>
      <c r="J131" s="57"/>
      <c r="K131" s="57">
        <v>162585</v>
      </c>
      <c r="L131" s="57"/>
      <c r="M131" s="57"/>
      <c r="N131" s="57"/>
      <c r="O131" s="57"/>
      <c r="P131" s="57">
        <f>1322+2300+90</f>
        <v>3712</v>
      </c>
      <c r="Q131" s="57">
        <v>172665</v>
      </c>
      <c r="R131" s="57"/>
      <c r="S131" s="57"/>
      <c r="T131" s="57"/>
      <c r="U131" s="57"/>
      <c r="V131" s="57"/>
      <c r="W131" s="57"/>
      <c r="X131" s="57">
        <v>695230</v>
      </c>
      <c r="Y131" s="57"/>
      <c r="Z131" s="57">
        <v>240351</v>
      </c>
      <c r="AA131" s="57">
        <v>820</v>
      </c>
      <c r="AB131" s="57"/>
      <c r="AC131" s="57"/>
      <c r="AD131" s="57">
        <v>20539</v>
      </c>
      <c r="AE131" s="57"/>
      <c r="AF131" s="57">
        <v>566834</v>
      </c>
      <c r="AG131" s="57">
        <v>424793</v>
      </c>
      <c r="AH131" s="57"/>
      <c r="AI131" s="51">
        <f t="shared" si="1"/>
        <v>2287529</v>
      </c>
      <c r="AJ131" s="7"/>
      <c r="AK131" s="7"/>
    </row>
    <row r="132" spans="1:37" ht="20.25" hidden="1" customHeight="1">
      <c r="A132" s="58"/>
      <c r="B132" s="59" t="s">
        <v>310</v>
      </c>
      <c r="C132" s="60" t="s">
        <v>131</v>
      </c>
      <c r="D132" s="89" t="s">
        <v>308</v>
      </c>
      <c r="E132" s="90"/>
      <c r="F132" s="85" t="s">
        <v>2524</v>
      </c>
      <c r="G132" s="91"/>
      <c r="H132" s="56">
        <f t="shared" si="4"/>
        <v>0</v>
      </c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1">
        <f t="shared" si="1"/>
        <v>0</v>
      </c>
      <c r="AJ132" s="7"/>
      <c r="AK132" s="7"/>
    </row>
    <row r="133" spans="1:37" ht="20.25" hidden="1" customHeight="1">
      <c r="A133" s="58"/>
      <c r="B133" s="59" t="s">
        <v>311</v>
      </c>
      <c r="C133" s="60" t="s">
        <v>200</v>
      </c>
      <c r="D133" s="89" t="s">
        <v>308</v>
      </c>
      <c r="E133" s="90"/>
      <c r="F133" s="85" t="s">
        <v>2524</v>
      </c>
      <c r="G133" s="91"/>
      <c r="H133" s="56">
        <f t="shared" si="4"/>
        <v>0</v>
      </c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1">
        <f t="shared" si="1"/>
        <v>0</v>
      </c>
      <c r="AJ133" s="7"/>
      <c r="AK133" s="7"/>
    </row>
    <row r="134" spans="1:37" ht="20.25" hidden="1" customHeight="1">
      <c r="A134" s="58"/>
      <c r="B134" s="59" t="s">
        <v>312</v>
      </c>
      <c r="C134" s="60" t="s">
        <v>203</v>
      </c>
      <c r="D134" s="89" t="s">
        <v>308</v>
      </c>
      <c r="E134" s="90"/>
      <c r="F134" s="85" t="s">
        <v>2524</v>
      </c>
      <c r="G134" s="91"/>
      <c r="H134" s="56">
        <f t="shared" si="4"/>
        <v>0</v>
      </c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1">
        <f t="shared" si="1"/>
        <v>0</v>
      </c>
      <c r="AJ134" s="7"/>
      <c r="AK134" s="7"/>
    </row>
    <row r="135" spans="1:37" ht="20.25" hidden="1" customHeight="1">
      <c r="A135" s="58"/>
      <c r="B135" s="59" t="s">
        <v>313</v>
      </c>
      <c r="C135" s="60" t="s">
        <v>159</v>
      </c>
      <c r="D135" s="89" t="s">
        <v>308</v>
      </c>
      <c r="E135" s="90"/>
      <c r="F135" s="85" t="s">
        <v>2524</v>
      </c>
      <c r="G135" s="91"/>
      <c r="H135" s="56">
        <f t="shared" si="4"/>
        <v>0</v>
      </c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1">
        <f t="shared" si="1"/>
        <v>0</v>
      </c>
      <c r="AJ135" s="7"/>
      <c r="AK135" s="7"/>
    </row>
    <row r="136" spans="1:37" ht="20.25" customHeight="1">
      <c r="A136" s="52"/>
      <c r="B136" s="53" t="s">
        <v>314</v>
      </c>
      <c r="C136" s="38" t="s">
        <v>315</v>
      </c>
      <c r="D136" s="17" t="s">
        <v>271</v>
      </c>
      <c r="E136" s="85" t="s">
        <v>316</v>
      </c>
      <c r="F136" s="85" t="s">
        <v>2524</v>
      </c>
      <c r="G136" s="22"/>
      <c r="H136" s="56">
        <f t="shared" si="4"/>
        <v>17964.84</v>
      </c>
      <c r="I136" s="57"/>
      <c r="J136" s="57">
        <v>40.14</v>
      </c>
      <c r="K136" s="57">
        <v>817.38</v>
      </c>
      <c r="L136" s="57"/>
      <c r="M136" s="57">
        <v>394</v>
      </c>
      <c r="N136" s="57"/>
      <c r="O136" s="57"/>
      <c r="P136" s="57">
        <f>+SUM(P137:P140)</f>
        <v>695</v>
      </c>
      <c r="Q136" s="57">
        <v>860.29</v>
      </c>
      <c r="R136" s="57">
        <f>+SUM(R137:R140)</f>
        <v>395.84999999999997</v>
      </c>
      <c r="S136" s="57"/>
      <c r="T136" s="57"/>
      <c r="U136" s="57">
        <v>75.099999999999994</v>
      </c>
      <c r="V136" s="57">
        <v>72.58</v>
      </c>
      <c r="W136" s="57"/>
      <c r="X136" s="57"/>
      <c r="Y136" s="57"/>
      <c r="Z136" s="57">
        <v>11124</v>
      </c>
      <c r="AA136" s="57"/>
      <c r="AB136" s="57"/>
      <c r="AC136" s="57"/>
      <c r="AD136" s="57">
        <v>557</v>
      </c>
      <c r="AE136" s="57"/>
      <c r="AF136" s="57">
        <v>2383</v>
      </c>
      <c r="AG136" s="57">
        <v>452.92</v>
      </c>
      <c r="AH136" s="57">
        <v>97.58</v>
      </c>
      <c r="AI136" s="51">
        <f t="shared" si="1"/>
        <v>17964.84</v>
      </c>
      <c r="AJ136" s="7"/>
      <c r="AK136" s="7"/>
    </row>
    <row r="137" spans="1:37" ht="20.25" hidden="1" customHeight="1">
      <c r="A137" s="88"/>
      <c r="B137" s="59" t="s">
        <v>317</v>
      </c>
      <c r="C137" s="60" t="s">
        <v>131</v>
      </c>
      <c r="D137" s="89" t="s">
        <v>271</v>
      </c>
      <c r="E137" s="90"/>
      <c r="F137" s="85" t="s">
        <v>2524</v>
      </c>
      <c r="G137" s="91"/>
      <c r="H137" s="56">
        <f t="shared" si="4"/>
        <v>956.05</v>
      </c>
      <c r="I137" s="57"/>
      <c r="J137" s="57"/>
      <c r="K137" s="57"/>
      <c r="L137" s="57"/>
      <c r="M137" s="57"/>
      <c r="N137" s="57"/>
      <c r="O137" s="57"/>
      <c r="P137" s="57">
        <v>658</v>
      </c>
      <c r="Q137" s="57"/>
      <c r="R137" s="57">
        <v>298.05</v>
      </c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1">
        <f t="shared" si="1"/>
        <v>956.05</v>
      </c>
      <c r="AJ137" s="7"/>
      <c r="AK137" s="7"/>
    </row>
    <row r="138" spans="1:37" ht="20.25" hidden="1" customHeight="1">
      <c r="A138" s="88"/>
      <c r="B138" s="59" t="s">
        <v>318</v>
      </c>
      <c r="C138" s="60" t="s">
        <v>200</v>
      </c>
      <c r="D138" s="89" t="s">
        <v>271</v>
      </c>
      <c r="E138" s="90"/>
      <c r="F138" s="85" t="s">
        <v>2524</v>
      </c>
      <c r="G138" s="91"/>
      <c r="H138" s="56">
        <f t="shared" si="4"/>
        <v>46.7</v>
      </c>
      <c r="I138" s="57"/>
      <c r="J138" s="57"/>
      <c r="K138" s="57"/>
      <c r="L138" s="57"/>
      <c r="M138" s="57"/>
      <c r="N138" s="57"/>
      <c r="O138" s="57"/>
      <c r="P138" s="57">
        <v>33</v>
      </c>
      <c r="Q138" s="57"/>
      <c r="R138" s="57">
        <v>13.7</v>
      </c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1">
        <f t="shared" si="1"/>
        <v>46.7</v>
      </c>
      <c r="AJ138" s="7"/>
      <c r="AK138" s="7"/>
    </row>
    <row r="139" spans="1:37" ht="20.25" hidden="1" customHeight="1">
      <c r="A139" s="88"/>
      <c r="B139" s="59" t="s">
        <v>319</v>
      </c>
      <c r="C139" s="60" t="s">
        <v>203</v>
      </c>
      <c r="D139" s="89" t="s">
        <v>271</v>
      </c>
      <c r="E139" s="90"/>
      <c r="F139" s="85" t="s">
        <v>2524</v>
      </c>
      <c r="G139" s="91"/>
      <c r="H139" s="56">
        <f t="shared" si="4"/>
        <v>25.7</v>
      </c>
      <c r="I139" s="57"/>
      <c r="J139" s="57"/>
      <c r="K139" s="57"/>
      <c r="L139" s="57"/>
      <c r="M139" s="57"/>
      <c r="N139" s="57"/>
      <c r="O139" s="57"/>
      <c r="P139" s="57"/>
      <c r="Q139" s="57"/>
      <c r="R139" s="57">
        <v>25.7</v>
      </c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1">
        <f t="shared" si="1"/>
        <v>25.7</v>
      </c>
      <c r="AJ139" s="7"/>
      <c r="AK139" s="7"/>
    </row>
    <row r="140" spans="1:37" ht="20.25" hidden="1" customHeight="1">
      <c r="A140" s="88"/>
      <c r="B140" s="59" t="s">
        <v>320</v>
      </c>
      <c r="C140" s="60" t="s">
        <v>159</v>
      </c>
      <c r="D140" s="89" t="s">
        <v>271</v>
      </c>
      <c r="E140" s="90"/>
      <c r="F140" s="85" t="s">
        <v>2524</v>
      </c>
      <c r="G140" s="91"/>
      <c r="H140" s="56">
        <f t="shared" si="4"/>
        <v>62.4</v>
      </c>
      <c r="I140" s="57"/>
      <c r="J140" s="57"/>
      <c r="K140" s="57"/>
      <c r="L140" s="57"/>
      <c r="M140" s="57"/>
      <c r="N140" s="57"/>
      <c r="O140" s="57"/>
      <c r="P140" s="57">
        <v>4</v>
      </c>
      <c r="Q140" s="57"/>
      <c r="R140" s="57">
        <v>58.4</v>
      </c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1">
        <f t="shared" si="1"/>
        <v>62.4</v>
      </c>
      <c r="AJ140" s="7"/>
      <c r="AK140" s="7"/>
    </row>
    <row r="141" spans="1:37" ht="20.25" customHeight="1">
      <c r="A141" s="52"/>
      <c r="B141" s="53" t="s">
        <v>321</v>
      </c>
      <c r="C141" s="38" t="s">
        <v>322</v>
      </c>
      <c r="D141" s="17" t="s">
        <v>271</v>
      </c>
      <c r="E141" s="85" t="s">
        <v>323</v>
      </c>
      <c r="F141" s="85" t="s">
        <v>2524</v>
      </c>
      <c r="G141" s="22"/>
      <c r="H141" s="56">
        <f t="shared" si="4"/>
        <v>10061.737999999999</v>
      </c>
      <c r="I141" s="57"/>
      <c r="J141" s="57">
        <v>293.92</v>
      </c>
      <c r="K141" s="57">
        <v>681.13</v>
      </c>
      <c r="L141" s="57"/>
      <c r="M141" s="57"/>
      <c r="N141" s="57"/>
      <c r="O141" s="57">
        <v>539.20000000000005</v>
      </c>
      <c r="P141" s="57"/>
      <c r="Q141" s="57">
        <v>343.82</v>
      </c>
      <c r="R141" s="57">
        <f>+SUM(R142:R145)</f>
        <v>635.4</v>
      </c>
      <c r="S141" s="57"/>
      <c r="T141" s="57"/>
      <c r="U141" s="57">
        <v>751.4</v>
      </c>
      <c r="V141" s="57">
        <v>831.94</v>
      </c>
      <c r="W141" s="57"/>
      <c r="X141" s="57"/>
      <c r="Y141" s="57"/>
      <c r="Z141" s="57">
        <v>1014</v>
      </c>
      <c r="AA141" s="57">
        <v>1922</v>
      </c>
      <c r="AB141" s="57"/>
      <c r="AC141" s="57"/>
      <c r="AD141" s="57">
        <v>656</v>
      </c>
      <c r="AE141" s="57">
        <v>107</v>
      </c>
      <c r="AF141" s="57">
        <v>678</v>
      </c>
      <c r="AG141" s="57">
        <v>417.108</v>
      </c>
      <c r="AH141" s="57">
        <v>1190.82</v>
      </c>
      <c r="AI141" s="51">
        <f t="shared" si="1"/>
        <v>10061.737999999999</v>
      </c>
      <c r="AJ141" s="7"/>
      <c r="AK141" s="7"/>
    </row>
    <row r="142" spans="1:37" ht="20.25" hidden="1" customHeight="1">
      <c r="A142" s="88"/>
      <c r="B142" s="59" t="s">
        <v>324</v>
      </c>
      <c r="C142" s="60" t="s">
        <v>131</v>
      </c>
      <c r="D142" s="89" t="s">
        <v>271</v>
      </c>
      <c r="E142" s="90"/>
      <c r="F142" s="85" t="s">
        <v>2524</v>
      </c>
      <c r="G142" s="91"/>
      <c r="H142" s="56">
        <f t="shared" si="4"/>
        <v>179.9</v>
      </c>
      <c r="I142" s="57"/>
      <c r="J142" s="57"/>
      <c r="K142" s="57"/>
      <c r="L142" s="57"/>
      <c r="M142" s="57"/>
      <c r="N142" s="57"/>
      <c r="O142" s="57"/>
      <c r="P142" s="57"/>
      <c r="Q142" s="57"/>
      <c r="R142" s="57">
        <v>179.9</v>
      </c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1">
        <f t="shared" si="1"/>
        <v>179.9</v>
      </c>
      <c r="AJ142" s="7"/>
      <c r="AK142" s="7"/>
    </row>
    <row r="143" spans="1:37" ht="20.25" hidden="1" customHeight="1">
      <c r="A143" s="88"/>
      <c r="B143" s="59" t="s">
        <v>325</v>
      </c>
      <c r="C143" s="60" t="s">
        <v>200</v>
      </c>
      <c r="D143" s="89" t="s">
        <v>271</v>
      </c>
      <c r="E143" s="90"/>
      <c r="F143" s="85" t="s">
        <v>2524</v>
      </c>
      <c r="G143" s="91"/>
      <c r="H143" s="56">
        <f t="shared" si="4"/>
        <v>251</v>
      </c>
      <c r="I143" s="57"/>
      <c r="J143" s="57"/>
      <c r="K143" s="57"/>
      <c r="L143" s="57"/>
      <c r="M143" s="57"/>
      <c r="N143" s="57"/>
      <c r="O143" s="57"/>
      <c r="P143" s="57"/>
      <c r="Q143" s="57"/>
      <c r="R143" s="57">
        <v>251</v>
      </c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1">
        <f t="shared" si="1"/>
        <v>251</v>
      </c>
      <c r="AJ143" s="7"/>
      <c r="AK143" s="7"/>
    </row>
    <row r="144" spans="1:37" ht="20.25" hidden="1" customHeight="1">
      <c r="A144" s="88"/>
      <c r="B144" s="59" t="s">
        <v>326</v>
      </c>
      <c r="C144" s="60" t="s">
        <v>203</v>
      </c>
      <c r="D144" s="89" t="s">
        <v>271</v>
      </c>
      <c r="E144" s="90"/>
      <c r="F144" s="85" t="s">
        <v>2524</v>
      </c>
      <c r="G144" s="91"/>
      <c r="H144" s="56">
        <f t="shared" si="4"/>
        <v>76.8</v>
      </c>
      <c r="I144" s="57"/>
      <c r="J144" s="57"/>
      <c r="K144" s="57"/>
      <c r="L144" s="57"/>
      <c r="M144" s="57"/>
      <c r="N144" s="57"/>
      <c r="O144" s="57"/>
      <c r="P144" s="57"/>
      <c r="Q144" s="57"/>
      <c r="R144" s="57">
        <v>76.8</v>
      </c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1">
        <f t="shared" si="1"/>
        <v>76.8</v>
      </c>
      <c r="AJ144" s="7"/>
      <c r="AK144" s="7"/>
    </row>
    <row r="145" spans="1:37" ht="20.25" hidden="1" customHeight="1">
      <c r="A145" s="88"/>
      <c r="B145" s="59" t="s">
        <v>327</v>
      </c>
      <c r="C145" s="60" t="s">
        <v>159</v>
      </c>
      <c r="D145" s="89" t="s">
        <v>271</v>
      </c>
      <c r="E145" s="90"/>
      <c r="F145" s="85" t="s">
        <v>2524</v>
      </c>
      <c r="G145" s="91"/>
      <c r="H145" s="56">
        <f t="shared" si="4"/>
        <v>127.7</v>
      </c>
      <c r="I145" s="57"/>
      <c r="J145" s="57"/>
      <c r="K145" s="57"/>
      <c r="L145" s="57"/>
      <c r="M145" s="57"/>
      <c r="N145" s="57"/>
      <c r="O145" s="57"/>
      <c r="P145" s="57"/>
      <c r="Q145" s="57"/>
      <c r="R145" s="57">
        <v>127.7</v>
      </c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1">
        <f t="shared" si="1"/>
        <v>127.7</v>
      </c>
      <c r="AJ145" s="7"/>
      <c r="AK145" s="7"/>
    </row>
    <row r="146" spans="1:37" ht="20.25" customHeight="1">
      <c r="A146" s="52"/>
      <c r="B146" s="53" t="s">
        <v>328</v>
      </c>
      <c r="C146" s="54" t="s">
        <v>329</v>
      </c>
      <c r="D146" s="17" t="s">
        <v>271</v>
      </c>
      <c r="E146" s="85" t="s">
        <v>330</v>
      </c>
      <c r="F146" s="85" t="s">
        <v>2524</v>
      </c>
      <c r="G146" s="22"/>
      <c r="H146" s="56">
        <f t="shared" si="4"/>
        <v>39241.640000000007</v>
      </c>
      <c r="I146" s="57">
        <v>185.2</v>
      </c>
      <c r="J146" s="57">
        <v>3.11</v>
      </c>
      <c r="K146" s="57">
        <v>261.83</v>
      </c>
      <c r="L146" s="57">
        <v>12.9</v>
      </c>
      <c r="M146" s="57"/>
      <c r="N146" s="57"/>
      <c r="O146" s="57">
        <v>802.7</v>
      </c>
      <c r="P146" s="57">
        <f>+SUM(P147:P150)</f>
        <v>101</v>
      </c>
      <c r="Q146" s="57"/>
      <c r="R146" s="57">
        <f>+SUM(R147:R150)</f>
        <v>609.58000000000004</v>
      </c>
      <c r="S146" s="57">
        <v>7482.2</v>
      </c>
      <c r="T146" s="57"/>
      <c r="U146" s="57"/>
      <c r="V146" s="57">
        <v>193.14</v>
      </c>
      <c r="W146" s="57">
        <v>9069</v>
      </c>
      <c r="X146" s="57"/>
      <c r="Y146" s="57"/>
      <c r="Z146" s="57">
        <v>8411</v>
      </c>
      <c r="AA146" s="57">
        <v>8606</v>
      </c>
      <c r="AB146" s="57"/>
      <c r="AC146" s="57">
        <v>1356.75</v>
      </c>
      <c r="AD146" s="57">
        <v>696</v>
      </c>
      <c r="AE146" s="57"/>
      <c r="AF146" s="57">
        <v>1421</v>
      </c>
      <c r="AG146" s="57">
        <v>15.73</v>
      </c>
      <c r="AH146" s="57">
        <v>14.5</v>
      </c>
      <c r="AI146" s="51">
        <f t="shared" si="1"/>
        <v>39241.640000000007</v>
      </c>
      <c r="AJ146" s="7"/>
      <c r="AK146" s="7"/>
    </row>
    <row r="147" spans="1:37" ht="20.25" hidden="1" customHeight="1">
      <c r="A147" s="58"/>
      <c r="B147" s="59" t="s">
        <v>331</v>
      </c>
      <c r="C147" s="60" t="s">
        <v>131</v>
      </c>
      <c r="D147" s="89" t="s">
        <v>271</v>
      </c>
      <c r="E147" s="90"/>
      <c r="F147" s="85" t="s">
        <v>2524</v>
      </c>
      <c r="G147" s="91"/>
      <c r="H147" s="56">
        <f t="shared" si="4"/>
        <v>424.85</v>
      </c>
      <c r="I147" s="57"/>
      <c r="J147" s="57"/>
      <c r="K147" s="57"/>
      <c r="L147" s="57"/>
      <c r="M147" s="57"/>
      <c r="N147" s="57"/>
      <c r="O147" s="57"/>
      <c r="P147" s="57">
        <v>85</v>
      </c>
      <c r="Q147" s="57"/>
      <c r="R147" s="57">
        <v>339.85</v>
      </c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1">
        <f t="shared" si="1"/>
        <v>424.85</v>
      </c>
      <c r="AJ147" s="7"/>
      <c r="AK147" s="7"/>
    </row>
    <row r="148" spans="1:37" ht="20.25" hidden="1" customHeight="1">
      <c r="A148" s="58"/>
      <c r="B148" s="59" t="s">
        <v>332</v>
      </c>
      <c r="C148" s="60" t="s">
        <v>200</v>
      </c>
      <c r="D148" s="89" t="s">
        <v>271</v>
      </c>
      <c r="E148" s="90"/>
      <c r="F148" s="85" t="s">
        <v>2524</v>
      </c>
      <c r="G148" s="91"/>
      <c r="H148" s="56">
        <f t="shared" si="4"/>
        <v>32</v>
      </c>
      <c r="I148" s="57"/>
      <c r="J148" s="57"/>
      <c r="K148" s="57"/>
      <c r="L148" s="57"/>
      <c r="M148" s="57"/>
      <c r="N148" s="57"/>
      <c r="O148" s="57"/>
      <c r="P148" s="57">
        <v>16</v>
      </c>
      <c r="Q148" s="57"/>
      <c r="R148" s="57">
        <v>16</v>
      </c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1">
        <f t="shared" si="1"/>
        <v>32</v>
      </c>
      <c r="AJ148" s="7"/>
      <c r="AK148" s="7"/>
    </row>
    <row r="149" spans="1:37" ht="20.25" hidden="1" customHeight="1">
      <c r="A149" s="58"/>
      <c r="B149" s="59" t="s">
        <v>333</v>
      </c>
      <c r="C149" s="60" t="s">
        <v>203</v>
      </c>
      <c r="D149" s="89" t="s">
        <v>271</v>
      </c>
      <c r="E149" s="90"/>
      <c r="F149" s="85" t="s">
        <v>2524</v>
      </c>
      <c r="G149" s="91"/>
      <c r="H149" s="56">
        <f t="shared" si="4"/>
        <v>91.82</v>
      </c>
      <c r="I149" s="57"/>
      <c r="J149" s="57"/>
      <c r="K149" s="57"/>
      <c r="L149" s="57"/>
      <c r="M149" s="57"/>
      <c r="N149" s="57"/>
      <c r="O149" s="57"/>
      <c r="P149" s="57"/>
      <c r="Q149" s="57"/>
      <c r="R149" s="57">
        <v>91.82</v>
      </c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1">
        <f t="shared" si="1"/>
        <v>91.82</v>
      </c>
      <c r="AJ149" s="7"/>
      <c r="AK149" s="7"/>
    </row>
    <row r="150" spans="1:37" ht="20.25" hidden="1" customHeight="1">
      <c r="A150" s="58"/>
      <c r="B150" s="59" t="s">
        <v>334</v>
      </c>
      <c r="C150" s="60" t="s">
        <v>159</v>
      </c>
      <c r="D150" s="89" t="s">
        <v>271</v>
      </c>
      <c r="E150" s="90"/>
      <c r="F150" s="85" t="s">
        <v>2524</v>
      </c>
      <c r="G150" s="91"/>
      <c r="H150" s="56">
        <f t="shared" si="4"/>
        <v>161.91</v>
      </c>
      <c r="I150" s="57"/>
      <c r="J150" s="57"/>
      <c r="K150" s="57"/>
      <c r="L150" s="57"/>
      <c r="M150" s="57"/>
      <c r="N150" s="57"/>
      <c r="O150" s="57"/>
      <c r="P150" s="57"/>
      <c r="Q150" s="57"/>
      <c r="R150" s="57">
        <v>161.91</v>
      </c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1">
        <f t="shared" si="1"/>
        <v>161.91</v>
      </c>
      <c r="AJ150" s="7"/>
      <c r="AK150" s="7"/>
    </row>
    <row r="151" spans="1:37" ht="20.25" customHeight="1">
      <c r="A151" s="52"/>
      <c r="B151" s="53" t="s">
        <v>335</v>
      </c>
      <c r="C151" s="54" t="s">
        <v>336</v>
      </c>
      <c r="D151" s="17" t="s">
        <v>271</v>
      </c>
      <c r="E151" s="85" t="s">
        <v>337</v>
      </c>
      <c r="F151" s="85" t="s">
        <v>2524</v>
      </c>
      <c r="G151" s="22"/>
      <c r="H151" s="56">
        <f t="shared" si="4"/>
        <v>190229.52</v>
      </c>
      <c r="I151" s="57">
        <v>139.30000000000001</v>
      </c>
      <c r="J151" s="57"/>
      <c r="K151" s="57">
        <v>1022.64</v>
      </c>
      <c r="L151" s="57">
        <v>260.7</v>
      </c>
      <c r="M151" s="57">
        <v>18445</v>
      </c>
      <c r="N151" s="57"/>
      <c r="O151" s="57">
        <v>908.6</v>
      </c>
      <c r="P151" s="57">
        <f>962+483</f>
        <v>1445</v>
      </c>
      <c r="Q151" s="57">
        <v>651.64</v>
      </c>
      <c r="R151" s="57">
        <f>+SUM(R152:R155)</f>
        <v>655.24</v>
      </c>
      <c r="S151" s="57">
        <v>37635.599999999999</v>
      </c>
      <c r="T151" s="57">
        <v>0.36</v>
      </c>
      <c r="U151" s="57"/>
      <c r="V151" s="57">
        <v>1227.6300000000001</v>
      </c>
      <c r="W151" s="57"/>
      <c r="X151" s="57">
        <v>7192</v>
      </c>
      <c r="Y151" s="57">
        <v>117800</v>
      </c>
      <c r="Z151" s="57">
        <v>2250</v>
      </c>
      <c r="AA151" s="57"/>
      <c r="AB151" s="57"/>
      <c r="AC151" s="57">
        <v>163.31</v>
      </c>
      <c r="AD151" s="57"/>
      <c r="AE151" s="57">
        <v>41</v>
      </c>
      <c r="AF151" s="57">
        <v>375</v>
      </c>
      <c r="AG151" s="57">
        <v>3.5</v>
      </c>
      <c r="AH151" s="57">
        <v>13</v>
      </c>
      <c r="AI151" s="51">
        <f t="shared" si="1"/>
        <v>190229.52</v>
      </c>
      <c r="AJ151" s="7"/>
      <c r="AK151" s="7"/>
    </row>
    <row r="152" spans="1:37" ht="20.25" hidden="1" customHeight="1">
      <c r="A152" s="58"/>
      <c r="B152" s="59" t="s">
        <v>338</v>
      </c>
      <c r="C152" s="60" t="s">
        <v>131</v>
      </c>
      <c r="D152" s="89" t="s">
        <v>271</v>
      </c>
      <c r="E152" s="90"/>
      <c r="F152" s="85" t="s">
        <v>2524</v>
      </c>
      <c r="G152" s="91"/>
      <c r="H152" s="56">
        <f t="shared" si="4"/>
        <v>1108.94</v>
      </c>
      <c r="I152" s="57"/>
      <c r="J152" s="57"/>
      <c r="K152" s="57"/>
      <c r="L152" s="57"/>
      <c r="M152" s="57"/>
      <c r="N152" s="57"/>
      <c r="O152" s="57"/>
      <c r="P152" s="57">
        <v>942</v>
      </c>
      <c r="Q152" s="57"/>
      <c r="R152" s="57">
        <v>166.94</v>
      </c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1">
        <f t="shared" si="1"/>
        <v>1108.94</v>
      </c>
      <c r="AJ152" s="7"/>
      <c r="AK152" s="7"/>
    </row>
    <row r="153" spans="1:37" ht="20.25" hidden="1" customHeight="1">
      <c r="A153" s="58"/>
      <c r="B153" s="59" t="s">
        <v>339</v>
      </c>
      <c r="C153" s="60" t="s">
        <v>200</v>
      </c>
      <c r="D153" s="89" t="s">
        <v>271</v>
      </c>
      <c r="E153" s="90"/>
      <c r="F153" s="85" t="s">
        <v>2524</v>
      </c>
      <c r="G153" s="91"/>
      <c r="H153" s="56">
        <f t="shared" si="4"/>
        <v>510</v>
      </c>
      <c r="I153" s="57"/>
      <c r="J153" s="57"/>
      <c r="K153" s="57"/>
      <c r="L153" s="57"/>
      <c r="M153" s="57"/>
      <c r="N153" s="57"/>
      <c r="O153" s="57"/>
      <c r="P153" s="57">
        <v>483</v>
      </c>
      <c r="Q153" s="57"/>
      <c r="R153" s="57">
        <v>27</v>
      </c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1">
        <f t="shared" si="1"/>
        <v>510</v>
      </c>
      <c r="AJ153" s="7"/>
      <c r="AK153" s="7"/>
    </row>
    <row r="154" spans="1:37" ht="20.25" hidden="1" customHeight="1">
      <c r="A154" s="58"/>
      <c r="B154" s="59" t="s">
        <v>340</v>
      </c>
      <c r="C154" s="60" t="s">
        <v>203</v>
      </c>
      <c r="D154" s="89" t="s">
        <v>271</v>
      </c>
      <c r="E154" s="90"/>
      <c r="F154" s="85" t="s">
        <v>2524</v>
      </c>
      <c r="G154" s="91"/>
      <c r="H154" s="56">
        <f t="shared" si="4"/>
        <v>239</v>
      </c>
      <c r="I154" s="57"/>
      <c r="J154" s="57"/>
      <c r="K154" s="57"/>
      <c r="L154" s="57"/>
      <c r="M154" s="57"/>
      <c r="N154" s="57"/>
      <c r="O154" s="57"/>
      <c r="P154" s="57"/>
      <c r="Q154" s="57"/>
      <c r="R154" s="57">
        <v>239</v>
      </c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1">
        <f t="shared" si="1"/>
        <v>239</v>
      </c>
      <c r="AJ154" s="7"/>
      <c r="AK154" s="7"/>
    </row>
    <row r="155" spans="1:37" ht="20.25" hidden="1" customHeight="1">
      <c r="A155" s="58"/>
      <c r="B155" s="59" t="s">
        <v>341</v>
      </c>
      <c r="C155" s="60" t="s">
        <v>159</v>
      </c>
      <c r="D155" s="89" t="s">
        <v>271</v>
      </c>
      <c r="E155" s="90"/>
      <c r="F155" s="85" t="s">
        <v>2524</v>
      </c>
      <c r="G155" s="91"/>
      <c r="H155" s="56">
        <f t="shared" si="4"/>
        <v>222.3</v>
      </c>
      <c r="I155" s="57"/>
      <c r="J155" s="57"/>
      <c r="K155" s="57"/>
      <c r="L155" s="57"/>
      <c r="M155" s="57"/>
      <c r="N155" s="57"/>
      <c r="O155" s="57"/>
      <c r="P155" s="57"/>
      <c r="Q155" s="57"/>
      <c r="R155" s="57">
        <v>222.3</v>
      </c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1">
        <f t="shared" si="1"/>
        <v>222.3</v>
      </c>
      <c r="AJ155" s="7"/>
      <c r="AK155" s="7"/>
    </row>
    <row r="156" spans="1:37" ht="20.25" hidden="1" customHeight="1">
      <c r="A156" s="52"/>
      <c r="B156" s="53" t="s">
        <v>342</v>
      </c>
      <c r="C156" s="54" t="s">
        <v>343</v>
      </c>
      <c r="D156" s="17" t="s">
        <v>271</v>
      </c>
      <c r="E156" s="55"/>
      <c r="F156" s="85" t="s">
        <v>2524</v>
      </c>
      <c r="G156" s="22"/>
      <c r="H156" s="56">
        <f t="shared" si="4"/>
        <v>0</v>
      </c>
      <c r="I156" s="57"/>
      <c r="J156" s="57"/>
      <c r="K156" s="100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1">
        <f t="shared" si="1"/>
        <v>0</v>
      </c>
      <c r="AJ156" s="7"/>
      <c r="AK156" s="7"/>
    </row>
    <row r="157" spans="1:37" ht="20.25" hidden="1" customHeight="1">
      <c r="A157" s="88"/>
      <c r="B157" s="59" t="s">
        <v>344</v>
      </c>
      <c r="C157" s="60" t="s">
        <v>131</v>
      </c>
      <c r="D157" s="89" t="s">
        <v>271</v>
      </c>
      <c r="E157" s="90"/>
      <c r="F157" s="85" t="s">
        <v>2524</v>
      </c>
      <c r="G157" s="91"/>
      <c r="H157" s="56">
        <f t="shared" si="4"/>
        <v>0</v>
      </c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1">
        <f t="shared" si="1"/>
        <v>0</v>
      </c>
      <c r="AJ157" s="7"/>
      <c r="AK157" s="7"/>
    </row>
    <row r="158" spans="1:37" ht="20.25" hidden="1" customHeight="1">
      <c r="A158" s="88"/>
      <c r="B158" s="59" t="s">
        <v>345</v>
      </c>
      <c r="C158" s="60" t="s">
        <v>200</v>
      </c>
      <c r="D158" s="89" t="s">
        <v>271</v>
      </c>
      <c r="E158" s="90"/>
      <c r="F158" s="85" t="s">
        <v>2524</v>
      </c>
      <c r="G158" s="91"/>
      <c r="H158" s="56">
        <f t="shared" si="4"/>
        <v>0</v>
      </c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1">
        <f t="shared" si="1"/>
        <v>0</v>
      </c>
      <c r="AJ158" s="7"/>
      <c r="AK158" s="7"/>
    </row>
    <row r="159" spans="1:37" ht="20.25" hidden="1" customHeight="1">
      <c r="A159" s="88"/>
      <c r="B159" s="59" t="s">
        <v>346</v>
      </c>
      <c r="C159" s="60" t="s">
        <v>203</v>
      </c>
      <c r="D159" s="89" t="s">
        <v>271</v>
      </c>
      <c r="E159" s="90"/>
      <c r="F159" s="85" t="s">
        <v>2524</v>
      </c>
      <c r="G159" s="91"/>
      <c r="H159" s="56">
        <f t="shared" si="4"/>
        <v>0</v>
      </c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1">
        <f t="shared" si="1"/>
        <v>0</v>
      </c>
      <c r="AJ159" s="7"/>
      <c r="AK159" s="7"/>
    </row>
    <row r="160" spans="1:37" ht="20.25" hidden="1" customHeight="1">
      <c r="A160" s="88"/>
      <c r="B160" s="59" t="s">
        <v>347</v>
      </c>
      <c r="C160" s="60" t="s">
        <v>159</v>
      </c>
      <c r="D160" s="89" t="s">
        <v>271</v>
      </c>
      <c r="E160" s="90"/>
      <c r="F160" s="85" t="s">
        <v>2524</v>
      </c>
      <c r="G160" s="91"/>
      <c r="H160" s="56">
        <f t="shared" si="4"/>
        <v>0</v>
      </c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1">
        <f t="shared" si="1"/>
        <v>0</v>
      </c>
      <c r="AJ160" s="7"/>
      <c r="AK160" s="7"/>
    </row>
    <row r="161" spans="1:37" ht="27.75" customHeight="1">
      <c r="A161" s="101"/>
      <c r="B161" s="102" t="s">
        <v>348</v>
      </c>
      <c r="C161" s="103" t="s">
        <v>349</v>
      </c>
      <c r="D161" s="17" t="s">
        <v>350</v>
      </c>
      <c r="E161" s="85" t="s">
        <v>351</v>
      </c>
      <c r="F161" s="85" t="s">
        <v>2524</v>
      </c>
      <c r="G161" s="22"/>
      <c r="H161" s="56">
        <f t="shared" si="4"/>
        <v>405871</v>
      </c>
      <c r="I161" s="57"/>
      <c r="J161" s="57"/>
      <c r="K161" s="57"/>
      <c r="L161" s="57"/>
      <c r="M161" s="57"/>
      <c r="N161" s="57"/>
      <c r="O161" s="57"/>
      <c r="P161" s="57">
        <v>2745</v>
      </c>
      <c r="Q161" s="57"/>
      <c r="R161" s="57"/>
      <c r="S161" s="57"/>
      <c r="T161" s="57"/>
      <c r="U161" s="57"/>
      <c r="V161" s="57">
        <v>831</v>
      </c>
      <c r="W161" s="57">
        <v>106364</v>
      </c>
      <c r="X161" s="57">
        <v>124724</v>
      </c>
      <c r="Y161" s="57"/>
      <c r="Z161" s="57">
        <v>347</v>
      </c>
      <c r="AA161" s="57">
        <v>12317</v>
      </c>
      <c r="AB161" s="57">
        <v>27210</v>
      </c>
      <c r="AC161" s="57">
        <v>46644</v>
      </c>
      <c r="AD161" s="57">
        <v>6034</v>
      </c>
      <c r="AE161" s="57"/>
      <c r="AF161" s="57">
        <v>74751</v>
      </c>
      <c r="AG161" s="57">
        <v>3819</v>
      </c>
      <c r="AH161" s="57">
        <v>85</v>
      </c>
      <c r="AI161" s="51">
        <f t="shared" si="1"/>
        <v>405871</v>
      </c>
      <c r="AJ161" s="104"/>
      <c r="AK161" s="104"/>
    </row>
    <row r="162" spans="1:37" ht="20.25" customHeight="1">
      <c r="A162" s="52"/>
      <c r="B162" s="53" t="s">
        <v>352</v>
      </c>
      <c r="C162" s="87" t="s">
        <v>353</v>
      </c>
      <c r="D162" s="17" t="s">
        <v>271</v>
      </c>
      <c r="E162" s="85" t="s">
        <v>354</v>
      </c>
      <c r="F162" s="85" t="s">
        <v>2524</v>
      </c>
      <c r="G162" s="22"/>
      <c r="H162" s="56">
        <f t="shared" si="4"/>
        <v>2426</v>
      </c>
      <c r="I162" s="57"/>
      <c r="J162" s="57"/>
      <c r="K162" s="57" t="s">
        <v>355</v>
      </c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>
        <v>6</v>
      </c>
      <c r="AE162" s="57"/>
      <c r="AF162" s="57">
        <v>1950</v>
      </c>
      <c r="AG162" s="57">
        <v>470</v>
      </c>
      <c r="AH162" s="57"/>
      <c r="AI162" s="51">
        <f t="shared" si="1"/>
        <v>2426</v>
      </c>
      <c r="AJ162" s="7"/>
      <c r="AK162" s="7"/>
    </row>
    <row r="163" spans="1:37" ht="20.25" customHeight="1">
      <c r="A163" s="52"/>
      <c r="B163" s="53" t="s">
        <v>356</v>
      </c>
      <c r="C163" s="87" t="s">
        <v>357</v>
      </c>
      <c r="D163" s="17" t="s">
        <v>358</v>
      </c>
      <c r="E163" s="85" t="s">
        <v>359</v>
      </c>
      <c r="F163" s="85" t="s">
        <v>2524</v>
      </c>
      <c r="G163" s="22"/>
      <c r="H163" s="56">
        <f t="shared" si="4"/>
        <v>2</v>
      </c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>
        <v>2</v>
      </c>
      <c r="AG163" s="57"/>
      <c r="AH163" s="57"/>
      <c r="AI163" s="51">
        <f t="shared" si="1"/>
        <v>2</v>
      </c>
      <c r="AJ163" s="7"/>
      <c r="AK163" s="7"/>
    </row>
    <row r="164" spans="1:37" ht="30.75" customHeight="1">
      <c r="A164" s="52"/>
      <c r="B164" s="53" t="s">
        <v>360</v>
      </c>
      <c r="C164" s="87" t="s">
        <v>361</v>
      </c>
      <c r="D164" s="17" t="s">
        <v>358</v>
      </c>
      <c r="E164" s="85" t="s">
        <v>362</v>
      </c>
      <c r="F164" s="85" t="s">
        <v>2524</v>
      </c>
      <c r="G164" s="22"/>
      <c r="H164" s="56">
        <f t="shared" si="4"/>
        <v>17.8</v>
      </c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>
        <v>15</v>
      </c>
      <c r="AG164" s="57">
        <v>2.8</v>
      </c>
      <c r="AH164" s="57"/>
      <c r="AI164" s="51">
        <f t="shared" si="1"/>
        <v>17.8</v>
      </c>
      <c r="AJ164" s="7"/>
      <c r="AK164" s="7"/>
    </row>
    <row r="165" spans="1:37" ht="20.25" hidden="1" customHeight="1">
      <c r="A165" s="52"/>
      <c r="B165" s="53" t="s">
        <v>363</v>
      </c>
      <c r="C165" s="87" t="s">
        <v>364</v>
      </c>
      <c r="D165" s="17" t="s">
        <v>271</v>
      </c>
      <c r="E165" s="55"/>
      <c r="F165" s="55"/>
      <c r="G165" s="22"/>
      <c r="H165" s="56">
        <f t="shared" si="4"/>
        <v>0</v>
      </c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1">
        <f t="shared" si="1"/>
        <v>0</v>
      </c>
      <c r="AJ165" s="7"/>
      <c r="AK165" s="7"/>
    </row>
    <row r="166" spans="1:37" ht="24.75" hidden="1" customHeight="1">
      <c r="A166" s="52">
        <v>6.14</v>
      </c>
      <c r="B166" s="53" t="s">
        <v>365</v>
      </c>
      <c r="C166" s="87" t="s">
        <v>366</v>
      </c>
      <c r="D166" s="17" t="s">
        <v>271</v>
      </c>
      <c r="E166" s="55"/>
      <c r="F166" s="55"/>
      <c r="G166" s="22"/>
      <c r="H166" s="56">
        <f t="shared" si="4"/>
        <v>0</v>
      </c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1">
        <f t="shared" si="1"/>
        <v>0</v>
      </c>
      <c r="AJ166" s="7"/>
      <c r="AK166" s="7"/>
    </row>
    <row r="167" spans="1:37" ht="20.25" hidden="1" customHeight="1">
      <c r="A167" s="52">
        <v>6.15</v>
      </c>
      <c r="B167" s="53" t="s">
        <v>367</v>
      </c>
      <c r="C167" s="87" t="s">
        <v>368</v>
      </c>
      <c r="D167" s="17" t="s">
        <v>358</v>
      </c>
      <c r="E167" s="55"/>
      <c r="F167" s="55"/>
      <c r="G167" s="22"/>
      <c r="H167" s="56">
        <f t="shared" si="4"/>
        <v>0</v>
      </c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1">
        <f t="shared" si="1"/>
        <v>0</v>
      </c>
      <c r="AJ167" s="7"/>
      <c r="AK167" s="7"/>
    </row>
    <row r="168" spans="1:37" ht="20.25" hidden="1" customHeight="1">
      <c r="A168" s="52">
        <v>6.16</v>
      </c>
      <c r="B168" s="53" t="s">
        <v>369</v>
      </c>
      <c r="C168" s="87" t="s">
        <v>370</v>
      </c>
      <c r="D168" s="17" t="s">
        <v>271</v>
      </c>
      <c r="E168" s="55"/>
      <c r="F168" s="55"/>
      <c r="G168" s="22"/>
      <c r="H168" s="56">
        <f t="shared" si="4"/>
        <v>0</v>
      </c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1">
        <f t="shared" si="1"/>
        <v>0</v>
      </c>
      <c r="AJ168" s="7"/>
      <c r="AK168" s="7"/>
    </row>
    <row r="169" spans="1:37" ht="19.5" hidden="1" customHeight="1">
      <c r="A169" s="52">
        <v>6.12</v>
      </c>
      <c r="B169" s="53" t="s">
        <v>371</v>
      </c>
      <c r="C169" s="87" t="s">
        <v>372</v>
      </c>
      <c r="D169" s="17" t="s">
        <v>271</v>
      </c>
      <c r="E169" s="55"/>
      <c r="F169" s="55"/>
      <c r="G169" s="22"/>
      <c r="H169" s="56">
        <f t="shared" si="4"/>
        <v>0</v>
      </c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1">
        <f t="shared" si="1"/>
        <v>0</v>
      </c>
      <c r="AJ169" s="7"/>
      <c r="AK169" s="7"/>
    </row>
    <row r="170" spans="1:37" ht="21" hidden="1" customHeight="1">
      <c r="A170" s="52">
        <v>6.12</v>
      </c>
      <c r="B170" s="53" t="s">
        <v>373</v>
      </c>
      <c r="C170" s="87" t="s">
        <v>374</v>
      </c>
      <c r="D170" s="17" t="s">
        <v>271</v>
      </c>
      <c r="E170" s="55"/>
      <c r="F170" s="55"/>
      <c r="G170" s="22"/>
      <c r="H170" s="56">
        <f t="shared" si="4"/>
        <v>0</v>
      </c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1">
        <f t="shared" si="1"/>
        <v>0</v>
      </c>
      <c r="AJ170" s="7"/>
      <c r="AK170" s="7"/>
    </row>
    <row r="171" spans="1:37" ht="36.75" hidden="1" customHeight="1">
      <c r="A171" s="52">
        <v>6.17</v>
      </c>
      <c r="B171" s="53" t="s">
        <v>375</v>
      </c>
      <c r="C171" s="87" t="s">
        <v>376</v>
      </c>
      <c r="D171" s="66" t="s">
        <v>183</v>
      </c>
      <c r="E171" s="67"/>
      <c r="F171" s="67"/>
      <c r="G171" s="68"/>
      <c r="H171" s="56">
        <f t="shared" si="4"/>
        <v>0</v>
      </c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 t="s">
        <v>377</v>
      </c>
      <c r="AD171" s="57"/>
      <c r="AE171" s="57"/>
      <c r="AF171" s="57"/>
      <c r="AG171" s="57"/>
      <c r="AH171" s="57"/>
      <c r="AI171" s="51">
        <f t="shared" si="1"/>
        <v>0</v>
      </c>
      <c r="AJ171" s="7"/>
      <c r="AK171" s="7"/>
    </row>
    <row r="172" spans="1:37" ht="21" customHeight="1">
      <c r="A172" s="63">
        <v>7</v>
      </c>
      <c r="B172" s="64" t="s">
        <v>378</v>
      </c>
      <c r="C172" s="65" t="s">
        <v>379</v>
      </c>
      <c r="D172" s="66"/>
      <c r="E172" s="85" t="s">
        <v>380</v>
      </c>
      <c r="F172" s="85" t="s">
        <v>2523</v>
      </c>
      <c r="G172" s="68"/>
      <c r="H172" s="56">
        <f t="shared" si="4"/>
        <v>0</v>
      </c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1">
        <f t="shared" si="1"/>
        <v>0</v>
      </c>
      <c r="AJ172" s="7"/>
      <c r="AK172" s="7"/>
    </row>
    <row r="173" spans="1:37" ht="20.25" customHeight="1">
      <c r="A173" s="52"/>
      <c r="B173" s="53" t="s">
        <v>381</v>
      </c>
      <c r="C173" s="54" t="s">
        <v>382</v>
      </c>
      <c r="D173" s="17" t="s">
        <v>383</v>
      </c>
      <c r="E173" s="55" t="s">
        <v>384</v>
      </c>
      <c r="F173" s="85" t="s">
        <v>2523</v>
      </c>
      <c r="G173" s="22" t="s">
        <v>385</v>
      </c>
      <c r="H173" s="56">
        <f t="shared" si="4"/>
        <v>44556</v>
      </c>
      <c r="I173" s="57">
        <v>112</v>
      </c>
      <c r="J173" s="57">
        <f>22+213</f>
        <v>235</v>
      </c>
      <c r="K173" s="57">
        <f>211+1481</f>
        <v>1692</v>
      </c>
      <c r="L173" s="57">
        <f>33+12+1</f>
        <v>46</v>
      </c>
      <c r="M173" s="57"/>
      <c r="N173" s="57"/>
      <c r="O173" s="57">
        <v>1665</v>
      </c>
      <c r="P173" s="57">
        <v>8769</v>
      </c>
      <c r="Q173" s="57"/>
      <c r="R173" s="57">
        <v>221</v>
      </c>
      <c r="S173" s="57">
        <v>1871</v>
      </c>
      <c r="T173" s="57"/>
      <c r="U173" s="57">
        <v>56</v>
      </c>
      <c r="V173" s="57">
        <v>366</v>
      </c>
      <c r="W173" s="57">
        <v>3014</v>
      </c>
      <c r="X173" s="57">
        <v>6978</v>
      </c>
      <c r="Y173" s="57"/>
      <c r="Z173" s="57">
        <v>5120</v>
      </c>
      <c r="AA173" s="57">
        <f>21+14+2329+64+58</f>
        <v>2486</v>
      </c>
      <c r="AB173" s="57">
        <f>63+537</f>
        <v>600</v>
      </c>
      <c r="AC173" s="57">
        <v>348</v>
      </c>
      <c r="AD173" s="57">
        <v>3209</v>
      </c>
      <c r="AE173" s="57"/>
      <c r="AF173" s="57">
        <v>6917</v>
      </c>
      <c r="AG173" s="57">
        <v>840</v>
      </c>
      <c r="AH173" s="57">
        <f>7+4</f>
        <v>11</v>
      </c>
      <c r="AI173" s="51">
        <f t="shared" si="1"/>
        <v>44556</v>
      </c>
      <c r="AJ173" s="7"/>
      <c r="AK173" s="7"/>
    </row>
    <row r="174" spans="1:37" ht="20.25" hidden="1" customHeight="1">
      <c r="A174" s="88"/>
      <c r="B174" s="59" t="s">
        <v>386</v>
      </c>
      <c r="C174" s="60" t="s">
        <v>387</v>
      </c>
      <c r="D174" s="89" t="s">
        <v>383</v>
      </c>
      <c r="E174" s="90"/>
      <c r="F174" s="85" t="s">
        <v>2523</v>
      </c>
      <c r="G174" s="91"/>
      <c r="H174" s="56">
        <f t="shared" si="4"/>
        <v>0</v>
      </c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1">
        <f t="shared" si="1"/>
        <v>0</v>
      </c>
      <c r="AJ174" s="7"/>
      <c r="AK174" s="7"/>
    </row>
    <row r="175" spans="1:37" ht="20.25" hidden="1" customHeight="1">
      <c r="A175" s="88"/>
      <c r="B175" s="59" t="s">
        <v>388</v>
      </c>
      <c r="C175" s="60" t="s">
        <v>389</v>
      </c>
      <c r="D175" s="89" t="s">
        <v>383</v>
      </c>
      <c r="E175" s="90"/>
      <c r="F175" s="85" t="s">
        <v>2523</v>
      </c>
      <c r="G175" s="91"/>
      <c r="H175" s="56">
        <f t="shared" si="4"/>
        <v>0</v>
      </c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1">
        <f t="shared" si="1"/>
        <v>0</v>
      </c>
      <c r="AJ175" s="7"/>
      <c r="AK175" s="7"/>
    </row>
    <row r="176" spans="1:37" ht="20.25" hidden="1" customHeight="1">
      <c r="A176" s="88"/>
      <c r="B176" s="59" t="s">
        <v>390</v>
      </c>
      <c r="C176" s="60" t="s">
        <v>391</v>
      </c>
      <c r="D176" s="89" t="s">
        <v>383</v>
      </c>
      <c r="E176" s="90"/>
      <c r="F176" s="85" t="s">
        <v>2523</v>
      </c>
      <c r="G176" s="91"/>
      <c r="H176" s="56">
        <f t="shared" si="4"/>
        <v>0</v>
      </c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1">
        <f t="shared" si="1"/>
        <v>0</v>
      </c>
      <c r="AJ176" s="7"/>
      <c r="AK176" s="7"/>
    </row>
    <row r="177" spans="1:37" ht="20.25" hidden="1" customHeight="1">
      <c r="A177" s="88"/>
      <c r="B177" s="59" t="s">
        <v>392</v>
      </c>
      <c r="C177" s="60" t="s">
        <v>393</v>
      </c>
      <c r="D177" s="89" t="s">
        <v>383</v>
      </c>
      <c r="E177" s="90"/>
      <c r="F177" s="85" t="s">
        <v>2523</v>
      </c>
      <c r="G177" s="91"/>
      <c r="H177" s="56">
        <f t="shared" si="4"/>
        <v>0</v>
      </c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1">
        <f t="shared" si="1"/>
        <v>0</v>
      </c>
      <c r="AJ177" s="7"/>
      <c r="AK177" s="7"/>
    </row>
    <row r="178" spans="1:37" ht="20.25" customHeight="1">
      <c r="A178" s="52"/>
      <c r="B178" s="53" t="s">
        <v>388</v>
      </c>
      <c r="C178" s="54" t="s">
        <v>394</v>
      </c>
      <c r="D178" s="17" t="s">
        <v>383</v>
      </c>
      <c r="E178" s="55" t="s">
        <v>395</v>
      </c>
      <c r="F178" s="85" t="s">
        <v>2523</v>
      </c>
      <c r="G178" s="22" t="s">
        <v>385</v>
      </c>
      <c r="H178" s="56">
        <f t="shared" si="4"/>
        <v>5755343</v>
      </c>
      <c r="I178" s="57">
        <v>6415</v>
      </c>
      <c r="J178" s="57">
        <v>3055</v>
      </c>
      <c r="K178" s="57">
        <v>58684</v>
      </c>
      <c r="L178" s="57">
        <f>8255+65</f>
        <v>8320</v>
      </c>
      <c r="M178" s="57"/>
      <c r="N178" s="57">
        <v>3</v>
      </c>
      <c r="O178" s="57">
        <v>20072</v>
      </c>
      <c r="P178" s="57">
        <v>327450</v>
      </c>
      <c r="Q178" s="57">
        <v>384022</v>
      </c>
      <c r="R178" s="57">
        <v>35588</v>
      </c>
      <c r="S178" s="57">
        <v>265644</v>
      </c>
      <c r="T178" s="57"/>
      <c r="U178" s="57">
        <v>236</v>
      </c>
      <c r="V178" s="57">
        <v>12282</v>
      </c>
      <c r="W178" s="57">
        <v>615122</v>
      </c>
      <c r="X178" s="57">
        <v>1323126</v>
      </c>
      <c r="Y178" s="57">
        <v>388608</v>
      </c>
      <c r="Z178" s="57">
        <v>1488577</v>
      </c>
      <c r="AA178" s="57">
        <f>283371+12535</f>
        <v>295906</v>
      </c>
      <c r="AB178" s="57">
        <f>16617+1300</f>
        <v>17917</v>
      </c>
      <c r="AC178" s="57">
        <v>121220</v>
      </c>
      <c r="AD178" s="57">
        <v>118032</v>
      </c>
      <c r="AE178" s="57">
        <v>6450</v>
      </c>
      <c r="AF178" s="57">
        <v>216366</v>
      </c>
      <c r="AG178" s="57">
        <v>41278</v>
      </c>
      <c r="AH178" s="57">
        <v>970</v>
      </c>
      <c r="AI178" s="51">
        <f t="shared" si="1"/>
        <v>5755343</v>
      </c>
      <c r="AJ178" s="7"/>
      <c r="AK178" s="7"/>
    </row>
    <row r="179" spans="1:37" ht="20.25" hidden="1" customHeight="1">
      <c r="A179" s="88" t="s">
        <v>396</v>
      </c>
      <c r="B179" s="59" t="s">
        <v>397</v>
      </c>
      <c r="C179" s="60" t="s">
        <v>398</v>
      </c>
      <c r="D179" s="89" t="s">
        <v>383</v>
      </c>
      <c r="E179" s="90"/>
      <c r="F179" s="90"/>
      <c r="G179" s="91"/>
      <c r="H179" s="56">
        <f t="shared" si="4"/>
        <v>0</v>
      </c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1">
        <f t="shared" si="1"/>
        <v>0</v>
      </c>
      <c r="AJ179" s="7"/>
      <c r="AK179" s="7"/>
    </row>
    <row r="180" spans="1:37" ht="20.25" hidden="1" customHeight="1">
      <c r="A180" s="88" t="s">
        <v>399</v>
      </c>
      <c r="B180" s="59" t="s">
        <v>400</v>
      </c>
      <c r="C180" s="60" t="s">
        <v>401</v>
      </c>
      <c r="D180" s="89" t="s">
        <v>383</v>
      </c>
      <c r="E180" s="90"/>
      <c r="F180" s="90"/>
      <c r="G180" s="91"/>
      <c r="H180" s="56">
        <f t="shared" si="4"/>
        <v>0</v>
      </c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1">
        <f t="shared" si="1"/>
        <v>0</v>
      </c>
      <c r="AJ180" s="7"/>
      <c r="AK180" s="7"/>
    </row>
    <row r="181" spans="1:37" ht="31.5" hidden="1" customHeight="1">
      <c r="A181" s="52">
        <v>7.3</v>
      </c>
      <c r="B181" s="53" t="s">
        <v>390</v>
      </c>
      <c r="C181" s="87" t="s">
        <v>402</v>
      </c>
      <c r="D181" s="89" t="s">
        <v>383</v>
      </c>
      <c r="E181" s="90"/>
      <c r="F181" s="90"/>
      <c r="G181" s="91"/>
      <c r="H181" s="56">
        <f t="shared" si="4"/>
        <v>0</v>
      </c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1">
        <f t="shared" si="1"/>
        <v>0</v>
      </c>
      <c r="AJ181" s="7"/>
      <c r="AK181" s="7"/>
    </row>
    <row r="182" spans="1:37" ht="37.5" hidden="1" customHeight="1">
      <c r="A182" s="52">
        <v>7.4</v>
      </c>
      <c r="B182" s="53" t="s">
        <v>392</v>
      </c>
      <c r="C182" s="87" t="s">
        <v>403</v>
      </c>
      <c r="D182" s="17" t="s">
        <v>358</v>
      </c>
      <c r="E182" s="55"/>
      <c r="F182" s="55"/>
      <c r="G182" s="22"/>
      <c r="H182" s="56">
        <f t="shared" si="4"/>
        <v>0</v>
      </c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1">
        <f t="shared" si="1"/>
        <v>0</v>
      </c>
      <c r="AJ182" s="7"/>
      <c r="AK182" s="7"/>
    </row>
    <row r="183" spans="1:37" ht="31.5" hidden="1" customHeight="1">
      <c r="A183" s="52">
        <v>7.5</v>
      </c>
      <c r="B183" s="53" t="s">
        <v>404</v>
      </c>
      <c r="C183" s="87" t="s">
        <v>405</v>
      </c>
      <c r="D183" s="66" t="s">
        <v>183</v>
      </c>
      <c r="E183" s="67"/>
      <c r="F183" s="67"/>
      <c r="G183" s="68"/>
      <c r="H183" s="56">
        <f t="shared" si="4"/>
        <v>0</v>
      </c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1">
        <f t="shared" si="1"/>
        <v>0</v>
      </c>
      <c r="AJ183" s="7"/>
      <c r="AK183" s="7"/>
    </row>
    <row r="184" spans="1:37" ht="31.5" hidden="1" customHeight="1">
      <c r="A184" s="52"/>
      <c r="B184" s="53" t="s">
        <v>406</v>
      </c>
      <c r="C184" s="87" t="s">
        <v>407</v>
      </c>
      <c r="D184" s="66" t="s">
        <v>183</v>
      </c>
      <c r="E184" s="67"/>
      <c r="F184" s="67"/>
      <c r="G184" s="68"/>
      <c r="H184" s="56">
        <f t="shared" si="4"/>
        <v>0</v>
      </c>
      <c r="I184" s="57"/>
      <c r="J184" s="57"/>
      <c r="K184" s="57" t="s">
        <v>408</v>
      </c>
      <c r="L184" s="57" t="s">
        <v>409</v>
      </c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 t="s">
        <v>410</v>
      </c>
      <c r="X184" s="57"/>
      <c r="Y184" s="57"/>
      <c r="Z184" s="57"/>
      <c r="AA184" s="57"/>
      <c r="AB184" s="57"/>
      <c r="AC184" s="57" t="s">
        <v>411</v>
      </c>
      <c r="AD184" s="57"/>
      <c r="AE184" s="57"/>
      <c r="AF184" s="57"/>
      <c r="AG184" s="57"/>
      <c r="AH184" s="57"/>
      <c r="AI184" s="51">
        <f t="shared" si="1"/>
        <v>0</v>
      </c>
      <c r="AJ184" s="7"/>
      <c r="AK184" s="7"/>
    </row>
    <row r="185" spans="1:37" ht="36" hidden="1" customHeight="1">
      <c r="A185" s="52">
        <v>7.7</v>
      </c>
      <c r="B185" s="53" t="s">
        <v>412</v>
      </c>
      <c r="C185" s="87" t="s">
        <v>413</v>
      </c>
      <c r="D185" s="17" t="s">
        <v>414</v>
      </c>
      <c r="E185" s="55"/>
      <c r="F185" s="55"/>
      <c r="G185" s="22"/>
      <c r="H185" s="56">
        <f t="shared" si="4"/>
        <v>0</v>
      </c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1">
        <f t="shared" si="1"/>
        <v>0</v>
      </c>
      <c r="AJ185" s="7"/>
      <c r="AK185" s="7"/>
    </row>
    <row r="186" spans="1:37" ht="42" hidden="1" customHeight="1">
      <c r="A186" s="52">
        <v>7.8</v>
      </c>
      <c r="B186" s="53" t="s">
        <v>412</v>
      </c>
      <c r="C186" s="87" t="s">
        <v>415</v>
      </c>
      <c r="D186" s="66" t="s">
        <v>183</v>
      </c>
      <c r="E186" s="67"/>
      <c r="F186" s="67"/>
      <c r="G186" s="68"/>
      <c r="H186" s="56">
        <f t="shared" si="4"/>
        <v>0</v>
      </c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1">
        <f t="shared" si="1"/>
        <v>0</v>
      </c>
      <c r="AJ186" s="7"/>
      <c r="AK186" s="7"/>
    </row>
    <row r="187" spans="1:37" ht="29.25" customHeight="1">
      <c r="A187" s="63">
        <v>8</v>
      </c>
      <c r="B187" s="64" t="s">
        <v>416</v>
      </c>
      <c r="C187" s="65" t="s">
        <v>417</v>
      </c>
      <c r="D187" s="66"/>
      <c r="E187" s="67" t="s">
        <v>418</v>
      </c>
      <c r="F187" s="67" t="s">
        <v>2522</v>
      </c>
      <c r="G187" s="68"/>
      <c r="H187" s="56">
        <f t="shared" si="4"/>
        <v>0</v>
      </c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1">
        <f t="shared" si="1"/>
        <v>0</v>
      </c>
      <c r="AJ187" s="7"/>
      <c r="AK187" s="7"/>
    </row>
    <row r="188" spans="1:37" ht="31.5" customHeight="1">
      <c r="A188" s="52"/>
      <c r="B188" s="53" t="s">
        <v>419</v>
      </c>
      <c r="C188" s="54" t="s">
        <v>420</v>
      </c>
      <c r="D188" s="97"/>
      <c r="E188" s="85" t="s">
        <v>421</v>
      </c>
      <c r="F188" s="67" t="s">
        <v>2522</v>
      </c>
      <c r="G188" s="99"/>
      <c r="H188" s="56">
        <f t="shared" si="4"/>
        <v>0</v>
      </c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1">
        <f t="shared" si="1"/>
        <v>0</v>
      </c>
      <c r="AJ188" s="7"/>
      <c r="AK188" s="7"/>
    </row>
    <row r="189" spans="1:37" ht="45" customHeight="1">
      <c r="A189" s="88"/>
      <c r="B189" s="59" t="s">
        <v>422</v>
      </c>
      <c r="C189" s="105" t="s">
        <v>423</v>
      </c>
      <c r="D189" s="89" t="s">
        <v>424</v>
      </c>
      <c r="E189" s="85" t="s">
        <v>425</v>
      </c>
      <c r="F189" s="67" t="s">
        <v>2522</v>
      </c>
      <c r="G189" s="91"/>
      <c r="H189" s="56">
        <f t="shared" si="4"/>
        <v>2850</v>
      </c>
      <c r="I189" s="57"/>
      <c r="J189" s="57"/>
      <c r="K189" s="57"/>
      <c r="L189" s="57"/>
      <c r="M189" s="57"/>
      <c r="N189" s="57"/>
      <c r="O189" s="57"/>
      <c r="P189" s="57"/>
      <c r="Q189" s="57"/>
      <c r="R189" s="57">
        <v>100</v>
      </c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>
        <v>2750</v>
      </c>
      <c r="AF189" s="57"/>
      <c r="AG189" s="57"/>
      <c r="AH189" s="57"/>
      <c r="AI189" s="51">
        <f t="shared" si="1"/>
        <v>2850</v>
      </c>
      <c r="AJ189" s="7"/>
      <c r="AK189" s="7"/>
    </row>
    <row r="190" spans="1:37" ht="20.25" hidden="1" customHeight="1">
      <c r="A190" s="88"/>
      <c r="B190" s="59" t="s">
        <v>426</v>
      </c>
      <c r="C190" s="105" t="s">
        <v>427</v>
      </c>
      <c r="D190" s="89" t="s">
        <v>132</v>
      </c>
      <c r="E190" s="90"/>
      <c r="F190" s="67" t="s">
        <v>2522</v>
      </c>
      <c r="G190" s="91"/>
      <c r="H190" s="56">
        <f t="shared" si="4"/>
        <v>0</v>
      </c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1">
        <f t="shared" si="1"/>
        <v>0</v>
      </c>
      <c r="AJ190" s="7"/>
      <c r="AK190" s="7"/>
    </row>
    <row r="191" spans="1:37" ht="20.25" hidden="1" customHeight="1">
      <c r="A191" s="88"/>
      <c r="B191" s="59" t="s">
        <v>428</v>
      </c>
      <c r="C191" s="105" t="s">
        <v>429</v>
      </c>
      <c r="D191" s="89" t="s">
        <v>430</v>
      </c>
      <c r="E191" s="90"/>
      <c r="F191" s="67" t="s">
        <v>2522</v>
      </c>
      <c r="G191" s="91"/>
      <c r="H191" s="56">
        <f t="shared" si="4"/>
        <v>0</v>
      </c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1">
        <f t="shared" si="1"/>
        <v>0</v>
      </c>
      <c r="AJ191" s="7"/>
      <c r="AK191" s="7"/>
    </row>
    <row r="192" spans="1:37" ht="20.25" hidden="1" customHeight="1">
      <c r="A192" s="88"/>
      <c r="B192" s="59" t="s">
        <v>426</v>
      </c>
      <c r="C192" s="105" t="s">
        <v>431</v>
      </c>
      <c r="D192" s="89" t="s">
        <v>432</v>
      </c>
      <c r="E192" s="90"/>
      <c r="F192" s="67" t="s">
        <v>2522</v>
      </c>
      <c r="G192" s="91"/>
      <c r="H192" s="56">
        <f t="shared" si="4"/>
        <v>0</v>
      </c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1">
        <f t="shared" si="1"/>
        <v>0</v>
      </c>
      <c r="AJ192" s="7"/>
      <c r="AK192" s="7"/>
    </row>
    <row r="193" spans="1:37" ht="20.25" hidden="1" customHeight="1">
      <c r="A193" s="88"/>
      <c r="B193" s="59" t="s">
        <v>428</v>
      </c>
      <c r="C193" s="105" t="s">
        <v>433</v>
      </c>
      <c r="D193" s="89" t="s">
        <v>434</v>
      </c>
      <c r="E193" s="90"/>
      <c r="F193" s="67" t="s">
        <v>2522</v>
      </c>
      <c r="G193" s="91"/>
      <c r="H193" s="56">
        <f t="shared" si="4"/>
        <v>0</v>
      </c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1">
        <f t="shared" si="1"/>
        <v>0</v>
      </c>
      <c r="AJ193" s="7"/>
      <c r="AK193" s="7"/>
    </row>
    <row r="194" spans="1:37" ht="33" customHeight="1">
      <c r="A194" s="52"/>
      <c r="B194" s="53" t="s">
        <v>435</v>
      </c>
      <c r="C194" s="38" t="s">
        <v>436</v>
      </c>
      <c r="D194" s="17"/>
      <c r="E194" s="85" t="s">
        <v>437</v>
      </c>
      <c r="F194" s="67" t="s">
        <v>2522</v>
      </c>
      <c r="G194" s="22"/>
      <c r="H194" s="56">
        <f t="shared" si="4"/>
        <v>0</v>
      </c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1">
        <f t="shared" si="1"/>
        <v>0</v>
      </c>
      <c r="AJ194" s="7"/>
      <c r="AK194" s="7"/>
    </row>
    <row r="195" spans="1:37" ht="48.75" customHeight="1">
      <c r="A195" s="88"/>
      <c r="B195" s="59" t="s">
        <v>438</v>
      </c>
      <c r="C195" s="105" t="s">
        <v>423</v>
      </c>
      <c r="D195" s="89" t="s">
        <v>424</v>
      </c>
      <c r="E195" s="85" t="s">
        <v>425</v>
      </c>
      <c r="F195" s="67" t="s">
        <v>2522</v>
      </c>
      <c r="G195" s="91"/>
      <c r="H195" s="56">
        <f t="shared" si="4"/>
        <v>20986</v>
      </c>
      <c r="I195" s="57"/>
      <c r="J195" s="57"/>
      <c r="K195" s="57"/>
      <c r="L195" s="57"/>
      <c r="M195" s="57"/>
      <c r="N195" s="57"/>
      <c r="O195" s="57"/>
      <c r="P195" s="57">
        <v>1120</v>
      </c>
      <c r="Q195" s="57"/>
      <c r="R195" s="57">
        <v>470</v>
      </c>
      <c r="S195" s="57"/>
      <c r="T195" s="57"/>
      <c r="U195" s="57"/>
      <c r="V195" s="57"/>
      <c r="W195" s="57">
        <v>9969</v>
      </c>
      <c r="X195" s="57"/>
      <c r="Y195" s="57"/>
      <c r="Z195" s="57">
        <v>152</v>
      </c>
      <c r="AA195" s="57"/>
      <c r="AB195" s="57"/>
      <c r="AC195" s="57"/>
      <c r="AD195" s="57">
        <v>335</v>
      </c>
      <c r="AE195" s="57">
        <v>3200</v>
      </c>
      <c r="AF195" s="57">
        <v>5740</v>
      </c>
      <c r="AG195" s="57"/>
      <c r="AH195" s="57"/>
      <c r="AI195" s="51">
        <f t="shared" si="1"/>
        <v>20986</v>
      </c>
      <c r="AJ195" s="7"/>
      <c r="AK195" s="7"/>
    </row>
    <row r="196" spans="1:37" ht="20.25" hidden="1" customHeight="1">
      <c r="A196" s="88"/>
      <c r="B196" s="59" t="s">
        <v>439</v>
      </c>
      <c r="C196" s="105" t="s">
        <v>427</v>
      </c>
      <c r="D196" s="89" t="s">
        <v>132</v>
      </c>
      <c r="E196" s="90"/>
      <c r="F196" s="67" t="s">
        <v>2522</v>
      </c>
      <c r="G196" s="91"/>
      <c r="H196" s="56">
        <f t="shared" si="4"/>
        <v>0</v>
      </c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1">
        <f t="shared" si="1"/>
        <v>0</v>
      </c>
      <c r="AJ196" s="7"/>
      <c r="AK196" s="7"/>
    </row>
    <row r="197" spans="1:37" ht="20.25" hidden="1" customHeight="1">
      <c r="A197" s="88"/>
      <c r="B197" s="59" t="s">
        <v>440</v>
      </c>
      <c r="C197" s="105" t="s">
        <v>429</v>
      </c>
      <c r="D197" s="89" t="s">
        <v>441</v>
      </c>
      <c r="E197" s="90"/>
      <c r="F197" s="67" t="s">
        <v>2522</v>
      </c>
      <c r="G197" s="91"/>
      <c r="H197" s="56">
        <f t="shared" si="4"/>
        <v>0</v>
      </c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1">
        <f t="shared" si="1"/>
        <v>0</v>
      </c>
      <c r="AJ197" s="7"/>
      <c r="AK197" s="7"/>
    </row>
    <row r="198" spans="1:37" ht="20.25" hidden="1" customHeight="1">
      <c r="A198" s="88"/>
      <c r="B198" s="59" t="s">
        <v>439</v>
      </c>
      <c r="C198" s="105" t="s">
        <v>431</v>
      </c>
      <c r="D198" s="89" t="s">
        <v>442</v>
      </c>
      <c r="E198" s="90"/>
      <c r="F198" s="67" t="s">
        <v>2522</v>
      </c>
      <c r="G198" s="91"/>
      <c r="H198" s="56">
        <f t="shared" si="4"/>
        <v>0</v>
      </c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1">
        <f t="shared" si="1"/>
        <v>0</v>
      </c>
      <c r="AJ198" s="7"/>
      <c r="AK198" s="7"/>
    </row>
    <row r="199" spans="1:37" ht="20.25" hidden="1" customHeight="1">
      <c r="A199" s="88"/>
      <c r="B199" s="59" t="s">
        <v>440</v>
      </c>
      <c r="C199" s="105" t="s">
        <v>433</v>
      </c>
      <c r="D199" s="89" t="s">
        <v>443</v>
      </c>
      <c r="E199" s="90"/>
      <c r="F199" s="67" t="s">
        <v>2522</v>
      </c>
      <c r="G199" s="91"/>
      <c r="H199" s="56">
        <f t="shared" si="4"/>
        <v>0</v>
      </c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1">
        <f t="shared" si="1"/>
        <v>0</v>
      </c>
      <c r="AJ199" s="7"/>
      <c r="AK199" s="7"/>
    </row>
    <row r="200" spans="1:37" ht="20.25" customHeight="1">
      <c r="A200" s="52"/>
      <c r="B200" s="53" t="s">
        <v>444</v>
      </c>
      <c r="C200" s="38" t="s">
        <v>445</v>
      </c>
      <c r="D200" s="17"/>
      <c r="E200" s="55"/>
      <c r="F200" s="67" t="s">
        <v>2522</v>
      </c>
      <c r="G200" s="22"/>
      <c r="H200" s="56">
        <f t="shared" si="4"/>
        <v>1</v>
      </c>
      <c r="I200" s="57"/>
      <c r="J200" s="57"/>
      <c r="K200" s="57"/>
      <c r="L200" s="57"/>
      <c r="M200" s="57"/>
      <c r="N200" s="57"/>
      <c r="O200" s="57">
        <v>1</v>
      </c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1">
        <f t="shared" si="1"/>
        <v>1</v>
      </c>
      <c r="AJ200" s="7"/>
      <c r="AK200" s="7"/>
    </row>
    <row r="201" spans="1:37" ht="27.75" customHeight="1">
      <c r="A201" s="88"/>
      <c r="B201" s="59" t="s">
        <v>446</v>
      </c>
      <c r="C201" s="105" t="s">
        <v>447</v>
      </c>
      <c r="D201" s="89" t="s">
        <v>424</v>
      </c>
      <c r="E201" s="85" t="s">
        <v>448</v>
      </c>
      <c r="F201" s="67" t="s">
        <v>2522</v>
      </c>
      <c r="G201" s="91"/>
      <c r="H201" s="56">
        <f t="shared" si="4"/>
        <v>3154</v>
      </c>
      <c r="I201" s="57"/>
      <c r="J201" s="57"/>
      <c r="K201" s="57"/>
      <c r="L201" s="57">
        <v>810</v>
      </c>
      <c r="M201" s="57"/>
      <c r="N201" s="57"/>
      <c r="O201" s="57"/>
      <c r="P201" s="57">
        <v>515</v>
      </c>
      <c r="Q201" s="57"/>
      <c r="R201" s="57">
        <v>1400</v>
      </c>
      <c r="S201" s="57"/>
      <c r="T201" s="57"/>
      <c r="U201" s="57"/>
      <c r="V201" s="57">
        <v>240</v>
      </c>
      <c r="W201" s="57"/>
      <c r="X201" s="57"/>
      <c r="Y201" s="57"/>
      <c r="Z201" s="57">
        <v>35</v>
      </c>
      <c r="AA201" s="57"/>
      <c r="AB201" s="57"/>
      <c r="AC201" s="57"/>
      <c r="AD201" s="57"/>
      <c r="AE201" s="57"/>
      <c r="AF201" s="57">
        <v>85</v>
      </c>
      <c r="AG201" s="57">
        <v>69</v>
      </c>
      <c r="AH201" s="57"/>
      <c r="AI201" s="51">
        <f t="shared" si="1"/>
        <v>3154</v>
      </c>
      <c r="AJ201" s="7"/>
      <c r="AK201" s="7"/>
    </row>
    <row r="202" spans="1:37" ht="20.25" hidden="1" customHeight="1">
      <c r="A202" s="88"/>
      <c r="B202" s="59" t="s">
        <v>449</v>
      </c>
      <c r="C202" s="105" t="s">
        <v>450</v>
      </c>
      <c r="D202" s="89" t="s">
        <v>451</v>
      </c>
      <c r="E202" s="90"/>
      <c r="F202" s="67" t="s">
        <v>2522</v>
      </c>
      <c r="G202" s="91"/>
      <c r="H202" s="56">
        <f t="shared" si="4"/>
        <v>0</v>
      </c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1">
        <f t="shared" si="1"/>
        <v>0</v>
      </c>
      <c r="AJ202" s="7"/>
      <c r="AK202" s="7"/>
    </row>
    <row r="203" spans="1:37" ht="20.25" hidden="1" customHeight="1">
      <c r="A203" s="88"/>
      <c r="B203" s="59" t="s">
        <v>449</v>
      </c>
      <c r="C203" s="105" t="s">
        <v>431</v>
      </c>
      <c r="D203" s="89" t="s">
        <v>452</v>
      </c>
      <c r="E203" s="90"/>
      <c r="F203" s="67" t="s">
        <v>2522</v>
      </c>
      <c r="G203" s="91"/>
      <c r="H203" s="56">
        <f t="shared" si="4"/>
        <v>0</v>
      </c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1">
        <f t="shared" si="1"/>
        <v>0</v>
      </c>
      <c r="AJ203" s="7"/>
      <c r="AK203" s="7"/>
    </row>
    <row r="204" spans="1:37" ht="20.25" hidden="1" customHeight="1">
      <c r="A204" s="88"/>
      <c r="B204" s="59" t="s">
        <v>453</v>
      </c>
      <c r="C204" s="105" t="s">
        <v>433</v>
      </c>
      <c r="D204" s="89" t="s">
        <v>454</v>
      </c>
      <c r="E204" s="90"/>
      <c r="F204" s="67" t="s">
        <v>2522</v>
      </c>
      <c r="G204" s="91"/>
      <c r="H204" s="56">
        <f t="shared" si="4"/>
        <v>0</v>
      </c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1">
        <f t="shared" si="1"/>
        <v>0</v>
      </c>
      <c r="AJ204" s="7"/>
      <c r="AK204" s="7"/>
    </row>
    <row r="205" spans="1:37" ht="33.75" customHeight="1">
      <c r="A205" s="52"/>
      <c r="B205" s="53" t="s">
        <v>455</v>
      </c>
      <c r="C205" s="38" t="s">
        <v>456</v>
      </c>
      <c r="D205" s="97"/>
      <c r="E205" s="85" t="s">
        <v>457</v>
      </c>
      <c r="F205" s="67" t="s">
        <v>2522</v>
      </c>
      <c r="G205" s="99"/>
      <c r="H205" s="56">
        <f t="shared" si="4"/>
        <v>0</v>
      </c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1">
        <f t="shared" si="1"/>
        <v>0</v>
      </c>
      <c r="AJ205" s="7"/>
      <c r="AK205" s="7"/>
    </row>
    <row r="206" spans="1:37" ht="20.25" customHeight="1">
      <c r="A206" s="88"/>
      <c r="B206" s="59" t="s">
        <v>458</v>
      </c>
      <c r="C206" s="105" t="s">
        <v>459</v>
      </c>
      <c r="D206" s="89" t="s">
        <v>424</v>
      </c>
      <c r="E206" s="85" t="s">
        <v>460</v>
      </c>
      <c r="F206" s="67" t="s">
        <v>2522</v>
      </c>
      <c r="G206" s="91"/>
      <c r="H206" s="56">
        <f t="shared" si="4"/>
        <v>234439.7</v>
      </c>
      <c r="I206" s="57">
        <v>886</v>
      </c>
      <c r="J206" s="57"/>
      <c r="K206" s="57"/>
      <c r="L206" s="57">
        <v>71</v>
      </c>
      <c r="M206" s="57"/>
      <c r="N206" s="57">
        <v>170</v>
      </c>
      <c r="O206" s="57"/>
      <c r="P206" s="57">
        <v>40600</v>
      </c>
      <c r="Q206" s="57">
        <v>52431</v>
      </c>
      <c r="R206" s="57">
        <v>14954</v>
      </c>
      <c r="S206" s="57">
        <v>8600</v>
      </c>
      <c r="T206" s="57"/>
      <c r="U206" s="57"/>
      <c r="V206" s="57">
        <v>4578.7</v>
      </c>
      <c r="W206" s="57">
        <v>21086</v>
      </c>
      <c r="X206" s="57"/>
      <c r="Y206" s="57"/>
      <c r="Z206" s="57">
        <v>36560</v>
      </c>
      <c r="AA206" s="57"/>
      <c r="AB206" s="57"/>
      <c r="AC206" s="57"/>
      <c r="AD206" s="57">
        <v>1775</v>
      </c>
      <c r="AE206" s="57">
        <v>5500</v>
      </c>
      <c r="AF206" s="57">
        <v>16480</v>
      </c>
      <c r="AG206" s="57">
        <v>27558</v>
      </c>
      <c r="AH206" s="57">
        <v>3190</v>
      </c>
      <c r="AI206" s="51">
        <f t="shared" si="1"/>
        <v>234439.7</v>
      </c>
      <c r="AJ206" s="7"/>
      <c r="AK206" s="7"/>
    </row>
    <row r="207" spans="1:37" ht="20.25" customHeight="1">
      <c r="A207" s="88"/>
      <c r="B207" s="59" t="s">
        <v>461</v>
      </c>
      <c r="C207" s="105" t="s">
        <v>431</v>
      </c>
      <c r="D207" s="89" t="s">
        <v>462</v>
      </c>
      <c r="E207" s="85" t="s">
        <v>463</v>
      </c>
      <c r="F207" s="67" t="s">
        <v>2522</v>
      </c>
      <c r="G207" s="91"/>
      <c r="H207" s="56">
        <f t="shared" si="4"/>
        <v>159585</v>
      </c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>
        <v>10830</v>
      </c>
      <c r="AG207" s="57">
        <v>148755</v>
      </c>
      <c r="AH207" s="57"/>
      <c r="AI207" s="51">
        <f t="shared" si="1"/>
        <v>159585</v>
      </c>
      <c r="AJ207" s="7"/>
      <c r="AK207" s="7"/>
    </row>
    <row r="208" spans="1:37" ht="20.25" customHeight="1">
      <c r="A208" s="88"/>
      <c r="B208" s="59" t="s">
        <v>464</v>
      </c>
      <c r="C208" s="105" t="s">
        <v>433</v>
      </c>
      <c r="D208" s="89" t="s">
        <v>465</v>
      </c>
      <c r="E208" s="85" t="s">
        <v>466</v>
      </c>
      <c r="F208" s="67" t="s">
        <v>2522</v>
      </c>
      <c r="G208" s="91"/>
      <c r="H208" s="56">
        <f t="shared" si="4"/>
        <v>23766</v>
      </c>
      <c r="I208" s="57"/>
      <c r="J208" s="57"/>
      <c r="K208" s="57"/>
      <c r="L208" s="57"/>
      <c r="M208" s="57"/>
      <c r="N208" s="57">
        <v>1000</v>
      </c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>
        <v>26</v>
      </c>
      <c r="AG208" s="57">
        <v>22740</v>
      </c>
      <c r="AH208" s="57"/>
      <c r="AI208" s="51">
        <f t="shared" si="1"/>
        <v>23766</v>
      </c>
      <c r="AJ208" s="7"/>
      <c r="AK208" s="7"/>
    </row>
    <row r="209" spans="1:37" ht="20.25" customHeight="1">
      <c r="A209" s="52"/>
      <c r="B209" s="53" t="s">
        <v>455</v>
      </c>
      <c r="C209" s="54" t="s">
        <v>467</v>
      </c>
      <c r="D209" s="17"/>
      <c r="E209" s="85" t="s">
        <v>468</v>
      </c>
      <c r="F209" s="67" t="s">
        <v>2522</v>
      </c>
      <c r="G209" s="22"/>
      <c r="H209" s="56">
        <f t="shared" si="4"/>
        <v>402</v>
      </c>
      <c r="I209" s="57"/>
      <c r="J209" s="57"/>
      <c r="K209" s="57"/>
      <c r="L209" s="57"/>
      <c r="M209" s="57"/>
      <c r="N209" s="57"/>
      <c r="O209" s="57"/>
      <c r="P209" s="57"/>
      <c r="Q209" s="57"/>
      <c r="R209" s="57">
        <f>+R210</f>
        <v>13</v>
      </c>
      <c r="S209" s="57">
        <v>47</v>
      </c>
      <c r="T209" s="57"/>
      <c r="U209" s="57"/>
      <c r="V209" s="57"/>
      <c r="W209" s="57"/>
      <c r="X209" s="57"/>
      <c r="Y209" s="57"/>
      <c r="Z209" s="57">
        <v>42</v>
      </c>
      <c r="AA209" s="57"/>
      <c r="AB209" s="57"/>
      <c r="AC209" s="57"/>
      <c r="AD209" s="57">
        <v>7</v>
      </c>
      <c r="AE209" s="57">
        <f>SUM(AE210:AE212)</f>
        <v>98</v>
      </c>
      <c r="AF209" s="57">
        <v>76</v>
      </c>
      <c r="AG209" s="57">
        <f>SUM(AG210:AG212)</f>
        <v>109</v>
      </c>
      <c r="AH209" s="57">
        <v>10</v>
      </c>
      <c r="AI209" s="51">
        <f t="shared" si="1"/>
        <v>402</v>
      </c>
      <c r="AJ209" s="7"/>
      <c r="AK209" s="7"/>
    </row>
    <row r="210" spans="1:37" ht="20.25" customHeight="1">
      <c r="A210" s="88"/>
      <c r="B210" s="59" t="s">
        <v>458</v>
      </c>
      <c r="C210" s="105" t="s">
        <v>469</v>
      </c>
      <c r="D210" s="89" t="s">
        <v>132</v>
      </c>
      <c r="E210" s="85" t="s">
        <v>470</v>
      </c>
      <c r="F210" s="67" t="s">
        <v>2522</v>
      </c>
      <c r="G210" s="91"/>
      <c r="H210" s="56">
        <f t="shared" si="4"/>
        <v>328</v>
      </c>
      <c r="I210" s="57"/>
      <c r="J210" s="57"/>
      <c r="K210" s="57"/>
      <c r="L210" s="57"/>
      <c r="M210" s="57"/>
      <c r="N210" s="57"/>
      <c r="O210" s="57"/>
      <c r="P210" s="57"/>
      <c r="Q210" s="57"/>
      <c r="R210" s="57">
        <v>13</v>
      </c>
      <c r="S210" s="57"/>
      <c r="T210" s="57"/>
      <c r="U210" s="57"/>
      <c r="V210" s="57"/>
      <c r="W210" s="57"/>
      <c r="X210" s="57"/>
      <c r="Y210" s="57"/>
      <c r="Z210" s="57">
        <v>42</v>
      </c>
      <c r="AA210" s="57"/>
      <c r="AB210" s="57"/>
      <c r="AC210" s="57"/>
      <c r="AD210" s="57"/>
      <c r="AE210" s="57">
        <v>98</v>
      </c>
      <c r="AF210" s="57">
        <v>66</v>
      </c>
      <c r="AG210" s="57">
        <v>109</v>
      </c>
      <c r="AH210" s="57"/>
      <c r="AI210" s="51">
        <f t="shared" si="1"/>
        <v>328</v>
      </c>
      <c r="AJ210" s="7"/>
      <c r="AK210" s="7"/>
    </row>
    <row r="211" spans="1:37" ht="20.25" customHeight="1">
      <c r="A211" s="88"/>
      <c r="B211" s="59" t="s">
        <v>461</v>
      </c>
      <c r="C211" s="105" t="s">
        <v>471</v>
      </c>
      <c r="D211" s="89" t="s">
        <v>132</v>
      </c>
      <c r="E211" s="85" t="s">
        <v>472</v>
      </c>
      <c r="F211" s="67" t="s">
        <v>2522</v>
      </c>
      <c r="G211" s="91"/>
      <c r="H211" s="56">
        <f t="shared" si="4"/>
        <v>5</v>
      </c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>
        <v>5</v>
      </c>
      <c r="AG211" s="57"/>
      <c r="AH211" s="57"/>
      <c r="AI211" s="51">
        <f t="shared" si="1"/>
        <v>5</v>
      </c>
      <c r="AJ211" s="7"/>
      <c r="AK211" s="7"/>
    </row>
    <row r="212" spans="1:37" ht="20.25" customHeight="1">
      <c r="A212" s="88"/>
      <c r="B212" s="59" t="s">
        <v>464</v>
      </c>
      <c r="C212" s="105" t="s">
        <v>473</v>
      </c>
      <c r="D212" s="89" t="s">
        <v>132</v>
      </c>
      <c r="E212" s="85" t="s">
        <v>474</v>
      </c>
      <c r="F212" s="67" t="s">
        <v>2522</v>
      </c>
      <c r="G212" s="91"/>
      <c r="H212" s="56">
        <f t="shared" si="4"/>
        <v>5</v>
      </c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>
        <v>5</v>
      </c>
      <c r="AG212" s="57"/>
      <c r="AH212" s="57"/>
      <c r="AI212" s="51">
        <f t="shared" si="1"/>
        <v>5</v>
      </c>
      <c r="AJ212" s="7"/>
      <c r="AK212" s="7"/>
    </row>
    <row r="213" spans="1:37" ht="20.25" customHeight="1">
      <c r="A213" s="52"/>
      <c r="B213" s="53" t="s">
        <v>475</v>
      </c>
      <c r="C213" s="54" t="s">
        <v>476</v>
      </c>
      <c r="D213" s="17"/>
      <c r="E213" s="85" t="s">
        <v>477</v>
      </c>
      <c r="F213" s="67" t="s">
        <v>2522</v>
      </c>
      <c r="G213" s="22"/>
      <c r="H213" s="56">
        <f t="shared" si="4"/>
        <v>36</v>
      </c>
      <c r="I213" s="57"/>
      <c r="J213" s="57"/>
      <c r="K213" s="57"/>
      <c r="L213" s="57"/>
      <c r="M213" s="57"/>
      <c r="N213" s="57">
        <v>1</v>
      </c>
      <c r="O213" s="57"/>
      <c r="P213" s="57"/>
      <c r="Q213" s="57">
        <v>6</v>
      </c>
      <c r="R213" s="57">
        <f>+R214</f>
        <v>12</v>
      </c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>
        <v>17</v>
      </c>
      <c r="AF213" s="57"/>
      <c r="AG213" s="57"/>
      <c r="AH213" s="57"/>
      <c r="AI213" s="51">
        <f t="shared" si="1"/>
        <v>36</v>
      </c>
      <c r="AJ213" s="7"/>
      <c r="AK213" s="7"/>
    </row>
    <row r="214" spans="1:37" ht="20.25" customHeight="1">
      <c r="A214" s="88"/>
      <c r="B214" s="59" t="s">
        <v>478</v>
      </c>
      <c r="C214" s="105" t="s">
        <v>479</v>
      </c>
      <c r="D214" s="89" t="s">
        <v>132</v>
      </c>
      <c r="E214" s="85" t="s">
        <v>480</v>
      </c>
      <c r="F214" s="67" t="s">
        <v>2522</v>
      </c>
      <c r="G214" s="91"/>
      <c r="H214" s="56">
        <f t="shared" si="4"/>
        <v>17</v>
      </c>
      <c r="I214" s="57"/>
      <c r="J214" s="57"/>
      <c r="K214" s="57"/>
      <c r="L214" s="57"/>
      <c r="M214" s="57"/>
      <c r="N214" s="57"/>
      <c r="O214" s="57"/>
      <c r="P214" s="57"/>
      <c r="Q214" s="57"/>
      <c r="R214" s="57">
        <v>12</v>
      </c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>
        <v>5</v>
      </c>
      <c r="AI214" s="51">
        <f t="shared" si="1"/>
        <v>17</v>
      </c>
      <c r="AJ214" s="7"/>
      <c r="AK214" s="7"/>
    </row>
    <row r="215" spans="1:37" ht="29.25" customHeight="1">
      <c r="A215" s="88"/>
      <c r="B215" s="59" t="s">
        <v>481</v>
      </c>
      <c r="C215" s="105" t="s">
        <v>482</v>
      </c>
      <c r="D215" s="89" t="s">
        <v>132</v>
      </c>
      <c r="E215" s="85" t="s">
        <v>483</v>
      </c>
      <c r="F215" s="67" t="s">
        <v>2522</v>
      </c>
      <c r="G215" s="91"/>
      <c r="H215" s="56">
        <f t="shared" si="4"/>
        <v>0</v>
      </c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1">
        <f t="shared" si="1"/>
        <v>0</v>
      </c>
      <c r="AJ215" s="7"/>
      <c r="AK215" s="7"/>
    </row>
    <row r="216" spans="1:37" ht="20.25" customHeight="1">
      <c r="A216" s="52"/>
      <c r="B216" s="53" t="s">
        <v>484</v>
      </c>
      <c r="C216" s="38" t="s">
        <v>485</v>
      </c>
      <c r="D216" s="97" t="s">
        <v>132</v>
      </c>
      <c r="E216" s="85" t="s">
        <v>486</v>
      </c>
      <c r="F216" s="67" t="s">
        <v>2522</v>
      </c>
      <c r="G216" s="99"/>
      <c r="H216" s="56">
        <f t="shared" si="4"/>
        <v>242</v>
      </c>
      <c r="I216" s="57"/>
      <c r="J216" s="57"/>
      <c r="K216" s="57"/>
      <c r="L216" s="57"/>
      <c r="M216" s="57"/>
      <c r="N216" s="57"/>
      <c r="O216" s="57"/>
      <c r="P216" s="57">
        <f>+P217+P218</f>
        <v>13</v>
      </c>
      <c r="Q216" s="57">
        <v>27</v>
      </c>
      <c r="R216" s="57"/>
      <c r="S216" s="57">
        <v>34</v>
      </c>
      <c r="T216" s="57"/>
      <c r="U216" s="57"/>
      <c r="V216" s="57"/>
      <c r="W216" s="57"/>
      <c r="X216" s="57"/>
      <c r="Y216" s="57"/>
      <c r="Z216" s="57">
        <v>105</v>
      </c>
      <c r="AA216" s="57"/>
      <c r="AB216" s="57"/>
      <c r="AC216" s="57"/>
      <c r="AD216" s="57">
        <v>12</v>
      </c>
      <c r="AE216" s="57">
        <v>4</v>
      </c>
      <c r="AF216" s="57">
        <v>13</v>
      </c>
      <c r="AG216" s="57">
        <v>34</v>
      </c>
      <c r="AH216" s="57"/>
      <c r="AI216" s="51">
        <f t="shared" si="1"/>
        <v>242</v>
      </c>
      <c r="AJ216" s="7"/>
      <c r="AK216" s="7"/>
    </row>
    <row r="217" spans="1:37" ht="20.25" customHeight="1">
      <c r="A217" s="88"/>
      <c r="B217" s="59" t="s">
        <v>487</v>
      </c>
      <c r="C217" s="105" t="s">
        <v>488</v>
      </c>
      <c r="D217" s="89" t="s">
        <v>132</v>
      </c>
      <c r="E217" s="85" t="s">
        <v>489</v>
      </c>
      <c r="F217" s="67" t="s">
        <v>2522</v>
      </c>
      <c r="G217" s="91"/>
      <c r="H217" s="56">
        <f t="shared" si="4"/>
        <v>146</v>
      </c>
      <c r="I217" s="57"/>
      <c r="J217" s="57"/>
      <c r="K217" s="57"/>
      <c r="L217" s="57"/>
      <c r="M217" s="57"/>
      <c r="N217" s="57"/>
      <c r="O217" s="57"/>
      <c r="P217" s="57">
        <v>13</v>
      </c>
      <c r="Q217" s="57"/>
      <c r="R217" s="57">
        <v>54</v>
      </c>
      <c r="S217" s="57"/>
      <c r="T217" s="57"/>
      <c r="U217" s="57"/>
      <c r="V217" s="57"/>
      <c r="W217" s="57"/>
      <c r="X217" s="57"/>
      <c r="Y217" s="57"/>
      <c r="Z217" s="57">
        <v>79</v>
      </c>
      <c r="AA217" s="57"/>
      <c r="AB217" s="57"/>
      <c r="AC217" s="57"/>
      <c r="AD217" s="57"/>
      <c r="AE217" s="57"/>
      <c r="AF217" s="57"/>
      <c r="AG217" s="57"/>
      <c r="AH217" s="57"/>
      <c r="AI217" s="51">
        <f t="shared" si="1"/>
        <v>146</v>
      </c>
      <c r="AJ217" s="7"/>
      <c r="AK217" s="7"/>
    </row>
    <row r="218" spans="1:37" ht="20.25" customHeight="1">
      <c r="A218" s="88"/>
      <c r="B218" s="59" t="s">
        <v>490</v>
      </c>
      <c r="C218" s="105" t="s">
        <v>491</v>
      </c>
      <c r="D218" s="89" t="s">
        <v>132</v>
      </c>
      <c r="E218" s="85" t="s">
        <v>492</v>
      </c>
      <c r="F218" s="67" t="s">
        <v>2522</v>
      </c>
      <c r="G218" s="91"/>
      <c r="H218" s="56">
        <f t="shared" si="4"/>
        <v>26</v>
      </c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>
        <v>26</v>
      </c>
      <c r="AA218" s="57"/>
      <c r="AB218" s="57"/>
      <c r="AC218" s="57"/>
      <c r="AD218" s="57"/>
      <c r="AE218" s="57"/>
      <c r="AF218" s="57"/>
      <c r="AG218" s="57"/>
      <c r="AH218" s="57"/>
      <c r="AI218" s="51">
        <f t="shared" si="1"/>
        <v>26</v>
      </c>
      <c r="AJ218" s="7"/>
      <c r="AK218" s="7"/>
    </row>
    <row r="219" spans="1:37" ht="46.5">
      <c r="A219" s="52"/>
      <c r="B219" s="53" t="s">
        <v>493</v>
      </c>
      <c r="C219" s="103" t="s">
        <v>494</v>
      </c>
      <c r="D219" s="97" t="s">
        <v>132</v>
      </c>
      <c r="E219" s="85" t="s">
        <v>495</v>
      </c>
      <c r="F219" s="67" t="s">
        <v>2522</v>
      </c>
      <c r="G219" s="99"/>
      <c r="H219" s="56">
        <f t="shared" si="4"/>
        <v>1603</v>
      </c>
      <c r="I219" s="57">
        <v>16</v>
      </c>
      <c r="J219" s="57">
        <v>67</v>
      </c>
      <c r="K219" s="57">
        <v>497</v>
      </c>
      <c r="L219" s="57">
        <v>110</v>
      </c>
      <c r="M219" s="57">
        <v>250</v>
      </c>
      <c r="N219" s="57"/>
      <c r="O219" s="57">
        <v>4</v>
      </c>
      <c r="P219" s="57">
        <v>406</v>
      </c>
      <c r="Q219" s="57"/>
      <c r="R219" s="57">
        <v>177</v>
      </c>
      <c r="S219" s="57"/>
      <c r="T219" s="57">
        <v>2</v>
      </c>
      <c r="U219" s="57"/>
      <c r="V219" s="106">
        <f>5+3+4+23</f>
        <v>35</v>
      </c>
      <c r="W219" s="57"/>
      <c r="X219" s="57"/>
      <c r="Y219" s="57"/>
      <c r="Z219" s="57"/>
      <c r="AA219" s="57"/>
      <c r="AB219" s="57"/>
      <c r="AC219" s="57">
        <v>18</v>
      </c>
      <c r="AD219" s="57">
        <v>1</v>
      </c>
      <c r="AE219" s="57"/>
      <c r="AF219" s="57">
        <v>20</v>
      </c>
      <c r="AG219" s="57"/>
      <c r="AH219" s="57"/>
      <c r="AI219" s="51">
        <f t="shared" si="1"/>
        <v>1603</v>
      </c>
      <c r="AJ219" s="7"/>
      <c r="AK219" s="7"/>
    </row>
    <row r="220" spans="1:37" ht="31">
      <c r="A220" s="52"/>
      <c r="B220" s="53" t="s">
        <v>496</v>
      </c>
      <c r="C220" s="54" t="s">
        <v>497</v>
      </c>
      <c r="D220" s="97"/>
      <c r="E220" s="85" t="s">
        <v>498</v>
      </c>
      <c r="F220" s="67" t="s">
        <v>2522</v>
      </c>
      <c r="G220" s="99"/>
      <c r="H220" s="56">
        <f t="shared" si="4"/>
        <v>9037</v>
      </c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>
        <v>9037</v>
      </c>
      <c r="AI220" s="51">
        <f t="shared" si="1"/>
        <v>9037</v>
      </c>
      <c r="AJ220" s="7"/>
      <c r="AK220" s="7"/>
    </row>
    <row r="221" spans="1:37" ht="20.25" customHeight="1">
      <c r="A221" s="58"/>
      <c r="B221" s="59" t="s">
        <v>499</v>
      </c>
      <c r="C221" s="60" t="s">
        <v>500</v>
      </c>
      <c r="D221" s="61" t="s">
        <v>424</v>
      </c>
      <c r="E221" s="85" t="s">
        <v>501</v>
      </c>
      <c r="F221" s="67" t="s">
        <v>2522</v>
      </c>
      <c r="G221" s="37"/>
      <c r="H221" s="56">
        <f t="shared" si="4"/>
        <v>28092</v>
      </c>
      <c r="I221" s="57"/>
      <c r="J221" s="57"/>
      <c r="K221" s="57"/>
      <c r="L221" s="57"/>
      <c r="M221" s="57"/>
      <c r="N221" s="57"/>
      <c r="O221" s="57"/>
      <c r="P221" s="57"/>
      <c r="Q221" s="57"/>
      <c r="R221" s="57">
        <v>23492</v>
      </c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>
        <v>4600</v>
      </c>
      <c r="AG221" s="57"/>
      <c r="AH221" s="57"/>
      <c r="AI221" s="51">
        <f t="shared" si="1"/>
        <v>28092</v>
      </c>
      <c r="AJ221" s="7"/>
      <c r="AK221" s="7"/>
    </row>
    <row r="222" spans="1:37" ht="20.25" customHeight="1">
      <c r="A222" s="58"/>
      <c r="B222" s="59" t="s">
        <v>502</v>
      </c>
      <c r="C222" s="60" t="s">
        <v>503</v>
      </c>
      <c r="D222" s="89" t="s">
        <v>504</v>
      </c>
      <c r="E222" s="85" t="s">
        <v>505</v>
      </c>
      <c r="F222" s="67" t="s">
        <v>2522</v>
      </c>
      <c r="G222" s="91"/>
      <c r="H222" s="56">
        <f t="shared" si="4"/>
        <v>6100</v>
      </c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>
        <v>6100</v>
      </c>
      <c r="AG222" s="57"/>
      <c r="AH222" s="57"/>
      <c r="AI222" s="51">
        <f t="shared" si="1"/>
        <v>6100</v>
      </c>
      <c r="AJ222" s="7"/>
      <c r="AK222" s="7"/>
    </row>
    <row r="223" spans="1:37" ht="20.25" customHeight="1">
      <c r="A223" s="58"/>
      <c r="B223" s="59" t="s">
        <v>506</v>
      </c>
      <c r="C223" s="60" t="s">
        <v>507</v>
      </c>
      <c r="D223" s="61" t="s">
        <v>508</v>
      </c>
      <c r="E223" s="85" t="s">
        <v>466</v>
      </c>
      <c r="F223" s="67" t="s">
        <v>2522</v>
      </c>
      <c r="G223" s="37"/>
      <c r="H223" s="56">
        <f t="shared" si="4"/>
        <v>0</v>
      </c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1">
        <f t="shared" si="1"/>
        <v>0</v>
      </c>
      <c r="AJ223" s="7"/>
      <c r="AK223" s="7"/>
    </row>
    <row r="224" spans="1:37" ht="20.25" customHeight="1">
      <c r="A224" s="52"/>
      <c r="B224" s="53" t="s">
        <v>509</v>
      </c>
      <c r="C224" s="54" t="s">
        <v>510</v>
      </c>
      <c r="D224" s="66" t="s">
        <v>183</v>
      </c>
      <c r="E224" s="85" t="s">
        <v>511</v>
      </c>
      <c r="F224" s="67" t="s">
        <v>2522</v>
      </c>
      <c r="G224" s="68"/>
      <c r="H224" s="56">
        <f t="shared" si="4"/>
        <v>0</v>
      </c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1">
        <f t="shared" si="1"/>
        <v>0</v>
      </c>
      <c r="AJ224" s="7"/>
      <c r="AK224" s="7"/>
    </row>
    <row r="225" spans="1:37" ht="18.75" customHeight="1">
      <c r="A225" s="63">
        <v>9</v>
      </c>
      <c r="B225" s="64" t="s">
        <v>512</v>
      </c>
      <c r="C225" s="65" t="s">
        <v>513</v>
      </c>
      <c r="D225" s="66"/>
      <c r="E225" s="85" t="s">
        <v>514</v>
      </c>
      <c r="F225" s="85" t="s">
        <v>2521</v>
      </c>
      <c r="G225" s="68"/>
      <c r="H225" s="56">
        <f t="shared" si="4"/>
        <v>0</v>
      </c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1">
        <f t="shared" si="1"/>
        <v>0</v>
      </c>
      <c r="AJ225" s="7"/>
      <c r="AK225" s="7"/>
    </row>
    <row r="226" spans="1:37" ht="16.5" customHeight="1">
      <c r="A226" s="52"/>
      <c r="B226" s="53" t="s">
        <v>515</v>
      </c>
      <c r="C226" s="54" t="s">
        <v>516</v>
      </c>
      <c r="D226" s="97"/>
      <c r="E226" s="85" t="s">
        <v>517</v>
      </c>
      <c r="F226" s="85" t="s">
        <v>2521</v>
      </c>
      <c r="G226" s="99"/>
      <c r="H226" s="56">
        <f t="shared" si="4"/>
        <v>0</v>
      </c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1">
        <f t="shared" si="1"/>
        <v>0</v>
      </c>
      <c r="AJ226" s="7"/>
      <c r="AK226" s="7"/>
    </row>
    <row r="227" spans="1:37" ht="32.25" customHeight="1">
      <c r="A227" s="88"/>
      <c r="B227" s="59" t="s">
        <v>518</v>
      </c>
      <c r="C227" s="60" t="s">
        <v>447</v>
      </c>
      <c r="D227" s="89" t="s">
        <v>424</v>
      </c>
      <c r="E227" s="85" t="s">
        <v>519</v>
      </c>
      <c r="F227" s="85" t="s">
        <v>2521</v>
      </c>
      <c r="G227" s="91"/>
      <c r="H227" s="56">
        <f t="shared" si="4"/>
        <v>14991</v>
      </c>
      <c r="I227" s="57"/>
      <c r="J227" s="57">
        <v>1360</v>
      </c>
      <c r="K227" s="57">
        <v>2882</v>
      </c>
      <c r="L227" s="57"/>
      <c r="M227" s="57"/>
      <c r="N227" s="57">
        <f>526</f>
        <v>526</v>
      </c>
      <c r="O227" s="57">
        <v>378</v>
      </c>
      <c r="P227" s="57"/>
      <c r="Q227" s="57"/>
      <c r="R227" s="57">
        <v>4800</v>
      </c>
      <c r="S227" s="57">
        <v>2400</v>
      </c>
      <c r="T227" s="57"/>
      <c r="U227" s="57"/>
      <c r="V227" s="57">
        <v>1714</v>
      </c>
      <c r="W227" s="57"/>
      <c r="X227" s="57"/>
      <c r="Y227" s="57"/>
      <c r="Z227" s="57">
        <v>150</v>
      </c>
      <c r="AA227" s="57"/>
      <c r="AB227" s="57"/>
      <c r="AC227" s="57"/>
      <c r="AD227" s="57"/>
      <c r="AE227" s="100"/>
      <c r="AF227" s="57">
        <v>40</v>
      </c>
      <c r="AG227" s="57"/>
      <c r="AH227" s="57">
        <v>741</v>
      </c>
      <c r="AI227" s="51">
        <f t="shared" si="1"/>
        <v>14991</v>
      </c>
      <c r="AJ227" s="7"/>
      <c r="AK227" s="7"/>
    </row>
    <row r="228" spans="1:37" ht="20.25" customHeight="1">
      <c r="A228" s="88"/>
      <c r="B228" s="59" t="s">
        <v>520</v>
      </c>
      <c r="C228" s="60" t="s">
        <v>521</v>
      </c>
      <c r="D228" s="89" t="s">
        <v>424</v>
      </c>
      <c r="E228" s="90" t="s">
        <v>522</v>
      </c>
      <c r="F228" s="85" t="s">
        <v>2521</v>
      </c>
      <c r="G228" s="91"/>
      <c r="H228" s="56">
        <f t="shared" si="4"/>
        <v>13500</v>
      </c>
      <c r="I228" s="57"/>
      <c r="J228" s="57"/>
      <c r="K228" s="57"/>
      <c r="L228" s="57"/>
      <c r="M228" s="57"/>
      <c r="N228" s="57"/>
      <c r="O228" s="57"/>
      <c r="P228" s="57">
        <v>9500</v>
      </c>
      <c r="Q228" s="57"/>
      <c r="R228" s="57"/>
      <c r="S228" s="57"/>
      <c r="T228" s="57"/>
      <c r="U228" s="57"/>
      <c r="V228" s="57"/>
      <c r="W228" s="57"/>
      <c r="X228" s="57"/>
      <c r="Y228" s="57"/>
      <c r="Z228" s="57">
        <v>1000</v>
      </c>
      <c r="AA228" s="57"/>
      <c r="AB228" s="57"/>
      <c r="AC228" s="57"/>
      <c r="AD228" s="57">
        <v>500</v>
      </c>
      <c r="AE228" s="100"/>
      <c r="AF228" s="57">
        <v>2500</v>
      </c>
      <c r="AG228" s="57"/>
      <c r="AH228" s="57"/>
      <c r="AI228" s="51">
        <f t="shared" si="1"/>
        <v>13500</v>
      </c>
      <c r="AJ228" s="7"/>
      <c r="AK228" s="7"/>
    </row>
    <row r="229" spans="1:37" ht="19.5" customHeight="1">
      <c r="A229" s="88"/>
      <c r="B229" s="59" t="s">
        <v>523</v>
      </c>
      <c r="C229" s="60" t="s">
        <v>524</v>
      </c>
      <c r="D229" s="89" t="s">
        <v>525</v>
      </c>
      <c r="E229" s="90" t="s">
        <v>463</v>
      </c>
      <c r="F229" s="85" t="s">
        <v>2521</v>
      </c>
      <c r="G229" s="91"/>
      <c r="H229" s="56">
        <f t="shared" si="4"/>
        <v>108121</v>
      </c>
      <c r="I229" s="57"/>
      <c r="J229" s="57"/>
      <c r="K229" s="57"/>
      <c r="L229" s="57"/>
      <c r="M229" s="57"/>
      <c r="N229" s="57"/>
      <c r="O229" s="57"/>
      <c r="P229" s="57">
        <v>77771</v>
      </c>
      <c r="Q229" s="57"/>
      <c r="R229" s="57">
        <v>30000</v>
      </c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>
        <v>350</v>
      </c>
      <c r="AG229" s="57"/>
      <c r="AH229" s="57"/>
      <c r="AI229" s="51">
        <f t="shared" si="1"/>
        <v>108121</v>
      </c>
      <c r="AJ229" s="7"/>
      <c r="AK229" s="7"/>
    </row>
    <row r="230" spans="1:37" ht="32.25" customHeight="1">
      <c r="A230" s="88"/>
      <c r="B230" s="59" t="s">
        <v>526</v>
      </c>
      <c r="C230" s="60" t="s">
        <v>527</v>
      </c>
      <c r="D230" s="89" t="s">
        <v>528</v>
      </c>
      <c r="E230" s="85" t="s">
        <v>529</v>
      </c>
      <c r="F230" s="85" t="s">
        <v>2521</v>
      </c>
      <c r="G230" s="91"/>
      <c r="H230" s="56">
        <f t="shared" si="4"/>
        <v>2296907</v>
      </c>
      <c r="I230" s="57">
        <v>7495</v>
      </c>
      <c r="J230" s="57">
        <v>1281500</v>
      </c>
      <c r="K230" s="57">
        <v>622917</v>
      </c>
      <c r="L230" s="57">
        <v>2690</v>
      </c>
      <c r="M230" s="57"/>
      <c r="N230" s="57">
        <v>139213</v>
      </c>
      <c r="O230" s="57">
        <v>107000</v>
      </c>
      <c r="P230" s="57"/>
      <c r="Q230" s="57"/>
      <c r="R230" s="57"/>
      <c r="S230" s="57"/>
      <c r="T230" s="57">
        <v>21600</v>
      </c>
      <c r="U230" s="57"/>
      <c r="V230" s="57">
        <v>20383</v>
      </c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>
        <v>94109</v>
      </c>
      <c r="AI230" s="51">
        <f t="shared" si="1"/>
        <v>2296907</v>
      </c>
      <c r="AJ230" s="7"/>
      <c r="AK230" s="7"/>
    </row>
    <row r="231" spans="1:37" ht="24.75" customHeight="1">
      <c r="A231" s="88"/>
      <c r="B231" s="59" t="s">
        <v>530</v>
      </c>
      <c r="C231" s="60" t="s">
        <v>531</v>
      </c>
      <c r="D231" s="89" t="s">
        <v>132</v>
      </c>
      <c r="E231" s="85" t="s">
        <v>532</v>
      </c>
      <c r="F231" s="85" t="s">
        <v>2521</v>
      </c>
      <c r="G231" s="91"/>
      <c r="H231" s="56">
        <f t="shared" si="4"/>
        <v>570</v>
      </c>
      <c r="I231" s="57"/>
      <c r="J231" s="57"/>
      <c r="K231" s="57">
        <v>568</v>
      </c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>
        <v>2</v>
      </c>
      <c r="AI231" s="51">
        <f t="shared" si="1"/>
        <v>570</v>
      </c>
      <c r="AJ231" s="7"/>
      <c r="AK231" s="7"/>
    </row>
    <row r="232" spans="1:37" ht="24" customHeight="1">
      <c r="A232" s="88"/>
      <c r="B232" s="59" t="s">
        <v>533</v>
      </c>
      <c r="C232" s="60" t="s">
        <v>534</v>
      </c>
      <c r="D232" s="89" t="s">
        <v>132</v>
      </c>
      <c r="E232" s="85" t="s">
        <v>535</v>
      </c>
      <c r="F232" s="85" t="s">
        <v>2521</v>
      </c>
      <c r="G232" s="91"/>
      <c r="H232" s="56">
        <f t="shared" si="4"/>
        <v>16</v>
      </c>
      <c r="I232" s="57"/>
      <c r="J232" s="57"/>
      <c r="K232" s="57">
        <v>11</v>
      </c>
      <c r="L232" s="57"/>
      <c r="M232" s="57"/>
      <c r="N232" s="57">
        <v>1</v>
      </c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>
        <v>4</v>
      </c>
      <c r="AI232" s="51">
        <f t="shared" si="1"/>
        <v>16</v>
      </c>
      <c r="AJ232" s="7"/>
      <c r="AK232" s="7"/>
    </row>
    <row r="233" spans="1:37" ht="28.5" customHeight="1">
      <c r="A233" s="88"/>
      <c r="B233" s="59" t="s">
        <v>536</v>
      </c>
      <c r="C233" s="60" t="s">
        <v>537</v>
      </c>
      <c r="D233" s="89" t="s">
        <v>194</v>
      </c>
      <c r="E233" s="85" t="s">
        <v>538</v>
      </c>
      <c r="F233" s="85" t="s">
        <v>2521</v>
      </c>
      <c r="G233" s="91"/>
      <c r="H233" s="56">
        <f t="shared" si="4"/>
        <v>3200</v>
      </c>
      <c r="I233" s="57"/>
      <c r="J233" s="57">
        <f>951+18+36</f>
        <v>1005</v>
      </c>
      <c r="K233" s="57">
        <f>879+91+110</f>
        <v>1080</v>
      </c>
      <c r="L233" s="57">
        <v>45</v>
      </c>
      <c r="M233" s="57">
        <f>332+29</f>
        <v>361</v>
      </c>
      <c r="N233" s="57"/>
      <c r="O233" s="57">
        <f>235</f>
        <v>235</v>
      </c>
      <c r="P233" s="57">
        <f>233+29</f>
        <v>262</v>
      </c>
      <c r="Q233" s="57"/>
      <c r="R233" s="57">
        <v>56</v>
      </c>
      <c r="S233" s="57">
        <v>116</v>
      </c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>
        <v>30</v>
      </c>
      <c r="AG233" s="57"/>
      <c r="AH233" s="57">
        <v>10</v>
      </c>
      <c r="AI233" s="51">
        <f t="shared" si="1"/>
        <v>3200</v>
      </c>
      <c r="AJ233" s="7"/>
      <c r="AK233" s="7"/>
    </row>
    <row r="234" spans="1:37" ht="34.5" customHeight="1">
      <c r="A234" s="88"/>
      <c r="B234" s="59" t="s">
        <v>539</v>
      </c>
      <c r="C234" s="60" t="s">
        <v>540</v>
      </c>
      <c r="D234" s="107" t="s">
        <v>183</v>
      </c>
      <c r="E234" s="85" t="s">
        <v>541</v>
      </c>
      <c r="F234" s="85" t="s">
        <v>2521</v>
      </c>
      <c r="G234" s="108"/>
      <c r="H234" s="56">
        <f t="shared" si="4"/>
        <v>0</v>
      </c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1">
        <f t="shared" si="1"/>
        <v>0</v>
      </c>
      <c r="AJ234" s="7"/>
      <c r="AK234" s="7"/>
    </row>
    <row r="235" spans="1:37" ht="20.25" customHeight="1">
      <c r="A235" s="88"/>
      <c r="B235" s="59" t="s">
        <v>542</v>
      </c>
      <c r="C235" s="60" t="s">
        <v>543</v>
      </c>
      <c r="D235" s="89" t="s">
        <v>132</v>
      </c>
      <c r="E235" s="85" t="s">
        <v>544</v>
      </c>
      <c r="F235" s="85" t="s">
        <v>2521</v>
      </c>
      <c r="G235" s="91"/>
      <c r="H235" s="56">
        <f t="shared" si="4"/>
        <v>4</v>
      </c>
      <c r="I235" s="57"/>
      <c r="J235" s="57"/>
      <c r="K235" s="57"/>
      <c r="L235" s="57"/>
      <c r="M235" s="57"/>
      <c r="N235" s="57"/>
      <c r="O235" s="57"/>
      <c r="P235" s="57"/>
      <c r="Q235" s="57"/>
      <c r="R235" s="57">
        <v>4</v>
      </c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1">
        <f t="shared" si="1"/>
        <v>4</v>
      </c>
      <c r="AJ235" s="7"/>
      <c r="AK235" s="7"/>
    </row>
    <row r="236" spans="1:37" ht="53.25" customHeight="1">
      <c r="A236" s="101"/>
      <c r="B236" s="102" t="s">
        <v>545</v>
      </c>
      <c r="C236" s="103" t="s">
        <v>546</v>
      </c>
      <c r="D236" s="97"/>
      <c r="E236" s="85" t="s">
        <v>547</v>
      </c>
      <c r="F236" s="85" t="s">
        <v>2521</v>
      </c>
      <c r="G236" s="99"/>
      <c r="H236" s="56">
        <f t="shared" si="4"/>
        <v>0</v>
      </c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1">
        <f t="shared" si="1"/>
        <v>0</v>
      </c>
      <c r="AJ236" s="104"/>
      <c r="AK236" s="109">
        <f>H229+H230+H239+H240</f>
        <v>12573454</v>
      </c>
    </row>
    <row r="237" spans="1:37" ht="20.25" customHeight="1">
      <c r="A237" s="88"/>
      <c r="B237" s="59" t="s">
        <v>548</v>
      </c>
      <c r="C237" s="60" t="s">
        <v>447</v>
      </c>
      <c r="D237" s="89" t="s">
        <v>424</v>
      </c>
      <c r="E237" s="90" t="s">
        <v>549</v>
      </c>
      <c r="F237" s="85" t="s">
        <v>2521</v>
      </c>
      <c r="G237" s="91" t="s">
        <v>424</v>
      </c>
      <c r="H237" s="56">
        <f t="shared" si="4"/>
        <v>132388</v>
      </c>
      <c r="I237" s="57">
        <v>755</v>
      </c>
      <c r="J237" s="57"/>
      <c r="K237" s="57">
        <f>8564+38218</f>
        <v>46782</v>
      </c>
      <c r="L237" s="57">
        <f>47+1455</f>
        <v>1502</v>
      </c>
      <c r="M237" s="57"/>
      <c r="N237" s="57">
        <v>368</v>
      </c>
      <c r="O237" s="57">
        <v>1467</v>
      </c>
      <c r="P237" s="57"/>
      <c r="Q237" s="57"/>
      <c r="R237" s="57">
        <v>25374</v>
      </c>
      <c r="S237" s="57">
        <v>8400</v>
      </c>
      <c r="T237" s="57"/>
      <c r="U237" s="57"/>
      <c r="V237" s="57">
        <v>14317</v>
      </c>
      <c r="W237" s="57">
        <v>6086</v>
      </c>
      <c r="X237" s="57"/>
      <c r="Y237" s="57"/>
      <c r="Z237" s="57">
        <f>626+760+1981</f>
        <v>3367</v>
      </c>
      <c r="AA237" s="57"/>
      <c r="AB237" s="57"/>
      <c r="AC237" s="57"/>
      <c r="AD237" s="57">
        <v>1938</v>
      </c>
      <c r="AE237" s="57">
        <v>1670</v>
      </c>
      <c r="AF237" s="57">
        <v>8504</v>
      </c>
      <c r="AG237" s="57">
        <v>1390</v>
      </c>
      <c r="AH237" s="57">
        <f>157+10311</f>
        <v>10468</v>
      </c>
      <c r="AI237" s="51">
        <f t="shared" si="1"/>
        <v>132388</v>
      </c>
      <c r="AJ237" s="7"/>
      <c r="AK237" s="7"/>
    </row>
    <row r="238" spans="1:37" ht="20.25" customHeight="1">
      <c r="A238" s="88"/>
      <c r="B238" s="59" t="s">
        <v>550</v>
      </c>
      <c r="C238" s="60" t="s">
        <v>521</v>
      </c>
      <c r="D238" s="89" t="s">
        <v>424</v>
      </c>
      <c r="E238" s="85" t="s">
        <v>522</v>
      </c>
      <c r="F238" s="85" t="s">
        <v>2521</v>
      </c>
      <c r="G238" s="91"/>
      <c r="H238" s="56">
        <f t="shared" si="4"/>
        <v>557093</v>
      </c>
      <c r="I238" s="57"/>
      <c r="J238" s="57"/>
      <c r="K238" s="57"/>
      <c r="L238" s="57"/>
      <c r="M238" s="57"/>
      <c r="N238" s="57"/>
      <c r="O238" s="57"/>
      <c r="P238" s="57"/>
      <c r="Q238" s="57"/>
      <c r="R238" s="57">
        <v>7450</v>
      </c>
      <c r="S238" s="57"/>
      <c r="T238" s="57"/>
      <c r="U238" s="57">
        <f>1401+1780</f>
        <v>3181</v>
      </c>
      <c r="V238" s="57"/>
      <c r="W238" s="57">
        <v>423440</v>
      </c>
      <c r="X238" s="57"/>
      <c r="Y238" s="57"/>
      <c r="Z238" s="57">
        <v>450</v>
      </c>
      <c r="AA238" s="57"/>
      <c r="AB238" s="57"/>
      <c r="AC238" s="57"/>
      <c r="AD238" s="57">
        <v>39100</v>
      </c>
      <c r="AE238" s="57">
        <v>34870</v>
      </c>
      <c r="AF238" s="57">
        <v>13502</v>
      </c>
      <c r="AG238" s="57">
        <v>35100</v>
      </c>
      <c r="AH238" s="57"/>
      <c r="AI238" s="51">
        <f t="shared" si="1"/>
        <v>557093</v>
      </c>
      <c r="AJ238" s="7"/>
      <c r="AK238" s="7"/>
    </row>
    <row r="239" spans="1:37" ht="20.25" customHeight="1">
      <c r="A239" s="88"/>
      <c r="B239" s="59" t="s">
        <v>551</v>
      </c>
      <c r="C239" s="60" t="s">
        <v>524</v>
      </c>
      <c r="D239" s="89" t="s">
        <v>552</v>
      </c>
      <c r="E239" s="85" t="s">
        <v>463</v>
      </c>
      <c r="F239" s="85" t="s">
        <v>2521</v>
      </c>
      <c r="G239" s="91"/>
      <c r="H239" s="56">
        <f t="shared" si="4"/>
        <v>3695112</v>
      </c>
      <c r="I239" s="57"/>
      <c r="J239" s="57"/>
      <c r="K239" s="57"/>
      <c r="L239" s="57"/>
      <c r="M239" s="57"/>
      <c r="N239" s="57"/>
      <c r="O239" s="57"/>
      <c r="P239" s="57">
        <v>3512684</v>
      </c>
      <c r="Q239" s="57"/>
      <c r="R239" s="57">
        <v>181750</v>
      </c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>
        <v>678</v>
      </c>
      <c r="AG239" s="57"/>
      <c r="AH239" s="57"/>
      <c r="AI239" s="51">
        <f t="shared" si="1"/>
        <v>3695112</v>
      </c>
      <c r="AJ239" s="7"/>
      <c r="AK239" s="7"/>
    </row>
    <row r="240" spans="1:37" ht="27.75" customHeight="1">
      <c r="A240" s="88"/>
      <c r="B240" s="59" t="s">
        <v>553</v>
      </c>
      <c r="C240" s="60" t="s">
        <v>527</v>
      </c>
      <c r="D240" s="89" t="s">
        <v>554</v>
      </c>
      <c r="E240" s="85" t="s">
        <v>529</v>
      </c>
      <c r="F240" s="85" t="s">
        <v>2521</v>
      </c>
      <c r="G240" s="91"/>
      <c r="H240" s="56">
        <f t="shared" si="4"/>
        <v>6473314</v>
      </c>
      <c r="I240" s="57">
        <v>192600</v>
      </c>
      <c r="J240" s="57">
        <f>1805+1803393</f>
        <v>1805198</v>
      </c>
      <c r="K240" s="57">
        <f>1045471+2442206</f>
        <v>3487677</v>
      </c>
      <c r="L240" s="57">
        <f>203000+54405</f>
        <v>257405</v>
      </c>
      <c r="M240" s="57"/>
      <c r="N240" s="57">
        <v>114316</v>
      </c>
      <c r="O240" s="57">
        <v>81092</v>
      </c>
      <c r="P240" s="57"/>
      <c r="Q240" s="57"/>
      <c r="R240" s="57">
        <v>70</v>
      </c>
      <c r="S240" s="57"/>
      <c r="T240" s="57">
        <f>900+7570</f>
        <v>8470</v>
      </c>
      <c r="U240" s="57">
        <f>419031</f>
        <v>419031</v>
      </c>
      <c r="V240" s="57">
        <v>81740</v>
      </c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>
        <f>9200+16515</f>
        <v>25715</v>
      </c>
      <c r="AI240" s="51">
        <f t="shared" si="1"/>
        <v>6473314</v>
      </c>
      <c r="AJ240" s="7"/>
      <c r="AK240" s="7"/>
    </row>
    <row r="241" spans="1:37" ht="20.25" customHeight="1">
      <c r="A241" s="88"/>
      <c r="B241" s="59" t="s">
        <v>555</v>
      </c>
      <c r="C241" s="60" t="s">
        <v>531</v>
      </c>
      <c r="D241" s="89" t="s">
        <v>132</v>
      </c>
      <c r="E241" s="85" t="s">
        <v>532</v>
      </c>
      <c r="F241" s="85" t="s">
        <v>2521</v>
      </c>
      <c r="G241" s="91"/>
      <c r="H241" s="56">
        <f t="shared" si="4"/>
        <v>329</v>
      </c>
      <c r="I241" s="57">
        <v>2</v>
      </c>
      <c r="J241" s="57">
        <v>20</v>
      </c>
      <c r="K241" s="57">
        <f>35+15</f>
        <v>50</v>
      </c>
      <c r="L241" s="57">
        <v>13</v>
      </c>
      <c r="M241" s="57"/>
      <c r="N241" s="57"/>
      <c r="O241" s="57">
        <v>13</v>
      </c>
      <c r="P241" s="57">
        <v>8</v>
      </c>
      <c r="Q241" s="57">
        <v>26</v>
      </c>
      <c r="R241" s="57">
        <v>2</v>
      </c>
      <c r="S241" s="57">
        <v>2</v>
      </c>
      <c r="T241" s="57">
        <v>1</v>
      </c>
      <c r="U241" s="57"/>
      <c r="V241" s="57"/>
      <c r="W241" s="57">
        <v>188</v>
      </c>
      <c r="X241" s="57"/>
      <c r="Y241" s="57"/>
      <c r="Z241" s="57">
        <v>1</v>
      </c>
      <c r="AA241" s="57"/>
      <c r="AB241" s="57"/>
      <c r="AC241" s="57"/>
      <c r="AD241" s="57"/>
      <c r="AE241" s="57"/>
      <c r="AF241" s="57">
        <v>1</v>
      </c>
      <c r="AG241" s="57"/>
      <c r="AH241" s="57">
        <v>2</v>
      </c>
      <c r="AI241" s="51">
        <f t="shared" si="1"/>
        <v>329</v>
      </c>
      <c r="AJ241" s="7"/>
      <c r="AK241" s="7"/>
    </row>
    <row r="242" spans="1:37" ht="20.25" customHeight="1">
      <c r="A242" s="88"/>
      <c r="B242" s="59" t="s">
        <v>556</v>
      </c>
      <c r="C242" s="60" t="s">
        <v>534</v>
      </c>
      <c r="D242" s="89" t="s">
        <v>132</v>
      </c>
      <c r="E242" s="85" t="s">
        <v>535</v>
      </c>
      <c r="F242" s="85" t="s">
        <v>2521</v>
      </c>
      <c r="G242" s="91"/>
      <c r="H242" s="56">
        <f t="shared" si="4"/>
        <v>2214</v>
      </c>
      <c r="I242" s="57">
        <v>1</v>
      </c>
      <c r="J242" s="57"/>
      <c r="K242" s="57">
        <f>1+1443</f>
        <v>1444</v>
      </c>
      <c r="L242" s="57"/>
      <c r="M242" s="57"/>
      <c r="N242" s="57">
        <v>1</v>
      </c>
      <c r="O242" s="57">
        <v>1</v>
      </c>
      <c r="P242" s="57">
        <v>14</v>
      </c>
      <c r="Q242" s="57"/>
      <c r="R242" s="57">
        <v>5</v>
      </c>
      <c r="S242" s="57">
        <v>14</v>
      </c>
      <c r="T242" s="57"/>
      <c r="U242" s="57">
        <v>18</v>
      </c>
      <c r="V242" s="57"/>
      <c r="W242" s="57"/>
      <c r="X242" s="57"/>
      <c r="Y242" s="57"/>
      <c r="Z242" s="57">
        <v>690</v>
      </c>
      <c r="AA242" s="57"/>
      <c r="AB242" s="57"/>
      <c r="AC242" s="57"/>
      <c r="AD242" s="57">
        <v>6</v>
      </c>
      <c r="AE242" s="57"/>
      <c r="AF242" s="57">
        <v>6</v>
      </c>
      <c r="AG242" s="57"/>
      <c r="AH242" s="57">
        <f>11+3</f>
        <v>14</v>
      </c>
      <c r="AI242" s="51">
        <f t="shared" si="1"/>
        <v>2214</v>
      </c>
      <c r="AJ242" s="7"/>
      <c r="AK242" s="7"/>
    </row>
    <row r="243" spans="1:37" ht="38.25" customHeight="1">
      <c r="A243" s="42"/>
      <c r="B243" s="110" t="s">
        <v>557</v>
      </c>
      <c r="C243" s="111" t="s">
        <v>537</v>
      </c>
      <c r="D243" s="89" t="s">
        <v>194</v>
      </c>
      <c r="E243" s="85" t="s">
        <v>538</v>
      </c>
      <c r="F243" s="85" t="s">
        <v>2521</v>
      </c>
      <c r="G243" s="91"/>
      <c r="H243" s="56">
        <f t="shared" si="4"/>
        <v>12059</v>
      </c>
      <c r="I243" s="57"/>
      <c r="J243" s="57">
        <f>35+85+437</f>
        <v>557</v>
      </c>
      <c r="K243" s="57">
        <f>1599+263+127+2785+599+370</f>
        <v>5743</v>
      </c>
      <c r="L243" s="57">
        <f>232+415</f>
        <v>647</v>
      </c>
      <c r="M243" s="57">
        <f>839+29+81+193</f>
        <v>1142</v>
      </c>
      <c r="N243" s="57"/>
      <c r="O243" s="57">
        <v>365</v>
      </c>
      <c r="P243" s="57">
        <v>2074</v>
      </c>
      <c r="Q243" s="57">
        <v>783</v>
      </c>
      <c r="R243" s="57">
        <v>203</v>
      </c>
      <c r="S243" s="57">
        <v>305</v>
      </c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>
        <v>124</v>
      </c>
      <c r="AG243" s="57"/>
      <c r="AH243" s="57">
        <f>6+110</f>
        <v>116</v>
      </c>
      <c r="AI243" s="51">
        <f t="shared" si="1"/>
        <v>12059</v>
      </c>
      <c r="AJ243" s="104"/>
      <c r="AK243" s="104"/>
    </row>
    <row r="244" spans="1:37" ht="20.25" hidden="1" customHeight="1">
      <c r="A244" s="88"/>
      <c r="B244" s="59" t="s">
        <v>558</v>
      </c>
      <c r="C244" s="60" t="s">
        <v>540</v>
      </c>
      <c r="D244" s="107" t="s">
        <v>183</v>
      </c>
      <c r="E244" s="112"/>
      <c r="F244" s="85" t="s">
        <v>2521</v>
      </c>
      <c r="G244" s="108"/>
      <c r="H244" s="56">
        <f t="shared" si="4"/>
        <v>0</v>
      </c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1">
        <f t="shared" si="1"/>
        <v>0</v>
      </c>
      <c r="AJ244" s="7"/>
      <c r="AK244" s="7"/>
    </row>
    <row r="245" spans="1:37" ht="20.25" hidden="1" customHeight="1">
      <c r="A245" s="88"/>
      <c r="B245" s="59" t="s">
        <v>559</v>
      </c>
      <c r="C245" s="60" t="s">
        <v>543</v>
      </c>
      <c r="D245" s="89" t="s">
        <v>132</v>
      </c>
      <c r="E245" s="90"/>
      <c r="F245" s="85" t="s">
        <v>2521</v>
      </c>
      <c r="G245" s="91"/>
      <c r="H245" s="56">
        <f t="shared" si="4"/>
        <v>0</v>
      </c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1">
        <f t="shared" si="1"/>
        <v>0</v>
      </c>
      <c r="AJ245" s="7"/>
      <c r="AK245" s="7"/>
    </row>
    <row r="246" spans="1:37" ht="19.5" hidden="1" customHeight="1">
      <c r="A246" s="52"/>
      <c r="B246" s="53" t="s">
        <v>560</v>
      </c>
      <c r="C246" s="54" t="s">
        <v>561</v>
      </c>
      <c r="D246" s="17"/>
      <c r="E246" s="55"/>
      <c r="F246" s="85" t="s">
        <v>2521</v>
      </c>
      <c r="G246" s="22"/>
      <c r="H246" s="56">
        <f t="shared" si="4"/>
        <v>0</v>
      </c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1">
        <f t="shared" si="1"/>
        <v>0</v>
      </c>
      <c r="AJ246" s="7"/>
      <c r="AK246" s="7"/>
    </row>
    <row r="247" spans="1:37" ht="20.25" hidden="1" customHeight="1">
      <c r="A247" s="88"/>
      <c r="B247" s="59" t="s">
        <v>562</v>
      </c>
      <c r="C247" s="60" t="s">
        <v>563</v>
      </c>
      <c r="D247" s="61" t="s">
        <v>424</v>
      </c>
      <c r="E247" s="62"/>
      <c r="F247" s="85" t="s">
        <v>2521</v>
      </c>
      <c r="G247" s="37"/>
      <c r="H247" s="56">
        <f t="shared" si="4"/>
        <v>0</v>
      </c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1">
        <f t="shared" si="1"/>
        <v>0</v>
      </c>
      <c r="AJ247" s="7"/>
      <c r="AK247" s="7"/>
    </row>
    <row r="248" spans="1:37" ht="20.25" hidden="1" customHeight="1">
      <c r="A248" s="88"/>
      <c r="B248" s="59" t="s">
        <v>564</v>
      </c>
      <c r="C248" s="60" t="s">
        <v>565</v>
      </c>
      <c r="D248" s="61" t="s">
        <v>424</v>
      </c>
      <c r="E248" s="62"/>
      <c r="F248" s="85" t="s">
        <v>2521</v>
      </c>
      <c r="G248" s="37"/>
      <c r="H248" s="56">
        <f t="shared" si="4"/>
        <v>0</v>
      </c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1">
        <f t="shared" si="1"/>
        <v>0</v>
      </c>
      <c r="AJ248" s="7"/>
      <c r="AK248" s="7"/>
    </row>
    <row r="249" spans="1:37" ht="20.25" hidden="1" customHeight="1">
      <c r="A249" s="88"/>
      <c r="B249" s="59" t="s">
        <v>566</v>
      </c>
      <c r="C249" s="60" t="s">
        <v>567</v>
      </c>
      <c r="D249" s="61" t="s">
        <v>568</v>
      </c>
      <c r="E249" s="62"/>
      <c r="F249" s="85" t="s">
        <v>2521</v>
      </c>
      <c r="G249" s="37"/>
      <c r="H249" s="56">
        <f t="shared" si="4"/>
        <v>0</v>
      </c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1">
        <f t="shared" si="1"/>
        <v>0</v>
      </c>
      <c r="AJ249" s="7"/>
      <c r="AK249" s="7"/>
    </row>
    <row r="250" spans="1:37" ht="20.25" hidden="1" customHeight="1">
      <c r="A250" s="88"/>
      <c r="B250" s="59" t="s">
        <v>569</v>
      </c>
      <c r="C250" s="60" t="s">
        <v>570</v>
      </c>
      <c r="D250" s="61" t="s">
        <v>571</v>
      </c>
      <c r="E250" s="62"/>
      <c r="F250" s="85" t="s">
        <v>2521</v>
      </c>
      <c r="G250" s="37"/>
      <c r="H250" s="56">
        <f t="shared" si="4"/>
        <v>0</v>
      </c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1">
        <f t="shared" si="1"/>
        <v>0</v>
      </c>
      <c r="AJ250" s="7"/>
      <c r="AK250" s="7"/>
    </row>
    <row r="251" spans="1:37" ht="20.25" hidden="1" customHeight="1">
      <c r="A251" s="88"/>
      <c r="B251" s="59" t="s">
        <v>572</v>
      </c>
      <c r="C251" s="60" t="s">
        <v>573</v>
      </c>
      <c r="D251" s="89" t="s">
        <v>132</v>
      </c>
      <c r="E251" s="90"/>
      <c r="F251" s="85" t="s">
        <v>2521</v>
      </c>
      <c r="G251" s="91"/>
      <c r="H251" s="56">
        <f t="shared" si="4"/>
        <v>0</v>
      </c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1">
        <f t="shared" si="1"/>
        <v>0</v>
      </c>
      <c r="AJ251" s="7"/>
      <c r="AK251" s="7"/>
    </row>
    <row r="252" spans="1:37" ht="20.25" hidden="1" customHeight="1">
      <c r="A252" s="88"/>
      <c r="B252" s="59" t="s">
        <v>574</v>
      </c>
      <c r="C252" s="60" t="s">
        <v>575</v>
      </c>
      <c r="D252" s="89" t="s">
        <v>132</v>
      </c>
      <c r="E252" s="90"/>
      <c r="F252" s="85" t="s">
        <v>2521</v>
      </c>
      <c r="G252" s="91"/>
      <c r="H252" s="56">
        <f t="shared" si="4"/>
        <v>0</v>
      </c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1">
        <f t="shared" si="1"/>
        <v>0</v>
      </c>
      <c r="AJ252" s="7"/>
      <c r="AK252" s="7"/>
    </row>
    <row r="253" spans="1:37" ht="20.25" hidden="1" customHeight="1">
      <c r="A253" s="88"/>
      <c r="B253" s="59" t="s">
        <v>576</v>
      </c>
      <c r="C253" s="60" t="s">
        <v>577</v>
      </c>
      <c r="D253" s="107" t="s">
        <v>183</v>
      </c>
      <c r="E253" s="112"/>
      <c r="F253" s="85" t="s">
        <v>2521</v>
      </c>
      <c r="G253" s="108"/>
      <c r="H253" s="56">
        <f t="shared" si="4"/>
        <v>0</v>
      </c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1">
        <f t="shared" si="1"/>
        <v>0</v>
      </c>
      <c r="AJ253" s="7"/>
      <c r="AK253" s="7"/>
    </row>
    <row r="254" spans="1:37" ht="20.25" hidden="1" customHeight="1">
      <c r="A254" s="88"/>
      <c r="B254" s="59" t="s">
        <v>578</v>
      </c>
      <c r="C254" s="60" t="s">
        <v>579</v>
      </c>
      <c r="D254" s="61" t="s">
        <v>194</v>
      </c>
      <c r="E254" s="62"/>
      <c r="F254" s="85" t="s">
        <v>2521</v>
      </c>
      <c r="G254" s="37"/>
      <c r="H254" s="56">
        <f t="shared" si="4"/>
        <v>0</v>
      </c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1">
        <f t="shared" si="1"/>
        <v>0</v>
      </c>
      <c r="AJ254" s="7"/>
      <c r="AK254" s="7"/>
    </row>
    <row r="255" spans="1:37" ht="20.25" hidden="1" customHeight="1">
      <c r="A255" s="88"/>
      <c r="B255" s="59" t="s">
        <v>580</v>
      </c>
      <c r="C255" s="60" t="s">
        <v>543</v>
      </c>
      <c r="D255" s="89" t="s">
        <v>132</v>
      </c>
      <c r="E255" s="90"/>
      <c r="F255" s="85" t="s">
        <v>2521</v>
      </c>
      <c r="G255" s="91"/>
      <c r="H255" s="56">
        <f t="shared" si="4"/>
        <v>0</v>
      </c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1">
        <f t="shared" si="1"/>
        <v>0</v>
      </c>
      <c r="AJ255" s="7"/>
      <c r="AK255" s="7"/>
    </row>
    <row r="256" spans="1:37" ht="20.25" customHeight="1">
      <c r="A256" s="52"/>
      <c r="B256" s="53" t="s">
        <v>581</v>
      </c>
      <c r="C256" s="54" t="s">
        <v>582</v>
      </c>
      <c r="D256" s="97"/>
      <c r="E256" s="85" t="s">
        <v>583</v>
      </c>
      <c r="F256" s="85" t="s">
        <v>2521</v>
      </c>
      <c r="G256" s="99"/>
      <c r="H256" s="56">
        <f t="shared" si="4"/>
        <v>0</v>
      </c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1">
        <f t="shared" si="1"/>
        <v>0</v>
      </c>
      <c r="AJ256" s="7"/>
      <c r="AK256" s="7"/>
    </row>
    <row r="257" spans="1:37" ht="20.25" hidden="1" customHeight="1">
      <c r="A257" s="88"/>
      <c r="B257" s="59" t="s">
        <v>584</v>
      </c>
      <c r="C257" s="60" t="s">
        <v>585</v>
      </c>
      <c r="D257" s="89" t="s">
        <v>132</v>
      </c>
      <c r="E257" s="90"/>
      <c r="F257" s="85" t="s">
        <v>2521</v>
      </c>
      <c r="G257" s="91"/>
      <c r="H257" s="56">
        <f t="shared" si="4"/>
        <v>0</v>
      </c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1">
        <f t="shared" si="1"/>
        <v>0</v>
      </c>
      <c r="AJ257" s="7"/>
      <c r="AK257" s="7"/>
    </row>
    <row r="258" spans="1:37" ht="27" customHeight="1">
      <c r="A258" s="88"/>
      <c r="B258" s="59" t="s">
        <v>586</v>
      </c>
      <c r="C258" s="60" t="s">
        <v>587</v>
      </c>
      <c r="D258" s="89" t="s">
        <v>132</v>
      </c>
      <c r="E258" s="85" t="s">
        <v>588</v>
      </c>
      <c r="F258" s="85" t="s">
        <v>2521</v>
      </c>
      <c r="G258" s="91"/>
      <c r="H258" s="56">
        <f t="shared" si="4"/>
        <v>1</v>
      </c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>
        <v>1</v>
      </c>
      <c r="AG258" s="57"/>
      <c r="AH258" s="57"/>
      <c r="AI258" s="51">
        <f t="shared" si="1"/>
        <v>1</v>
      </c>
      <c r="AJ258" s="7"/>
      <c r="AK258" s="7"/>
    </row>
    <row r="259" spans="1:37" ht="20.25" hidden="1" customHeight="1">
      <c r="A259" s="88"/>
      <c r="B259" s="59" t="s">
        <v>589</v>
      </c>
      <c r="C259" s="60" t="s">
        <v>540</v>
      </c>
      <c r="D259" s="107" t="s">
        <v>183</v>
      </c>
      <c r="E259" s="112"/>
      <c r="F259" s="85" t="s">
        <v>2521</v>
      </c>
      <c r="G259" s="108"/>
      <c r="H259" s="56">
        <f t="shared" si="4"/>
        <v>0</v>
      </c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1">
        <f t="shared" si="1"/>
        <v>0</v>
      </c>
      <c r="AJ259" s="7"/>
      <c r="AK259" s="7"/>
    </row>
    <row r="260" spans="1:37" ht="20.25" hidden="1" customHeight="1">
      <c r="A260" s="88"/>
      <c r="B260" s="59" t="s">
        <v>590</v>
      </c>
      <c r="C260" s="60" t="s">
        <v>591</v>
      </c>
      <c r="D260" s="89" t="s">
        <v>132</v>
      </c>
      <c r="E260" s="90"/>
      <c r="F260" s="85" t="s">
        <v>2521</v>
      </c>
      <c r="G260" s="91"/>
      <c r="H260" s="56">
        <f t="shared" si="4"/>
        <v>0</v>
      </c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1">
        <f t="shared" si="1"/>
        <v>0</v>
      </c>
      <c r="AJ260" s="7"/>
      <c r="AK260" s="7"/>
    </row>
    <row r="261" spans="1:37" ht="20.25" hidden="1" customHeight="1">
      <c r="A261" s="88"/>
      <c r="B261" s="59" t="s">
        <v>592</v>
      </c>
      <c r="C261" s="60" t="s">
        <v>593</v>
      </c>
      <c r="D261" s="89" t="s">
        <v>594</v>
      </c>
      <c r="E261" s="90"/>
      <c r="F261" s="85" t="s">
        <v>2521</v>
      </c>
      <c r="G261" s="91"/>
      <c r="H261" s="56">
        <f t="shared" si="4"/>
        <v>0</v>
      </c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1">
        <f t="shared" si="1"/>
        <v>0</v>
      </c>
      <c r="AJ261" s="7"/>
      <c r="AK261" s="7"/>
    </row>
    <row r="262" spans="1:37" ht="20.25" hidden="1" customHeight="1">
      <c r="A262" s="88"/>
      <c r="B262" s="59" t="s">
        <v>595</v>
      </c>
      <c r="C262" s="60" t="s">
        <v>543</v>
      </c>
      <c r="D262" s="89" t="s">
        <v>132</v>
      </c>
      <c r="E262" s="90"/>
      <c r="F262" s="85" t="s">
        <v>2521</v>
      </c>
      <c r="G262" s="91"/>
      <c r="H262" s="56">
        <f t="shared" si="4"/>
        <v>0</v>
      </c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1">
        <f t="shared" si="1"/>
        <v>0</v>
      </c>
      <c r="AJ262" s="7"/>
      <c r="AK262" s="7"/>
    </row>
    <row r="263" spans="1:37" ht="20.25" customHeight="1">
      <c r="A263" s="52"/>
      <c r="B263" s="53" t="s">
        <v>596</v>
      </c>
      <c r="C263" s="54" t="s">
        <v>597</v>
      </c>
      <c r="D263" s="89"/>
      <c r="E263" s="85" t="s">
        <v>598</v>
      </c>
      <c r="F263" s="85" t="s">
        <v>2521</v>
      </c>
      <c r="G263" s="91"/>
      <c r="H263" s="56">
        <f t="shared" si="4"/>
        <v>0</v>
      </c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1">
        <f t="shared" si="1"/>
        <v>0</v>
      </c>
      <c r="AJ263" s="7"/>
      <c r="AK263" s="7"/>
    </row>
    <row r="264" spans="1:37" ht="27.75" customHeight="1">
      <c r="A264" s="88"/>
      <c r="B264" s="59" t="s">
        <v>599</v>
      </c>
      <c r="C264" s="60" t="s">
        <v>585</v>
      </c>
      <c r="D264" s="89" t="s">
        <v>132</v>
      </c>
      <c r="E264" s="85" t="s">
        <v>600</v>
      </c>
      <c r="F264" s="85" t="s">
        <v>2521</v>
      </c>
      <c r="G264" s="91"/>
      <c r="H264" s="56">
        <f t="shared" si="4"/>
        <v>182</v>
      </c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>
        <f>27+155</f>
        <v>182</v>
      </c>
      <c r="Z264" s="57"/>
      <c r="AA264" s="57"/>
      <c r="AB264" s="57"/>
      <c r="AC264" s="57"/>
      <c r="AD264" s="57"/>
      <c r="AE264" s="57"/>
      <c r="AF264" s="57"/>
      <c r="AG264" s="57"/>
      <c r="AH264" s="57"/>
      <c r="AI264" s="51">
        <f t="shared" si="1"/>
        <v>182</v>
      </c>
      <c r="AJ264" s="7"/>
      <c r="AK264" s="7"/>
    </row>
    <row r="265" spans="1:37" ht="20.25" hidden="1" customHeight="1">
      <c r="A265" s="88" t="s">
        <v>601</v>
      </c>
      <c r="B265" s="59" t="s">
        <v>602</v>
      </c>
      <c r="C265" s="60" t="s">
        <v>540</v>
      </c>
      <c r="D265" s="107" t="s">
        <v>183</v>
      </c>
      <c r="E265" s="112"/>
      <c r="F265" s="85" t="s">
        <v>2515</v>
      </c>
      <c r="G265" s="108"/>
      <c r="H265" s="56">
        <f t="shared" si="4"/>
        <v>0</v>
      </c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1">
        <f t="shared" si="1"/>
        <v>0</v>
      </c>
      <c r="AJ265" s="7"/>
      <c r="AK265" s="7"/>
    </row>
    <row r="266" spans="1:37" ht="20.25" hidden="1" customHeight="1">
      <c r="A266" s="88" t="s">
        <v>603</v>
      </c>
      <c r="B266" s="59" t="s">
        <v>604</v>
      </c>
      <c r="C266" s="60" t="s">
        <v>591</v>
      </c>
      <c r="D266" s="89" t="s">
        <v>132</v>
      </c>
      <c r="E266" s="90"/>
      <c r="F266" s="85" t="s">
        <v>2515</v>
      </c>
      <c r="G266" s="91"/>
      <c r="H266" s="56">
        <f t="shared" si="4"/>
        <v>0</v>
      </c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1">
        <f t="shared" si="1"/>
        <v>0</v>
      </c>
      <c r="AJ266" s="7"/>
      <c r="AK266" s="7"/>
    </row>
    <row r="267" spans="1:37" ht="20.25" hidden="1" customHeight="1">
      <c r="A267" s="88" t="s">
        <v>605</v>
      </c>
      <c r="B267" s="59" t="s">
        <v>606</v>
      </c>
      <c r="C267" s="60" t="s">
        <v>593</v>
      </c>
      <c r="D267" s="61" t="s">
        <v>607</v>
      </c>
      <c r="E267" s="62"/>
      <c r="F267" s="85" t="s">
        <v>2515</v>
      </c>
      <c r="G267" s="37"/>
      <c r="H267" s="56">
        <f t="shared" si="4"/>
        <v>0</v>
      </c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1">
        <f t="shared" si="1"/>
        <v>0</v>
      </c>
      <c r="AJ267" s="7"/>
      <c r="AK267" s="7"/>
    </row>
    <row r="268" spans="1:37" ht="20.25" hidden="1" customHeight="1">
      <c r="A268" s="88" t="s">
        <v>608</v>
      </c>
      <c r="B268" s="59" t="s">
        <v>609</v>
      </c>
      <c r="C268" s="60" t="s">
        <v>543</v>
      </c>
      <c r="D268" s="89" t="s">
        <v>132</v>
      </c>
      <c r="E268" s="90"/>
      <c r="F268" s="85" t="s">
        <v>2515</v>
      </c>
      <c r="G268" s="91"/>
      <c r="H268" s="56">
        <f t="shared" si="4"/>
        <v>0</v>
      </c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1">
        <f t="shared" si="1"/>
        <v>0</v>
      </c>
      <c r="AJ268" s="7"/>
      <c r="AK268" s="7"/>
    </row>
    <row r="269" spans="1:37" ht="20.25" hidden="1" customHeight="1">
      <c r="A269" s="52">
        <v>9.6</v>
      </c>
      <c r="B269" s="53" t="s">
        <v>610</v>
      </c>
      <c r="C269" s="54" t="s">
        <v>611</v>
      </c>
      <c r="D269" s="89"/>
      <c r="E269" s="90"/>
      <c r="F269" s="85" t="s">
        <v>2515</v>
      </c>
      <c r="G269" s="91"/>
      <c r="H269" s="56">
        <f t="shared" si="4"/>
        <v>0</v>
      </c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1">
        <f t="shared" si="1"/>
        <v>0</v>
      </c>
      <c r="AJ269" s="7"/>
      <c r="AK269" s="7"/>
    </row>
    <row r="270" spans="1:37" ht="20.25" hidden="1" customHeight="1">
      <c r="A270" s="88" t="s">
        <v>612</v>
      </c>
      <c r="B270" s="59" t="s">
        <v>613</v>
      </c>
      <c r="C270" s="60" t="s">
        <v>614</v>
      </c>
      <c r="D270" s="89" t="s">
        <v>132</v>
      </c>
      <c r="E270" s="90"/>
      <c r="F270" s="85" t="s">
        <v>2515</v>
      </c>
      <c r="G270" s="91"/>
      <c r="H270" s="56">
        <f t="shared" si="4"/>
        <v>0</v>
      </c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1">
        <f t="shared" si="1"/>
        <v>0</v>
      </c>
      <c r="AJ270" s="7"/>
      <c r="AK270" s="7"/>
    </row>
    <row r="271" spans="1:37" ht="20.25" hidden="1" customHeight="1">
      <c r="A271" s="88" t="s">
        <v>615</v>
      </c>
      <c r="B271" s="59" t="s">
        <v>616</v>
      </c>
      <c r="C271" s="60" t="s">
        <v>591</v>
      </c>
      <c r="D271" s="89" t="s">
        <v>132</v>
      </c>
      <c r="E271" s="90"/>
      <c r="F271" s="85" t="s">
        <v>2515</v>
      </c>
      <c r="G271" s="91"/>
      <c r="H271" s="56">
        <f t="shared" si="4"/>
        <v>0</v>
      </c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1">
        <f t="shared" si="1"/>
        <v>0</v>
      </c>
      <c r="AJ271" s="7"/>
      <c r="AK271" s="7"/>
    </row>
    <row r="272" spans="1:37" ht="20.25" hidden="1" customHeight="1">
      <c r="A272" s="88" t="s">
        <v>617</v>
      </c>
      <c r="B272" s="59" t="s">
        <v>618</v>
      </c>
      <c r="C272" s="60" t="s">
        <v>619</v>
      </c>
      <c r="D272" s="107" t="s">
        <v>183</v>
      </c>
      <c r="E272" s="112"/>
      <c r="F272" s="85" t="s">
        <v>2515</v>
      </c>
      <c r="G272" s="108"/>
      <c r="H272" s="56">
        <f t="shared" si="4"/>
        <v>0</v>
      </c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1">
        <f t="shared" si="1"/>
        <v>0</v>
      </c>
      <c r="AJ272" s="7"/>
      <c r="AK272" s="7"/>
    </row>
    <row r="273" spans="1:37" ht="20.25" hidden="1" customHeight="1">
      <c r="A273" s="88" t="s">
        <v>620</v>
      </c>
      <c r="B273" s="59" t="s">
        <v>621</v>
      </c>
      <c r="C273" s="60" t="s">
        <v>622</v>
      </c>
      <c r="D273" s="61" t="s">
        <v>623</v>
      </c>
      <c r="E273" s="62"/>
      <c r="F273" s="85" t="s">
        <v>2515</v>
      </c>
      <c r="G273" s="37"/>
      <c r="H273" s="56">
        <f t="shared" si="4"/>
        <v>0</v>
      </c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1">
        <f t="shared" si="1"/>
        <v>0</v>
      </c>
      <c r="AJ273" s="7"/>
      <c r="AK273" s="7"/>
    </row>
    <row r="274" spans="1:37" ht="20.25" hidden="1" customHeight="1">
      <c r="A274" s="88" t="s">
        <v>624</v>
      </c>
      <c r="B274" s="59" t="s">
        <v>625</v>
      </c>
      <c r="C274" s="60" t="s">
        <v>543</v>
      </c>
      <c r="D274" s="89" t="s">
        <v>132</v>
      </c>
      <c r="E274" s="90"/>
      <c r="F274" s="85" t="s">
        <v>2515</v>
      </c>
      <c r="G274" s="91"/>
      <c r="H274" s="56">
        <f t="shared" si="4"/>
        <v>0</v>
      </c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1">
        <f t="shared" si="1"/>
        <v>0</v>
      </c>
      <c r="AJ274" s="7"/>
      <c r="AK274" s="7"/>
    </row>
    <row r="275" spans="1:37" ht="18" hidden="1" customHeight="1">
      <c r="A275" s="52">
        <v>9.6999999999999993</v>
      </c>
      <c r="B275" s="53" t="s">
        <v>626</v>
      </c>
      <c r="C275" s="54" t="s">
        <v>627</v>
      </c>
      <c r="D275" s="17"/>
      <c r="E275" s="55"/>
      <c r="F275" s="85" t="s">
        <v>2515</v>
      </c>
      <c r="G275" s="22"/>
      <c r="H275" s="56">
        <f t="shared" si="4"/>
        <v>0</v>
      </c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1">
        <f t="shared" ref="AI275:AI447" si="5">+SUM(I275:AH275)</f>
        <v>0</v>
      </c>
      <c r="AJ275" s="7"/>
      <c r="AK275" s="7"/>
    </row>
    <row r="276" spans="1:37" ht="16.5" hidden="1" customHeight="1">
      <c r="A276" s="88" t="s">
        <v>628</v>
      </c>
      <c r="B276" s="59" t="s">
        <v>629</v>
      </c>
      <c r="C276" s="60" t="s">
        <v>630</v>
      </c>
      <c r="D276" s="89" t="s">
        <v>132</v>
      </c>
      <c r="E276" s="90"/>
      <c r="F276" s="85" t="s">
        <v>2515</v>
      </c>
      <c r="G276" s="91"/>
      <c r="H276" s="56">
        <f t="shared" si="4"/>
        <v>0</v>
      </c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1">
        <f t="shared" si="5"/>
        <v>0</v>
      </c>
      <c r="AJ276" s="7"/>
      <c r="AK276" s="7"/>
    </row>
    <row r="277" spans="1:37" ht="20.25" hidden="1" customHeight="1">
      <c r="A277" s="88" t="s">
        <v>631</v>
      </c>
      <c r="B277" s="59" t="s">
        <v>632</v>
      </c>
      <c r="C277" s="60" t="s">
        <v>633</v>
      </c>
      <c r="D277" s="107" t="s">
        <v>183</v>
      </c>
      <c r="E277" s="112"/>
      <c r="F277" s="85" t="s">
        <v>2515</v>
      </c>
      <c r="G277" s="108"/>
      <c r="H277" s="56">
        <f t="shared" si="4"/>
        <v>0</v>
      </c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1">
        <f t="shared" si="5"/>
        <v>0</v>
      </c>
      <c r="AJ277" s="7"/>
      <c r="AK277" s="7"/>
    </row>
    <row r="278" spans="1:37" ht="20.25" hidden="1" customHeight="1">
      <c r="A278" s="88" t="s">
        <v>634</v>
      </c>
      <c r="B278" s="59" t="s">
        <v>635</v>
      </c>
      <c r="C278" s="60" t="s">
        <v>591</v>
      </c>
      <c r="D278" s="89" t="s">
        <v>132</v>
      </c>
      <c r="E278" s="90"/>
      <c r="F278" s="85" t="s">
        <v>2515</v>
      </c>
      <c r="G278" s="91"/>
      <c r="H278" s="56">
        <f t="shared" si="4"/>
        <v>0</v>
      </c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1">
        <f t="shared" si="5"/>
        <v>0</v>
      </c>
      <c r="AJ278" s="7"/>
      <c r="AK278" s="7"/>
    </row>
    <row r="279" spans="1:37" ht="39" hidden="1" customHeight="1">
      <c r="A279" s="88" t="s">
        <v>636</v>
      </c>
      <c r="B279" s="59" t="s">
        <v>637</v>
      </c>
      <c r="C279" s="113" t="s">
        <v>638</v>
      </c>
      <c r="D279" s="61" t="s">
        <v>639</v>
      </c>
      <c r="E279" s="62"/>
      <c r="F279" s="85" t="s">
        <v>2515</v>
      </c>
      <c r="G279" s="37"/>
      <c r="H279" s="56">
        <f t="shared" si="4"/>
        <v>0</v>
      </c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1">
        <f t="shared" si="5"/>
        <v>0</v>
      </c>
      <c r="AJ279" s="7"/>
      <c r="AK279" s="7"/>
    </row>
    <row r="280" spans="1:37" ht="21" hidden="1" customHeight="1">
      <c r="A280" s="88" t="s">
        <v>640</v>
      </c>
      <c r="B280" s="59" t="s">
        <v>637</v>
      </c>
      <c r="C280" s="113" t="s">
        <v>543</v>
      </c>
      <c r="D280" s="89" t="s">
        <v>132</v>
      </c>
      <c r="E280" s="90"/>
      <c r="F280" s="85" t="s">
        <v>2515</v>
      </c>
      <c r="G280" s="91"/>
      <c r="H280" s="56">
        <f t="shared" si="4"/>
        <v>0</v>
      </c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1">
        <f t="shared" si="5"/>
        <v>0</v>
      </c>
      <c r="AJ280" s="7"/>
      <c r="AK280" s="7"/>
    </row>
    <row r="281" spans="1:37" ht="40.5" hidden="1" customHeight="1">
      <c r="A281" s="52">
        <v>10.9</v>
      </c>
      <c r="B281" s="53" t="s">
        <v>641</v>
      </c>
      <c r="C281" s="103" t="s">
        <v>642</v>
      </c>
      <c r="D281" s="107" t="s">
        <v>183</v>
      </c>
      <c r="E281" s="112"/>
      <c r="F281" s="85" t="s">
        <v>2515</v>
      </c>
      <c r="G281" s="108"/>
      <c r="H281" s="56">
        <f t="shared" si="4"/>
        <v>0</v>
      </c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1">
        <f t="shared" si="5"/>
        <v>0</v>
      </c>
      <c r="AJ281" s="7"/>
      <c r="AK281" s="7"/>
    </row>
    <row r="282" spans="1:37" ht="21" customHeight="1">
      <c r="A282" s="63">
        <v>10</v>
      </c>
      <c r="B282" s="64" t="s">
        <v>643</v>
      </c>
      <c r="C282" s="65" t="s">
        <v>644</v>
      </c>
      <c r="D282" s="114"/>
      <c r="E282" s="85" t="s">
        <v>645</v>
      </c>
      <c r="F282" s="85" t="s">
        <v>2516</v>
      </c>
      <c r="G282" s="115"/>
      <c r="H282" s="56">
        <f t="shared" si="4"/>
        <v>36099.862000000001</v>
      </c>
      <c r="I282" s="57">
        <f t="shared" ref="I282:AH282" si="6">I283+I294+I299+I315+I320</f>
        <v>81</v>
      </c>
      <c r="J282" s="57">
        <f t="shared" si="6"/>
        <v>19.25</v>
      </c>
      <c r="K282" s="57">
        <f t="shared" si="6"/>
        <v>411.41</v>
      </c>
      <c r="L282" s="57">
        <f t="shared" si="6"/>
        <v>79.900000000000006</v>
      </c>
      <c r="M282" s="57">
        <f t="shared" si="6"/>
        <v>0</v>
      </c>
      <c r="N282" s="57">
        <f t="shared" si="6"/>
        <v>0.23</v>
      </c>
      <c r="O282" s="57">
        <f t="shared" si="6"/>
        <v>660.3</v>
      </c>
      <c r="P282" s="57">
        <f t="shared" si="6"/>
        <v>1070</v>
      </c>
      <c r="Q282" s="57">
        <f t="shared" si="6"/>
        <v>565.92999999999995</v>
      </c>
      <c r="R282" s="57">
        <f t="shared" si="6"/>
        <v>956</v>
      </c>
      <c r="S282" s="57">
        <f t="shared" si="6"/>
        <v>3852.4</v>
      </c>
      <c r="T282" s="57">
        <f t="shared" si="6"/>
        <v>0</v>
      </c>
      <c r="U282" s="57">
        <f t="shared" si="6"/>
        <v>32</v>
      </c>
      <c r="V282" s="57">
        <f t="shared" si="6"/>
        <v>302.65999999999997</v>
      </c>
      <c r="W282" s="57">
        <f t="shared" si="6"/>
        <v>4401</v>
      </c>
      <c r="X282" s="57">
        <f t="shared" si="6"/>
        <v>6345</v>
      </c>
      <c r="Y282" s="57">
        <f t="shared" si="6"/>
        <v>0</v>
      </c>
      <c r="Z282" s="57">
        <f t="shared" si="6"/>
        <v>4318</v>
      </c>
      <c r="AA282" s="57">
        <f t="shared" si="6"/>
        <v>1400</v>
      </c>
      <c r="AB282" s="57">
        <f t="shared" si="6"/>
        <v>942</v>
      </c>
      <c r="AC282" s="57">
        <f t="shared" si="6"/>
        <v>508.32</v>
      </c>
      <c r="AD282" s="57">
        <f t="shared" si="6"/>
        <v>1493</v>
      </c>
      <c r="AE282" s="57">
        <f t="shared" si="6"/>
        <v>3159</v>
      </c>
      <c r="AF282" s="57">
        <f t="shared" si="6"/>
        <v>3757</v>
      </c>
      <c r="AG282" s="57">
        <f t="shared" si="6"/>
        <v>1460.8719999999998</v>
      </c>
      <c r="AH282" s="57">
        <f t="shared" si="6"/>
        <v>284.58999999999997</v>
      </c>
      <c r="AI282" s="51">
        <f t="shared" si="5"/>
        <v>36099.862000000001</v>
      </c>
      <c r="AJ282" s="7"/>
      <c r="AK282" s="7"/>
    </row>
    <row r="283" spans="1:37" ht="21" customHeight="1">
      <c r="A283" s="52"/>
      <c r="B283" s="53" t="s">
        <v>646</v>
      </c>
      <c r="C283" s="116" t="s">
        <v>647</v>
      </c>
      <c r="D283" s="17" t="s">
        <v>271</v>
      </c>
      <c r="E283" s="85" t="s">
        <v>648</v>
      </c>
      <c r="F283" s="85" t="s">
        <v>2516</v>
      </c>
      <c r="G283" s="22"/>
      <c r="H283" s="56">
        <f t="shared" si="4"/>
        <v>35216.695999999996</v>
      </c>
      <c r="I283" s="57">
        <v>81</v>
      </c>
      <c r="J283" s="57">
        <f>17.5+1.75</f>
        <v>19.25</v>
      </c>
      <c r="K283" s="57">
        <v>411.41</v>
      </c>
      <c r="L283" s="57">
        <v>79.900000000000006</v>
      </c>
      <c r="M283" s="57"/>
      <c r="N283" s="57">
        <v>0.23</v>
      </c>
      <c r="O283" s="57">
        <v>660.3</v>
      </c>
      <c r="P283" s="57">
        <f>+P285+P286+P287+P290+P352</f>
        <v>1070</v>
      </c>
      <c r="Q283" s="57">
        <v>565.92999999999995</v>
      </c>
      <c r="R283" s="57">
        <v>945</v>
      </c>
      <c r="S283" s="57">
        <v>3852.4</v>
      </c>
      <c r="T283" s="57"/>
      <c r="U283" s="57">
        <v>32</v>
      </c>
      <c r="V283" s="57">
        <f>122.66+180</f>
        <v>302.65999999999997</v>
      </c>
      <c r="W283" s="57">
        <v>4401</v>
      </c>
      <c r="X283" s="57">
        <v>6345</v>
      </c>
      <c r="Y283" s="57"/>
      <c r="Z283" s="57">
        <v>4318</v>
      </c>
      <c r="AA283" s="57">
        <v>1400</v>
      </c>
      <c r="AB283" s="57">
        <v>942</v>
      </c>
      <c r="AC283" s="57">
        <v>508.32</v>
      </c>
      <c r="AD283" s="57">
        <v>1436</v>
      </c>
      <c r="AE283" s="57">
        <v>3000</v>
      </c>
      <c r="AF283" s="57">
        <v>3282</v>
      </c>
      <c r="AG283" s="57">
        <v>1279.7059999999999</v>
      </c>
      <c r="AH283" s="57">
        <v>284.58999999999997</v>
      </c>
      <c r="AI283" s="51">
        <f t="shared" si="5"/>
        <v>35216.695999999996</v>
      </c>
      <c r="AJ283" s="7"/>
      <c r="AK283" s="7"/>
    </row>
    <row r="284" spans="1:37" ht="21" hidden="1" customHeight="1">
      <c r="A284" s="95"/>
      <c r="B284" s="86" t="s">
        <v>649</v>
      </c>
      <c r="C284" s="96" t="s">
        <v>650</v>
      </c>
      <c r="D284" s="97" t="s">
        <v>271</v>
      </c>
      <c r="E284" s="98"/>
      <c r="F284" s="85" t="s">
        <v>2516</v>
      </c>
      <c r="G284" s="99"/>
      <c r="H284" s="56">
        <f t="shared" si="4"/>
        <v>922</v>
      </c>
      <c r="I284" s="57"/>
      <c r="J284" s="57"/>
      <c r="K284" s="57"/>
      <c r="L284" s="57"/>
      <c r="M284" s="57"/>
      <c r="N284" s="57"/>
      <c r="O284" s="57"/>
      <c r="P284" s="57"/>
      <c r="Q284" s="57"/>
      <c r="R284" s="57">
        <v>922</v>
      </c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1">
        <f t="shared" si="5"/>
        <v>922</v>
      </c>
      <c r="AJ284" s="7"/>
      <c r="AK284" s="7"/>
    </row>
    <row r="285" spans="1:37" ht="21" hidden="1" customHeight="1">
      <c r="A285" s="88"/>
      <c r="B285" s="59" t="s">
        <v>651</v>
      </c>
      <c r="C285" s="60" t="s">
        <v>131</v>
      </c>
      <c r="D285" s="89" t="s">
        <v>271</v>
      </c>
      <c r="E285" s="90"/>
      <c r="F285" s="85" t="s">
        <v>2516</v>
      </c>
      <c r="G285" s="91"/>
      <c r="H285" s="56">
        <f t="shared" si="4"/>
        <v>1624</v>
      </c>
      <c r="I285" s="57"/>
      <c r="J285" s="57"/>
      <c r="K285" s="57"/>
      <c r="L285" s="57"/>
      <c r="M285" s="57"/>
      <c r="N285" s="57"/>
      <c r="O285" s="57"/>
      <c r="P285" s="57">
        <v>867</v>
      </c>
      <c r="Q285" s="57"/>
      <c r="R285" s="57">
        <v>757</v>
      </c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1">
        <f t="shared" si="5"/>
        <v>1624</v>
      </c>
      <c r="AJ285" s="7"/>
      <c r="AK285" s="7"/>
    </row>
    <row r="286" spans="1:37" ht="21" hidden="1" customHeight="1">
      <c r="A286" s="88"/>
      <c r="B286" s="59" t="s">
        <v>652</v>
      </c>
      <c r="C286" s="60" t="s">
        <v>200</v>
      </c>
      <c r="D286" s="89" t="s">
        <v>271</v>
      </c>
      <c r="E286" s="90"/>
      <c r="F286" s="85" t="s">
        <v>2516</v>
      </c>
      <c r="G286" s="91"/>
      <c r="H286" s="56">
        <f t="shared" si="4"/>
        <v>212</v>
      </c>
      <c r="I286" s="57"/>
      <c r="J286" s="57"/>
      <c r="K286" s="57"/>
      <c r="L286" s="57"/>
      <c r="M286" s="57"/>
      <c r="N286" s="57"/>
      <c r="O286" s="57"/>
      <c r="P286" s="57">
        <v>147</v>
      </c>
      <c r="Q286" s="57"/>
      <c r="R286" s="57">
        <v>65</v>
      </c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1">
        <f t="shared" si="5"/>
        <v>212</v>
      </c>
      <c r="AJ286" s="7"/>
      <c r="AK286" s="7"/>
    </row>
    <row r="287" spans="1:37" ht="21" hidden="1" customHeight="1">
      <c r="A287" s="88"/>
      <c r="B287" s="59" t="s">
        <v>653</v>
      </c>
      <c r="C287" s="60" t="s">
        <v>203</v>
      </c>
      <c r="D287" s="89" t="s">
        <v>271</v>
      </c>
      <c r="E287" s="90"/>
      <c r="F287" s="85" t="s">
        <v>2516</v>
      </c>
      <c r="G287" s="91"/>
      <c r="H287" s="56">
        <f t="shared" si="4"/>
        <v>34</v>
      </c>
      <c r="I287" s="57"/>
      <c r="J287" s="57"/>
      <c r="K287" s="57"/>
      <c r="L287" s="57"/>
      <c r="M287" s="57"/>
      <c r="N287" s="57"/>
      <c r="O287" s="57"/>
      <c r="P287" s="57">
        <v>11</v>
      </c>
      <c r="Q287" s="57"/>
      <c r="R287" s="57">
        <v>23</v>
      </c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1">
        <f t="shared" si="5"/>
        <v>34</v>
      </c>
      <c r="AJ287" s="7"/>
      <c r="AK287" s="7"/>
    </row>
    <row r="288" spans="1:37" ht="21" hidden="1" customHeight="1">
      <c r="A288" s="88"/>
      <c r="B288" s="59" t="s">
        <v>654</v>
      </c>
      <c r="C288" s="60" t="s">
        <v>159</v>
      </c>
      <c r="D288" s="89" t="s">
        <v>271</v>
      </c>
      <c r="E288" s="90"/>
      <c r="F288" s="85" t="s">
        <v>2516</v>
      </c>
      <c r="G288" s="91"/>
      <c r="H288" s="56">
        <f t="shared" si="4"/>
        <v>77</v>
      </c>
      <c r="I288" s="57"/>
      <c r="J288" s="57"/>
      <c r="K288" s="57"/>
      <c r="L288" s="57"/>
      <c r="M288" s="57"/>
      <c r="N288" s="57"/>
      <c r="O288" s="57"/>
      <c r="P288" s="57"/>
      <c r="Q288" s="57"/>
      <c r="R288" s="57">
        <v>77</v>
      </c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1">
        <f t="shared" si="5"/>
        <v>77</v>
      </c>
      <c r="AJ288" s="7"/>
      <c r="AK288" s="7"/>
    </row>
    <row r="289" spans="1:37" ht="16.5" hidden="1" customHeight="1">
      <c r="A289" s="95"/>
      <c r="B289" s="86" t="s">
        <v>655</v>
      </c>
      <c r="C289" s="96" t="s">
        <v>656</v>
      </c>
      <c r="D289" s="97" t="s">
        <v>271</v>
      </c>
      <c r="E289" s="98"/>
      <c r="F289" s="85" t="s">
        <v>2516</v>
      </c>
      <c r="G289" s="99"/>
      <c r="H289" s="56">
        <f t="shared" si="4"/>
        <v>24</v>
      </c>
      <c r="I289" s="57"/>
      <c r="J289" s="57"/>
      <c r="K289" s="57"/>
      <c r="L289" s="57"/>
      <c r="M289" s="57"/>
      <c r="N289" s="57"/>
      <c r="O289" s="57"/>
      <c r="P289" s="57"/>
      <c r="Q289" s="57"/>
      <c r="R289" s="57">
        <f>+SUM(R290:R293)</f>
        <v>24</v>
      </c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1">
        <f t="shared" si="5"/>
        <v>24</v>
      </c>
      <c r="AJ289" s="7"/>
      <c r="AK289" s="7"/>
    </row>
    <row r="290" spans="1:37" ht="21" hidden="1" customHeight="1">
      <c r="A290" s="88"/>
      <c r="B290" s="59" t="s">
        <v>657</v>
      </c>
      <c r="C290" s="60" t="s">
        <v>131</v>
      </c>
      <c r="D290" s="89" t="s">
        <v>271</v>
      </c>
      <c r="E290" s="90"/>
      <c r="F290" s="85" t="s">
        <v>2516</v>
      </c>
      <c r="G290" s="91"/>
      <c r="H290" s="56">
        <f t="shared" si="4"/>
        <v>42</v>
      </c>
      <c r="I290" s="57"/>
      <c r="J290" s="57"/>
      <c r="K290" s="57"/>
      <c r="L290" s="57"/>
      <c r="M290" s="57"/>
      <c r="N290" s="57"/>
      <c r="O290" s="57"/>
      <c r="P290" s="57">
        <v>37</v>
      </c>
      <c r="Q290" s="57"/>
      <c r="R290" s="57">
        <v>5</v>
      </c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1">
        <f t="shared" si="5"/>
        <v>42</v>
      </c>
      <c r="AJ290" s="7"/>
      <c r="AK290" s="7"/>
    </row>
    <row r="291" spans="1:37" ht="21" hidden="1" customHeight="1">
      <c r="A291" s="88"/>
      <c r="B291" s="59" t="s">
        <v>658</v>
      </c>
      <c r="C291" s="60" t="s">
        <v>200</v>
      </c>
      <c r="D291" s="89" t="s">
        <v>271</v>
      </c>
      <c r="E291" s="90"/>
      <c r="F291" s="85" t="s">
        <v>2516</v>
      </c>
      <c r="G291" s="91"/>
      <c r="H291" s="56">
        <f t="shared" si="4"/>
        <v>13</v>
      </c>
      <c r="I291" s="57"/>
      <c r="J291" s="57"/>
      <c r="K291" s="57"/>
      <c r="L291" s="57"/>
      <c r="M291" s="57"/>
      <c r="N291" s="57"/>
      <c r="O291" s="57"/>
      <c r="P291" s="57"/>
      <c r="Q291" s="57"/>
      <c r="R291" s="57">
        <v>13</v>
      </c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1">
        <f t="shared" si="5"/>
        <v>13</v>
      </c>
      <c r="AJ291" s="7"/>
      <c r="AK291" s="7"/>
    </row>
    <row r="292" spans="1:37" ht="21" hidden="1" customHeight="1">
      <c r="A292" s="88"/>
      <c r="B292" s="59" t="s">
        <v>659</v>
      </c>
      <c r="C292" s="60" t="s">
        <v>203</v>
      </c>
      <c r="D292" s="89" t="s">
        <v>271</v>
      </c>
      <c r="E292" s="90"/>
      <c r="F292" s="85" t="s">
        <v>2516</v>
      </c>
      <c r="G292" s="91"/>
      <c r="H292" s="56">
        <f t="shared" si="4"/>
        <v>4</v>
      </c>
      <c r="I292" s="57"/>
      <c r="J292" s="57"/>
      <c r="K292" s="57"/>
      <c r="L292" s="57"/>
      <c r="M292" s="57"/>
      <c r="N292" s="57"/>
      <c r="O292" s="57"/>
      <c r="P292" s="57"/>
      <c r="Q292" s="57"/>
      <c r="R292" s="57">
        <v>4</v>
      </c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1">
        <f t="shared" si="5"/>
        <v>4</v>
      </c>
      <c r="AJ292" s="7"/>
      <c r="AK292" s="7"/>
    </row>
    <row r="293" spans="1:37" ht="21" hidden="1" customHeight="1">
      <c r="A293" s="88"/>
      <c r="B293" s="59" t="s">
        <v>660</v>
      </c>
      <c r="C293" s="60" t="s">
        <v>159</v>
      </c>
      <c r="D293" s="89" t="s">
        <v>271</v>
      </c>
      <c r="E293" s="90"/>
      <c r="F293" s="85" t="s">
        <v>2516</v>
      </c>
      <c r="G293" s="91"/>
      <c r="H293" s="56">
        <f t="shared" si="4"/>
        <v>2</v>
      </c>
      <c r="I293" s="57"/>
      <c r="J293" s="57"/>
      <c r="K293" s="57"/>
      <c r="L293" s="57"/>
      <c r="M293" s="57"/>
      <c r="N293" s="57"/>
      <c r="O293" s="57"/>
      <c r="P293" s="57"/>
      <c r="Q293" s="57"/>
      <c r="R293" s="57">
        <v>2</v>
      </c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1">
        <f t="shared" si="5"/>
        <v>2</v>
      </c>
      <c r="AJ293" s="7"/>
      <c r="AK293" s="7"/>
    </row>
    <row r="294" spans="1:37" ht="21" customHeight="1">
      <c r="A294" s="95"/>
      <c r="B294" s="53" t="s">
        <v>661</v>
      </c>
      <c r="C294" s="54" t="s">
        <v>662</v>
      </c>
      <c r="D294" s="17" t="s">
        <v>271</v>
      </c>
      <c r="E294" s="85" t="s">
        <v>663</v>
      </c>
      <c r="F294" s="85" t="s">
        <v>2516</v>
      </c>
      <c r="G294" s="22"/>
      <c r="H294" s="56">
        <f t="shared" si="4"/>
        <v>27.8</v>
      </c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>
        <v>26</v>
      </c>
      <c r="AF294" s="57">
        <v>1</v>
      </c>
      <c r="AG294" s="57">
        <v>0.8</v>
      </c>
      <c r="AH294" s="57"/>
      <c r="AI294" s="51">
        <f t="shared" si="5"/>
        <v>27.8</v>
      </c>
      <c r="AJ294" s="7"/>
      <c r="AK294" s="7"/>
    </row>
    <row r="295" spans="1:37" ht="21" hidden="1" customHeight="1">
      <c r="A295" s="88"/>
      <c r="B295" s="59" t="s">
        <v>664</v>
      </c>
      <c r="C295" s="60" t="s">
        <v>131</v>
      </c>
      <c r="D295" s="89" t="s">
        <v>271</v>
      </c>
      <c r="E295" s="90"/>
      <c r="F295" s="85" t="s">
        <v>2516</v>
      </c>
      <c r="G295" s="91"/>
      <c r="H295" s="56">
        <f t="shared" si="4"/>
        <v>0</v>
      </c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1">
        <f t="shared" si="5"/>
        <v>0</v>
      </c>
      <c r="AJ295" s="7"/>
      <c r="AK295" s="7"/>
    </row>
    <row r="296" spans="1:37" ht="21" hidden="1" customHeight="1">
      <c r="A296" s="88"/>
      <c r="B296" s="59" t="s">
        <v>665</v>
      </c>
      <c r="C296" s="60" t="s">
        <v>200</v>
      </c>
      <c r="D296" s="89" t="s">
        <v>271</v>
      </c>
      <c r="E296" s="90"/>
      <c r="F296" s="85" t="s">
        <v>2516</v>
      </c>
      <c r="G296" s="91"/>
      <c r="H296" s="56">
        <f t="shared" si="4"/>
        <v>0</v>
      </c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1">
        <f t="shared" si="5"/>
        <v>0</v>
      </c>
      <c r="AJ296" s="7"/>
      <c r="AK296" s="7"/>
    </row>
    <row r="297" spans="1:37" ht="21" hidden="1" customHeight="1">
      <c r="A297" s="88"/>
      <c r="B297" s="59" t="s">
        <v>666</v>
      </c>
      <c r="C297" s="60" t="s">
        <v>203</v>
      </c>
      <c r="D297" s="89" t="s">
        <v>271</v>
      </c>
      <c r="E297" s="90"/>
      <c r="F297" s="85" t="s">
        <v>2516</v>
      </c>
      <c r="G297" s="91"/>
      <c r="H297" s="56">
        <f t="shared" si="4"/>
        <v>0</v>
      </c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1">
        <f t="shared" si="5"/>
        <v>0</v>
      </c>
      <c r="AJ297" s="7"/>
      <c r="AK297" s="7"/>
    </row>
    <row r="298" spans="1:37" ht="21" hidden="1" customHeight="1">
      <c r="A298" s="88"/>
      <c r="B298" s="59" t="s">
        <v>667</v>
      </c>
      <c r="C298" s="60" t="s">
        <v>159</v>
      </c>
      <c r="D298" s="89" t="s">
        <v>271</v>
      </c>
      <c r="E298" s="90"/>
      <c r="F298" s="85" t="s">
        <v>2516</v>
      </c>
      <c r="G298" s="91"/>
      <c r="H298" s="56">
        <f t="shared" si="4"/>
        <v>0</v>
      </c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1">
        <f t="shared" si="5"/>
        <v>0</v>
      </c>
      <c r="AJ298" s="7"/>
      <c r="AK298" s="7"/>
    </row>
    <row r="299" spans="1:37" ht="21" customHeight="1">
      <c r="A299" s="52"/>
      <c r="B299" s="53" t="s">
        <v>668</v>
      </c>
      <c r="C299" s="54" t="s">
        <v>669</v>
      </c>
      <c r="D299" s="17" t="s">
        <v>271</v>
      </c>
      <c r="E299" s="85" t="s">
        <v>670</v>
      </c>
      <c r="F299" s="85" t="s">
        <v>2516</v>
      </c>
      <c r="G299" s="22"/>
      <c r="H299" s="56">
        <f t="shared" ref="H299:H447" si="7">AI299</f>
        <v>350.56600000000003</v>
      </c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>
        <v>133</v>
      </c>
      <c r="AF299" s="57">
        <v>107</v>
      </c>
      <c r="AG299" s="57">
        <v>110.566</v>
      </c>
      <c r="AH299" s="57"/>
      <c r="AI299" s="51">
        <f t="shared" si="5"/>
        <v>350.56600000000003</v>
      </c>
      <c r="AJ299" s="7"/>
      <c r="AK299" s="7"/>
    </row>
    <row r="300" spans="1:37" ht="18" hidden="1" customHeight="1">
      <c r="A300" s="52"/>
      <c r="B300" s="53" t="s">
        <v>671</v>
      </c>
      <c r="C300" s="96" t="s">
        <v>672</v>
      </c>
      <c r="D300" s="61" t="s">
        <v>271</v>
      </c>
      <c r="E300" s="62"/>
      <c r="F300" s="85" t="s">
        <v>2516</v>
      </c>
      <c r="G300" s="37"/>
      <c r="H300" s="56">
        <f t="shared" si="7"/>
        <v>0</v>
      </c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1">
        <f t="shared" si="5"/>
        <v>0</v>
      </c>
      <c r="AJ300" s="7"/>
      <c r="AK300" s="7"/>
    </row>
    <row r="301" spans="1:37" ht="26.25" hidden="1" customHeight="1">
      <c r="A301" s="88"/>
      <c r="B301" s="59" t="s">
        <v>673</v>
      </c>
      <c r="C301" s="60" t="s">
        <v>131</v>
      </c>
      <c r="D301" s="89" t="s">
        <v>271</v>
      </c>
      <c r="E301" s="90"/>
      <c r="F301" s="85" t="s">
        <v>2516</v>
      </c>
      <c r="G301" s="91"/>
      <c r="H301" s="56">
        <f t="shared" si="7"/>
        <v>0</v>
      </c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1">
        <f t="shared" si="5"/>
        <v>0</v>
      </c>
      <c r="AJ301" s="7"/>
      <c r="AK301" s="7"/>
    </row>
    <row r="302" spans="1:37" ht="21" hidden="1" customHeight="1">
      <c r="A302" s="88"/>
      <c r="B302" s="59" t="s">
        <v>674</v>
      </c>
      <c r="C302" s="60" t="s">
        <v>200</v>
      </c>
      <c r="D302" s="89" t="s">
        <v>271</v>
      </c>
      <c r="E302" s="90"/>
      <c r="F302" s="85" t="s">
        <v>2516</v>
      </c>
      <c r="G302" s="91"/>
      <c r="H302" s="56">
        <f t="shared" si="7"/>
        <v>0</v>
      </c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1">
        <f t="shared" si="5"/>
        <v>0</v>
      </c>
      <c r="AJ302" s="7"/>
      <c r="AK302" s="7"/>
    </row>
    <row r="303" spans="1:37" ht="21" hidden="1" customHeight="1">
      <c r="A303" s="88"/>
      <c r="B303" s="59" t="s">
        <v>675</v>
      </c>
      <c r="C303" s="60" t="s">
        <v>203</v>
      </c>
      <c r="D303" s="89" t="s">
        <v>271</v>
      </c>
      <c r="E303" s="90"/>
      <c r="F303" s="85" t="s">
        <v>2516</v>
      </c>
      <c r="G303" s="91"/>
      <c r="H303" s="56">
        <f t="shared" si="7"/>
        <v>0</v>
      </c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1">
        <f t="shared" si="5"/>
        <v>0</v>
      </c>
      <c r="AJ303" s="7"/>
      <c r="AK303" s="7"/>
    </row>
    <row r="304" spans="1:37" ht="21" hidden="1" customHeight="1">
      <c r="A304" s="88"/>
      <c r="B304" s="59" t="s">
        <v>676</v>
      </c>
      <c r="C304" s="60" t="s">
        <v>159</v>
      </c>
      <c r="D304" s="89" t="s">
        <v>271</v>
      </c>
      <c r="E304" s="90"/>
      <c r="F304" s="85" t="s">
        <v>2516</v>
      </c>
      <c r="G304" s="91"/>
      <c r="H304" s="56">
        <f t="shared" si="7"/>
        <v>0</v>
      </c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1">
        <f t="shared" si="5"/>
        <v>0</v>
      </c>
      <c r="AJ304" s="7"/>
      <c r="AK304" s="7"/>
    </row>
    <row r="305" spans="1:37" ht="21" hidden="1" customHeight="1">
      <c r="A305" s="52"/>
      <c r="B305" s="53" t="s">
        <v>677</v>
      </c>
      <c r="C305" s="96" t="s">
        <v>678</v>
      </c>
      <c r="D305" s="61" t="s">
        <v>271</v>
      </c>
      <c r="E305" s="62"/>
      <c r="F305" s="85" t="s">
        <v>2516</v>
      </c>
      <c r="G305" s="37"/>
      <c r="H305" s="56">
        <f t="shared" si="7"/>
        <v>0</v>
      </c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1">
        <f t="shared" si="5"/>
        <v>0</v>
      </c>
      <c r="AJ305" s="7"/>
      <c r="AK305" s="7"/>
    </row>
    <row r="306" spans="1:37" ht="21" hidden="1" customHeight="1">
      <c r="A306" s="88"/>
      <c r="B306" s="59" t="s">
        <v>679</v>
      </c>
      <c r="C306" s="60" t="s">
        <v>131</v>
      </c>
      <c r="D306" s="89" t="s">
        <v>271</v>
      </c>
      <c r="E306" s="90"/>
      <c r="F306" s="85" t="s">
        <v>2516</v>
      </c>
      <c r="G306" s="91"/>
      <c r="H306" s="56">
        <f t="shared" si="7"/>
        <v>0</v>
      </c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1">
        <f t="shared" si="5"/>
        <v>0</v>
      </c>
      <c r="AJ306" s="7"/>
      <c r="AK306" s="7"/>
    </row>
    <row r="307" spans="1:37" ht="21" hidden="1" customHeight="1">
      <c r="A307" s="88"/>
      <c r="B307" s="59" t="s">
        <v>680</v>
      </c>
      <c r="C307" s="60" t="s">
        <v>200</v>
      </c>
      <c r="D307" s="89" t="s">
        <v>271</v>
      </c>
      <c r="E307" s="90"/>
      <c r="F307" s="85" t="s">
        <v>2516</v>
      </c>
      <c r="G307" s="91"/>
      <c r="H307" s="56">
        <f t="shared" si="7"/>
        <v>0</v>
      </c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1">
        <f t="shared" si="5"/>
        <v>0</v>
      </c>
      <c r="AJ307" s="7"/>
      <c r="AK307" s="7"/>
    </row>
    <row r="308" spans="1:37" ht="21" hidden="1" customHeight="1">
      <c r="A308" s="88"/>
      <c r="B308" s="59" t="s">
        <v>681</v>
      </c>
      <c r="C308" s="60" t="s">
        <v>203</v>
      </c>
      <c r="D308" s="89" t="s">
        <v>271</v>
      </c>
      <c r="E308" s="90"/>
      <c r="F308" s="85" t="s">
        <v>2516</v>
      </c>
      <c r="G308" s="91"/>
      <c r="H308" s="56">
        <f t="shared" si="7"/>
        <v>0</v>
      </c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1">
        <f t="shared" si="5"/>
        <v>0</v>
      </c>
      <c r="AJ308" s="7"/>
      <c r="AK308" s="7"/>
    </row>
    <row r="309" spans="1:37" ht="21" hidden="1" customHeight="1">
      <c r="A309" s="88"/>
      <c r="B309" s="59" t="s">
        <v>682</v>
      </c>
      <c r="C309" s="60" t="s">
        <v>159</v>
      </c>
      <c r="D309" s="89" t="s">
        <v>271</v>
      </c>
      <c r="E309" s="90"/>
      <c r="F309" s="85" t="s">
        <v>2516</v>
      </c>
      <c r="G309" s="91"/>
      <c r="H309" s="56">
        <f t="shared" si="7"/>
        <v>0</v>
      </c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1">
        <f t="shared" si="5"/>
        <v>0</v>
      </c>
      <c r="AJ309" s="7"/>
      <c r="AK309" s="7"/>
    </row>
    <row r="310" spans="1:37" ht="21" hidden="1" customHeight="1">
      <c r="A310" s="52"/>
      <c r="B310" s="53" t="s">
        <v>683</v>
      </c>
      <c r="C310" s="96" t="s">
        <v>684</v>
      </c>
      <c r="D310" s="61" t="s">
        <v>271</v>
      </c>
      <c r="E310" s="62"/>
      <c r="F310" s="85" t="s">
        <v>2516</v>
      </c>
      <c r="G310" s="37"/>
      <c r="H310" s="56">
        <f t="shared" si="7"/>
        <v>0</v>
      </c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1">
        <f t="shared" si="5"/>
        <v>0</v>
      </c>
      <c r="AJ310" s="7"/>
      <c r="AK310" s="7"/>
    </row>
    <row r="311" spans="1:37" ht="21" hidden="1" customHeight="1">
      <c r="A311" s="88"/>
      <c r="B311" s="59" t="s">
        <v>685</v>
      </c>
      <c r="C311" s="60" t="s">
        <v>131</v>
      </c>
      <c r="D311" s="89" t="s">
        <v>271</v>
      </c>
      <c r="E311" s="90"/>
      <c r="F311" s="85" t="s">
        <v>2516</v>
      </c>
      <c r="G311" s="91"/>
      <c r="H311" s="56">
        <f t="shared" si="7"/>
        <v>0</v>
      </c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1">
        <f t="shared" si="5"/>
        <v>0</v>
      </c>
      <c r="AJ311" s="7"/>
      <c r="AK311" s="7"/>
    </row>
    <row r="312" spans="1:37" ht="21" hidden="1" customHeight="1">
      <c r="A312" s="88"/>
      <c r="B312" s="59" t="s">
        <v>686</v>
      </c>
      <c r="C312" s="60" t="s">
        <v>200</v>
      </c>
      <c r="D312" s="89" t="s">
        <v>271</v>
      </c>
      <c r="E312" s="90"/>
      <c r="F312" s="85" t="s">
        <v>2516</v>
      </c>
      <c r="G312" s="91"/>
      <c r="H312" s="56">
        <f t="shared" si="7"/>
        <v>0</v>
      </c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1">
        <f t="shared" si="5"/>
        <v>0</v>
      </c>
      <c r="AJ312" s="7"/>
      <c r="AK312" s="7"/>
    </row>
    <row r="313" spans="1:37" ht="21" hidden="1" customHeight="1">
      <c r="A313" s="88"/>
      <c r="B313" s="59" t="s">
        <v>687</v>
      </c>
      <c r="C313" s="60" t="s">
        <v>203</v>
      </c>
      <c r="D313" s="89" t="s">
        <v>271</v>
      </c>
      <c r="E313" s="90"/>
      <c r="F313" s="85" t="s">
        <v>2516</v>
      </c>
      <c r="G313" s="91"/>
      <c r="H313" s="56">
        <f t="shared" si="7"/>
        <v>0</v>
      </c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1">
        <f t="shared" si="5"/>
        <v>0</v>
      </c>
      <c r="AJ313" s="7"/>
      <c r="AK313" s="7"/>
    </row>
    <row r="314" spans="1:37" ht="21" hidden="1" customHeight="1">
      <c r="A314" s="88"/>
      <c r="B314" s="59" t="s">
        <v>688</v>
      </c>
      <c r="C314" s="60" t="s">
        <v>159</v>
      </c>
      <c r="D314" s="89" t="s">
        <v>271</v>
      </c>
      <c r="E314" s="90"/>
      <c r="F314" s="85" t="s">
        <v>2516</v>
      </c>
      <c r="G314" s="91"/>
      <c r="H314" s="56">
        <f t="shared" si="7"/>
        <v>0</v>
      </c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1">
        <f t="shared" si="5"/>
        <v>0</v>
      </c>
      <c r="AJ314" s="7"/>
      <c r="AK314" s="7"/>
    </row>
    <row r="315" spans="1:37" ht="21" customHeight="1">
      <c r="A315" s="52"/>
      <c r="B315" s="53" t="s">
        <v>689</v>
      </c>
      <c r="C315" s="54" t="s">
        <v>690</v>
      </c>
      <c r="D315" s="97" t="s">
        <v>271</v>
      </c>
      <c r="E315" s="85" t="s">
        <v>691</v>
      </c>
      <c r="F315" s="85" t="s">
        <v>2516</v>
      </c>
      <c r="G315" s="99"/>
      <c r="H315" s="56">
        <f t="shared" si="7"/>
        <v>79</v>
      </c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>
        <v>13</v>
      </c>
      <c r="AG315" s="57">
        <v>66</v>
      </c>
      <c r="AH315" s="57"/>
      <c r="AI315" s="51">
        <f t="shared" si="5"/>
        <v>79</v>
      </c>
      <c r="AJ315" s="7"/>
      <c r="AK315" s="7"/>
    </row>
    <row r="316" spans="1:37" ht="21" hidden="1" customHeight="1">
      <c r="A316" s="88"/>
      <c r="B316" s="59" t="s">
        <v>692</v>
      </c>
      <c r="C316" s="60" t="s">
        <v>131</v>
      </c>
      <c r="D316" s="89" t="s">
        <v>271</v>
      </c>
      <c r="E316" s="90"/>
      <c r="F316" s="85" t="s">
        <v>2516</v>
      </c>
      <c r="G316" s="91"/>
      <c r="H316" s="56">
        <f t="shared" si="7"/>
        <v>0</v>
      </c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1">
        <f t="shared" si="5"/>
        <v>0</v>
      </c>
      <c r="AJ316" s="7"/>
      <c r="AK316" s="7"/>
    </row>
    <row r="317" spans="1:37" ht="21" hidden="1" customHeight="1">
      <c r="A317" s="88"/>
      <c r="B317" s="59" t="s">
        <v>693</v>
      </c>
      <c r="C317" s="60" t="s">
        <v>200</v>
      </c>
      <c r="D317" s="89" t="s">
        <v>271</v>
      </c>
      <c r="E317" s="90"/>
      <c r="F317" s="85" t="s">
        <v>2516</v>
      </c>
      <c r="G317" s="91"/>
      <c r="H317" s="56">
        <f t="shared" si="7"/>
        <v>0</v>
      </c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1">
        <f t="shared" si="5"/>
        <v>0</v>
      </c>
      <c r="AJ317" s="7"/>
      <c r="AK317" s="7"/>
    </row>
    <row r="318" spans="1:37" ht="21" hidden="1" customHeight="1">
      <c r="A318" s="88"/>
      <c r="B318" s="59" t="s">
        <v>694</v>
      </c>
      <c r="C318" s="60" t="s">
        <v>203</v>
      </c>
      <c r="D318" s="89" t="s">
        <v>271</v>
      </c>
      <c r="E318" s="90"/>
      <c r="F318" s="85" t="s">
        <v>2516</v>
      </c>
      <c r="G318" s="91"/>
      <c r="H318" s="56">
        <f t="shared" si="7"/>
        <v>0</v>
      </c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1">
        <f t="shared" si="5"/>
        <v>0</v>
      </c>
      <c r="AJ318" s="7"/>
      <c r="AK318" s="7"/>
    </row>
    <row r="319" spans="1:37" ht="21" hidden="1" customHeight="1">
      <c r="A319" s="88"/>
      <c r="B319" s="59" t="s">
        <v>695</v>
      </c>
      <c r="C319" s="60" t="s">
        <v>159</v>
      </c>
      <c r="D319" s="89" t="s">
        <v>271</v>
      </c>
      <c r="E319" s="90"/>
      <c r="F319" s="85" t="s">
        <v>2516</v>
      </c>
      <c r="G319" s="91"/>
      <c r="H319" s="56">
        <f t="shared" si="7"/>
        <v>0</v>
      </c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1">
        <f t="shared" si="5"/>
        <v>0</v>
      </c>
      <c r="AJ319" s="7"/>
      <c r="AK319" s="7"/>
    </row>
    <row r="320" spans="1:37" ht="21" customHeight="1">
      <c r="A320" s="52"/>
      <c r="B320" s="53" t="s">
        <v>696</v>
      </c>
      <c r="C320" s="54" t="s">
        <v>697</v>
      </c>
      <c r="D320" s="17" t="s">
        <v>271</v>
      </c>
      <c r="E320" s="85" t="s">
        <v>698</v>
      </c>
      <c r="F320" s="85" t="s">
        <v>2516</v>
      </c>
      <c r="G320" s="22"/>
      <c r="H320" s="56">
        <f t="shared" si="7"/>
        <v>425.8</v>
      </c>
      <c r="I320" s="57"/>
      <c r="J320" s="57"/>
      <c r="K320" s="57"/>
      <c r="L320" s="57"/>
      <c r="M320" s="57"/>
      <c r="N320" s="57"/>
      <c r="O320" s="57"/>
      <c r="P320" s="57"/>
      <c r="Q320" s="57"/>
      <c r="R320" s="57">
        <v>11</v>
      </c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>
        <v>57</v>
      </c>
      <c r="AE320" s="57"/>
      <c r="AF320" s="57">
        <v>354</v>
      </c>
      <c r="AG320" s="57">
        <v>3.8</v>
      </c>
      <c r="AH320" s="57"/>
      <c r="AI320" s="51">
        <f t="shared" si="5"/>
        <v>425.8</v>
      </c>
      <c r="AJ320" s="7"/>
      <c r="AK320" s="7"/>
    </row>
    <row r="321" spans="1:37" ht="21" hidden="1" customHeight="1">
      <c r="A321" s="88"/>
      <c r="B321" s="59" t="s">
        <v>699</v>
      </c>
      <c r="C321" s="60" t="s">
        <v>131</v>
      </c>
      <c r="D321" s="89" t="s">
        <v>271</v>
      </c>
      <c r="E321" s="90"/>
      <c r="F321" s="85" t="s">
        <v>2516</v>
      </c>
      <c r="G321" s="91"/>
      <c r="H321" s="56">
        <f t="shared" si="7"/>
        <v>0</v>
      </c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1">
        <f t="shared" si="5"/>
        <v>0</v>
      </c>
      <c r="AJ321" s="7"/>
      <c r="AK321" s="7"/>
    </row>
    <row r="322" spans="1:37" ht="21" hidden="1" customHeight="1">
      <c r="A322" s="88"/>
      <c r="B322" s="59" t="s">
        <v>700</v>
      </c>
      <c r="C322" s="60" t="s">
        <v>200</v>
      </c>
      <c r="D322" s="89" t="s">
        <v>271</v>
      </c>
      <c r="E322" s="90"/>
      <c r="F322" s="85" t="s">
        <v>2516</v>
      </c>
      <c r="G322" s="91"/>
      <c r="H322" s="56">
        <f t="shared" si="7"/>
        <v>0</v>
      </c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1">
        <f t="shared" si="5"/>
        <v>0</v>
      </c>
      <c r="AJ322" s="7"/>
      <c r="AK322" s="7"/>
    </row>
    <row r="323" spans="1:37" ht="21" hidden="1" customHeight="1">
      <c r="A323" s="88"/>
      <c r="B323" s="59" t="s">
        <v>701</v>
      </c>
      <c r="C323" s="60" t="s">
        <v>203</v>
      </c>
      <c r="D323" s="89" t="s">
        <v>271</v>
      </c>
      <c r="E323" s="90"/>
      <c r="F323" s="85" t="s">
        <v>2516</v>
      </c>
      <c r="G323" s="91"/>
      <c r="H323" s="56">
        <f t="shared" si="7"/>
        <v>0</v>
      </c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1">
        <f t="shared" si="5"/>
        <v>0</v>
      </c>
      <c r="AJ323" s="7"/>
      <c r="AK323" s="7"/>
    </row>
    <row r="324" spans="1:37" ht="21" hidden="1" customHeight="1">
      <c r="A324" s="88"/>
      <c r="B324" s="59" t="s">
        <v>702</v>
      </c>
      <c r="C324" s="60" t="s">
        <v>159</v>
      </c>
      <c r="D324" s="89" t="s">
        <v>271</v>
      </c>
      <c r="E324" s="90"/>
      <c r="F324" s="85" t="s">
        <v>2516</v>
      </c>
      <c r="G324" s="91"/>
      <c r="H324" s="56">
        <f t="shared" si="7"/>
        <v>0</v>
      </c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1">
        <f t="shared" si="5"/>
        <v>0</v>
      </c>
      <c r="AJ324" s="7"/>
      <c r="AK324" s="7"/>
    </row>
    <row r="325" spans="1:37" ht="33.75" customHeight="1">
      <c r="A325" s="52"/>
      <c r="B325" s="53" t="s">
        <v>703</v>
      </c>
      <c r="C325" s="103" t="s">
        <v>704</v>
      </c>
      <c r="D325" s="101" t="s">
        <v>705</v>
      </c>
      <c r="E325" s="85" t="s">
        <v>706</v>
      </c>
      <c r="F325" s="85" t="s">
        <v>2516</v>
      </c>
      <c r="G325" s="117"/>
      <c r="H325" s="56">
        <f t="shared" si="7"/>
        <v>11835</v>
      </c>
      <c r="I325" s="57"/>
      <c r="J325" s="57">
        <v>26</v>
      </c>
      <c r="K325" s="57"/>
      <c r="L325" s="57"/>
      <c r="M325" s="57"/>
      <c r="N325" s="57"/>
      <c r="O325" s="57">
        <v>466</v>
      </c>
      <c r="P325" s="57"/>
      <c r="Q325" s="57"/>
      <c r="R325" s="57">
        <v>380</v>
      </c>
      <c r="S325" s="57"/>
      <c r="T325" s="57">
        <v>7</v>
      </c>
      <c r="U325" s="57"/>
      <c r="V325" s="57"/>
      <c r="W325" s="57"/>
      <c r="X325" s="57"/>
      <c r="Y325" s="57">
        <v>2637</v>
      </c>
      <c r="Z325" s="57">
        <v>4157</v>
      </c>
      <c r="AA325" s="57">
        <v>250</v>
      </c>
      <c r="AB325" s="57"/>
      <c r="AC325" s="57">
        <v>454</v>
      </c>
      <c r="AD325" s="57">
        <v>466</v>
      </c>
      <c r="AE325" s="57"/>
      <c r="AF325" s="57">
        <v>2966</v>
      </c>
      <c r="AG325" s="57">
        <v>26</v>
      </c>
      <c r="AH325" s="57"/>
      <c r="AI325" s="51">
        <f t="shared" si="5"/>
        <v>11835</v>
      </c>
      <c r="AJ325" s="7"/>
      <c r="AK325" s="7"/>
    </row>
    <row r="326" spans="1:37" ht="30" hidden="1" customHeight="1">
      <c r="A326" s="88"/>
      <c r="B326" s="59" t="s">
        <v>707</v>
      </c>
      <c r="C326" s="60" t="s">
        <v>131</v>
      </c>
      <c r="D326" s="118" t="s">
        <v>708</v>
      </c>
      <c r="E326" s="119"/>
      <c r="F326" s="85" t="s">
        <v>2516</v>
      </c>
      <c r="G326" s="34"/>
      <c r="H326" s="56">
        <f t="shared" si="7"/>
        <v>0</v>
      </c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1">
        <f t="shared" si="5"/>
        <v>0</v>
      </c>
      <c r="AJ326" s="7"/>
      <c r="AK326" s="7"/>
    </row>
    <row r="327" spans="1:37" ht="44.25" hidden="1" customHeight="1">
      <c r="A327" s="88"/>
      <c r="B327" s="59" t="s">
        <v>709</v>
      </c>
      <c r="C327" s="60" t="s">
        <v>200</v>
      </c>
      <c r="D327" s="118" t="s">
        <v>710</v>
      </c>
      <c r="E327" s="119"/>
      <c r="F327" s="85" t="s">
        <v>2516</v>
      </c>
      <c r="G327" s="34"/>
      <c r="H327" s="56">
        <f t="shared" si="7"/>
        <v>0</v>
      </c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1">
        <f t="shared" si="5"/>
        <v>0</v>
      </c>
      <c r="AJ327" s="7"/>
      <c r="AK327" s="7"/>
    </row>
    <row r="328" spans="1:37" ht="32.25" hidden="1" customHeight="1">
      <c r="A328" s="88"/>
      <c r="B328" s="59" t="s">
        <v>711</v>
      </c>
      <c r="C328" s="60" t="s">
        <v>203</v>
      </c>
      <c r="D328" s="118" t="s">
        <v>712</v>
      </c>
      <c r="E328" s="119"/>
      <c r="F328" s="85" t="s">
        <v>2516</v>
      </c>
      <c r="G328" s="34"/>
      <c r="H328" s="56">
        <f t="shared" si="7"/>
        <v>0</v>
      </c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1">
        <f t="shared" si="5"/>
        <v>0</v>
      </c>
      <c r="AJ328" s="7"/>
      <c r="AK328" s="7"/>
    </row>
    <row r="329" spans="1:37" ht="32.25" hidden="1" customHeight="1">
      <c r="A329" s="88"/>
      <c r="B329" s="59" t="s">
        <v>713</v>
      </c>
      <c r="C329" s="60" t="s">
        <v>159</v>
      </c>
      <c r="D329" s="118" t="s">
        <v>714</v>
      </c>
      <c r="E329" s="119"/>
      <c r="F329" s="85" t="s">
        <v>2516</v>
      </c>
      <c r="G329" s="34"/>
      <c r="H329" s="56">
        <f t="shared" si="7"/>
        <v>0</v>
      </c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1">
        <f t="shared" si="5"/>
        <v>0</v>
      </c>
      <c r="AJ329" s="7"/>
      <c r="AK329" s="7"/>
    </row>
    <row r="330" spans="1:37" ht="30.75" customHeight="1">
      <c r="A330" s="52"/>
      <c r="B330" s="53" t="s">
        <v>715</v>
      </c>
      <c r="C330" s="38" t="s">
        <v>716</v>
      </c>
      <c r="D330" s="17" t="s">
        <v>717</v>
      </c>
      <c r="E330" s="85" t="s">
        <v>718</v>
      </c>
      <c r="F330" s="85" t="s">
        <v>2516</v>
      </c>
      <c r="G330" s="22"/>
      <c r="H330" s="56">
        <f t="shared" si="7"/>
        <v>192</v>
      </c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>
        <v>1</v>
      </c>
      <c r="V330" s="57"/>
      <c r="W330" s="57"/>
      <c r="X330" s="57">
        <v>37</v>
      </c>
      <c r="Y330" s="57">
        <v>116</v>
      </c>
      <c r="Z330" s="57"/>
      <c r="AA330" s="57"/>
      <c r="AB330" s="57"/>
      <c r="AC330" s="57"/>
      <c r="AD330" s="57">
        <v>1</v>
      </c>
      <c r="AE330" s="57"/>
      <c r="AF330" s="57">
        <v>22</v>
      </c>
      <c r="AG330" s="57">
        <v>15</v>
      </c>
      <c r="AH330" s="57"/>
      <c r="AI330" s="51">
        <f t="shared" si="5"/>
        <v>192</v>
      </c>
      <c r="AJ330" s="7"/>
      <c r="AK330" s="7"/>
    </row>
    <row r="331" spans="1:37" ht="21" hidden="1" customHeight="1">
      <c r="A331" s="95" t="s">
        <v>719</v>
      </c>
      <c r="B331" s="86" t="s">
        <v>720</v>
      </c>
      <c r="C331" s="120" t="s">
        <v>721</v>
      </c>
      <c r="D331" s="89" t="s">
        <v>717</v>
      </c>
      <c r="E331" s="90"/>
      <c r="F331" s="85" t="s">
        <v>2516</v>
      </c>
      <c r="G331" s="91"/>
      <c r="H331" s="56">
        <f t="shared" si="7"/>
        <v>0</v>
      </c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1">
        <f t="shared" si="5"/>
        <v>0</v>
      </c>
      <c r="AJ331" s="7"/>
      <c r="AK331" s="7"/>
    </row>
    <row r="332" spans="1:37" ht="21" hidden="1" customHeight="1">
      <c r="A332" s="88" t="s">
        <v>722</v>
      </c>
      <c r="B332" s="59" t="s">
        <v>723</v>
      </c>
      <c r="C332" s="60" t="s">
        <v>131</v>
      </c>
      <c r="D332" s="89" t="s">
        <v>717</v>
      </c>
      <c r="E332" s="90"/>
      <c r="F332" s="85" t="s">
        <v>2516</v>
      </c>
      <c r="G332" s="91"/>
      <c r="H332" s="56">
        <f t="shared" si="7"/>
        <v>0</v>
      </c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1">
        <f t="shared" si="5"/>
        <v>0</v>
      </c>
      <c r="AJ332" s="7"/>
      <c r="AK332" s="7"/>
    </row>
    <row r="333" spans="1:37" ht="21" hidden="1" customHeight="1">
      <c r="A333" s="88" t="s">
        <v>724</v>
      </c>
      <c r="B333" s="59" t="s">
        <v>725</v>
      </c>
      <c r="C333" s="60" t="s">
        <v>200</v>
      </c>
      <c r="D333" s="89" t="s">
        <v>717</v>
      </c>
      <c r="E333" s="90"/>
      <c r="F333" s="85" t="s">
        <v>2516</v>
      </c>
      <c r="G333" s="91"/>
      <c r="H333" s="56">
        <f t="shared" si="7"/>
        <v>0</v>
      </c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1">
        <f t="shared" si="5"/>
        <v>0</v>
      </c>
      <c r="AJ333" s="7"/>
      <c r="AK333" s="7"/>
    </row>
    <row r="334" spans="1:37" ht="21" hidden="1" customHeight="1">
      <c r="A334" s="88" t="s">
        <v>726</v>
      </c>
      <c r="B334" s="59" t="s">
        <v>727</v>
      </c>
      <c r="C334" s="60" t="s">
        <v>203</v>
      </c>
      <c r="D334" s="89" t="s">
        <v>717</v>
      </c>
      <c r="E334" s="90"/>
      <c r="F334" s="85" t="s">
        <v>2516</v>
      </c>
      <c r="G334" s="91"/>
      <c r="H334" s="56">
        <f t="shared" si="7"/>
        <v>0</v>
      </c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1">
        <f t="shared" si="5"/>
        <v>0</v>
      </c>
      <c r="AJ334" s="7"/>
      <c r="AK334" s="7"/>
    </row>
    <row r="335" spans="1:37" ht="21" hidden="1" customHeight="1">
      <c r="A335" s="88" t="s">
        <v>728</v>
      </c>
      <c r="B335" s="59" t="s">
        <v>729</v>
      </c>
      <c r="C335" s="60" t="s">
        <v>159</v>
      </c>
      <c r="D335" s="89" t="s">
        <v>717</v>
      </c>
      <c r="E335" s="90"/>
      <c r="F335" s="85" t="s">
        <v>2516</v>
      </c>
      <c r="G335" s="91"/>
      <c r="H335" s="56">
        <f t="shared" si="7"/>
        <v>0</v>
      </c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1">
        <f t="shared" si="5"/>
        <v>0</v>
      </c>
      <c r="AJ335" s="7"/>
      <c r="AK335" s="7"/>
    </row>
    <row r="336" spans="1:37" ht="21" hidden="1" customHeight="1">
      <c r="A336" s="95" t="s">
        <v>730</v>
      </c>
      <c r="B336" s="86" t="s">
        <v>731</v>
      </c>
      <c r="C336" s="120" t="s">
        <v>732</v>
      </c>
      <c r="D336" s="97" t="s">
        <v>717</v>
      </c>
      <c r="E336" s="98"/>
      <c r="F336" s="85" t="s">
        <v>2516</v>
      </c>
      <c r="G336" s="99"/>
      <c r="H336" s="56">
        <f t="shared" si="7"/>
        <v>0</v>
      </c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1">
        <f t="shared" si="5"/>
        <v>0</v>
      </c>
      <c r="AJ336" s="7"/>
      <c r="AK336" s="7"/>
    </row>
    <row r="337" spans="1:37" ht="21" hidden="1" customHeight="1">
      <c r="A337" s="88" t="s">
        <v>733</v>
      </c>
      <c r="B337" s="59" t="s">
        <v>734</v>
      </c>
      <c r="C337" s="60" t="s">
        <v>131</v>
      </c>
      <c r="D337" s="89" t="s">
        <v>717</v>
      </c>
      <c r="E337" s="90"/>
      <c r="F337" s="85" t="s">
        <v>2516</v>
      </c>
      <c r="G337" s="91"/>
      <c r="H337" s="56">
        <f t="shared" si="7"/>
        <v>0</v>
      </c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1">
        <f t="shared" si="5"/>
        <v>0</v>
      </c>
      <c r="AJ337" s="7"/>
      <c r="AK337" s="7"/>
    </row>
    <row r="338" spans="1:37" ht="21" hidden="1" customHeight="1">
      <c r="A338" s="88" t="s">
        <v>735</v>
      </c>
      <c r="B338" s="59" t="s">
        <v>736</v>
      </c>
      <c r="C338" s="60" t="s">
        <v>200</v>
      </c>
      <c r="D338" s="89" t="s">
        <v>717</v>
      </c>
      <c r="E338" s="90"/>
      <c r="F338" s="85" t="s">
        <v>2516</v>
      </c>
      <c r="G338" s="91"/>
      <c r="H338" s="56">
        <f t="shared" si="7"/>
        <v>0</v>
      </c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1">
        <f t="shared" si="5"/>
        <v>0</v>
      </c>
      <c r="AJ338" s="7"/>
      <c r="AK338" s="7"/>
    </row>
    <row r="339" spans="1:37" ht="21" hidden="1" customHeight="1">
      <c r="A339" s="88" t="s">
        <v>737</v>
      </c>
      <c r="B339" s="59" t="s">
        <v>738</v>
      </c>
      <c r="C339" s="60" t="s">
        <v>203</v>
      </c>
      <c r="D339" s="89" t="s">
        <v>717</v>
      </c>
      <c r="E339" s="90"/>
      <c r="F339" s="85" t="s">
        <v>2516</v>
      </c>
      <c r="G339" s="91"/>
      <c r="H339" s="56">
        <f t="shared" si="7"/>
        <v>0</v>
      </c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1">
        <f t="shared" si="5"/>
        <v>0</v>
      </c>
      <c r="AJ339" s="7"/>
      <c r="AK339" s="7"/>
    </row>
    <row r="340" spans="1:37" ht="21" hidden="1" customHeight="1">
      <c r="A340" s="88" t="s">
        <v>739</v>
      </c>
      <c r="B340" s="59" t="s">
        <v>740</v>
      </c>
      <c r="C340" s="60" t="s">
        <v>159</v>
      </c>
      <c r="D340" s="89" t="s">
        <v>717</v>
      </c>
      <c r="E340" s="90"/>
      <c r="F340" s="85" t="s">
        <v>2516</v>
      </c>
      <c r="G340" s="91"/>
      <c r="H340" s="56">
        <f t="shared" si="7"/>
        <v>0</v>
      </c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1">
        <f t="shared" si="5"/>
        <v>0</v>
      </c>
      <c r="AJ340" s="7"/>
      <c r="AK340" s="7"/>
    </row>
    <row r="341" spans="1:37" ht="21" hidden="1" customHeight="1">
      <c r="A341" s="95" t="s">
        <v>741</v>
      </c>
      <c r="B341" s="86" t="s">
        <v>742</v>
      </c>
      <c r="C341" s="120" t="s">
        <v>743</v>
      </c>
      <c r="D341" s="97" t="s">
        <v>717</v>
      </c>
      <c r="E341" s="98"/>
      <c r="F341" s="85" t="s">
        <v>2516</v>
      </c>
      <c r="G341" s="99"/>
      <c r="H341" s="56">
        <f t="shared" si="7"/>
        <v>0</v>
      </c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1">
        <f t="shared" si="5"/>
        <v>0</v>
      </c>
      <c r="AJ341" s="7"/>
      <c r="AK341" s="7"/>
    </row>
    <row r="342" spans="1:37" ht="21" hidden="1" customHeight="1">
      <c r="A342" s="88" t="s">
        <v>744</v>
      </c>
      <c r="B342" s="59" t="s">
        <v>720</v>
      </c>
      <c r="C342" s="60" t="s">
        <v>131</v>
      </c>
      <c r="D342" s="89" t="s">
        <v>717</v>
      </c>
      <c r="E342" s="90"/>
      <c r="F342" s="85" t="s">
        <v>2516</v>
      </c>
      <c r="G342" s="91"/>
      <c r="H342" s="56">
        <f t="shared" si="7"/>
        <v>0</v>
      </c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1">
        <f t="shared" si="5"/>
        <v>0</v>
      </c>
      <c r="AJ342" s="7"/>
      <c r="AK342" s="7"/>
    </row>
    <row r="343" spans="1:37" ht="21" hidden="1" customHeight="1">
      <c r="A343" s="88" t="s">
        <v>745</v>
      </c>
      <c r="B343" s="59" t="s">
        <v>731</v>
      </c>
      <c r="C343" s="60" t="s">
        <v>200</v>
      </c>
      <c r="D343" s="89" t="s">
        <v>717</v>
      </c>
      <c r="E343" s="90"/>
      <c r="F343" s="85" t="s">
        <v>2516</v>
      </c>
      <c r="G343" s="91"/>
      <c r="H343" s="56">
        <f t="shared" si="7"/>
        <v>0</v>
      </c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1">
        <f t="shared" si="5"/>
        <v>0</v>
      </c>
      <c r="AJ343" s="7"/>
      <c r="AK343" s="7"/>
    </row>
    <row r="344" spans="1:37" ht="21" hidden="1" customHeight="1">
      <c r="A344" s="88" t="s">
        <v>746</v>
      </c>
      <c r="B344" s="59" t="s">
        <v>742</v>
      </c>
      <c r="C344" s="60" t="s">
        <v>203</v>
      </c>
      <c r="D344" s="89" t="s">
        <v>717</v>
      </c>
      <c r="E344" s="90"/>
      <c r="F344" s="85" t="s">
        <v>2516</v>
      </c>
      <c r="G344" s="91"/>
      <c r="H344" s="56">
        <f t="shared" si="7"/>
        <v>0</v>
      </c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1">
        <f t="shared" si="5"/>
        <v>0</v>
      </c>
      <c r="AJ344" s="7"/>
      <c r="AK344" s="7"/>
    </row>
    <row r="345" spans="1:37" ht="21" hidden="1" customHeight="1">
      <c r="A345" s="88" t="s">
        <v>747</v>
      </c>
      <c r="B345" s="59" t="s">
        <v>748</v>
      </c>
      <c r="C345" s="60" t="s">
        <v>159</v>
      </c>
      <c r="D345" s="89" t="s">
        <v>717</v>
      </c>
      <c r="E345" s="90"/>
      <c r="F345" s="85" t="s">
        <v>2516</v>
      </c>
      <c r="G345" s="91"/>
      <c r="H345" s="56">
        <f t="shared" si="7"/>
        <v>0</v>
      </c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1">
        <f t="shared" si="5"/>
        <v>0</v>
      </c>
      <c r="AJ345" s="7"/>
      <c r="AK345" s="7"/>
    </row>
    <row r="346" spans="1:37" ht="39" hidden="1" customHeight="1">
      <c r="A346" s="52"/>
      <c r="B346" s="53" t="s">
        <v>749</v>
      </c>
      <c r="C346" s="38" t="s">
        <v>750</v>
      </c>
      <c r="D346" s="107" t="s">
        <v>183</v>
      </c>
      <c r="E346" s="112"/>
      <c r="F346" s="85" t="s">
        <v>2516</v>
      </c>
      <c r="G346" s="108"/>
      <c r="H346" s="56">
        <f t="shared" si="7"/>
        <v>0</v>
      </c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1">
        <f t="shared" si="5"/>
        <v>0</v>
      </c>
      <c r="AJ346" s="7"/>
      <c r="AK346" s="7"/>
    </row>
    <row r="347" spans="1:37" ht="21" hidden="1" customHeight="1">
      <c r="A347" s="88" t="s">
        <v>751</v>
      </c>
      <c r="B347" s="59" t="s">
        <v>752</v>
      </c>
      <c r="C347" s="60" t="s">
        <v>131</v>
      </c>
      <c r="D347" s="107" t="s">
        <v>183</v>
      </c>
      <c r="E347" s="112"/>
      <c r="F347" s="85" t="s">
        <v>2516</v>
      </c>
      <c r="G347" s="108"/>
      <c r="H347" s="56">
        <f t="shared" si="7"/>
        <v>0</v>
      </c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1">
        <f t="shared" si="5"/>
        <v>0</v>
      </c>
      <c r="AJ347" s="7"/>
      <c r="AK347" s="7"/>
    </row>
    <row r="348" spans="1:37" ht="21" hidden="1" customHeight="1">
      <c r="A348" s="88" t="s">
        <v>753</v>
      </c>
      <c r="B348" s="59" t="s">
        <v>754</v>
      </c>
      <c r="C348" s="60" t="s">
        <v>200</v>
      </c>
      <c r="D348" s="107" t="s">
        <v>183</v>
      </c>
      <c r="E348" s="112"/>
      <c r="F348" s="85" t="s">
        <v>2516</v>
      </c>
      <c r="G348" s="108"/>
      <c r="H348" s="56">
        <f t="shared" si="7"/>
        <v>0</v>
      </c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1">
        <f t="shared" si="5"/>
        <v>0</v>
      </c>
      <c r="AJ348" s="7"/>
      <c r="AK348" s="7"/>
    </row>
    <row r="349" spans="1:37" ht="21" hidden="1" customHeight="1">
      <c r="A349" s="88" t="s">
        <v>755</v>
      </c>
      <c r="B349" s="59" t="s">
        <v>756</v>
      </c>
      <c r="C349" s="60" t="s">
        <v>203</v>
      </c>
      <c r="D349" s="107" t="s">
        <v>183</v>
      </c>
      <c r="E349" s="112"/>
      <c r="F349" s="85" t="s">
        <v>2516</v>
      </c>
      <c r="G349" s="108"/>
      <c r="H349" s="56">
        <f t="shared" si="7"/>
        <v>0</v>
      </c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1">
        <f t="shared" si="5"/>
        <v>0</v>
      </c>
      <c r="AJ349" s="7"/>
      <c r="AK349" s="7"/>
    </row>
    <row r="350" spans="1:37" ht="21" hidden="1" customHeight="1">
      <c r="A350" s="88" t="s">
        <v>757</v>
      </c>
      <c r="B350" s="59" t="s">
        <v>758</v>
      </c>
      <c r="C350" s="60" t="s">
        <v>159</v>
      </c>
      <c r="D350" s="107" t="s">
        <v>183</v>
      </c>
      <c r="E350" s="112"/>
      <c r="F350" s="85" t="s">
        <v>2516</v>
      </c>
      <c r="G350" s="108"/>
      <c r="H350" s="56">
        <f t="shared" si="7"/>
        <v>0</v>
      </c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1">
        <f t="shared" si="5"/>
        <v>0</v>
      </c>
      <c r="AJ350" s="7"/>
      <c r="AK350" s="7"/>
    </row>
    <row r="351" spans="1:37" ht="42.75" hidden="1" customHeight="1">
      <c r="A351" s="52">
        <v>10.9</v>
      </c>
      <c r="B351" s="53" t="s">
        <v>641</v>
      </c>
      <c r="C351" s="38" t="s">
        <v>759</v>
      </c>
      <c r="D351" s="103" t="s">
        <v>760</v>
      </c>
      <c r="E351" s="55"/>
      <c r="F351" s="85" t="s">
        <v>2516</v>
      </c>
      <c r="G351" s="55"/>
      <c r="H351" s="56">
        <f t="shared" si="7"/>
        <v>0</v>
      </c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1">
        <f t="shared" si="5"/>
        <v>0</v>
      </c>
      <c r="AJ351" s="7"/>
      <c r="AK351" s="7"/>
    </row>
    <row r="352" spans="1:37" ht="21" customHeight="1">
      <c r="A352" s="52"/>
      <c r="B352" s="121" t="s">
        <v>761</v>
      </c>
      <c r="C352" s="38" t="s">
        <v>762</v>
      </c>
      <c r="D352" s="107" t="s">
        <v>183</v>
      </c>
      <c r="E352" s="85" t="s">
        <v>763</v>
      </c>
      <c r="F352" s="85" t="s">
        <v>2516</v>
      </c>
      <c r="G352" s="108"/>
      <c r="H352" s="56">
        <f t="shared" si="7"/>
        <v>8</v>
      </c>
      <c r="I352" s="57"/>
      <c r="J352" s="57"/>
      <c r="K352" s="57"/>
      <c r="L352" s="57"/>
      <c r="M352" s="57"/>
      <c r="N352" s="57"/>
      <c r="O352" s="57"/>
      <c r="P352" s="57">
        <v>8</v>
      </c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1">
        <f t="shared" si="5"/>
        <v>8</v>
      </c>
      <c r="AJ352" s="7"/>
      <c r="AK352" s="7"/>
    </row>
    <row r="353" spans="1:37" ht="21" customHeight="1">
      <c r="A353" s="63">
        <v>11</v>
      </c>
      <c r="B353" s="64" t="s">
        <v>5</v>
      </c>
      <c r="C353" s="65" t="s">
        <v>764</v>
      </c>
      <c r="D353" s="114"/>
      <c r="E353" s="85" t="s">
        <v>765</v>
      </c>
      <c r="F353" s="85" t="s">
        <v>2517</v>
      </c>
      <c r="G353" s="115"/>
      <c r="H353" s="56">
        <f t="shared" si="7"/>
        <v>0</v>
      </c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1">
        <f t="shared" si="5"/>
        <v>0</v>
      </c>
      <c r="AJ353" s="7"/>
      <c r="AK353" s="7"/>
    </row>
    <row r="354" spans="1:37" ht="21.75" customHeight="1">
      <c r="A354" s="122"/>
      <c r="B354" s="87" t="s">
        <v>766</v>
      </c>
      <c r="C354" s="54" t="s">
        <v>767</v>
      </c>
      <c r="D354" s="16" t="s">
        <v>132</v>
      </c>
      <c r="E354" s="85" t="s">
        <v>768</v>
      </c>
      <c r="F354" s="85" t="s">
        <v>2517</v>
      </c>
      <c r="G354" s="22"/>
      <c r="H354" s="56">
        <f t="shared" si="7"/>
        <v>2071</v>
      </c>
      <c r="I354" s="57">
        <v>1</v>
      </c>
      <c r="J354" s="57">
        <v>2</v>
      </c>
      <c r="K354" s="57">
        <v>9</v>
      </c>
      <c r="L354" s="57"/>
      <c r="M354" s="57"/>
      <c r="N354" s="57"/>
      <c r="O354" s="57"/>
      <c r="P354" s="57"/>
      <c r="Q354" s="57">
        <v>10</v>
      </c>
      <c r="R354" s="57"/>
      <c r="S354" s="57">
        <f>37+2</f>
        <v>39</v>
      </c>
      <c r="T354" s="57"/>
      <c r="U354" s="57"/>
      <c r="V354" s="57">
        <v>2</v>
      </c>
      <c r="W354" s="57"/>
      <c r="X354" s="57"/>
      <c r="Y354" s="57"/>
      <c r="Z354" s="57">
        <v>11</v>
      </c>
      <c r="AA354" s="57"/>
      <c r="AB354" s="57"/>
      <c r="AC354" s="57">
        <v>739</v>
      </c>
      <c r="AD354" s="57">
        <v>3</v>
      </c>
      <c r="AE354" s="57"/>
      <c r="AF354" s="57">
        <v>1254</v>
      </c>
      <c r="AG354" s="57"/>
      <c r="AH354" s="57">
        <v>1</v>
      </c>
      <c r="AI354" s="51">
        <f t="shared" si="5"/>
        <v>2071</v>
      </c>
      <c r="AJ354" s="7"/>
      <c r="AK354" s="7"/>
    </row>
    <row r="355" spans="1:37" ht="21.75" customHeight="1">
      <c r="A355" s="123"/>
      <c r="B355" s="87" t="s">
        <v>769</v>
      </c>
      <c r="C355" s="54" t="s">
        <v>770</v>
      </c>
      <c r="D355" s="16" t="s">
        <v>132</v>
      </c>
      <c r="E355" s="85" t="s">
        <v>771</v>
      </c>
      <c r="F355" s="85" t="s">
        <v>2517</v>
      </c>
      <c r="G355" s="22"/>
      <c r="H355" s="56">
        <f t="shared" si="7"/>
        <v>7733</v>
      </c>
      <c r="I355" s="57"/>
      <c r="J355" s="57"/>
      <c r="K355" s="57">
        <v>3109</v>
      </c>
      <c r="L355" s="57"/>
      <c r="M355" s="57"/>
      <c r="N355" s="57"/>
      <c r="O355" s="57"/>
      <c r="P355" s="57"/>
      <c r="Q355" s="57">
        <v>120</v>
      </c>
      <c r="R355" s="57"/>
      <c r="S355" s="57">
        <v>900</v>
      </c>
      <c r="T355" s="57"/>
      <c r="U355" s="57"/>
      <c r="V355" s="57">
        <v>157</v>
      </c>
      <c r="W355" s="57"/>
      <c r="X355" s="57"/>
      <c r="Y355" s="57">
        <v>739</v>
      </c>
      <c r="Z355" s="57">
        <v>2130</v>
      </c>
      <c r="AA355" s="57"/>
      <c r="AB355" s="57"/>
      <c r="AC355" s="57">
        <v>195</v>
      </c>
      <c r="AD355" s="57">
        <v>254</v>
      </c>
      <c r="AE355" s="57"/>
      <c r="AF355" s="57">
        <v>128</v>
      </c>
      <c r="AG355" s="57"/>
      <c r="AH355" s="57">
        <v>1</v>
      </c>
      <c r="AI355" s="51">
        <f t="shared" si="5"/>
        <v>7733</v>
      </c>
      <c r="AJ355" s="7"/>
      <c r="AK355" s="7"/>
    </row>
    <row r="356" spans="1:37" ht="21.75" customHeight="1">
      <c r="A356" s="122"/>
      <c r="B356" s="87" t="s">
        <v>772</v>
      </c>
      <c r="C356" s="54" t="s">
        <v>773</v>
      </c>
      <c r="D356" s="16" t="s">
        <v>132</v>
      </c>
      <c r="E356" s="85" t="s">
        <v>774</v>
      </c>
      <c r="F356" s="85" t="s">
        <v>2517</v>
      </c>
      <c r="G356" s="22"/>
      <c r="H356" s="56">
        <f t="shared" si="7"/>
        <v>1312</v>
      </c>
      <c r="I356" s="57"/>
      <c r="J356" s="57"/>
      <c r="K356" s="57">
        <v>7</v>
      </c>
      <c r="L356" s="57"/>
      <c r="M356" s="57"/>
      <c r="N356" s="57"/>
      <c r="O356" s="57"/>
      <c r="P356" s="57"/>
      <c r="Q356" s="57">
        <v>5</v>
      </c>
      <c r="R356" s="57"/>
      <c r="S356" s="57"/>
      <c r="T356" s="57"/>
      <c r="U356" s="57"/>
      <c r="V356" s="57">
        <v>2</v>
      </c>
      <c r="W356" s="57"/>
      <c r="X356" s="57"/>
      <c r="Y356" s="57">
        <v>1211</v>
      </c>
      <c r="Z356" s="57">
        <v>87</v>
      </c>
      <c r="AA356" s="57"/>
      <c r="AB356" s="57"/>
      <c r="AC356" s="57"/>
      <c r="AD356" s="57"/>
      <c r="AE356" s="57"/>
      <c r="AF356" s="57"/>
      <c r="AG356" s="57"/>
      <c r="AH356" s="57"/>
      <c r="AI356" s="51">
        <f t="shared" si="5"/>
        <v>1312</v>
      </c>
      <c r="AJ356" s="7"/>
      <c r="AK356" s="7"/>
    </row>
    <row r="357" spans="1:37" ht="21.75" hidden="1" customHeight="1">
      <c r="A357" s="88" t="s">
        <v>775</v>
      </c>
      <c r="B357" s="124" t="s">
        <v>776</v>
      </c>
      <c r="C357" s="60" t="s">
        <v>131</v>
      </c>
      <c r="D357" s="125" t="s">
        <v>132</v>
      </c>
      <c r="E357" s="62"/>
      <c r="F357" s="85" t="s">
        <v>2517</v>
      </c>
      <c r="G357" s="37"/>
      <c r="H357" s="56">
        <f t="shared" si="7"/>
        <v>0</v>
      </c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1">
        <f t="shared" si="5"/>
        <v>0</v>
      </c>
      <c r="AJ357" s="7"/>
      <c r="AK357" s="7"/>
    </row>
    <row r="358" spans="1:37" ht="21.75" hidden="1" customHeight="1">
      <c r="A358" s="88" t="s">
        <v>777</v>
      </c>
      <c r="B358" s="124" t="s">
        <v>778</v>
      </c>
      <c r="C358" s="60" t="s">
        <v>200</v>
      </c>
      <c r="D358" s="125" t="s">
        <v>132</v>
      </c>
      <c r="E358" s="62"/>
      <c r="F358" s="85" t="s">
        <v>2517</v>
      </c>
      <c r="G358" s="37"/>
      <c r="H358" s="56">
        <f t="shared" si="7"/>
        <v>0</v>
      </c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1">
        <f t="shared" si="5"/>
        <v>0</v>
      </c>
      <c r="AJ358" s="7"/>
      <c r="AK358" s="7"/>
    </row>
    <row r="359" spans="1:37" ht="21.75" hidden="1" customHeight="1">
      <c r="A359" s="88" t="s">
        <v>779</v>
      </c>
      <c r="B359" s="124" t="s">
        <v>780</v>
      </c>
      <c r="C359" s="60" t="s">
        <v>203</v>
      </c>
      <c r="D359" s="125" t="s">
        <v>132</v>
      </c>
      <c r="E359" s="62"/>
      <c r="F359" s="85" t="s">
        <v>2517</v>
      </c>
      <c r="G359" s="37"/>
      <c r="H359" s="56">
        <f t="shared" si="7"/>
        <v>0</v>
      </c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1">
        <f t="shared" si="5"/>
        <v>0</v>
      </c>
      <c r="AJ359" s="7"/>
      <c r="AK359" s="7"/>
    </row>
    <row r="360" spans="1:37" ht="21.75" hidden="1" customHeight="1">
      <c r="A360" s="88" t="s">
        <v>781</v>
      </c>
      <c r="B360" s="124" t="s">
        <v>782</v>
      </c>
      <c r="C360" s="60" t="s">
        <v>159</v>
      </c>
      <c r="D360" s="125" t="s">
        <v>132</v>
      </c>
      <c r="E360" s="62"/>
      <c r="F360" s="85" t="s">
        <v>2517</v>
      </c>
      <c r="G360" s="37"/>
      <c r="H360" s="56">
        <f t="shared" si="7"/>
        <v>0</v>
      </c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1">
        <f t="shared" si="5"/>
        <v>0</v>
      </c>
      <c r="AJ360" s="7"/>
      <c r="AK360" s="7"/>
    </row>
    <row r="361" spans="1:37" ht="21.75" customHeight="1">
      <c r="A361" s="95"/>
      <c r="B361" s="126" t="s">
        <v>783</v>
      </c>
      <c r="C361" s="54" t="s">
        <v>784</v>
      </c>
      <c r="D361" s="107" t="s">
        <v>183</v>
      </c>
      <c r="E361" s="85" t="s">
        <v>785</v>
      </c>
      <c r="F361" s="85" t="s">
        <v>2517</v>
      </c>
      <c r="G361" s="108"/>
      <c r="H361" s="56">
        <f t="shared" si="7"/>
        <v>2766</v>
      </c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>
        <v>2766</v>
      </c>
      <c r="AA361" s="57"/>
      <c r="AB361" s="57"/>
      <c r="AC361" s="57"/>
      <c r="AD361" s="57"/>
      <c r="AE361" s="57"/>
      <c r="AF361" s="57"/>
      <c r="AG361" s="57"/>
      <c r="AH361" s="57"/>
      <c r="AI361" s="51">
        <f t="shared" si="5"/>
        <v>2766</v>
      </c>
      <c r="AJ361" s="7"/>
      <c r="AK361" s="7"/>
    </row>
    <row r="362" spans="1:37" ht="21.75" hidden="1" customHeight="1">
      <c r="A362" s="88" t="s">
        <v>786</v>
      </c>
      <c r="B362" s="124" t="s">
        <v>787</v>
      </c>
      <c r="C362" s="60" t="s">
        <v>131</v>
      </c>
      <c r="D362" s="107" t="s">
        <v>183</v>
      </c>
      <c r="E362" s="112"/>
      <c r="F362" s="85" t="s">
        <v>2517</v>
      </c>
      <c r="G362" s="108"/>
      <c r="H362" s="56">
        <f t="shared" si="7"/>
        <v>0</v>
      </c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1">
        <f t="shared" si="5"/>
        <v>0</v>
      </c>
      <c r="AJ362" s="7"/>
      <c r="AK362" s="7"/>
    </row>
    <row r="363" spans="1:37" ht="21.75" hidden="1" customHeight="1">
      <c r="A363" s="88" t="s">
        <v>788</v>
      </c>
      <c r="B363" s="124" t="s">
        <v>789</v>
      </c>
      <c r="C363" s="60" t="s">
        <v>200</v>
      </c>
      <c r="D363" s="107" t="s">
        <v>183</v>
      </c>
      <c r="E363" s="112"/>
      <c r="F363" s="85" t="s">
        <v>2517</v>
      </c>
      <c r="G363" s="108"/>
      <c r="H363" s="56">
        <f t="shared" si="7"/>
        <v>0</v>
      </c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1">
        <f t="shared" si="5"/>
        <v>0</v>
      </c>
      <c r="AJ363" s="7"/>
      <c r="AK363" s="7"/>
    </row>
    <row r="364" spans="1:37" ht="21.75" hidden="1" customHeight="1">
      <c r="A364" s="88" t="s">
        <v>790</v>
      </c>
      <c r="B364" s="124" t="s">
        <v>791</v>
      </c>
      <c r="C364" s="60" t="s">
        <v>203</v>
      </c>
      <c r="D364" s="107" t="s">
        <v>183</v>
      </c>
      <c r="E364" s="112"/>
      <c r="F364" s="85" t="s">
        <v>2517</v>
      </c>
      <c r="G364" s="108"/>
      <c r="H364" s="56">
        <f t="shared" si="7"/>
        <v>0</v>
      </c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1">
        <f t="shared" si="5"/>
        <v>0</v>
      </c>
      <c r="AJ364" s="7"/>
      <c r="AK364" s="7"/>
    </row>
    <row r="365" spans="1:37" ht="21.75" hidden="1" customHeight="1">
      <c r="A365" s="88" t="s">
        <v>792</v>
      </c>
      <c r="B365" s="124" t="s">
        <v>793</v>
      </c>
      <c r="C365" s="60" t="s">
        <v>159</v>
      </c>
      <c r="D365" s="107" t="s">
        <v>183</v>
      </c>
      <c r="E365" s="112"/>
      <c r="F365" s="85" t="s">
        <v>2517</v>
      </c>
      <c r="G365" s="108"/>
      <c r="H365" s="56">
        <f t="shared" si="7"/>
        <v>0</v>
      </c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1">
        <f t="shared" si="5"/>
        <v>0</v>
      </c>
      <c r="AJ365" s="7"/>
      <c r="AK365" s="7"/>
    </row>
    <row r="366" spans="1:37" ht="21.75" customHeight="1">
      <c r="A366" s="122"/>
      <c r="B366" s="87" t="s">
        <v>794</v>
      </c>
      <c r="C366" s="87" t="s">
        <v>795</v>
      </c>
      <c r="D366" s="107" t="s">
        <v>183</v>
      </c>
      <c r="E366" s="85" t="s">
        <v>796</v>
      </c>
      <c r="F366" s="85" t="s">
        <v>2517</v>
      </c>
      <c r="G366" s="108"/>
      <c r="H366" s="56">
        <f t="shared" si="7"/>
        <v>0</v>
      </c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1">
        <f t="shared" si="5"/>
        <v>0</v>
      </c>
      <c r="AJ366" s="7"/>
      <c r="AK366" s="7"/>
    </row>
    <row r="367" spans="1:37" ht="16.5" customHeight="1">
      <c r="A367" s="123"/>
      <c r="B367" s="87" t="s">
        <v>797</v>
      </c>
      <c r="C367" s="87" t="s">
        <v>798</v>
      </c>
      <c r="D367" s="107" t="s">
        <v>183</v>
      </c>
      <c r="E367" s="85" t="s">
        <v>799</v>
      </c>
      <c r="F367" s="85" t="s">
        <v>2517</v>
      </c>
      <c r="G367" s="108"/>
      <c r="H367" s="56">
        <f t="shared" si="7"/>
        <v>0</v>
      </c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1">
        <f t="shared" si="5"/>
        <v>0</v>
      </c>
      <c r="AJ367" s="7"/>
      <c r="AK367" s="7"/>
    </row>
    <row r="368" spans="1:37" ht="18.75" customHeight="1">
      <c r="A368" s="63">
        <v>12</v>
      </c>
      <c r="B368" s="64" t="s">
        <v>800</v>
      </c>
      <c r="C368" s="65" t="s">
        <v>801</v>
      </c>
      <c r="D368" s="114"/>
      <c r="E368" s="127" t="s">
        <v>802</v>
      </c>
      <c r="F368" s="127" t="s">
        <v>2518</v>
      </c>
      <c r="G368" s="115"/>
      <c r="H368" s="56">
        <f t="shared" si="7"/>
        <v>0</v>
      </c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1">
        <f t="shared" si="5"/>
        <v>0</v>
      </c>
      <c r="AJ368" s="7"/>
      <c r="AK368" s="7"/>
    </row>
    <row r="369" spans="1:37" ht="21.75" customHeight="1">
      <c r="A369" s="52"/>
      <c r="B369" s="53" t="s">
        <v>803</v>
      </c>
      <c r="C369" s="54" t="s">
        <v>804</v>
      </c>
      <c r="D369" s="17" t="s">
        <v>805</v>
      </c>
      <c r="E369" s="85" t="s">
        <v>806</v>
      </c>
      <c r="F369" s="127" t="s">
        <v>2518</v>
      </c>
      <c r="G369" s="22"/>
      <c r="H369" s="56">
        <f t="shared" si="7"/>
        <v>33358</v>
      </c>
      <c r="I369" s="57">
        <v>28</v>
      </c>
      <c r="J369" s="57">
        <v>118</v>
      </c>
      <c r="K369" s="57">
        <v>466</v>
      </c>
      <c r="L369" s="57">
        <v>42</v>
      </c>
      <c r="M369" s="57">
        <v>150</v>
      </c>
      <c r="N369" s="57">
        <v>17</v>
      </c>
      <c r="O369" s="57">
        <f>194+152</f>
        <v>346</v>
      </c>
      <c r="P369" s="57">
        <f>+P370+P371</f>
        <v>283</v>
      </c>
      <c r="Q369" s="57">
        <v>286</v>
      </c>
      <c r="R369" s="57">
        <f>+R370+R371</f>
        <v>158</v>
      </c>
      <c r="S369" s="57">
        <f>S370+S371</f>
        <v>1792</v>
      </c>
      <c r="T369" s="57">
        <v>16</v>
      </c>
      <c r="U369" s="57">
        <f>41+133</f>
        <v>174</v>
      </c>
      <c r="V369" s="57">
        <v>353</v>
      </c>
      <c r="W369" s="57">
        <v>1286</v>
      </c>
      <c r="X369" s="57">
        <v>10043</v>
      </c>
      <c r="Y369" s="57">
        <v>5509</v>
      </c>
      <c r="Z369" s="57">
        <v>9653</v>
      </c>
      <c r="AA369" s="57"/>
      <c r="AB369" s="57">
        <v>234</v>
      </c>
      <c r="AC369" s="57">
        <v>611</v>
      </c>
      <c r="AD369" s="57">
        <v>33</v>
      </c>
      <c r="AE369" s="57">
        <v>190</v>
      </c>
      <c r="AF369" s="57">
        <v>1215</v>
      </c>
      <c r="AG369" s="57">
        <v>69</v>
      </c>
      <c r="AH369" s="57">
        <f>AH370+AH371</f>
        <v>286</v>
      </c>
      <c r="AI369" s="51">
        <f t="shared" si="5"/>
        <v>33358</v>
      </c>
      <c r="AJ369" s="7"/>
      <c r="AK369" s="7"/>
    </row>
    <row r="370" spans="1:37" ht="21.75" customHeight="1">
      <c r="A370" s="88"/>
      <c r="B370" s="59" t="s">
        <v>807</v>
      </c>
      <c r="C370" s="60" t="s">
        <v>808</v>
      </c>
      <c r="D370" s="89" t="s">
        <v>132</v>
      </c>
      <c r="E370" s="85" t="s">
        <v>809</v>
      </c>
      <c r="F370" s="127" t="s">
        <v>2518</v>
      </c>
      <c r="G370" s="91"/>
      <c r="H370" s="56">
        <f t="shared" si="7"/>
        <v>223</v>
      </c>
      <c r="I370" s="57"/>
      <c r="J370" s="57"/>
      <c r="K370" s="57"/>
      <c r="L370" s="57"/>
      <c r="M370" s="57"/>
      <c r="N370" s="57"/>
      <c r="O370" s="57"/>
      <c r="P370" s="57">
        <v>29</v>
      </c>
      <c r="Q370" s="57"/>
      <c r="R370" s="57">
        <v>20</v>
      </c>
      <c r="S370" s="57">
        <v>146</v>
      </c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>
        <v>1</v>
      </c>
      <c r="AH370" s="57">
        <v>27</v>
      </c>
      <c r="AI370" s="51">
        <f t="shared" si="5"/>
        <v>223</v>
      </c>
      <c r="AJ370" s="7"/>
      <c r="AK370" s="7"/>
    </row>
    <row r="371" spans="1:37" ht="21.75" customHeight="1">
      <c r="A371" s="88"/>
      <c r="B371" s="59" t="s">
        <v>810</v>
      </c>
      <c r="C371" s="60" t="s">
        <v>811</v>
      </c>
      <c r="D371" s="89" t="s">
        <v>132</v>
      </c>
      <c r="E371" s="85" t="s">
        <v>812</v>
      </c>
      <c r="F371" s="127" t="s">
        <v>2518</v>
      </c>
      <c r="G371" s="91"/>
      <c r="H371" s="56">
        <f t="shared" si="7"/>
        <v>2365</v>
      </c>
      <c r="I371" s="57"/>
      <c r="J371" s="57"/>
      <c r="K371" s="57"/>
      <c r="L371" s="57"/>
      <c r="M371" s="57"/>
      <c r="N371" s="57"/>
      <c r="O371" s="57"/>
      <c r="P371" s="57">
        <v>254</v>
      </c>
      <c r="Q371" s="57"/>
      <c r="R371" s="57">
        <v>138</v>
      </c>
      <c r="S371" s="57">
        <v>1646</v>
      </c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>
        <v>68</v>
      </c>
      <c r="AH371" s="57">
        <v>259</v>
      </c>
      <c r="AI371" s="51">
        <f t="shared" si="5"/>
        <v>2365</v>
      </c>
      <c r="AJ371" s="7"/>
      <c r="AK371" s="7"/>
    </row>
    <row r="372" spans="1:37" ht="21.75" customHeight="1">
      <c r="A372" s="52"/>
      <c r="B372" s="53" t="s">
        <v>813</v>
      </c>
      <c r="C372" s="54" t="s">
        <v>814</v>
      </c>
      <c r="D372" s="17" t="s">
        <v>424</v>
      </c>
      <c r="E372" s="85" t="s">
        <v>815</v>
      </c>
      <c r="F372" s="127" t="s">
        <v>2518</v>
      </c>
      <c r="G372" s="22"/>
      <c r="H372" s="56">
        <f t="shared" si="7"/>
        <v>206461</v>
      </c>
      <c r="I372" s="57"/>
      <c r="J372" s="57"/>
      <c r="K372" s="57"/>
      <c r="L372" s="57"/>
      <c r="M372" s="57"/>
      <c r="N372" s="57"/>
      <c r="O372" s="57"/>
      <c r="P372" s="57">
        <f>+P373+P374</f>
        <v>20328</v>
      </c>
      <c r="Q372" s="57">
        <v>2341</v>
      </c>
      <c r="R372" s="57">
        <f>+R373+R374</f>
        <v>435</v>
      </c>
      <c r="S372" s="57">
        <v>29795</v>
      </c>
      <c r="T372" s="57"/>
      <c r="U372" s="57">
        <v>1000</v>
      </c>
      <c r="V372" s="57">
        <v>4889</v>
      </c>
      <c r="W372" s="57"/>
      <c r="X372" s="57"/>
      <c r="Y372" s="57"/>
      <c r="Z372" s="57">
        <v>135212</v>
      </c>
      <c r="AA372" s="57"/>
      <c r="AB372" s="57"/>
      <c r="AC372" s="57">
        <v>2121</v>
      </c>
      <c r="AD372" s="57">
        <v>300</v>
      </c>
      <c r="AE372" s="57">
        <v>3600</v>
      </c>
      <c r="AF372" s="57">
        <v>3750</v>
      </c>
      <c r="AG372" s="57">
        <v>2530</v>
      </c>
      <c r="AH372" s="57">
        <v>160</v>
      </c>
      <c r="AI372" s="51">
        <f t="shared" si="5"/>
        <v>206461</v>
      </c>
      <c r="AJ372" s="7"/>
      <c r="AK372" s="7"/>
    </row>
    <row r="373" spans="1:37" ht="21.75" customHeight="1">
      <c r="A373" s="88"/>
      <c r="B373" s="59" t="s">
        <v>816</v>
      </c>
      <c r="C373" s="60" t="s">
        <v>808</v>
      </c>
      <c r="D373" s="89" t="s">
        <v>424</v>
      </c>
      <c r="E373" s="85" t="s">
        <v>809</v>
      </c>
      <c r="F373" s="127" t="s">
        <v>2518</v>
      </c>
      <c r="G373" s="91"/>
      <c r="H373" s="56">
        <f t="shared" si="7"/>
        <v>6953</v>
      </c>
      <c r="I373" s="57"/>
      <c r="J373" s="57"/>
      <c r="K373" s="57"/>
      <c r="L373" s="57"/>
      <c r="M373" s="57"/>
      <c r="N373" s="57"/>
      <c r="O373" s="57"/>
      <c r="P373" s="57">
        <v>6518</v>
      </c>
      <c r="Q373" s="57"/>
      <c r="R373" s="57">
        <v>435</v>
      </c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1">
        <f t="shared" si="5"/>
        <v>6953</v>
      </c>
      <c r="AJ373" s="7"/>
      <c r="AK373" s="7"/>
    </row>
    <row r="374" spans="1:37" ht="21.75" customHeight="1">
      <c r="A374" s="88"/>
      <c r="B374" s="59" t="s">
        <v>817</v>
      </c>
      <c r="C374" s="60" t="s">
        <v>811</v>
      </c>
      <c r="D374" s="89" t="s">
        <v>424</v>
      </c>
      <c r="E374" s="85" t="s">
        <v>812</v>
      </c>
      <c r="F374" s="127" t="s">
        <v>2518</v>
      </c>
      <c r="G374" s="91"/>
      <c r="H374" s="56">
        <f t="shared" si="7"/>
        <v>16340</v>
      </c>
      <c r="I374" s="57"/>
      <c r="J374" s="57"/>
      <c r="K374" s="57"/>
      <c r="L374" s="57"/>
      <c r="M374" s="57"/>
      <c r="N374" s="57"/>
      <c r="O374" s="57"/>
      <c r="P374" s="57">
        <v>13810</v>
      </c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>
        <v>2530</v>
      </c>
      <c r="AH374" s="57"/>
      <c r="AI374" s="51">
        <f t="shared" si="5"/>
        <v>16340</v>
      </c>
      <c r="AJ374" s="7"/>
      <c r="AK374" s="7"/>
    </row>
    <row r="375" spans="1:37" ht="21.75" customHeight="1">
      <c r="A375" s="52"/>
      <c r="B375" s="53" t="s">
        <v>818</v>
      </c>
      <c r="C375" s="54" t="s">
        <v>819</v>
      </c>
      <c r="D375" s="17" t="s">
        <v>132</v>
      </c>
      <c r="E375" s="85" t="s">
        <v>820</v>
      </c>
      <c r="F375" s="127" t="s">
        <v>2518</v>
      </c>
      <c r="G375" s="22"/>
      <c r="H375" s="56">
        <f t="shared" si="7"/>
        <v>328</v>
      </c>
      <c r="I375" s="57"/>
      <c r="J375" s="57">
        <v>3</v>
      </c>
      <c r="K375" s="57"/>
      <c r="L375" s="57">
        <v>1</v>
      </c>
      <c r="M375" s="57"/>
      <c r="N375" s="57"/>
      <c r="O375" s="57"/>
      <c r="P375" s="57">
        <f>+P376+P377</f>
        <v>3</v>
      </c>
      <c r="Q375" s="57">
        <v>3</v>
      </c>
      <c r="R375" s="57">
        <f>+R376+R377</f>
        <v>55</v>
      </c>
      <c r="S375" s="57">
        <v>6</v>
      </c>
      <c r="T375" s="57"/>
      <c r="U375" s="57"/>
      <c r="V375" s="57">
        <v>3</v>
      </c>
      <c r="W375" s="57"/>
      <c r="X375" s="57">
        <v>67</v>
      </c>
      <c r="Y375" s="57">
        <v>73</v>
      </c>
      <c r="Z375" s="57">
        <v>51</v>
      </c>
      <c r="AA375" s="57"/>
      <c r="AB375" s="57">
        <v>30</v>
      </c>
      <c r="AC375" s="57">
        <v>2</v>
      </c>
      <c r="AD375" s="57">
        <v>15</v>
      </c>
      <c r="AE375" s="57">
        <v>7</v>
      </c>
      <c r="AF375" s="57">
        <v>9</v>
      </c>
      <c r="AG375" s="57"/>
      <c r="AH375" s="57"/>
      <c r="AI375" s="51">
        <f t="shared" si="5"/>
        <v>328</v>
      </c>
      <c r="AJ375" s="7"/>
      <c r="AK375" s="7"/>
    </row>
    <row r="376" spans="1:37" ht="21.75" customHeight="1">
      <c r="A376" s="88"/>
      <c r="B376" s="59" t="s">
        <v>821</v>
      </c>
      <c r="C376" s="60" t="s">
        <v>808</v>
      </c>
      <c r="D376" s="89" t="s">
        <v>132</v>
      </c>
      <c r="E376" s="85" t="s">
        <v>809</v>
      </c>
      <c r="F376" s="127" t="s">
        <v>2518</v>
      </c>
      <c r="G376" s="91"/>
      <c r="H376" s="56">
        <f t="shared" si="7"/>
        <v>3</v>
      </c>
      <c r="I376" s="57"/>
      <c r="J376" s="57"/>
      <c r="K376" s="57"/>
      <c r="L376" s="57"/>
      <c r="M376" s="57"/>
      <c r="N376" s="57"/>
      <c r="O376" s="57"/>
      <c r="P376" s="57">
        <v>3</v>
      </c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1">
        <f t="shared" si="5"/>
        <v>3</v>
      </c>
      <c r="AJ376" s="7"/>
      <c r="AK376" s="7"/>
    </row>
    <row r="377" spans="1:37" ht="21.75" customHeight="1">
      <c r="A377" s="88"/>
      <c r="B377" s="59" t="s">
        <v>822</v>
      </c>
      <c r="C377" s="60" t="s">
        <v>811</v>
      </c>
      <c r="D377" s="89" t="s">
        <v>132</v>
      </c>
      <c r="E377" s="85" t="s">
        <v>812</v>
      </c>
      <c r="F377" s="127" t="s">
        <v>2518</v>
      </c>
      <c r="G377" s="91"/>
      <c r="H377" s="56">
        <f t="shared" si="7"/>
        <v>55</v>
      </c>
      <c r="I377" s="57"/>
      <c r="J377" s="57"/>
      <c r="K377" s="57"/>
      <c r="L377" s="57"/>
      <c r="M377" s="57"/>
      <c r="N377" s="57"/>
      <c r="O377" s="57"/>
      <c r="P377" s="57"/>
      <c r="Q377" s="57"/>
      <c r="R377" s="57">
        <v>55</v>
      </c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1">
        <f t="shared" si="5"/>
        <v>55</v>
      </c>
      <c r="AJ377" s="7"/>
      <c r="AK377" s="7"/>
    </row>
    <row r="378" spans="1:37" ht="21.75" customHeight="1">
      <c r="A378" s="52"/>
      <c r="B378" s="53" t="s">
        <v>823</v>
      </c>
      <c r="C378" s="54" t="s">
        <v>824</v>
      </c>
      <c r="D378" s="17" t="s">
        <v>424</v>
      </c>
      <c r="E378" s="85" t="s">
        <v>825</v>
      </c>
      <c r="F378" s="127" t="s">
        <v>2518</v>
      </c>
      <c r="G378" s="22"/>
      <c r="H378" s="56">
        <f t="shared" si="7"/>
        <v>0</v>
      </c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1">
        <f t="shared" si="5"/>
        <v>0</v>
      </c>
      <c r="AJ378" s="7"/>
      <c r="AK378" s="7"/>
    </row>
    <row r="379" spans="1:37" ht="21.75" hidden="1" customHeight="1">
      <c r="A379" s="88"/>
      <c r="B379" s="59" t="s">
        <v>826</v>
      </c>
      <c r="C379" s="105" t="s">
        <v>827</v>
      </c>
      <c r="D379" s="89" t="s">
        <v>424</v>
      </c>
      <c r="E379" s="90"/>
      <c r="F379" s="127" t="s">
        <v>2518</v>
      </c>
      <c r="G379" s="91"/>
      <c r="H379" s="56">
        <f t="shared" si="7"/>
        <v>0</v>
      </c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1">
        <f t="shared" si="5"/>
        <v>0</v>
      </c>
      <c r="AJ379" s="7"/>
      <c r="AK379" s="7"/>
    </row>
    <row r="380" spans="1:37" ht="21.75" hidden="1" customHeight="1">
      <c r="A380" s="88"/>
      <c r="B380" s="59" t="s">
        <v>828</v>
      </c>
      <c r="C380" s="105" t="s">
        <v>829</v>
      </c>
      <c r="D380" s="89" t="s">
        <v>830</v>
      </c>
      <c r="E380" s="90"/>
      <c r="F380" s="127" t="s">
        <v>2518</v>
      </c>
      <c r="G380" s="91"/>
      <c r="H380" s="56">
        <f t="shared" si="7"/>
        <v>0</v>
      </c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1">
        <f t="shared" si="5"/>
        <v>0</v>
      </c>
      <c r="AJ380" s="7"/>
      <c r="AK380" s="7"/>
    </row>
    <row r="381" spans="1:37" ht="21.75" hidden="1" customHeight="1">
      <c r="A381" s="88"/>
      <c r="B381" s="59" t="s">
        <v>831</v>
      </c>
      <c r="C381" s="105" t="s">
        <v>433</v>
      </c>
      <c r="D381" s="89" t="s">
        <v>594</v>
      </c>
      <c r="E381" s="90"/>
      <c r="F381" s="127" t="s">
        <v>2518</v>
      </c>
      <c r="G381" s="91"/>
      <c r="H381" s="56">
        <f t="shared" si="7"/>
        <v>0</v>
      </c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1">
        <f t="shared" si="5"/>
        <v>0</v>
      </c>
      <c r="AJ381" s="7"/>
      <c r="AK381" s="7"/>
    </row>
    <row r="382" spans="1:37" ht="16.5" customHeight="1">
      <c r="A382" s="52"/>
      <c r="B382" s="53" t="s">
        <v>832</v>
      </c>
      <c r="C382" s="54" t="s">
        <v>833</v>
      </c>
      <c r="D382" s="17" t="s">
        <v>424</v>
      </c>
      <c r="E382" s="85" t="s">
        <v>834</v>
      </c>
      <c r="F382" s="127" t="s">
        <v>2518</v>
      </c>
      <c r="G382" s="22"/>
      <c r="H382" s="56">
        <f t="shared" si="7"/>
        <v>0</v>
      </c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1">
        <f t="shared" si="5"/>
        <v>0</v>
      </c>
      <c r="AJ382" s="7"/>
      <c r="AK382" s="7"/>
    </row>
    <row r="383" spans="1:37" ht="33.75" customHeight="1">
      <c r="A383" s="52"/>
      <c r="B383" s="53" t="s">
        <v>835</v>
      </c>
      <c r="C383" s="54" t="s">
        <v>836</v>
      </c>
      <c r="D383" s="17" t="s">
        <v>132</v>
      </c>
      <c r="E383" s="85" t="s">
        <v>837</v>
      </c>
      <c r="F383" s="127" t="s">
        <v>2518</v>
      </c>
      <c r="G383" s="22"/>
      <c r="H383" s="56">
        <f t="shared" si="7"/>
        <v>5029</v>
      </c>
      <c r="I383" s="57"/>
      <c r="J383" s="57"/>
      <c r="K383" s="57"/>
      <c r="L383" s="57"/>
      <c r="M383" s="57"/>
      <c r="N383" s="57"/>
      <c r="O383" s="57"/>
      <c r="P383" s="57">
        <v>12</v>
      </c>
      <c r="Q383" s="57"/>
      <c r="R383" s="57"/>
      <c r="S383" s="57"/>
      <c r="T383" s="57"/>
      <c r="U383" s="57"/>
      <c r="V383" s="57"/>
      <c r="W383" s="57"/>
      <c r="X383" s="57">
        <v>1239</v>
      </c>
      <c r="Y383" s="57"/>
      <c r="Z383" s="57">
        <v>1829</v>
      </c>
      <c r="AA383" s="57"/>
      <c r="AB383" s="57"/>
      <c r="AC383" s="57"/>
      <c r="AD383" s="57">
        <v>44</v>
      </c>
      <c r="AE383" s="57"/>
      <c r="AF383" s="57">
        <v>1904</v>
      </c>
      <c r="AG383" s="57">
        <v>1</v>
      </c>
      <c r="AH383" s="57"/>
      <c r="AI383" s="51">
        <f t="shared" si="5"/>
        <v>5029</v>
      </c>
      <c r="AJ383" s="7"/>
      <c r="AK383" s="7"/>
    </row>
    <row r="384" spans="1:37" ht="21.75" customHeight="1">
      <c r="A384" s="88"/>
      <c r="B384" s="59" t="s">
        <v>838</v>
      </c>
      <c r="C384" s="60" t="s">
        <v>131</v>
      </c>
      <c r="D384" s="61" t="s">
        <v>132</v>
      </c>
      <c r="E384" s="62"/>
      <c r="F384" s="127" t="s">
        <v>2518</v>
      </c>
      <c r="G384" s="37"/>
      <c r="H384" s="56">
        <f t="shared" si="7"/>
        <v>0</v>
      </c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1">
        <f t="shared" si="5"/>
        <v>0</v>
      </c>
      <c r="AJ384" s="7"/>
      <c r="AK384" s="7"/>
    </row>
    <row r="385" spans="1:37" ht="21.75" customHeight="1">
      <c r="A385" s="88"/>
      <c r="B385" s="59" t="s">
        <v>839</v>
      </c>
      <c r="C385" s="60" t="s">
        <v>200</v>
      </c>
      <c r="D385" s="61" t="s">
        <v>132</v>
      </c>
      <c r="E385" s="62"/>
      <c r="F385" s="127" t="s">
        <v>2518</v>
      </c>
      <c r="G385" s="37"/>
      <c r="H385" s="56">
        <f t="shared" si="7"/>
        <v>0</v>
      </c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1">
        <f t="shared" si="5"/>
        <v>0</v>
      </c>
      <c r="AJ385" s="7"/>
      <c r="AK385" s="7"/>
    </row>
    <row r="386" spans="1:37" ht="21.75" customHeight="1">
      <c r="A386" s="88"/>
      <c r="B386" s="59" t="s">
        <v>840</v>
      </c>
      <c r="C386" s="60" t="s">
        <v>203</v>
      </c>
      <c r="D386" s="61" t="s">
        <v>132</v>
      </c>
      <c r="E386" s="62"/>
      <c r="F386" s="127" t="s">
        <v>2518</v>
      </c>
      <c r="G386" s="37"/>
      <c r="H386" s="56">
        <f t="shared" si="7"/>
        <v>0</v>
      </c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1">
        <f t="shared" si="5"/>
        <v>0</v>
      </c>
      <c r="AJ386" s="7"/>
      <c r="AK386" s="7"/>
    </row>
    <row r="387" spans="1:37" ht="21.75" customHeight="1">
      <c r="A387" s="88"/>
      <c r="B387" s="59" t="s">
        <v>841</v>
      </c>
      <c r="C387" s="60" t="s">
        <v>159</v>
      </c>
      <c r="D387" s="61" t="s">
        <v>132</v>
      </c>
      <c r="E387" s="62"/>
      <c r="F387" s="127" t="s">
        <v>2518</v>
      </c>
      <c r="G387" s="37"/>
      <c r="H387" s="56">
        <f t="shared" si="7"/>
        <v>0</v>
      </c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1">
        <f t="shared" si="5"/>
        <v>0</v>
      </c>
      <c r="AJ387" s="7"/>
      <c r="AK387" s="7"/>
    </row>
    <row r="388" spans="1:37" ht="30.75" customHeight="1">
      <c r="A388" s="52"/>
      <c r="B388" s="53" t="s">
        <v>842</v>
      </c>
      <c r="C388" s="54" t="s">
        <v>843</v>
      </c>
      <c r="D388" s="17" t="s">
        <v>132</v>
      </c>
      <c r="E388" s="85" t="s">
        <v>844</v>
      </c>
      <c r="F388" s="127" t="s">
        <v>2518</v>
      </c>
      <c r="G388" s="22"/>
      <c r="H388" s="56">
        <f t="shared" si="7"/>
        <v>109</v>
      </c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>
        <v>104</v>
      </c>
      <c r="AG388" s="57">
        <v>5</v>
      </c>
      <c r="AH388" s="57"/>
      <c r="AI388" s="51">
        <f t="shared" si="5"/>
        <v>109</v>
      </c>
      <c r="AJ388" s="7"/>
      <c r="AK388" s="7"/>
    </row>
    <row r="389" spans="1:37" ht="21.75" hidden="1" customHeight="1">
      <c r="A389" s="52">
        <v>12.8</v>
      </c>
      <c r="B389" s="53" t="s">
        <v>845</v>
      </c>
      <c r="C389" s="54" t="s">
        <v>846</v>
      </c>
      <c r="D389" s="17" t="s">
        <v>358</v>
      </c>
      <c r="E389" s="55"/>
      <c r="F389" s="55"/>
      <c r="G389" s="22"/>
      <c r="H389" s="56">
        <f t="shared" si="7"/>
        <v>0</v>
      </c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1">
        <f t="shared" si="5"/>
        <v>0</v>
      </c>
      <c r="AJ389" s="7"/>
      <c r="AK389" s="7"/>
    </row>
    <row r="390" spans="1:37" ht="21.75" hidden="1" customHeight="1">
      <c r="A390" s="52">
        <v>12.9</v>
      </c>
      <c r="B390" s="53" t="s">
        <v>847</v>
      </c>
      <c r="C390" s="54" t="s">
        <v>848</v>
      </c>
      <c r="D390" s="107" t="s">
        <v>183</v>
      </c>
      <c r="E390" s="112"/>
      <c r="F390" s="112"/>
      <c r="G390" s="108"/>
      <c r="H390" s="56">
        <f t="shared" si="7"/>
        <v>0</v>
      </c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1">
        <f t="shared" si="5"/>
        <v>0</v>
      </c>
      <c r="AJ390" s="7"/>
      <c r="AK390" s="7"/>
    </row>
    <row r="391" spans="1:37" ht="21.75" hidden="1" customHeight="1">
      <c r="A391" s="52" t="s">
        <v>849</v>
      </c>
      <c r="B391" s="53" t="s">
        <v>850</v>
      </c>
      <c r="C391" s="54" t="s">
        <v>851</v>
      </c>
      <c r="D391" s="107" t="s">
        <v>183</v>
      </c>
      <c r="E391" s="112"/>
      <c r="F391" s="112"/>
      <c r="G391" s="108"/>
      <c r="H391" s="56">
        <f t="shared" si="7"/>
        <v>0</v>
      </c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1">
        <f t="shared" si="5"/>
        <v>0</v>
      </c>
      <c r="AJ391" s="7"/>
      <c r="AK391" s="7"/>
    </row>
    <row r="392" spans="1:37" ht="21.75" hidden="1" customHeight="1">
      <c r="A392" s="52" t="s">
        <v>852</v>
      </c>
      <c r="B392" s="53" t="s">
        <v>853</v>
      </c>
      <c r="C392" s="54" t="s">
        <v>854</v>
      </c>
      <c r="D392" s="107" t="s">
        <v>183</v>
      </c>
      <c r="E392" s="112"/>
      <c r="F392" s="112"/>
      <c r="G392" s="108"/>
      <c r="H392" s="56">
        <f t="shared" si="7"/>
        <v>0</v>
      </c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1">
        <f t="shared" si="5"/>
        <v>0</v>
      </c>
      <c r="AJ392" s="7"/>
      <c r="AK392" s="7"/>
    </row>
    <row r="393" spans="1:37" ht="21.75" hidden="1" customHeight="1">
      <c r="A393" s="52">
        <v>12.12</v>
      </c>
      <c r="B393" s="53" t="s">
        <v>855</v>
      </c>
      <c r="C393" s="54" t="s">
        <v>856</v>
      </c>
      <c r="D393" s="107" t="s">
        <v>183</v>
      </c>
      <c r="E393" s="112"/>
      <c r="F393" s="112"/>
      <c r="G393" s="108"/>
      <c r="H393" s="56">
        <f t="shared" si="7"/>
        <v>0</v>
      </c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1">
        <f t="shared" si="5"/>
        <v>0</v>
      </c>
      <c r="AJ393" s="7"/>
      <c r="AK393" s="7"/>
    </row>
    <row r="394" spans="1:37" ht="21.75" hidden="1" customHeight="1">
      <c r="A394" s="52">
        <v>12.13</v>
      </c>
      <c r="B394" s="53" t="s">
        <v>857</v>
      </c>
      <c r="C394" s="54" t="s">
        <v>858</v>
      </c>
      <c r="D394" s="61" t="s">
        <v>132</v>
      </c>
      <c r="E394" s="62"/>
      <c r="F394" s="62"/>
      <c r="G394" s="37"/>
      <c r="H394" s="56">
        <f t="shared" si="7"/>
        <v>0</v>
      </c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1">
        <f t="shared" si="5"/>
        <v>0</v>
      </c>
      <c r="AJ394" s="7"/>
      <c r="AK394" s="7"/>
    </row>
    <row r="395" spans="1:37" ht="21.75" hidden="1" customHeight="1">
      <c r="A395" s="58" t="s">
        <v>859</v>
      </c>
      <c r="B395" s="59" t="s">
        <v>860</v>
      </c>
      <c r="C395" s="60" t="s">
        <v>861</v>
      </c>
      <c r="D395" s="61" t="s">
        <v>132</v>
      </c>
      <c r="E395" s="62"/>
      <c r="F395" s="62"/>
      <c r="G395" s="37"/>
      <c r="H395" s="56">
        <f t="shared" si="7"/>
        <v>0</v>
      </c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1">
        <f t="shared" si="5"/>
        <v>0</v>
      </c>
      <c r="AJ395" s="7"/>
      <c r="AK395" s="7"/>
    </row>
    <row r="396" spans="1:37" ht="21.75" hidden="1" customHeight="1">
      <c r="A396" s="58" t="s">
        <v>862</v>
      </c>
      <c r="B396" s="59" t="s">
        <v>863</v>
      </c>
      <c r="C396" s="60" t="s">
        <v>864</v>
      </c>
      <c r="D396" s="61" t="s">
        <v>132</v>
      </c>
      <c r="E396" s="62"/>
      <c r="F396" s="62"/>
      <c r="G396" s="37"/>
      <c r="H396" s="56">
        <f t="shared" si="7"/>
        <v>0</v>
      </c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1">
        <f t="shared" si="5"/>
        <v>0</v>
      </c>
      <c r="AJ396" s="7"/>
      <c r="AK396" s="7"/>
    </row>
    <row r="397" spans="1:37" ht="21.75" hidden="1" customHeight="1">
      <c r="A397" s="52">
        <v>12.14</v>
      </c>
      <c r="B397" s="53" t="s">
        <v>865</v>
      </c>
      <c r="C397" s="54" t="s">
        <v>866</v>
      </c>
      <c r="D397" s="17" t="s">
        <v>424</v>
      </c>
      <c r="E397" s="55"/>
      <c r="F397" s="55"/>
      <c r="G397" s="22"/>
      <c r="H397" s="56">
        <f t="shared" si="7"/>
        <v>0</v>
      </c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1">
        <f t="shared" si="5"/>
        <v>0</v>
      </c>
      <c r="AJ397" s="7"/>
      <c r="AK397" s="7"/>
    </row>
    <row r="398" spans="1:37" ht="21.75" hidden="1" customHeight="1">
      <c r="A398" s="58" t="s">
        <v>867</v>
      </c>
      <c r="B398" s="59" t="s">
        <v>860</v>
      </c>
      <c r="C398" s="60" t="s">
        <v>868</v>
      </c>
      <c r="D398" s="61" t="s">
        <v>424</v>
      </c>
      <c r="E398" s="62"/>
      <c r="F398" s="62"/>
      <c r="G398" s="37"/>
      <c r="H398" s="56">
        <f t="shared" si="7"/>
        <v>0</v>
      </c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1">
        <f t="shared" si="5"/>
        <v>0</v>
      </c>
      <c r="AJ398" s="7"/>
      <c r="AK398" s="7"/>
    </row>
    <row r="399" spans="1:37" ht="21.75" hidden="1" customHeight="1">
      <c r="A399" s="58" t="s">
        <v>869</v>
      </c>
      <c r="B399" s="59" t="s">
        <v>863</v>
      </c>
      <c r="C399" s="60" t="s">
        <v>870</v>
      </c>
      <c r="D399" s="61" t="s">
        <v>424</v>
      </c>
      <c r="E399" s="62"/>
      <c r="F399" s="62"/>
      <c r="G399" s="37"/>
      <c r="H399" s="56">
        <f t="shared" si="7"/>
        <v>0</v>
      </c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1">
        <f t="shared" si="5"/>
        <v>0</v>
      </c>
      <c r="AJ399" s="7"/>
      <c r="AK399" s="7"/>
    </row>
    <row r="400" spans="1:37" ht="21.75" hidden="1" customHeight="1">
      <c r="A400" s="52">
        <v>12.15</v>
      </c>
      <c r="B400" s="53" t="s">
        <v>871</v>
      </c>
      <c r="C400" s="54" t="s">
        <v>872</v>
      </c>
      <c r="D400" s="17" t="s">
        <v>132</v>
      </c>
      <c r="E400" s="55"/>
      <c r="F400" s="55"/>
      <c r="G400" s="22"/>
      <c r="H400" s="56">
        <f t="shared" si="7"/>
        <v>0</v>
      </c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1">
        <f t="shared" si="5"/>
        <v>0</v>
      </c>
      <c r="AJ400" s="7"/>
      <c r="AK400" s="7"/>
    </row>
    <row r="401" spans="1:37" ht="21.75" hidden="1" customHeight="1">
      <c r="A401" s="58" t="s">
        <v>873</v>
      </c>
      <c r="B401" s="59" t="s">
        <v>874</v>
      </c>
      <c r="C401" s="60" t="s">
        <v>875</v>
      </c>
      <c r="D401" s="61" t="s">
        <v>132</v>
      </c>
      <c r="E401" s="62"/>
      <c r="F401" s="62"/>
      <c r="G401" s="37"/>
      <c r="H401" s="56">
        <f t="shared" si="7"/>
        <v>0</v>
      </c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1">
        <f t="shared" si="5"/>
        <v>0</v>
      </c>
      <c r="AJ401" s="7"/>
      <c r="AK401" s="7"/>
    </row>
    <row r="402" spans="1:37" ht="21.75" hidden="1" customHeight="1">
      <c r="A402" s="58" t="s">
        <v>876</v>
      </c>
      <c r="B402" s="59" t="s">
        <v>877</v>
      </c>
      <c r="C402" s="60" t="s">
        <v>878</v>
      </c>
      <c r="D402" s="61" t="s">
        <v>132</v>
      </c>
      <c r="E402" s="62"/>
      <c r="F402" s="62"/>
      <c r="G402" s="37"/>
      <c r="H402" s="56">
        <f t="shared" si="7"/>
        <v>0</v>
      </c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1">
        <f t="shared" si="5"/>
        <v>0</v>
      </c>
      <c r="AJ402" s="7"/>
      <c r="AK402" s="7"/>
    </row>
    <row r="403" spans="1:37" ht="21.75" hidden="1" customHeight="1">
      <c r="A403" s="58">
        <v>12.17</v>
      </c>
      <c r="B403" s="59" t="s">
        <v>879</v>
      </c>
      <c r="C403" s="54" t="s">
        <v>880</v>
      </c>
      <c r="D403" s="107" t="s">
        <v>183</v>
      </c>
      <c r="E403" s="112"/>
      <c r="F403" s="112"/>
      <c r="G403" s="108"/>
      <c r="H403" s="56">
        <f t="shared" si="7"/>
        <v>0</v>
      </c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1">
        <f t="shared" si="5"/>
        <v>0</v>
      </c>
      <c r="AJ403" s="7"/>
      <c r="AK403" s="7"/>
    </row>
    <row r="404" spans="1:37" ht="21.75" hidden="1" customHeight="1">
      <c r="A404" s="63">
        <v>13</v>
      </c>
      <c r="B404" s="64" t="s">
        <v>881</v>
      </c>
      <c r="C404" s="65" t="s">
        <v>882</v>
      </c>
      <c r="D404" s="107" t="s">
        <v>183</v>
      </c>
      <c r="E404" s="112"/>
      <c r="F404" s="112"/>
      <c r="G404" s="108"/>
      <c r="H404" s="56">
        <f t="shared" si="7"/>
        <v>0</v>
      </c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1">
        <f t="shared" si="5"/>
        <v>0</v>
      </c>
      <c r="AJ404" s="7"/>
      <c r="AK404" s="7"/>
    </row>
    <row r="405" spans="1:37" ht="21.75" hidden="1" customHeight="1">
      <c r="A405" s="52">
        <v>13.1</v>
      </c>
      <c r="B405" s="53" t="s">
        <v>883</v>
      </c>
      <c r="C405" s="54" t="s">
        <v>884</v>
      </c>
      <c r="D405" s="107" t="s">
        <v>183</v>
      </c>
      <c r="E405" s="112"/>
      <c r="F405" s="112"/>
      <c r="G405" s="108"/>
      <c r="H405" s="56">
        <f t="shared" si="7"/>
        <v>0</v>
      </c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1">
        <f t="shared" si="5"/>
        <v>0</v>
      </c>
      <c r="AJ405" s="7"/>
      <c r="AK405" s="7"/>
    </row>
    <row r="406" spans="1:37" ht="21.75" hidden="1" customHeight="1">
      <c r="A406" s="88" t="s">
        <v>885</v>
      </c>
      <c r="B406" s="59" t="s">
        <v>886</v>
      </c>
      <c r="C406" s="60" t="s">
        <v>131</v>
      </c>
      <c r="D406" s="107" t="s">
        <v>183</v>
      </c>
      <c r="E406" s="112"/>
      <c r="F406" s="112"/>
      <c r="G406" s="108"/>
      <c r="H406" s="56">
        <f t="shared" si="7"/>
        <v>0</v>
      </c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1">
        <f t="shared" si="5"/>
        <v>0</v>
      </c>
      <c r="AJ406" s="7"/>
      <c r="AK406" s="7"/>
    </row>
    <row r="407" spans="1:37" ht="21.75" hidden="1" customHeight="1">
      <c r="A407" s="88" t="s">
        <v>887</v>
      </c>
      <c r="B407" s="59" t="s">
        <v>888</v>
      </c>
      <c r="C407" s="60" t="s">
        <v>200</v>
      </c>
      <c r="D407" s="107" t="s">
        <v>183</v>
      </c>
      <c r="E407" s="112"/>
      <c r="F407" s="112"/>
      <c r="G407" s="108"/>
      <c r="H407" s="56">
        <f t="shared" si="7"/>
        <v>0</v>
      </c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1">
        <f t="shared" si="5"/>
        <v>0</v>
      </c>
      <c r="AJ407" s="7"/>
      <c r="AK407" s="7"/>
    </row>
    <row r="408" spans="1:37" ht="21.75" hidden="1" customHeight="1">
      <c r="A408" s="88" t="s">
        <v>889</v>
      </c>
      <c r="B408" s="59" t="s">
        <v>890</v>
      </c>
      <c r="C408" s="60" t="s">
        <v>203</v>
      </c>
      <c r="D408" s="107" t="s">
        <v>183</v>
      </c>
      <c r="E408" s="112"/>
      <c r="F408" s="112"/>
      <c r="G408" s="108"/>
      <c r="H408" s="56">
        <f t="shared" si="7"/>
        <v>0</v>
      </c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1">
        <f t="shared" si="5"/>
        <v>0</v>
      </c>
      <c r="AJ408" s="7"/>
      <c r="AK408" s="7"/>
    </row>
    <row r="409" spans="1:37" ht="21.75" hidden="1" customHeight="1">
      <c r="A409" s="88" t="s">
        <v>891</v>
      </c>
      <c r="B409" s="59" t="s">
        <v>892</v>
      </c>
      <c r="C409" s="60" t="s">
        <v>159</v>
      </c>
      <c r="D409" s="107" t="s">
        <v>183</v>
      </c>
      <c r="E409" s="112"/>
      <c r="F409" s="112"/>
      <c r="G409" s="108"/>
      <c r="H409" s="56">
        <f t="shared" si="7"/>
        <v>0</v>
      </c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1">
        <f t="shared" si="5"/>
        <v>0</v>
      </c>
      <c r="AJ409" s="7"/>
      <c r="AK409" s="7"/>
    </row>
    <row r="410" spans="1:37" ht="21.75" hidden="1" customHeight="1">
      <c r="A410" s="52">
        <v>13.2</v>
      </c>
      <c r="B410" s="53" t="s">
        <v>893</v>
      </c>
      <c r="C410" s="54" t="s">
        <v>894</v>
      </c>
      <c r="D410" s="107" t="s">
        <v>183</v>
      </c>
      <c r="E410" s="112"/>
      <c r="F410" s="112"/>
      <c r="G410" s="108"/>
      <c r="H410" s="56">
        <f t="shared" si="7"/>
        <v>0</v>
      </c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1">
        <f t="shared" si="5"/>
        <v>0</v>
      </c>
      <c r="AJ410" s="7"/>
      <c r="AK410" s="7"/>
    </row>
    <row r="411" spans="1:37" ht="21.75" hidden="1" customHeight="1">
      <c r="A411" s="88" t="s">
        <v>895</v>
      </c>
      <c r="B411" s="59" t="s">
        <v>896</v>
      </c>
      <c r="C411" s="60" t="s">
        <v>131</v>
      </c>
      <c r="D411" s="107" t="s">
        <v>183</v>
      </c>
      <c r="E411" s="112"/>
      <c r="F411" s="112"/>
      <c r="G411" s="108"/>
      <c r="H411" s="56">
        <f t="shared" si="7"/>
        <v>0</v>
      </c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1">
        <f t="shared" si="5"/>
        <v>0</v>
      </c>
      <c r="AJ411" s="7"/>
      <c r="AK411" s="7"/>
    </row>
    <row r="412" spans="1:37" ht="21.75" hidden="1" customHeight="1">
      <c r="A412" s="88" t="s">
        <v>897</v>
      </c>
      <c r="B412" s="59" t="s">
        <v>898</v>
      </c>
      <c r="C412" s="60" t="s">
        <v>200</v>
      </c>
      <c r="D412" s="107" t="s">
        <v>183</v>
      </c>
      <c r="E412" s="112"/>
      <c r="F412" s="112"/>
      <c r="G412" s="108"/>
      <c r="H412" s="56">
        <f t="shared" si="7"/>
        <v>0</v>
      </c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1">
        <f t="shared" si="5"/>
        <v>0</v>
      </c>
      <c r="AJ412" s="7"/>
      <c r="AK412" s="7"/>
    </row>
    <row r="413" spans="1:37" ht="21.75" hidden="1" customHeight="1">
      <c r="A413" s="88" t="s">
        <v>899</v>
      </c>
      <c r="B413" s="59" t="s">
        <v>900</v>
      </c>
      <c r="C413" s="60" t="s">
        <v>203</v>
      </c>
      <c r="D413" s="107" t="s">
        <v>183</v>
      </c>
      <c r="E413" s="112"/>
      <c r="F413" s="112"/>
      <c r="G413" s="108"/>
      <c r="H413" s="56">
        <f t="shared" si="7"/>
        <v>0</v>
      </c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1">
        <f t="shared" si="5"/>
        <v>0</v>
      </c>
      <c r="AJ413" s="7"/>
      <c r="AK413" s="7"/>
    </row>
    <row r="414" spans="1:37" ht="21.75" hidden="1" customHeight="1">
      <c r="A414" s="88" t="s">
        <v>901</v>
      </c>
      <c r="B414" s="59" t="s">
        <v>902</v>
      </c>
      <c r="C414" s="60" t="s">
        <v>159</v>
      </c>
      <c r="D414" s="107" t="s">
        <v>183</v>
      </c>
      <c r="E414" s="112"/>
      <c r="F414" s="112"/>
      <c r="G414" s="108"/>
      <c r="H414" s="56">
        <f t="shared" si="7"/>
        <v>0</v>
      </c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1">
        <f t="shared" si="5"/>
        <v>0</v>
      </c>
      <c r="AJ414" s="7"/>
      <c r="AK414" s="7"/>
    </row>
    <row r="415" spans="1:37" ht="21.75" hidden="1" customHeight="1">
      <c r="A415" s="52">
        <v>13.3</v>
      </c>
      <c r="B415" s="53" t="s">
        <v>903</v>
      </c>
      <c r="C415" s="54" t="s">
        <v>904</v>
      </c>
      <c r="D415" s="107" t="s">
        <v>183</v>
      </c>
      <c r="E415" s="112"/>
      <c r="F415" s="112"/>
      <c r="G415" s="108"/>
      <c r="H415" s="56">
        <f t="shared" si="7"/>
        <v>0</v>
      </c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1">
        <f t="shared" si="5"/>
        <v>0</v>
      </c>
      <c r="AJ415" s="7"/>
      <c r="AK415" s="7"/>
    </row>
    <row r="416" spans="1:37" ht="21.75" hidden="1" customHeight="1">
      <c r="A416" s="88" t="s">
        <v>905</v>
      </c>
      <c r="B416" s="59" t="s">
        <v>906</v>
      </c>
      <c r="C416" s="60" t="s">
        <v>131</v>
      </c>
      <c r="D416" s="107" t="s">
        <v>183</v>
      </c>
      <c r="E416" s="112"/>
      <c r="F416" s="112"/>
      <c r="G416" s="108"/>
      <c r="H416" s="56">
        <f t="shared" si="7"/>
        <v>0</v>
      </c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1">
        <f t="shared" si="5"/>
        <v>0</v>
      </c>
      <c r="AJ416" s="7"/>
      <c r="AK416" s="7"/>
    </row>
    <row r="417" spans="1:37" ht="21.75" hidden="1" customHeight="1">
      <c r="A417" s="88" t="s">
        <v>907</v>
      </c>
      <c r="B417" s="59" t="s">
        <v>908</v>
      </c>
      <c r="C417" s="60" t="s">
        <v>200</v>
      </c>
      <c r="D417" s="107" t="s">
        <v>183</v>
      </c>
      <c r="E417" s="112"/>
      <c r="F417" s="112"/>
      <c r="G417" s="108"/>
      <c r="H417" s="56">
        <f t="shared" si="7"/>
        <v>0</v>
      </c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1">
        <f t="shared" si="5"/>
        <v>0</v>
      </c>
      <c r="AJ417" s="7"/>
      <c r="AK417" s="7"/>
    </row>
    <row r="418" spans="1:37" ht="21.75" hidden="1" customHeight="1">
      <c r="A418" s="88" t="s">
        <v>909</v>
      </c>
      <c r="B418" s="59" t="s">
        <v>910</v>
      </c>
      <c r="C418" s="60" t="s">
        <v>203</v>
      </c>
      <c r="D418" s="107" t="s">
        <v>183</v>
      </c>
      <c r="E418" s="112"/>
      <c r="F418" s="112"/>
      <c r="G418" s="108"/>
      <c r="H418" s="56">
        <f t="shared" si="7"/>
        <v>0</v>
      </c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1">
        <f t="shared" si="5"/>
        <v>0</v>
      </c>
      <c r="AJ418" s="7"/>
      <c r="AK418" s="7"/>
    </row>
    <row r="419" spans="1:37" ht="21.75" hidden="1" customHeight="1">
      <c r="A419" s="88" t="s">
        <v>911</v>
      </c>
      <c r="B419" s="59" t="s">
        <v>912</v>
      </c>
      <c r="C419" s="60" t="s">
        <v>159</v>
      </c>
      <c r="D419" s="107" t="s">
        <v>183</v>
      </c>
      <c r="E419" s="112"/>
      <c r="F419" s="112"/>
      <c r="G419" s="108"/>
      <c r="H419" s="56">
        <f t="shared" si="7"/>
        <v>0</v>
      </c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1">
        <f t="shared" si="5"/>
        <v>0</v>
      </c>
      <c r="AJ419" s="7"/>
      <c r="AK419" s="7"/>
    </row>
    <row r="420" spans="1:37" ht="21.75" hidden="1" customHeight="1">
      <c r="A420" s="52">
        <v>13.4</v>
      </c>
      <c r="B420" s="53" t="s">
        <v>913</v>
      </c>
      <c r="C420" s="54" t="s">
        <v>914</v>
      </c>
      <c r="D420" s="107" t="s">
        <v>183</v>
      </c>
      <c r="E420" s="112"/>
      <c r="F420" s="112"/>
      <c r="G420" s="108"/>
      <c r="H420" s="56">
        <f t="shared" si="7"/>
        <v>0</v>
      </c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1">
        <f t="shared" si="5"/>
        <v>0</v>
      </c>
      <c r="AJ420" s="7"/>
      <c r="AK420" s="7"/>
    </row>
    <row r="421" spans="1:37" ht="50.25" customHeight="1">
      <c r="A421" s="63">
        <v>13</v>
      </c>
      <c r="B421" s="64" t="s">
        <v>915</v>
      </c>
      <c r="C421" s="35" t="s">
        <v>916</v>
      </c>
      <c r="D421" s="114"/>
      <c r="E421" s="85" t="s">
        <v>917</v>
      </c>
      <c r="F421" s="85" t="s">
        <v>2519</v>
      </c>
      <c r="G421" s="115"/>
      <c r="H421" s="56">
        <f t="shared" si="7"/>
        <v>0</v>
      </c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1">
        <f t="shared" si="5"/>
        <v>0</v>
      </c>
      <c r="AJ421" s="7"/>
      <c r="AK421" s="7"/>
    </row>
    <row r="422" spans="1:37" ht="35.25" hidden="1" customHeight="1">
      <c r="A422" s="58"/>
      <c r="B422" s="94" t="s">
        <v>918</v>
      </c>
      <c r="C422" s="128" t="s">
        <v>919</v>
      </c>
      <c r="D422" s="129" t="s">
        <v>271</v>
      </c>
      <c r="E422" s="130"/>
      <c r="F422" s="130"/>
      <c r="G422" s="131"/>
      <c r="H422" s="56">
        <f t="shared" si="7"/>
        <v>0</v>
      </c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1">
        <f t="shared" si="5"/>
        <v>0</v>
      </c>
      <c r="AJ422" s="7"/>
      <c r="AK422" s="7"/>
    </row>
    <row r="423" spans="1:37" ht="21" hidden="1" customHeight="1">
      <c r="A423" s="58"/>
      <c r="B423" s="94" t="s">
        <v>920</v>
      </c>
      <c r="C423" s="132" t="s">
        <v>921</v>
      </c>
      <c r="D423" s="129" t="s">
        <v>271</v>
      </c>
      <c r="E423" s="130"/>
      <c r="F423" s="130"/>
      <c r="G423" s="131"/>
      <c r="H423" s="56">
        <f t="shared" si="7"/>
        <v>0</v>
      </c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1">
        <f t="shared" si="5"/>
        <v>0</v>
      </c>
      <c r="AJ423" s="7"/>
      <c r="AK423" s="7"/>
    </row>
    <row r="424" spans="1:37" ht="21" hidden="1" customHeight="1">
      <c r="A424" s="58"/>
      <c r="B424" s="94" t="s">
        <v>922</v>
      </c>
      <c r="C424" s="132" t="s">
        <v>923</v>
      </c>
      <c r="D424" s="129" t="s">
        <v>122</v>
      </c>
      <c r="E424" s="130"/>
      <c r="F424" s="130"/>
      <c r="G424" s="131"/>
      <c r="H424" s="56">
        <f t="shared" si="7"/>
        <v>0</v>
      </c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1">
        <f t="shared" si="5"/>
        <v>0</v>
      </c>
      <c r="AJ424" s="7"/>
      <c r="AK424" s="7"/>
    </row>
    <row r="425" spans="1:37" ht="34.5" customHeight="1">
      <c r="A425" s="133"/>
      <c r="B425" s="134" t="s">
        <v>924</v>
      </c>
      <c r="C425" s="80" t="s">
        <v>925</v>
      </c>
      <c r="D425" s="135" t="s">
        <v>760</v>
      </c>
      <c r="E425" s="136" t="s">
        <v>926</v>
      </c>
      <c r="F425" s="85" t="s">
        <v>2519</v>
      </c>
      <c r="G425" s="135"/>
      <c r="H425" s="79">
        <f t="shared" si="7"/>
        <v>1318</v>
      </c>
      <c r="I425" s="74"/>
      <c r="J425" s="74"/>
      <c r="K425" s="74">
        <v>212</v>
      </c>
      <c r="L425" s="74">
        <v>25</v>
      </c>
      <c r="M425" s="74"/>
      <c r="N425" s="74">
        <v>9</v>
      </c>
      <c r="O425" s="74">
        <v>2</v>
      </c>
      <c r="P425" s="74">
        <v>25</v>
      </c>
      <c r="Q425" s="74">
        <v>26</v>
      </c>
      <c r="R425" s="74">
        <v>4</v>
      </c>
      <c r="S425" s="74"/>
      <c r="T425" s="74"/>
      <c r="U425" s="74">
        <v>9</v>
      </c>
      <c r="V425" s="74">
        <v>390</v>
      </c>
      <c r="W425" s="74"/>
      <c r="X425" s="74"/>
      <c r="Y425" s="74"/>
      <c r="Z425" s="74">
        <v>9</v>
      </c>
      <c r="AA425" s="74"/>
      <c r="AB425" s="74"/>
      <c r="AC425" s="74"/>
      <c r="AD425" s="74">
        <v>1</v>
      </c>
      <c r="AE425" s="74"/>
      <c r="AF425" s="74">
        <v>605</v>
      </c>
      <c r="AG425" s="74"/>
      <c r="AH425" s="74">
        <v>1</v>
      </c>
      <c r="AI425" s="137">
        <f t="shared" si="5"/>
        <v>1318</v>
      </c>
      <c r="AJ425" s="138"/>
      <c r="AK425" s="138"/>
    </row>
    <row r="426" spans="1:37" ht="26.25" customHeight="1">
      <c r="A426" s="52"/>
      <c r="B426" s="53" t="s">
        <v>927</v>
      </c>
      <c r="C426" s="87" t="s">
        <v>928</v>
      </c>
      <c r="D426" s="107" t="s">
        <v>183</v>
      </c>
      <c r="E426" s="85" t="s">
        <v>929</v>
      </c>
      <c r="F426" s="85" t="s">
        <v>2519</v>
      </c>
      <c r="G426" s="108"/>
      <c r="H426" s="56">
        <f t="shared" si="7"/>
        <v>0</v>
      </c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1">
        <f t="shared" si="5"/>
        <v>0</v>
      </c>
      <c r="AJ426" s="7"/>
      <c r="AK426" s="7"/>
    </row>
    <row r="427" spans="1:37" ht="15.75" customHeight="1">
      <c r="A427" s="63">
        <v>14</v>
      </c>
      <c r="B427" s="64" t="s">
        <v>930</v>
      </c>
      <c r="C427" s="64" t="s">
        <v>931</v>
      </c>
      <c r="D427" s="107" t="s">
        <v>183</v>
      </c>
      <c r="E427" s="112" t="s">
        <v>932</v>
      </c>
      <c r="F427" s="112" t="s">
        <v>2520</v>
      </c>
      <c r="G427" s="108"/>
      <c r="H427" s="56">
        <f t="shared" si="7"/>
        <v>0</v>
      </c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1">
        <f t="shared" si="5"/>
        <v>0</v>
      </c>
      <c r="AJ427" s="7"/>
      <c r="AK427" s="7"/>
    </row>
    <row r="428" spans="1:37" ht="21.75" customHeight="1">
      <c r="A428" s="52"/>
      <c r="B428" s="53" t="s">
        <v>933</v>
      </c>
      <c r="C428" s="54" t="s">
        <v>934</v>
      </c>
      <c r="D428" s="17" t="s">
        <v>132</v>
      </c>
      <c r="E428" s="85" t="s">
        <v>935</v>
      </c>
      <c r="F428" s="112" t="s">
        <v>2520</v>
      </c>
      <c r="G428" s="22"/>
      <c r="H428" s="56">
        <f t="shared" si="7"/>
        <v>4750</v>
      </c>
      <c r="I428" s="57"/>
      <c r="J428" s="57"/>
      <c r="K428" s="57">
        <v>10</v>
      </c>
      <c r="L428" s="57">
        <f>3+2+5</f>
        <v>10</v>
      </c>
      <c r="M428" s="57"/>
      <c r="N428" s="57"/>
      <c r="O428" s="57">
        <v>19</v>
      </c>
      <c r="P428" s="57">
        <f>11+37</f>
        <v>48</v>
      </c>
      <c r="Q428" s="57"/>
      <c r="R428" s="57">
        <v>6</v>
      </c>
      <c r="S428" s="57">
        <v>52</v>
      </c>
      <c r="T428" s="57">
        <v>2</v>
      </c>
      <c r="U428" s="57"/>
      <c r="V428" s="57"/>
      <c r="W428" s="57"/>
      <c r="X428" s="57">
        <v>472</v>
      </c>
      <c r="Y428" s="57"/>
      <c r="Z428" s="57">
        <v>3379</v>
      </c>
      <c r="AA428" s="57"/>
      <c r="AB428" s="57"/>
      <c r="AC428" s="57">
        <v>233</v>
      </c>
      <c r="AD428" s="57">
        <v>9</v>
      </c>
      <c r="AE428" s="57"/>
      <c r="AF428" s="57">
        <v>505</v>
      </c>
      <c r="AG428" s="57">
        <v>5</v>
      </c>
      <c r="AH428" s="57"/>
      <c r="AI428" s="51">
        <f t="shared" si="5"/>
        <v>4750</v>
      </c>
      <c r="AJ428" s="7"/>
      <c r="AK428" s="7"/>
    </row>
    <row r="429" spans="1:37" ht="21.75" hidden="1" customHeight="1">
      <c r="A429" s="88"/>
      <c r="B429" s="59" t="s">
        <v>936</v>
      </c>
      <c r="C429" s="60" t="s">
        <v>131</v>
      </c>
      <c r="D429" s="61" t="s">
        <v>132</v>
      </c>
      <c r="E429" s="62"/>
      <c r="F429" s="112" t="s">
        <v>2520</v>
      </c>
      <c r="G429" s="37"/>
      <c r="H429" s="56">
        <f t="shared" si="7"/>
        <v>0</v>
      </c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1">
        <f t="shared" si="5"/>
        <v>0</v>
      </c>
      <c r="AJ429" s="7"/>
      <c r="AK429" s="7"/>
    </row>
    <row r="430" spans="1:37" ht="21.75" hidden="1" customHeight="1">
      <c r="A430" s="88"/>
      <c r="B430" s="59" t="s">
        <v>937</v>
      </c>
      <c r="C430" s="60" t="s">
        <v>200</v>
      </c>
      <c r="D430" s="61" t="s">
        <v>132</v>
      </c>
      <c r="E430" s="62"/>
      <c r="F430" s="112" t="s">
        <v>2520</v>
      </c>
      <c r="G430" s="37"/>
      <c r="H430" s="56">
        <f t="shared" si="7"/>
        <v>0</v>
      </c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1">
        <f t="shared" si="5"/>
        <v>0</v>
      </c>
      <c r="AJ430" s="7"/>
      <c r="AK430" s="7"/>
    </row>
    <row r="431" spans="1:37" ht="21.75" hidden="1" customHeight="1">
      <c r="A431" s="88"/>
      <c r="B431" s="59" t="s">
        <v>938</v>
      </c>
      <c r="C431" s="60" t="s">
        <v>203</v>
      </c>
      <c r="D431" s="61" t="s">
        <v>132</v>
      </c>
      <c r="E431" s="62"/>
      <c r="F431" s="112" t="s">
        <v>2520</v>
      </c>
      <c r="G431" s="37"/>
      <c r="H431" s="56">
        <f t="shared" si="7"/>
        <v>0</v>
      </c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1">
        <f t="shared" si="5"/>
        <v>0</v>
      </c>
      <c r="AJ431" s="7"/>
      <c r="AK431" s="7"/>
    </row>
    <row r="432" spans="1:37" ht="21.75" hidden="1" customHeight="1">
      <c r="A432" s="88"/>
      <c r="B432" s="59" t="s">
        <v>939</v>
      </c>
      <c r="C432" s="60" t="s">
        <v>159</v>
      </c>
      <c r="D432" s="61" t="s">
        <v>132</v>
      </c>
      <c r="E432" s="62"/>
      <c r="F432" s="112" t="s">
        <v>2520</v>
      </c>
      <c r="G432" s="37"/>
      <c r="H432" s="56">
        <f t="shared" si="7"/>
        <v>0</v>
      </c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1">
        <f t="shared" si="5"/>
        <v>0</v>
      </c>
      <c r="AJ432" s="7"/>
      <c r="AK432" s="7"/>
    </row>
    <row r="433" spans="1:37" ht="21.75" customHeight="1">
      <c r="A433" s="52"/>
      <c r="B433" s="53" t="s">
        <v>940</v>
      </c>
      <c r="C433" s="54" t="s">
        <v>941</v>
      </c>
      <c r="D433" s="17" t="s">
        <v>132</v>
      </c>
      <c r="E433" s="85" t="s">
        <v>942</v>
      </c>
      <c r="F433" s="112" t="s">
        <v>2520</v>
      </c>
      <c r="G433" s="22"/>
      <c r="H433" s="56">
        <f t="shared" si="7"/>
        <v>624</v>
      </c>
      <c r="I433" s="57"/>
      <c r="J433" s="57"/>
      <c r="K433" s="57"/>
      <c r="L433" s="57"/>
      <c r="M433" s="57"/>
      <c r="N433" s="57"/>
      <c r="O433" s="57"/>
      <c r="P433" s="57">
        <v>2</v>
      </c>
      <c r="Q433" s="57"/>
      <c r="R433" s="57"/>
      <c r="S433" s="57"/>
      <c r="T433" s="57"/>
      <c r="U433" s="57"/>
      <c r="V433" s="57"/>
      <c r="W433" s="57"/>
      <c r="X433" s="57">
        <v>118</v>
      </c>
      <c r="Y433" s="57"/>
      <c r="Z433" s="57">
        <v>26</v>
      </c>
      <c r="AA433" s="57"/>
      <c r="AB433" s="57"/>
      <c r="AC433" s="57"/>
      <c r="AD433" s="57">
        <v>1</v>
      </c>
      <c r="AE433" s="57"/>
      <c r="AF433" s="57">
        <v>472</v>
      </c>
      <c r="AG433" s="57">
        <v>5</v>
      </c>
      <c r="AH433" s="57"/>
      <c r="AI433" s="51">
        <f t="shared" si="5"/>
        <v>624</v>
      </c>
      <c r="AJ433" s="7"/>
      <c r="AK433" s="7"/>
    </row>
    <row r="434" spans="1:37" ht="21.75" hidden="1" customHeight="1">
      <c r="A434" s="88"/>
      <c r="B434" s="59" t="s">
        <v>943</v>
      </c>
      <c r="C434" s="60" t="s">
        <v>131</v>
      </c>
      <c r="D434" s="61" t="s">
        <v>132</v>
      </c>
      <c r="E434" s="62"/>
      <c r="F434" s="112" t="s">
        <v>2520</v>
      </c>
      <c r="G434" s="37"/>
      <c r="H434" s="56">
        <f t="shared" si="7"/>
        <v>0</v>
      </c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1">
        <f t="shared" si="5"/>
        <v>0</v>
      </c>
      <c r="AJ434" s="7"/>
      <c r="AK434" s="7"/>
    </row>
    <row r="435" spans="1:37" ht="21.75" hidden="1" customHeight="1">
      <c r="A435" s="88"/>
      <c r="B435" s="59" t="s">
        <v>944</v>
      </c>
      <c r="C435" s="60" t="s">
        <v>200</v>
      </c>
      <c r="D435" s="61" t="s">
        <v>132</v>
      </c>
      <c r="E435" s="62"/>
      <c r="F435" s="112" t="s">
        <v>2520</v>
      </c>
      <c r="G435" s="37"/>
      <c r="H435" s="56">
        <f t="shared" si="7"/>
        <v>0</v>
      </c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1">
        <f t="shared" si="5"/>
        <v>0</v>
      </c>
      <c r="AJ435" s="7"/>
      <c r="AK435" s="7"/>
    </row>
    <row r="436" spans="1:37" ht="21.75" hidden="1" customHeight="1">
      <c r="A436" s="88"/>
      <c r="B436" s="59" t="s">
        <v>945</v>
      </c>
      <c r="C436" s="60" t="s">
        <v>203</v>
      </c>
      <c r="D436" s="61" t="s">
        <v>132</v>
      </c>
      <c r="E436" s="62"/>
      <c r="F436" s="112" t="s">
        <v>2520</v>
      </c>
      <c r="G436" s="37"/>
      <c r="H436" s="56">
        <f t="shared" si="7"/>
        <v>0</v>
      </c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1">
        <f t="shared" si="5"/>
        <v>0</v>
      </c>
      <c r="AJ436" s="7"/>
      <c r="AK436" s="7"/>
    </row>
    <row r="437" spans="1:37" ht="21.75" hidden="1" customHeight="1">
      <c r="A437" s="88"/>
      <c r="B437" s="59" t="s">
        <v>946</v>
      </c>
      <c r="C437" s="60" t="s">
        <v>159</v>
      </c>
      <c r="D437" s="61" t="s">
        <v>132</v>
      </c>
      <c r="E437" s="62"/>
      <c r="F437" s="112" t="s">
        <v>2520</v>
      </c>
      <c r="G437" s="37"/>
      <c r="H437" s="56">
        <f t="shared" si="7"/>
        <v>0</v>
      </c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1">
        <f t="shared" si="5"/>
        <v>0</v>
      </c>
      <c r="AJ437" s="7"/>
      <c r="AK437" s="7"/>
    </row>
    <row r="438" spans="1:37" ht="21.75" customHeight="1">
      <c r="A438" s="52"/>
      <c r="B438" s="53" t="s">
        <v>947</v>
      </c>
      <c r="C438" s="54" t="s">
        <v>948</v>
      </c>
      <c r="D438" s="17" t="s">
        <v>949</v>
      </c>
      <c r="E438" s="85" t="s">
        <v>950</v>
      </c>
      <c r="F438" s="112" t="s">
        <v>2520</v>
      </c>
      <c r="G438" s="22"/>
      <c r="H438" s="56">
        <f t="shared" si="7"/>
        <v>6079</v>
      </c>
      <c r="I438" s="57"/>
      <c r="J438" s="57">
        <v>24</v>
      </c>
      <c r="K438" s="57"/>
      <c r="L438" s="57">
        <v>2</v>
      </c>
      <c r="M438" s="57"/>
      <c r="N438" s="57"/>
      <c r="O438" s="57"/>
      <c r="P438" s="57"/>
      <c r="Q438" s="57"/>
      <c r="R438" s="57"/>
      <c r="S438" s="57">
        <v>3388</v>
      </c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>
        <v>2663</v>
      </c>
      <c r="AG438" s="57"/>
      <c r="AH438" s="57">
        <v>2</v>
      </c>
      <c r="AI438" s="51">
        <f t="shared" si="5"/>
        <v>6079</v>
      </c>
      <c r="AJ438" s="7"/>
      <c r="AK438" s="7"/>
    </row>
    <row r="439" spans="1:37" ht="21.75" hidden="1" customHeight="1">
      <c r="A439" s="88"/>
      <c r="B439" s="59" t="s">
        <v>951</v>
      </c>
      <c r="C439" s="60" t="s">
        <v>131</v>
      </c>
      <c r="D439" s="61" t="s">
        <v>952</v>
      </c>
      <c r="E439" s="62"/>
      <c r="F439" s="112" t="s">
        <v>2520</v>
      </c>
      <c r="G439" s="37"/>
      <c r="H439" s="56">
        <f t="shared" si="7"/>
        <v>0</v>
      </c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1">
        <f t="shared" si="5"/>
        <v>0</v>
      </c>
      <c r="AJ439" s="7"/>
      <c r="AK439" s="7"/>
    </row>
    <row r="440" spans="1:37" ht="21.75" hidden="1" customHeight="1">
      <c r="A440" s="88"/>
      <c r="B440" s="59" t="s">
        <v>953</v>
      </c>
      <c r="C440" s="60" t="s">
        <v>200</v>
      </c>
      <c r="D440" s="61" t="s">
        <v>954</v>
      </c>
      <c r="E440" s="62"/>
      <c r="F440" s="112" t="s">
        <v>2520</v>
      </c>
      <c r="G440" s="37"/>
      <c r="H440" s="56">
        <f t="shared" si="7"/>
        <v>0</v>
      </c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1">
        <f t="shared" si="5"/>
        <v>0</v>
      </c>
      <c r="AJ440" s="7"/>
      <c r="AK440" s="7"/>
    </row>
    <row r="441" spans="1:37" ht="21.75" hidden="1" customHeight="1">
      <c r="A441" s="88"/>
      <c r="B441" s="59" t="s">
        <v>955</v>
      </c>
      <c r="C441" s="60" t="s">
        <v>203</v>
      </c>
      <c r="D441" s="61" t="s">
        <v>956</v>
      </c>
      <c r="E441" s="62"/>
      <c r="F441" s="112" t="s">
        <v>2520</v>
      </c>
      <c r="G441" s="37"/>
      <c r="H441" s="56">
        <f t="shared" si="7"/>
        <v>0</v>
      </c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1">
        <f t="shared" si="5"/>
        <v>0</v>
      </c>
      <c r="AJ441" s="7"/>
      <c r="AK441" s="7"/>
    </row>
    <row r="442" spans="1:37" ht="21.75" hidden="1" customHeight="1">
      <c r="A442" s="88"/>
      <c r="B442" s="59" t="s">
        <v>957</v>
      </c>
      <c r="C442" s="60" t="s">
        <v>159</v>
      </c>
      <c r="D442" s="61" t="s">
        <v>958</v>
      </c>
      <c r="E442" s="62"/>
      <c r="F442" s="112" t="s">
        <v>2520</v>
      </c>
      <c r="G442" s="37"/>
      <c r="H442" s="56">
        <f t="shared" si="7"/>
        <v>0</v>
      </c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1">
        <f t="shared" si="5"/>
        <v>0</v>
      </c>
      <c r="AJ442" s="7"/>
      <c r="AK442" s="7"/>
    </row>
    <row r="443" spans="1:37" ht="31.5" customHeight="1">
      <c r="A443" s="52"/>
      <c r="B443" s="53" t="s">
        <v>959</v>
      </c>
      <c r="C443" s="54" t="s">
        <v>960</v>
      </c>
      <c r="D443" s="17" t="s">
        <v>132</v>
      </c>
      <c r="E443" s="85" t="s">
        <v>961</v>
      </c>
      <c r="F443" s="112" t="s">
        <v>2520</v>
      </c>
      <c r="G443" s="22"/>
      <c r="H443" s="56">
        <f t="shared" si="7"/>
        <v>85</v>
      </c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>
        <v>64</v>
      </c>
      <c r="Y443" s="57"/>
      <c r="Z443" s="57">
        <v>21</v>
      </c>
      <c r="AA443" s="57"/>
      <c r="AB443" s="57"/>
      <c r="AC443" s="57"/>
      <c r="AD443" s="57"/>
      <c r="AE443" s="57"/>
      <c r="AF443" s="57"/>
      <c r="AG443" s="57"/>
      <c r="AH443" s="57"/>
      <c r="AI443" s="51">
        <f t="shared" si="5"/>
        <v>85</v>
      </c>
      <c r="AJ443" s="7"/>
      <c r="AK443" s="7"/>
    </row>
    <row r="444" spans="1:37" ht="33" customHeight="1">
      <c r="A444" s="52"/>
      <c r="B444" s="53" t="s">
        <v>962</v>
      </c>
      <c r="C444" s="54" t="s">
        <v>963</v>
      </c>
      <c r="D444" s="107" t="s">
        <v>424</v>
      </c>
      <c r="E444" s="85" t="s">
        <v>964</v>
      </c>
      <c r="F444" s="112" t="s">
        <v>2520</v>
      </c>
      <c r="G444" s="108"/>
      <c r="H444" s="56">
        <f t="shared" si="7"/>
        <v>69957</v>
      </c>
      <c r="I444" s="57"/>
      <c r="J444" s="57"/>
      <c r="K444" s="57"/>
      <c r="L444" s="57">
        <v>64</v>
      </c>
      <c r="M444" s="57"/>
      <c r="N444" s="57"/>
      <c r="O444" s="57">
        <v>2071</v>
      </c>
      <c r="P444" s="57"/>
      <c r="Q444" s="57"/>
      <c r="R444" s="57"/>
      <c r="S444" s="57"/>
      <c r="T444" s="57"/>
      <c r="U444" s="57"/>
      <c r="V444" s="57"/>
      <c r="W444" s="57">
        <v>40747</v>
      </c>
      <c r="X444" s="57"/>
      <c r="Y444" s="57"/>
      <c r="Z444" s="57"/>
      <c r="AA444" s="57"/>
      <c r="AB444" s="57"/>
      <c r="AC444" s="57">
        <v>25707</v>
      </c>
      <c r="AD444" s="57">
        <v>960</v>
      </c>
      <c r="AE444" s="57"/>
      <c r="AF444" s="57"/>
      <c r="AG444" s="57"/>
      <c r="AH444" s="57">
        <v>408</v>
      </c>
      <c r="AI444" s="51">
        <f t="shared" si="5"/>
        <v>69957</v>
      </c>
      <c r="AJ444" s="7"/>
      <c r="AK444" s="7"/>
    </row>
    <row r="445" spans="1:37" ht="21.75" hidden="1" customHeight="1">
      <c r="A445" s="52">
        <v>15.6</v>
      </c>
      <c r="B445" s="53" t="s">
        <v>965</v>
      </c>
      <c r="C445" s="54" t="s">
        <v>966</v>
      </c>
      <c r="D445" s="107" t="s">
        <v>183</v>
      </c>
      <c r="E445" s="112"/>
      <c r="F445" s="112"/>
      <c r="G445" s="108"/>
      <c r="H445" s="56">
        <f t="shared" si="7"/>
        <v>0</v>
      </c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1">
        <f t="shared" si="5"/>
        <v>0</v>
      </c>
      <c r="AJ445" s="7"/>
      <c r="AK445" s="7"/>
    </row>
    <row r="446" spans="1:37" ht="21.75" hidden="1" customHeight="1">
      <c r="A446" s="52">
        <v>15.7</v>
      </c>
      <c r="B446" s="53" t="s">
        <v>967</v>
      </c>
      <c r="C446" s="54" t="s">
        <v>968</v>
      </c>
      <c r="D446" s="107" t="s">
        <v>183</v>
      </c>
      <c r="E446" s="139"/>
      <c r="F446" s="139"/>
      <c r="G446" s="140"/>
      <c r="H446" s="56">
        <f t="shared" si="7"/>
        <v>0</v>
      </c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1">
        <f t="shared" si="5"/>
        <v>0</v>
      </c>
      <c r="AJ446" s="7"/>
      <c r="AK446" s="7"/>
    </row>
    <row r="447" spans="1:37" ht="42" customHeight="1">
      <c r="A447" s="101"/>
      <c r="B447" s="770" t="s">
        <v>969</v>
      </c>
      <c r="C447" s="771"/>
      <c r="D447" s="66" t="s">
        <v>970</v>
      </c>
      <c r="E447" s="85" t="s">
        <v>2531</v>
      </c>
      <c r="F447" s="85" t="s">
        <v>2531</v>
      </c>
      <c r="G447" s="68"/>
      <c r="H447" s="56">
        <f>AI447</f>
        <v>81703053.099999994</v>
      </c>
      <c r="I447" s="141">
        <v>141689.1</v>
      </c>
      <c r="J447" s="141">
        <v>919782</v>
      </c>
      <c r="K447" s="141">
        <v>6806487</v>
      </c>
      <c r="L447" s="141">
        <v>909500</v>
      </c>
      <c r="M447" s="141">
        <v>900000</v>
      </c>
      <c r="N447" s="141">
        <v>44400</v>
      </c>
      <c r="O447" s="141">
        <v>1350964</v>
      </c>
      <c r="P447" s="141">
        <v>5738200</v>
      </c>
      <c r="Q447" s="141">
        <v>859026</v>
      </c>
      <c r="R447" s="141">
        <v>1588550</v>
      </c>
      <c r="S447" s="141">
        <v>5000000</v>
      </c>
      <c r="T447" s="141">
        <v>6300</v>
      </c>
      <c r="U447" s="141">
        <v>149440</v>
      </c>
      <c r="V447" s="141">
        <v>1065568</v>
      </c>
      <c r="W447" s="141">
        <v>2286538</v>
      </c>
      <c r="X447" s="141">
        <v>12249432</v>
      </c>
      <c r="Y447" s="141">
        <v>24876000</v>
      </c>
      <c r="Z447" s="141">
        <v>7498000</v>
      </c>
      <c r="AA447" s="141">
        <v>3637600</v>
      </c>
      <c r="AB447" s="141">
        <v>260000</v>
      </c>
      <c r="AC447" s="141">
        <v>1194200</v>
      </c>
      <c r="AD447" s="141">
        <v>793415</v>
      </c>
      <c r="AE447" s="141">
        <v>376590</v>
      </c>
      <c r="AF447" s="141">
        <v>1479000</v>
      </c>
      <c r="AG447" s="141">
        <v>1142372</v>
      </c>
      <c r="AH447" s="141">
        <v>430000</v>
      </c>
      <c r="AI447" s="51">
        <f t="shared" si="5"/>
        <v>81703053.099999994</v>
      </c>
      <c r="AJ447" s="7"/>
      <c r="AK447" s="7"/>
    </row>
    <row r="448" spans="1:37" ht="21.75" customHeight="1">
      <c r="A448" s="142"/>
      <c r="B448" s="143"/>
      <c r="C448" s="144"/>
      <c r="D448" s="145"/>
      <c r="E448" s="145"/>
      <c r="F448" s="145"/>
      <c r="G448" s="145"/>
      <c r="H448" s="145"/>
      <c r="I448" s="146"/>
      <c r="J448" s="147"/>
      <c r="K448" s="147"/>
      <c r="L448" s="147"/>
      <c r="M448" s="147"/>
      <c r="N448" s="147"/>
      <c r="O448" s="147"/>
      <c r="P448" s="147"/>
      <c r="Q448" s="147"/>
      <c r="R448" s="146"/>
      <c r="S448" s="146"/>
      <c r="T448" s="146"/>
      <c r="U448" s="146"/>
      <c r="V448" s="147"/>
      <c r="W448" s="147"/>
      <c r="X448" s="147"/>
      <c r="Y448" s="147"/>
      <c r="Z448" s="147"/>
      <c r="AA448" s="146"/>
      <c r="AB448" s="146"/>
      <c r="AC448" s="147"/>
      <c r="AD448" s="147"/>
      <c r="AE448" s="147"/>
      <c r="AF448" s="147"/>
      <c r="AG448" s="147"/>
      <c r="AH448" s="146"/>
      <c r="AI448" s="7"/>
      <c r="AJ448" s="7"/>
      <c r="AK448" s="7"/>
    </row>
    <row r="449" spans="1:37" ht="15.75" customHeight="1">
      <c r="A449" s="148"/>
      <c r="B449" s="149"/>
      <c r="C449" s="149"/>
      <c r="D449" s="148"/>
      <c r="E449" s="150"/>
      <c r="F449" s="150"/>
      <c r="G449" s="150"/>
      <c r="H449" s="148"/>
      <c r="I449" s="151"/>
      <c r="J449" s="151"/>
      <c r="K449" s="152"/>
      <c r="L449" s="151"/>
      <c r="M449" s="151"/>
      <c r="N449" s="151"/>
      <c r="O449" s="151"/>
      <c r="P449" s="151"/>
      <c r="Q449" s="151"/>
      <c r="R449" s="153"/>
      <c r="S449" s="153"/>
      <c r="T449" s="153"/>
      <c r="U449" s="153"/>
      <c r="V449" s="151"/>
      <c r="W449" s="151"/>
      <c r="X449" s="151"/>
      <c r="Y449" s="151"/>
      <c r="Z449" s="151"/>
      <c r="AA449" s="153"/>
      <c r="AB449" s="153"/>
      <c r="AC449" s="151"/>
      <c r="AD449" s="151"/>
      <c r="AE449" s="151"/>
      <c r="AF449" s="151"/>
      <c r="AG449" s="151"/>
      <c r="AH449" s="153"/>
      <c r="AI449" s="7"/>
      <c r="AJ449" s="7"/>
      <c r="AK449" s="7"/>
    </row>
    <row r="450" spans="1:37" ht="15.75" customHeight="1">
      <c r="A450" s="148"/>
      <c r="B450" s="154"/>
      <c r="C450" s="149"/>
      <c r="D450" s="148"/>
      <c r="E450" s="150"/>
      <c r="F450" s="150"/>
      <c r="G450" s="150"/>
      <c r="H450" s="148"/>
      <c r="I450" s="151"/>
      <c r="J450" s="151"/>
      <c r="K450" s="152"/>
      <c r="L450" s="151"/>
      <c r="M450" s="151"/>
      <c r="N450" s="151"/>
      <c r="O450" s="151"/>
      <c r="P450" s="151"/>
      <c r="Q450" s="151"/>
      <c r="R450" s="153"/>
      <c r="S450" s="153"/>
      <c r="T450" s="153"/>
      <c r="U450" s="153"/>
      <c r="V450" s="151"/>
      <c r="W450" s="151"/>
      <c r="X450" s="151"/>
      <c r="Y450" s="151"/>
      <c r="Z450" s="151"/>
      <c r="AA450" s="153"/>
      <c r="AB450" s="153"/>
      <c r="AC450" s="151"/>
      <c r="AD450" s="151"/>
      <c r="AE450" s="151"/>
      <c r="AF450" s="151"/>
      <c r="AG450" s="151"/>
      <c r="AH450" s="153"/>
      <c r="AI450" s="7"/>
      <c r="AJ450" s="7"/>
      <c r="AK450" s="7"/>
    </row>
    <row r="451" spans="1:37" ht="15.75" customHeight="1">
      <c r="A451" s="148"/>
      <c r="B451" s="154"/>
      <c r="C451" s="149"/>
      <c r="D451" s="148"/>
      <c r="E451" s="150"/>
      <c r="F451" s="150"/>
      <c r="G451" s="150"/>
      <c r="H451" s="148"/>
      <c r="I451" s="151"/>
      <c r="J451" s="151"/>
      <c r="K451" s="152"/>
      <c r="L451" s="151"/>
      <c r="M451" s="151"/>
      <c r="N451" s="151"/>
      <c r="O451" s="151"/>
      <c r="P451" s="151"/>
      <c r="Q451" s="151"/>
      <c r="R451" s="153"/>
      <c r="S451" s="153"/>
      <c r="T451" s="153"/>
      <c r="U451" s="153"/>
      <c r="V451" s="151"/>
      <c r="W451" s="151"/>
      <c r="X451" s="151"/>
      <c r="Y451" s="151"/>
      <c r="Z451" s="151"/>
      <c r="AA451" s="153"/>
      <c r="AB451" s="153"/>
      <c r="AC451" s="151"/>
      <c r="AD451" s="151"/>
      <c r="AE451" s="151"/>
      <c r="AF451" s="151"/>
      <c r="AG451" s="151"/>
      <c r="AH451" s="153"/>
      <c r="AI451" s="7"/>
      <c r="AJ451" s="7"/>
      <c r="AK451" s="7"/>
    </row>
    <row r="452" spans="1:37" ht="15.75" customHeight="1">
      <c r="A452" s="148"/>
      <c r="B452" s="154"/>
      <c r="C452" s="149"/>
      <c r="D452" s="148"/>
      <c r="E452" s="150"/>
      <c r="F452" s="150"/>
      <c r="G452" s="150"/>
      <c r="H452" s="148"/>
      <c r="I452" s="151"/>
      <c r="J452" s="151"/>
      <c r="K452" s="152"/>
      <c r="L452" s="151"/>
      <c r="M452" s="151"/>
      <c r="N452" s="151"/>
      <c r="O452" s="151"/>
      <c r="P452" s="151"/>
      <c r="Q452" s="151"/>
      <c r="R452" s="153"/>
      <c r="S452" s="153"/>
      <c r="T452" s="153"/>
      <c r="U452" s="153"/>
      <c r="V452" s="151"/>
      <c r="W452" s="151"/>
      <c r="X452" s="151"/>
      <c r="Y452" s="151"/>
      <c r="Z452" s="151"/>
      <c r="AA452" s="153"/>
      <c r="AB452" s="153"/>
      <c r="AC452" s="151"/>
      <c r="AD452" s="151"/>
      <c r="AE452" s="151"/>
      <c r="AF452" s="151"/>
      <c r="AG452" s="151"/>
      <c r="AH452" s="153"/>
      <c r="AI452" s="7"/>
      <c r="AJ452" s="7"/>
      <c r="AK452" s="7"/>
    </row>
    <row r="453" spans="1:37" ht="15.75" customHeight="1">
      <c r="A453" s="148"/>
      <c r="B453" s="759"/>
      <c r="C453" s="760"/>
      <c r="D453" s="148"/>
      <c r="E453" s="150"/>
      <c r="F453" s="150"/>
      <c r="G453" s="150"/>
      <c r="H453" s="148"/>
      <c r="I453" s="151"/>
      <c r="J453" s="151"/>
      <c r="K453" s="152"/>
      <c r="L453" s="151"/>
      <c r="M453" s="151"/>
      <c r="N453" s="151"/>
      <c r="O453" s="151"/>
      <c r="P453" s="151"/>
      <c r="Q453" s="151"/>
      <c r="R453" s="153"/>
      <c r="S453" s="153"/>
      <c r="T453" s="153"/>
      <c r="U453" s="153"/>
      <c r="V453" s="151"/>
      <c r="W453" s="151"/>
      <c r="X453" s="151"/>
      <c r="Y453" s="151"/>
      <c r="Z453" s="151"/>
      <c r="AA453" s="153"/>
      <c r="AB453" s="153"/>
      <c r="AC453" s="151"/>
      <c r="AD453" s="151"/>
      <c r="AE453" s="151"/>
      <c r="AF453" s="151"/>
      <c r="AG453" s="151"/>
      <c r="AH453" s="153"/>
      <c r="AI453" s="7"/>
      <c r="AJ453" s="7"/>
      <c r="AK453" s="7"/>
    </row>
    <row r="454" spans="1:37" ht="15.75" customHeight="1">
      <c r="A454" s="148"/>
      <c r="B454" s="761"/>
      <c r="C454" s="760"/>
      <c r="D454" s="148"/>
      <c r="E454" s="150"/>
      <c r="F454" s="150"/>
      <c r="G454" s="150"/>
      <c r="H454" s="148"/>
      <c r="I454" s="151"/>
      <c r="J454" s="151"/>
      <c r="K454" s="152"/>
      <c r="L454" s="151"/>
      <c r="M454" s="151"/>
      <c r="N454" s="151"/>
      <c r="O454" s="151"/>
      <c r="P454" s="151"/>
      <c r="Q454" s="151"/>
      <c r="R454" s="153"/>
      <c r="S454" s="153"/>
      <c r="T454" s="153"/>
      <c r="U454" s="153"/>
      <c r="V454" s="151"/>
      <c r="W454" s="151"/>
      <c r="X454" s="151"/>
      <c r="Y454" s="151"/>
      <c r="Z454" s="151"/>
      <c r="AA454" s="153"/>
      <c r="AB454" s="153"/>
      <c r="AC454" s="151"/>
      <c r="AD454" s="151"/>
      <c r="AE454" s="151"/>
      <c r="AF454" s="151"/>
      <c r="AG454" s="151"/>
      <c r="AH454" s="153"/>
      <c r="AI454" s="7"/>
      <c r="AJ454" s="7"/>
      <c r="AK454" s="7"/>
    </row>
    <row r="455" spans="1:37" ht="15.75" customHeight="1">
      <c r="A455" s="148"/>
      <c r="B455" s="154"/>
      <c r="C455" s="149"/>
      <c r="D455" s="148"/>
      <c r="E455" s="150"/>
      <c r="F455" s="150"/>
      <c r="G455" s="150"/>
      <c r="H455" s="148"/>
      <c r="I455" s="151"/>
      <c r="J455" s="151"/>
      <c r="K455" s="152"/>
      <c r="L455" s="151"/>
      <c r="M455" s="151"/>
      <c r="N455" s="151"/>
      <c r="O455" s="151"/>
      <c r="P455" s="151"/>
      <c r="Q455" s="151"/>
      <c r="R455" s="153"/>
      <c r="S455" s="153"/>
      <c r="T455" s="153"/>
      <c r="U455" s="153"/>
      <c r="V455" s="151"/>
      <c r="W455" s="151"/>
      <c r="X455" s="151"/>
      <c r="Y455" s="151"/>
      <c r="Z455" s="151"/>
      <c r="AA455" s="153"/>
      <c r="AB455" s="153"/>
      <c r="AC455" s="151"/>
      <c r="AD455" s="151"/>
      <c r="AE455" s="151"/>
      <c r="AF455" s="151"/>
      <c r="AG455" s="151"/>
      <c r="AH455" s="153"/>
      <c r="AI455" s="7"/>
      <c r="AJ455" s="7"/>
      <c r="AK455" s="7"/>
    </row>
    <row r="456" spans="1:37" ht="15.75" customHeight="1">
      <c r="A456" s="155" t="s">
        <v>971</v>
      </c>
      <c r="B456" s="156"/>
      <c r="C456" s="156"/>
      <c r="D456" s="156"/>
      <c r="E456" s="157"/>
      <c r="F456" s="157"/>
      <c r="G456" s="157"/>
      <c r="H456" s="156"/>
      <c r="I456" s="152"/>
      <c r="J456" s="152"/>
      <c r="K456" s="152"/>
      <c r="L456" s="152"/>
      <c r="M456" s="152"/>
      <c r="N456" s="152"/>
      <c r="O456" s="152"/>
      <c r="P456" s="152"/>
      <c r="Q456" s="152"/>
      <c r="R456" s="158"/>
      <c r="S456" s="158"/>
      <c r="T456" s="158"/>
      <c r="U456" s="158"/>
      <c r="V456" s="152"/>
      <c r="W456" s="152"/>
      <c r="X456" s="152"/>
      <c r="Y456" s="152"/>
      <c r="Z456" s="152"/>
      <c r="AA456" s="158"/>
      <c r="AB456" s="158"/>
      <c r="AC456" s="152"/>
      <c r="AD456" s="152"/>
      <c r="AE456" s="152"/>
      <c r="AF456" s="152"/>
      <c r="AG456" s="152"/>
      <c r="AH456" s="158"/>
      <c r="AI456" s="7"/>
      <c r="AJ456" s="7"/>
      <c r="AK456" s="7"/>
    </row>
    <row r="457" spans="1:37" ht="15.75" customHeight="1">
      <c r="A457" s="159" t="s">
        <v>972</v>
      </c>
      <c r="B457" s="160"/>
      <c r="C457" s="161"/>
      <c r="D457" s="155"/>
      <c r="E457" s="162"/>
      <c r="F457" s="162"/>
      <c r="G457" s="162"/>
      <c r="H457" s="155"/>
      <c r="I457" s="163"/>
      <c r="J457" s="163"/>
      <c r="K457" s="164"/>
      <c r="L457" s="163"/>
      <c r="M457" s="163"/>
      <c r="N457" s="163"/>
      <c r="O457" s="163"/>
      <c r="P457" s="163"/>
      <c r="Q457" s="163"/>
      <c r="R457" s="165"/>
      <c r="S457" s="165"/>
      <c r="T457" s="165"/>
      <c r="U457" s="165"/>
      <c r="V457" s="163"/>
      <c r="W457" s="163"/>
      <c r="X457" s="163"/>
      <c r="Y457" s="163"/>
      <c r="Z457" s="163"/>
      <c r="AA457" s="165"/>
      <c r="AB457" s="165"/>
      <c r="AC457" s="163"/>
      <c r="AD457" s="163"/>
      <c r="AE457" s="163"/>
      <c r="AF457" s="163"/>
      <c r="AG457" s="163"/>
      <c r="AH457" s="165"/>
      <c r="AI457" s="7"/>
      <c r="AJ457" s="7"/>
      <c r="AK457" s="7"/>
    </row>
    <row r="458" spans="1:37" ht="15.75" customHeight="1">
      <c r="A458" s="155"/>
      <c r="B458" s="156"/>
      <c r="C458" s="161"/>
      <c r="D458" s="155"/>
      <c r="E458" s="162"/>
      <c r="F458" s="162"/>
      <c r="G458" s="162"/>
      <c r="H458" s="155"/>
      <c r="I458" s="152"/>
      <c r="J458" s="152"/>
      <c r="K458" s="152"/>
      <c r="L458" s="152"/>
      <c r="M458" s="152"/>
      <c r="N458" s="152"/>
      <c r="O458" s="152"/>
      <c r="P458" s="152"/>
      <c r="Q458" s="152"/>
      <c r="R458" s="158"/>
      <c r="S458" s="158"/>
      <c r="T458" s="158"/>
      <c r="U458" s="158"/>
      <c r="V458" s="152"/>
      <c r="W458" s="152"/>
      <c r="X458" s="152"/>
      <c r="Y458" s="152"/>
      <c r="Z458" s="152"/>
      <c r="AA458" s="158"/>
      <c r="AB458" s="158"/>
      <c r="AC458" s="152"/>
      <c r="AD458" s="152"/>
      <c r="AE458" s="152"/>
      <c r="AF458" s="152"/>
      <c r="AG458" s="152"/>
      <c r="AH458" s="158"/>
      <c r="AI458" s="7"/>
      <c r="AJ458" s="7"/>
      <c r="AK458" s="7"/>
    </row>
    <row r="459" spans="1:37" ht="15.75" customHeight="1">
      <c r="A459" s="155"/>
      <c r="B459" s="156"/>
      <c r="C459" s="161"/>
      <c r="D459" s="155"/>
      <c r="E459" s="162"/>
      <c r="F459" s="162"/>
      <c r="G459" s="162"/>
      <c r="H459" s="155"/>
      <c r="I459" s="152"/>
      <c r="J459" s="152"/>
      <c r="K459" s="152"/>
      <c r="L459" s="152"/>
      <c r="M459" s="152"/>
      <c r="N459" s="152"/>
      <c r="O459" s="152"/>
      <c r="P459" s="152"/>
      <c r="Q459" s="152"/>
      <c r="R459" s="158"/>
      <c r="S459" s="158"/>
      <c r="T459" s="158"/>
      <c r="U459" s="158"/>
      <c r="V459" s="152"/>
      <c r="W459" s="152"/>
      <c r="X459" s="152"/>
      <c r="Y459" s="152"/>
      <c r="Z459" s="152"/>
      <c r="AA459" s="158"/>
      <c r="AB459" s="158"/>
      <c r="AC459" s="152"/>
      <c r="AD459" s="152"/>
      <c r="AE459" s="152"/>
      <c r="AF459" s="152"/>
      <c r="AG459" s="152"/>
      <c r="AH459" s="158"/>
      <c r="AI459" s="7"/>
      <c r="AJ459" s="7"/>
      <c r="AK459" s="7"/>
    </row>
    <row r="460" spans="1:37" ht="15.75" customHeight="1">
      <c r="A460" s="155"/>
      <c r="B460" s="166"/>
      <c r="C460" s="167"/>
      <c r="D460" s="155"/>
      <c r="E460" s="162"/>
      <c r="F460" s="162"/>
      <c r="G460" s="162"/>
      <c r="H460" s="155"/>
      <c r="I460" s="152"/>
      <c r="J460" s="152"/>
      <c r="K460" s="152"/>
      <c r="L460" s="152"/>
      <c r="M460" s="152"/>
      <c r="N460" s="152"/>
      <c r="O460" s="152"/>
      <c r="P460" s="152"/>
      <c r="Q460" s="152"/>
      <c r="R460" s="158"/>
      <c r="S460" s="158"/>
      <c r="T460" s="158"/>
      <c r="U460" s="158"/>
      <c r="V460" s="152"/>
      <c r="W460" s="152"/>
      <c r="X460" s="152"/>
      <c r="Y460" s="152"/>
      <c r="Z460" s="152"/>
      <c r="AA460" s="158"/>
      <c r="AB460" s="158"/>
      <c r="AC460" s="152"/>
      <c r="AD460" s="152"/>
      <c r="AE460" s="152"/>
      <c r="AF460" s="152"/>
      <c r="AG460" s="152"/>
      <c r="AH460" s="158"/>
      <c r="AI460" s="7"/>
      <c r="AJ460" s="7"/>
      <c r="AK460" s="7"/>
    </row>
    <row r="461" spans="1:37" ht="15.75" customHeight="1">
      <c r="A461" s="168"/>
      <c r="B461" s="169"/>
      <c r="C461" s="167"/>
      <c r="D461" s="155"/>
      <c r="E461" s="162"/>
      <c r="F461" s="162"/>
      <c r="G461" s="162"/>
      <c r="H461" s="155"/>
      <c r="I461" s="164"/>
      <c r="J461" s="164"/>
      <c r="K461" s="164"/>
      <c r="L461" s="164"/>
      <c r="M461" s="164"/>
      <c r="N461" s="164"/>
      <c r="O461" s="164"/>
      <c r="P461" s="164"/>
      <c r="Q461" s="164"/>
      <c r="R461" s="170"/>
      <c r="S461" s="170"/>
      <c r="T461" s="170"/>
      <c r="U461" s="170"/>
      <c r="V461" s="164"/>
      <c r="W461" s="164"/>
      <c r="X461" s="164"/>
      <c r="Y461" s="164"/>
      <c r="Z461" s="164"/>
      <c r="AA461" s="170"/>
      <c r="AB461" s="170"/>
      <c r="AC461" s="164"/>
      <c r="AD461" s="164"/>
      <c r="AE461" s="164"/>
      <c r="AF461" s="164"/>
      <c r="AG461" s="164"/>
      <c r="AH461" s="170"/>
      <c r="AI461" s="7"/>
      <c r="AJ461" s="7"/>
      <c r="AK461" s="7"/>
    </row>
    <row r="462" spans="1:37" ht="15.75" customHeight="1">
      <c r="A462" s="168"/>
      <c r="B462" s="169"/>
      <c r="C462" s="167"/>
      <c r="D462" s="155"/>
      <c r="E462" s="162"/>
      <c r="F462" s="162"/>
      <c r="G462" s="162"/>
      <c r="H462" s="155"/>
      <c r="I462" s="164"/>
      <c r="J462" s="164"/>
      <c r="K462" s="164"/>
      <c r="L462" s="164"/>
      <c r="M462" s="164"/>
      <c r="N462" s="164"/>
      <c r="O462" s="164"/>
      <c r="P462" s="164"/>
      <c r="Q462" s="164"/>
      <c r="R462" s="170"/>
      <c r="S462" s="170"/>
      <c r="T462" s="170"/>
      <c r="U462" s="170"/>
      <c r="V462" s="164"/>
      <c r="W462" s="164"/>
      <c r="X462" s="164"/>
      <c r="Y462" s="164"/>
      <c r="Z462" s="164"/>
      <c r="AA462" s="170"/>
      <c r="AB462" s="170"/>
      <c r="AC462" s="164"/>
      <c r="AD462" s="164"/>
      <c r="AE462" s="164"/>
      <c r="AF462" s="164"/>
      <c r="AG462" s="164"/>
      <c r="AH462" s="170"/>
      <c r="AI462" s="7"/>
      <c r="AJ462" s="7"/>
      <c r="AK462" s="7"/>
    </row>
    <row r="463" spans="1:37" ht="15.75" customHeight="1">
      <c r="A463" s="168"/>
      <c r="B463" s="169"/>
      <c r="C463" s="167"/>
      <c r="D463" s="155"/>
      <c r="E463" s="162"/>
      <c r="F463" s="162"/>
      <c r="G463" s="162"/>
      <c r="H463" s="155"/>
      <c r="I463" s="164"/>
      <c r="J463" s="164"/>
      <c r="K463" s="164"/>
      <c r="L463" s="164"/>
      <c r="M463" s="164"/>
      <c r="N463" s="164"/>
      <c r="O463" s="164"/>
      <c r="P463" s="164"/>
      <c r="Q463" s="164"/>
      <c r="R463" s="170"/>
      <c r="S463" s="170"/>
      <c r="T463" s="170"/>
      <c r="U463" s="170"/>
      <c r="V463" s="164"/>
      <c r="W463" s="164"/>
      <c r="X463" s="164"/>
      <c r="Y463" s="164"/>
      <c r="Z463" s="164"/>
      <c r="AA463" s="170"/>
      <c r="AB463" s="170"/>
      <c r="AC463" s="164"/>
      <c r="AD463" s="164"/>
      <c r="AE463" s="164"/>
      <c r="AF463" s="164"/>
      <c r="AG463" s="164"/>
      <c r="AH463" s="170"/>
      <c r="AI463" s="7"/>
      <c r="AJ463" s="7"/>
      <c r="AK463" s="7"/>
    </row>
    <row r="464" spans="1:37" ht="15.75" customHeight="1">
      <c r="A464" s="168"/>
      <c r="B464" s="169"/>
      <c r="C464" s="167"/>
      <c r="D464" s="155"/>
      <c r="E464" s="162"/>
      <c r="F464" s="162"/>
      <c r="G464" s="162"/>
      <c r="H464" s="155"/>
      <c r="I464" s="164"/>
      <c r="J464" s="164"/>
      <c r="K464" s="164"/>
      <c r="L464" s="164"/>
      <c r="M464" s="164"/>
      <c r="N464" s="164"/>
      <c r="O464" s="164"/>
      <c r="P464" s="164"/>
      <c r="Q464" s="164"/>
      <c r="R464" s="170"/>
      <c r="S464" s="170"/>
      <c r="T464" s="170"/>
      <c r="U464" s="170"/>
      <c r="V464" s="164"/>
      <c r="W464" s="164"/>
      <c r="X464" s="164"/>
      <c r="Y464" s="164"/>
      <c r="Z464" s="164"/>
      <c r="AA464" s="170"/>
      <c r="AB464" s="170"/>
      <c r="AC464" s="164"/>
      <c r="AD464" s="164"/>
      <c r="AE464" s="164"/>
      <c r="AF464" s="164"/>
      <c r="AG464" s="164"/>
      <c r="AH464" s="170"/>
      <c r="AI464" s="7"/>
      <c r="AJ464" s="7"/>
      <c r="AK464" s="7"/>
    </row>
    <row r="465" spans="1:37" ht="15.75" customHeight="1">
      <c r="A465" s="168"/>
      <c r="B465" s="169"/>
      <c r="C465" s="167"/>
      <c r="D465" s="155"/>
      <c r="E465" s="162"/>
      <c r="F465" s="162"/>
      <c r="G465" s="162"/>
      <c r="H465" s="155"/>
      <c r="I465" s="164"/>
      <c r="J465" s="164"/>
      <c r="K465" s="164"/>
      <c r="L465" s="164"/>
      <c r="M465" s="164"/>
      <c r="N465" s="164"/>
      <c r="O465" s="164"/>
      <c r="P465" s="164"/>
      <c r="Q465" s="164"/>
      <c r="R465" s="170"/>
      <c r="S465" s="170"/>
      <c r="T465" s="170"/>
      <c r="U465" s="170"/>
      <c r="V465" s="164"/>
      <c r="W465" s="164"/>
      <c r="X465" s="164"/>
      <c r="Y465" s="164"/>
      <c r="Z465" s="164"/>
      <c r="AA465" s="170"/>
      <c r="AB465" s="170"/>
      <c r="AC465" s="164"/>
      <c r="AD465" s="164"/>
      <c r="AE465" s="164"/>
      <c r="AF465" s="164"/>
      <c r="AG465" s="164"/>
      <c r="AH465" s="170"/>
      <c r="AI465" s="7"/>
      <c r="AJ465" s="7"/>
      <c r="AK465" s="7"/>
    </row>
    <row r="466" spans="1:37" ht="15.75" customHeight="1">
      <c r="A466" s="168"/>
      <c r="B466" s="169"/>
      <c r="C466" s="167"/>
      <c r="D466" s="155"/>
      <c r="E466" s="162"/>
      <c r="F466" s="162"/>
      <c r="G466" s="162"/>
      <c r="H466" s="155"/>
      <c r="I466" s="164"/>
      <c r="J466" s="164"/>
      <c r="K466" s="164"/>
      <c r="L466" s="164"/>
      <c r="M466" s="164"/>
      <c r="N466" s="164"/>
      <c r="O466" s="164"/>
      <c r="P466" s="164"/>
      <c r="Q466" s="164"/>
      <c r="R466" s="170"/>
      <c r="S466" s="170"/>
      <c r="T466" s="170"/>
      <c r="U466" s="170"/>
      <c r="V466" s="164"/>
      <c r="W466" s="164"/>
      <c r="X466" s="164"/>
      <c r="Y466" s="164"/>
      <c r="Z466" s="164"/>
      <c r="AA466" s="170"/>
      <c r="AB466" s="170"/>
      <c r="AC466" s="164"/>
      <c r="AD466" s="164"/>
      <c r="AE466" s="164"/>
      <c r="AF466" s="164"/>
      <c r="AG466" s="164"/>
      <c r="AH466" s="170"/>
      <c r="AI466" s="7"/>
      <c r="AJ466" s="7"/>
      <c r="AK466" s="7"/>
    </row>
    <row r="467" spans="1:37" ht="15.75" customHeight="1">
      <c r="A467" s="168"/>
      <c r="B467" s="169"/>
      <c r="C467" s="167"/>
      <c r="D467" s="155"/>
      <c r="E467" s="162"/>
      <c r="F467" s="162"/>
      <c r="G467" s="162"/>
      <c r="H467" s="155"/>
      <c r="I467" s="164"/>
      <c r="J467" s="164"/>
      <c r="K467" s="164"/>
      <c r="L467" s="164"/>
      <c r="M467" s="164"/>
      <c r="N467" s="164"/>
      <c r="O467" s="164"/>
      <c r="P467" s="164"/>
      <c r="Q467" s="164"/>
      <c r="R467" s="170"/>
      <c r="S467" s="170"/>
      <c r="T467" s="170"/>
      <c r="U467" s="170"/>
      <c r="V467" s="164"/>
      <c r="W467" s="164"/>
      <c r="X467" s="164"/>
      <c r="Y467" s="164"/>
      <c r="Z467" s="164"/>
      <c r="AA467" s="170"/>
      <c r="AB467" s="170"/>
      <c r="AC467" s="164"/>
      <c r="AD467" s="164"/>
      <c r="AE467" s="164"/>
      <c r="AF467" s="164"/>
      <c r="AG467" s="164"/>
      <c r="AH467" s="170"/>
      <c r="AI467" s="7"/>
      <c r="AJ467" s="7"/>
      <c r="AK467" s="7"/>
    </row>
    <row r="468" spans="1:37" ht="15.75" customHeight="1">
      <c r="A468" s="168"/>
      <c r="B468" s="169"/>
      <c r="C468" s="167"/>
      <c r="D468" s="155"/>
      <c r="E468" s="162"/>
      <c r="F468" s="162"/>
      <c r="G468" s="162"/>
      <c r="H468" s="155"/>
      <c r="I468" s="164"/>
      <c r="J468" s="164"/>
      <c r="K468" s="164"/>
      <c r="L468" s="164"/>
      <c r="M468" s="164"/>
      <c r="N468" s="164"/>
      <c r="O468" s="164"/>
      <c r="P468" s="164"/>
      <c r="Q468" s="164"/>
      <c r="R468" s="170"/>
      <c r="S468" s="170"/>
      <c r="T468" s="170"/>
      <c r="U468" s="170"/>
      <c r="V468" s="164"/>
      <c r="W468" s="164"/>
      <c r="X468" s="164"/>
      <c r="Y468" s="164"/>
      <c r="Z468" s="164"/>
      <c r="AA468" s="170"/>
      <c r="AB468" s="170"/>
      <c r="AC468" s="164"/>
      <c r="AD468" s="164"/>
      <c r="AE468" s="164"/>
      <c r="AF468" s="164"/>
      <c r="AG468" s="164"/>
      <c r="AH468" s="170"/>
      <c r="AI468" s="7"/>
      <c r="AJ468" s="7"/>
      <c r="AK468" s="7"/>
    </row>
    <row r="469" spans="1:37" ht="15.75" customHeight="1">
      <c r="A469" s="168"/>
      <c r="B469" s="169"/>
      <c r="C469" s="167"/>
      <c r="D469" s="155"/>
      <c r="E469" s="162"/>
      <c r="F469" s="162"/>
      <c r="G469" s="162"/>
      <c r="H469" s="155"/>
      <c r="I469" s="164"/>
      <c r="J469" s="164"/>
      <c r="K469" s="164"/>
      <c r="L469" s="164"/>
      <c r="M469" s="164"/>
      <c r="N469" s="164"/>
      <c r="O469" s="164"/>
      <c r="P469" s="164"/>
      <c r="Q469" s="164"/>
      <c r="R469" s="170"/>
      <c r="S469" s="170"/>
      <c r="T469" s="170"/>
      <c r="U469" s="170"/>
      <c r="V469" s="164"/>
      <c r="W469" s="164"/>
      <c r="X469" s="164"/>
      <c r="Y469" s="164"/>
      <c r="Z469" s="164"/>
      <c r="AA469" s="170"/>
      <c r="AB469" s="170"/>
      <c r="AC469" s="164"/>
      <c r="AD469" s="164"/>
      <c r="AE469" s="164"/>
      <c r="AF469" s="164"/>
      <c r="AG469" s="164"/>
      <c r="AH469" s="170"/>
      <c r="AI469" s="7"/>
      <c r="AJ469" s="7"/>
      <c r="AK469" s="7"/>
    </row>
    <row r="470" spans="1:37" ht="15.75" customHeight="1">
      <c r="A470" s="168"/>
      <c r="B470" s="169"/>
      <c r="C470" s="167"/>
      <c r="D470" s="155"/>
      <c r="E470" s="162"/>
      <c r="F470" s="162"/>
      <c r="G470" s="162"/>
      <c r="H470" s="155"/>
      <c r="I470" s="164"/>
      <c r="J470" s="164"/>
      <c r="K470" s="164"/>
      <c r="L470" s="164"/>
      <c r="M470" s="164"/>
      <c r="N470" s="164"/>
      <c r="O470" s="164"/>
      <c r="P470" s="164"/>
      <c r="Q470" s="164"/>
      <c r="R470" s="170"/>
      <c r="S470" s="170"/>
      <c r="T470" s="170"/>
      <c r="U470" s="170"/>
      <c r="V470" s="164"/>
      <c r="W470" s="164"/>
      <c r="X470" s="164"/>
      <c r="Y470" s="164"/>
      <c r="Z470" s="164"/>
      <c r="AA470" s="170"/>
      <c r="AB470" s="170"/>
      <c r="AC470" s="164"/>
      <c r="AD470" s="164"/>
      <c r="AE470" s="164"/>
      <c r="AF470" s="164"/>
      <c r="AG470" s="164"/>
      <c r="AH470" s="170"/>
      <c r="AI470" s="7"/>
      <c r="AJ470" s="7"/>
      <c r="AK470" s="7"/>
    </row>
    <row r="471" spans="1:37" ht="15.75" customHeight="1">
      <c r="A471" s="168"/>
      <c r="B471" s="169"/>
      <c r="C471" s="167"/>
      <c r="D471" s="155"/>
      <c r="E471" s="162"/>
      <c r="F471" s="162"/>
      <c r="G471" s="162"/>
      <c r="H471" s="155"/>
      <c r="I471" s="164"/>
      <c r="J471" s="164"/>
      <c r="K471" s="164"/>
      <c r="L471" s="164"/>
      <c r="M471" s="164"/>
      <c r="N471" s="164"/>
      <c r="O471" s="164"/>
      <c r="P471" s="164"/>
      <c r="Q471" s="164"/>
      <c r="R471" s="170"/>
      <c r="S471" s="170"/>
      <c r="T471" s="170"/>
      <c r="U471" s="170"/>
      <c r="V471" s="164"/>
      <c r="W471" s="164"/>
      <c r="X471" s="164"/>
      <c r="Y471" s="164"/>
      <c r="Z471" s="164"/>
      <c r="AA471" s="170"/>
      <c r="AB471" s="170"/>
      <c r="AC471" s="164"/>
      <c r="AD471" s="164"/>
      <c r="AE471" s="164"/>
      <c r="AF471" s="164"/>
      <c r="AG471" s="164"/>
      <c r="AH471" s="170"/>
      <c r="AI471" s="7"/>
      <c r="AJ471" s="7"/>
      <c r="AK471" s="7"/>
    </row>
    <row r="472" spans="1:37" ht="15.75" customHeight="1">
      <c r="A472" s="168"/>
      <c r="B472" s="169"/>
      <c r="C472" s="167"/>
      <c r="D472" s="155"/>
      <c r="E472" s="162"/>
      <c r="F472" s="162"/>
      <c r="G472" s="162"/>
      <c r="H472" s="155"/>
      <c r="I472" s="164"/>
      <c r="J472" s="164"/>
      <c r="K472" s="164"/>
      <c r="L472" s="164"/>
      <c r="M472" s="164"/>
      <c r="N472" s="164"/>
      <c r="O472" s="164"/>
      <c r="P472" s="164"/>
      <c r="Q472" s="164"/>
      <c r="R472" s="170"/>
      <c r="S472" s="170"/>
      <c r="T472" s="170"/>
      <c r="U472" s="170"/>
      <c r="V472" s="164"/>
      <c r="W472" s="164"/>
      <c r="X472" s="164"/>
      <c r="Y472" s="164"/>
      <c r="Z472" s="164"/>
      <c r="AA472" s="170"/>
      <c r="AB472" s="170"/>
      <c r="AC472" s="164"/>
      <c r="AD472" s="164"/>
      <c r="AE472" s="164"/>
      <c r="AF472" s="164"/>
      <c r="AG472" s="164"/>
      <c r="AH472" s="170"/>
      <c r="AI472" s="7"/>
      <c r="AJ472" s="7"/>
      <c r="AK472" s="7"/>
    </row>
    <row r="473" spans="1:37" ht="15.75" customHeight="1">
      <c r="A473" s="168"/>
      <c r="B473" s="169"/>
      <c r="C473" s="167"/>
      <c r="D473" s="155"/>
      <c r="E473" s="162"/>
      <c r="F473" s="162"/>
      <c r="G473" s="162"/>
      <c r="H473" s="155"/>
      <c r="I473" s="164"/>
      <c r="J473" s="164"/>
      <c r="K473" s="164"/>
      <c r="L473" s="164"/>
      <c r="M473" s="164"/>
      <c r="N473" s="164"/>
      <c r="O473" s="164"/>
      <c r="P473" s="164"/>
      <c r="Q473" s="164"/>
      <c r="R473" s="170"/>
      <c r="S473" s="170"/>
      <c r="T473" s="170"/>
      <c r="U473" s="170"/>
      <c r="V473" s="164"/>
      <c r="W473" s="164"/>
      <c r="X473" s="164"/>
      <c r="Y473" s="164"/>
      <c r="Z473" s="164"/>
      <c r="AA473" s="170"/>
      <c r="AB473" s="170"/>
      <c r="AC473" s="164"/>
      <c r="AD473" s="164"/>
      <c r="AE473" s="164"/>
      <c r="AF473" s="164"/>
      <c r="AG473" s="164"/>
      <c r="AH473" s="170"/>
      <c r="AI473" s="7"/>
      <c r="AJ473" s="7"/>
      <c r="AK473" s="7"/>
    </row>
    <row r="474" spans="1:37" ht="15.75" customHeight="1">
      <c r="A474" s="168"/>
      <c r="B474" s="169"/>
      <c r="C474" s="167"/>
      <c r="D474" s="155"/>
      <c r="E474" s="162"/>
      <c r="F474" s="162"/>
      <c r="G474" s="162"/>
      <c r="H474" s="155"/>
      <c r="I474" s="164"/>
      <c r="J474" s="164"/>
      <c r="K474" s="164"/>
      <c r="L474" s="164"/>
      <c r="M474" s="164"/>
      <c r="N474" s="164"/>
      <c r="O474" s="164"/>
      <c r="P474" s="164"/>
      <c r="Q474" s="164"/>
      <c r="R474" s="170"/>
      <c r="S474" s="170"/>
      <c r="T474" s="170"/>
      <c r="U474" s="170"/>
      <c r="V474" s="164"/>
      <c r="W474" s="164"/>
      <c r="X474" s="164"/>
      <c r="Y474" s="164"/>
      <c r="Z474" s="164"/>
      <c r="AA474" s="170"/>
      <c r="AB474" s="170"/>
      <c r="AC474" s="164"/>
      <c r="AD474" s="164"/>
      <c r="AE474" s="164"/>
      <c r="AF474" s="164"/>
      <c r="AG474" s="164"/>
      <c r="AH474" s="170"/>
      <c r="AI474" s="7"/>
      <c r="AJ474" s="7"/>
      <c r="AK474" s="7"/>
    </row>
    <row r="475" spans="1:37" ht="15.75" customHeight="1">
      <c r="A475" s="168"/>
      <c r="B475" s="169"/>
      <c r="C475" s="167"/>
      <c r="D475" s="155"/>
      <c r="E475" s="162"/>
      <c r="F475" s="162"/>
      <c r="G475" s="162"/>
      <c r="H475" s="155"/>
      <c r="I475" s="164"/>
      <c r="J475" s="164"/>
      <c r="K475" s="164"/>
      <c r="L475" s="164"/>
      <c r="M475" s="164"/>
      <c r="N475" s="164"/>
      <c r="O475" s="164"/>
      <c r="P475" s="164"/>
      <c r="Q475" s="164"/>
      <c r="R475" s="170"/>
      <c r="S475" s="170"/>
      <c r="T475" s="170"/>
      <c r="U475" s="170"/>
      <c r="V475" s="164"/>
      <c r="W475" s="164"/>
      <c r="X475" s="164"/>
      <c r="Y475" s="164"/>
      <c r="Z475" s="164"/>
      <c r="AA475" s="170"/>
      <c r="AB475" s="170"/>
      <c r="AC475" s="164"/>
      <c r="AD475" s="164"/>
      <c r="AE475" s="164"/>
      <c r="AF475" s="164"/>
      <c r="AG475" s="164"/>
      <c r="AH475" s="170"/>
      <c r="AI475" s="7"/>
      <c r="AJ475" s="7"/>
      <c r="AK475" s="7"/>
    </row>
    <row r="476" spans="1:37" ht="15.75" customHeight="1">
      <c r="A476" s="168"/>
      <c r="B476" s="169"/>
      <c r="C476" s="167"/>
      <c r="D476" s="155"/>
      <c r="E476" s="162"/>
      <c r="F476" s="162"/>
      <c r="G476" s="162"/>
      <c r="H476" s="155"/>
      <c r="I476" s="164"/>
      <c r="J476" s="164"/>
      <c r="K476" s="164"/>
      <c r="L476" s="164"/>
      <c r="M476" s="164"/>
      <c r="N476" s="164"/>
      <c r="O476" s="164"/>
      <c r="P476" s="164"/>
      <c r="Q476" s="164"/>
      <c r="R476" s="170"/>
      <c r="S476" s="170"/>
      <c r="T476" s="170"/>
      <c r="U476" s="170"/>
      <c r="V476" s="164"/>
      <c r="W476" s="164"/>
      <c r="X476" s="164"/>
      <c r="Y476" s="164"/>
      <c r="Z476" s="164"/>
      <c r="AA476" s="170"/>
      <c r="AB476" s="170"/>
      <c r="AC476" s="164"/>
      <c r="AD476" s="164"/>
      <c r="AE476" s="164"/>
      <c r="AF476" s="164"/>
      <c r="AG476" s="164"/>
      <c r="AH476" s="170"/>
      <c r="AI476" s="7"/>
      <c r="AJ476" s="7"/>
      <c r="AK476" s="7"/>
    </row>
    <row r="477" spans="1:37" ht="15.75" customHeight="1">
      <c r="A477" s="168"/>
      <c r="B477" s="169"/>
      <c r="C477" s="167"/>
      <c r="D477" s="155"/>
      <c r="E477" s="162"/>
      <c r="F477" s="162"/>
      <c r="G477" s="162"/>
      <c r="H477" s="155"/>
      <c r="I477" s="164"/>
      <c r="J477" s="164"/>
      <c r="K477" s="164"/>
      <c r="L477" s="164"/>
      <c r="M477" s="164"/>
      <c r="N477" s="164"/>
      <c r="O477" s="164"/>
      <c r="P477" s="164"/>
      <c r="Q477" s="164"/>
      <c r="R477" s="170"/>
      <c r="S477" s="170"/>
      <c r="T477" s="170"/>
      <c r="U477" s="170"/>
      <c r="V477" s="164"/>
      <c r="W477" s="164"/>
      <c r="X477" s="164"/>
      <c r="Y477" s="164"/>
      <c r="Z477" s="164"/>
      <c r="AA477" s="170"/>
      <c r="AB477" s="170"/>
      <c r="AC477" s="164"/>
      <c r="AD477" s="164"/>
      <c r="AE477" s="164"/>
      <c r="AF477" s="164"/>
      <c r="AG477" s="164"/>
      <c r="AH477" s="170"/>
      <c r="AI477" s="7"/>
      <c r="AJ477" s="7"/>
      <c r="AK477" s="7"/>
    </row>
    <row r="478" spans="1:37" ht="15.75" customHeight="1">
      <c r="A478" s="168"/>
      <c r="B478" s="169"/>
      <c r="C478" s="167"/>
      <c r="D478" s="155"/>
      <c r="E478" s="162"/>
      <c r="F478" s="162"/>
      <c r="G478" s="162"/>
      <c r="H478" s="155"/>
      <c r="I478" s="164"/>
      <c r="J478" s="164"/>
      <c r="K478" s="164"/>
      <c r="L478" s="164"/>
      <c r="M478" s="164"/>
      <c r="N478" s="164"/>
      <c r="O478" s="164"/>
      <c r="P478" s="164"/>
      <c r="Q478" s="164"/>
      <c r="R478" s="170"/>
      <c r="S478" s="170"/>
      <c r="T478" s="170"/>
      <c r="U478" s="170"/>
      <c r="V478" s="164"/>
      <c r="W478" s="164"/>
      <c r="X478" s="164"/>
      <c r="Y478" s="164"/>
      <c r="Z478" s="164"/>
      <c r="AA478" s="170"/>
      <c r="AB478" s="170"/>
      <c r="AC478" s="164"/>
      <c r="AD478" s="164"/>
      <c r="AE478" s="164"/>
      <c r="AF478" s="164"/>
      <c r="AG478" s="164"/>
      <c r="AH478" s="170"/>
      <c r="AI478" s="7"/>
      <c r="AJ478" s="7"/>
      <c r="AK478" s="7"/>
    </row>
    <row r="479" spans="1:37" ht="15.75" customHeight="1">
      <c r="A479" s="168"/>
      <c r="B479" s="169"/>
      <c r="C479" s="167"/>
      <c r="D479" s="155"/>
      <c r="E479" s="162"/>
      <c r="F479" s="162"/>
      <c r="G479" s="162"/>
      <c r="H479" s="155"/>
      <c r="I479" s="164"/>
      <c r="J479" s="164"/>
      <c r="K479" s="164"/>
      <c r="L479" s="164"/>
      <c r="M479" s="164"/>
      <c r="N479" s="164"/>
      <c r="O479" s="164"/>
      <c r="P479" s="164"/>
      <c r="Q479" s="164"/>
      <c r="R479" s="170"/>
      <c r="S479" s="170"/>
      <c r="T479" s="170"/>
      <c r="U479" s="170"/>
      <c r="V479" s="164"/>
      <c r="W479" s="164"/>
      <c r="X479" s="164"/>
      <c r="Y479" s="164"/>
      <c r="Z479" s="164"/>
      <c r="AA479" s="170"/>
      <c r="AB479" s="170"/>
      <c r="AC479" s="164"/>
      <c r="AD479" s="164"/>
      <c r="AE479" s="164"/>
      <c r="AF479" s="164"/>
      <c r="AG479" s="164"/>
      <c r="AH479" s="170"/>
      <c r="AI479" s="7"/>
      <c r="AJ479" s="7"/>
      <c r="AK479" s="7"/>
    </row>
    <row r="480" spans="1:37" ht="15.75" customHeight="1">
      <c r="A480" s="168"/>
      <c r="B480" s="169"/>
      <c r="C480" s="167"/>
      <c r="D480" s="155"/>
      <c r="E480" s="162"/>
      <c r="F480" s="162"/>
      <c r="G480" s="162"/>
      <c r="H480" s="155"/>
      <c r="I480" s="164"/>
      <c r="J480" s="164"/>
      <c r="K480" s="164"/>
      <c r="L480" s="164"/>
      <c r="M480" s="164"/>
      <c r="N480" s="164"/>
      <c r="O480" s="164"/>
      <c r="P480" s="164"/>
      <c r="Q480" s="164"/>
      <c r="R480" s="170"/>
      <c r="S480" s="170"/>
      <c r="T480" s="170"/>
      <c r="U480" s="170"/>
      <c r="V480" s="164"/>
      <c r="W480" s="164"/>
      <c r="X480" s="164"/>
      <c r="Y480" s="164"/>
      <c r="Z480" s="164"/>
      <c r="AA480" s="170"/>
      <c r="AB480" s="170"/>
      <c r="AC480" s="164"/>
      <c r="AD480" s="164"/>
      <c r="AE480" s="164"/>
      <c r="AF480" s="164"/>
      <c r="AG480" s="164"/>
      <c r="AH480" s="170"/>
      <c r="AI480" s="7"/>
      <c r="AJ480" s="7"/>
      <c r="AK480" s="7"/>
    </row>
    <row r="481" spans="1:37" ht="15.75" customHeight="1">
      <c r="A481" s="168"/>
      <c r="B481" s="169"/>
      <c r="C481" s="167"/>
      <c r="D481" s="155"/>
      <c r="E481" s="162"/>
      <c r="F481" s="162"/>
      <c r="G481" s="162"/>
      <c r="H481" s="155"/>
      <c r="I481" s="164"/>
      <c r="J481" s="164"/>
      <c r="K481" s="164"/>
      <c r="L481" s="164"/>
      <c r="M481" s="164"/>
      <c r="N481" s="164"/>
      <c r="O481" s="164"/>
      <c r="P481" s="164"/>
      <c r="Q481" s="164"/>
      <c r="R481" s="170"/>
      <c r="S481" s="170"/>
      <c r="T481" s="170"/>
      <c r="U481" s="170"/>
      <c r="V481" s="164"/>
      <c r="W481" s="164"/>
      <c r="X481" s="164"/>
      <c r="Y481" s="164"/>
      <c r="Z481" s="164"/>
      <c r="AA481" s="170"/>
      <c r="AB481" s="170"/>
      <c r="AC481" s="164"/>
      <c r="AD481" s="164"/>
      <c r="AE481" s="164"/>
      <c r="AF481" s="164"/>
      <c r="AG481" s="164"/>
      <c r="AH481" s="170"/>
      <c r="AI481" s="7"/>
      <c r="AJ481" s="7"/>
      <c r="AK481" s="7"/>
    </row>
    <row r="482" spans="1:37" ht="15.75" customHeight="1">
      <c r="A482" s="168"/>
      <c r="B482" s="169"/>
      <c r="C482" s="167"/>
      <c r="D482" s="155"/>
      <c r="E482" s="162"/>
      <c r="F482" s="162"/>
      <c r="G482" s="162"/>
      <c r="H482" s="155"/>
      <c r="I482" s="164"/>
      <c r="J482" s="164"/>
      <c r="K482" s="164"/>
      <c r="L482" s="164"/>
      <c r="M482" s="164"/>
      <c r="N482" s="164"/>
      <c r="O482" s="164"/>
      <c r="P482" s="164"/>
      <c r="Q482" s="164"/>
      <c r="R482" s="170"/>
      <c r="S482" s="170"/>
      <c r="T482" s="170"/>
      <c r="U482" s="170"/>
      <c r="V482" s="164"/>
      <c r="W482" s="164"/>
      <c r="X482" s="164"/>
      <c r="Y482" s="164"/>
      <c r="Z482" s="164"/>
      <c r="AA482" s="170"/>
      <c r="AB482" s="170"/>
      <c r="AC482" s="164"/>
      <c r="AD482" s="164"/>
      <c r="AE482" s="164"/>
      <c r="AF482" s="164"/>
      <c r="AG482" s="164"/>
      <c r="AH482" s="170"/>
      <c r="AI482" s="7"/>
      <c r="AJ482" s="7"/>
      <c r="AK482" s="7"/>
    </row>
    <row r="483" spans="1:37" ht="15.75" customHeight="1">
      <c r="A483" s="168"/>
      <c r="B483" s="169"/>
      <c r="C483" s="167"/>
      <c r="D483" s="155"/>
      <c r="E483" s="162"/>
      <c r="F483" s="162"/>
      <c r="G483" s="162"/>
      <c r="H483" s="155"/>
      <c r="I483" s="164"/>
      <c r="J483" s="164"/>
      <c r="K483" s="164"/>
      <c r="L483" s="164"/>
      <c r="M483" s="164"/>
      <c r="N483" s="164"/>
      <c r="O483" s="164"/>
      <c r="P483" s="164"/>
      <c r="Q483" s="164"/>
      <c r="R483" s="170"/>
      <c r="S483" s="170"/>
      <c r="T483" s="170"/>
      <c r="U483" s="170"/>
      <c r="V483" s="164"/>
      <c r="W483" s="164"/>
      <c r="X483" s="164"/>
      <c r="Y483" s="164"/>
      <c r="Z483" s="164"/>
      <c r="AA483" s="170"/>
      <c r="AB483" s="170"/>
      <c r="AC483" s="164"/>
      <c r="AD483" s="164"/>
      <c r="AE483" s="164"/>
      <c r="AF483" s="164"/>
      <c r="AG483" s="164"/>
      <c r="AH483" s="170"/>
      <c r="AI483" s="7"/>
      <c r="AJ483" s="7"/>
      <c r="AK483" s="7"/>
    </row>
    <row r="484" spans="1:37" ht="15.75" customHeight="1">
      <c r="A484" s="168"/>
      <c r="B484" s="169"/>
      <c r="C484" s="167"/>
      <c r="D484" s="155"/>
      <c r="E484" s="162"/>
      <c r="F484" s="162"/>
      <c r="G484" s="162"/>
      <c r="H484" s="155"/>
      <c r="I484" s="164"/>
      <c r="J484" s="164"/>
      <c r="K484" s="164"/>
      <c r="L484" s="164"/>
      <c r="M484" s="164"/>
      <c r="N484" s="164"/>
      <c r="O484" s="164"/>
      <c r="P484" s="164"/>
      <c r="Q484" s="164"/>
      <c r="R484" s="170"/>
      <c r="S484" s="170"/>
      <c r="T484" s="170"/>
      <c r="U484" s="170"/>
      <c r="V484" s="164"/>
      <c r="W484" s="164"/>
      <c r="X484" s="164"/>
      <c r="Y484" s="164"/>
      <c r="Z484" s="164"/>
      <c r="AA484" s="170"/>
      <c r="AB484" s="170"/>
      <c r="AC484" s="164"/>
      <c r="AD484" s="164"/>
      <c r="AE484" s="164"/>
      <c r="AF484" s="164"/>
      <c r="AG484" s="164"/>
      <c r="AH484" s="170"/>
      <c r="AI484" s="7"/>
      <c r="AJ484" s="7"/>
      <c r="AK484" s="7"/>
    </row>
    <row r="485" spans="1:37" ht="15.75" customHeight="1">
      <c r="A485" s="168"/>
      <c r="B485" s="169"/>
      <c r="C485" s="167"/>
      <c r="D485" s="155"/>
      <c r="E485" s="162"/>
      <c r="F485" s="162"/>
      <c r="G485" s="162"/>
      <c r="H485" s="155"/>
      <c r="I485" s="164"/>
      <c r="J485" s="164"/>
      <c r="K485" s="164"/>
      <c r="L485" s="164"/>
      <c r="M485" s="164"/>
      <c r="N485" s="164"/>
      <c r="O485" s="164"/>
      <c r="P485" s="164"/>
      <c r="Q485" s="164"/>
      <c r="R485" s="170"/>
      <c r="S485" s="170"/>
      <c r="T485" s="170"/>
      <c r="U485" s="170"/>
      <c r="V485" s="164"/>
      <c r="W485" s="164"/>
      <c r="X485" s="164"/>
      <c r="Y485" s="164"/>
      <c r="Z485" s="164"/>
      <c r="AA485" s="170"/>
      <c r="AB485" s="170"/>
      <c r="AC485" s="164"/>
      <c r="AD485" s="164"/>
      <c r="AE485" s="164"/>
      <c r="AF485" s="164"/>
      <c r="AG485" s="164"/>
      <c r="AH485" s="170"/>
      <c r="AI485" s="7"/>
      <c r="AJ485" s="7"/>
      <c r="AK485" s="7"/>
    </row>
    <row r="486" spans="1:37" ht="15.75" customHeight="1">
      <c r="A486" s="168"/>
      <c r="B486" s="169"/>
      <c r="C486" s="167"/>
      <c r="D486" s="155"/>
      <c r="E486" s="162"/>
      <c r="F486" s="162"/>
      <c r="G486" s="162"/>
      <c r="H486" s="155"/>
      <c r="I486" s="164"/>
      <c r="J486" s="164"/>
      <c r="K486" s="164"/>
      <c r="L486" s="164"/>
      <c r="M486" s="164"/>
      <c r="N486" s="164"/>
      <c r="O486" s="164"/>
      <c r="P486" s="164"/>
      <c r="Q486" s="164"/>
      <c r="R486" s="170"/>
      <c r="S486" s="170"/>
      <c r="T486" s="170"/>
      <c r="U486" s="170"/>
      <c r="V486" s="164"/>
      <c r="W486" s="164"/>
      <c r="X486" s="164"/>
      <c r="Y486" s="164"/>
      <c r="Z486" s="164"/>
      <c r="AA486" s="170"/>
      <c r="AB486" s="170"/>
      <c r="AC486" s="164"/>
      <c r="AD486" s="164"/>
      <c r="AE486" s="164"/>
      <c r="AF486" s="164"/>
      <c r="AG486" s="164"/>
      <c r="AH486" s="170"/>
      <c r="AI486" s="7"/>
      <c r="AJ486" s="7"/>
      <c r="AK486" s="7"/>
    </row>
    <row r="487" spans="1:37" ht="15.75" customHeight="1">
      <c r="A487" s="168"/>
      <c r="B487" s="169"/>
      <c r="C487" s="167"/>
      <c r="D487" s="155"/>
      <c r="E487" s="162"/>
      <c r="F487" s="162"/>
      <c r="G487" s="162"/>
      <c r="H487" s="155"/>
      <c r="I487" s="164"/>
      <c r="J487" s="164"/>
      <c r="K487" s="164"/>
      <c r="L487" s="164"/>
      <c r="M487" s="164"/>
      <c r="N487" s="164"/>
      <c r="O487" s="164"/>
      <c r="P487" s="164"/>
      <c r="Q487" s="164"/>
      <c r="R487" s="170"/>
      <c r="S487" s="170"/>
      <c r="T487" s="170"/>
      <c r="U487" s="170"/>
      <c r="V487" s="164"/>
      <c r="W487" s="164"/>
      <c r="X487" s="164"/>
      <c r="Y487" s="164"/>
      <c r="Z487" s="164"/>
      <c r="AA487" s="170"/>
      <c r="AB487" s="170"/>
      <c r="AC487" s="164"/>
      <c r="AD487" s="164"/>
      <c r="AE487" s="164"/>
      <c r="AF487" s="164"/>
      <c r="AG487" s="164"/>
      <c r="AH487" s="170"/>
      <c r="AI487" s="7"/>
      <c r="AJ487" s="7"/>
      <c r="AK487" s="7"/>
    </row>
    <row r="488" spans="1:37" ht="15.75" customHeight="1">
      <c r="A488" s="168"/>
      <c r="B488" s="169"/>
      <c r="C488" s="167"/>
      <c r="D488" s="155"/>
      <c r="E488" s="162"/>
      <c r="F488" s="162"/>
      <c r="G488" s="162"/>
      <c r="H488" s="155"/>
      <c r="I488" s="164"/>
      <c r="J488" s="164"/>
      <c r="K488" s="164"/>
      <c r="L488" s="164"/>
      <c r="M488" s="164"/>
      <c r="N488" s="164"/>
      <c r="O488" s="164"/>
      <c r="P488" s="164"/>
      <c r="Q488" s="164"/>
      <c r="R488" s="170"/>
      <c r="S488" s="170"/>
      <c r="T488" s="170"/>
      <c r="U488" s="170"/>
      <c r="V488" s="164"/>
      <c r="W488" s="164"/>
      <c r="X488" s="164"/>
      <c r="Y488" s="164"/>
      <c r="Z488" s="164"/>
      <c r="AA488" s="170"/>
      <c r="AB488" s="170"/>
      <c r="AC488" s="164"/>
      <c r="AD488" s="164"/>
      <c r="AE488" s="164"/>
      <c r="AF488" s="164"/>
      <c r="AG488" s="164"/>
      <c r="AH488" s="170"/>
      <c r="AI488" s="7"/>
      <c r="AJ488" s="7"/>
      <c r="AK488" s="7"/>
    </row>
    <row r="489" spans="1:37" ht="15.75" customHeight="1">
      <c r="A489" s="168"/>
      <c r="B489" s="169"/>
      <c r="C489" s="167"/>
      <c r="D489" s="155"/>
      <c r="E489" s="162"/>
      <c r="F489" s="162"/>
      <c r="G489" s="162"/>
      <c r="H489" s="155"/>
      <c r="I489" s="164"/>
      <c r="J489" s="164"/>
      <c r="K489" s="164"/>
      <c r="L489" s="164"/>
      <c r="M489" s="164"/>
      <c r="N489" s="164"/>
      <c r="O489" s="164"/>
      <c r="P489" s="164"/>
      <c r="Q489" s="164"/>
      <c r="R489" s="170"/>
      <c r="S489" s="170"/>
      <c r="T489" s="170"/>
      <c r="U489" s="170"/>
      <c r="V489" s="164"/>
      <c r="W489" s="164"/>
      <c r="X489" s="164"/>
      <c r="Y489" s="164"/>
      <c r="Z489" s="164"/>
      <c r="AA489" s="170"/>
      <c r="AB489" s="170"/>
      <c r="AC489" s="164"/>
      <c r="AD489" s="164"/>
      <c r="AE489" s="164"/>
      <c r="AF489" s="164"/>
      <c r="AG489" s="164"/>
      <c r="AH489" s="170"/>
      <c r="AI489" s="7"/>
      <c r="AJ489" s="7"/>
      <c r="AK489" s="7"/>
    </row>
    <row r="490" spans="1:37" ht="15.75" customHeight="1">
      <c r="A490" s="168"/>
      <c r="B490" s="169"/>
      <c r="C490" s="167"/>
      <c r="D490" s="155"/>
      <c r="E490" s="162"/>
      <c r="F490" s="162"/>
      <c r="G490" s="162"/>
      <c r="H490" s="155"/>
      <c r="I490" s="164"/>
      <c r="J490" s="164"/>
      <c r="K490" s="164"/>
      <c r="L490" s="164"/>
      <c r="M490" s="164"/>
      <c r="N490" s="164"/>
      <c r="O490" s="164"/>
      <c r="P490" s="164"/>
      <c r="Q490" s="164"/>
      <c r="R490" s="170"/>
      <c r="S490" s="170"/>
      <c r="T490" s="170"/>
      <c r="U490" s="170"/>
      <c r="V490" s="164"/>
      <c r="W490" s="164"/>
      <c r="X490" s="164"/>
      <c r="Y490" s="164"/>
      <c r="Z490" s="164"/>
      <c r="AA490" s="170"/>
      <c r="AB490" s="170"/>
      <c r="AC490" s="164"/>
      <c r="AD490" s="164"/>
      <c r="AE490" s="164"/>
      <c r="AF490" s="164"/>
      <c r="AG490" s="164"/>
      <c r="AH490" s="170"/>
      <c r="AI490" s="7"/>
      <c r="AJ490" s="7"/>
      <c r="AK490" s="7"/>
    </row>
    <row r="491" spans="1:37" ht="15.75" customHeight="1">
      <c r="A491" s="168"/>
      <c r="B491" s="169"/>
      <c r="C491" s="167"/>
      <c r="D491" s="155"/>
      <c r="E491" s="162"/>
      <c r="F491" s="162"/>
      <c r="G491" s="162"/>
      <c r="H491" s="155"/>
      <c r="I491" s="164"/>
      <c r="J491" s="164"/>
      <c r="K491" s="164"/>
      <c r="L491" s="164"/>
      <c r="M491" s="164"/>
      <c r="N491" s="164"/>
      <c r="O491" s="164"/>
      <c r="P491" s="164"/>
      <c r="Q491" s="164"/>
      <c r="R491" s="170"/>
      <c r="S491" s="170"/>
      <c r="T491" s="170"/>
      <c r="U491" s="170"/>
      <c r="V491" s="164"/>
      <c r="W491" s="164"/>
      <c r="X491" s="164"/>
      <c r="Y491" s="164"/>
      <c r="Z491" s="164"/>
      <c r="AA491" s="170"/>
      <c r="AB491" s="170"/>
      <c r="AC491" s="164"/>
      <c r="AD491" s="164"/>
      <c r="AE491" s="164"/>
      <c r="AF491" s="164"/>
      <c r="AG491" s="164"/>
      <c r="AH491" s="170"/>
      <c r="AI491" s="7"/>
      <c r="AJ491" s="7"/>
      <c r="AK491" s="7"/>
    </row>
    <row r="492" spans="1:37" ht="15.75" customHeight="1">
      <c r="A492" s="168"/>
      <c r="B492" s="169"/>
      <c r="C492" s="167"/>
      <c r="D492" s="155"/>
      <c r="E492" s="162"/>
      <c r="F492" s="162"/>
      <c r="G492" s="162"/>
      <c r="H492" s="155"/>
      <c r="I492" s="164"/>
      <c r="J492" s="164"/>
      <c r="K492" s="164"/>
      <c r="L492" s="164"/>
      <c r="M492" s="164"/>
      <c r="N492" s="164"/>
      <c r="O492" s="164"/>
      <c r="P492" s="164"/>
      <c r="Q492" s="164"/>
      <c r="R492" s="170"/>
      <c r="S492" s="170"/>
      <c r="T492" s="170"/>
      <c r="U492" s="170"/>
      <c r="V492" s="164"/>
      <c r="W492" s="164"/>
      <c r="X492" s="164"/>
      <c r="Y492" s="164"/>
      <c r="Z492" s="164"/>
      <c r="AA492" s="170"/>
      <c r="AB492" s="170"/>
      <c r="AC492" s="164"/>
      <c r="AD492" s="164"/>
      <c r="AE492" s="164"/>
      <c r="AF492" s="164"/>
      <c r="AG492" s="164"/>
      <c r="AH492" s="170"/>
      <c r="AI492" s="7"/>
      <c r="AJ492" s="7"/>
      <c r="AK492" s="7"/>
    </row>
    <row r="493" spans="1:37" ht="15.75" customHeight="1">
      <c r="A493" s="168"/>
      <c r="B493" s="169"/>
      <c r="C493" s="167"/>
      <c r="D493" s="155"/>
      <c r="E493" s="162"/>
      <c r="F493" s="162"/>
      <c r="G493" s="162"/>
      <c r="H493" s="155"/>
      <c r="I493" s="164"/>
      <c r="J493" s="164"/>
      <c r="K493" s="164"/>
      <c r="L493" s="164"/>
      <c r="M493" s="164"/>
      <c r="N493" s="164"/>
      <c r="O493" s="164"/>
      <c r="P493" s="164"/>
      <c r="Q493" s="164"/>
      <c r="R493" s="170"/>
      <c r="S493" s="170"/>
      <c r="T493" s="170"/>
      <c r="U493" s="170"/>
      <c r="V493" s="164"/>
      <c r="W493" s="164"/>
      <c r="X493" s="164"/>
      <c r="Y493" s="164"/>
      <c r="Z493" s="164"/>
      <c r="AA493" s="170"/>
      <c r="AB493" s="170"/>
      <c r="AC493" s="164"/>
      <c r="AD493" s="164"/>
      <c r="AE493" s="164"/>
      <c r="AF493" s="164"/>
      <c r="AG493" s="164"/>
      <c r="AH493" s="170"/>
      <c r="AI493" s="7"/>
      <c r="AJ493" s="7"/>
      <c r="AK493" s="7"/>
    </row>
    <row r="494" spans="1:37" ht="15.75" customHeight="1">
      <c r="A494" s="168"/>
      <c r="B494" s="169"/>
      <c r="C494" s="167"/>
      <c r="D494" s="155"/>
      <c r="E494" s="162"/>
      <c r="F494" s="162"/>
      <c r="G494" s="162"/>
      <c r="H494" s="155"/>
      <c r="I494" s="164"/>
      <c r="J494" s="164"/>
      <c r="K494" s="164"/>
      <c r="L494" s="164"/>
      <c r="M494" s="164"/>
      <c r="N494" s="164"/>
      <c r="O494" s="164"/>
      <c r="P494" s="164"/>
      <c r="Q494" s="164"/>
      <c r="R494" s="170"/>
      <c r="S494" s="170"/>
      <c r="T494" s="170"/>
      <c r="U494" s="170"/>
      <c r="V494" s="164"/>
      <c r="W494" s="164"/>
      <c r="X494" s="164"/>
      <c r="Y494" s="164"/>
      <c r="Z494" s="164"/>
      <c r="AA494" s="170"/>
      <c r="AB494" s="170"/>
      <c r="AC494" s="164"/>
      <c r="AD494" s="164"/>
      <c r="AE494" s="164"/>
      <c r="AF494" s="164"/>
      <c r="AG494" s="164"/>
      <c r="AH494" s="170"/>
      <c r="AI494" s="7"/>
      <c r="AJ494" s="7"/>
      <c r="AK494" s="7"/>
    </row>
    <row r="495" spans="1:37" ht="15.75" customHeight="1">
      <c r="A495" s="168"/>
      <c r="B495" s="169"/>
      <c r="C495" s="167"/>
      <c r="D495" s="155"/>
      <c r="E495" s="162"/>
      <c r="F495" s="162"/>
      <c r="G495" s="162"/>
      <c r="H495" s="155"/>
      <c r="I495" s="164"/>
      <c r="J495" s="164"/>
      <c r="K495" s="164"/>
      <c r="L495" s="164"/>
      <c r="M495" s="164"/>
      <c r="N495" s="164"/>
      <c r="O495" s="164"/>
      <c r="P495" s="164"/>
      <c r="Q495" s="164"/>
      <c r="R495" s="170"/>
      <c r="S495" s="170"/>
      <c r="T495" s="170"/>
      <c r="U495" s="170"/>
      <c r="V495" s="164"/>
      <c r="W495" s="164"/>
      <c r="X495" s="164"/>
      <c r="Y495" s="164"/>
      <c r="Z495" s="164"/>
      <c r="AA495" s="170"/>
      <c r="AB495" s="170"/>
      <c r="AC495" s="164"/>
      <c r="AD495" s="164"/>
      <c r="AE495" s="164"/>
      <c r="AF495" s="164"/>
      <c r="AG495" s="164"/>
      <c r="AH495" s="170"/>
      <c r="AI495" s="7"/>
      <c r="AJ495" s="7"/>
      <c r="AK495" s="7"/>
    </row>
    <row r="496" spans="1:37" ht="15.75" customHeight="1">
      <c r="A496" s="168"/>
      <c r="B496" s="169"/>
      <c r="C496" s="167"/>
      <c r="D496" s="155"/>
      <c r="E496" s="162"/>
      <c r="F496" s="162"/>
      <c r="G496" s="162"/>
      <c r="H496" s="155"/>
      <c r="I496" s="164"/>
      <c r="J496" s="164"/>
      <c r="K496" s="164"/>
      <c r="L496" s="164"/>
      <c r="M496" s="164"/>
      <c r="N496" s="164"/>
      <c r="O496" s="164"/>
      <c r="P496" s="164"/>
      <c r="Q496" s="164"/>
      <c r="R496" s="170"/>
      <c r="S496" s="170"/>
      <c r="T496" s="170"/>
      <c r="U496" s="170"/>
      <c r="V496" s="164"/>
      <c r="W496" s="164"/>
      <c r="X496" s="164"/>
      <c r="Y496" s="164"/>
      <c r="Z496" s="164"/>
      <c r="AA496" s="170"/>
      <c r="AB496" s="170"/>
      <c r="AC496" s="164"/>
      <c r="AD496" s="164"/>
      <c r="AE496" s="164"/>
      <c r="AF496" s="164"/>
      <c r="AG496" s="164"/>
      <c r="AH496" s="170"/>
      <c r="AI496" s="7"/>
      <c r="AJ496" s="7"/>
      <c r="AK496" s="7"/>
    </row>
    <row r="497" spans="1:37" ht="15.75" customHeight="1">
      <c r="A497" s="168"/>
      <c r="B497" s="169"/>
      <c r="C497" s="167"/>
      <c r="D497" s="155"/>
      <c r="E497" s="162"/>
      <c r="F497" s="162"/>
      <c r="G497" s="162"/>
      <c r="H497" s="155"/>
      <c r="I497" s="164"/>
      <c r="J497" s="164"/>
      <c r="K497" s="164"/>
      <c r="L497" s="164"/>
      <c r="M497" s="164"/>
      <c r="N497" s="164"/>
      <c r="O497" s="164"/>
      <c r="P497" s="164"/>
      <c r="Q497" s="164"/>
      <c r="R497" s="170"/>
      <c r="S497" s="170"/>
      <c r="T497" s="170"/>
      <c r="U497" s="170"/>
      <c r="V497" s="164"/>
      <c r="W497" s="164"/>
      <c r="X497" s="164"/>
      <c r="Y497" s="164"/>
      <c r="Z497" s="164"/>
      <c r="AA497" s="170"/>
      <c r="AB497" s="170"/>
      <c r="AC497" s="164"/>
      <c r="AD497" s="164"/>
      <c r="AE497" s="164"/>
      <c r="AF497" s="164"/>
      <c r="AG497" s="164"/>
      <c r="AH497" s="170"/>
      <c r="AI497" s="7"/>
      <c r="AJ497" s="7"/>
      <c r="AK497" s="7"/>
    </row>
    <row r="498" spans="1:37" ht="15.75" customHeight="1">
      <c r="A498" s="168"/>
      <c r="B498" s="169"/>
      <c r="C498" s="167"/>
      <c r="D498" s="155"/>
      <c r="E498" s="162"/>
      <c r="F498" s="162"/>
      <c r="G498" s="162"/>
      <c r="H498" s="155"/>
      <c r="I498" s="164"/>
      <c r="J498" s="164"/>
      <c r="K498" s="164"/>
      <c r="L498" s="164"/>
      <c r="M498" s="164"/>
      <c r="N498" s="164"/>
      <c r="O498" s="164"/>
      <c r="P498" s="164"/>
      <c r="Q498" s="164"/>
      <c r="R498" s="170"/>
      <c r="S498" s="170"/>
      <c r="T498" s="170"/>
      <c r="U498" s="170"/>
      <c r="V498" s="164"/>
      <c r="W498" s="164"/>
      <c r="X498" s="164"/>
      <c r="Y498" s="164"/>
      <c r="Z498" s="164"/>
      <c r="AA498" s="170"/>
      <c r="AB498" s="170"/>
      <c r="AC498" s="164"/>
      <c r="AD498" s="164"/>
      <c r="AE498" s="164"/>
      <c r="AF498" s="164"/>
      <c r="AG498" s="164"/>
      <c r="AH498" s="170"/>
      <c r="AI498" s="7"/>
      <c r="AJ498" s="7"/>
      <c r="AK498" s="7"/>
    </row>
    <row r="499" spans="1:37" ht="15.75" customHeight="1">
      <c r="A499" s="168"/>
      <c r="B499" s="169"/>
      <c r="C499" s="167"/>
      <c r="D499" s="155"/>
      <c r="E499" s="162"/>
      <c r="F499" s="162"/>
      <c r="G499" s="162"/>
      <c r="H499" s="155"/>
      <c r="I499" s="164"/>
      <c r="J499" s="164"/>
      <c r="K499" s="164"/>
      <c r="L499" s="164"/>
      <c r="M499" s="164"/>
      <c r="N499" s="164"/>
      <c r="O499" s="164"/>
      <c r="P499" s="164"/>
      <c r="Q499" s="164"/>
      <c r="R499" s="170"/>
      <c r="S499" s="170"/>
      <c r="T499" s="170"/>
      <c r="U499" s="170"/>
      <c r="V499" s="164"/>
      <c r="W499" s="164"/>
      <c r="X499" s="164"/>
      <c r="Y499" s="164"/>
      <c r="Z499" s="164"/>
      <c r="AA499" s="170"/>
      <c r="AB499" s="170"/>
      <c r="AC499" s="164"/>
      <c r="AD499" s="164"/>
      <c r="AE499" s="164"/>
      <c r="AF499" s="164"/>
      <c r="AG499" s="164"/>
      <c r="AH499" s="170"/>
      <c r="AI499" s="7"/>
      <c r="AJ499" s="7"/>
      <c r="AK499" s="7"/>
    </row>
    <row r="500" spans="1:37" ht="15.75" customHeight="1">
      <c r="A500" s="168"/>
      <c r="B500" s="169"/>
      <c r="C500" s="167"/>
      <c r="D500" s="155"/>
      <c r="E500" s="162"/>
      <c r="F500" s="162"/>
      <c r="G500" s="162"/>
      <c r="H500" s="155"/>
      <c r="I500" s="164"/>
      <c r="J500" s="164"/>
      <c r="K500" s="164"/>
      <c r="L500" s="164"/>
      <c r="M500" s="164"/>
      <c r="N500" s="164"/>
      <c r="O500" s="164"/>
      <c r="P500" s="164"/>
      <c r="Q500" s="164"/>
      <c r="R500" s="170"/>
      <c r="S500" s="170"/>
      <c r="T500" s="170"/>
      <c r="U500" s="170"/>
      <c r="V500" s="164"/>
      <c r="W500" s="164"/>
      <c r="X500" s="164"/>
      <c r="Y500" s="164"/>
      <c r="Z500" s="164"/>
      <c r="AA500" s="170"/>
      <c r="AB500" s="170"/>
      <c r="AC500" s="164"/>
      <c r="AD500" s="164"/>
      <c r="AE500" s="164"/>
      <c r="AF500" s="164"/>
      <c r="AG500" s="164"/>
      <c r="AH500" s="170"/>
      <c r="AI500" s="7"/>
      <c r="AJ500" s="7"/>
      <c r="AK500" s="7"/>
    </row>
    <row r="501" spans="1:37" ht="15.75" customHeight="1">
      <c r="A501" s="168"/>
      <c r="B501" s="169"/>
      <c r="C501" s="167"/>
      <c r="D501" s="155"/>
      <c r="E501" s="162"/>
      <c r="F501" s="162"/>
      <c r="G501" s="162"/>
      <c r="H501" s="155"/>
      <c r="I501" s="164"/>
      <c r="J501" s="164"/>
      <c r="K501" s="164"/>
      <c r="L501" s="164"/>
      <c r="M501" s="164"/>
      <c r="N501" s="164"/>
      <c r="O501" s="164"/>
      <c r="P501" s="164"/>
      <c r="Q501" s="164"/>
      <c r="R501" s="170"/>
      <c r="S501" s="170"/>
      <c r="T501" s="170"/>
      <c r="U501" s="170"/>
      <c r="V501" s="164"/>
      <c r="W501" s="164"/>
      <c r="X501" s="164"/>
      <c r="Y501" s="164"/>
      <c r="Z501" s="164"/>
      <c r="AA501" s="170"/>
      <c r="AB501" s="170"/>
      <c r="AC501" s="164"/>
      <c r="AD501" s="164"/>
      <c r="AE501" s="164"/>
      <c r="AF501" s="164"/>
      <c r="AG501" s="164"/>
      <c r="AH501" s="170"/>
      <c r="AI501" s="7"/>
      <c r="AJ501" s="7"/>
      <c r="AK501" s="7"/>
    </row>
    <row r="502" spans="1:37" ht="15.75" customHeight="1">
      <c r="A502" s="168"/>
      <c r="B502" s="169"/>
      <c r="C502" s="167"/>
      <c r="D502" s="155"/>
      <c r="E502" s="162"/>
      <c r="F502" s="162"/>
      <c r="G502" s="162"/>
      <c r="H502" s="155"/>
      <c r="I502" s="164"/>
      <c r="J502" s="164"/>
      <c r="K502" s="164"/>
      <c r="L502" s="164"/>
      <c r="M502" s="164"/>
      <c r="N502" s="164"/>
      <c r="O502" s="164"/>
      <c r="P502" s="164"/>
      <c r="Q502" s="164"/>
      <c r="R502" s="170"/>
      <c r="S502" s="170"/>
      <c r="T502" s="170"/>
      <c r="U502" s="170"/>
      <c r="V502" s="164"/>
      <c r="W502" s="164"/>
      <c r="X502" s="164"/>
      <c r="Y502" s="164"/>
      <c r="Z502" s="164"/>
      <c r="AA502" s="170"/>
      <c r="AB502" s="170"/>
      <c r="AC502" s="164"/>
      <c r="AD502" s="164"/>
      <c r="AE502" s="164"/>
      <c r="AF502" s="164"/>
      <c r="AG502" s="164"/>
      <c r="AH502" s="170"/>
      <c r="AI502" s="7"/>
      <c r="AJ502" s="7"/>
      <c r="AK502" s="7"/>
    </row>
    <row r="503" spans="1:37" ht="15.75" customHeight="1">
      <c r="A503" s="168"/>
      <c r="B503" s="169"/>
      <c r="C503" s="167"/>
      <c r="D503" s="155"/>
      <c r="E503" s="162"/>
      <c r="F503" s="162"/>
      <c r="G503" s="162"/>
      <c r="H503" s="155"/>
      <c r="I503" s="164"/>
      <c r="J503" s="164"/>
      <c r="K503" s="164"/>
      <c r="L503" s="164"/>
      <c r="M503" s="164"/>
      <c r="N503" s="164"/>
      <c r="O503" s="164"/>
      <c r="P503" s="164"/>
      <c r="Q503" s="164"/>
      <c r="R503" s="170"/>
      <c r="S503" s="170"/>
      <c r="T503" s="170"/>
      <c r="U503" s="170"/>
      <c r="V503" s="164"/>
      <c r="W503" s="164"/>
      <c r="X503" s="164"/>
      <c r="Y503" s="164"/>
      <c r="Z503" s="164"/>
      <c r="AA503" s="170"/>
      <c r="AB503" s="170"/>
      <c r="AC503" s="164"/>
      <c r="AD503" s="164"/>
      <c r="AE503" s="164"/>
      <c r="AF503" s="164"/>
      <c r="AG503" s="164"/>
      <c r="AH503" s="170"/>
      <c r="AI503" s="7"/>
      <c r="AJ503" s="7"/>
      <c r="AK503" s="7"/>
    </row>
    <row r="504" spans="1:37" ht="15.75" customHeight="1">
      <c r="A504" s="168"/>
      <c r="B504" s="169"/>
      <c r="C504" s="167"/>
      <c r="D504" s="155"/>
      <c r="E504" s="162"/>
      <c r="F504" s="162"/>
      <c r="G504" s="162"/>
      <c r="H504" s="155"/>
      <c r="I504" s="164"/>
      <c r="J504" s="164"/>
      <c r="K504" s="164"/>
      <c r="L504" s="164"/>
      <c r="M504" s="164"/>
      <c r="N504" s="164"/>
      <c r="O504" s="164"/>
      <c r="P504" s="164"/>
      <c r="Q504" s="164"/>
      <c r="R504" s="170"/>
      <c r="S504" s="170"/>
      <c r="T504" s="170"/>
      <c r="U504" s="170"/>
      <c r="V504" s="164"/>
      <c r="W504" s="164"/>
      <c r="X504" s="164"/>
      <c r="Y504" s="164"/>
      <c r="Z504" s="164"/>
      <c r="AA504" s="170"/>
      <c r="AB504" s="170"/>
      <c r="AC504" s="164"/>
      <c r="AD504" s="164"/>
      <c r="AE504" s="164"/>
      <c r="AF504" s="164"/>
      <c r="AG504" s="164"/>
      <c r="AH504" s="170"/>
      <c r="AI504" s="7"/>
      <c r="AJ504" s="7"/>
      <c r="AK504" s="7"/>
    </row>
    <row r="505" spans="1:37" ht="15.75" customHeight="1">
      <c r="A505" s="168"/>
      <c r="B505" s="169"/>
      <c r="C505" s="167"/>
      <c r="D505" s="155"/>
      <c r="E505" s="162"/>
      <c r="F505" s="162"/>
      <c r="G505" s="162"/>
      <c r="H505" s="155"/>
      <c r="I505" s="164"/>
      <c r="J505" s="164"/>
      <c r="K505" s="164"/>
      <c r="L505" s="164"/>
      <c r="M505" s="164"/>
      <c r="N505" s="164"/>
      <c r="O505" s="164"/>
      <c r="P505" s="164"/>
      <c r="Q505" s="164"/>
      <c r="R505" s="170"/>
      <c r="S505" s="170"/>
      <c r="T505" s="170"/>
      <c r="U505" s="170"/>
      <c r="V505" s="164"/>
      <c r="W505" s="164"/>
      <c r="X505" s="164"/>
      <c r="Y505" s="164"/>
      <c r="Z505" s="164"/>
      <c r="AA505" s="170"/>
      <c r="AB505" s="170"/>
      <c r="AC505" s="164"/>
      <c r="AD505" s="164"/>
      <c r="AE505" s="164"/>
      <c r="AF505" s="164"/>
      <c r="AG505" s="164"/>
      <c r="AH505" s="170"/>
      <c r="AI505" s="7"/>
      <c r="AJ505" s="7"/>
      <c r="AK505" s="7"/>
    </row>
    <row r="506" spans="1:37" ht="15.75" customHeight="1">
      <c r="A506" s="168"/>
      <c r="B506" s="169"/>
      <c r="C506" s="167"/>
      <c r="D506" s="155"/>
      <c r="E506" s="162"/>
      <c r="F506" s="162"/>
      <c r="G506" s="162"/>
      <c r="H506" s="155"/>
      <c r="I506" s="164"/>
      <c r="J506" s="164"/>
      <c r="K506" s="164"/>
      <c r="L506" s="164"/>
      <c r="M506" s="164"/>
      <c r="N506" s="164"/>
      <c r="O506" s="164"/>
      <c r="P506" s="164"/>
      <c r="Q506" s="164"/>
      <c r="R506" s="170"/>
      <c r="S506" s="170"/>
      <c r="T506" s="170"/>
      <c r="U506" s="170"/>
      <c r="V506" s="164"/>
      <c r="W506" s="164"/>
      <c r="X506" s="164"/>
      <c r="Y506" s="164"/>
      <c r="Z506" s="164"/>
      <c r="AA506" s="170"/>
      <c r="AB506" s="170"/>
      <c r="AC506" s="164"/>
      <c r="AD506" s="164"/>
      <c r="AE506" s="164"/>
      <c r="AF506" s="164"/>
      <c r="AG506" s="164"/>
      <c r="AH506" s="170"/>
      <c r="AI506" s="7"/>
      <c r="AJ506" s="7"/>
      <c r="AK506" s="7"/>
    </row>
    <row r="507" spans="1:37" ht="15.75" customHeight="1">
      <c r="A507" s="168"/>
      <c r="B507" s="169"/>
      <c r="C507" s="167"/>
      <c r="D507" s="155"/>
      <c r="E507" s="162"/>
      <c r="F507" s="162"/>
      <c r="G507" s="162"/>
      <c r="H507" s="155"/>
      <c r="I507" s="164"/>
      <c r="J507" s="164"/>
      <c r="K507" s="164"/>
      <c r="L507" s="164"/>
      <c r="M507" s="164"/>
      <c r="N507" s="164"/>
      <c r="O507" s="164"/>
      <c r="P507" s="164"/>
      <c r="Q507" s="164"/>
      <c r="R507" s="170"/>
      <c r="S507" s="170"/>
      <c r="T507" s="170"/>
      <c r="U507" s="170"/>
      <c r="V507" s="164"/>
      <c r="W507" s="164"/>
      <c r="X507" s="164"/>
      <c r="Y507" s="164"/>
      <c r="Z507" s="164"/>
      <c r="AA507" s="170"/>
      <c r="AB507" s="170"/>
      <c r="AC507" s="164"/>
      <c r="AD507" s="164"/>
      <c r="AE507" s="164"/>
      <c r="AF507" s="164"/>
      <c r="AG507" s="164"/>
      <c r="AH507" s="170"/>
      <c r="AI507" s="7"/>
      <c r="AJ507" s="7"/>
      <c r="AK507" s="7"/>
    </row>
    <row r="508" spans="1:37" ht="15.75" customHeight="1">
      <c r="A508" s="168"/>
      <c r="B508" s="169"/>
      <c r="C508" s="167"/>
      <c r="D508" s="155"/>
      <c r="E508" s="162"/>
      <c r="F508" s="162"/>
      <c r="G508" s="162"/>
      <c r="H508" s="155"/>
      <c r="I508" s="164"/>
      <c r="J508" s="164"/>
      <c r="K508" s="164"/>
      <c r="L508" s="164"/>
      <c r="M508" s="164"/>
      <c r="N508" s="164"/>
      <c r="O508" s="164"/>
      <c r="P508" s="164"/>
      <c r="Q508" s="164"/>
      <c r="R508" s="170"/>
      <c r="S508" s="170"/>
      <c r="T508" s="170"/>
      <c r="U508" s="170"/>
      <c r="V508" s="164"/>
      <c r="W508" s="164"/>
      <c r="X508" s="164"/>
      <c r="Y508" s="164"/>
      <c r="Z508" s="164"/>
      <c r="AA508" s="170"/>
      <c r="AB508" s="170"/>
      <c r="AC508" s="164"/>
      <c r="AD508" s="164"/>
      <c r="AE508" s="164"/>
      <c r="AF508" s="164"/>
      <c r="AG508" s="164"/>
      <c r="AH508" s="170"/>
      <c r="AI508" s="7"/>
      <c r="AJ508" s="7"/>
      <c r="AK508" s="7"/>
    </row>
    <row r="509" spans="1:37" ht="15.75" customHeight="1">
      <c r="A509" s="168"/>
      <c r="B509" s="169"/>
      <c r="C509" s="167"/>
      <c r="D509" s="155"/>
      <c r="E509" s="162"/>
      <c r="F509" s="162"/>
      <c r="G509" s="162"/>
      <c r="H509" s="155"/>
      <c r="I509" s="164"/>
      <c r="J509" s="164"/>
      <c r="K509" s="164"/>
      <c r="L509" s="164"/>
      <c r="M509" s="164"/>
      <c r="N509" s="164"/>
      <c r="O509" s="164"/>
      <c r="P509" s="164"/>
      <c r="Q509" s="164"/>
      <c r="R509" s="170"/>
      <c r="S509" s="170"/>
      <c r="T509" s="170"/>
      <c r="U509" s="170"/>
      <c r="V509" s="164"/>
      <c r="W509" s="164"/>
      <c r="X509" s="164"/>
      <c r="Y509" s="164"/>
      <c r="Z509" s="164"/>
      <c r="AA509" s="170"/>
      <c r="AB509" s="170"/>
      <c r="AC509" s="164"/>
      <c r="AD509" s="164"/>
      <c r="AE509" s="164"/>
      <c r="AF509" s="164"/>
      <c r="AG509" s="164"/>
      <c r="AH509" s="170"/>
      <c r="AI509" s="7"/>
      <c r="AJ509" s="7"/>
      <c r="AK509" s="7"/>
    </row>
    <row r="510" spans="1:37" ht="15.75" customHeight="1">
      <c r="A510" s="168"/>
      <c r="B510" s="169"/>
      <c r="C510" s="167"/>
      <c r="D510" s="155"/>
      <c r="E510" s="162"/>
      <c r="F510" s="162"/>
      <c r="G510" s="162"/>
      <c r="H510" s="155"/>
      <c r="I510" s="164"/>
      <c r="J510" s="164"/>
      <c r="K510" s="164"/>
      <c r="L510" s="164"/>
      <c r="M510" s="164"/>
      <c r="N510" s="164"/>
      <c r="O510" s="164"/>
      <c r="P510" s="164"/>
      <c r="Q510" s="164"/>
      <c r="R510" s="170"/>
      <c r="S510" s="170"/>
      <c r="T510" s="170"/>
      <c r="U510" s="170"/>
      <c r="V510" s="164"/>
      <c r="W510" s="164"/>
      <c r="X510" s="164"/>
      <c r="Y510" s="164"/>
      <c r="Z510" s="164"/>
      <c r="AA510" s="170"/>
      <c r="AB510" s="170"/>
      <c r="AC510" s="164"/>
      <c r="AD510" s="164"/>
      <c r="AE510" s="164"/>
      <c r="AF510" s="164"/>
      <c r="AG510" s="164"/>
      <c r="AH510" s="170"/>
      <c r="AI510" s="7"/>
      <c r="AJ510" s="7"/>
      <c r="AK510" s="7"/>
    </row>
    <row r="511" spans="1:37" ht="15.75" customHeight="1">
      <c r="A511" s="168"/>
      <c r="B511" s="169"/>
      <c r="C511" s="167"/>
      <c r="D511" s="155"/>
      <c r="E511" s="162"/>
      <c r="F511" s="162"/>
      <c r="G511" s="162"/>
      <c r="H511" s="155"/>
      <c r="I511" s="164"/>
      <c r="J511" s="164"/>
      <c r="K511" s="164"/>
      <c r="L511" s="164"/>
      <c r="M511" s="164"/>
      <c r="N511" s="164"/>
      <c r="O511" s="164"/>
      <c r="P511" s="164"/>
      <c r="Q511" s="164"/>
      <c r="R511" s="170"/>
      <c r="S511" s="170"/>
      <c r="T511" s="170"/>
      <c r="U511" s="170"/>
      <c r="V511" s="164"/>
      <c r="W511" s="164"/>
      <c r="X511" s="164"/>
      <c r="Y511" s="164"/>
      <c r="Z511" s="164"/>
      <c r="AA511" s="170"/>
      <c r="AB511" s="170"/>
      <c r="AC511" s="164"/>
      <c r="AD511" s="164"/>
      <c r="AE511" s="164"/>
      <c r="AF511" s="164"/>
      <c r="AG511" s="164"/>
      <c r="AH511" s="170"/>
      <c r="AI511" s="7"/>
      <c r="AJ511" s="7"/>
      <c r="AK511" s="7"/>
    </row>
    <row r="512" spans="1:37" ht="15.75" customHeight="1">
      <c r="A512" s="168"/>
      <c r="B512" s="169"/>
      <c r="C512" s="167"/>
      <c r="D512" s="155"/>
      <c r="E512" s="162"/>
      <c r="F512" s="162"/>
      <c r="G512" s="162"/>
      <c r="H512" s="155"/>
      <c r="I512" s="164"/>
      <c r="J512" s="164"/>
      <c r="K512" s="164"/>
      <c r="L512" s="164"/>
      <c r="M512" s="164"/>
      <c r="N512" s="164"/>
      <c r="O512" s="164"/>
      <c r="P512" s="164"/>
      <c r="Q512" s="164"/>
      <c r="R512" s="170"/>
      <c r="S512" s="170"/>
      <c r="T512" s="170"/>
      <c r="U512" s="170"/>
      <c r="V512" s="164"/>
      <c r="W512" s="164"/>
      <c r="X512" s="164"/>
      <c r="Y512" s="164"/>
      <c r="Z512" s="164"/>
      <c r="AA512" s="170"/>
      <c r="AB512" s="170"/>
      <c r="AC512" s="164"/>
      <c r="AD512" s="164"/>
      <c r="AE512" s="164"/>
      <c r="AF512" s="164"/>
      <c r="AG512" s="164"/>
      <c r="AH512" s="170"/>
      <c r="AI512" s="7"/>
      <c r="AJ512" s="7"/>
      <c r="AK512" s="7"/>
    </row>
    <row r="513" spans="1:37" ht="15.75" customHeight="1">
      <c r="A513" s="168"/>
      <c r="B513" s="169"/>
      <c r="C513" s="167"/>
      <c r="D513" s="155"/>
      <c r="E513" s="162"/>
      <c r="F513" s="162"/>
      <c r="G513" s="162"/>
      <c r="H513" s="155"/>
      <c r="I513" s="164"/>
      <c r="J513" s="164"/>
      <c r="K513" s="164"/>
      <c r="L513" s="164"/>
      <c r="M513" s="164"/>
      <c r="N513" s="164"/>
      <c r="O513" s="164"/>
      <c r="P513" s="164"/>
      <c r="Q513" s="164"/>
      <c r="R513" s="170"/>
      <c r="S513" s="170"/>
      <c r="T513" s="170"/>
      <c r="U513" s="170"/>
      <c r="V513" s="164"/>
      <c r="W513" s="164"/>
      <c r="X513" s="164"/>
      <c r="Y513" s="164"/>
      <c r="Z513" s="164"/>
      <c r="AA513" s="170"/>
      <c r="AB513" s="170"/>
      <c r="AC513" s="164"/>
      <c r="AD513" s="164"/>
      <c r="AE513" s="164"/>
      <c r="AF513" s="164"/>
      <c r="AG513" s="164"/>
      <c r="AH513" s="170"/>
      <c r="AI513" s="7"/>
      <c r="AJ513" s="7"/>
      <c r="AK513" s="7"/>
    </row>
    <row r="514" spans="1:37" ht="15.75" customHeight="1">
      <c r="A514" s="168"/>
      <c r="B514" s="169"/>
      <c r="C514" s="167"/>
      <c r="D514" s="155"/>
      <c r="E514" s="162"/>
      <c r="F514" s="162"/>
      <c r="G514" s="162"/>
      <c r="H514" s="155"/>
      <c r="I514" s="164"/>
      <c r="J514" s="164"/>
      <c r="K514" s="164"/>
      <c r="L514" s="164"/>
      <c r="M514" s="164"/>
      <c r="N514" s="164"/>
      <c r="O514" s="164"/>
      <c r="P514" s="164"/>
      <c r="Q514" s="164"/>
      <c r="R514" s="170"/>
      <c r="S514" s="170"/>
      <c r="T514" s="170"/>
      <c r="U514" s="170"/>
      <c r="V514" s="164"/>
      <c r="W514" s="164"/>
      <c r="X514" s="164"/>
      <c r="Y514" s="164"/>
      <c r="Z514" s="164"/>
      <c r="AA514" s="170"/>
      <c r="AB514" s="170"/>
      <c r="AC514" s="164"/>
      <c r="AD514" s="164"/>
      <c r="AE514" s="164"/>
      <c r="AF514" s="164"/>
      <c r="AG514" s="164"/>
      <c r="AH514" s="170"/>
      <c r="AI514" s="7"/>
      <c r="AJ514" s="7"/>
      <c r="AK514" s="7"/>
    </row>
    <row r="515" spans="1:37" ht="15.75" customHeight="1">
      <c r="A515" s="168"/>
      <c r="B515" s="169"/>
      <c r="C515" s="167"/>
      <c r="D515" s="155"/>
      <c r="E515" s="162"/>
      <c r="F515" s="162"/>
      <c r="G515" s="162"/>
      <c r="H515" s="155"/>
      <c r="I515" s="164"/>
      <c r="J515" s="164"/>
      <c r="K515" s="164"/>
      <c r="L515" s="164"/>
      <c r="M515" s="164"/>
      <c r="N515" s="164"/>
      <c r="O515" s="164"/>
      <c r="P515" s="164"/>
      <c r="Q515" s="164"/>
      <c r="R515" s="170"/>
      <c r="S515" s="170"/>
      <c r="T515" s="170"/>
      <c r="U515" s="170"/>
      <c r="V515" s="164"/>
      <c r="W515" s="164"/>
      <c r="X515" s="164"/>
      <c r="Y515" s="164"/>
      <c r="Z515" s="164"/>
      <c r="AA515" s="170"/>
      <c r="AB515" s="170"/>
      <c r="AC515" s="164"/>
      <c r="AD515" s="164"/>
      <c r="AE515" s="164"/>
      <c r="AF515" s="164"/>
      <c r="AG515" s="164"/>
      <c r="AH515" s="170"/>
      <c r="AI515" s="7"/>
      <c r="AJ515" s="7"/>
      <c r="AK515" s="7"/>
    </row>
    <row r="516" spans="1:37" ht="15.75" customHeight="1">
      <c r="A516" s="168"/>
      <c r="B516" s="169"/>
      <c r="C516" s="167"/>
      <c r="D516" s="155"/>
      <c r="E516" s="162"/>
      <c r="F516" s="162"/>
      <c r="G516" s="162"/>
      <c r="H516" s="155"/>
      <c r="I516" s="164"/>
      <c r="J516" s="164"/>
      <c r="K516" s="164"/>
      <c r="L516" s="164"/>
      <c r="M516" s="164"/>
      <c r="N516" s="164"/>
      <c r="O516" s="164"/>
      <c r="P516" s="164"/>
      <c r="Q516" s="164"/>
      <c r="R516" s="170"/>
      <c r="S516" s="170"/>
      <c r="T516" s="170"/>
      <c r="U516" s="170"/>
      <c r="V516" s="164"/>
      <c r="W516" s="164"/>
      <c r="X516" s="164"/>
      <c r="Y516" s="164"/>
      <c r="Z516" s="164"/>
      <c r="AA516" s="170"/>
      <c r="AB516" s="170"/>
      <c r="AC516" s="164"/>
      <c r="AD516" s="164"/>
      <c r="AE516" s="164"/>
      <c r="AF516" s="164"/>
      <c r="AG516" s="164"/>
      <c r="AH516" s="170"/>
      <c r="AI516" s="7"/>
      <c r="AJ516" s="7"/>
      <c r="AK516" s="7"/>
    </row>
    <row r="517" spans="1:37" ht="15.75" customHeight="1">
      <c r="A517" s="168"/>
      <c r="B517" s="169"/>
      <c r="C517" s="167"/>
      <c r="D517" s="155"/>
      <c r="E517" s="162"/>
      <c r="F517" s="162"/>
      <c r="G517" s="162"/>
      <c r="H517" s="155"/>
      <c r="I517" s="164"/>
      <c r="J517" s="164"/>
      <c r="K517" s="164"/>
      <c r="L517" s="164"/>
      <c r="M517" s="164"/>
      <c r="N517" s="164"/>
      <c r="O517" s="164"/>
      <c r="P517" s="164"/>
      <c r="Q517" s="164"/>
      <c r="R517" s="170"/>
      <c r="S517" s="170"/>
      <c r="T517" s="170"/>
      <c r="U517" s="170"/>
      <c r="V517" s="164"/>
      <c r="W517" s="164"/>
      <c r="X517" s="164"/>
      <c r="Y517" s="164"/>
      <c r="Z517" s="164"/>
      <c r="AA517" s="170"/>
      <c r="AB517" s="170"/>
      <c r="AC517" s="164"/>
      <c r="AD517" s="164"/>
      <c r="AE517" s="164"/>
      <c r="AF517" s="164"/>
      <c r="AG517" s="164"/>
      <c r="AH517" s="170"/>
      <c r="AI517" s="7"/>
      <c r="AJ517" s="7"/>
      <c r="AK517" s="7"/>
    </row>
    <row r="518" spans="1:37" ht="15.75" customHeight="1">
      <c r="A518" s="168"/>
      <c r="B518" s="169"/>
      <c r="C518" s="167"/>
      <c r="D518" s="155"/>
      <c r="E518" s="162"/>
      <c r="F518" s="162"/>
      <c r="G518" s="162"/>
      <c r="H518" s="155"/>
      <c r="I518" s="164"/>
      <c r="J518" s="164"/>
      <c r="K518" s="164"/>
      <c r="L518" s="164"/>
      <c r="M518" s="164"/>
      <c r="N518" s="164"/>
      <c r="O518" s="164"/>
      <c r="P518" s="164"/>
      <c r="Q518" s="164"/>
      <c r="R518" s="170"/>
      <c r="S518" s="170"/>
      <c r="T518" s="170"/>
      <c r="U518" s="170"/>
      <c r="V518" s="164"/>
      <c r="W518" s="164"/>
      <c r="X518" s="164"/>
      <c r="Y518" s="164"/>
      <c r="Z518" s="164"/>
      <c r="AA518" s="170"/>
      <c r="AB518" s="170"/>
      <c r="AC518" s="164"/>
      <c r="AD518" s="164"/>
      <c r="AE518" s="164"/>
      <c r="AF518" s="164"/>
      <c r="AG518" s="164"/>
      <c r="AH518" s="170"/>
      <c r="AI518" s="7"/>
      <c r="AJ518" s="7"/>
      <c r="AK518" s="7"/>
    </row>
    <row r="519" spans="1:37" ht="15.75" customHeight="1">
      <c r="A519" s="168"/>
      <c r="B519" s="169"/>
      <c r="C519" s="167"/>
      <c r="D519" s="155"/>
      <c r="E519" s="162"/>
      <c r="F519" s="162"/>
      <c r="G519" s="162"/>
      <c r="H519" s="155"/>
      <c r="I519" s="164"/>
      <c r="J519" s="164"/>
      <c r="K519" s="164"/>
      <c r="L519" s="164"/>
      <c r="M519" s="164"/>
      <c r="N519" s="164"/>
      <c r="O519" s="164"/>
      <c r="P519" s="164"/>
      <c r="Q519" s="164"/>
      <c r="R519" s="170"/>
      <c r="S519" s="170"/>
      <c r="T519" s="170"/>
      <c r="U519" s="170"/>
      <c r="V519" s="164"/>
      <c r="W519" s="164"/>
      <c r="X519" s="164"/>
      <c r="Y519" s="164"/>
      <c r="Z519" s="164"/>
      <c r="AA519" s="170"/>
      <c r="AB519" s="170"/>
      <c r="AC519" s="164"/>
      <c r="AD519" s="164"/>
      <c r="AE519" s="164"/>
      <c r="AF519" s="164"/>
      <c r="AG519" s="164"/>
      <c r="AH519" s="170"/>
      <c r="AI519" s="7"/>
      <c r="AJ519" s="7"/>
      <c r="AK519" s="7"/>
    </row>
    <row r="520" spans="1:37" ht="15.75" customHeight="1">
      <c r="A520" s="168"/>
      <c r="B520" s="169"/>
      <c r="C520" s="167"/>
      <c r="D520" s="171"/>
      <c r="E520" s="172"/>
      <c r="F520" s="172"/>
      <c r="G520" s="172"/>
      <c r="H520" s="171"/>
      <c r="I520" s="164"/>
      <c r="J520" s="164"/>
      <c r="K520" s="164"/>
      <c r="L520" s="164"/>
      <c r="M520" s="164"/>
      <c r="N520" s="164"/>
      <c r="O520" s="164"/>
      <c r="P520" s="164"/>
      <c r="Q520" s="164"/>
      <c r="R520" s="170"/>
      <c r="S520" s="170"/>
      <c r="T520" s="170"/>
      <c r="U520" s="170"/>
      <c r="V520" s="164"/>
      <c r="W520" s="164"/>
      <c r="X520" s="164"/>
      <c r="Y520" s="164"/>
      <c r="Z520" s="164"/>
      <c r="AA520" s="170"/>
      <c r="AB520" s="170"/>
      <c r="AC520" s="164"/>
      <c r="AD520" s="164"/>
      <c r="AE520" s="164"/>
      <c r="AF520" s="164"/>
      <c r="AG520" s="164"/>
      <c r="AH520" s="170"/>
      <c r="AI520" s="7"/>
      <c r="AJ520" s="7"/>
      <c r="AK520" s="7"/>
    </row>
    <row r="521" spans="1:37" ht="15.75" customHeight="1">
      <c r="A521" s="168"/>
      <c r="B521" s="169"/>
      <c r="C521" s="167"/>
      <c r="D521" s="1"/>
      <c r="E521" s="173"/>
      <c r="F521" s="173"/>
      <c r="G521" s="173"/>
      <c r="H521" s="1"/>
      <c r="I521" s="164"/>
      <c r="J521" s="164"/>
      <c r="K521" s="164"/>
      <c r="L521" s="164"/>
      <c r="M521" s="164"/>
      <c r="N521" s="164"/>
      <c r="O521" s="164"/>
      <c r="P521" s="164"/>
      <c r="Q521" s="164"/>
      <c r="R521" s="170"/>
      <c r="S521" s="170"/>
      <c r="T521" s="170"/>
      <c r="U521" s="170"/>
      <c r="V521" s="164"/>
      <c r="W521" s="164"/>
      <c r="X521" s="164"/>
      <c r="Y521" s="164"/>
      <c r="Z521" s="164"/>
      <c r="AA521" s="170"/>
      <c r="AB521" s="170"/>
      <c r="AC521" s="164"/>
      <c r="AD521" s="164"/>
      <c r="AE521" s="164"/>
      <c r="AF521" s="164"/>
      <c r="AG521" s="164"/>
      <c r="AH521" s="170"/>
      <c r="AI521" s="7"/>
      <c r="AJ521" s="7"/>
      <c r="AK521" s="7"/>
    </row>
    <row r="522" spans="1:37" ht="15.75" customHeight="1">
      <c r="A522" s="168"/>
      <c r="B522" s="169"/>
      <c r="C522" s="167"/>
      <c r="D522" s="171"/>
      <c r="E522" s="172"/>
      <c r="F522" s="172"/>
      <c r="G522" s="172"/>
      <c r="H522" s="171"/>
      <c r="I522" s="164"/>
      <c r="J522" s="164"/>
      <c r="K522" s="164"/>
      <c r="L522" s="164"/>
      <c r="M522" s="164"/>
      <c r="N522" s="164"/>
      <c r="O522" s="164"/>
      <c r="P522" s="164"/>
      <c r="Q522" s="164"/>
      <c r="R522" s="170"/>
      <c r="S522" s="170"/>
      <c r="T522" s="170"/>
      <c r="U522" s="170"/>
      <c r="V522" s="164"/>
      <c r="W522" s="164"/>
      <c r="X522" s="164"/>
      <c r="Y522" s="164"/>
      <c r="Z522" s="164"/>
      <c r="AA522" s="170"/>
      <c r="AB522" s="170"/>
      <c r="AC522" s="164"/>
      <c r="AD522" s="164"/>
      <c r="AE522" s="164"/>
      <c r="AF522" s="164"/>
      <c r="AG522" s="164"/>
      <c r="AH522" s="170"/>
      <c r="AI522" s="7"/>
      <c r="AJ522" s="7"/>
      <c r="AK522" s="7"/>
    </row>
    <row r="523" spans="1:37" ht="15.75" customHeight="1">
      <c r="A523" s="168"/>
      <c r="B523" s="169"/>
      <c r="C523" s="167"/>
      <c r="D523" s="171"/>
      <c r="E523" s="172"/>
      <c r="F523" s="172"/>
      <c r="G523" s="172"/>
      <c r="H523" s="171"/>
      <c r="I523" s="164"/>
      <c r="J523" s="164"/>
      <c r="K523" s="164"/>
      <c r="L523" s="164"/>
      <c r="M523" s="164"/>
      <c r="N523" s="164"/>
      <c r="O523" s="164"/>
      <c r="P523" s="164"/>
      <c r="Q523" s="164"/>
      <c r="R523" s="170"/>
      <c r="S523" s="170"/>
      <c r="T523" s="170"/>
      <c r="U523" s="170"/>
      <c r="V523" s="164"/>
      <c r="W523" s="164"/>
      <c r="X523" s="164"/>
      <c r="Y523" s="164"/>
      <c r="Z523" s="164"/>
      <c r="AA523" s="170"/>
      <c r="AB523" s="170"/>
      <c r="AC523" s="164"/>
      <c r="AD523" s="164"/>
      <c r="AE523" s="164"/>
      <c r="AF523" s="164"/>
      <c r="AG523" s="164"/>
      <c r="AH523" s="170"/>
      <c r="AI523" s="7"/>
      <c r="AJ523" s="7"/>
      <c r="AK523" s="7"/>
    </row>
    <row r="524" spans="1:37" ht="15.75" customHeight="1">
      <c r="A524" s="168"/>
      <c r="B524" s="169"/>
      <c r="C524" s="167"/>
      <c r="D524" s="171"/>
      <c r="E524" s="172"/>
      <c r="F524" s="172"/>
      <c r="G524" s="172"/>
      <c r="H524" s="171"/>
      <c r="I524" s="164"/>
      <c r="J524" s="164"/>
      <c r="K524" s="164"/>
      <c r="L524" s="164"/>
      <c r="M524" s="164"/>
      <c r="N524" s="164"/>
      <c r="O524" s="164"/>
      <c r="P524" s="164"/>
      <c r="Q524" s="164"/>
      <c r="R524" s="170"/>
      <c r="S524" s="170"/>
      <c r="T524" s="170"/>
      <c r="U524" s="170"/>
      <c r="V524" s="164"/>
      <c r="W524" s="164"/>
      <c r="X524" s="164"/>
      <c r="Y524" s="164"/>
      <c r="Z524" s="164"/>
      <c r="AA524" s="170"/>
      <c r="AB524" s="170"/>
      <c r="AC524" s="164"/>
      <c r="AD524" s="164"/>
      <c r="AE524" s="164"/>
      <c r="AF524" s="164"/>
      <c r="AG524" s="164"/>
      <c r="AH524" s="170"/>
      <c r="AI524" s="7"/>
      <c r="AJ524" s="7"/>
      <c r="AK524" s="7"/>
    </row>
    <row r="525" spans="1:37" ht="15.75" customHeight="1">
      <c r="A525" s="168"/>
      <c r="B525" s="169"/>
      <c r="C525" s="167"/>
      <c r="D525" s="171"/>
      <c r="E525" s="172"/>
      <c r="F525" s="172"/>
      <c r="G525" s="172"/>
      <c r="H525" s="171"/>
      <c r="I525" s="164"/>
      <c r="J525" s="164"/>
      <c r="K525" s="164"/>
      <c r="L525" s="164"/>
      <c r="M525" s="164"/>
      <c r="N525" s="164"/>
      <c r="O525" s="164"/>
      <c r="P525" s="164"/>
      <c r="Q525" s="164"/>
      <c r="R525" s="170"/>
      <c r="S525" s="170"/>
      <c r="T525" s="170"/>
      <c r="U525" s="170"/>
      <c r="V525" s="164"/>
      <c r="W525" s="164"/>
      <c r="X525" s="164"/>
      <c r="Y525" s="164"/>
      <c r="Z525" s="164"/>
      <c r="AA525" s="170"/>
      <c r="AB525" s="170"/>
      <c r="AC525" s="164"/>
      <c r="AD525" s="164"/>
      <c r="AE525" s="164"/>
      <c r="AF525" s="164"/>
      <c r="AG525" s="164"/>
      <c r="AH525" s="170"/>
      <c r="AI525" s="7"/>
      <c r="AJ525" s="7"/>
      <c r="AK525" s="7"/>
    </row>
    <row r="526" spans="1:37" ht="15.75" customHeight="1">
      <c r="A526" s="168"/>
      <c r="B526" s="169"/>
      <c r="C526" s="167"/>
      <c r="D526" s="171"/>
      <c r="E526" s="172"/>
      <c r="F526" s="172"/>
      <c r="G526" s="172"/>
      <c r="H526" s="171"/>
      <c r="I526" s="164"/>
      <c r="J526" s="164"/>
      <c r="K526" s="164"/>
      <c r="L526" s="164"/>
      <c r="M526" s="164"/>
      <c r="N526" s="164"/>
      <c r="O526" s="164"/>
      <c r="P526" s="164"/>
      <c r="Q526" s="164"/>
      <c r="R526" s="170"/>
      <c r="S526" s="170"/>
      <c r="T526" s="170"/>
      <c r="U526" s="170"/>
      <c r="V526" s="164"/>
      <c r="W526" s="164"/>
      <c r="X526" s="164"/>
      <c r="Y526" s="164"/>
      <c r="Z526" s="164"/>
      <c r="AA526" s="170"/>
      <c r="AB526" s="170"/>
      <c r="AC526" s="164"/>
      <c r="AD526" s="164"/>
      <c r="AE526" s="164"/>
      <c r="AF526" s="164"/>
      <c r="AG526" s="164"/>
      <c r="AH526" s="170"/>
      <c r="AI526" s="7"/>
      <c r="AJ526" s="7"/>
      <c r="AK526" s="7"/>
    </row>
    <row r="527" spans="1:37" ht="15.75" customHeight="1">
      <c r="A527" s="168"/>
      <c r="B527" s="169"/>
      <c r="C527" s="167"/>
      <c r="D527" s="171"/>
      <c r="E527" s="172"/>
      <c r="F527" s="172"/>
      <c r="G527" s="172"/>
      <c r="H527" s="171"/>
      <c r="I527" s="164"/>
      <c r="J527" s="164"/>
      <c r="K527" s="164"/>
      <c r="L527" s="164"/>
      <c r="M527" s="164"/>
      <c r="N527" s="164"/>
      <c r="O527" s="164"/>
      <c r="P527" s="164"/>
      <c r="Q527" s="164"/>
      <c r="R527" s="170"/>
      <c r="S527" s="170"/>
      <c r="T527" s="170"/>
      <c r="U527" s="170"/>
      <c r="V527" s="164"/>
      <c r="W527" s="164"/>
      <c r="X527" s="164"/>
      <c r="Y527" s="164"/>
      <c r="Z527" s="164"/>
      <c r="AA527" s="170"/>
      <c r="AB527" s="170"/>
      <c r="AC527" s="164"/>
      <c r="AD527" s="164"/>
      <c r="AE527" s="164"/>
      <c r="AF527" s="164"/>
      <c r="AG527" s="164"/>
      <c r="AH527" s="170"/>
      <c r="AI527" s="7"/>
      <c r="AJ527" s="7"/>
      <c r="AK527" s="7"/>
    </row>
    <row r="528" spans="1:37" ht="15.75" customHeight="1">
      <c r="A528" s="168"/>
      <c r="B528" s="169"/>
      <c r="C528" s="167"/>
      <c r="D528" s="171"/>
      <c r="E528" s="172"/>
      <c r="F528" s="172"/>
      <c r="G528" s="172"/>
      <c r="H528" s="171"/>
      <c r="I528" s="164"/>
      <c r="J528" s="164"/>
      <c r="K528" s="164"/>
      <c r="L528" s="164"/>
      <c r="M528" s="164"/>
      <c r="N528" s="164"/>
      <c r="O528" s="164"/>
      <c r="P528" s="164"/>
      <c r="Q528" s="164"/>
      <c r="R528" s="170"/>
      <c r="S528" s="170"/>
      <c r="T528" s="170"/>
      <c r="U528" s="170"/>
      <c r="V528" s="164"/>
      <c r="W528" s="164"/>
      <c r="X528" s="164"/>
      <c r="Y528" s="164"/>
      <c r="Z528" s="164"/>
      <c r="AA528" s="170"/>
      <c r="AB528" s="170"/>
      <c r="AC528" s="164"/>
      <c r="AD528" s="164"/>
      <c r="AE528" s="164"/>
      <c r="AF528" s="164"/>
      <c r="AG528" s="164"/>
      <c r="AH528" s="170"/>
      <c r="AI528" s="7"/>
      <c r="AJ528" s="7"/>
      <c r="AK528" s="7"/>
    </row>
    <row r="529" spans="1:37" ht="15.75" customHeight="1">
      <c r="A529" s="168"/>
      <c r="B529" s="169"/>
      <c r="C529" s="167"/>
      <c r="D529" s="171"/>
      <c r="E529" s="172"/>
      <c r="F529" s="172"/>
      <c r="G529" s="172"/>
      <c r="H529" s="171"/>
      <c r="I529" s="164"/>
      <c r="J529" s="164"/>
      <c r="K529" s="164"/>
      <c r="L529" s="164"/>
      <c r="M529" s="164"/>
      <c r="N529" s="164"/>
      <c r="O529" s="164"/>
      <c r="P529" s="164"/>
      <c r="Q529" s="164"/>
      <c r="R529" s="170"/>
      <c r="S529" s="170"/>
      <c r="T529" s="170"/>
      <c r="U529" s="170"/>
      <c r="V529" s="164"/>
      <c r="W529" s="164"/>
      <c r="X529" s="164"/>
      <c r="Y529" s="164"/>
      <c r="Z529" s="164"/>
      <c r="AA529" s="170"/>
      <c r="AB529" s="170"/>
      <c r="AC529" s="164"/>
      <c r="AD529" s="164"/>
      <c r="AE529" s="164"/>
      <c r="AF529" s="164"/>
      <c r="AG529" s="164"/>
      <c r="AH529" s="170"/>
      <c r="AI529" s="7"/>
      <c r="AJ529" s="7"/>
      <c r="AK529" s="7"/>
    </row>
    <row r="530" spans="1:37" ht="15.75" customHeight="1">
      <c r="A530" s="168"/>
      <c r="B530" s="169"/>
      <c r="C530" s="167"/>
      <c r="D530" s="171"/>
      <c r="E530" s="172"/>
      <c r="F530" s="172"/>
      <c r="G530" s="172"/>
      <c r="H530" s="171"/>
      <c r="I530" s="164"/>
      <c r="J530" s="164"/>
      <c r="K530" s="164"/>
      <c r="L530" s="164"/>
      <c r="M530" s="164"/>
      <c r="N530" s="164"/>
      <c r="O530" s="164"/>
      <c r="P530" s="164"/>
      <c r="Q530" s="164"/>
      <c r="R530" s="170"/>
      <c r="S530" s="170"/>
      <c r="T530" s="170"/>
      <c r="U530" s="170"/>
      <c r="V530" s="164"/>
      <c r="W530" s="164"/>
      <c r="X530" s="164"/>
      <c r="Y530" s="164"/>
      <c r="Z530" s="164"/>
      <c r="AA530" s="170"/>
      <c r="AB530" s="170"/>
      <c r="AC530" s="164"/>
      <c r="AD530" s="164"/>
      <c r="AE530" s="164"/>
      <c r="AF530" s="164"/>
      <c r="AG530" s="164"/>
      <c r="AH530" s="170"/>
      <c r="AI530" s="7"/>
      <c r="AJ530" s="7"/>
      <c r="AK530" s="7"/>
    </row>
    <row r="531" spans="1:37" ht="15.75" customHeight="1">
      <c r="A531" s="168"/>
      <c r="B531" s="169"/>
      <c r="C531" s="167"/>
      <c r="D531" s="171"/>
      <c r="E531" s="172"/>
      <c r="F531" s="172"/>
      <c r="G531" s="172"/>
      <c r="H531" s="171"/>
      <c r="I531" s="164"/>
      <c r="J531" s="164"/>
      <c r="K531" s="164"/>
      <c r="L531" s="164"/>
      <c r="M531" s="164"/>
      <c r="N531" s="164"/>
      <c r="O531" s="164"/>
      <c r="P531" s="164"/>
      <c r="Q531" s="164"/>
      <c r="R531" s="170"/>
      <c r="S531" s="170"/>
      <c r="T531" s="170"/>
      <c r="U531" s="170"/>
      <c r="V531" s="164"/>
      <c r="W531" s="164"/>
      <c r="X531" s="164"/>
      <c r="Y531" s="164"/>
      <c r="Z531" s="164"/>
      <c r="AA531" s="170"/>
      <c r="AB531" s="170"/>
      <c r="AC531" s="164"/>
      <c r="AD531" s="164"/>
      <c r="AE531" s="164"/>
      <c r="AF531" s="164"/>
      <c r="AG531" s="164"/>
      <c r="AH531" s="170"/>
      <c r="AI531" s="7"/>
      <c r="AJ531" s="7"/>
      <c r="AK531" s="7"/>
    </row>
    <row r="532" spans="1:37" ht="15.75" customHeight="1">
      <c r="A532" s="168"/>
      <c r="B532" s="169"/>
      <c r="C532" s="167"/>
      <c r="D532" s="171"/>
      <c r="E532" s="172"/>
      <c r="F532" s="172"/>
      <c r="G532" s="172"/>
      <c r="H532" s="171"/>
      <c r="I532" s="164"/>
      <c r="J532" s="164"/>
      <c r="K532" s="164"/>
      <c r="L532" s="164"/>
      <c r="M532" s="164"/>
      <c r="N532" s="164"/>
      <c r="O532" s="164"/>
      <c r="P532" s="164"/>
      <c r="Q532" s="164"/>
      <c r="R532" s="170"/>
      <c r="S532" s="170"/>
      <c r="T532" s="170"/>
      <c r="U532" s="170"/>
      <c r="V532" s="164"/>
      <c r="W532" s="164"/>
      <c r="X532" s="164"/>
      <c r="Y532" s="164"/>
      <c r="Z532" s="164"/>
      <c r="AA532" s="170"/>
      <c r="AB532" s="170"/>
      <c r="AC532" s="164"/>
      <c r="AD532" s="164"/>
      <c r="AE532" s="164"/>
      <c r="AF532" s="164"/>
      <c r="AG532" s="164"/>
      <c r="AH532" s="170"/>
      <c r="AI532" s="7"/>
      <c r="AJ532" s="7"/>
      <c r="AK532" s="7"/>
    </row>
    <row r="533" spans="1:37" ht="15.75" customHeight="1">
      <c r="A533" s="168"/>
      <c r="B533" s="169"/>
      <c r="C533" s="167"/>
      <c r="D533" s="171"/>
      <c r="E533" s="172"/>
      <c r="F533" s="172"/>
      <c r="G533" s="172"/>
      <c r="H533" s="171"/>
      <c r="I533" s="164"/>
      <c r="J533" s="164"/>
      <c r="K533" s="164"/>
      <c r="L533" s="164"/>
      <c r="M533" s="164"/>
      <c r="N533" s="164"/>
      <c r="O533" s="164"/>
      <c r="P533" s="164"/>
      <c r="Q533" s="164"/>
      <c r="R533" s="170"/>
      <c r="S533" s="170"/>
      <c r="T533" s="170"/>
      <c r="U533" s="170"/>
      <c r="V533" s="164"/>
      <c r="W533" s="164"/>
      <c r="X533" s="164"/>
      <c r="Y533" s="164"/>
      <c r="Z533" s="164"/>
      <c r="AA533" s="170"/>
      <c r="AB533" s="170"/>
      <c r="AC533" s="164"/>
      <c r="AD533" s="164"/>
      <c r="AE533" s="164"/>
      <c r="AF533" s="164"/>
      <c r="AG533" s="164"/>
      <c r="AH533" s="170"/>
      <c r="AI533" s="7"/>
      <c r="AJ533" s="7"/>
      <c r="AK533" s="7"/>
    </row>
    <row r="534" spans="1:37" ht="15.75" customHeight="1">
      <c r="A534" s="168"/>
      <c r="B534" s="169"/>
      <c r="C534" s="167"/>
      <c r="D534" s="171"/>
      <c r="E534" s="172"/>
      <c r="F534" s="172"/>
      <c r="G534" s="172"/>
      <c r="H534" s="171"/>
      <c r="I534" s="164"/>
      <c r="J534" s="164"/>
      <c r="K534" s="164"/>
      <c r="L534" s="164"/>
      <c r="M534" s="164"/>
      <c r="N534" s="164"/>
      <c r="O534" s="164"/>
      <c r="P534" s="164"/>
      <c r="Q534" s="164"/>
      <c r="R534" s="170"/>
      <c r="S534" s="170"/>
      <c r="T534" s="170"/>
      <c r="U534" s="170"/>
      <c r="V534" s="164"/>
      <c r="W534" s="164"/>
      <c r="X534" s="164"/>
      <c r="Y534" s="164"/>
      <c r="Z534" s="164"/>
      <c r="AA534" s="170"/>
      <c r="AB534" s="170"/>
      <c r="AC534" s="164"/>
      <c r="AD534" s="164"/>
      <c r="AE534" s="164"/>
      <c r="AF534" s="164"/>
      <c r="AG534" s="164"/>
      <c r="AH534" s="170"/>
      <c r="AI534" s="7"/>
      <c r="AJ534" s="7"/>
      <c r="AK534" s="7"/>
    </row>
    <row r="535" spans="1:37" ht="15.75" customHeight="1">
      <c r="A535" s="168"/>
      <c r="B535" s="169"/>
      <c r="C535" s="167"/>
      <c r="D535" s="171"/>
      <c r="E535" s="172"/>
      <c r="F535" s="172"/>
      <c r="G535" s="172"/>
      <c r="H535" s="171"/>
      <c r="I535" s="164"/>
      <c r="J535" s="164"/>
      <c r="K535" s="164"/>
      <c r="L535" s="164"/>
      <c r="M535" s="164"/>
      <c r="N535" s="164"/>
      <c r="O535" s="164"/>
      <c r="P535" s="164"/>
      <c r="Q535" s="164"/>
      <c r="R535" s="170"/>
      <c r="S535" s="170"/>
      <c r="T535" s="170"/>
      <c r="U535" s="170"/>
      <c r="V535" s="164"/>
      <c r="W535" s="164"/>
      <c r="X535" s="164"/>
      <c r="Y535" s="164"/>
      <c r="Z535" s="164"/>
      <c r="AA535" s="170"/>
      <c r="AB535" s="170"/>
      <c r="AC535" s="164"/>
      <c r="AD535" s="164"/>
      <c r="AE535" s="164"/>
      <c r="AF535" s="164"/>
      <c r="AG535" s="164"/>
      <c r="AH535" s="170"/>
      <c r="AI535" s="7"/>
      <c r="AJ535" s="7"/>
      <c r="AK535" s="7"/>
    </row>
    <row r="536" spans="1:37" ht="15.75" customHeight="1">
      <c r="A536" s="168"/>
      <c r="B536" s="169"/>
      <c r="C536" s="167"/>
      <c r="D536" s="171"/>
      <c r="E536" s="172"/>
      <c r="F536" s="172"/>
      <c r="G536" s="172"/>
      <c r="H536" s="171"/>
      <c r="I536" s="164"/>
      <c r="J536" s="164"/>
      <c r="K536" s="164"/>
      <c r="L536" s="164"/>
      <c r="M536" s="164"/>
      <c r="N536" s="164"/>
      <c r="O536" s="164"/>
      <c r="P536" s="164"/>
      <c r="Q536" s="164"/>
      <c r="R536" s="170"/>
      <c r="S536" s="170"/>
      <c r="T536" s="170"/>
      <c r="U536" s="170"/>
      <c r="V536" s="164"/>
      <c r="W536" s="164"/>
      <c r="X536" s="164"/>
      <c r="Y536" s="164"/>
      <c r="Z536" s="164"/>
      <c r="AA536" s="170"/>
      <c r="AB536" s="170"/>
      <c r="AC536" s="164"/>
      <c r="AD536" s="164"/>
      <c r="AE536" s="164"/>
      <c r="AF536" s="164"/>
      <c r="AG536" s="164"/>
      <c r="AH536" s="170"/>
      <c r="AI536" s="7"/>
      <c r="AJ536" s="7"/>
      <c r="AK536" s="7"/>
    </row>
    <row r="537" spans="1:37" ht="15.75" customHeight="1">
      <c r="A537" s="168"/>
      <c r="B537" s="169"/>
      <c r="C537" s="167"/>
      <c r="D537" s="171"/>
      <c r="E537" s="172"/>
      <c r="F537" s="172"/>
      <c r="G537" s="172"/>
      <c r="H537" s="171"/>
      <c r="I537" s="164"/>
      <c r="J537" s="164"/>
      <c r="K537" s="164"/>
      <c r="L537" s="164"/>
      <c r="M537" s="164"/>
      <c r="N537" s="164"/>
      <c r="O537" s="164"/>
      <c r="P537" s="164"/>
      <c r="Q537" s="164"/>
      <c r="R537" s="170"/>
      <c r="S537" s="170"/>
      <c r="T537" s="170"/>
      <c r="U537" s="170"/>
      <c r="V537" s="164"/>
      <c r="W537" s="164"/>
      <c r="X537" s="164"/>
      <c r="Y537" s="164"/>
      <c r="Z537" s="164"/>
      <c r="AA537" s="170"/>
      <c r="AB537" s="170"/>
      <c r="AC537" s="164"/>
      <c r="AD537" s="164"/>
      <c r="AE537" s="164"/>
      <c r="AF537" s="164"/>
      <c r="AG537" s="164"/>
      <c r="AH537" s="170"/>
      <c r="AI537" s="7"/>
      <c r="AJ537" s="7"/>
      <c r="AK537" s="7"/>
    </row>
    <row r="538" spans="1:37" ht="15.75" customHeight="1">
      <c r="A538" s="168"/>
      <c r="B538" s="169"/>
      <c r="C538" s="167"/>
      <c r="D538" s="171"/>
      <c r="E538" s="172"/>
      <c r="F538" s="172"/>
      <c r="G538" s="172"/>
      <c r="H538" s="171"/>
      <c r="I538" s="164"/>
      <c r="J538" s="164"/>
      <c r="K538" s="164"/>
      <c r="L538" s="164"/>
      <c r="M538" s="164"/>
      <c r="N538" s="164"/>
      <c r="O538" s="164"/>
      <c r="P538" s="164"/>
      <c r="Q538" s="164"/>
      <c r="R538" s="170"/>
      <c r="S538" s="170"/>
      <c r="T538" s="170"/>
      <c r="U538" s="170"/>
      <c r="V538" s="164"/>
      <c r="W538" s="164"/>
      <c r="X538" s="164"/>
      <c r="Y538" s="164"/>
      <c r="Z538" s="164"/>
      <c r="AA538" s="170"/>
      <c r="AB538" s="170"/>
      <c r="AC538" s="164"/>
      <c r="AD538" s="164"/>
      <c r="AE538" s="164"/>
      <c r="AF538" s="164"/>
      <c r="AG538" s="164"/>
      <c r="AH538" s="170"/>
      <c r="AI538" s="7"/>
      <c r="AJ538" s="7"/>
      <c r="AK538" s="7"/>
    </row>
    <row r="539" spans="1:37" ht="15.75" customHeight="1">
      <c r="A539" s="168"/>
      <c r="B539" s="169"/>
      <c r="C539" s="167"/>
      <c r="D539" s="171"/>
      <c r="E539" s="172"/>
      <c r="F539" s="172"/>
      <c r="G539" s="172"/>
      <c r="H539" s="171"/>
      <c r="I539" s="164"/>
      <c r="J539" s="164"/>
      <c r="K539" s="164"/>
      <c r="L539" s="164"/>
      <c r="M539" s="164"/>
      <c r="N539" s="164"/>
      <c r="O539" s="164"/>
      <c r="P539" s="164"/>
      <c r="Q539" s="164"/>
      <c r="R539" s="170"/>
      <c r="S539" s="170"/>
      <c r="T539" s="170"/>
      <c r="U539" s="170"/>
      <c r="V539" s="164"/>
      <c r="W539" s="164"/>
      <c r="X539" s="164"/>
      <c r="Y539" s="164"/>
      <c r="Z539" s="164"/>
      <c r="AA539" s="170"/>
      <c r="AB539" s="170"/>
      <c r="AC539" s="164"/>
      <c r="AD539" s="164"/>
      <c r="AE539" s="164"/>
      <c r="AF539" s="164"/>
      <c r="AG539" s="164"/>
      <c r="AH539" s="170"/>
      <c r="AI539" s="7"/>
      <c r="AJ539" s="7"/>
      <c r="AK539" s="7"/>
    </row>
    <row r="540" spans="1:37" ht="15.75" customHeight="1">
      <c r="A540" s="168"/>
      <c r="B540" s="169"/>
      <c r="C540" s="167"/>
      <c r="D540" s="171"/>
      <c r="E540" s="172"/>
      <c r="F540" s="172"/>
      <c r="G540" s="172"/>
      <c r="H540" s="171"/>
      <c r="I540" s="164"/>
      <c r="J540" s="164"/>
      <c r="K540" s="164"/>
      <c r="L540" s="164"/>
      <c r="M540" s="164"/>
      <c r="N540" s="164"/>
      <c r="O540" s="164"/>
      <c r="P540" s="164"/>
      <c r="Q540" s="164"/>
      <c r="R540" s="170"/>
      <c r="S540" s="170"/>
      <c r="T540" s="170"/>
      <c r="U540" s="170"/>
      <c r="V540" s="164"/>
      <c r="W540" s="164"/>
      <c r="X540" s="164"/>
      <c r="Y540" s="164"/>
      <c r="Z540" s="164"/>
      <c r="AA540" s="170"/>
      <c r="AB540" s="170"/>
      <c r="AC540" s="164"/>
      <c r="AD540" s="164"/>
      <c r="AE540" s="164"/>
      <c r="AF540" s="164"/>
      <c r="AG540" s="164"/>
      <c r="AH540" s="170"/>
      <c r="AI540" s="7"/>
      <c r="AJ540" s="7"/>
      <c r="AK540" s="7"/>
    </row>
    <row r="541" spans="1:37" ht="15.75" customHeight="1">
      <c r="A541" s="168"/>
      <c r="B541" s="169"/>
      <c r="C541" s="167"/>
      <c r="D541" s="171"/>
      <c r="E541" s="172"/>
      <c r="F541" s="172"/>
      <c r="G541" s="172"/>
      <c r="H541" s="171"/>
      <c r="I541" s="164"/>
      <c r="J541" s="164"/>
      <c r="K541" s="164"/>
      <c r="L541" s="164"/>
      <c r="M541" s="164"/>
      <c r="N541" s="164"/>
      <c r="O541" s="164"/>
      <c r="P541" s="164"/>
      <c r="Q541" s="164"/>
      <c r="R541" s="170"/>
      <c r="S541" s="170"/>
      <c r="T541" s="170"/>
      <c r="U541" s="170"/>
      <c r="V541" s="164"/>
      <c r="W541" s="164"/>
      <c r="X541" s="164"/>
      <c r="Y541" s="164"/>
      <c r="Z541" s="164"/>
      <c r="AA541" s="170"/>
      <c r="AB541" s="170"/>
      <c r="AC541" s="164"/>
      <c r="AD541" s="164"/>
      <c r="AE541" s="164"/>
      <c r="AF541" s="164"/>
      <c r="AG541" s="164"/>
      <c r="AH541" s="170"/>
      <c r="AI541" s="7"/>
      <c r="AJ541" s="7"/>
      <c r="AK541" s="7"/>
    </row>
    <row r="542" spans="1:37" ht="15.75" customHeight="1">
      <c r="A542" s="168"/>
      <c r="B542" s="169"/>
      <c r="C542" s="167"/>
      <c r="D542" s="171"/>
      <c r="E542" s="172"/>
      <c r="F542" s="172"/>
      <c r="G542" s="172"/>
      <c r="H542" s="171"/>
      <c r="I542" s="164"/>
      <c r="J542" s="164"/>
      <c r="K542" s="164"/>
      <c r="L542" s="164"/>
      <c r="M542" s="164"/>
      <c r="N542" s="164"/>
      <c r="O542" s="164"/>
      <c r="P542" s="164"/>
      <c r="Q542" s="164"/>
      <c r="R542" s="170"/>
      <c r="S542" s="170"/>
      <c r="T542" s="170"/>
      <c r="U542" s="170"/>
      <c r="V542" s="164"/>
      <c r="W542" s="164"/>
      <c r="X542" s="164"/>
      <c r="Y542" s="164"/>
      <c r="Z542" s="164"/>
      <c r="AA542" s="170"/>
      <c r="AB542" s="170"/>
      <c r="AC542" s="164"/>
      <c r="AD542" s="164"/>
      <c r="AE542" s="164"/>
      <c r="AF542" s="164"/>
      <c r="AG542" s="164"/>
      <c r="AH542" s="170"/>
      <c r="AI542" s="7"/>
      <c r="AJ542" s="7"/>
      <c r="AK542" s="7"/>
    </row>
    <row r="543" spans="1:37" ht="15.75" customHeight="1">
      <c r="A543" s="168"/>
      <c r="B543" s="169"/>
      <c r="C543" s="167"/>
      <c r="D543" s="171"/>
      <c r="E543" s="172"/>
      <c r="F543" s="172"/>
      <c r="G543" s="172"/>
      <c r="H543" s="171"/>
      <c r="I543" s="164"/>
      <c r="J543" s="164"/>
      <c r="K543" s="164"/>
      <c r="L543" s="164"/>
      <c r="M543" s="164"/>
      <c r="N543" s="164"/>
      <c r="O543" s="164"/>
      <c r="P543" s="164"/>
      <c r="Q543" s="164"/>
      <c r="R543" s="170"/>
      <c r="S543" s="170"/>
      <c r="T543" s="170"/>
      <c r="U543" s="170"/>
      <c r="V543" s="164"/>
      <c r="W543" s="164"/>
      <c r="X543" s="164"/>
      <c r="Y543" s="164"/>
      <c r="Z543" s="164"/>
      <c r="AA543" s="170"/>
      <c r="AB543" s="170"/>
      <c r="AC543" s="164"/>
      <c r="AD543" s="164"/>
      <c r="AE543" s="164"/>
      <c r="AF543" s="164"/>
      <c r="AG543" s="164"/>
      <c r="AH543" s="170"/>
      <c r="AI543" s="7"/>
      <c r="AJ543" s="7"/>
      <c r="AK543" s="7"/>
    </row>
    <row r="544" spans="1:37" ht="15.75" customHeight="1">
      <c r="A544" s="168"/>
      <c r="B544" s="169"/>
      <c r="C544" s="167"/>
      <c r="D544" s="171"/>
      <c r="E544" s="172"/>
      <c r="F544" s="172"/>
      <c r="G544" s="172"/>
      <c r="H544" s="171"/>
      <c r="I544" s="164"/>
      <c r="J544" s="164"/>
      <c r="K544" s="164"/>
      <c r="L544" s="164"/>
      <c r="M544" s="164"/>
      <c r="N544" s="164"/>
      <c r="O544" s="164"/>
      <c r="P544" s="164"/>
      <c r="Q544" s="164"/>
      <c r="R544" s="170"/>
      <c r="S544" s="170"/>
      <c r="T544" s="170"/>
      <c r="U544" s="170"/>
      <c r="V544" s="164"/>
      <c r="W544" s="164"/>
      <c r="X544" s="164"/>
      <c r="Y544" s="164"/>
      <c r="Z544" s="164"/>
      <c r="AA544" s="170"/>
      <c r="AB544" s="170"/>
      <c r="AC544" s="164"/>
      <c r="AD544" s="164"/>
      <c r="AE544" s="164"/>
      <c r="AF544" s="164"/>
      <c r="AG544" s="164"/>
      <c r="AH544" s="170"/>
      <c r="AI544" s="7"/>
      <c r="AJ544" s="7"/>
      <c r="AK544" s="7"/>
    </row>
    <row r="545" spans="1:37" ht="15.75" customHeight="1">
      <c r="A545" s="168"/>
      <c r="B545" s="169"/>
      <c r="C545" s="167"/>
      <c r="D545" s="171"/>
      <c r="E545" s="172"/>
      <c r="F545" s="172"/>
      <c r="G545" s="172"/>
      <c r="H545" s="171"/>
      <c r="I545" s="164"/>
      <c r="J545" s="164"/>
      <c r="K545" s="164"/>
      <c r="L545" s="164"/>
      <c r="M545" s="164"/>
      <c r="N545" s="164"/>
      <c r="O545" s="164"/>
      <c r="P545" s="164"/>
      <c r="Q545" s="164"/>
      <c r="R545" s="170"/>
      <c r="S545" s="170"/>
      <c r="T545" s="170"/>
      <c r="U545" s="170"/>
      <c r="V545" s="164"/>
      <c r="W545" s="164"/>
      <c r="X545" s="164"/>
      <c r="Y545" s="164"/>
      <c r="Z545" s="164"/>
      <c r="AA545" s="170"/>
      <c r="AB545" s="170"/>
      <c r="AC545" s="164"/>
      <c r="AD545" s="164"/>
      <c r="AE545" s="164"/>
      <c r="AF545" s="164"/>
      <c r="AG545" s="164"/>
      <c r="AH545" s="170"/>
      <c r="AI545" s="7"/>
      <c r="AJ545" s="7"/>
      <c r="AK545" s="7"/>
    </row>
    <row r="546" spans="1:37" ht="15.75" customHeight="1">
      <c r="A546" s="168"/>
      <c r="B546" s="169"/>
      <c r="C546" s="167"/>
      <c r="D546" s="171"/>
      <c r="E546" s="172"/>
      <c r="F546" s="172"/>
      <c r="G546" s="172"/>
      <c r="H546" s="171"/>
      <c r="I546" s="164"/>
      <c r="J546" s="164"/>
      <c r="K546" s="164"/>
      <c r="L546" s="164"/>
      <c r="M546" s="164"/>
      <c r="N546" s="164"/>
      <c r="O546" s="164"/>
      <c r="P546" s="164"/>
      <c r="Q546" s="164"/>
      <c r="R546" s="170"/>
      <c r="S546" s="170"/>
      <c r="T546" s="170"/>
      <c r="U546" s="170"/>
      <c r="V546" s="164"/>
      <c r="W546" s="164"/>
      <c r="X546" s="164"/>
      <c r="Y546" s="164"/>
      <c r="Z546" s="164"/>
      <c r="AA546" s="170"/>
      <c r="AB546" s="170"/>
      <c r="AC546" s="164"/>
      <c r="AD546" s="164"/>
      <c r="AE546" s="164"/>
      <c r="AF546" s="164"/>
      <c r="AG546" s="164"/>
      <c r="AH546" s="170"/>
      <c r="AI546" s="7"/>
      <c r="AJ546" s="7"/>
      <c r="AK546" s="7"/>
    </row>
    <row r="547" spans="1:37" ht="15.75" customHeight="1">
      <c r="A547" s="168"/>
      <c r="B547" s="169"/>
      <c r="C547" s="167"/>
      <c r="D547" s="171"/>
      <c r="E547" s="172"/>
      <c r="F547" s="172"/>
      <c r="G547" s="172"/>
      <c r="H547" s="171"/>
      <c r="I547" s="164"/>
      <c r="J547" s="164"/>
      <c r="K547" s="164"/>
      <c r="L547" s="164"/>
      <c r="M547" s="164"/>
      <c r="N547" s="164"/>
      <c r="O547" s="164"/>
      <c r="P547" s="164"/>
      <c r="Q547" s="164"/>
      <c r="R547" s="170"/>
      <c r="S547" s="170"/>
      <c r="T547" s="170"/>
      <c r="U547" s="170"/>
      <c r="V547" s="164"/>
      <c r="W547" s="164"/>
      <c r="X547" s="164"/>
      <c r="Y547" s="164"/>
      <c r="Z547" s="164"/>
      <c r="AA547" s="170"/>
      <c r="AB547" s="170"/>
      <c r="AC547" s="164"/>
      <c r="AD547" s="164"/>
      <c r="AE547" s="164"/>
      <c r="AF547" s="164"/>
      <c r="AG547" s="164"/>
      <c r="AH547" s="170"/>
      <c r="AI547" s="7"/>
      <c r="AJ547" s="7"/>
      <c r="AK547" s="7"/>
    </row>
    <row r="548" spans="1:37" ht="15.75" customHeight="1">
      <c r="A548" s="168"/>
      <c r="B548" s="169"/>
      <c r="C548" s="167"/>
      <c r="D548" s="171"/>
      <c r="E548" s="172"/>
      <c r="F548" s="172"/>
      <c r="G548" s="172"/>
      <c r="H548" s="171"/>
      <c r="I548" s="164"/>
      <c r="J548" s="164"/>
      <c r="K548" s="164"/>
      <c r="L548" s="164"/>
      <c r="M548" s="164"/>
      <c r="N548" s="164"/>
      <c r="O548" s="164"/>
      <c r="P548" s="164"/>
      <c r="Q548" s="164"/>
      <c r="R548" s="170"/>
      <c r="S548" s="170"/>
      <c r="T548" s="170"/>
      <c r="U548" s="170"/>
      <c r="V548" s="164"/>
      <c r="W548" s="164"/>
      <c r="X548" s="164"/>
      <c r="Y548" s="164"/>
      <c r="Z548" s="164"/>
      <c r="AA548" s="170"/>
      <c r="AB548" s="170"/>
      <c r="AC548" s="164"/>
      <c r="AD548" s="164"/>
      <c r="AE548" s="164"/>
      <c r="AF548" s="164"/>
      <c r="AG548" s="164"/>
      <c r="AH548" s="170"/>
      <c r="AI548" s="7"/>
      <c r="AJ548" s="7"/>
      <c r="AK548" s="7"/>
    </row>
    <row r="549" spans="1:37" ht="15.75" customHeight="1">
      <c r="A549" s="168"/>
      <c r="B549" s="169"/>
      <c r="C549" s="167"/>
      <c r="D549" s="171"/>
      <c r="E549" s="172"/>
      <c r="F549" s="172"/>
      <c r="G549" s="172"/>
      <c r="H549" s="171"/>
      <c r="I549" s="164"/>
      <c r="J549" s="164"/>
      <c r="K549" s="164"/>
      <c r="L549" s="164"/>
      <c r="M549" s="164"/>
      <c r="N549" s="164"/>
      <c r="O549" s="164"/>
      <c r="P549" s="164"/>
      <c r="Q549" s="164"/>
      <c r="R549" s="170"/>
      <c r="S549" s="170"/>
      <c r="T549" s="170"/>
      <c r="U549" s="170"/>
      <c r="V549" s="164"/>
      <c r="W549" s="164"/>
      <c r="X549" s="164"/>
      <c r="Y549" s="164"/>
      <c r="Z549" s="164"/>
      <c r="AA549" s="170"/>
      <c r="AB549" s="170"/>
      <c r="AC549" s="164"/>
      <c r="AD549" s="164"/>
      <c r="AE549" s="164"/>
      <c r="AF549" s="164"/>
      <c r="AG549" s="164"/>
      <c r="AH549" s="170"/>
      <c r="AI549" s="7"/>
      <c r="AJ549" s="7"/>
      <c r="AK549" s="7"/>
    </row>
    <row r="550" spans="1:37" ht="15.75" customHeight="1">
      <c r="A550" s="168"/>
      <c r="B550" s="169"/>
      <c r="C550" s="167"/>
      <c r="D550" s="171"/>
      <c r="E550" s="172"/>
      <c r="F550" s="172"/>
      <c r="G550" s="172"/>
      <c r="H550" s="171"/>
      <c r="I550" s="164"/>
      <c r="J550" s="164"/>
      <c r="K550" s="164"/>
      <c r="L550" s="164"/>
      <c r="M550" s="164"/>
      <c r="N550" s="164"/>
      <c r="O550" s="164"/>
      <c r="P550" s="164"/>
      <c r="Q550" s="164"/>
      <c r="R550" s="170"/>
      <c r="S550" s="170"/>
      <c r="T550" s="170"/>
      <c r="U550" s="170"/>
      <c r="V550" s="164"/>
      <c r="W550" s="164"/>
      <c r="X550" s="164"/>
      <c r="Y550" s="164"/>
      <c r="Z550" s="164"/>
      <c r="AA550" s="170"/>
      <c r="AB550" s="170"/>
      <c r="AC550" s="164"/>
      <c r="AD550" s="164"/>
      <c r="AE550" s="164"/>
      <c r="AF550" s="164"/>
      <c r="AG550" s="164"/>
      <c r="AH550" s="170"/>
      <c r="AI550" s="7"/>
      <c r="AJ550" s="7"/>
      <c r="AK550" s="7"/>
    </row>
    <row r="551" spans="1:37" ht="15.75" customHeight="1">
      <c r="A551" s="168"/>
      <c r="B551" s="169"/>
      <c r="C551" s="167"/>
      <c r="D551" s="171"/>
      <c r="E551" s="172"/>
      <c r="F551" s="172"/>
      <c r="G551" s="172"/>
      <c r="H551" s="171"/>
      <c r="I551" s="164"/>
      <c r="J551" s="164"/>
      <c r="K551" s="164"/>
      <c r="L551" s="164"/>
      <c r="M551" s="164"/>
      <c r="N551" s="164"/>
      <c r="O551" s="164"/>
      <c r="P551" s="164"/>
      <c r="Q551" s="164"/>
      <c r="R551" s="170"/>
      <c r="S551" s="170"/>
      <c r="T551" s="170"/>
      <c r="U551" s="170"/>
      <c r="V551" s="164"/>
      <c r="W551" s="164"/>
      <c r="X551" s="164"/>
      <c r="Y551" s="164"/>
      <c r="Z551" s="164"/>
      <c r="AA551" s="170"/>
      <c r="AB551" s="170"/>
      <c r="AC551" s="164"/>
      <c r="AD551" s="164"/>
      <c r="AE551" s="164"/>
      <c r="AF551" s="164"/>
      <c r="AG551" s="164"/>
      <c r="AH551" s="170"/>
      <c r="AI551" s="7"/>
      <c r="AJ551" s="7"/>
      <c r="AK551" s="7"/>
    </row>
    <row r="552" spans="1:37" ht="15.75" customHeight="1">
      <c r="A552" s="168"/>
      <c r="B552" s="169"/>
      <c r="C552" s="167"/>
      <c r="D552" s="171"/>
      <c r="E552" s="172"/>
      <c r="F552" s="172"/>
      <c r="G552" s="172"/>
      <c r="H552" s="171"/>
      <c r="I552" s="164"/>
      <c r="J552" s="164"/>
      <c r="K552" s="164"/>
      <c r="L552" s="164"/>
      <c r="M552" s="164"/>
      <c r="N552" s="164"/>
      <c r="O552" s="164"/>
      <c r="P552" s="164"/>
      <c r="Q552" s="164"/>
      <c r="R552" s="170"/>
      <c r="S552" s="170"/>
      <c r="T552" s="170"/>
      <c r="U552" s="170"/>
      <c r="V552" s="164"/>
      <c r="W552" s="164"/>
      <c r="X552" s="164"/>
      <c r="Y552" s="164"/>
      <c r="Z552" s="164"/>
      <c r="AA552" s="170"/>
      <c r="AB552" s="170"/>
      <c r="AC552" s="164"/>
      <c r="AD552" s="164"/>
      <c r="AE552" s="164"/>
      <c r="AF552" s="164"/>
      <c r="AG552" s="164"/>
      <c r="AH552" s="170"/>
      <c r="AI552" s="7"/>
      <c r="AJ552" s="7"/>
      <c r="AK552" s="7"/>
    </row>
    <row r="553" spans="1:37" ht="15.75" customHeight="1">
      <c r="A553" s="168"/>
      <c r="B553" s="169"/>
      <c r="C553" s="167"/>
      <c r="D553" s="171"/>
      <c r="E553" s="172"/>
      <c r="F553" s="172"/>
      <c r="G553" s="172"/>
      <c r="H553" s="171"/>
      <c r="I553" s="164"/>
      <c r="J553" s="164"/>
      <c r="K553" s="164"/>
      <c r="L553" s="164"/>
      <c r="M553" s="164"/>
      <c r="N553" s="164"/>
      <c r="O553" s="164"/>
      <c r="P553" s="164"/>
      <c r="Q553" s="164"/>
      <c r="R553" s="170"/>
      <c r="S553" s="170"/>
      <c r="T553" s="170"/>
      <c r="U553" s="170"/>
      <c r="V553" s="164"/>
      <c r="W553" s="164"/>
      <c r="X553" s="164"/>
      <c r="Y553" s="164"/>
      <c r="Z553" s="164"/>
      <c r="AA553" s="170"/>
      <c r="AB553" s="170"/>
      <c r="AC553" s="164"/>
      <c r="AD553" s="164"/>
      <c r="AE553" s="164"/>
      <c r="AF553" s="164"/>
      <c r="AG553" s="164"/>
      <c r="AH553" s="170"/>
      <c r="AI553" s="7"/>
      <c r="AJ553" s="7"/>
      <c r="AK553" s="7"/>
    </row>
    <row r="554" spans="1:37" ht="15.75" customHeight="1">
      <c r="A554" s="168"/>
      <c r="B554" s="169"/>
      <c r="C554" s="167"/>
      <c r="D554" s="171"/>
      <c r="E554" s="172"/>
      <c r="F554" s="172"/>
      <c r="G554" s="172"/>
      <c r="H554" s="171"/>
      <c r="I554" s="164"/>
      <c r="J554" s="164"/>
      <c r="K554" s="164"/>
      <c r="L554" s="164"/>
      <c r="M554" s="164"/>
      <c r="N554" s="164"/>
      <c r="O554" s="164"/>
      <c r="P554" s="164"/>
      <c r="Q554" s="164"/>
      <c r="R554" s="170"/>
      <c r="S554" s="170"/>
      <c r="T554" s="170"/>
      <c r="U554" s="170"/>
      <c r="V554" s="164"/>
      <c r="W554" s="164"/>
      <c r="X554" s="164"/>
      <c r="Y554" s="164"/>
      <c r="Z554" s="164"/>
      <c r="AA554" s="170"/>
      <c r="AB554" s="170"/>
      <c r="AC554" s="164"/>
      <c r="AD554" s="164"/>
      <c r="AE554" s="164"/>
      <c r="AF554" s="164"/>
      <c r="AG554" s="164"/>
      <c r="AH554" s="170"/>
      <c r="AI554" s="7"/>
      <c r="AJ554" s="7"/>
      <c r="AK554" s="7"/>
    </row>
    <row r="555" spans="1:37" ht="15.75" customHeight="1">
      <c r="A555" s="168"/>
      <c r="B555" s="169"/>
      <c r="C555" s="167"/>
      <c r="D555" s="171"/>
      <c r="E555" s="172"/>
      <c r="F555" s="172"/>
      <c r="G555" s="172"/>
      <c r="H555" s="171"/>
      <c r="I555" s="164"/>
      <c r="J555" s="164"/>
      <c r="K555" s="164"/>
      <c r="L555" s="164"/>
      <c r="M555" s="164"/>
      <c r="N555" s="164"/>
      <c r="O555" s="164"/>
      <c r="P555" s="164"/>
      <c r="Q555" s="164"/>
      <c r="R555" s="170"/>
      <c r="S555" s="170"/>
      <c r="T555" s="170"/>
      <c r="U555" s="170"/>
      <c r="V555" s="164"/>
      <c r="W555" s="164"/>
      <c r="X555" s="164"/>
      <c r="Y555" s="164"/>
      <c r="Z555" s="164"/>
      <c r="AA555" s="170"/>
      <c r="AB555" s="170"/>
      <c r="AC555" s="164"/>
      <c r="AD555" s="164"/>
      <c r="AE555" s="164"/>
      <c r="AF555" s="164"/>
      <c r="AG555" s="164"/>
      <c r="AH555" s="170"/>
      <c r="AI555" s="7"/>
      <c r="AJ555" s="7"/>
      <c r="AK555" s="7"/>
    </row>
    <row r="556" spans="1:37" ht="15.75" customHeight="1">
      <c r="A556" s="168"/>
      <c r="B556" s="169"/>
      <c r="C556" s="167"/>
      <c r="D556" s="171"/>
      <c r="E556" s="172"/>
      <c r="F556" s="172"/>
      <c r="G556" s="172"/>
      <c r="H556" s="171"/>
      <c r="I556" s="164"/>
      <c r="J556" s="164"/>
      <c r="K556" s="164"/>
      <c r="L556" s="164"/>
      <c r="M556" s="164"/>
      <c r="N556" s="164"/>
      <c r="O556" s="164"/>
      <c r="P556" s="164"/>
      <c r="Q556" s="164"/>
      <c r="R556" s="170"/>
      <c r="S556" s="170"/>
      <c r="T556" s="170"/>
      <c r="U556" s="170"/>
      <c r="V556" s="164"/>
      <c r="W556" s="164"/>
      <c r="X556" s="164"/>
      <c r="Y556" s="164"/>
      <c r="Z556" s="164"/>
      <c r="AA556" s="170"/>
      <c r="AB556" s="170"/>
      <c r="AC556" s="164"/>
      <c r="AD556" s="164"/>
      <c r="AE556" s="164"/>
      <c r="AF556" s="164"/>
      <c r="AG556" s="164"/>
      <c r="AH556" s="170"/>
      <c r="AI556" s="7"/>
      <c r="AJ556" s="7"/>
      <c r="AK556" s="7"/>
    </row>
    <row r="557" spans="1:37" ht="15.75" customHeight="1">
      <c r="A557" s="168"/>
      <c r="B557" s="169"/>
      <c r="C557" s="167"/>
      <c r="D557" s="171"/>
      <c r="E557" s="172"/>
      <c r="F557" s="172"/>
      <c r="G557" s="172"/>
      <c r="H557" s="171"/>
      <c r="I557" s="164"/>
      <c r="J557" s="164"/>
      <c r="K557" s="164"/>
      <c r="L557" s="164"/>
      <c r="M557" s="164"/>
      <c r="N557" s="164"/>
      <c r="O557" s="164"/>
      <c r="P557" s="164"/>
      <c r="Q557" s="164"/>
      <c r="R557" s="170"/>
      <c r="S557" s="170"/>
      <c r="T557" s="170"/>
      <c r="U557" s="170"/>
      <c r="V557" s="164"/>
      <c r="W557" s="164"/>
      <c r="X557" s="164"/>
      <c r="Y557" s="164"/>
      <c r="Z557" s="164"/>
      <c r="AA557" s="170"/>
      <c r="AB557" s="170"/>
      <c r="AC557" s="164"/>
      <c r="AD557" s="164"/>
      <c r="AE557" s="164"/>
      <c r="AF557" s="164"/>
      <c r="AG557" s="164"/>
      <c r="AH557" s="170"/>
      <c r="AI557" s="7"/>
      <c r="AJ557" s="7"/>
      <c r="AK557" s="7"/>
    </row>
    <row r="558" spans="1:37" ht="15.75" customHeight="1">
      <c r="A558" s="168"/>
      <c r="B558" s="169"/>
      <c r="C558" s="167"/>
      <c r="D558" s="171"/>
      <c r="E558" s="172"/>
      <c r="F558" s="172"/>
      <c r="G558" s="172"/>
      <c r="H558" s="171"/>
      <c r="I558" s="164"/>
      <c r="J558" s="164"/>
      <c r="K558" s="164"/>
      <c r="L558" s="164"/>
      <c r="M558" s="164"/>
      <c r="N558" s="164"/>
      <c r="O558" s="164"/>
      <c r="P558" s="164"/>
      <c r="Q558" s="164"/>
      <c r="R558" s="170"/>
      <c r="S558" s="170"/>
      <c r="T558" s="170"/>
      <c r="U558" s="170"/>
      <c r="V558" s="164"/>
      <c r="W558" s="164"/>
      <c r="X558" s="164"/>
      <c r="Y558" s="164"/>
      <c r="Z558" s="164"/>
      <c r="AA558" s="170"/>
      <c r="AB558" s="170"/>
      <c r="AC558" s="164"/>
      <c r="AD558" s="164"/>
      <c r="AE558" s="164"/>
      <c r="AF558" s="164"/>
      <c r="AG558" s="164"/>
      <c r="AH558" s="170"/>
      <c r="AI558" s="7"/>
      <c r="AJ558" s="7"/>
      <c r="AK558" s="7"/>
    </row>
    <row r="559" spans="1:37" ht="15.75" customHeight="1">
      <c r="A559" s="168"/>
      <c r="B559" s="169"/>
      <c r="C559" s="167"/>
      <c r="D559" s="171"/>
      <c r="E559" s="172"/>
      <c r="F559" s="172"/>
      <c r="G559" s="172"/>
      <c r="H559" s="171"/>
      <c r="I559" s="164"/>
      <c r="J559" s="164"/>
      <c r="K559" s="164"/>
      <c r="L559" s="164"/>
      <c r="M559" s="164"/>
      <c r="N559" s="164"/>
      <c r="O559" s="164"/>
      <c r="P559" s="164"/>
      <c r="Q559" s="164"/>
      <c r="R559" s="170"/>
      <c r="S559" s="170"/>
      <c r="T559" s="170"/>
      <c r="U559" s="170"/>
      <c r="V559" s="164"/>
      <c r="W559" s="164"/>
      <c r="X559" s="164"/>
      <c r="Y559" s="164"/>
      <c r="Z559" s="164"/>
      <c r="AA559" s="170"/>
      <c r="AB559" s="170"/>
      <c r="AC559" s="164"/>
      <c r="AD559" s="164"/>
      <c r="AE559" s="164"/>
      <c r="AF559" s="164"/>
      <c r="AG559" s="164"/>
      <c r="AH559" s="170"/>
      <c r="AI559" s="7"/>
      <c r="AJ559" s="7"/>
      <c r="AK559" s="7"/>
    </row>
    <row r="560" spans="1:37" ht="15.75" customHeight="1">
      <c r="A560" s="168"/>
      <c r="B560" s="169"/>
      <c r="C560" s="167"/>
      <c r="D560" s="171"/>
      <c r="E560" s="172"/>
      <c r="F560" s="172"/>
      <c r="G560" s="172"/>
      <c r="H560" s="171"/>
      <c r="I560" s="164"/>
      <c r="J560" s="164"/>
      <c r="K560" s="164"/>
      <c r="L560" s="164"/>
      <c r="M560" s="164"/>
      <c r="N560" s="164"/>
      <c r="O560" s="164"/>
      <c r="P560" s="164"/>
      <c r="Q560" s="164"/>
      <c r="R560" s="170"/>
      <c r="S560" s="170"/>
      <c r="T560" s="170"/>
      <c r="U560" s="170"/>
      <c r="V560" s="164"/>
      <c r="W560" s="164"/>
      <c r="X560" s="164"/>
      <c r="Y560" s="164"/>
      <c r="Z560" s="164"/>
      <c r="AA560" s="170"/>
      <c r="AB560" s="170"/>
      <c r="AC560" s="164"/>
      <c r="AD560" s="164"/>
      <c r="AE560" s="164"/>
      <c r="AF560" s="164"/>
      <c r="AG560" s="164"/>
      <c r="AH560" s="170"/>
      <c r="AI560" s="7"/>
      <c r="AJ560" s="7"/>
      <c r="AK560" s="7"/>
    </row>
    <row r="561" spans="1:37" ht="15.75" customHeight="1">
      <c r="A561" s="168"/>
      <c r="B561" s="169"/>
      <c r="C561" s="167"/>
      <c r="D561" s="171"/>
      <c r="E561" s="172"/>
      <c r="F561" s="172"/>
      <c r="G561" s="172"/>
      <c r="H561" s="171"/>
      <c r="I561" s="164"/>
      <c r="J561" s="164"/>
      <c r="K561" s="164"/>
      <c r="L561" s="164"/>
      <c r="M561" s="164"/>
      <c r="N561" s="164"/>
      <c r="O561" s="164"/>
      <c r="P561" s="164"/>
      <c r="Q561" s="164"/>
      <c r="R561" s="170"/>
      <c r="S561" s="170"/>
      <c r="T561" s="170"/>
      <c r="U561" s="170"/>
      <c r="V561" s="164"/>
      <c r="W561" s="164"/>
      <c r="X561" s="164"/>
      <c r="Y561" s="164"/>
      <c r="Z561" s="164"/>
      <c r="AA561" s="170"/>
      <c r="AB561" s="170"/>
      <c r="AC561" s="164"/>
      <c r="AD561" s="164"/>
      <c r="AE561" s="164"/>
      <c r="AF561" s="164"/>
      <c r="AG561" s="164"/>
      <c r="AH561" s="170"/>
      <c r="AI561" s="7"/>
      <c r="AJ561" s="7"/>
      <c r="AK561" s="7"/>
    </row>
    <row r="562" spans="1:37" ht="15.75" customHeight="1">
      <c r="A562" s="168"/>
      <c r="B562" s="169"/>
      <c r="C562" s="167"/>
      <c r="D562" s="171"/>
      <c r="E562" s="172"/>
      <c r="F562" s="172"/>
      <c r="G562" s="172"/>
      <c r="H562" s="171"/>
      <c r="I562" s="164"/>
      <c r="J562" s="164"/>
      <c r="K562" s="164"/>
      <c r="L562" s="164"/>
      <c r="M562" s="164"/>
      <c r="N562" s="164"/>
      <c r="O562" s="164"/>
      <c r="P562" s="164"/>
      <c r="Q562" s="164"/>
      <c r="R562" s="170"/>
      <c r="S562" s="170"/>
      <c r="T562" s="170"/>
      <c r="U562" s="170"/>
      <c r="V562" s="164"/>
      <c r="W562" s="164"/>
      <c r="X562" s="164"/>
      <c r="Y562" s="164"/>
      <c r="Z562" s="164"/>
      <c r="AA562" s="170"/>
      <c r="AB562" s="170"/>
      <c r="AC562" s="164"/>
      <c r="AD562" s="164"/>
      <c r="AE562" s="164"/>
      <c r="AF562" s="164"/>
      <c r="AG562" s="164"/>
      <c r="AH562" s="170"/>
      <c r="AI562" s="7"/>
      <c r="AJ562" s="7"/>
      <c r="AK562" s="7"/>
    </row>
    <row r="563" spans="1:37" ht="15.75" customHeight="1">
      <c r="A563" s="168"/>
      <c r="B563" s="169"/>
      <c r="C563" s="167"/>
      <c r="D563" s="171"/>
      <c r="E563" s="172"/>
      <c r="F563" s="172"/>
      <c r="G563" s="172"/>
      <c r="H563" s="171"/>
      <c r="I563" s="164"/>
      <c r="J563" s="164"/>
      <c r="K563" s="164"/>
      <c r="L563" s="164"/>
      <c r="M563" s="164"/>
      <c r="N563" s="164"/>
      <c r="O563" s="164"/>
      <c r="P563" s="164"/>
      <c r="Q563" s="164"/>
      <c r="R563" s="170"/>
      <c r="S563" s="170"/>
      <c r="T563" s="170"/>
      <c r="U563" s="170"/>
      <c r="V563" s="164"/>
      <c r="W563" s="164"/>
      <c r="X563" s="164"/>
      <c r="Y563" s="164"/>
      <c r="Z563" s="164"/>
      <c r="AA563" s="170"/>
      <c r="AB563" s="170"/>
      <c r="AC563" s="164"/>
      <c r="AD563" s="164"/>
      <c r="AE563" s="164"/>
      <c r="AF563" s="164"/>
      <c r="AG563" s="164"/>
      <c r="AH563" s="170"/>
      <c r="AI563" s="7"/>
      <c r="AJ563" s="7"/>
      <c r="AK563" s="7"/>
    </row>
    <row r="564" spans="1:37" ht="15.75" customHeight="1">
      <c r="A564" s="168"/>
      <c r="B564" s="169"/>
      <c r="C564" s="167"/>
      <c r="D564" s="171"/>
      <c r="E564" s="172"/>
      <c r="F564" s="172"/>
      <c r="G564" s="172"/>
      <c r="H564" s="171"/>
      <c r="I564" s="164"/>
      <c r="J564" s="164"/>
      <c r="K564" s="164"/>
      <c r="L564" s="164"/>
      <c r="M564" s="164"/>
      <c r="N564" s="164"/>
      <c r="O564" s="164"/>
      <c r="P564" s="164"/>
      <c r="Q564" s="164"/>
      <c r="R564" s="170"/>
      <c r="S564" s="170"/>
      <c r="T564" s="170"/>
      <c r="U564" s="170"/>
      <c r="V564" s="164"/>
      <c r="W564" s="164"/>
      <c r="X564" s="164"/>
      <c r="Y564" s="164"/>
      <c r="Z564" s="164"/>
      <c r="AA564" s="170"/>
      <c r="AB564" s="170"/>
      <c r="AC564" s="164"/>
      <c r="AD564" s="164"/>
      <c r="AE564" s="164"/>
      <c r="AF564" s="164"/>
      <c r="AG564" s="164"/>
      <c r="AH564" s="170"/>
      <c r="AI564" s="7"/>
      <c r="AJ564" s="7"/>
      <c r="AK564" s="7"/>
    </row>
    <row r="565" spans="1:37" ht="15.75" customHeight="1">
      <c r="A565" s="168"/>
      <c r="B565" s="169"/>
      <c r="C565" s="167"/>
      <c r="D565" s="171"/>
      <c r="E565" s="172"/>
      <c r="F565" s="172"/>
      <c r="G565" s="172"/>
      <c r="H565" s="171"/>
      <c r="I565" s="164"/>
      <c r="J565" s="164"/>
      <c r="K565" s="164"/>
      <c r="L565" s="164"/>
      <c r="M565" s="164"/>
      <c r="N565" s="164"/>
      <c r="O565" s="164"/>
      <c r="P565" s="164"/>
      <c r="Q565" s="164"/>
      <c r="R565" s="170"/>
      <c r="S565" s="170"/>
      <c r="T565" s="170"/>
      <c r="U565" s="170"/>
      <c r="V565" s="164"/>
      <c r="W565" s="164"/>
      <c r="X565" s="164"/>
      <c r="Y565" s="164"/>
      <c r="Z565" s="164"/>
      <c r="AA565" s="170"/>
      <c r="AB565" s="170"/>
      <c r="AC565" s="164"/>
      <c r="AD565" s="164"/>
      <c r="AE565" s="164"/>
      <c r="AF565" s="164"/>
      <c r="AG565" s="164"/>
      <c r="AH565" s="170"/>
      <c r="AI565" s="7"/>
      <c r="AJ565" s="7"/>
      <c r="AK565" s="7"/>
    </row>
    <row r="566" spans="1:37" ht="15.75" customHeight="1">
      <c r="A566" s="168"/>
      <c r="B566" s="169"/>
      <c r="C566" s="167"/>
      <c r="D566" s="171"/>
      <c r="E566" s="172"/>
      <c r="F566" s="172"/>
      <c r="G566" s="172"/>
      <c r="H566" s="171"/>
      <c r="I566" s="164"/>
      <c r="J566" s="164"/>
      <c r="K566" s="164"/>
      <c r="L566" s="164"/>
      <c r="M566" s="164"/>
      <c r="N566" s="164"/>
      <c r="O566" s="164"/>
      <c r="P566" s="164"/>
      <c r="Q566" s="164"/>
      <c r="R566" s="170"/>
      <c r="S566" s="170"/>
      <c r="T566" s="170"/>
      <c r="U566" s="170"/>
      <c r="V566" s="164"/>
      <c r="W566" s="164"/>
      <c r="X566" s="164"/>
      <c r="Y566" s="164"/>
      <c r="Z566" s="164"/>
      <c r="AA566" s="170"/>
      <c r="AB566" s="170"/>
      <c r="AC566" s="164"/>
      <c r="AD566" s="164"/>
      <c r="AE566" s="164"/>
      <c r="AF566" s="164"/>
      <c r="AG566" s="164"/>
      <c r="AH566" s="170"/>
      <c r="AI566" s="7"/>
      <c r="AJ566" s="7"/>
      <c r="AK566" s="7"/>
    </row>
    <row r="567" spans="1:37" ht="15.75" customHeight="1">
      <c r="A567" s="168"/>
      <c r="B567" s="169"/>
      <c r="C567" s="167"/>
      <c r="D567" s="171"/>
      <c r="E567" s="172"/>
      <c r="F567" s="172"/>
      <c r="G567" s="172"/>
      <c r="H567" s="171"/>
      <c r="I567" s="164"/>
      <c r="J567" s="164"/>
      <c r="K567" s="164"/>
      <c r="L567" s="164"/>
      <c r="M567" s="164"/>
      <c r="N567" s="164"/>
      <c r="O567" s="164"/>
      <c r="P567" s="164"/>
      <c r="Q567" s="164"/>
      <c r="R567" s="170"/>
      <c r="S567" s="170"/>
      <c r="T567" s="170"/>
      <c r="U567" s="170"/>
      <c r="V567" s="164"/>
      <c r="W567" s="164"/>
      <c r="X567" s="164"/>
      <c r="Y567" s="164"/>
      <c r="Z567" s="164"/>
      <c r="AA567" s="170"/>
      <c r="AB567" s="170"/>
      <c r="AC567" s="164"/>
      <c r="AD567" s="164"/>
      <c r="AE567" s="164"/>
      <c r="AF567" s="164"/>
      <c r="AG567" s="164"/>
      <c r="AH567" s="170"/>
      <c r="AI567" s="7"/>
      <c r="AJ567" s="7"/>
      <c r="AK567" s="7"/>
    </row>
    <row r="568" spans="1:37" ht="15.75" customHeight="1">
      <c r="A568" s="168"/>
      <c r="B568" s="169"/>
      <c r="C568" s="167"/>
      <c r="D568" s="171"/>
      <c r="E568" s="172"/>
      <c r="F568" s="172"/>
      <c r="G568" s="172"/>
      <c r="H568" s="171"/>
      <c r="I568" s="164"/>
      <c r="J568" s="164"/>
      <c r="K568" s="164"/>
      <c r="L568" s="164"/>
      <c r="M568" s="164"/>
      <c r="N568" s="164"/>
      <c r="O568" s="164"/>
      <c r="P568" s="164"/>
      <c r="Q568" s="164"/>
      <c r="R568" s="170"/>
      <c r="S568" s="170"/>
      <c r="T568" s="170"/>
      <c r="U568" s="170"/>
      <c r="V568" s="164"/>
      <c r="W568" s="164"/>
      <c r="X568" s="164"/>
      <c r="Y568" s="164"/>
      <c r="Z568" s="164"/>
      <c r="AA568" s="170"/>
      <c r="AB568" s="170"/>
      <c r="AC568" s="164"/>
      <c r="AD568" s="164"/>
      <c r="AE568" s="164"/>
      <c r="AF568" s="164"/>
      <c r="AG568" s="164"/>
      <c r="AH568" s="170"/>
      <c r="AI568" s="7"/>
      <c r="AJ568" s="7"/>
      <c r="AK568" s="7"/>
    </row>
    <row r="569" spans="1:37" ht="15.75" customHeight="1">
      <c r="A569" s="168"/>
      <c r="B569" s="169"/>
      <c r="C569" s="167"/>
      <c r="D569" s="171"/>
      <c r="E569" s="172"/>
      <c r="F569" s="172"/>
      <c r="G569" s="172"/>
      <c r="H569" s="171"/>
      <c r="I569" s="164"/>
      <c r="J569" s="164"/>
      <c r="K569" s="164"/>
      <c r="L569" s="164"/>
      <c r="M569" s="164"/>
      <c r="N569" s="164"/>
      <c r="O569" s="164"/>
      <c r="P569" s="164"/>
      <c r="Q569" s="164"/>
      <c r="R569" s="170"/>
      <c r="S569" s="170"/>
      <c r="T569" s="170"/>
      <c r="U569" s="170"/>
      <c r="V569" s="164"/>
      <c r="W569" s="164"/>
      <c r="X569" s="164"/>
      <c r="Y569" s="164"/>
      <c r="Z569" s="164"/>
      <c r="AA569" s="170"/>
      <c r="AB569" s="170"/>
      <c r="AC569" s="164"/>
      <c r="AD569" s="164"/>
      <c r="AE569" s="164"/>
      <c r="AF569" s="164"/>
      <c r="AG569" s="164"/>
      <c r="AH569" s="170"/>
      <c r="AI569" s="7"/>
      <c r="AJ569" s="7"/>
      <c r="AK569" s="7"/>
    </row>
    <row r="570" spans="1:37" ht="15.75" customHeight="1">
      <c r="A570" s="168"/>
      <c r="B570" s="169"/>
      <c r="C570" s="167"/>
      <c r="D570" s="171"/>
      <c r="E570" s="172"/>
      <c r="F570" s="172"/>
      <c r="G570" s="172"/>
      <c r="H570" s="171"/>
      <c r="I570" s="164"/>
      <c r="J570" s="164"/>
      <c r="K570" s="164"/>
      <c r="L570" s="164"/>
      <c r="M570" s="164"/>
      <c r="N570" s="164"/>
      <c r="O570" s="164"/>
      <c r="P570" s="164"/>
      <c r="Q570" s="164"/>
      <c r="R570" s="170"/>
      <c r="S570" s="170"/>
      <c r="T570" s="170"/>
      <c r="U570" s="170"/>
      <c r="V570" s="164"/>
      <c r="W570" s="164"/>
      <c r="X570" s="164"/>
      <c r="Y570" s="164"/>
      <c r="Z570" s="164"/>
      <c r="AA570" s="170"/>
      <c r="AB570" s="170"/>
      <c r="AC570" s="164"/>
      <c r="AD570" s="164"/>
      <c r="AE570" s="164"/>
      <c r="AF570" s="164"/>
      <c r="AG570" s="164"/>
      <c r="AH570" s="170"/>
      <c r="AI570" s="7"/>
      <c r="AJ570" s="7"/>
      <c r="AK570" s="7"/>
    </row>
    <row r="571" spans="1:37" ht="15.75" customHeight="1">
      <c r="A571" s="168"/>
      <c r="B571" s="169"/>
      <c r="C571" s="167"/>
      <c r="D571" s="171"/>
      <c r="E571" s="172"/>
      <c r="F571" s="172"/>
      <c r="G571" s="172"/>
      <c r="H571" s="171"/>
      <c r="I571" s="164"/>
      <c r="J571" s="164"/>
      <c r="K571" s="164"/>
      <c r="L571" s="164"/>
      <c r="M571" s="164"/>
      <c r="N571" s="164"/>
      <c r="O571" s="164"/>
      <c r="P571" s="164"/>
      <c r="Q571" s="164"/>
      <c r="R571" s="170"/>
      <c r="S571" s="170"/>
      <c r="T571" s="170"/>
      <c r="U571" s="170"/>
      <c r="V571" s="164"/>
      <c r="W571" s="164"/>
      <c r="X571" s="164"/>
      <c r="Y571" s="164"/>
      <c r="Z571" s="164"/>
      <c r="AA571" s="170"/>
      <c r="AB571" s="170"/>
      <c r="AC571" s="164"/>
      <c r="AD571" s="164"/>
      <c r="AE571" s="164"/>
      <c r="AF571" s="164"/>
      <c r="AG571" s="164"/>
      <c r="AH571" s="170"/>
      <c r="AI571" s="7"/>
      <c r="AJ571" s="7"/>
      <c r="AK571" s="7"/>
    </row>
    <row r="572" spans="1:37" ht="15.75" customHeight="1">
      <c r="A572" s="168"/>
      <c r="B572" s="169"/>
      <c r="C572" s="167"/>
      <c r="D572" s="171"/>
      <c r="E572" s="172"/>
      <c r="F572" s="172"/>
      <c r="G572" s="172"/>
      <c r="H572" s="171"/>
      <c r="I572" s="164"/>
      <c r="J572" s="164"/>
      <c r="K572" s="164"/>
      <c r="L572" s="164"/>
      <c r="M572" s="164"/>
      <c r="N572" s="164"/>
      <c r="O572" s="164"/>
      <c r="P572" s="164"/>
      <c r="Q572" s="164"/>
      <c r="R572" s="170"/>
      <c r="S572" s="170"/>
      <c r="T572" s="170"/>
      <c r="U572" s="170"/>
      <c r="V572" s="164"/>
      <c r="W572" s="164"/>
      <c r="X572" s="164"/>
      <c r="Y572" s="164"/>
      <c r="Z572" s="164"/>
      <c r="AA572" s="170"/>
      <c r="AB572" s="170"/>
      <c r="AC572" s="164"/>
      <c r="AD572" s="164"/>
      <c r="AE572" s="164"/>
      <c r="AF572" s="164"/>
      <c r="AG572" s="164"/>
      <c r="AH572" s="170"/>
      <c r="AI572" s="7"/>
      <c r="AJ572" s="7"/>
      <c r="AK572" s="7"/>
    </row>
    <row r="573" spans="1:37" ht="15.75" customHeight="1">
      <c r="A573" s="168"/>
      <c r="B573" s="169"/>
      <c r="C573" s="167"/>
      <c r="D573" s="171"/>
      <c r="E573" s="172"/>
      <c r="F573" s="172"/>
      <c r="G573" s="172"/>
      <c r="H573" s="171"/>
      <c r="I573" s="164"/>
      <c r="J573" s="164"/>
      <c r="K573" s="164"/>
      <c r="L573" s="164"/>
      <c r="M573" s="164"/>
      <c r="N573" s="164"/>
      <c r="O573" s="164"/>
      <c r="P573" s="164"/>
      <c r="Q573" s="164"/>
      <c r="R573" s="170"/>
      <c r="S573" s="170"/>
      <c r="T573" s="170"/>
      <c r="U573" s="170"/>
      <c r="V573" s="164"/>
      <c r="W573" s="164"/>
      <c r="X573" s="164"/>
      <c r="Y573" s="164"/>
      <c r="Z573" s="164"/>
      <c r="AA573" s="170"/>
      <c r="AB573" s="170"/>
      <c r="AC573" s="164"/>
      <c r="AD573" s="164"/>
      <c r="AE573" s="164"/>
      <c r="AF573" s="164"/>
      <c r="AG573" s="164"/>
      <c r="AH573" s="170"/>
      <c r="AI573" s="7"/>
      <c r="AJ573" s="7"/>
      <c r="AK573" s="7"/>
    </row>
    <row r="574" spans="1:37" ht="15.75" customHeight="1">
      <c r="A574" s="168"/>
      <c r="B574" s="169"/>
      <c r="C574" s="167"/>
      <c r="D574" s="171"/>
      <c r="E574" s="172"/>
      <c r="F574" s="172"/>
      <c r="G574" s="172"/>
      <c r="H574" s="171"/>
      <c r="I574" s="164"/>
      <c r="J574" s="164"/>
      <c r="K574" s="164"/>
      <c r="L574" s="164"/>
      <c r="M574" s="164"/>
      <c r="N574" s="164"/>
      <c r="O574" s="164"/>
      <c r="P574" s="164"/>
      <c r="Q574" s="164"/>
      <c r="R574" s="170"/>
      <c r="S574" s="170"/>
      <c r="T574" s="170"/>
      <c r="U574" s="170"/>
      <c r="V574" s="164"/>
      <c r="W574" s="164"/>
      <c r="X574" s="164"/>
      <c r="Y574" s="164"/>
      <c r="Z574" s="164"/>
      <c r="AA574" s="170"/>
      <c r="AB574" s="170"/>
      <c r="AC574" s="164"/>
      <c r="AD574" s="164"/>
      <c r="AE574" s="164"/>
      <c r="AF574" s="164"/>
      <c r="AG574" s="164"/>
      <c r="AH574" s="170"/>
      <c r="AI574" s="7"/>
      <c r="AJ574" s="7"/>
      <c r="AK574" s="7"/>
    </row>
    <row r="575" spans="1:37" ht="15.75" customHeight="1">
      <c r="A575" s="168"/>
      <c r="B575" s="169"/>
      <c r="C575" s="167"/>
      <c r="D575" s="171"/>
      <c r="E575" s="172"/>
      <c r="F575" s="172"/>
      <c r="G575" s="172"/>
      <c r="H575" s="171"/>
      <c r="I575" s="164"/>
      <c r="J575" s="164"/>
      <c r="K575" s="164"/>
      <c r="L575" s="164"/>
      <c r="M575" s="164"/>
      <c r="N575" s="164"/>
      <c r="O575" s="164"/>
      <c r="P575" s="164"/>
      <c r="Q575" s="164"/>
      <c r="R575" s="170"/>
      <c r="S575" s="170"/>
      <c r="T575" s="170"/>
      <c r="U575" s="170"/>
      <c r="V575" s="164"/>
      <c r="W575" s="164"/>
      <c r="X575" s="164"/>
      <c r="Y575" s="164"/>
      <c r="Z575" s="164"/>
      <c r="AA575" s="170"/>
      <c r="AB575" s="170"/>
      <c r="AC575" s="164"/>
      <c r="AD575" s="164"/>
      <c r="AE575" s="164"/>
      <c r="AF575" s="164"/>
      <c r="AG575" s="164"/>
      <c r="AH575" s="170"/>
      <c r="AI575" s="7"/>
      <c r="AJ575" s="7"/>
      <c r="AK575" s="7"/>
    </row>
    <row r="576" spans="1:37" ht="15.75" customHeight="1">
      <c r="A576" s="168"/>
      <c r="B576" s="169"/>
      <c r="C576" s="167"/>
      <c r="D576" s="171"/>
      <c r="E576" s="172"/>
      <c r="F576" s="172"/>
      <c r="G576" s="172"/>
      <c r="H576" s="171"/>
      <c r="I576" s="164"/>
      <c r="J576" s="164"/>
      <c r="K576" s="164"/>
      <c r="L576" s="164"/>
      <c r="M576" s="164"/>
      <c r="N576" s="164"/>
      <c r="O576" s="164"/>
      <c r="P576" s="164"/>
      <c r="Q576" s="164"/>
      <c r="R576" s="170"/>
      <c r="S576" s="170"/>
      <c r="T576" s="170"/>
      <c r="U576" s="170"/>
      <c r="V576" s="164"/>
      <c r="W576" s="164"/>
      <c r="X576" s="164"/>
      <c r="Y576" s="164"/>
      <c r="Z576" s="164"/>
      <c r="AA576" s="170"/>
      <c r="AB576" s="170"/>
      <c r="AC576" s="164"/>
      <c r="AD576" s="164"/>
      <c r="AE576" s="164"/>
      <c r="AF576" s="164"/>
      <c r="AG576" s="164"/>
      <c r="AH576" s="170"/>
      <c r="AI576" s="7"/>
      <c r="AJ576" s="7"/>
      <c r="AK576" s="7"/>
    </row>
    <row r="577" spans="1:37" ht="15.75" customHeight="1">
      <c r="A577" s="168"/>
      <c r="B577" s="169"/>
      <c r="C577" s="167"/>
      <c r="D577" s="171"/>
      <c r="E577" s="172"/>
      <c r="F577" s="172"/>
      <c r="G577" s="172"/>
      <c r="H577" s="171"/>
      <c r="I577" s="164"/>
      <c r="J577" s="164"/>
      <c r="K577" s="164"/>
      <c r="L577" s="164"/>
      <c r="M577" s="164"/>
      <c r="N577" s="164"/>
      <c r="O577" s="164"/>
      <c r="P577" s="164"/>
      <c r="Q577" s="164"/>
      <c r="R577" s="170"/>
      <c r="S577" s="170"/>
      <c r="T577" s="170"/>
      <c r="U577" s="170"/>
      <c r="V577" s="164"/>
      <c r="W577" s="164"/>
      <c r="X577" s="164"/>
      <c r="Y577" s="164"/>
      <c r="Z577" s="164"/>
      <c r="AA577" s="170"/>
      <c r="AB577" s="170"/>
      <c r="AC577" s="164"/>
      <c r="AD577" s="164"/>
      <c r="AE577" s="164"/>
      <c r="AF577" s="164"/>
      <c r="AG577" s="164"/>
      <c r="AH577" s="170"/>
      <c r="AI577" s="7"/>
      <c r="AJ577" s="7"/>
      <c r="AK577" s="7"/>
    </row>
    <row r="578" spans="1:37" ht="15.75" customHeight="1">
      <c r="A578" s="168"/>
      <c r="B578" s="169"/>
      <c r="C578" s="167"/>
      <c r="D578" s="171"/>
      <c r="E578" s="172"/>
      <c r="F578" s="172"/>
      <c r="G578" s="172"/>
      <c r="H578" s="171"/>
      <c r="I578" s="164"/>
      <c r="J578" s="164"/>
      <c r="K578" s="164"/>
      <c r="L578" s="164"/>
      <c r="M578" s="164"/>
      <c r="N578" s="164"/>
      <c r="O578" s="164"/>
      <c r="P578" s="164"/>
      <c r="Q578" s="164"/>
      <c r="R578" s="170"/>
      <c r="S578" s="170"/>
      <c r="T578" s="170"/>
      <c r="U578" s="170"/>
      <c r="V578" s="164"/>
      <c r="W578" s="164"/>
      <c r="X578" s="164"/>
      <c r="Y578" s="164"/>
      <c r="Z578" s="164"/>
      <c r="AA578" s="170"/>
      <c r="AB578" s="170"/>
      <c r="AC578" s="164"/>
      <c r="AD578" s="164"/>
      <c r="AE578" s="164"/>
      <c r="AF578" s="164"/>
      <c r="AG578" s="164"/>
      <c r="AH578" s="170"/>
      <c r="AI578" s="7"/>
      <c r="AJ578" s="7"/>
      <c r="AK578" s="7"/>
    </row>
    <row r="579" spans="1:37" ht="15.75" customHeight="1">
      <c r="A579" s="168"/>
      <c r="B579" s="169"/>
      <c r="C579" s="167"/>
      <c r="D579" s="171"/>
      <c r="E579" s="172"/>
      <c r="F579" s="172"/>
      <c r="G579" s="172"/>
      <c r="H579" s="171"/>
      <c r="I579" s="164"/>
      <c r="J579" s="164"/>
      <c r="K579" s="164"/>
      <c r="L579" s="164"/>
      <c r="M579" s="164"/>
      <c r="N579" s="164"/>
      <c r="O579" s="164"/>
      <c r="P579" s="164"/>
      <c r="Q579" s="164"/>
      <c r="R579" s="170"/>
      <c r="S579" s="170"/>
      <c r="T579" s="170"/>
      <c r="U579" s="170"/>
      <c r="V579" s="164"/>
      <c r="W579" s="164"/>
      <c r="X579" s="164"/>
      <c r="Y579" s="164"/>
      <c r="Z579" s="164"/>
      <c r="AA579" s="170"/>
      <c r="AB579" s="170"/>
      <c r="AC579" s="164"/>
      <c r="AD579" s="164"/>
      <c r="AE579" s="164"/>
      <c r="AF579" s="164"/>
      <c r="AG579" s="164"/>
      <c r="AH579" s="170"/>
      <c r="AI579" s="7"/>
      <c r="AJ579" s="7"/>
      <c r="AK579" s="7"/>
    </row>
    <row r="580" spans="1:37" ht="15.75" customHeight="1">
      <c r="A580" s="168"/>
      <c r="B580" s="169"/>
      <c r="C580" s="167"/>
      <c r="D580" s="171"/>
      <c r="E580" s="172"/>
      <c r="F580" s="172"/>
      <c r="G580" s="172"/>
      <c r="H580" s="171"/>
      <c r="I580" s="164"/>
      <c r="J580" s="164"/>
      <c r="K580" s="164"/>
      <c r="L580" s="164"/>
      <c r="M580" s="164"/>
      <c r="N580" s="164"/>
      <c r="O580" s="164"/>
      <c r="P580" s="164"/>
      <c r="Q580" s="164"/>
      <c r="R580" s="170"/>
      <c r="S580" s="170"/>
      <c r="T580" s="170"/>
      <c r="U580" s="170"/>
      <c r="V580" s="164"/>
      <c r="W580" s="164"/>
      <c r="X580" s="164"/>
      <c r="Y580" s="164"/>
      <c r="Z580" s="164"/>
      <c r="AA580" s="170"/>
      <c r="AB580" s="170"/>
      <c r="AC580" s="164"/>
      <c r="AD580" s="164"/>
      <c r="AE580" s="164"/>
      <c r="AF580" s="164"/>
      <c r="AG580" s="164"/>
      <c r="AH580" s="170"/>
      <c r="AI580" s="7"/>
      <c r="AJ580" s="7"/>
      <c r="AK580" s="7"/>
    </row>
    <row r="581" spans="1:37" ht="15.75" customHeight="1">
      <c r="A581" s="168"/>
      <c r="B581" s="169"/>
      <c r="C581" s="167"/>
      <c r="D581" s="171"/>
      <c r="E581" s="172"/>
      <c r="F581" s="172"/>
      <c r="G581" s="172"/>
      <c r="H581" s="171"/>
      <c r="I581" s="164"/>
      <c r="J581" s="164"/>
      <c r="K581" s="164"/>
      <c r="L581" s="164"/>
      <c r="M581" s="164"/>
      <c r="N581" s="164"/>
      <c r="O581" s="164"/>
      <c r="P581" s="164"/>
      <c r="Q581" s="164"/>
      <c r="R581" s="170"/>
      <c r="S581" s="170"/>
      <c r="T581" s="170"/>
      <c r="U581" s="170"/>
      <c r="V581" s="164"/>
      <c r="W581" s="164"/>
      <c r="X581" s="164"/>
      <c r="Y581" s="164"/>
      <c r="Z581" s="164"/>
      <c r="AA581" s="170"/>
      <c r="AB581" s="170"/>
      <c r="AC581" s="164"/>
      <c r="AD581" s="164"/>
      <c r="AE581" s="164"/>
      <c r="AF581" s="164"/>
      <c r="AG581" s="164"/>
      <c r="AH581" s="170"/>
      <c r="AI581" s="7"/>
      <c r="AJ581" s="7"/>
      <c r="AK581" s="7"/>
    </row>
    <row r="582" spans="1:37" ht="15.75" customHeight="1">
      <c r="A582" s="168"/>
      <c r="B582" s="169"/>
      <c r="C582" s="167"/>
      <c r="D582" s="171"/>
      <c r="E582" s="172"/>
      <c r="F582" s="172"/>
      <c r="G582" s="172"/>
      <c r="H582" s="171"/>
      <c r="I582" s="164"/>
      <c r="J582" s="164"/>
      <c r="K582" s="164"/>
      <c r="L582" s="164"/>
      <c r="M582" s="164"/>
      <c r="N582" s="164"/>
      <c r="O582" s="164"/>
      <c r="P582" s="164"/>
      <c r="Q582" s="164"/>
      <c r="R582" s="170"/>
      <c r="S582" s="170"/>
      <c r="T582" s="170"/>
      <c r="U582" s="170"/>
      <c r="V582" s="164"/>
      <c r="W582" s="164"/>
      <c r="X582" s="164"/>
      <c r="Y582" s="164"/>
      <c r="Z582" s="164"/>
      <c r="AA582" s="170"/>
      <c r="AB582" s="170"/>
      <c r="AC582" s="164"/>
      <c r="AD582" s="164"/>
      <c r="AE582" s="164"/>
      <c r="AF582" s="164"/>
      <c r="AG582" s="164"/>
      <c r="AH582" s="170"/>
      <c r="AI582" s="7"/>
      <c r="AJ582" s="7"/>
      <c r="AK582" s="7"/>
    </row>
    <row r="583" spans="1:37" ht="15.75" customHeight="1">
      <c r="A583" s="168"/>
      <c r="B583" s="169"/>
      <c r="C583" s="167"/>
      <c r="D583" s="171"/>
      <c r="E583" s="172"/>
      <c r="F583" s="172"/>
      <c r="G583" s="172"/>
      <c r="H583" s="171"/>
      <c r="I583" s="164"/>
      <c r="J583" s="164"/>
      <c r="K583" s="164"/>
      <c r="L583" s="164"/>
      <c r="M583" s="164"/>
      <c r="N583" s="164"/>
      <c r="O583" s="164"/>
      <c r="P583" s="164"/>
      <c r="Q583" s="164"/>
      <c r="R583" s="170"/>
      <c r="S583" s="170"/>
      <c r="T583" s="170"/>
      <c r="U583" s="170"/>
      <c r="V583" s="164"/>
      <c r="W583" s="164"/>
      <c r="X583" s="164"/>
      <c r="Y583" s="164"/>
      <c r="Z583" s="164"/>
      <c r="AA583" s="170"/>
      <c r="AB583" s="170"/>
      <c r="AC583" s="164"/>
      <c r="AD583" s="164"/>
      <c r="AE583" s="164"/>
      <c r="AF583" s="164"/>
      <c r="AG583" s="164"/>
      <c r="AH583" s="170"/>
      <c r="AI583" s="7"/>
      <c r="AJ583" s="7"/>
      <c r="AK583" s="7"/>
    </row>
    <row r="584" spans="1:37" ht="15.75" customHeight="1">
      <c r="A584" s="168"/>
      <c r="B584" s="169"/>
      <c r="C584" s="167"/>
      <c r="D584" s="171"/>
      <c r="E584" s="172"/>
      <c r="F584" s="172"/>
      <c r="G584" s="172"/>
      <c r="H584" s="171"/>
      <c r="I584" s="164"/>
      <c r="J584" s="164"/>
      <c r="K584" s="164"/>
      <c r="L584" s="164"/>
      <c r="M584" s="164"/>
      <c r="N584" s="164"/>
      <c r="O584" s="164"/>
      <c r="P584" s="164"/>
      <c r="Q584" s="164"/>
      <c r="R584" s="170"/>
      <c r="S584" s="170"/>
      <c r="T584" s="170"/>
      <c r="U584" s="170"/>
      <c r="V584" s="164"/>
      <c r="W584" s="164"/>
      <c r="X584" s="164"/>
      <c r="Y584" s="164"/>
      <c r="Z584" s="164"/>
      <c r="AA584" s="170"/>
      <c r="AB584" s="170"/>
      <c r="AC584" s="164"/>
      <c r="AD584" s="164"/>
      <c r="AE584" s="164"/>
      <c r="AF584" s="164"/>
      <c r="AG584" s="164"/>
      <c r="AH584" s="170"/>
      <c r="AI584" s="7"/>
      <c r="AJ584" s="7"/>
      <c r="AK584" s="7"/>
    </row>
    <row r="585" spans="1:37" ht="15.75" customHeight="1">
      <c r="A585" s="168"/>
      <c r="B585" s="169"/>
      <c r="C585" s="167"/>
      <c r="D585" s="171"/>
      <c r="E585" s="172"/>
      <c r="F585" s="172"/>
      <c r="G585" s="172"/>
      <c r="H585" s="171"/>
      <c r="I585" s="164"/>
      <c r="J585" s="164"/>
      <c r="K585" s="164"/>
      <c r="L585" s="164"/>
      <c r="M585" s="164"/>
      <c r="N585" s="164"/>
      <c r="O585" s="164"/>
      <c r="P585" s="164"/>
      <c r="Q585" s="164"/>
      <c r="R585" s="170"/>
      <c r="S585" s="170"/>
      <c r="T585" s="170"/>
      <c r="U585" s="170"/>
      <c r="V585" s="164"/>
      <c r="W585" s="164"/>
      <c r="X585" s="164"/>
      <c r="Y585" s="164"/>
      <c r="Z585" s="164"/>
      <c r="AA585" s="170"/>
      <c r="AB585" s="170"/>
      <c r="AC585" s="164"/>
      <c r="AD585" s="164"/>
      <c r="AE585" s="164"/>
      <c r="AF585" s="164"/>
      <c r="AG585" s="164"/>
      <c r="AH585" s="170"/>
      <c r="AI585" s="7"/>
      <c r="AJ585" s="7"/>
      <c r="AK585" s="7"/>
    </row>
    <row r="586" spans="1:37" ht="15.75" customHeight="1">
      <c r="A586" s="168"/>
      <c r="B586" s="169"/>
      <c r="C586" s="167"/>
      <c r="D586" s="171"/>
      <c r="E586" s="172"/>
      <c r="F586" s="172"/>
      <c r="G586" s="172"/>
      <c r="H586" s="171"/>
      <c r="I586" s="164"/>
      <c r="J586" s="164"/>
      <c r="K586" s="164"/>
      <c r="L586" s="164"/>
      <c r="M586" s="164"/>
      <c r="N586" s="164"/>
      <c r="O586" s="164"/>
      <c r="P586" s="164"/>
      <c r="Q586" s="164"/>
      <c r="R586" s="170"/>
      <c r="S586" s="170"/>
      <c r="T586" s="170"/>
      <c r="U586" s="170"/>
      <c r="V586" s="164"/>
      <c r="W586" s="164"/>
      <c r="X586" s="164"/>
      <c r="Y586" s="164"/>
      <c r="Z586" s="164"/>
      <c r="AA586" s="170"/>
      <c r="AB586" s="170"/>
      <c r="AC586" s="164"/>
      <c r="AD586" s="164"/>
      <c r="AE586" s="164"/>
      <c r="AF586" s="164"/>
      <c r="AG586" s="164"/>
      <c r="AH586" s="170"/>
      <c r="AI586" s="7"/>
      <c r="AJ586" s="7"/>
      <c r="AK586" s="7"/>
    </row>
    <row r="587" spans="1:37" ht="15.75" customHeight="1">
      <c r="A587" s="168"/>
      <c r="B587" s="169"/>
      <c r="C587" s="167"/>
      <c r="D587" s="171"/>
      <c r="E587" s="172"/>
      <c r="F587" s="172"/>
      <c r="G587" s="172"/>
      <c r="H587" s="171"/>
      <c r="I587" s="164"/>
      <c r="J587" s="164"/>
      <c r="K587" s="164"/>
      <c r="L587" s="164"/>
      <c r="M587" s="164"/>
      <c r="N587" s="164"/>
      <c r="O587" s="164"/>
      <c r="P587" s="164"/>
      <c r="Q587" s="164"/>
      <c r="R587" s="170"/>
      <c r="S587" s="170"/>
      <c r="T587" s="170"/>
      <c r="U587" s="170"/>
      <c r="V587" s="164"/>
      <c r="W587" s="164"/>
      <c r="X587" s="164"/>
      <c r="Y587" s="164"/>
      <c r="Z587" s="164"/>
      <c r="AA587" s="170"/>
      <c r="AB587" s="170"/>
      <c r="AC587" s="164"/>
      <c r="AD587" s="164"/>
      <c r="AE587" s="164"/>
      <c r="AF587" s="164"/>
      <c r="AG587" s="164"/>
      <c r="AH587" s="170"/>
      <c r="AI587" s="7"/>
      <c r="AJ587" s="7"/>
      <c r="AK587" s="7"/>
    </row>
    <row r="588" spans="1:37" ht="15.75" customHeight="1">
      <c r="A588" s="168"/>
      <c r="B588" s="169"/>
      <c r="C588" s="167"/>
      <c r="D588" s="171"/>
      <c r="E588" s="172"/>
      <c r="F588" s="172"/>
      <c r="G588" s="172"/>
      <c r="H588" s="171"/>
      <c r="I588" s="164"/>
      <c r="J588" s="164"/>
      <c r="K588" s="164"/>
      <c r="L588" s="164"/>
      <c r="M588" s="164"/>
      <c r="N588" s="164"/>
      <c r="O588" s="164"/>
      <c r="P588" s="164"/>
      <c r="Q588" s="164"/>
      <c r="R588" s="170"/>
      <c r="S588" s="170"/>
      <c r="T588" s="170"/>
      <c r="U588" s="170"/>
      <c r="V588" s="164"/>
      <c r="W588" s="164"/>
      <c r="X588" s="164"/>
      <c r="Y588" s="164"/>
      <c r="Z588" s="164"/>
      <c r="AA588" s="170"/>
      <c r="AB588" s="170"/>
      <c r="AC588" s="164"/>
      <c r="AD588" s="164"/>
      <c r="AE588" s="164"/>
      <c r="AF588" s="164"/>
      <c r="AG588" s="164"/>
      <c r="AH588" s="170"/>
      <c r="AI588" s="7"/>
      <c r="AJ588" s="7"/>
      <c r="AK588" s="7"/>
    </row>
    <row r="589" spans="1:37" ht="15.75" customHeight="1">
      <c r="A589" s="168"/>
      <c r="B589" s="169"/>
      <c r="C589" s="167"/>
      <c r="D589" s="171"/>
      <c r="E589" s="172"/>
      <c r="F589" s="172"/>
      <c r="G589" s="172"/>
      <c r="H589" s="171"/>
      <c r="I589" s="164"/>
      <c r="J589" s="164"/>
      <c r="K589" s="164"/>
      <c r="L589" s="164"/>
      <c r="M589" s="164"/>
      <c r="N589" s="164"/>
      <c r="O589" s="164"/>
      <c r="P589" s="164"/>
      <c r="Q589" s="164"/>
      <c r="R589" s="170"/>
      <c r="S589" s="170"/>
      <c r="T589" s="170"/>
      <c r="U589" s="170"/>
      <c r="V589" s="164"/>
      <c r="W589" s="164"/>
      <c r="X589" s="164"/>
      <c r="Y589" s="164"/>
      <c r="Z589" s="164"/>
      <c r="AA589" s="170"/>
      <c r="AB589" s="170"/>
      <c r="AC589" s="164"/>
      <c r="AD589" s="164"/>
      <c r="AE589" s="164"/>
      <c r="AF589" s="164"/>
      <c r="AG589" s="164"/>
      <c r="AH589" s="170"/>
      <c r="AI589" s="7"/>
      <c r="AJ589" s="7"/>
      <c r="AK589" s="7"/>
    </row>
    <row r="590" spans="1:37" ht="15.75" customHeight="1">
      <c r="A590" s="168"/>
      <c r="B590" s="169"/>
      <c r="C590" s="167"/>
      <c r="D590" s="171"/>
      <c r="E590" s="172"/>
      <c r="F590" s="172"/>
      <c r="G590" s="172"/>
      <c r="H590" s="171"/>
      <c r="I590" s="164"/>
      <c r="J590" s="164"/>
      <c r="K590" s="164"/>
      <c r="L590" s="164"/>
      <c r="M590" s="164"/>
      <c r="N590" s="164"/>
      <c r="O590" s="164"/>
      <c r="P590" s="164"/>
      <c r="Q590" s="164"/>
      <c r="R590" s="170"/>
      <c r="S590" s="170"/>
      <c r="T590" s="170"/>
      <c r="U590" s="170"/>
      <c r="V590" s="164"/>
      <c r="W590" s="164"/>
      <c r="X590" s="164"/>
      <c r="Y590" s="164"/>
      <c r="Z590" s="164"/>
      <c r="AA590" s="170"/>
      <c r="AB590" s="170"/>
      <c r="AC590" s="164"/>
      <c r="AD590" s="164"/>
      <c r="AE590" s="164"/>
      <c r="AF590" s="164"/>
      <c r="AG590" s="164"/>
      <c r="AH590" s="170"/>
      <c r="AI590" s="7"/>
      <c r="AJ590" s="7"/>
      <c r="AK590" s="7"/>
    </row>
    <row r="591" spans="1:37" ht="15.75" customHeight="1">
      <c r="A591" s="168"/>
      <c r="B591" s="169"/>
      <c r="C591" s="167"/>
      <c r="D591" s="171"/>
      <c r="E591" s="172"/>
      <c r="F591" s="172"/>
      <c r="G591" s="172"/>
      <c r="H591" s="171"/>
      <c r="I591" s="164"/>
      <c r="J591" s="164"/>
      <c r="K591" s="164"/>
      <c r="L591" s="164"/>
      <c r="M591" s="164"/>
      <c r="N591" s="164"/>
      <c r="O591" s="164"/>
      <c r="P591" s="164"/>
      <c r="Q591" s="164"/>
      <c r="R591" s="170"/>
      <c r="S591" s="170"/>
      <c r="T591" s="170"/>
      <c r="U591" s="170"/>
      <c r="V591" s="164"/>
      <c r="W591" s="164"/>
      <c r="X591" s="164"/>
      <c r="Y591" s="164"/>
      <c r="Z591" s="164"/>
      <c r="AA591" s="170"/>
      <c r="AB591" s="170"/>
      <c r="AC591" s="164"/>
      <c r="AD591" s="164"/>
      <c r="AE591" s="164"/>
      <c r="AF591" s="164"/>
      <c r="AG591" s="164"/>
      <c r="AH591" s="170"/>
      <c r="AI591" s="7"/>
      <c r="AJ591" s="7"/>
      <c r="AK591" s="7"/>
    </row>
    <row r="592" spans="1:37" ht="15.75" customHeight="1">
      <c r="A592" s="168"/>
      <c r="B592" s="169"/>
      <c r="C592" s="167"/>
      <c r="D592" s="171"/>
      <c r="E592" s="172"/>
      <c r="F592" s="172"/>
      <c r="G592" s="172"/>
      <c r="H592" s="171"/>
      <c r="I592" s="164"/>
      <c r="J592" s="164"/>
      <c r="K592" s="164"/>
      <c r="L592" s="164"/>
      <c r="M592" s="164"/>
      <c r="N592" s="164"/>
      <c r="O592" s="164"/>
      <c r="P592" s="164"/>
      <c r="Q592" s="164"/>
      <c r="R592" s="170"/>
      <c r="S592" s="170"/>
      <c r="T592" s="170"/>
      <c r="U592" s="170"/>
      <c r="V592" s="164"/>
      <c r="W592" s="164"/>
      <c r="X592" s="164"/>
      <c r="Y592" s="164"/>
      <c r="Z592" s="164"/>
      <c r="AA592" s="170"/>
      <c r="AB592" s="170"/>
      <c r="AC592" s="164"/>
      <c r="AD592" s="164"/>
      <c r="AE592" s="164"/>
      <c r="AF592" s="164"/>
      <c r="AG592" s="164"/>
      <c r="AH592" s="170"/>
      <c r="AI592" s="7"/>
      <c r="AJ592" s="7"/>
      <c r="AK592" s="7"/>
    </row>
    <row r="593" spans="1:37" ht="15.75" customHeight="1">
      <c r="A593" s="168"/>
      <c r="B593" s="169"/>
      <c r="C593" s="167"/>
      <c r="D593" s="171"/>
      <c r="E593" s="172"/>
      <c r="F593" s="172"/>
      <c r="G593" s="172"/>
      <c r="H593" s="171"/>
      <c r="I593" s="164"/>
      <c r="J593" s="164"/>
      <c r="K593" s="164"/>
      <c r="L593" s="164"/>
      <c r="M593" s="164"/>
      <c r="N593" s="164"/>
      <c r="O593" s="164"/>
      <c r="P593" s="164"/>
      <c r="Q593" s="164"/>
      <c r="R593" s="170"/>
      <c r="S593" s="170"/>
      <c r="T593" s="170"/>
      <c r="U593" s="170"/>
      <c r="V593" s="164"/>
      <c r="W593" s="164"/>
      <c r="X593" s="164"/>
      <c r="Y593" s="164"/>
      <c r="Z593" s="164"/>
      <c r="AA593" s="170"/>
      <c r="AB593" s="170"/>
      <c r="AC593" s="164"/>
      <c r="AD593" s="164"/>
      <c r="AE593" s="164"/>
      <c r="AF593" s="164"/>
      <c r="AG593" s="164"/>
      <c r="AH593" s="170"/>
      <c r="AI593" s="7"/>
      <c r="AJ593" s="7"/>
      <c r="AK593" s="7"/>
    </row>
    <row r="594" spans="1:37" ht="15.75" customHeight="1">
      <c r="A594" s="168"/>
      <c r="B594" s="169"/>
      <c r="C594" s="167"/>
      <c r="D594" s="171"/>
      <c r="E594" s="172"/>
      <c r="F594" s="172"/>
      <c r="G594" s="172"/>
      <c r="H594" s="171"/>
      <c r="I594" s="164"/>
      <c r="J594" s="164"/>
      <c r="K594" s="164"/>
      <c r="L594" s="164"/>
      <c r="M594" s="164"/>
      <c r="N594" s="164"/>
      <c r="O594" s="164"/>
      <c r="P594" s="164"/>
      <c r="Q594" s="164"/>
      <c r="R594" s="170"/>
      <c r="S594" s="170"/>
      <c r="T594" s="170"/>
      <c r="U594" s="170"/>
      <c r="V594" s="164"/>
      <c r="W594" s="164"/>
      <c r="X594" s="164"/>
      <c r="Y594" s="164"/>
      <c r="Z594" s="164"/>
      <c r="AA594" s="170"/>
      <c r="AB594" s="170"/>
      <c r="AC594" s="164"/>
      <c r="AD594" s="164"/>
      <c r="AE594" s="164"/>
      <c r="AF594" s="164"/>
      <c r="AG594" s="164"/>
      <c r="AH594" s="170"/>
      <c r="AI594" s="7"/>
      <c r="AJ594" s="7"/>
      <c r="AK594" s="7"/>
    </row>
    <row r="595" spans="1:37" ht="15.75" customHeight="1">
      <c r="A595" s="168"/>
      <c r="B595" s="169"/>
      <c r="C595" s="167"/>
      <c r="D595" s="171"/>
      <c r="E595" s="172"/>
      <c r="F595" s="172"/>
      <c r="G595" s="172"/>
      <c r="H595" s="171"/>
      <c r="I595" s="164"/>
      <c r="J595" s="164"/>
      <c r="K595" s="164"/>
      <c r="L595" s="164"/>
      <c r="M595" s="164"/>
      <c r="N595" s="164"/>
      <c r="O595" s="164"/>
      <c r="P595" s="164"/>
      <c r="Q595" s="164"/>
      <c r="R595" s="170"/>
      <c r="S595" s="170"/>
      <c r="T595" s="170"/>
      <c r="U595" s="170"/>
      <c r="V595" s="164"/>
      <c r="W595" s="164"/>
      <c r="X595" s="164"/>
      <c r="Y595" s="164"/>
      <c r="Z595" s="164"/>
      <c r="AA595" s="170"/>
      <c r="AB595" s="170"/>
      <c r="AC595" s="164"/>
      <c r="AD595" s="164"/>
      <c r="AE595" s="164"/>
      <c r="AF595" s="164"/>
      <c r="AG595" s="164"/>
      <c r="AH595" s="170"/>
      <c r="AI595" s="7"/>
      <c r="AJ595" s="7"/>
      <c r="AK595" s="7"/>
    </row>
    <row r="596" spans="1:37" ht="15.75" customHeight="1">
      <c r="A596" s="168"/>
      <c r="B596" s="169"/>
      <c r="C596" s="167"/>
      <c r="D596" s="171"/>
      <c r="E596" s="172"/>
      <c r="F596" s="172"/>
      <c r="G596" s="172"/>
      <c r="H596" s="171"/>
      <c r="I596" s="164"/>
      <c r="J596" s="164"/>
      <c r="K596" s="164"/>
      <c r="L596" s="164"/>
      <c r="M596" s="164"/>
      <c r="N596" s="164"/>
      <c r="O596" s="164"/>
      <c r="P596" s="164"/>
      <c r="Q596" s="164"/>
      <c r="R596" s="170"/>
      <c r="S596" s="170"/>
      <c r="T596" s="170"/>
      <c r="U596" s="170"/>
      <c r="V596" s="164"/>
      <c r="W596" s="164"/>
      <c r="X596" s="164"/>
      <c r="Y596" s="164"/>
      <c r="Z596" s="164"/>
      <c r="AA596" s="170"/>
      <c r="AB596" s="170"/>
      <c r="AC596" s="164"/>
      <c r="AD596" s="164"/>
      <c r="AE596" s="164"/>
      <c r="AF596" s="164"/>
      <c r="AG596" s="164"/>
      <c r="AH596" s="170"/>
      <c r="AI596" s="7"/>
      <c r="AJ596" s="7"/>
      <c r="AK596" s="7"/>
    </row>
    <row r="597" spans="1:37" ht="15.75" customHeight="1">
      <c r="A597" s="168"/>
      <c r="B597" s="169"/>
      <c r="C597" s="167"/>
      <c r="D597" s="171"/>
      <c r="E597" s="172"/>
      <c r="F597" s="172"/>
      <c r="G597" s="172"/>
      <c r="H597" s="171"/>
      <c r="I597" s="164"/>
      <c r="J597" s="164"/>
      <c r="K597" s="164"/>
      <c r="L597" s="164"/>
      <c r="M597" s="164"/>
      <c r="N597" s="164"/>
      <c r="O597" s="164"/>
      <c r="P597" s="164"/>
      <c r="Q597" s="164"/>
      <c r="R597" s="170"/>
      <c r="S597" s="170"/>
      <c r="T597" s="170"/>
      <c r="U597" s="170"/>
      <c r="V597" s="164"/>
      <c r="W597" s="164"/>
      <c r="X597" s="164"/>
      <c r="Y597" s="164"/>
      <c r="Z597" s="164"/>
      <c r="AA597" s="170"/>
      <c r="AB597" s="170"/>
      <c r="AC597" s="164"/>
      <c r="AD597" s="164"/>
      <c r="AE597" s="164"/>
      <c r="AF597" s="164"/>
      <c r="AG597" s="164"/>
      <c r="AH597" s="170"/>
      <c r="AI597" s="7"/>
      <c r="AJ597" s="7"/>
      <c r="AK597" s="7"/>
    </row>
    <row r="598" spans="1:37" ht="15.75" customHeight="1">
      <c r="A598" s="168"/>
      <c r="B598" s="169"/>
      <c r="C598" s="167"/>
      <c r="D598" s="171"/>
      <c r="E598" s="172"/>
      <c r="F598" s="172"/>
      <c r="G598" s="172"/>
      <c r="H598" s="171"/>
      <c r="I598" s="164"/>
      <c r="J598" s="164"/>
      <c r="K598" s="164"/>
      <c r="L598" s="164"/>
      <c r="M598" s="164"/>
      <c r="N598" s="164"/>
      <c r="O598" s="164"/>
      <c r="P598" s="164"/>
      <c r="Q598" s="164"/>
      <c r="R598" s="170"/>
      <c r="S598" s="170"/>
      <c r="T598" s="170"/>
      <c r="U598" s="170"/>
      <c r="V598" s="164"/>
      <c r="W598" s="164"/>
      <c r="X598" s="164"/>
      <c r="Y598" s="164"/>
      <c r="Z598" s="164"/>
      <c r="AA598" s="170"/>
      <c r="AB598" s="170"/>
      <c r="AC598" s="164"/>
      <c r="AD598" s="164"/>
      <c r="AE598" s="164"/>
      <c r="AF598" s="164"/>
      <c r="AG598" s="164"/>
      <c r="AH598" s="170"/>
      <c r="AI598" s="7"/>
      <c r="AJ598" s="7"/>
      <c r="AK598" s="7"/>
    </row>
    <row r="599" spans="1:37" ht="15.75" customHeight="1">
      <c r="A599" s="168"/>
      <c r="B599" s="169"/>
      <c r="C599" s="167"/>
      <c r="D599" s="171"/>
      <c r="E599" s="172"/>
      <c r="F599" s="172"/>
      <c r="G599" s="172"/>
      <c r="H599" s="171"/>
      <c r="I599" s="164"/>
      <c r="J599" s="164"/>
      <c r="K599" s="164"/>
      <c r="L599" s="164"/>
      <c r="M599" s="164"/>
      <c r="N599" s="164"/>
      <c r="O599" s="164"/>
      <c r="P599" s="164"/>
      <c r="Q599" s="164"/>
      <c r="R599" s="170"/>
      <c r="S599" s="170"/>
      <c r="T599" s="170"/>
      <c r="U599" s="170"/>
      <c r="V599" s="164"/>
      <c r="W599" s="164"/>
      <c r="X599" s="164"/>
      <c r="Y599" s="164"/>
      <c r="Z599" s="164"/>
      <c r="AA599" s="170"/>
      <c r="AB599" s="170"/>
      <c r="AC599" s="164"/>
      <c r="AD599" s="164"/>
      <c r="AE599" s="164"/>
      <c r="AF599" s="164"/>
      <c r="AG599" s="164"/>
      <c r="AH599" s="170"/>
      <c r="AI599" s="7"/>
      <c r="AJ599" s="7"/>
      <c r="AK599" s="7"/>
    </row>
    <row r="600" spans="1:37" ht="15.75" customHeight="1">
      <c r="A600" s="168"/>
      <c r="B600" s="169"/>
      <c r="C600" s="167"/>
      <c r="D600" s="171"/>
      <c r="E600" s="172"/>
      <c r="F600" s="172"/>
      <c r="G600" s="172"/>
      <c r="H600" s="171"/>
      <c r="I600" s="164"/>
      <c r="J600" s="164"/>
      <c r="K600" s="164"/>
      <c r="L600" s="164"/>
      <c r="M600" s="164"/>
      <c r="N600" s="164"/>
      <c r="O600" s="164"/>
      <c r="P600" s="164"/>
      <c r="Q600" s="164"/>
      <c r="R600" s="170"/>
      <c r="S600" s="170"/>
      <c r="T600" s="170"/>
      <c r="U600" s="170"/>
      <c r="V600" s="164"/>
      <c r="W600" s="164"/>
      <c r="X600" s="164"/>
      <c r="Y600" s="164"/>
      <c r="Z600" s="164"/>
      <c r="AA600" s="170"/>
      <c r="AB600" s="170"/>
      <c r="AC600" s="164"/>
      <c r="AD600" s="164"/>
      <c r="AE600" s="164"/>
      <c r="AF600" s="164"/>
      <c r="AG600" s="164"/>
      <c r="AH600" s="170"/>
      <c r="AI600" s="7"/>
      <c r="AJ600" s="7"/>
      <c r="AK600" s="7"/>
    </row>
    <row r="601" spans="1:37" ht="15.75" customHeight="1">
      <c r="A601" s="168"/>
      <c r="B601" s="169"/>
      <c r="C601" s="167"/>
      <c r="D601" s="171"/>
      <c r="E601" s="172"/>
      <c r="F601" s="172"/>
      <c r="G601" s="172"/>
      <c r="H601" s="171"/>
      <c r="I601" s="164"/>
      <c r="J601" s="164"/>
      <c r="K601" s="164"/>
      <c r="L601" s="164"/>
      <c r="M601" s="164"/>
      <c r="N601" s="164"/>
      <c r="O601" s="164"/>
      <c r="P601" s="164"/>
      <c r="Q601" s="164"/>
      <c r="R601" s="170"/>
      <c r="S601" s="170"/>
      <c r="T601" s="170"/>
      <c r="U601" s="170"/>
      <c r="V601" s="164"/>
      <c r="W601" s="164"/>
      <c r="X601" s="164"/>
      <c r="Y601" s="164"/>
      <c r="Z601" s="164"/>
      <c r="AA601" s="170"/>
      <c r="AB601" s="170"/>
      <c r="AC601" s="164"/>
      <c r="AD601" s="164"/>
      <c r="AE601" s="164"/>
      <c r="AF601" s="164"/>
      <c r="AG601" s="164"/>
      <c r="AH601" s="170"/>
      <c r="AI601" s="7"/>
      <c r="AJ601" s="7"/>
      <c r="AK601" s="7"/>
    </row>
    <row r="602" spans="1:37" ht="15.75" customHeight="1">
      <c r="A602" s="168"/>
      <c r="B602" s="169"/>
      <c r="C602" s="167"/>
      <c r="D602" s="171"/>
      <c r="E602" s="172"/>
      <c r="F602" s="172"/>
      <c r="G602" s="172"/>
      <c r="H602" s="171"/>
      <c r="I602" s="164"/>
      <c r="J602" s="164"/>
      <c r="K602" s="164"/>
      <c r="L602" s="164"/>
      <c r="M602" s="164"/>
      <c r="N602" s="164"/>
      <c r="O602" s="164"/>
      <c r="P602" s="164"/>
      <c r="Q602" s="164"/>
      <c r="R602" s="170"/>
      <c r="S602" s="170"/>
      <c r="T602" s="170"/>
      <c r="U602" s="170"/>
      <c r="V602" s="164"/>
      <c r="W602" s="164"/>
      <c r="X602" s="164"/>
      <c r="Y602" s="164"/>
      <c r="Z602" s="164"/>
      <c r="AA602" s="170"/>
      <c r="AB602" s="170"/>
      <c r="AC602" s="164"/>
      <c r="AD602" s="164"/>
      <c r="AE602" s="164"/>
      <c r="AF602" s="164"/>
      <c r="AG602" s="164"/>
      <c r="AH602" s="170"/>
      <c r="AI602" s="7"/>
      <c r="AJ602" s="7"/>
      <c r="AK602" s="7"/>
    </row>
    <row r="603" spans="1:37" ht="15.75" customHeight="1">
      <c r="A603" s="168"/>
      <c r="B603" s="169"/>
      <c r="C603" s="167"/>
      <c r="D603" s="171"/>
      <c r="E603" s="172"/>
      <c r="F603" s="172"/>
      <c r="G603" s="172"/>
      <c r="H603" s="171"/>
      <c r="I603" s="164"/>
      <c r="J603" s="164"/>
      <c r="K603" s="164"/>
      <c r="L603" s="164"/>
      <c r="M603" s="164"/>
      <c r="N603" s="164"/>
      <c r="O603" s="164"/>
      <c r="P603" s="164"/>
      <c r="Q603" s="164"/>
      <c r="R603" s="170"/>
      <c r="S603" s="170"/>
      <c r="T603" s="170"/>
      <c r="U603" s="170"/>
      <c r="V603" s="164"/>
      <c r="W603" s="164"/>
      <c r="X603" s="164"/>
      <c r="Y603" s="164"/>
      <c r="Z603" s="164"/>
      <c r="AA603" s="170"/>
      <c r="AB603" s="170"/>
      <c r="AC603" s="164"/>
      <c r="AD603" s="164"/>
      <c r="AE603" s="164"/>
      <c r="AF603" s="164"/>
      <c r="AG603" s="164"/>
      <c r="AH603" s="170"/>
      <c r="AI603" s="7"/>
      <c r="AJ603" s="7"/>
      <c r="AK603" s="7"/>
    </row>
    <row r="604" spans="1:37" ht="15.75" customHeight="1">
      <c r="A604" s="168"/>
      <c r="B604" s="169"/>
      <c r="C604" s="167"/>
      <c r="D604" s="171"/>
      <c r="E604" s="172"/>
      <c r="F604" s="172"/>
      <c r="G604" s="172"/>
      <c r="H604" s="171"/>
      <c r="I604" s="164"/>
      <c r="J604" s="164"/>
      <c r="K604" s="164"/>
      <c r="L604" s="164"/>
      <c r="M604" s="164"/>
      <c r="N604" s="164"/>
      <c r="O604" s="164"/>
      <c r="P604" s="164"/>
      <c r="Q604" s="164"/>
      <c r="R604" s="170"/>
      <c r="S604" s="170"/>
      <c r="T604" s="170"/>
      <c r="U604" s="170"/>
      <c r="V604" s="164"/>
      <c r="W604" s="164"/>
      <c r="X604" s="164"/>
      <c r="Y604" s="164"/>
      <c r="Z604" s="164"/>
      <c r="AA604" s="170"/>
      <c r="AB604" s="170"/>
      <c r="AC604" s="164"/>
      <c r="AD604" s="164"/>
      <c r="AE604" s="164"/>
      <c r="AF604" s="164"/>
      <c r="AG604" s="164"/>
      <c r="AH604" s="170"/>
      <c r="AI604" s="7"/>
      <c r="AJ604" s="7"/>
      <c r="AK604" s="7"/>
    </row>
    <row r="605" spans="1:37" ht="15.75" customHeight="1">
      <c r="A605" s="168"/>
      <c r="B605" s="169"/>
      <c r="C605" s="167"/>
      <c r="D605" s="171"/>
      <c r="E605" s="172"/>
      <c r="F605" s="172"/>
      <c r="G605" s="172"/>
      <c r="H605" s="171"/>
      <c r="I605" s="164"/>
      <c r="J605" s="164"/>
      <c r="K605" s="164"/>
      <c r="L605" s="164"/>
      <c r="M605" s="164"/>
      <c r="N605" s="164"/>
      <c r="O605" s="164"/>
      <c r="P605" s="164"/>
      <c r="Q605" s="164"/>
      <c r="R605" s="170"/>
      <c r="S605" s="170"/>
      <c r="T605" s="170"/>
      <c r="U605" s="170"/>
      <c r="V605" s="164"/>
      <c r="W605" s="164"/>
      <c r="X605" s="164"/>
      <c r="Y605" s="164"/>
      <c r="Z605" s="164"/>
      <c r="AA605" s="170"/>
      <c r="AB605" s="170"/>
      <c r="AC605" s="164"/>
      <c r="AD605" s="164"/>
      <c r="AE605" s="164"/>
      <c r="AF605" s="164"/>
      <c r="AG605" s="164"/>
      <c r="AH605" s="170"/>
      <c r="AI605" s="7"/>
      <c r="AJ605" s="7"/>
      <c r="AK605" s="7"/>
    </row>
    <row r="606" spans="1:37" ht="15.75" customHeight="1">
      <c r="A606" s="168"/>
      <c r="B606" s="169"/>
      <c r="C606" s="167"/>
      <c r="D606" s="171"/>
      <c r="E606" s="172"/>
      <c r="F606" s="172"/>
      <c r="G606" s="172"/>
      <c r="H606" s="171"/>
      <c r="I606" s="164"/>
      <c r="J606" s="164"/>
      <c r="K606" s="164"/>
      <c r="L606" s="164"/>
      <c r="M606" s="164"/>
      <c r="N606" s="164"/>
      <c r="O606" s="164"/>
      <c r="P606" s="164"/>
      <c r="Q606" s="164"/>
      <c r="R606" s="170"/>
      <c r="S606" s="170"/>
      <c r="T606" s="170"/>
      <c r="U606" s="170"/>
      <c r="V606" s="164"/>
      <c r="W606" s="164"/>
      <c r="X606" s="164"/>
      <c r="Y606" s="164"/>
      <c r="Z606" s="164"/>
      <c r="AA606" s="170"/>
      <c r="AB606" s="170"/>
      <c r="AC606" s="164"/>
      <c r="AD606" s="164"/>
      <c r="AE606" s="164"/>
      <c r="AF606" s="164"/>
      <c r="AG606" s="164"/>
      <c r="AH606" s="170"/>
      <c r="AI606" s="7"/>
      <c r="AJ606" s="7"/>
      <c r="AK606" s="7"/>
    </row>
    <row r="607" spans="1:37" ht="15.75" customHeight="1">
      <c r="A607" s="168"/>
      <c r="B607" s="169"/>
      <c r="C607" s="167"/>
      <c r="D607" s="171"/>
      <c r="E607" s="172"/>
      <c r="F607" s="172"/>
      <c r="G607" s="172"/>
      <c r="H607" s="171"/>
      <c r="I607" s="164"/>
      <c r="J607" s="164"/>
      <c r="K607" s="164"/>
      <c r="L607" s="164"/>
      <c r="M607" s="164"/>
      <c r="N607" s="164"/>
      <c r="O607" s="164"/>
      <c r="P607" s="164"/>
      <c r="Q607" s="164"/>
      <c r="R607" s="170"/>
      <c r="S607" s="170"/>
      <c r="T607" s="170"/>
      <c r="U607" s="170"/>
      <c r="V607" s="164"/>
      <c r="W607" s="164"/>
      <c r="X607" s="164"/>
      <c r="Y607" s="164"/>
      <c r="Z607" s="164"/>
      <c r="AA607" s="170"/>
      <c r="AB607" s="170"/>
      <c r="AC607" s="164"/>
      <c r="AD607" s="164"/>
      <c r="AE607" s="164"/>
      <c r="AF607" s="164"/>
      <c r="AG607" s="164"/>
      <c r="AH607" s="170"/>
      <c r="AI607" s="7"/>
      <c r="AJ607" s="7"/>
      <c r="AK607" s="7"/>
    </row>
    <row r="608" spans="1:37" ht="15.75" customHeight="1">
      <c r="A608" s="168"/>
      <c r="B608" s="169"/>
      <c r="C608" s="167"/>
      <c r="D608" s="171"/>
      <c r="E608" s="172"/>
      <c r="F608" s="172"/>
      <c r="G608" s="172"/>
      <c r="H608" s="171"/>
      <c r="I608" s="164"/>
      <c r="J608" s="164"/>
      <c r="K608" s="164"/>
      <c r="L608" s="164"/>
      <c r="M608" s="164"/>
      <c r="N608" s="164"/>
      <c r="O608" s="164"/>
      <c r="P608" s="164"/>
      <c r="Q608" s="164"/>
      <c r="R608" s="170"/>
      <c r="S608" s="170"/>
      <c r="T608" s="170"/>
      <c r="U608" s="170"/>
      <c r="V608" s="164"/>
      <c r="W608" s="164"/>
      <c r="X608" s="164"/>
      <c r="Y608" s="164"/>
      <c r="Z608" s="164"/>
      <c r="AA608" s="170"/>
      <c r="AB608" s="170"/>
      <c r="AC608" s="164"/>
      <c r="AD608" s="164"/>
      <c r="AE608" s="164"/>
      <c r="AF608" s="164"/>
      <c r="AG608" s="164"/>
      <c r="AH608" s="170"/>
      <c r="AI608" s="7"/>
      <c r="AJ608" s="7"/>
      <c r="AK608" s="7"/>
    </row>
    <row r="609" spans="1:37" ht="15.75" customHeight="1">
      <c r="A609" s="168"/>
      <c r="B609" s="169"/>
      <c r="C609" s="167"/>
      <c r="D609" s="171"/>
      <c r="E609" s="172"/>
      <c r="F609" s="172"/>
      <c r="G609" s="172"/>
      <c r="H609" s="171"/>
      <c r="I609" s="164"/>
      <c r="J609" s="164"/>
      <c r="K609" s="164"/>
      <c r="L609" s="164"/>
      <c r="M609" s="164"/>
      <c r="N609" s="164"/>
      <c r="O609" s="164"/>
      <c r="P609" s="164"/>
      <c r="Q609" s="164"/>
      <c r="R609" s="170"/>
      <c r="S609" s="170"/>
      <c r="T609" s="170"/>
      <c r="U609" s="170"/>
      <c r="V609" s="164"/>
      <c r="W609" s="164"/>
      <c r="X609" s="164"/>
      <c r="Y609" s="164"/>
      <c r="Z609" s="164"/>
      <c r="AA609" s="170"/>
      <c r="AB609" s="170"/>
      <c r="AC609" s="164"/>
      <c r="AD609" s="164"/>
      <c r="AE609" s="164"/>
      <c r="AF609" s="164"/>
      <c r="AG609" s="164"/>
      <c r="AH609" s="170"/>
      <c r="AI609" s="7"/>
      <c r="AJ609" s="7"/>
      <c r="AK609" s="7"/>
    </row>
    <row r="610" spans="1:37" ht="15.75" customHeight="1">
      <c r="A610" s="168"/>
      <c r="B610" s="169"/>
      <c r="C610" s="167"/>
      <c r="D610" s="171"/>
      <c r="E610" s="172"/>
      <c r="F610" s="172"/>
      <c r="G610" s="172"/>
      <c r="H610" s="171"/>
      <c r="I610" s="164"/>
      <c r="J610" s="164"/>
      <c r="K610" s="164"/>
      <c r="L610" s="164"/>
      <c r="M610" s="164"/>
      <c r="N610" s="164"/>
      <c r="O610" s="164"/>
      <c r="P610" s="164"/>
      <c r="Q610" s="164"/>
      <c r="R610" s="170"/>
      <c r="S610" s="170"/>
      <c r="T610" s="170"/>
      <c r="U610" s="170"/>
      <c r="V610" s="164"/>
      <c r="W610" s="164"/>
      <c r="X610" s="164"/>
      <c r="Y610" s="164"/>
      <c r="Z610" s="164"/>
      <c r="AA610" s="170"/>
      <c r="AB610" s="170"/>
      <c r="AC610" s="164"/>
      <c r="AD610" s="164"/>
      <c r="AE610" s="164"/>
      <c r="AF610" s="164"/>
      <c r="AG610" s="164"/>
      <c r="AH610" s="170"/>
      <c r="AI610" s="7"/>
      <c r="AJ610" s="7"/>
      <c r="AK610" s="7"/>
    </row>
    <row r="611" spans="1:37" ht="15.75" customHeight="1">
      <c r="A611" s="168"/>
      <c r="B611" s="169"/>
      <c r="C611" s="167"/>
      <c r="D611" s="171"/>
      <c r="E611" s="172"/>
      <c r="F611" s="172"/>
      <c r="G611" s="172"/>
      <c r="H611" s="171"/>
      <c r="I611" s="164"/>
      <c r="J611" s="164"/>
      <c r="K611" s="164"/>
      <c r="L611" s="164"/>
      <c r="M611" s="164"/>
      <c r="N611" s="164"/>
      <c r="O611" s="164"/>
      <c r="P611" s="164"/>
      <c r="Q611" s="164"/>
      <c r="R611" s="170"/>
      <c r="S611" s="170"/>
      <c r="T611" s="170"/>
      <c r="U611" s="170"/>
      <c r="V611" s="164"/>
      <c r="W611" s="164"/>
      <c r="X611" s="164"/>
      <c r="Y611" s="164"/>
      <c r="Z611" s="164"/>
      <c r="AA611" s="170"/>
      <c r="AB611" s="170"/>
      <c r="AC611" s="164"/>
      <c r="AD611" s="164"/>
      <c r="AE611" s="164"/>
      <c r="AF611" s="164"/>
      <c r="AG611" s="164"/>
      <c r="AH611" s="170"/>
      <c r="AI611" s="7"/>
      <c r="AJ611" s="7"/>
      <c r="AK611" s="7"/>
    </row>
    <row r="612" spans="1:37" ht="15.75" customHeight="1">
      <c r="A612" s="168"/>
      <c r="B612" s="169"/>
      <c r="C612" s="167"/>
      <c r="D612" s="171"/>
      <c r="E612" s="172"/>
      <c r="F612" s="172"/>
      <c r="G612" s="172"/>
      <c r="H612" s="171"/>
      <c r="I612" s="164"/>
      <c r="J612" s="164"/>
      <c r="K612" s="164"/>
      <c r="L612" s="164"/>
      <c r="M612" s="164"/>
      <c r="N612" s="164"/>
      <c r="O612" s="164"/>
      <c r="P612" s="164"/>
      <c r="Q612" s="164"/>
      <c r="R612" s="170"/>
      <c r="S612" s="170"/>
      <c r="T612" s="170"/>
      <c r="U612" s="170"/>
      <c r="V612" s="164"/>
      <c r="W612" s="164"/>
      <c r="X612" s="164"/>
      <c r="Y612" s="164"/>
      <c r="Z612" s="164"/>
      <c r="AA612" s="170"/>
      <c r="AB612" s="170"/>
      <c r="AC612" s="164"/>
      <c r="AD612" s="164"/>
      <c r="AE612" s="164"/>
      <c r="AF612" s="164"/>
      <c r="AG612" s="164"/>
      <c r="AH612" s="170"/>
      <c r="AI612" s="7"/>
      <c r="AJ612" s="7"/>
      <c r="AK612" s="7"/>
    </row>
    <row r="613" spans="1:37" ht="15.75" customHeight="1">
      <c r="A613" s="168"/>
      <c r="B613" s="169"/>
      <c r="C613" s="167"/>
      <c r="D613" s="171"/>
      <c r="E613" s="172"/>
      <c r="F613" s="172"/>
      <c r="G613" s="172"/>
      <c r="H613" s="171"/>
      <c r="I613" s="164"/>
      <c r="J613" s="164"/>
      <c r="K613" s="164"/>
      <c r="L613" s="164"/>
      <c r="M613" s="164"/>
      <c r="N613" s="164"/>
      <c r="O613" s="164"/>
      <c r="P613" s="164"/>
      <c r="Q613" s="164"/>
      <c r="R613" s="170"/>
      <c r="S613" s="170"/>
      <c r="T613" s="170"/>
      <c r="U613" s="170"/>
      <c r="V613" s="164"/>
      <c r="W613" s="164"/>
      <c r="X613" s="164"/>
      <c r="Y613" s="164"/>
      <c r="Z613" s="164"/>
      <c r="AA613" s="170"/>
      <c r="AB613" s="170"/>
      <c r="AC613" s="164"/>
      <c r="AD613" s="164"/>
      <c r="AE613" s="164"/>
      <c r="AF613" s="164"/>
      <c r="AG613" s="164"/>
      <c r="AH613" s="170"/>
      <c r="AI613" s="7"/>
      <c r="AJ613" s="7"/>
      <c r="AK613" s="7"/>
    </row>
    <row r="614" spans="1:37" ht="15.75" customHeight="1">
      <c r="A614" s="168"/>
      <c r="B614" s="169"/>
      <c r="C614" s="167"/>
      <c r="D614" s="171"/>
      <c r="E614" s="172"/>
      <c r="F614" s="172"/>
      <c r="G614" s="172"/>
      <c r="H614" s="171"/>
      <c r="I614" s="164"/>
      <c r="J614" s="164"/>
      <c r="K614" s="164"/>
      <c r="L614" s="164"/>
      <c r="M614" s="164"/>
      <c r="N614" s="164"/>
      <c r="O614" s="164"/>
      <c r="P614" s="164"/>
      <c r="Q614" s="164"/>
      <c r="R614" s="170"/>
      <c r="S614" s="170"/>
      <c r="T614" s="170"/>
      <c r="U614" s="170"/>
      <c r="V614" s="164"/>
      <c r="W614" s="164"/>
      <c r="X614" s="164"/>
      <c r="Y614" s="164"/>
      <c r="Z614" s="164"/>
      <c r="AA614" s="170"/>
      <c r="AB614" s="170"/>
      <c r="AC614" s="164"/>
      <c r="AD614" s="164"/>
      <c r="AE614" s="164"/>
      <c r="AF614" s="164"/>
      <c r="AG614" s="164"/>
      <c r="AH614" s="170"/>
      <c r="AI614" s="7"/>
      <c r="AJ614" s="7"/>
      <c r="AK614" s="7"/>
    </row>
    <row r="615" spans="1:37" ht="15.75" customHeight="1">
      <c r="A615" s="168"/>
      <c r="B615" s="169"/>
      <c r="C615" s="167"/>
      <c r="D615" s="171"/>
      <c r="E615" s="172"/>
      <c r="F615" s="172"/>
      <c r="G615" s="172"/>
      <c r="H615" s="171"/>
      <c r="I615" s="164"/>
      <c r="J615" s="164"/>
      <c r="K615" s="164"/>
      <c r="L615" s="164"/>
      <c r="M615" s="164"/>
      <c r="N615" s="164"/>
      <c r="O615" s="164"/>
      <c r="P615" s="164"/>
      <c r="Q615" s="164"/>
      <c r="R615" s="170"/>
      <c r="S615" s="170"/>
      <c r="T615" s="170"/>
      <c r="U615" s="170"/>
      <c r="V615" s="164"/>
      <c r="W615" s="164"/>
      <c r="X615" s="164"/>
      <c r="Y615" s="164"/>
      <c r="Z615" s="164"/>
      <c r="AA615" s="170"/>
      <c r="AB615" s="170"/>
      <c r="AC615" s="164"/>
      <c r="AD615" s="164"/>
      <c r="AE615" s="164"/>
      <c r="AF615" s="164"/>
      <c r="AG615" s="164"/>
      <c r="AH615" s="170"/>
      <c r="AI615" s="7"/>
      <c r="AJ615" s="7"/>
      <c r="AK615" s="7"/>
    </row>
    <row r="616" spans="1:37" ht="15.75" customHeight="1">
      <c r="A616" s="168"/>
      <c r="B616" s="169"/>
      <c r="C616" s="167"/>
      <c r="D616" s="171"/>
      <c r="E616" s="172"/>
      <c r="F616" s="172"/>
      <c r="G616" s="172"/>
      <c r="H616" s="171"/>
      <c r="I616" s="164"/>
      <c r="J616" s="164"/>
      <c r="K616" s="164"/>
      <c r="L616" s="164"/>
      <c r="M616" s="164"/>
      <c r="N616" s="164"/>
      <c r="O616" s="164"/>
      <c r="P616" s="164"/>
      <c r="Q616" s="164"/>
      <c r="R616" s="170"/>
      <c r="S616" s="170"/>
      <c r="T616" s="170"/>
      <c r="U616" s="170"/>
      <c r="V616" s="164"/>
      <c r="W616" s="164"/>
      <c r="X616" s="164"/>
      <c r="Y616" s="164"/>
      <c r="Z616" s="164"/>
      <c r="AA616" s="170"/>
      <c r="AB616" s="170"/>
      <c r="AC616" s="164"/>
      <c r="AD616" s="164"/>
      <c r="AE616" s="164"/>
      <c r="AF616" s="164"/>
      <c r="AG616" s="164"/>
      <c r="AH616" s="170"/>
      <c r="AI616" s="7"/>
      <c r="AJ616" s="7"/>
      <c r="AK616" s="7"/>
    </row>
    <row r="617" spans="1:37" ht="15.75" customHeight="1">
      <c r="A617" s="168"/>
      <c r="B617" s="169"/>
      <c r="C617" s="167"/>
      <c r="D617" s="171"/>
      <c r="E617" s="172"/>
      <c r="F617" s="172"/>
      <c r="G617" s="172"/>
      <c r="H617" s="171"/>
      <c r="I617" s="164"/>
      <c r="J617" s="164"/>
      <c r="K617" s="164"/>
      <c r="L617" s="164"/>
      <c r="M617" s="164"/>
      <c r="N617" s="164"/>
      <c r="O617" s="164"/>
      <c r="P617" s="164"/>
      <c r="Q617" s="164"/>
      <c r="R617" s="170"/>
      <c r="S617" s="170"/>
      <c r="T617" s="170"/>
      <c r="U617" s="170"/>
      <c r="V617" s="164"/>
      <c r="W617" s="164"/>
      <c r="X617" s="164"/>
      <c r="Y617" s="164"/>
      <c r="Z617" s="164"/>
      <c r="AA617" s="170"/>
      <c r="AB617" s="170"/>
      <c r="AC617" s="164"/>
      <c r="AD617" s="164"/>
      <c r="AE617" s="164"/>
      <c r="AF617" s="164"/>
      <c r="AG617" s="164"/>
      <c r="AH617" s="170"/>
      <c r="AI617" s="7"/>
      <c r="AJ617" s="7"/>
      <c r="AK617" s="7"/>
    </row>
    <row r="618" spans="1:37" ht="15.75" customHeight="1">
      <c r="A618" s="168"/>
      <c r="B618" s="169"/>
      <c r="C618" s="167"/>
      <c r="D618" s="171"/>
      <c r="E618" s="172"/>
      <c r="F618" s="172"/>
      <c r="G618" s="172"/>
      <c r="H618" s="171"/>
      <c r="I618" s="164"/>
      <c r="J618" s="164"/>
      <c r="K618" s="164"/>
      <c r="L618" s="164"/>
      <c r="M618" s="164"/>
      <c r="N618" s="164"/>
      <c r="O618" s="164"/>
      <c r="P618" s="164"/>
      <c r="Q618" s="164"/>
      <c r="R618" s="170"/>
      <c r="S618" s="170"/>
      <c r="T618" s="170"/>
      <c r="U618" s="170"/>
      <c r="V618" s="164"/>
      <c r="W618" s="164"/>
      <c r="X618" s="164"/>
      <c r="Y618" s="164"/>
      <c r="Z618" s="164"/>
      <c r="AA618" s="170"/>
      <c r="AB618" s="170"/>
      <c r="AC618" s="164"/>
      <c r="AD618" s="164"/>
      <c r="AE618" s="164"/>
      <c r="AF618" s="164"/>
      <c r="AG618" s="164"/>
      <c r="AH618" s="170"/>
      <c r="AI618" s="7"/>
      <c r="AJ618" s="7"/>
      <c r="AK618" s="7"/>
    </row>
    <row r="619" spans="1:37" ht="15.75" customHeight="1">
      <c r="A619" s="168"/>
      <c r="B619" s="169"/>
      <c r="C619" s="167"/>
      <c r="D619" s="171"/>
      <c r="E619" s="172"/>
      <c r="F619" s="172"/>
      <c r="G619" s="172"/>
      <c r="H619" s="171"/>
      <c r="I619" s="164"/>
      <c r="J619" s="164"/>
      <c r="K619" s="164"/>
      <c r="L619" s="164"/>
      <c r="M619" s="164"/>
      <c r="N619" s="164"/>
      <c r="O619" s="164"/>
      <c r="P619" s="164"/>
      <c r="Q619" s="164"/>
      <c r="R619" s="170"/>
      <c r="S619" s="170"/>
      <c r="T619" s="170"/>
      <c r="U619" s="170"/>
      <c r="V619" s="164"/>
      <c r="W619" s="164"/>
      <c r="X619" s="164"/>
      <c r="Y619" s="164"/>
      <c r="Z619" s="164"/>
      <c r="AA619" s="170"/>
      <c r="AB619" s="170"/>
      <c r="AC619" s="164"/>
      <c r="AD619" s="164"/>
      <c r="AE619" s="164"/>
      <c r="AF619" s="164"/>
      <c r="AG619" s="164"/>
      <c r="AH619" s="170"/>
      <c r="AI619" s="7"/>
      <c r="AJ619" s="7"/>
      <c r="AK619" s="7"/>
    </row>
    <row r="620" spans="1:37" ht="15.75" customHeight="1">
      <c r="A620" s="168"/>
      <c r="B620" s="169"/>
      <c r="C620" s="167"/>
      <c r="D620" s="171"/>
      <c r="E620" s="172"/>
      <c r="F620" s="172"/>
      <c r="G620" s="172"/>
      <c r="H620" s="171"/>
      <c r="I620" s="164"/>
      <c r="J620" s="164"/>
      <c r="K620" s="164"/>
      <c r="L620" s="164"/>
      <c r="M620" s="164"/>
      <c r="N620" s="164"/>
      <c r="O620" s="164"/>
      <c r="P620" s="164"/>
      <c r="Q620" s="164"/>
      <c r="R620" s="170"/>
      <c r="S620" s="170"/>
      <c r="T620" s="170"/>
      <c r="U620" s="170"/>
      <c r="V620" s="164"/>
      <c r="W620" s="164"/>
      <c r="X620" s="164"/>
      <c r="Y620" s="164"/>
      <c r="Z620" s="164"/>
      <c r="AA620" s="170"/>
      <c r="AB620" s="170"/>
      <c r="AC620" s="164"/>
      <c r="AD620" s="164"/>
      <c r="AE620" s="164"/>
      <c r="AF620" s="164"/>
      <c r="AG620" s="164"/>
      <c r="AH620" s="170"/>
      <c r="AI620" s="7"/>
      <c r="AJ620" s="7"/>
      <c r="AK620" s="7"/>
    </row>
    <row r="621" spans="1:37" ht="15.75" customHeight="1">
      <c r="A621" s="168"/>
      <c r="B621" s="169"/>
      <c r="C621" s="167"/>
      <c r="D621" s="171"/>
      <c r="E621" s="172"/>
      <c r="F621" s="172"/>
      <c r="G621" s="172"/>
      <c r="H621" s="171"/>
      <c r="I621" s="164"/>
      <c r="J621" s="164"/>
      <c r="K621" s="164"/>
      <c r="L621" s="164"/>
      <c r="M621" s="164"/>
      <c r="N621" s="164"/>
      <c r="O621" s="164"/>
      <c r="P621" s="164"/>
      <c r="Q621" s="164"/>
      <c r="R621" s="170"/>
      <c r="S621" s="170"/>
      <c r="T621" s="170"/>
      <c r="U621" s="170"/>
      <c r="V621" s="164"/>
      <c r="W621" s="164"/>
      <c r="X621" s="164"/>
      <c r="Y621" s="164"/>
      <c r="Z621" s="164"/>
      <c r="AA621" s="170"/>
      <c r="AB621" s="170"/>
      <c r="AC621" s="164"/>
      <c r="AD621" s="164"/>
      <c r="AE621" s="164"/>
      <c r="AF621" s="164"/>
      <c r="AG621" s="164"/>
      <c r="AH621" s="170"/>
      <c r="AI621" s="7"/>
      <c r="AJ621" s="7"/>
      <c r="AK621" s="7"/>
    </row>
    <row r="622" spans="1:37" ht="15.75" customHeight="1">
      <c r="A622" s="168"/>
      <c r="B622" s="169"/>
      <c r="C622" s="167"/>
      <c r="D622" s="171"/>
      <c r="E622" s="172"/>
      <c r="F622" s="172"/>
      <c r="G622" s="172"/>
      <c r="H622" s="171"/>
      <c r="I622" s="164"/>
      <c r="J622" s="164"/>
      <c r="K622" s="164"/>
      <c r="L622" s="164"/>
      <c r="M622" s="164"/>
      <c r="N622" s="164"/>
      <c r="O622" s="164"/>
      <c r="P622" s="164"/>
      <c r="Q622" s="164"/>
      <c r="R622" s="170"/>
      <c r="S622" s="170"/>
      <c r="T622" s="170"/>
      <c r="U622" s="170"/>
      <c r="V622" s="164"/>
      <c r="W622" s="164"/>
      <c r="X622" s="164"/>
      <c r="Y622" s="164"/>
      <c r="Z622" s="164"/>
      <c r="AA622" s="170"/>
      <c r="AB622" s="170"/>
      <c r="AC622" s="164"/>
      <c r="AD622" s="164"/>
      <c r="AE622" s="164"/>
      <c r="AF622" s="164"/>
      <c r="AG622" s="164"/>
      <c r="AH622" s="170"/>
      <c r="AI622" s="7"/>
      <c r="AJ622" s="7"/>
      <c r="AK622" s="7"/>
    </row>
    <row r="623" spans="1:37" ht="15.75" customHeight="1">
      <c r="A623" s="168"/>
      <c r="B623" s="169"/>
      <c r="C623" s="167"/>
      <c r="D623" s="171"/>
      <c r="E623" s="172"/>
      <c r="F623" s="172"/>
      <c r="G623" s="172"/>
      <c r="H623" s="171"/>
      <c r="I623" s="164"/>
      <c r="J623" s="164"/>
      <c r="K623" s="164"/>
      <c r="L623" s="164"/>
      <c r="M623" s="164"/>
      <c r="N623" s="164"/>
      <c r="O623" s="164"/>
      <c r="P623" s="164"/>
      <c r="Q623" s="164"/>
      <c r="R623" s="170"/>
      <c r="S623" s="170"/>
      <c r="T623" s="170"/>
      <c r="U623" s="170"/>
      <c r="V623" s="164"/>
      <c r="W623" s="164"/>
      <c r="X623" s="164"/>
      <c r="Y623" s="164"/>
      <c r="Z623" s="164"/>
      <c r="AA623" s="170"/>
      <c r="AB623" s="170"/>
      <c r="AC623" s="164"/>
      <c r="AD623" s="164"/>
      <c r="AE623" s="164"/>
      <c r="AF623" s="164"/>
      <c r="AG623" s="164"/>
      <c r="AH623" s="170"/>
      <c r="AI623" s="7"/>
      <c r="AJ623" s="7"/>
      <c r="AK623" s="7"/>
    </row>
    <row r="624" spans="1:37" ht="15.75" customHeight="1">
      <c r="A624" s="168"/>
      <c r="B624" s="169"/>
      <c r="C624" s="167"/>
      <c r="D624" s="171"/>
      <c r="E624" s="172"/>
      <c r="F624" s="172"/>
      <c r="G624" s="172"/>
      <c r="H624" s="171"/>
      <c r="I624" s="164"/>
      <c r="J624" s="164"/>
      <c r="K624" s="164"/>
      <c r="L624" s="164"/>
      <c r="M624" s="164"/>
      <c r="N624" s="164"/>
      <c r="O624" s="164"/>
      <c r="P624" s="164"/>
      <c r="Q624" s="164"/>
      <c r="R624" s="170"/>
      <c r="S624" s="170"/>
      <c r="T624" s="170"/>
      <c r="U624" s="170"/>
      <c r="V624" s="164"/>
      <c r="W624" s="164"/>
      <c r="X624" s="164"/>
      <c r="Y624" s="164"/>
      <c r="Z624" s="164"/>
      <c r="AA624" s="170"/>
      <c r="AB624" s="170"/>
      <c r="AC624" s="164"/>
      <c r="AD624" s="164"/>
      <c r="AE624" s="164"/>
      <c r="AF624" s="164"/>
      <c r="AG624" s="164"/>
      <c r="AH624" s="170"/>
      <c r="AI624" s="7"/>
      <c r="AJ624" s="7"/>
      <c r="AK624" s="7"/>
    </row>
    <row r="625" spans="1:37" ht="15.75" customHeight="1">
      <c r="A625" s="168"/>
      <c r="B625" s="169"/>
      <c r="C625" s="167"/>
      <c r="D625" s="171"/>
      <c r="E625" s="172"/>
      <c r="F625" s="172"/>
      <c r="G625" s="172"/>
      <c r="H625" s="171"/>
      <c r="I625" s="164"/>
      <c r="J625" s="164"/>
      <c r="K625" s="164"/>
      <c r="L625" s="164"/>
      <c r="M625" s="164"/>
      <c r="N625" s="164"/>
      <c r="O625" s="164"/>
      <c r="P625" s="164"/>
      <c r="Q625" s="164"/>
      <c r="R625" s="170"/>
      <c r="S625" s="170"/>
      <c r="T625" s="170"/>
      <c r="U625" s="170"/>
      <c r="V625" s="164"/>
      <c r="W625" s="164"/>
      <c r="X625" s="164"/>
      <c r="Y625" s="164"/>
      <c r="Z625" s="164"/>
      <c r="AA625" s="170"/>
      <c r="AB625" s="170"/>
      <c r="AC625" s="164"/>
      <c r="AD625" s="164"/>
      <c r="AE625" s="164"/>
      <c r="AF625" s="164"/>
      <c r="AG625" s="164"/>
      <c r="AH625" s="170"/>
      <c r="AI625" s="7"/>
      <c r="AJ625" s="7"/>
      <c r="AK625" s="7"/>
    </row>
    <row r="626" spans="1:37" ht="15.75" customHeight="1">
      <c r="A626" s="168"/>
      <c r="B626" s="169"/>
      <c r="C626" s="167"/>
      <c r="D626" s="171"/>
      <c r="E626" s="172"/>
      <c r="F626" s="172"/>
      <c r="G626" s="172"/>
      <c r="H626" s="171"/>
      <c r="I626" s="164"/>
      <c r="J626" s="164"/>
      <c r="K626" s="164"/>
      <c r="L626" s="164"/>
      <c r="M626" s="164"/>
      <c r="N626" s="164"/>
      <c r="O626" s="164"/>
      <c r="P626" s="164"/>
      <c r="Q626" s="164"/>
      <c r="R626" s="170"/>
      <c r="S626" s="170"/>
      <c r="T626" s="170"/>
      <c r="U626" s="170"/>
      <c r="V626" s="164"/>
      <c r="W626" s="164"/>
      <c r="X626" s="164"/>
      <c r="Y626" s="164"/>
      <c r="Z626" s="164"/>
      <c r="AA626" s="170"/>
      <c r="AB626" s="170"/>
      <c r="AC626" s="164"/>
      <c r="AD626" s="164"/>
      <c r="AE626" s="164"/>
      <c r="AF626" s="164"/>
      <c r="AG626" s="164"/>
      <c r="AH626" s="170"/>
      <c r="AI626" s="7"/>
      <c r="AJ626" s="7"/>
      <c r="AK626" s="7"/>
    </row>
    <row r="627" spans="1:37" ht="15.75" customHeight="1">
      <c r="A627" s="168"/>
      <c r="B627" s="169"/>
      <c r="C627" s="167"/>
      <c r="D627" s="171"/>
      <c r="E627" s="172"/>
      <c r="F627" s="172"/>
      <c r="G627" s="172"/>
      <c r="H627" s="171"/>
      <c r="I627" s="164"/>
      <c r="J627" s="164"/>
      <c r="K627" s="164"/>
      <c r="L627" s="164"/>
      <c r="M627" s="164"/>
      <c r="N627" s="164"/>
      <c r="O627" s="164"/>
      <c r="P627" s="164"/>
      <c r="Q627" s="164"/>
      <c r="R627" s="170"/>
      <c r="S627" s="170"/>
      <c r="T627" s="170"/>
      <c r="U627" s="170"/>
      <c r="V627" s="164"/>
      <c r="W627" s="164"/>
      <c r="X627" s="164"/>
      <c r="Y627" s="164"/>
      <c r="Z627" s="164"/>
      <c r="AA627" s="170"/>
      <c r="AB627" s="170"/>
      <c r="AC627" s="164"/>
      <c r="AD627" s="164"/>
      <c r="AE627" s="164"/>
      <c r="AF627" s="164"/>
      <c r="AG627" s="164"/>
      <c r="AH627" s="170"/>
      <c r="AI627" s="7"/>
      <c r="AJ627" s="7"/>
      <c r="AK627" s="7"/>
    </row>
    <row r="628" spans="1:37" ht="15.75" customHeight="1">
      <c r="A628" s="168"/>
      <c r="B628" s="169"/>
      <c r="C628" s="167"/>
      <c r="D628" s="171"/>
      <c r="E628" s="172"/>
      <c r="F628" s="172"/>
      <c r="G628" s="172"/>
      <c r="H628" s="171"/>
      <c r="I628" s="164"/>
      <c r="J628" s="164"/>
      <c r="K628" s="164"/>
      <c r="L628" s="164"/>
      <c r="M628" s="164"/>
      <c r="N628" s="164"/>
      <c r="O628" s="164"/>
      <c r="P628" s="164"/>
      <c r="Q628" s="164"/>
      <c r="R628" s="170"/>
      <c r="S628" s="170"/>
      <c r="T628" s="170"/>
      <c r="U628" s="170"/>
      <c r="V628" s="164"/>
      <c r="W628" s="164"/>
      <c r="X628" s="164"/>
      <c r="Y628" s="164"/>
      <c r="Z628" s="164"/>
      <c r="AA628" s="170"/>
      <c r="AB628" s="170"/>
      <c r="AC628" s="164"/>
      <c r="AD628" s="164"/>
      <c r="AE628" s="164"/>
      <c r="AF628" s="164"/>
      <c r="AG628" s="164"/>
      <c r="AH628" s="170"/>
      <c r="AI628" s="7"/>
      <c r="AJ628" s="7"/>
      <c r="AK628" s="7"/>
    </row>
    <row r="629" spans="1:37" ht="15.75" customHeight="1">
      <c r="A629" s="168"/>
      <c r="B629" s="169"/>
      <c r="C629" s="167"/>
      <c r="D629" s="171"/>
      <c r="E629" s="172"/>
      <c r="F629" s="172"/>
      <c r="G629" s="172"/>
      <c r="H629" s="171"/>
      <c r="I629" s="164"/>
      <c r="J629" s="164"/>
      <c r="K629" s="164"/>
      <c r="L629" s="164"/>
      <c r="M629" s="164"/>
      <c r="N629" s="164"/>
      <c r="O629" s="164"/>
      <c r="P629" s="164"/>
      <c r="Q629" s="164"/>
      <c r="R629" s="170"/>
      <c r="S629" s="170"/>
      <c r="T629" s="170"/>
      <c r="U629" s="170"/>
      <c r="V629" s="164"/>
      <c r="W629" s="164"/>
      <c r="X629" s="164"/>
      <c r="Y629" s="164"/>
      <c r="Z629" s="164"/>
      <c r="AA629" s="170"/>
      <c r="AB629" s="170"/>
      <c r="AC629" s="164"/>
      <c r="AD629" s="164"/>
      <c r="AE629" s="164"/>
      <c r="AF629" s="164"/>
      <c r="AG629" s="164"/>
      <c r="AH629" s="170"/>
      <c r="AI629" s="7"/>
      <c r="AJ629" s="7"/>
      <c r="AK629" s="7"/>
    </row>
    <row r="630" spans="1:37" ht="15.75" customHeight="1">
      <c r="A630" s="168"/>
      <c r="B630" s="169"/>
      <c r="C630" s="167"/>
      <c r="D630" s="171"/>
      <c r="E630" s="172"/>
      <c r="F630" s="172"/>
      <c r="G630" s="172"/>
      <c r="H630" s="171"/>
      <c r="I630" s="164"/>
      <c r="J630" s="164"/>
      <c r="K630" s="164"/>
      <c r="L630" s="164"/>
      <c r="M630" s="164"/>
      <c r="N630" s="164"/>
      <c r="O630" s="164"/>
      <c r="P630" s="164"/>
      <c r="Q630" s="164"/>
      <c r="R630" s="170"/>
      <c r="S630" s="170"/>
      <c r="T630" s="170"/>
      <c r="U630" s="170"/>
      <c r="V630" s="164"/>
      <c r="W630" s="164"/>
      <c r="X630" s="164"/>
      <c r="Y630" s="164"/>
      <c r="Z630" s="164"/>
      <c r="AA630" s="170"/>
      <c r="AB630" s="170"/>
      <c r="AC630" s="164"/>
      <c r="AD630" s="164"/>
      <c r="AE630" s="164"/>
      <c r="AF630" s="164"/>
      <c r="AG630" s="164"/>
      <c r="AH630" s="170"/>
      <c r="AI630" s="7"/>
      <c r="AJ630" s="7"/>
      <c r="AK630" s="7"/>
    </row>
    <row r="631" spans="1:37" ht="15.75" customHeight="1">
      <c r="A631" s="168"/>
      <c r="B631" s="169"/>
      <c r="C631" s="167"/>
      <c r="D631" s="171"/>
      <c r="E631" s="172"/>
      <c r="F631" s="172"/>
      <c r="G631" s="172"/>
      <c r="H631" s="171"/>
      <c r="I631" s="164"/>
      <c r="J631" s="164"/>
      <c r="K631" s="164"/>
      <c r="L631" s="164"/>
      <c r="M631" s="164"/>
      <c r="N631" s="164"/>
      <c r="O631" s="164"/>
      <c r="P631" s="164"/>
      <c r="Q631" s="164"/>
      <c r="R631" s="170"/>
      <c r="S631" s="170"/>
      <c r="T631" s="170"/>
      <c r="U631" s="170"/>
      <c r="V631" s="164"/>
      <c r="W631" s="164"/>
      <c r="X631" s="164"/>
      <c r="Y631" s="164"/>
      <c r="Z631" s="164"/>
      <c r="AA631" s="170"/>
      <c r="AB631" s="170"/>
      <c r="AC631" s="164"/>
      <c r="AD631" s="164"/>
      <c r="AE631" s="164"/>
      <c r="AF631" s="164"/>
      <c r="AG631" s="164"/>
      <c r="AH631" s="170"/>
      <c r="AI631" s="7"/>
      <c r="AJ631" s="7"/>
      <c r="AK631" s="7"/>
    </row>
    <row r="632" spans="1:37" ht="15.75" customHeight="1">
      <c r="A632" s="168"/>
      <c r="B632" s="169"/>
      <c r="C632" s="167"/>
      <c r="D632" s="171"/>
      <c r="E632" s="172"/>
      <c r="F632" s="172"/>
      <c r="G632" s="172"/>
      <c r="H632" s="171"/>
      <c r="I632" s="164"/>
      <c r="J632" s="164"/>
      <c r="K632" s="164"/>
      <c r="L632" s="164"/>
      <c r="M632" s="164"/>
      <c r="N632" s="164"/>
      <c r="O632" s="164"/>
      <c r="P632" s="164"/>
      <c r="Q632" s="164"/>
      <c r="R632" s="170"/>
      <c r="S632" s="170"/>
      <c r="T632" s="170"/>
      <c r="U632" s="170"/>
      <c r="V632" s="164"/>
      <c r="W632" s="164"/>
      <c r="X632" s="164"/>
      <c r="Y632" s="164"/>
      <c r="Z632" s="164"/>
      <c r="AA632" s="170"/>
      <c r="AB632" s="170"/>
      <c r="AC632" s="164"/>
      <c r="AD632" s="164"/>
      <c r="AE632" s="164"/>
      <c r="AF632" s="164"/>
      <c r="AG632" s="164"/>
      <c r="AH632" s="170"/>
      <c r="AI632" s="7"/>
      <c r="AJ632" s="7"/>
      <c r="AK632" s="7"/>
    </row>
    <row r="633" spans="1:37" ht="15.75" customHeight="1">
      <c r="A633" s="168"/>
      <c r="B633" s="169"/>
      <c r="C633" s="167"/>
      <c r="D633" s="171"/>
      <c r="E633" s="172"/>
      <c r="F633" s="172"/>
      <c r="G633" s="172"/>
      <c r="H633" s="171"/>
      <c r="I633" s="164"/>
      <c r="J633" s="164"/>
      <c r="K633" s="164"/>
      <c r="L633" s="164"/>
      <c r="M633" s="164"/>
      <c r="N633" s="164"/>
      <c r="O633" s="164"/>
      <c r="P633" s="164"/>
      <c r="Q633" s="164"/>
      <c r="R633" s="170"/>
      <c r="S633" s="170"/>
      <c r="T633" s="170"/>
      <c r="U633" s="170"/>
      <c r="V633" s="164"/>
      <c r="W633" s="164"/>
      <c r="X633" s="164"/>
      <c r="Y633" s="164"/>
      <c r="Z633" s="164"/>
      <c r="AA633" s="170"/>
      <c r="AB633" s="170"/>
      <c r="AC633" s="164"/>
      <c r="AD633" s="164"/>
      <c r="AE633" s="164"/>
      <c r="AF633" s="164"/>
      <c r="AG633" s="164"/>
      <c r="AH633" s="170"/>
      <c r="AI633" s="7"/>
      <c r="AJ633" s="7"/>
      <c r="AK633" s="7"/>
    </row>
    <row r="634" spans="1:37" ht="15.75" customHeight="1">
      <c r="A634" s="168"/>
      <c r="B634" s="169"/>
      <c r="C634" s="167"/>
      <c r="D634" s="171"/>
      <c r="E634" s="172"/>
      <c r="F634" s="172"/>
      <c r="G634" s="172"/>
      <c r="H634" s="171"/>
      <c r="I634" s="164"/>
      <c r="J634" s="164"/>
      <c r="K634" s="164"/>
      <c r="L634" s="164"/>
      <c r="M634" s="164"/>
      <c r="N634" s="164"/>
      <c r="O634" s="164"/>
      <c r="P634" s="164"/>
      <c r="Q634" s="164"/>
      <c r="R634" s="170"/>
      <c r="S634" s="170"/>
      <c r="T634" s="170"/>
      <c r="U634" s="170"/>
      <c r="V634" s="164"/>
      <c r="W634" s="164"/>
      <c r="X634" s="164"/>
      <c r="Y634" s="164"/>
      <c r="Z634" s="164"/>
      <c r="AA634" s="170"/>
      <c r="AB634" s="170"/>
      <c r="AC634" s="164"/>
      <c r="AD634" s="164"/>
      <c r="AE634" s="164"/>
      <c r="AF634" s="164"/>
      <c r="AG634" s="164"/>
      <c r="AH634" s="170"/>
      <c r="AI634" s="7"/>
      <c r="AJ634" s="7"/>
      <c r="AK634" s="7"/>
    </row>
    <row r="635" spans="1:37" ht="15.75" customHeight="1">
      <c r="A635" s="168"/>
      <c r="B635" s="169"/>
      <c r="C635" s="167"/>
      <c r="D635" s="171"/>
      <c r="E635" s="172"/>
      <c r="F635" s="172"/>
      <c r="G635" s="172"/>
      <c r="H635" s="171"/>
      <c r="I635" s="164"/>
      <c r="J635" s="164"/>
      <c r="K635" s="164"/>
      <c r="L635" s="164"/>
      <c r="M635" s="164"/>
      <c r="N635" s="164"/>
      <c r="O635" s="164"/>
      <c r="P635" s="164"/>
      <c r="Q635" s="164"/>
      <c r="R635" s="170"/>
      <c r="S635" s="170"/>
      <c r="T635" s="170"/>
      <c r="U635" s="170"/>
      <c r="V635" s="164"/>
      <c r="W635" s="164"/>
      <c r="X635" s="164"/>
      <c r="Y635" s="164"/>
      <c r="Z635" s="164"/>
      <c r="AA635" s="170"/>
      <c r="AB635" s="170"/>
      <c r="AC635" s="164"/>
      <c r="AD635" s="164"/>
      <c r="AE635" s="164"/>
      <c r="AF635" s="164"/>
      <c r="AG635" s="164"/>
      <c r="AH635" s="170"/>
      <c r="AI635" s="7"/>
      <c r="AJ635" s="7"/>
      <c r="AK635" s="7"/>
    </row>
    <row r="636" spans="1:37" ht="15.75" customHeight="1">
      <c r="A636" s="168"/>
      <c r="B636" s="169"/>
      <c r="C636" s="167"/>
      <c r="D636" s="171"/>
      <c r="E636" s="172"/>
      <c r="F636" s="172"/>
      <c r="G636" s="172"/>
      <c r="H636" s="171"/>
      <c r="I636" s="164"/>
      <c r="J636" s="164"/>
      <c r="K636" s="164"/>
      <c r="L636" s="164"/>
      <c r="M636" s="164"/>
      <c r="N636" s="164"/>
      <c r="O636" s="164"/>
      <c r="P636" s="164"/>
      <c r="Q636" s="164"/>
      <c r="R636" s="170"/>
      <c r="S636" s="170"/>
      <c r="T636" s="170"/>
      <c r="U636" s="170"/>
      <c r="V636" s="164"/>
      <c r="W636" s="164"/>
      <c r="X636" s="164"/>
      <c r="Y636" s="164"/>
      <c r="Z636" s="164"/>
      <c r="AA636" s="170"/>
      <c r="AB636" s="170"/>
      <c r="AC636" s="164"/>
      <c r="AD636" s="164"/>
      <c r="AE636" s="164"/>
      <c r="AF636" s="164"/>
      <c r="AG636" s="164"/>
      <c r="AH636" s="170"/>
      <c r="AI636" s="7"/>
      <c r="AJ636" s="7"/>
      <c r="AK636" s="7"/>
    </row>
    <row r="637" spans="1:37" ht="15.75" customHeight="1">
      <c r="A637" s="168"/>
      <c r="B637" s="169"/>
      <c r="C637" s="167"/>
      <c r="D637" s="171"/>
      <c r="E637" s="172"/>
      <c r="F637" s="172"/>
      <c r="G637" s="172"/>
      <c r="H637" s="171"/>
      <c r="I637" s="164"/>
      <c r="J637" s="164"/>
      <c r="K637" s="164"/>
      <c r="L637" s="164"/>
      <c r="M637" s="164"/>
      <c r="N637" s="164"/>
      <c r="O637" s="164"/>
      <c r="P637" s="164"/>
      <c r="Q637" s="164"/>
      <c r="R637" s="170"/>
      <c r="S637" s="170"/>
      <c r="T637" s="170"/>
      <c r="U637" s="170"/>
      <c r="V637" s="164"/>
      <c r="W637" s="164"/>
      <c r="X637" s="164"/>
      <c r="Y637" s="164"/>
      <c r="Z637" s="164"/>
      <c r="AA637" s="170"/>
      <c r="AB637" s="170"/>
      <c r="AC637" s="164"/>
      <c r="AD637" s="164"/>
      <c r="AE637" s="164"/>
      <c r="AF637" s="164"/>
      <c r="AG637" s="164"/>
      <c r="AH637" s="170"/>
      <c r="AI637" s="7"/>
      <c r="AJ637" s="7"/>
      <c r="AK637" s="7"/>
    </row>
    <row r="638" spans="1:37" ht="15.75" customHeight="1">
      <c r="A638" s="168"/>
      <c r="B638" s="169"/>
      <c r="C638" s="167"/>
      <c r="D638" s="171"/>
      <c r="E638" s="172"/>
      <c r="F638" s="172"/>
      <c r="G638" s="172"/>
      <c r="H638" s="171"/>
      <c r="I638" s="164"/>
      <c r="J638" s="164"/>
      <c r="K638" s="164"/>
      <c r="L638" s="164"/>
      <c r="M638" s="164"/>
      <c r="N638" s="164"/>
      <c r="O638" s="164"/>
      <c r="P638" s="164"/>
      <c r="Q638" s="164"/>
      <c r="R638" s="170"/>
      <c r="S638" s="170"/>
      <c r="T638" s="170"/>
      <c r="U638" s="170"/>
      <c r="V638" s="164"/>
      <c r="W638" s="164"/>
      <c r="X638" s="164"/>
      <c r="Y638" s="164"/>
      <c r="Z638" s="164"/>
      <c r="AA638" s="170"/>
      <c r="AB638" s="170"/>
      <c r="AC638" s="164"/>
      <c r="AD638" s="164"/>
      <c r="AE638" s="164"/>
      <c r="AF638" s="164"/>
      <c r="AG638" s="164"/>
      <c r="AH638" s="170"/>
      <c r="AI638" s="7"/>
      <c r="AJ638" s="7"/>
      <c r="AK638" s="7"/>
    </row>
    <row r="639" spans="1:37" ht="15.75" customHeight="1">
      <c r="A639" s="168"/>
      <c r="B639" s="169"/>
      <c r="C639" s="167"/>
      <c r="D639" s="171"/>
      <c r="E639" s="172"/>
      <c r="F639" s="172"/>
      <c r="G639" s="172"/>
      <c r="H639" s="171"/>
      <c r="I639" s="164"/>
      <c r="J639" s="164"/>
      <c r="K639" s="164"/>
      <c r="L639" s="164"/>
      <c r="M639" s="164"/>
      <c r="N639" s="164"/>
      <c r="O639" s="164"/>
      <c r="P639" s="164"/>
      <c r="Q639" s="164"/>
      <c r="R639" s="170"/>
      <c r="S639" s="170"/>
      <c r="T639" s="170"/>
      <c r="U639" s="170"/>
      <c r="V639" s="164"/>
      <c r="W639" s="164"/>
      <c r="X639" s="164"/>
      <c r="Y639" s="164"/>
      <c r="Z639" s="164"/>
      <c r="AA639" s="170"/>
      <c r="AB639" s="170"/>
      <c r="AC639" s="164"/>
      <c r="AD639" s="164"/>
      <c r="AE639" s="164"/>
      <c r="AF639" s="164"/>
      <c r="AG639" s="164"/>
      <c r="AH639" s="170"/>
      <c r="AI639" s="7"/>
      <c r="AJ639" s="7"/>
      <c r="AK639" s="7"/>
    </row>
    <row r="640" spans="1:37" ht="15.75" customHeight="1">
      <c r="A640" s="168"/>
      <c r="B640" s="169"/>
      <c r="C640" s="167"/>
      <c r="D640" s="171"/>
      <c r="E640" s="172"/>
      <c r="F640" s="172"/>
      <c r="G640" s="172"/>
      <c r="H640" s="171"/>
      <c r="I640" s="164"/>
      <c r="J640" s="164"/>
      <c r="K640" s="164"/>
      <c r="L640" s="164"/>
      <c r="M640" s="164"/>
      <c r="N640" s="164"/>
      <c r="O640" s="164"/>
      <c r="P640" s="164"/>
      <c r="Q640" s="164"/>
      <c r="R640" s="170"/>
      <c r="S640" s="170"/>
      <c r="T640" s="170"/>
      <c r="U640" s="170"/>
      <c r="V640" s="164"/>
      <c r="W640" s="164"/>
      <c r="X640" s="164"/>
      <c r="Y640" s="164"/>
      <c r="Z640" s="164"/>
      <c r="AA640" s="170"/>
      <c r="AB640" s="170"/>
      <c r="AC640" s="164"/>
      <c r="AD640" s="164"/>
      <c r="AE640" s="164"/>
      <c r="AF640" s="164"/>
      <c r="AG640" s="164"/>
      <c r="AH640" s="170"/>
      <c r="AI640" s="7"/>
      <c r="AJ640" s="7"/>
      <c r="AK640" s="7"/>
    </row>
    <row r="641" spans="1:37" ht="15.75" customHeight="1">
      <c r="A641" s="168"/>
      <c r="B641" s="169"/>
      <c r="C641" s="167"/>
      <c r="D641" s="171"/>
      <c r="E641" s="172"/>
      <c r="F641" s="172"/>
      <c r="G641" s="172"/>
      <c r="H641" s="171"/>
      <c r="I641" s="164"/>
      <c r="J641" s="164"/>
      <c r="K641" s="164"/>
      <c r="L641" s="164"/>
      <c r="M641" s="164"/>
      <c r="N641" s="164"/>
      <c r="O641" s="164"/>
      <c r="P641" s="164"/>
      <c r="Q641" s="164"/>
      <c r="R641" s="170"/>
      <c r="S641" s="170"/>
      <c r="T641" s="170"/>
      <c r="U641" s="170"/>
      <c r="V641" s="164"/>
      <c r="W641" s="164"/>
      <c r="X641" s="164"/>
      <c r="Y641" s="164"/>
      <c r="Z641" s="164"/>
      <c r="AA641" s="170"/>
      <c r="AB641" s="170"/>
      <c r="AC641" s="164"/>
      <c r="AD641" s="164"/>
      <c r="AE641" s="164"/>
      <c r="AF641" s="164"/>
      <c r="AG641" s="164"/>
      <c r="AH641" s="170"/>
      <c r="AI641" s="7"/>
      <c r="AJ641" s="7"/>
      <c r="AK641" s="7"/>
    </row>
    <row r="642" spans="1:37" ht="15.75" customHeight="1">
      <c r="A642" s="168"/>
      <c r="B642" s="169"/>
      <c r="C642" s="167"/>
      <c r="D642" s="171"/>
      <c r="E642" s="172"/>
      <c r="F642" s="172"/>
      <c r="G642" s="172"/>
      <c r="H642" s="171"/>
      <c r="I642" s="164"/>
      <c r="J642" s="164"/>
      <c r="K642" s="164"/>
      <c r="L642" s="164"/>
      <c r="M642" s="164"/>
      <c r="N642" s="164"/>
      <c r="O642" s="164"/>
      <c r="P642" s="164"/>
      <c r="Q642" s="164"/>
      <c r="R642" s="170"/>
      <c r="S642" s="170"/>
      <c r="T642" s="170"/>
      <c r="U642" s="170"/>
      <c r="V642" s="164"/>
      <c r="W642" s="164"/>
      <c r="X642" s="164"/>
      <c r="Y642" s="164"/>
      <c r="Z642" s="164"/>
      <c r="AA642" s="170"/>
      <c r="AB642" s="170"/>
      <c r="AC642" s="164"/>
      <c r="AD642" s="164"/>
      <c r="AE642" s="164"/>
      <c r="AF642" s="164"/>
      <c r="AG642" s="164"/>
      <c r="AH642" s="170"/>
      <c r="AI642" s="7"/>
      <c r="AJ642" s="7"/>
      <c r="AK642" s="7"/>
    </row>
    <row r="643" spans="1:37" ht="15.75" customHeight="1">
      <c r="A643" s="168"/>
      <c r="B643" s="169"/>
      <c r="C643" s="167"/>
      <c r="D643" s="171"/>
      <c r="E643" s="172"/>
      <c r="F643" s="172"/>
      <c r="G643" s="172"/>
      <c r="H643" s="171"/>
      <c r="I643" s="164"/>
      <c r="J643" s="164"/>
      <c r="K643" s="164"/>
      <c r="L643" s="164"/>
      <c r="M643" s="164"/>
      <c r="N643" s="164"/>
      <c r="O643" s="164"/>
      <c r="P643" s="164"/>
      <c r="Q643" s="164"/>
      <c r="R643" s="170"/>
      <c r="S643" s="170"/>
      <c r="T643" s="170"/>
      <c r="U643" s="170"/>
      <c r="V643" s="164"/>
      <c r="W643" s="164"/>
      <c r="X643" s="164"/>
      <c r="Y643" s="164"/>
      <c r="Z643" s="164"/>
      <c r="AA643" s="170"/>
      <c r="AB643" s="170"/>
      <c r="AC643" s="164"/>
      <c r="AD643" s="164"/>
      <c r="AE643" s="164"/>
      <c r="AF643" s="164"/>
      <c r="AG643" s="164"/>
      <c r="AH643" s="170"/>
      <c r="AI643" s="7"/>
      <c r="AJ643" s="7"/>
      <c r="AK643" s="7"/>
    </row>
    <row r="644" spans="1:37" ht="15.75" customHeight="1">
      <c r="A644" s="168"/>
      <c r="B644" s="169"/>
      <c r="C644" s="167"/>
      <c r="D644" s="171"/>
      <c r="E644" s="172"/>
      <c r="F644" s="172"/>
      <c r="G644" s="172"/>
      <c r="H644" s="171"/>
      <c r="I644" s="164"/>
      <c r="J644" s="164"/>
      <c r="K644" s="164"/>
      <c r="L644" s="164"/>
      <c r="M644" s="164"/>
      <c r="N644" s="164"/>
      <c r="O644" s="164"/>
      <c r="P644" s="164"/>
      <c r="Q644" s="164"/>
      <c r="R644" s="170"/>
      <c r="S644" s="170"/>
      <c r="T644" s="170"/>
      <c r="U644" s="170"/>
      <c r="V644" s="164"/>
      <c r="W644" s="164"/>
      <c r="X644" s="164"/>
      <c r="Y644" s="164"/>
      <c r="Z644" s="164"/>
      <c r="AA644" s="170"/>
      <c r="AB644" s="170"/>
      <c r="AC644" s="164"/>
      <c r="AD644" s="164"/>
      <c r="AE644" s="164"/>
      <c r="AF644" s="164"/>
      <c r="AG644" s="164"/>
      <c r="AH644" s="170"/>
      <c r="AI644" s="7"/>
      <c r="AJ644" s="7"/>
      <c r="AK644" s="7"/>
    </row>
    <row r="645" spans="1:37" ht="15.75" customHeight="1">
      <c r="A645" s="168"/>
      <c r="B645" s="169"/>
      <c r="C645" s="167"/>
      <c r="D645" s="171"/>
      <c r="E645" s="172"/>
      <c r="F645" s="172"/>
      <c r="G645" s="172"/>
      <c r="H645" s="171"/>
      <c r="I645" s="164"/>
      <c r="J645" s="164"/>
      <c r="K645" s="164"/>
      <c r="L645" s="164"/>
      <c r="M645" s="164"/>
      <c r="N645" s="164"/>
      <c r="O645" s="164"/>
      <c r="P645" s="164"/>
      <c r="Q645" s="164"/>
      <c r="R645" s="170"/>
      <c r="S645" s="170"/>
      <c r="T645" s="170"/>
      <c r="U645" s="170"/>
      <c r="V645" s="164"/>
      <c r="W645" s="164"/>
      <c r="X645" s="164"/>
      <c r="Y645" s="164"/>
      <c r="Z645" s="164"/>
      <c r="AA645" s="170"/>
      <c r="AB645" s="170"/>
      <c r="AC645" s="164"/>
      <c r="AD645" s="164"/>
      <c r="AE645" s="164"/>
      <c r="AF645" s="164"/>
      <c r="AG645" s="164"/>
      <c r="AH645" s="170"/>
      <c r="AI645" s="7"/>
      <c r="AJ645" s="7"/>
      <c r="AK645" s="7"/>
    </row>
    <row r="646" spans="1:37" ht="15.75" customHeight="1">
      <c r="A646" s="168"/>
      <c r="B646" s="169"/>
      <c r="C646" s="167"/>
      <c r="D646" s="171"/>
      <c r="E646" s="172"/>
      <c r="F646" s="172"/>
      <c r="G646" s="172"/>
      <c r="H646" s="171"/>
      <c r="I646" s="164"/>
      <c r="J646" s="164"/>
      <c r="K646" s="164"/>
      <c r="L646" s="164"/>
      <c r="M646" s="164"/>
      <c r="N646" s="164"/>
      <c r="O646" s="164"/>
      <c r="P646" s="164"/>
      <c r="Q646" s="164"/>
      <c r="R646" s="170"/>
      <c r="S646" s="170"/>
      <c r="T646" s="170"/>
      <c r="U646" s="170"/>
      <c r="V646" s="164"/>
      <c r="W646" s="164"/>
      <c r="X646" s="164"/>
      <c r="Y646" s="164"/>
      <c r="Z646" s="164"/>
      <c r="AA646" s="170"/>
      <c r="AB646" s="170"/>
      <c r="AC646" s="164"/>
      <c r="AD646" s="164"/>
      <c r="AE646" s="164"/>
      <c r="AF646" s="164"/>
      <c r="AG646" s="164"/>
      <c r="AH646" s="170"/>
      <c r="AI646" s="7"/>
      <c r="AJ646" s="7"/>
      <c r="AK646" s="7"/>
    </row>
    <row r="647" spans="1:37" ht="15.75" customHeight="1">
      <c r="A647" s="168"/>
      <c r="B647" s="169"/>
      <c r="C647" s="167"/>
      <c r="D647" s="171"/>
      <c r="E647" s="172"/>
      <c r="F647" s="172"/>
      <c r="G647" s="172"/>
      <c r="H647" s="171"/>
      <c r="I647" s="164"/>
      <c r="J647" s="164"/>
      <c r="K647" s="164"/>
      <c r="L647" s="164"/>
      <c r="M647" s="164"/>
      <c r="N647" s="164"/>
      <c r="O647" s="164"/>
      <c r="P647" s="164"/>
      <c r="Q647" s="164"/>
      <c r="R647" s="170"/>
      <c r="S647" s="170"/>
      <c r="T647" s="170"/>
      <c r="U647" s="170"/>
      <c r="V647" s="164"/>
      <c r="W647" s="164"/>
      <c r="X647" s="164"/>
      <c r="Y647" s="164"/>
      <c r="Z647" s="164"/>
      <c r="AA647" s="170"/>
      <c r="AB647" s="170"/>
      <c r="AC647" s="164"/>
      <c r="AD647" s="164"/>
      <c r="AE647" s="164"/>
      <c r="AF647" s="164"/>
      <c r="AG647" s="164"/>
      <c r="AH647" s="170"/>
      <c r="AI647" s="7"/>
      <c r="AJ647" s="7"/>
      <c r="AK647" s="7"/>
    </row>
    <row r="648" spans="1:37" ht="15.75" customHeight="1">
      <c r="A648" s="168"/>
      <c r="B648" s="169"/>
      <c r="C648" s="167"/>
      <c r="D648" s="171"/>
      <c r="E648" s="172"/>
      <c r="F648" s="172"/>
      <c r="G648" s="172"/>
      <c r="H648" s="171"/>
      <c r="I648" s="164"/>
      <c r="J648" s="164"/>
      <c r="K648" s="164"/>
      <c r="L648" s="164"/>
      <c r="M648" s="164"/>
      <c r="N648" s="164"/>
      <c r="O648" s="164"/>
      <c r="P648" s="164"/>
      <c r="Q648" s="164"/>
      <c r="R648" s="170"/>
      <c r="S648" s="170"/>
      <c r="T648" s="170"/>
      <c r="U648" s="170"/>
      <c r="V648" s="164"/>
      <c r="W648" s="164"/>
      <c r="X648" s="164"/>
      <c r="Y648" s="164"/>
      <c r="Z648" s="164"/>
      <c r="AA648" s="170"/>
      <c r="AB648" s="170"/>
      <c r="AC648" s="164"/>
      <c r="AD648" s="164"/>
      <c r="AE648" s="164"/>
      <c r="AF648" s="164"/>
      <c r="AG648" s="164"/>
      <c r="AH648" s="170"/>
      <c r="AI648" s="7"/>
      <c r="AJ648" s="7"/>
      <c r="AK648" s="7"/>
    </row>
    <row r="649" spans="1:37" ht="15.75" customHeight="1">
      <c r="A649" s="168"/>
      <c r="B649" s="169"/>
      <c r="C649" s="167"/>
      <c r="D649" s="171"/>
      <c r="E649" s="172"/>
      <c r="F649" s="172"/>
      <c r="G649" s="172"/>
      <c r="H649" s="171"/>
      <c r="I649" s="164"/>
      <c r="J649" s="164"/>
      <c r="K649" s="164"/>
      <c r="L649" s="164"/>
      <c r="M649" s="164"/>
      <c r="N649" s="164"/>
      <c r="O649" s="164"/>
      <c r="P649" s="164"/>
      <c r="Q649" s="164"/>
      <c r="R649" s="170"/>
      <c r="S649" s="170"/>
      <c r="T649" s="170"/>
      <c r="U649" s="170"/>
      <c r="V649" s="164"/>
      <c r="W649" s="164"/>
      <c r="X649" s="164"/>
      <c r="Y649" s="164"/>
      <c r="Z649" s="164"/>
      <c r="AA649" s="170"/>
      <c r="AB649" s="170"/>
      <c r="AC649" s="164"/>
      <c r="AD649" s="164"/>
      <c r="AE649" s="164"/>
      <c r="AF649" s="164"/>
      <c r="AG649" s="164"/>
      <c r="AH649" s="170"/>
      <c r="AI649" s="7"/>
      <c r="AJ649" s="7"/>
      <c r="AK649" s="7"/>
    </row>
    <row r="650" spans="1:37" ht="15.75" customHeight="1">
      <c r="A650" s="168"/>
      <c r="B650" s="169"/>
      <c r="C650" s="167"/>
      <c r="D650" s="171"/>
      <c r="E650" s="172"/>
      <c r="F650" s="172"/>
      <c r="G650" s="172"/>
      <c r="H650" s="171"/>
      <c r="I650" s="164"/>
      <c r="J650" s="164"/>
      <c r="K650" s="164"/>
      <c r="L650" s="164"/>
      <c r="M650" s="164"/>
      <c r="N650" s="164"/>
      <c r="O650" s="164"/>
      <c r="P650" s="164"/>
      <c r="Q650" s="164"/>
      <c r="R650" s="170"/>
      <c r="S650" s="170"/>
      <c r="T650" s="170"/>
      <c r="U650" s="170"/>
      <c r="V650" s="164"/>
      <c r="W650" s="164"/>
      <c r="X650" s="164"/>
      <c r="Y650" s="164"/>
      <c r="Z650" s="164"/>
      <c r="AA650" s="170"/>
      <c r="AB650" s="170"/>
      <c r="AC650" s="164"/>
      <c r="AD650" s="164"/>
      <c r="AE650" s="164"/>
      <c r="AF650" s="164"/>
      <c r="AG650" s="164"/>
      <c r="AH650" s="170"/>
      <c r="AI650" s="7"/>
      <c r="AJ650" s="7"/>
      <c r="AK650" s="7"/>
    </row>
    <row r="651" spans="1:37" ht="15.75" customHeight="1">
      <c r="A651" s="168"/>
      <c r="B651" s="169"/>
      <c r="C651" s="167"/>
      <c r="D651" s="171"/>
      <c r="E651" s="172"/>
      <c r="F651" s="172"/>
      <c r="G651" s="172"/>
      <c r="H651" s="171"/>
      <c r="I651" s="164"/>
      <c r="J651" s="164"/>
      <c r="K651" s="164"/>
      <c r="L651" s="164"/>
      <c r="M651" s="164"/>
      <c r="N651" s="164"/>
      <c r="O651" s="164"/>
      <c r="P651" s="164"/>
      <c r="Q651" s="164"/>
      <c r="R651" s="170"/>
      <c r="S651" s="170"/>
      <c r="T651" s="170"/>
      <c r="U651" s="170"/>
      <c r="V651" s="164"/>
      <c r="W651" s="164"/>
      <c r="X651" s="164"/>
      <c r="Y651" s="164"/>
      <c r="Z651" s="164"/>
      <c r="AA651" s="170"/>
      <c r="AB651" s="170"/>
      <c r="AC651" s="164"/>
      <c r="AD651" s="164"/>
      <c r="AE651" s="164"/>
      <c r="AF651" s="164"/>
      <c r="AG651" s="164"/>
      <c r="AH651" s="170"/>
      <c r="AI651" s="7"/>
      <c r="AJ651" s="7"/>
      <c r="AK651" s="7"/>
    </row>
    <row r="652" spans="1:37" ht="15.75" customHeight="1">
      <c r="A652" s="168"/>
      <c r="B652" s="169"/>
      <c r="C652" s="167"/>
      <c r="D652" s="171"/>
      <c r="E652" s="172"/>
      <c r="F652" s="172"/>
      <c r="G652" s="172"/>
      <c r="H652" s="171"/>
      <c r="I652" s="164"/>
      <c r="J652" s="164"/>
      <c r="K652" s="164"/>
      <c r="L652" s="164"/>
      <c r="M652" s="164"/>
      <c r="N652" s="164"/>
      <c r="O652" s="164"/>
      <c r="P652" s="164"/>
      <c r="Q652" s="164"/>
      <c r="R652" s="170"/>
      <c r="S652" s="170"/>
      <c r="T652" s="170"/>
      <c r="U652" s="170"/>
      <c r="V652" s="164"/>
      <c r="W652" s="164"/>
      <c r="X652" s="164"/>
      <c r="Y652" s="164"/>
      <c r="Z652" s="164"/>
      <c r="AA652" s="170"/>
      <c r="AB652" s="170"/>
      <c r="AC652" s="164"/>
      <c r="AD652" s="164"/>
      <c r="AE652" s="164"/>
      <c r="AF652" s="164"/>
      <c r="AG652" s="164"/>
      <c r="AH652" s="170"/>
      <c r="AI652" s="7"/>
      <c r="AJ652" s="7"/>
      <c r="AK652" s="7"/>
    </row>
    <row r="653" spans="1:37" ht="15.75" customHeight="1">
      <c r="A653" s="168"/>
      <c r="B653" s="169"/>
      <c r="C653" s="167"/>
      <c r="D653" s="171"/>
      <c r="E653" s="172"/>
      <c r="F653" s="172"/>
      <c r="G653" s="172"/>
      <c r="H653" s="171"/>
      <c r="I653" s="164"/>
      <c r="J653" s="164"/>
      <c r="K653" s="164"/>
      <c r="L653" s="164"/>
      <c r="M653" s="164"/>
      <c r="N653" s="164"/>
      <c r="O653" s="164"/>
      <c r="P653" s="164"/>
      <c r="Q653" s="164"/>
      <c r="R653" s="170"/>
      <c r="S653" s="170"/>
      <c r="T653" s="170"/>
      <c r="U653" s="170"/>
      <c r="V653" s="164"/>
      <c r="W653" s="164"/>
      <c r="X653" s="164"/>
      <c r="Y653" s="164"/>
      <c r="Z653" s="164"/>
      <c r="AA653" s="170"/>
      <c r="AB653" s="170"/>
      <c r="AC653" s="164"/>
      <c r="AD653" s="164"/>
      <c r="AE653" s="164"/>
      <c r="AF653" s="164"/>
      <c r="AG653" s="164"/>
      <c r="AH653" s="170"/>
      <c r="AI653" s="7"/>
      <c r="AJ653" s="7"/>
      <c r="AK653" s="7"/>
    </row>
    <row r="654" spans="1:37" ht="15.75" customHeight="1">
      <c r="A654" s="168"/>
      <c r="B654" s="169"/>
      <c r="C654" s="167"/>
      <c r="D654" s="171"/>
      <c r="E654" s="172"/>
      <c r="F654" s="172"/>
      <c r="G654" s="172"/>
      <c r="H654" s="171"/>
      <c r="I654" s="164"/>
      <c r="J654" s="164"/>
      <c r="K654" s="164"/>
      <c r="L654" s="164"/>
      <c r="M654" s="164"/>
      <c r="N654" s="164"/>
      <c r="O654" s="164"/>
      <c r="P654" s="164"/>
      <c r="Q654" s="164"/>
      <c r="R654" s="170"/>
      <c r="S654" s="170"/>
      <c r="T654" s="170"/>
      <c r="U654" s="170"/>
      <c r="V654" s="164"/>
      <c r="W654" s="164"/>
      <c r="X654" s="164"/>
      <c r="Y654" s="164"/>
      <c r="Z654" s="164"/>
      <c r="AA654" s="170"/>
      <c r="AB654" s="170"/>
      <c r="AC654" s="164"/>
      <c r="AD654" s="164"/>
      <c r="AE654" s="164"/>
      <c r="AF654" s="164"/>
      <c r="AG654" s="164"/>
      <c r="AH654" s="170"/>
      <c r="AI654" s="7"/>
      <c r="AJ654" s="7"/>
      <c r="AK654" s="7"/>
    </row>
    <row r="655" spans="1:37" ht="15.75" customHeight="1">
      <c r="A655" s="168"/>
      <c r="B655" s="169"/>
      <c r="C655" s="167"/>
      <c r="D655" s="171"/>
      <c r="E655" s="172"/>
      <c r="F655" s="172"/>
      <c r="G655" s="172"/>
      <c r="H655" s="171"/>
      <c r="I655" s="164"/>
      <c r="J655" s="164"/>
      <c r="K655" s="164"/>
      <c r="L655" s="164"/>
      <c r="M655" s="164"/>
      <c r="N655" s="164"/>
      <c r="O655" s="164"/>
      <c r="P655" s="164"/>
      <c r="Q655" s="164"/>
      <c r="R655" s="170"/>
      <c r="S655" s="170"/>
      <c r="T655" s="170"/>
      <c r="U655" s="170"/>
      <c r="V655" s="164"/>
      <c r="W655" s="164"/>
      <c r="X655" s="164"/>
      <c r="Y655" s="164"/>
      <c r="Z655" s="164"/>
      <c r="AA655" s="170"/>
      <c r="AB655" s="170"/>
      <c r="AC655" s="164"/>
      <c r="AD655" s="164"/>
      <c r="AE655" s="164"/>
      <c r="AF655" s="164"/>
      <c r="AG655" s="164"/>
      <c r="AH655" s="170"/>
      <c r="AI655" s="7"/>
      <c r="AJ655" s="7"/>
      <c r="AK655" s="7"/>
    </row>
    <row r="656" spans="1:37" ht="15.75" customHeight="1">
      <c r="A656" s="168"/>
      <c r="B656" s="169"/>
      <c r="C656" s="167"/>
      <c r="D656" s="171"/>
      <c r="E656" s="172"/>
      <c r="F656" s="172"/>
      <c r="G656" s="172"/>
      <c r="H656" s="171"/>
      <c r="I656" s="164"/>
      <c r="J656" s="164"/>
      <c r="K656" s="164"/>
      <c r="L656" s="164"/>
      <c r="M656" s="164"/>
      <c r="N656" s="164"/>
      <c r="O656" s="164"/>
      <c r="P656" s="164"/>
      <c r="Q656" s="164"/>
      <c r="R656" s="170"/>
      <c r="S656" s="170"/>
      <c r="T656" s="170"/>
      <c r="U656" s="170"/>
      <c r="V656" s="164"/>
      <c r="W656" s="164"/>
      <c r="X656" s="164"/>
      <c r="Y656" s="164"/>
      <c r="Z656" s="164"/>
      <c r="AA656" s="170"/>
      <c r="AB656" s="170"/>
      <c r="AC656" s="164"/>
      <c r="AD656" s="164"/>
      <c r="AE656" s="164"/>
      <c r="AF656" s="164"/>
      <c r="AG656" s="164"/>
      <c r="AH656" s="170"/>
      <c r="AI656" s="7"/>
      <c r="AJ656" s="7"/>
      <c r="AK656" s="7"/>
    </row>
    <row r="657" spans="1:37" ht="15.75" customHeight="1">
      <c r="A657" s="168"/>
      <c r="B657" s="169"/>
      <c r="C657" s="167"/>
      <c r="D657" s="171"/>
      <c r="E657" s="172"/>
      <c r="F657" s="172"/>
      <c r="G657" s="172"/>
      <c r="H657" s="171"/>
      <c r="I657" s="164"/>
      <c r="J657" s="164"/>
      <c r="K657" s="164"/>
      <c r="L657" s="164"/>
      <c r="M657" s="164"/>
      <c r="N657" s="164"/>
      <c r="O657" s="164"/>
      <c r="P657" s="164"/>
      <c r="Q657" s="164"/>
      <c r="R657" s="170"/>
      <c r="S657" s="170"/>
      <c r="T657" s="170"/>
      <c r="U657" s="170"/>
      <c r="V657" s="164"/>
      <c r="W657" s="164"/>
      <c r="X657" s="164"/>
      <c r="Y657" s="164"/>
      <c r="Z657" s="164"/>
      <c r="AA657" s="170"/>
      <c r="AB657" s="170"/>
      <c r="AC657" s="164"/>
      <c r="AD657" s="164"/>
      <c r="AE657" s="164"/>
      <c r="AF657" s="164"/>
      <c r="AG657" s="164"/>
      <c r="AH657" s="170"/>
      <c r="AI657" s="7"/>
      <c r="AJ657" s="7"/>
      <c r="AK657" s="7"/>
    </row>
    <row r="658" spans="1:37" ht="15.75" customHeight="1">
      <c r="A658" s="7"/>
      <c r="B658" s="7"/>
      <c r="C658" s="7"/>
      <c r="D658" s="7"/>
      <c r="E658" s="36"/>
      <c r="F658" s="36"/>
      <c r="G658" s="36"/>
      <c r="H658" s="7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  <c r="AA658" s="174"/>
      <c r="AB658" s="174"/>
      <c r="AC658" s="174"/>
      <c r="AD658" s="174"/>
      <c r="AE658" s="174"/>
      <c r="AF658" s="174"/>
      <c r="AG658" s="174"/>
      <c r="AH658" s="174"/>
      <c r="AI658" s="7"/>
      <c r="AJ658" s="7"/>
      <c r="AK658" s="7"/>
    </row>
    <row r="659" spans="1:37" ht="15.75" customHeight="1">
      <c r="A659" s="7"/>
      <c r="B659" s="7"/>
      <c r="C659" s="7"/>
      <c r="D659" s="7"/>
      <c r="E659" s="36"/>
      <c r="F659" s="36"/>
      <c r="G659" s="36"/>
      <c r="H659" s="7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  <c r="AA659" s="174"/>
      <c r="AB659" s="174"/>
      <c r="AC659" s="174"/>
      <c r="AD659" s="174"/>
      <c r="AE659" s="174"/>
      <c r="AF659" s="174"/>
      <c r="AG659" s="174"/>
      <c r="AH659" s="174"/>
      <c r="AI659" s="7"/>
      <c r="AJ659" s="7"/>
      <c r="AK659" s="7"/>
    </row>
    <row r="660" spans="1:37" ht="15.75" customHeight="1">
      <c r="A660" s="7"/>
      <c r="B660" s="7"/>
      <c r="C660" s="7"/>
      <c r="D660" s="7"/>
      <c r="E660" s="36"/>
      <c r="F660" s="36"/>
      <c r="G660" s="36"/>
      <c r="H660" s="7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  <c r="AA660" s="174"/>
      <c r="AB660" s="174"/>
      <c r="AC660" s="174"/>
      <c r="AD660" s="174"/>
      <c r="AE660" s="174"/>
      <c r="AF660" s="174"/>
      <c r="AG660" s="174"/>
      <c r="AH660" s="174"/>
      <c r="AI660" s="7"/>
      <c r="AJ660" s="7"/>
      <c r="AK660" s="7"/>
    </row>
    <row r="661" spans="1:37" ht="15.75" customHeight="1">
      <c r="A661" s="7"/>
      <c r="B661" s="7"/>
      <c r="C661" s="7"/>
      <c r="D661" s="7"/>
      <c r="E661" s="36"/>
      <c r="F661" s="36"/>
      <c r="G661" s="36"/>
      <c r="H661" s="7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  <c r="AA661" s="174"/>
      <c r="AB661" s="174"/>
      <c r="AC661" s="174"/>
      <c r="AD661" s="174"/>
      <c r="AE661" s="174"/>
      <c r="AF661" s="174"/>
      <c r="AG661" s="174"/>
      <c r="AH661" s="174"/>
      <c r="AI661" s="7"/>
      <c r="AJ661" s="7"/>
      <c r="AK661" s="7"/>
    </row>
    <row r="662" spans="1:37" ht="15.75" customHeight="1">
      <c r="A662" s="7"/>
      <c r="B662" s="7"/>
      <c r="C662" s="7"/>
      <c r="D662" s="7"/>
      <c r="E662" s="36"/>
      <c r="F662" s="36"/>
      <c r="G662" s="36"/>
      <c r="H662" s="7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  <c r="AA662" s="174"/>
      <c r="AB662" s="174"/>
      <c r="AC662" s="174"/>
      <c r="AD662" s="174"/>
      <c r="AE662" s="174"/>
      <c r="AF662" s="174"/>
      <c r="AG662" s="174"/>
      <c r="AH662" s="174"/>
      <c r="AI662" s="7"/>
      <c r="AJ662" s="7"/>
      <c r="AK662" s="7"/>
    </row>
    <row r="663" spans="1:37" ht="15.75" customHeight="1">
      <c r="A663" s="7"/>
      <c r="B663" s="7"/>
      <c r="C663" s="7"/>
      <c r="D663" s="7"/>
      <c r="E663" s="36"/>
      <c r="F663" s="36"/>
      <c r="G663" s="36"/>
      <c r="H663" s="7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  <c r="AA663" s="174"/>
      <c r="AB663" s="174"/>
      <c r="AC663" s="174"/>
      <c r="AD663" s="174"/>
      <c r="AE663" s="174"/>
      <c r="AF663" s="174"/>
      <c r="AG663" s="174"/>
      <c r="AH663" s="174"/>
      <c r="AI663" s="7"/>
      <c r="AJ663" s="7"/>
      <c r="AK663" s="7"/>
    </row>
    <row r="664" spans="1:37" ht="15.75" customHeight="1">
      <c r="A664" s="7"/>
      <c r="B664" s="7"/>
      <c r="C664" s="7"/>
      <c r="D664" s="7"/>
      <c r="E664" s="36"/>
      <c r="F664" s="36"/>
      <c r="G664" s="36"/>
      <c r="H664" s="7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  <c r="AA664" s="174"/>
      <c r="AB664" s="174"/>
      <c r="AC664" s="174"/>
      <c r="AD664" s="174"/>
      <c r="AE664" s="174"/>
      <c r="AF664" s="174"/>
      <c r="AG664" s="174"/>
      <c r="AH664" s="174"/>
      <c r="AI664" s="7"/>
      <c r="AJ664" s="7"/>
      <c r="AK664" s="7"/>
    </row>
    <row r="665" spans="1:37" ht="15.75" customHeight="1">
      <c r="A665" s="7"/>
      <c r="B665" s="7"/>
      <c r="C665" s="7"/>
      <c r="D665" s="7"/>
      <c r="E665" s="36"/>
      <c r="F665" s="36"/>
      <c r="G665" s="36"/>
      <c r="H665" s="7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  <c r="AA665" s="174"/>
      <c r="AB665" s="174"/>
      <c r="AC665" s="174"/>
      <c r="AD665" s="174"/>
      <c r="AE665" s="174"/>
      <c r="AF665" s="174"/>
      <c r="AG665" s="174"/>
      <c r="AH665" s="174"/>
      <c r="AI665" s="7"/>
      <c r="AJ665" s="7"/>
      <c r="AK665" s="7"/>
    </row>
    <row r="666" spans="1:37" ht="15.75" customHeight="1">
      <c r="A666" s="7"/>
      <c r="B666" s="7"/>
      <c r="C666" s="7"/>
      <c r="D666" s="7"/>
      <c r="E666" s="36"/>
      <c r="F666" s="36"/>
      <c r="G666" s="36"/>
      <c r="H666" s="7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  <c r="AA666" s="174"/>
      <c r="AB666" s="174"/>
      <c r="AC666" s="174"/>
      <c r="AD666" s="174"/>
      <c r="AE666" s="174"/>
      <c r="AF666" s="174"/>
      <c r="AG666" s="174"/>
      <c r="AH666" s="174"/>
      <c r="AI666" s="7"/>
      <c r="AJ666" s="7"/>
      <c r="AK666" s="7"/>
    </row>
    <row r="667" spans="1:37" ht="15.75" customHeight="1">
      <c r="A667" s="7"/>
      <c r="B667" s="7"/>
      <c r="C667" s="7"/>
      <c r="D667" s="7"/>
      <c r="E667" s="36"/>
      <c r="F667" s="36"/>
      <c r="G667" s="36"/>
      <c r="H667" s="7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  <c r="AA667" s="174"/>
      <c r="AB667" s="174"/>
      <c r="AC667" s="174"/>
      <c r="AD667" s="174"/>
      <c r="AE667" s="174"/>
      <c r="AF667" s="174"/>
      <c r="AG667" s="174"/>
      <c r="AH667" s="174"/>
      <c r="AI667" s="7"/>
      <c r="AJ667" s="7"/>
      <c r="AK667" s="7"/>
    </row>
    <row r="668" spans="1:37" ht="15.75" customHeight="1">
      <c r="A668" s="7"/>
      <c r="B668" s="7"/>
      <c r="C668" s="7"/>
      <c r="D668" s="7"/>
      <c r="E668" s="36"/>
      <c r="F668" s="36"/>
      <c r="G668" s="36"/>
      <c r="H668" s="7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  <c r="AA668" s="174"/>
      <c r="AB668" s="174"/>
      <c r="AC668" s="174"/>
      <c r="AD668" s="174"/>
      <c r="AE668" s="174"/>
      <c r="AF668" s="174"/>
      <c r="AG668" s="174"/>
      <c r="AH668" s="174"/>
      <c r="AI668" s="7"/>
      <c r="AJ668" s="7"/>
      <c r="AK668" s="7"/>
    </row>
    <row r="669" spans="1:37" ht="15.75" customHeight="1">
      <c r="A669" s="7"/>
      <c r="B669" s="7"/>
      <c r="C669" s="7"/>
      <c r="D669" s="7"/>
      <c r="E669" s="36"/>
      <c r="F669" s="36"/>
      <c r="G669" s="36"/>
      <c r="H669" s="7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  <c r="AA669" s="174"/>
      <c r="AB669" s="174"/>
      <c r="AC669" s="174"/>
      <c r="AD669" s="174"/>
      <c r="AE669" s="174"/>
      <c r="AF669" s="174"/>
      <c r="AG669" s="174"/>
      <c r="AH669" s="174"/>
      <c r="AI669" s="7"/>
      <c r="AJ669" s="7"/>
      <c r="AK669" s="7"/>
    </row>
    <row r="670" spans="1:37" ht="15.75" customHeight="1">
      <c r="A670" s="7"/>
      <c r="B670" s="7"/>
      <c r="C670" s="7"/>
      <c r="D670" s="7"/>
      <c r="E670" s="36"/>
      <c r="F670" s="36"/>
      <c r="G670" s="36"/>
      <c r="H670" s="7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  <c r="AA670" s="174"/>
      <c r="AB670" s="174"/>
      <c r="AC670" s="174"/>
      <c r="AD670" s="174"/>
      <c r="AE670" s="174"/>
      <c r="AF670" s="174"/>
      <c r="AG670" s="174"/>
      <c r="AH670" s="174"/>
      <c r="AI670" s="7"/>
      <c r="AJ670" s="7"/>
      <c r="AK670" s="7"/>
    </row>
    <row r="671" spans="1:37" ht="15.75" customHeight="1">
      <c r="A671" s="7"/>
      <c r="B671" s="7"/>
      <c r="C671" s="7"/>
      <c r="D671" s="7"/>
      <c r="E671" s="36"/>
      <c r="F671" s="36"/>
      <c r="G671" s="36"/>
      <c r="H671" s="7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  <c r="AA671" s="174"/>
      <c r="AB671" s="174"/>
      <c r="AC671" s="174"/>
      <c r="AD671" s="174"/>
      <c r="AE671" s="174"/>
      <c r="AF671" s="174"/>
      <c r="AG671" s="174"/>
      <c r="AH671" s="174"/>
      <c r="AI671" s="7"/>
      <c r="AJ671" s="7"/>
      <c r="AK671" s="7"/>
    </row>
    <row r="672" spans="1:37" ht="15.75" customHeight="1">
      <c r="A672" s="7"/>
      <c r="B672" s="7"/>
      <c r="C672" s="7"/>
      <c r="D672" s="7"/>
      <c r="E672" s="36"/>
      <c r="F672" s="36"/>
      <c r="G672" s="36"/>
      <c r="H672" s="7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  <c r="AA672" s="174"/>
      <c r="AB672" s="174"/>
      <c r="AC672" s="174"/>
      <c r="AD672" s="174"/>
      <c r="AE672" s="174"/>
      <c r="AF672" s="174"/>
      <c r="AG672" s="174"/>
      <c r="AH672" s="174"/>
      <c r="AI672" s="7"/>
      <c r="AJ672" s="7"/>
      <c r="AK672" s="7"/>
    </row>
    <row r="673" spans="1:37" ht="15.75" customHeight="1">
      <c r="A673" s="7"/>
      <c r="B673" s="7"/>
      <c r="C673" s="7"/>
      <c r="D673" s="7"/>
      <c r="E673" s="36"/>
      <c r="F673" s="36"/>
      <c r="G673" s="36"/>
      <c r="H673" s="7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  <c r="AA673" s="174"/>
      <c r="AB673" s="174"/>
      <c r="AC673" s="174"/>
      <c r="AD673" s="174"/>
      <c r="AE673" s="174"/>
      <c r="AF673" s="174"/>
      <c r="AG673" s="174"/>
      <c r="AH673" s="174"/>
      <c r="AI673" s="7"/>
      <c r="AJ673" s="7"/>
      <c r="AK673" s="7"/>
    </row>
    <row r="674" spans="1:37" ht="15.75" customHeight="1">
      <c r="A674" s="7"/>
      <c r="B674" s="7"/>
      <c r="C674" s="7"/>
      <c r="D674" s="7"/>
      <c r="E674" s="36"/>
      <c r="F674" s="36"/>
      <c r="G674" s="36"/>
      <c r="H674" s="7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  <c r="AA674" s="174"/>
      <c r="AB674" s="174"/>
      <c r="AC674" s="174"/>
      <c r="AD674" s="174"/>
      <c r="AE674" s="174"/>
      <c r="AF674" s="174"/>
      <c r="AG674" s="174"/>
      <c r="AH674" s="174"/>
      <c r="AI674" s="7"/>
      <c r="AJ674" s="7"/>
      <c r="AK674" s="7"/>
    </row>
    <row r="675" spans="1:37" ht="15.75" customHeight="1">
      <c r="A675" s="7"/>
      <c r="B675" s="7"/>
      <c r="C675" s="7"/>
      <c r="D675" s="7"/>
      <c r="E675" s="36"/>
      <c r="F675" s="36"/>
      <c r="G675" s="36"/>
      <c r="H675" s="7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  <c r="AA675" s="174"/>
      <c r="AB675" s="174"/>
      <c r="AC675" s="174"/>
      <c r="AD675" s="174"/>
      <c r="AE675" s="174"/>
      <c r="AF675" s="174"/>
      <c r="AG675" s="174"/>
      <c r="AH675" s="174"/>
      <c r="AI675" s="7"/>
      <c r="AJ675" s="7"/>
      <c r="AK675" s="7"/>
    </row>
    <row r="676" spans="1:37" ht="15.75" customHeight="1">
      <c r="A676" s="7"/>
      <c r="B676" s="7"/>
      <c r="C676" s="7"/>
      <c r="D676" s="7"/>
      <c r="E676" s="36"/>
      <c r="F676" s="36"/>
      <c r="G676" s="36"/>
      <c r="H676" s="7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  <c r="AA676" s="174"/>
      <c r="AB676" s="174"/>
      <c r="AC676" s="174"/>
      <c r="AD676" s="174"/>
      <c r="AE676" s="174"/>
      <c r="AF676" s="174"/>
      <c r="AG676" s="174"/>
      <c r="AH676" s="174"/>
      <c r="AI676" s="7"/>
      <c r="AJ676" s="7"/>
      <c r="AK676" s="7"/>
    </row>
    <row r="677" spans="1:37" ht="15.75" customHeight="1">
      <c r="A677" s="7"/>
      <c r="B677" s="7"/>
      <c r="C677" s="7"/>
      <c r="D677" s="7"/>
      <c r="E677" s="36"/>
      <c r="F677" s="36"/>
      <c r="G677" s="36"/>
      <c r="H677" s="7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  <c r="AA677" s="174"/>
      <c r="AB677" s="174"/>
      <c r="AC677" s="174"/>
      <c r="AD677" s="174"/>
      <c r="AE677" s="174"/>
      <c r="AF677" s="174"/>
      <c r="AG677" s="174"/>
      <c r="AH677" s="174"/>
      <c r="AI677" s="7"/>
      <c r="AJ677" s="7"/>
      <c r="AK677" s="7"/>
    </row>
    <row r="678" spans="1:37" ht="15.75" customHeight="1">
      <c r="A678" s="7"/>
      <c r="B678" s="7"/>
      <c r="C678" s="7"/>
      <c r="D678" s="7"/>
      <c r="E678" s="36"/>
      <c r="F678" s="36"/>
      <c r="G678" s="36"/>
      <c r="H678" s="7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  <c r="AA678" s="174"/>
      <c r="AB678" s="174"/>
      <c r="AC678" s="174"/>
      <c r="AD678" s="174"/>
      <c r="AE678" s="174"/>
      <c r="AF678" s="174"/>
      <c r="AG678" s="174"/>
      <c r="AH678" s="174"/>
      <c r="AI678" s="7"/>
      <c r="AJ678" s="7"/>
      <c r="AK678" s="7"/>
    </row>
    <row r="679" spans="1:37" ht="15.75" customHeight="1">
      <c r="A679" s="7"/>
      <c r="B679" s="7"/>
      <c r="C679" s="7"/>
      <c r="D679" s="7"/>
      <c r="E679" s="36"/>
      <c r="F679" s="36"/>
      <c r="G679" s="36"/>
      <c r="H679" s="7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  <c r="AA679" s="174"/>
      <c r="AB679" s="174"/>
      <c r="AC679" s="174"/>
      <c r="AD679" s="174"/>
      <c r="AE679" s="174"/>
      <c r="AF679" s="174"/>
      <c r="AG679" s="174"/>
      <c r="AH679" s="174"/>
      <c r="AI679" s="7"/>
      <c r="AJ679" s="7"/>
      <c r="AK679" s="7"/>
    </row>
    <row r="680" spans="1:37" ht="15.75" customHeight="1">
      <c r="A680" s="7"/>
      <c r="B680" s="7"/>
      <c r="C680" s="7"/>
      <c r="D680" s="7"/>
      <c r="E680" s="36"/>
      <c r="F680" s="36"/>
      <c r="G680" s="36"/>
      <c r="H680" s="7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  <c r="AA680" s="174"/>
      <c r="AB680" s="174"/>
      <c r="AC680" s="174"/>
      <c r="AD680" s="174"/>
      <c r="AE680" s="174"/>
      <c r="AF680" s="174"/>
      <c r="AG680" s="174"/>
      <c r="AH680" s="174"/>
      <c r="AI680" s="7"/>
      <c r="AJ680" s="7"/>
      <c r="AK680" s="7"/>
    </row>
    <row r="681" spans="1:37" ht="15.75" customHeight="1">
      <c r="A681" s="7"/>
      <c r="B681" s="7"/>
      <c r="C681" s="7"/>
      <c r="D681" s="7"/>
      <c r="E681" s="36"/>
      <c r="F681" s="36"/>
      <c r="G681" s="36"/>
      <c r="H681" s="7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  <c r="AA681" s="174"/>
      <c r="AB681" s="174"/>
      <c r="AC681" s="174"/>
      <c r="AD681" s="174"/>
      <c r="AE681" s="174"/>
      <c r="AF681" s="174"/>
      <c r="AG681" s="174"/>
      <c r="AH681" s="174"/>
      <c r="AI681" s="7"/>
      <c r="AJ681" s="7"/>
      <c r="AK681" s="7"/>
    </row>
    <row r="682" spans="1:37" ht="15.75" customHeight="1">
      <c r="A682" s="7"/>
      <c r="B682" s="7"/>
      <c r="C682" s="7"/>
      <c r="D682" s="7"/>
      <c r="E682" s="36"/>
      <c r="F682" s="36"/>
      <c r="G682" s="36"/>
      <c r="H682" s="7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  <c r="AA682" s="174"/>
      <c r="AB682" s="174"/>
      <c r="AC682" s="174"/>
      <c r="AD682" s="174"/>
      <c r="AE682" s="174"/>
      <c r="AF682" s="174"/>
      <c r="AG682" s="174"/>
      <c r="AH682" s="174"/>
      <c r="AI682" s="7"/>
      <c r="AJ682" s="7"/>
      <c r="AK682" s="7"/>
    </row>
    <row r="683" spans="1:37" ht="15.75" customHeight="1">
      <c r="A683" s="7"/>
      <c r="B683" s="7"/>
      <c r="C683" s="7"/>
      <c r="D683" s="7"/>
      <c r="E683" s="36"/>
      <c r="F683" s="36"/>
      <c r="G683" s="36"/>
      <c r="H683" s="7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  <c r="AA683" s="174"/>
      <c r="AB683" s="174"/>
      <c r="AC683" s="174"/>
      <c r="AD683" s="174"/>
      <c r="AE683" s="174"/>
      <c r="AF683" s="174"/>
      <c r="AG683" s="174"/>
      <c r="AH683" s="174"/>
      <c r="AI683" s="7"/>
      <c r="AJ683" s="7"/>
      <c r="AK683" s="7"/>
    </row>
    <row r="684" spans="1:37" ht="15.75" customHeight="1">
      <c r="A684" s="7"/>
      <c r="B684" s="7"/>
      <c r="C684" s="7"/>
      <c r="D684" s="7"/>
      <c r="E684" s="36"/>
      <c r="F684" s="36"/>
      <c r="G684" s="36"/>
      <c r="H684" s="7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  <c r="AA684" s="174"/>
      <c r="AB684" s="174"/>
      <c r="AC684" s="174"/>
      <c r="AD684" s="174"/>
      <c r="AE684" s="174"/>
      <c r="AF684" s="174"/>
      <c r="AG684" s="174"/>
      <c r="AH684" s="174"/>
      <c r="AI684" s="7"/>
      <c r="AJ684" s="7"/>
      <c r="AK684" s="7"/>
    </row>
    <row r="685" spans="1:37" ht="15.75" customHeight="1">
      <c r="A685" s="7"/>
      <c r="B685" s="7"/>
      <c r="C685" s="7"/>
      <c r="D685" s="7"/>
      <c r="E685" s="36"/>
      <c r="F685" s="36"/>
      <c r="G685" s="36"/>
      <c r="H685" s="7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  <c r="AA685" s="174"/>
      <c r="AB685" s="174"/>
      <c r="AC685" s="174"/>
      <c r="AD685" s="174"/>
      <c r="AE685" s="174"/>
      <c r="AF685" s="174"/>
      <c r="AG685" s="174"/>
      <c r="AH685" s="174"/>
      <c r="AI685" s="7"/>
      <c r="AJ685" s="7"/>
      <c r="AK685" s="7"/>
    </row>
    <row r="686" spans="1:37" ht="15.75" customHeight="1">
      <c r="A686" s="7"/>
      <c r="B686" s="7"/>
      <c r="C686" s="7"/>
      <c r="D686" s="7"/>
      <c r="E686" s="36"/>
      <c r="F686" s="36"/>
      <c r="G686" s="36"/>
      <c r="H686" s="7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  <c r="AA686" s="174"/>
      <c r="AB686" s="174"/>
      <c r="AC686" s="174"/>
      <c r="AD686" s="174"/>
      <c r="AE686" s="174"/>
      <c r="AF686" s="174"/>
      <c r="AG686" s="174"/>
      <c r="AH686" s="174"/>
      <c r="AI686" s="7"/>
      <c r="AJ686" s="7"/>
      <c r="AK686" s="7"/>
    </row>
    <row r="687" spans="1:37" ht="15.75" customHeight="1">
      <c r="A687" s="7"/>
      <c r="B687" s="7"/>
      <c r="C687" s="7"/>
      <c r="D687" s="7"/>
      <c r="E687" s="36"/>
      <c r="F687" s="36"/>
      <c r="G687" s="36"/>
      <c r="H687" s="7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7"/>
      <c r="AJ687" s="7"/>
      <c r="AK687" s="7"/>
    </row>
    <row r="688" spans="1:37" ht="15.75" customHeight="1">
      <c r="A688" s="7"/>
      <c r="B688" s="7"/>
      <c r="C688" s="7"/>
      <c r="D688" s="7"/>
      <c r="E688" s="36"/>
      <c r="F688" s="36"/>
      <c r="G688" s="36"/>
      <c r="H688" s="7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7"/>
      <c r="AJ688" s="7"/>
      <c r="AK688" s="7"/>
    </row>
    <row r="689" spans="1:37" ht="15.75" customHeight="1">
      <c r="A689" s="7"/>
      <c r="B689" s="7"/>
      <c r="C689" s="7"/>
      <c r="D689" s="7"/>
      <c r="E689" s="36"/>
      <c r="F689" s="36"/>
      <c r="G689" s="36"/>
      <c r="H689" s="7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7"/>
      <c r="AJ689" s="7"/>
      <c r="AK689" s="7"/>
    </row>
    <row r="690" spans="1:37" ht="15.75" customHeight="1">
      <c r="A690" s="7"/>
      <c r="B690" s="7"/>
      <c r="C690" s="7"/>
      <c r="D690" s="7"/>
      <c r="E690" s="36"/>
      <c r="F690" s="36"/>
      <c r="G690" s="36"/>
      <c r="H690" s="7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  <c r="AA690" s="174"/>
      <c r="AB690" s="174"/>
      <c r="AC690" s="174"/>
      <c r="AD690" s="174"/>
      <c r="AE690" s="174"/>
      <c r="AF690" s="174"/>
      <c r="AG690" s="174"/>
      <c r="AH690" s="174"/>
      <c r="AI690" s="7"/>
      <c r="AJ690" s="7"/>
      <c r="AK690" s="7"/>
    </row>
    <row r="691" spans="1:37" ht="15.75" customHeight="1">
      <c r="A691" s="7"/>
      <c r="B691" s="7"/>
      <c r="C691" s="7"/>
      <c r="D691" s="7"/>
      <c r="E691" s="36"/>
      <c r="F691" s="36"/>
      <c r="G691" s="36"/>
      <c r="H691" s="7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  <c r="AA691" s="174"/>
      <c r="AB691" s="174"/>
      <c r="AC691" s="174"/>
      <c r="AD691" s="174"/>
      <c r="AE691" s="174"/>
      <c r="AF691" s="174"/>
      <c r="AG691" s="174"/>
      <c r="AH691" s="174"/>
      <c r="AI691" s="7"/>
      <c r="AJ691" s="7"/>
      <c r="AK691" s="7"/>
    </row>
    <row r="692" spans="1:37" ht="15.75" customHeight="1">
      <c r="A692" s="7"/>
      <c r="B692" s="7"/>
      <c r="C692" s="7"/>
      <c r="D692" s="7"/>
      <c r="E692" s="36"/>
      <c r="F692" s="36"/>
      <c r="G692" s="36"/>
      <c r="H692" s="7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  <c r="AA692" s="174"/>
      <c r="AB692" s="174"/>
      <c r="AC692" s="174"/>
      <c r="AD692" s="174"/>
      <c r="AE692" s="174"/>
      <c r="AF692" s="174"/>
      <c r="AG692" s="174"/>
      <c r="AH692" s="174"/>
      <c r="AI692" s="7"/>
      <c r="AJ692" s="7"/>
      <c r="AK692" s="7"/>
    </row>
    <row r="693" spans="1:37" ht="15.75" customHeight="1">
      <c r="A693" s="7"/>
      <c r="B693" s="7"/>
      <c r="C693" s="7"/>
      <c r="D693" s="7"/>
      <c r="E693" s="36"/>
      <c r="F693" s="36"/>
      <c r="G693" s="36"/>
      <c r="H693" s="7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  <c r="AA693" s="174"/>
      <c r="AB693" s="174"/>
      <c r="AC693" s="174"/>
      <c r="AD693" s="174"/>
      <c r="AE693" s="174"/>
      <c r="AF693" s="174"/>
      <c r="AG693" s="174"/>
      <c r="AH693" s="174"/>
      <c r="AI693" s="7"/>
      <c r="AJ693" s="7"/>
      <c r="AK693" s="7"/>
    </row>
    <row r="694" spans="1:37" ht="15.75" customHeight="1">
      <c r="A694" s="7"/>
      <c r="B694" s="7"/>
      <c r="C694" s="7"/>
      <c r="D694" s="7"/>
      <c r="E694" s="36"/>
      <c r="F694" s="36"/>
      <c r="G694" s="36"/>
      <c r="H694" s="7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  <c r="AA694" s="174"/>
      <c r="AB694" s="174"/>
      <c r="AC694" s="174"/>
      <c r="AD694" s="174"/>
      <c r="AE694" s="174"/>
      <c r="AF694" s="174"/>
      <c r="AG694" s="174"/>
      <c r="AH694" s="174"/>
      <c r="AI694" s="7"/>
      <c r="AJ694" s="7"/>
      <c r="AK694" s="7"/>
    </row>
    <row r="695" spans="1:37" ht="15.75" customHeight="1">
      <c r="A695" s="7"/>
      <c r="B695" s="7"/>
      <c r="C695" s="7"/>
      <c r="D695" s="7"/>
      <c r="E695" s="36"/>
      <c r="F695" s="36"/>
      <c r="G695" s="36"/>
      <c r="H695" s="7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  <c r="AA695" s="174"/>
      <c r="AB695" s="174"/>
      <c r="AC695" s="174"/>
      <c r="AD695" s="174"/>
      <c r="AE695" s="174"/>
      <c r="AF695" s="174"/>
      <c r="AG695" s="174"/>
      <c r="AH695" s="174"/>
      <c r="AI695" s="7"/>
      <c r="AJ695" s="7"/>
      <c r="AK695" s="7"/>
    </row>
    <row r="696" spans="1:37" ht="15.75" customHeight="1">
      <c r="A696" s="7"/>
      <c r="B696" s="7"/>
      <c r="C696" s="7"/>
      <c r="D696" s="7"/>
      <c r="E696" s="36"/>
      <c r="F696" s="36"/>
      <c r="G696" s="36"/>
      <c r="H696" s="7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  <c r="AA696" s="174"/>
      <c r="AB696" s="174"/>
      <c r="AC696" s="174"/>
      <c r="AD696" s="174"/>
      <c r="AE696" s="174"/>
      <c r="AF696" s="174"/>
      <c r="AG696" s="174"/>
      <c r="AH696" s="174"/>
      <c r="AI696" s="7"/>
      <c r="AJ696" s="7"/>
      <c r="AK696" s="7"/>
    </row>
    <row r="697" spans="1:37" ht="15.75" customHeight="1">
      <c r="A697" s="7"/>
      <c r="B697" s="7"/>
      <c r="C697" s="7"/>
      <c r="D697" s="7"/>
      <c r="E697" s="36"/>
      <c r="F697" s="36"/>
      <c r="G697" s="36"/>
      <c r="H697" s="7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  <c r="AA697" s="174"/>
      <c r="AB697" s="174"/>
      <c r="AC697" s="174"/>
      <c r="AD697" s="174"/>
      <c r="AE697" s="174"/>
      <c r="AF697" s="174"/>
      <c r="AG697" s="174"/>
      <c r="AH697" s="174"/>
      <c r="AI697" s="7"/>
      <c r="AJ697" s="7"/>
      <c r="AK697" s="7"/>
    </row>
    <row r="698" spans="1:37" ht="15.75" customHeight="1">
      <c r="A698" s="7"/>
      <c r="B698" s="7"/>
      <c r="C698" s="7"/>
      <c r="D698" s="7"/>
      <c r="E698" s="36"/>
      <c r="F698" s="36"/>
      <c r="G698" s="36"/>
      <c r="H698" s="7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  <c r="AA698" s="174"/>
      <c r="AB698" s="174"/>
      <c r="AC698" s="174"/>
      <c r="AD698" s="174"/>
      <c r="AE698" s="174"/>
      <c r="AF698" s="174"/>
      <c r="AG698" s="174"/>
      <c r="AH698" s="174"/>
      <c r="AI698" s="7"/>
      <c r="AJ698" s="7"/>
      <c r="AK698" s="7"/>
    </row>
    <row r="699" spans="1:37" ht="15.75" customHeight="1">
      <c r="A699" s="7"/>
      <c r="B699" s="7"/>
      <c r="C699" s="7"/>
      <c r="D699" s="7"/>
      <c r="E699" s="36"/>
      <c r="F699" s="36"/>
      <c r="G699" s="36"/>
      <c r="H699" s="7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  <c r="AA699" s="174"/>
      <c r="AB699" s="174"/>
      <c r="AC699" s="174"/>
      <c r="AD699" s="174"/>
      <c r="AE699" s="174"/>
      <c r="AF699" s="174"/>
      <c r="AG699" s="174"/>
      <c r="AH699" s="174"/>
      <c r="AI699" s="7"/>
      <c r="AJ699" s="7"/>
      <c r="AK699" s="7"/>
    </row>
    <row r="700" spans="1:37" ht="15.75" customHeight="1">
      <c r="A700" s="7"/>
      <c r="B700" s="7"/>
      <c r="C700" s="7"/>
      <c r="D700" s="7"/>
      <c r="E700" s="36"/>
      <c r="F700" s="36"/>
      <c r="G700" s="36"/>
      <c r="H700" s="7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  <c r="AA700" s="174"/>
      <c r="AB700" s="174"/>
      <c r="AC700" s="174"/>
      <c r="AD700" s="174"/>
      <c r="AE700" s="174"/>
      <c r="AF700" s="174"/>
      <c r="AG700" s="174"/>
      <c r="AH700" s="174"/>
      <c r="AI700" s="7"/>
      <c r="AJ700" s="7"/>
      <c r="AK700" s="7"/>
    </row>
    <row r="701" spans="1:37" ht="15.75" customHeight="1">
      <c r="A701" s="7"/>
      <c r="B701" s="7"/>
      <c r="C701" s="7"/>
      <c r="D701" s="7"/>
      <c r="E701" s="36"/>
      <c r="F701" s="36"/>
      <c r="G701" s="36"/>
      <c r="H701" s="7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  <c r="AA701" s="174"/>
      <c r="AB701" s="174"/>
      <c r="AC701" s="174"/>
      <c r="AD701" s="174"/>
      <c r="AE701" s="174"/>
      <c r="AF701" s="174"/>
      <c r="AG701" s="174"/>
      <c r="AH701" s="174"/>
      <c r="AI701" s="7"/>
      <c r="AJ701" s="7"/>
      <c r="AK701" s="7"/>
    </row>
    <row r="702" spans="1:37" ht="15.75" customHeight="1">
      <c r="A702" s="7"/>
      <c r="B702" s="7"/>
      <c r="C702" s="7"/>
      <c r="D702" s="7"/>
      <c r="E702" s="36"/>
      <c r="F702" s="36"/>
      <c r="G702" s="36"/>
      <c r="H702" s="7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  <c r="AA702" s="174"/>
      <c r="AB702" s="174"/>
      <c r="AC702" s="174"/>
      <c r="AD702" s="174"/>
      <c r="AE702" s="174"/>
      <c r="AF702" s="174"/>
      <c r="AG702" s="174"/>
      <c r="AH702" s="174"/>
      <c r="AI702" s="7"/>
      <c r="AJ702" s="7"/>
      <c r="AK702" s="7"/>
    </row>
    <row r="703" spans="1:37" ht="15.75" customHeight="1">
      <c r="A703" s="7"/>
      <c r="B703" s="7"/>
      <c r="C703" s="7"/>
      <c r="D703" s="7"/>
      <c r="E703" s="36"/>
      <c r="F703" s="36"/>
      <c r="G703" s="36"/>
      <c r="H703" s="7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  <c r="AA703" s="174"/>
      <c r="AB703" s="174"/>
      <c r="AC703" s="174"/>
      <c r="AD703" s="174"/>
      <c r="AE703" s="174"/>
      <c r="AF703" s="174"/>
      <c r="AG703" s="174"/>
      <c r="AH703" s="174"/>
      <c r="AI703" s="7"/>
      <c r="AJ703" s="7"/>
      <c r="AK703" s="7"/>
    </row>
    <row r="704" spans="1:37" ht="15.75" customHeight="1">
      <c r="A704" s="7"/>
      <c r="B704" s="7"/>
      <c r="C704" s="7"/>
      <c r="D704" s="7"/>
      <c r="E704" s="36"/>
      <c r="F704" s="36"/>
      <c r="G704" s="36"/>
      <c r="H704" s="7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  <c r="AA704" s="174"/>
      <c r="AB704" s="174"/>
      <c r="AC704" s="174"/>
      <c r="AD704" s="174"/>
      <c r="AE704" s="174"/>
      <c r="AF704" s="174"/>
      <c r="AG704" s="174"/>
      <c r="AH704" s="174"/>
      <c r="AI704" s="7"/>
      <c r="AJ704" s="7"/>
      <c r="AK704" s="7"/>
    </row>
    <row r="705" spans="1:37" ht="15.75" customHeight="1">
      <c r="A705" s="7"/>
      <c r="B705" s="7"/>
      <c r="C705" s="7"/>
      <c r="D705" s="7"/>
      <c r="E705" s="36"/>
      <c r="F705" s="36"/>
      <c r="G705" s="36"/>
      <c r="H705" s="7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  <c r="AA705" s="174"/>
      <c r="AB705" s="174"/>
      <c r="AC705" s="174"/>
      <c r="AD705" s="174"/>
      <c r="AE705" s="174"/>
      <c r="AF705" s="174"/>
      <c r="AG705" s="174"/>
      <c r="AH705" s="174"/>
      <c r="AI705" s="7"/>
      <c r="AJ705" s="7"/>
      <c r="AK705" s="7"/>
    </row>
    <row r="706" spans="1:37" ht="15.75" customHeight="1">
      <c r="A706" s="7"/>
      <c r="B706" s="7"/>
      <c r="C706" s="7"/>
      <c r="D706" s="7"/>
      <c r="E706" s="36"/>
      <c r="F706" s="36"/>
      <c r="G706" s="36"/>
      <c r="H706" s="7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  <c r="AA706" s="174"/>
      <c r="AB706" s="174"/>
      <c r="AC706" s="174"/>
      <c r="AD706" s="174"/>
      <c r="AE706" s="174"/>
      <c r="AF706" s="174"/>
      <c r="AG706" s="174"/>
      <c r="AH706" s="174"/>
      <c r="AI706" s="7"/>
      <c r="AJ706" s="7"/>
      <c r="AK706" s="7"/>
    </row>
    <row r="707" spans="1:37" ht="15.75" customHeight="1">
      <c r="A707" s="7"/>
      <c r="B707" s="7"/>
      <c r="C707" s="7"/>
      <c r="D707" s="7"/>
      <c r="E707" s="36"/>
      <c r="F707" s="36"/>
      <c r="G707" s="36"/>
      <c r="H707" s="7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  <c r="AA707" s="174"/>
      <c r="AB707" s="174"/>
      <c r="AC707" s="174"/>
      <c r="AD707" s="174"/>
      <c r="AE707" s="174"/>
      <c r="AF707" s="174"/>
      <c r="AG707" s="174"/>
      <c r="AH707" s="174"/>
      <c r="AI707" s="7"/>
      <c r="AJ707" s="7"/>
      <c r="AK707" s="7"/>
    </row>
    <row r="708" spans="1:37" ht="15.75" customHeight="1">
      <c r="A708" s="7"/>
      <c r="B708" s="7"/>
      <c r="C708" s="7"/>
      <c r="D708" s="7"/>
      <c r="E708" s="36"/>
      <c r="F708" s="36"/>
      <c r="G708" s="36"/>
      <c r="H708" s="7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  <c r="AA708" s="174"/>
      <c r="AB708" s="174"/>
      <c r="AC708" s="174"/>
      <c r="AD708" s="174"/>
      <c r="AE708" s="174"/>
      <c r="AF708" s="174"/>
      <c r="AG708" s="174"/>
      <c r="AH708" s="174"/>
      <c r="AI708" s="7"/>
      <c r="AJ708" s="7"/>
      <c r="AK708" s="7"/>
    </row>
    <row r="709" spans="1:37" ht="15.75" customHeight="1">
      <c r="A709" s="7"/>
      <c r="B709" s="7"/>
      <c r="C709" s="7"/>
      <c r="D709" s="7"/>
      <c r="E709" s="36"/>
      <c r="F709" s="36"/>
      <c r="G709" s="36"/>
      <c r="H709" s="7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  <c r="AA709" s="174"/>
      <c r="AB709" s="174"/>
      <c r="AC709" s="174"/>
      <c r="AD709" s="174"/>
      <c r="AE709" s="174"/>
      <c r="AF709" s="174"/>
      <c r="AG709" s="174"/>
      <c r="AH709" s="174"/>
      <c r="AI709" s="7"/>
      <c r="AJ709" s="7"/>
      <c r="AK709" s="7"/>
    </row>
    <row r="710" spans="1:37" ht="15.75" customHeight="1">
      <c r="A710" s="7"/>
      <c r="B710" s="7"/>
      <c r="C710" s="7"/>
      <c r="D710" s="7"/>
      <c r="E710" s="36"/>
      <c r="F710" s="36"/>
      <c r="G710" s="36"/>
      <c r="H710" s="7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  <c r="AA710" s="174"/>
      <c r="AB710" s="174"/>
      <c r="AC710" s="174"/>
      <c r="AD710" s="174"/>
      <c r="AE710" s="174"/>
      <c r="AF710" s="174"/>
      <c r="AG710" s="174"/>
      <c r="AH710" s="174"/>
      <c r="AI710" s="7"/>
      <c r="AJ710" s="7"/>
      <c r="AK710" s="7"/>
    </row>
    <row r="711" spans="1:37" ht="15.75" customHeight="1">
      <c r="A711" s="7"/>
      <c r="B711" s="7"/>
      <c r="C711" s="7"/>
      <c r="D711" s="7"/>
      <c r="E711" s="36"/>
      <c r="F711" s="36"/>
      <c r="G711" s="36"/>
      <c r="H711" s="7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  <c r="AA711" s="174"/>
      <c r="AB711" s="174"/>
      <c r="AC711" s="174"/>
      <c r="AD711" s="174"/>
      <c r="AE711" s="174"/>
      <c r="AF711" s="174"/>
      <c r="AG711" s="174"/>
      <c r="AH711" s="174"/>
      <c r="AI711" s="7"/>
      <c r="AJ711" s="7"/>
      <c r="AK711" s="7"/>
    </row>
    <row r="712" spans="1:37" ht="15.75" customHeight="1">
      <c r="A712" s="7"/>
      <c r="B712" s="7"/>
      <c r="C712" s="7"/>
      <c r="D712" s="7"/>
      <c r="E712" s="36"/>
      <c r="F712" s="36"/>
      <c r="G712" s="36"/>
      <c r="H712" s="7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  <c r="AA712" s="174"/>
      <c r="AB712" s="174"/>
      <c r="AC712" s="174"/>
      <c r="AD712" s="174"/>
      <c r="AE712" s="174"/>
      <c r="AF712" s="174"/>
      <c r="AG712" s="174"/>
      <c r="AH712" s="174"/>
      <c r="AI712" s="7"/>
      <c r="AJ712" s="7"/>
      <c r="AK712" s="7"/>
    </row>
    <row r="713" spans="1:37" ht="15.75" customHeight="1">
      <c r="A713" s="7"/>
      <c r="B713" s="7"/>
      <c r="C713" s="7"/>
      <c r="D713" s="7"/>
      <c r="E713" s="36"/>
      <c r="F713" s="36"/>
      <c r="G713" s="36"/>
      <c r="H713" s="7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  <c r="AA713" s="174"/>
      <c r="AB713" s="174"/>
      <c r="AC713" s="174"/>
      <c r="AD713" s="174"/>
      <c r="AE713" s="174"/>
      <c r="AF713" s="174"/>
      <c r="AG713" s="174"/>
      <c r="AH713" s="174"/>
      <c r="AI713" s="7"/>
      <c r="AJ713" s="7"/>
      <c r="AK713" s="7"/>
    </row>
    <row r="714" spans="1:37" ht="15.75" customHeight="1">
      <c r="A714" s="7"/>
      <c r="B714" s="7"/>
      <c r="C714" s="7"/>
      <c r="D714" s="7"/>
      <c r="E714" s="36"/>
      <c r="F714" s="36"/>
      <c r="G714" s="36"/>
      <c r="H714" s="7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7"/>
      <c r="AJ714" s="7"/>
      <c r="AK714" s="7"/>
    </row>
    <row r="715" spans="1:37" ht="15.75" customHeight="1">
      <c r="A715" s="7"/>
      <c r="B715" s="7"/>
      <c r="C715" s="7"/>
      <c r="D715" s="7"/>
      <c r="E715" s="36"/>
      <c r="F715" s="36"/>
      <c r="G715" s="36"/>
      <c r="H715" s="7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7"/>
      <c r="AJ715" s="7"/>
      <c r="AK715" s="7"/>
    </row>
    <row r="716" spans="1:37" ht="15.75" customHeight="1">
      <c r="A716" s="7"/>
      <c r="B716" s="7"/>
      <c r="C716" s="7"/>
      <c r="D716" s="7"/>
      <c r="E716" s="36"/>
      <c r="F716" s="36"/>
      <c r="G716" s="36"/>
      <c r="H716" s="7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7"/>
      <c r="AJ716" s="7"/>
      <c r="AK716" s="7"/>
    </row>
    <row r="717" spans="1:37" ht="15.75" customHeight="1">
      <c r="A717" s="7"/>
      <c r="B717" s="7"/>
      <c r="C717" s="7"/>
      <c r="D717" s="7"/>
      <c r="E717" s="36"/>
      <c r="F717" s="36"/>
      <c r="G717" s="36"/>
      <c r="H717" s="7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  <c r="AA717" s="174"/>
      <c r="AB717" s="174"/>
      <c r="AC717" s="174"/>
      <c r="AD717" s="174"/>
      <c r="AE717" s="174"/>
      <c r="AF717" s="174"/>
      <c r="AG717" s="174"/>
      <c r="AH717" s="174"/>
      <c r="AI717" s="7"/>
      <c r="AJ717" s="7"/>
      <c r="AK717" s="7"/>
    </row>
    <row r="718" spans="1:37" ht="15.75" customHeight="1">
      <c r="A718" s="7"/>
      <c r="B718" s="7"/>
      <c r="C718" s="7"/>
      <c r="D718" s="7"/>
      <c r="E718" s="36"/>
      <c r="F718" s="36"/>
      <c r="G718" s="36"/>
      <c r="H718" s="7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  <c r="AA718" s="174"/>
      <c r="AB718" s="174"/>
      <c r="AC718" s="174"/>
      <c r="AD718" s="174"/>
      <c r="AE718" s="174"/>
      <c r="AF718" s="174"/>
      <c r="AG718" s="174"/>
      <c r="AH718" s="174"/>
      <c r="AI718" s="7"/>
      <c r="AJ718" s="7"/>
      <c r="AK718" s="7"/>
    </row>
    <row r="719" spans="1:37" ht="15.75" customHeight="1">
      <c r="A719" s="7"/>
      <c r="B719" s="7"/>
      <c r="C719" s="7"/>
      <c r="D719" s="7"/>
      <c r="E719" s="36"/>
      <c r="F719" s="36"/>
      <c r="G719" s="36"/>
      <c r="H719" s="7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  <c r="AA719" s="174"/>
      <c r="AB719" s="174"/>
      <c r="AC719" s="174"/>
      <c r="AD719" s="174"/>
      <c r="AE719" s="174"/>
      <c r="AF719" s="174"/>
      <c r="AG719" s="174"/>
      <c r="AH719" s="174"/>
      <c r="AI719" s="7"/>
      <c r="AJ719" s="7"/>
      <c r="AK719" s="7"/>
    </row>
    <row r="720" spans="1:37" ht="15.75" customHeight="1">
      <c r="A720" s="7"/>
      <c r="B720" s="7"/>
      <c r="C720" s="7"/>
      <c r="D720" s="7"/>
      <c r="E720" s="36"/>
      <c r="F720" s="36"/>
      <c r="G720" s="36"/>
      <c r="H720" s="7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  <c r="AA720" s="174"/>
      <c r="AB720" s="174"/>
      <c r="AC720" s="174"/>
      <c r="AD720" s="174"/>
      <c r="AE720" s="174"/>
      <c r="AF720" s="174"/>
      <c r="AG720" s="174"/>
      <c r="AH720" s="174"/>
      <c r="AI720" s="7"/>
      <c r="AJ720" s="7"/>
      <c r="AK720" s="7"/>
    </row>
    <row r="721" spans="1:37" ht="15.75" customHeight="1">
      <c r="A721" s="7"/>
      <c r="B721" s="7"/>
      <c r="C721" s="7"/>
      <c r="D721" s="7"/>
      <c r="E721" s="36"/>
      <c r="F721" s="36"/>
      <c r="G721" s="36"/>
      <c r="H721" s="7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  <c r="AA721" s="174"/>
      <c r="AB721" s="174"/>
      <c r="AC721" s="174"/>
      <c r="AD721" s="174"/>
      <c r="AE721" s="174"/>
      <c r="AF721" s="174"/>
      <c r="AG721" s="174"/>
      <c r="AH721" s="174"/>
      <c r="AI721" s="7"/>
      <c r="AJ721" s="7"/>
      <c r="AK721" s="7"/>
    </row>
    <row r="722" spans="1:37" ht="15.75" customHeight="1">
      <c r="A722" s="7"/>
      <c r="B722" s="7"/>
      <c r="C722" s="7"/>
      <c r="D722" s="7"/>
      <c r="E722" s="36"/>
      <c r="F722" s="36"/>
      <c r="G722" s="36"/>
      <c r="H722" s="7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  <c r="AA722" s="174"/>
      <c r="AB722" s="174"/>
      <c r="AC722" s="174"/>
      <c r="AD722" s="174"/>
      <c r="AE722" s="174"/>
      <c r="AF722" s="174"/>
      <c r="AG722" s="174"/>
      <c r="AH722" s="174"/>
      <c r="AI722" s="7"/>
      <c r="AJ722" s="7"/>
      <c r="AK722" s="7"/>
    </row>
    <row r="723" spans="1:37" ht="15.75" customHeight="1">
      <c r="A723" s="7"/>
      <c r="B723" s="7"/>
      <c r="C723" s="7"/>
      <c r="D723" s="7"/>
      <c r="E723" s="36"/>
      <c r="F723" s="36"/>
      <c r="G723" s="36"/>
      <c r="H723" s="7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  <c r="AA723" s="174"/>
      <c r="AB723" s="174"/>
      <c r="AC723" s="174"/>
      <c r="AD723" s="174"/>
      <c r="AE723" s="174"/>
      <c r="AF723" s="174"/>
      <c r="AG723" s="174"/>
      <c r="AH723" s="174"/>
      <c r="AI723" s="7"/>
      <c r="AJ723" s="7"/>
      <c r="AK723" s="7"/>
    </row>
    <row r="724" spans="1:37" ht="15.75" customHeight="1">
      <c r="A724" s="7"/>
      <c r="B724" s="7"/>
      <c r="C724" s="7"/>
      <c r="D724" s="7"/>
      <c r="E724" s="36"/>
      <c r="F724" s="36"/>
      <c r="G724" s="36"/>
      <c r="H724" s="7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  <c r="AA724" s="174"/>
      <c r="AB724" s="174"/>
      <c r="AC724" s="174"/>
      <c r="AD724" s="174"/>
      <c r="AE724" s="174"/>
      <c r="AF724" s="174"/>
      <c r="AG724" s="174"/>
      <c r="AH724" s="174"/>
      <c r="AI724" s="7"/>
      <c r="AJ724" s="7"/>
      <c r="AK724" s="7"/>
    </row>
    <row r="725" spans="1:37" ht="15.75" customHeight="1">
      <c r="A725" s="7"/>
      <c r="B725" s="7"/>
      <c r="C725" s="7"/>
      <c r="D725" s="7"/>
      <c r="E725" s="36"/>
      <c r="F725" s="36"/>
      <c r="G725" s="36"/>
      <c r="H725" s="7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  <c r="AA725" s="174"/>
      <c r="AB725" s="174"/>
      <c r="AC725" s="174"/>
      <c r="AD725" s="174"/>
      <c r="AE725" s="174"/>
      <c r="AF725" s="174"/>
      <c r="AG725" s="174"/>
      <c r="AH725" s="174"/>
      <c r="AI725" s="7"/>
      <c r="AJ725" s="7"/>
      <c r="AK725" s="7"/>
    </row>
    <row r="726" spans="1:37" ht="15.75" customHeight="1">
      <c r="A726" s="7"/>
      <c r="B726" s="7"/>
      <c r="C726" s="7"/>
      <c r="D726" s="7"/>
      <c r="E726" s="36"/>
      <c r="F726" s="36"/>
      <c r="G726" s="36"/>
      <c r="H726" s="7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  <c r="AA726" s="174"/>
      <c r="AB726" s="174"/>
      <c r="AC726" s="174"/>
      <c r="AD726" s="174"/>
      <c r="AE726" s="174"/>
      <c r="AF726" s="174"/>
      <c r="AG726" s="174"/>
      <c r="AH726" s="174"/>
      <c r="AI726" s="7"/>
      <c r="AJ726" s="7"/>
      <c r="AK726" s="7"/>
    </row>
    <row r="727" spans="1:37" ht="15.75" customHeight="1">
      <c r="A727" s="7"/>
      <c r="B727" s="7"/>
      <c r="C727" s="7"/>
      <c r="D727" s="7"/>
      <c r="E727" s="36"/>
      <c r="F727" s="36"/>
      <c r="G727" s="36"/>
      <c r="H727" s="7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  <c r="AA727" s="174"/>
      <c r="AB727" s="174"/>
      <c r="AC727" s="174"/>
      <c r="AD727" s="174"/>
      <c r="AE727" s="174"/>
      <c r="AF727" s="174"/>
      <c r="AG727" s="174"/>
      <c r="AH727" s="174"/>
      <c r="AI727" s="7"/>
      <c r="AJ727" s="7"/>
      <c r="AK727" s="7"/>
    </row>
    <row r="728" spans="1:37" ht="15.75" customHeight="1">
      <c r="A728" s="7"/>
      <c r="B728" s="7"/>
      <c r="C728" s="7"/>
      <c r="D728" s="7"/>
      <c r="E728" s="36"/>
      <c r="F728" s="36"/>
      <c r="G728" s="36"/>
      <c r="H728" s="7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  <c r="AA728" s="174"/>
      <c r="AB728" s="174"/>
      <c r="AC728" s="174"/>
      <c r="AD728" s="174"/>
      <c r="AE728" s="174"/>
      <c r="AF728" s="174"/>
      <c r="AG728" s="174"/>
      <c r="AH728" s="174"/>
      <c r="AI728" s="7"/>
      <c r="AJ728" s="7"/>
      <c r="AK728" s="7"/>
    </row>
    <row r="729" spans="1:37" ht="15.75" customHeight="1">
      <c r="A729" s="7"/>
      <c r="B729" s="7"/>
      <c r="C729" s="7"/>
      <c r="D729" s="7"/>
      <c r="E729" s="36"/>
      <c r="F729" s="36"/>
      <c r="G729" s="36"/>
      <c r="H729" s="7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  <c r="AA729" s="174"/>
      <c r="AB729" s="174"/>
      <c r="AC729" s="174"/>
      <c r="AD729" s="174"/>
      <c r="AE729" s="174"/>
      <c r="AF729" s="174"/>
      <c r="AG729" s="174"/>
      <c r="AH729" s="174"/>
      <c r="AI729" s="7"/>
      <c r="AJ729" s="7"/>
      <c r="AK729" s="7"/>
    </row>
    <row r="730" spans="1:37" ht="15.75" customHeight="1">
      <c r="A730" s="7"/>
      <c r="B730" s="7"/>
      <c r="C730" s="7"/>
      <c r="D730" s="7"/>
      <c r="E730" s="36"/>
      <c r="F730" s="36"/>
      <c r="G730" s="36"/>
      <c r="H730" s="7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  <c r="AA730" s="174"/>
      <c r="AB730" s="174"/>
      <c r="AC730" s="174"/>
      <c r="AD730" s="174"/>
      <c r="AE730" s="174"/>
      <c r="AF730" s="174"/>
      <c r="AG730" s="174"/>
      <c r="AH730" s="174"/>
      <c r="AI730" s="7"/>
      <c r="AJ730" s="7"/>
      <c r="AK730" s="7"/>
    </row>
    <row r="731" spans="1:37" ht="15.75" customHeight="1">
      <c r="A731" s="7"/>
      <c r="B731" s="7"/>
      <c r="C731" s="7"/>
      <c r="D731" s="7"/>
      <c r="E731" s="36"/>
      <c r="F731" s="36"/>
      <c r="G731" s="36"/>
      <c r="H731" s="7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174"/>
      <c r="AD731" s="174"/>
      <c r="AE731" s="174"/>
      <c r="AF731" s="174"/>
      <c r="AG731" s="174"/>
      <c r="AH731" s="174"/>
      <c r="AI731" s="7"/>
      <c r="AJ731" s="7"/>
      <c r="AK731" s="7"/>
    </row>
    <row r="732" spans="1:37" ht="15.75" customHeight="1">
      <c r="A732" s="7"/>
      <c r="B732" s="7"/>
      <c r="C732" s="7"/>
      <c r="D732" s="7"/>
      <c r="E732" s="36"/>
      <c r="F732" s="36"/>
      <c r="G732" s="36"/>
      <c r="H732" s="7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174"/>
      <c r="AD732" s="174"/>
      <c r="AE732" s="174"/>
      <c r="AF732" s="174"/>
      <c r="AG732" s="174"/>
      <c r="AH732" s="174"/>
      <c r="AI732" s="7"/>
      <c r="AJ732" s="7"/>
      <c r="AK732" s="7"/>
    </row>
    <row r="733" spans="1:37" ht="15.75" customHeight="1">
      <c r="A733" s="7"/>
      <c r="B733" s="7"/>
      <c r="C733" s="7"/>
      <c r="D733" s="7"/>
      <c r="E733" s="36"/>
      <c r="F733" s="36"/>
      <c r="G733" s="36"/>
      <c r="H733" s="7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  <c r="AA733" s="174"/>
      <c r="AB733" s="174"/>
      <c r="AC733" s="174"/>
      <c r="AD733" s="174"/>
      <c r="AE733" s="174"/>
      <c r="AF733" s="174"/>
      <c r="AG733" s="174"/>
      <c r="AH733" s="174"/>
      <c r="AI733" s="7"/>
      <c r="AJ733" s="7"/>
      <c r="AK733" s="7"/>
    </row>
    <row r="734" spans="1:37" ht="15.75" customHeight="1">
      <c r="A734" s="7"/>
      <c r="B734" s="7"/>
      <c r="C734" s="7"/>
      <c r="D734" s="7"/>
      <c r="E734" s="36"/>
      <c r="F734" s="36"/>
      <c r="G734" s="36"/>
      <c r="H734" s="7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  <c r="AA734" s="174"/>
      <c r="AB734" s="174"/>
      <c r="AC734" s="174"/>
      <c r="AD734" s="174"/>
      <c r="AE734" s="174"/>
      <c r="AF734" s="174"/>
      <c r="AG734" s="174"/>
      <c r="AH734" s="174"/>
      <c r="AI734" s="7"/>
      <c r="AJ734" s="7"/>
      <c r="AK734" s="7"/>
    </row>
    <row r="735" spans="1:37" ht="15.75" customHeight="1">
      <c r="A735" s="7"/>
      <c r="B735" s="7"/>
      <c r="C735" s="7"/>
      <c r="D735" s="7"/>
      <c r="E735" s="36"/>
      <c r="F735" s="36"/>
      <c r="G735" s="36"/>
      <c r="H735" s="7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  <c r="AA735" s="174"/>
      <c r="AB735" s="174"/>
      <c r="AC735" s="174"/>
      <c r="AD735" s="174"/>
      <c r="AE735" s="174"/>
      <c r="AF735" s="174"/>
      <c r="AG735" s="174"/>
      <c r="AH735" s="174"/>
      <c r="AI735" s="7"/>
      <c r="AJ735" s="7"/>
      <c r="AK735" s="7"/>
    </row>
    <row r="736" spans="1:37" ht="15.75" customHeight="1">
      <c r="A736" s="7"/>
      <c r="B736" s="7"/>
      <c r="C736" s="7"/>
      <c r="D736" s="7"/>
      <c r="E736" s="36"/>
      <c r="F736" s="36"/>
      <c r="G736" s="36"/>
      <c r="H736" s="7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  <c r="AA736" s="174"/>
      <c r="AB736" s="174"/>
      <c r="AC736" s="174"/>
      <c r="AD736" s="174"/>
      <c r="AE736" s="174"/>
      <c r="AF736" s="174"/>
      <c r="AG736" s="174"/>
      <c r="AH736" s="174"/>
      <c r="AI736" s="7"/>
      <c r="AJ736" s="7"/>
      <c r="AK736" s="7"/>
    </row>
    <row r="737" spans="1:37" ht="15.75" customHeight="1">
      <c r="A737" s="7"/>
      <c r="B737" s="7"/>
      <c r="C737" s="7"/>
      <c r="D737" s="7"/>
      <c r="E737" s="36"/>
      <c r="F737" s="36"/>
      <c r="G737" s="36"/>
      <c r="H737" s="7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  <c r="AA737" s="174"/>
      <c r="AB737" s="174"/>
      <c r="AC737" s="174"/>
      <c r="AD737" s="174"/>
      <c r="AE737" s="174"/>
      <c r="AF737" s="174"/>
      <c r="AG737" s="174"/>
      <c r="AH737" s="174"/>
      <c r="AI737" s="7"/>
      <c r="AJ737" s="7"/>
      <c r="AK737" s="7"/>
    </row>
    <row r="738" spans="1:37" ht="15.75" customHeight="1">
      <c r="A738" s="7"/>
      <c r="B738" s="7"/>
      <c r="C738" s="7"/>
      <c r="D738" s="7"/>
      <c r="E738" s="36"/>
      <c r="F738" s="36"/>
      <c r="G738" s="36"/>
      <c r="H738" s="7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  <c r="AA738" s="174"/>
      <c r="AB738" s="174"/>
      <c r="AC738" s="174"/>
      <c r="AD738" s="174"/>
      <c r="AE738" s="174"/>
      <c r="AF738" s="174"/>
      <c r="AG738" s="174"/>
      <c r="AH738" s="174"/>
      <c r="AI738" s="7"/>
      <c r="AJ738" s="7"/>
      <c r="AK738" s="7"/>
    </row>
    <row r="739" spans="1:37" ht="15.75" customHeight="1">
      <c r="A739" s="7"/>
      <c r="B739" s="7"/>
      <c r="C739" s="7"/>
      <c r="D739" s="7"/>
      <c r="E739" s="36"/>
      <c r="F739" s="36"/>
      <c r="G739" s="36"/>
      <c r="H739" s="7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  <c r="AA739" s="174"/>
      <c r="AB739" s="174"/>
      <c r="AC739" s="174"/>
      <c r="AD739" s="174"/>
      <c r="AE739" s="174"/>
      <c r="AF739" s="174"/>
      <c r="AG739" s="174"/>
      <c r="AH739" s="174"/>
      <c r="AI739" s="7"/>
      <c r="AJ739" s="7"/>
      <c r="AK739" s="7"/>
    </row>
    <row r="740" spans="1:37" ht="15.75" customHeight="1">
      <c r="A740" s="7"/>
      <c r="B740" s="7"/>
      <c r="C740" s="7"/>
      <c r="D740" s="7"/>
      <c r="E740" s="36"/>
      <c r="F740" s="36"/>
      <c r="G740" s="36"/>
      <c r="H740" s="7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  <c r="AA740" s="174"/>
      <c r="AB740" s="174"/>
      <c r="AC740" s="174"/>
      <c r="AD740" s="174"/>
      <c r="AE740" s="174"/>
      <c r="AF740" s="174"/>
      <c r="AG740" s="174"/>
      <c r="AH740" s="174"/>
      <c r="AI740" s="7"/>
      <c r="AJ740" s="7"/>
      <c r="AK740" s="7"/>
    </row>
    <row r="741" spans="1:37" ht="15.75" customHeight="1">
      <c r="A741" s="7"/>
      <c r="B741" s="7"/>
      <c r="C741" s="7"/>
      <c r="D741" s="7"/>
      <c r="E741" s="36"/>
      <c r="F741" s="36"/>
      <c r="G741" s="36"/>
      <c r="H741" s="7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  <c r="AA741" s="174"/>
      <c r="AB741" s="174"/>
      <c r="AC741" s="174"/>
      <c r="AD741" s="174"/>
      <c r="AE741" s="174"/>
      <c r="AF741" s="174"/>
      <c r="AG741" s="174"/>
      <c r="AH741" s="174"/>
      <c r="AI741" s="7"/>
      <c r="AJ741" s="7"/>
      <c r="AK741" s="7"/>
    </row>
    <row r="742" spans="1:37" ht="15.75" customHeight="1">
      <c r="A742" s="7"/>
      <c r="B742" s="7"/>
      <c r="C742" s="7"/>
      <c r="D742" s="7"/>
      <c r="E742" s="36"/>
      <c r="F742" s="36"/>
      <c r="G742" s="36"/>
      <c r="H742" s="7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  <c r="AA742" s="174"/>
      <c r="AB742" s="174"/>
      <c r="AC742" s="174"/>
      <c r="AD742" s="174"/>
      <c r="AE742" s="174"/>
      <c r="AF742" s="174"/>
      <c r="AG742" s="174"/>
      <c r="AH742" s="174"/>
      <c r="AI742" s="7"/>
      <c r="AJ742" s="7"/>
      <c r="AK742" s="7"/>
    </row>
    <row r="743" spans="1:37" ht="15.75" customHeight="1">
      <c r="A743" s="7"/>
      <c r="B743" s="7"/>
      <c r="C743" s="7"/>
      <c r="D743" s="7"/>
      <c r="E743" s="36"/>
      <c r="F743" s="36"/>
      <c r="G743" s="36"/>
      <c r="H743" s="7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  <c r="AA743" s="174"/>
      <c r="AB743" s="174"/>
      <c r="AC743" s="174"/>
      <c r="AD743" s="174"/>
      <c r="AE743" s="174"/>
      <c r="AF743" s="174"/>
      <c r="AG743" s="174"/>
      <c r="AH743" s="174"/>
      <c r="AI743" s="7"/>
      <c r="AJ743" s="7"/>
      <c r="AK743" s="7"/>
    </row>
    <row r="744" spans="1:37" ht="15.75" customHeight="1">
      <c r="A744" s="7"/>
      <c r="B744" s="7"/>
      <c r="C744" s="7"/>
      <c r="D744" s="7"/>
      <c r="E744" s="36"/>
      <c r="F744" s="36"/>
      <c r="G744" s="36"/>
      <c r="H744" s="7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  <c r="AA744" s="174"/>
      <c r="AB744" s="174"/>
      <c r="AC744" s="174"/>
      <c r="AD744" s="174"/>
      <c r="AE744" s="174"/>
      <c r="AF744" s="174"/>
      <c r="AG744" s="174"/>
      <c r="AH744" s="174"/>
      <c r="AI744" s="7"/>
      <c r="AJ744" s="7"/>
      <c r="AK744" s="7"/>
    </row>
    <row r="745" spans="1:37" ht="15.75" customHeight="1">
      <c r="A745" s="7"/>
      <c r="B745" s="7"/>
      <c r="C745" s="7"/>
      <c r="D745" s="7"/>
      <c r="E745" s="36"/>
      <c r="F745" s="36"/>
      <c r="G745" s="36"/>
      <c r="H745" s="7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  <c r="AA745" s="174"/>
      <c r="AB745" s="174"/>
      <c r="AC745" s="174"/>
      <c r="AD745" s="174"/>
      <c r="AE745" s="174"/>
      <c r="AF745" s="174"/>
      <c r="AG745" s="174"/>
      <c r="AH745" s="174"/>
      <c r="AI745" s="7"/>
      <c r="AJ745" s="7"/>
      <c r="AK745" s="7"/>
    </row>
    <row r="746" spans="1:37" ht="15.75" customHeight="1">
      <c r="A746" s="7"/>
      <c r="B746" s="7"/>
      <c r="C746" s="7"/>
      <c r="D746" s="7"/>
      <c r="E746" s="36"/>
      <c r="F746" s="36"/>
      <c r="G746" s="36"/>
      <c r="H746" s="7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  <c r="AA746" s="174"/>
      <c r="AB746" s="174"/>
      <c r="AC746" s="174"/>
      <c r="AD746" s="174"/>
      <c r="AE746" s="174"/>
      <c r="AF746" s="174"/>
      <c r="AG746" s="174"/>
      <c r="AH746" s="174"/>
      <c r="AI746" s="7"/>
      <c r="AJ746" s="7"/>
      <c r="AK746" s="7"/>
    </row>
    <row r="747" spans="1:37" ht="15.75" customHeight="1">
      <c r="A747" s="7"/>
      <c r="B747" s="7"/>
      <c r="C747" s="7"/>
      <c r="D747" s="7"/>
      <c r="E747" s="36"/>
      <c r="F747" s="36"/>
      <c r="G747" s="36"/>
      <c r="H747" s="7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  <c r="AA747" s="174"/>
      <c r="AB747" s="174"/>
      <c r="AC747" s="174"/>
      <c r="AD747" s="174"/>
      <c r="AE747" s="174"/>
      <c r="AF747" s="174"/>
      <c r="AG747" s="174"/>
      <c r="AH747" s="174"/>
      <c r="AI747" s="7"/>
      <c r="AJ747" s="7"/>
      <c r="AK747" s="7"/>
    </row>
    <row r="748" spans="1:37" ht="15.75" customHeight="1">
      <c r="A748" s="7"/>
      <c r="B748" s="7"/>
      <c r="C748" s="7"/>
      <c r="D748" s="7"/>
      <c r="E748" s="36"/>
      <c r="F748" s="36"/>
      <c r="G748" s="36"/>
      <c r="H748" s="7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  <c r="AA748" s="174"/>
      <c r="AB748" s="174"/>
      <c r="AC748" s="174"/>
      <c r="AD748" s="174"/>
      <c r="AE748" s="174"/>
      <c r="AF748" s="174"/>
      <c r="AG748" s="174"/>
      <c r="AH748" s="174"/>
      <c r="AI748" s="7"/>
      <c r="AJ748" s="7"/>
      <c r="AK748" s="7"/>
    </row>
    <row r="749" spans="1:37" ht="15.75" customHeight="1">
      <c r="A749" s="7"/>
      <c r="B749" s="7"/>
      <c r="C749" s="7"/>
      <c r="D749" s="7"/>
      <c r="E749" s="36"/>
      <c r="F749" s="36"/>
      <c r="G749" s="36"/>
      <c r="H749" s="7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  <c r="AA749" s="174"/>
      <c r="AB749" s="174"/>
      <c r="AC749" s="174"/>
      <c r="AD749" s="174"/>
      <c r="AE749" s="174"/>
      <c r="AF749" s="174"/>
      <c r="AG749" s="174"/>
      <c r="AH749" s="174"/>
      <c r="AI749" s="7"/>
      <c r="AJ749" s="7"/>
      <c r="AK749" s="7"/>
    </row>
    <row r="750" spans="1:37" ht="15.75" customHeight="1">
      <c r="A750" s="7"/>
      <c r="B750" s="7"/>
      <c r="C750" s="7"/>
      <c r="D750" s="7"/>
      <c r="E750" s="36"/>
      <c r="F750" s="36"/>
      <c r="G750" s="36"/>
      <c r="H750" s="7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  <c r="AA750" s="174"/>
      <c r="AB750" s="174"/>
      <c r="AC750" s="174"/>
      <c r="AD750" s="174"/>
      <c r="AE750" s="174"/>
      <c r="AF750" s="174"/>
      <c r="AG750" s="174"/>
      <c r="AH750" s="174"/>
      <c r="AI750" s="7"/>
      <c r="AJ750" s="7"/>
      <c r="AK750" s="7"/>
    </row>
    <row r="751" spans="1:37" ht="15.75" customHeight="1">
      <c r="A751" s="7"/>
      <c r="B751" s="7"/>
      <c r="C751" s="7"/>
      <c r="D751" s="7"/>
      <c r="E751" s="36"/>
      <c r="F751" s="36"/>
      <c r="G751" s="36"/>
      <c r="H751" s="7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  <c r="AA751" s="174"/>
      <c r="AB751" s="174"/>
      <c r="AC751" s="174"/>
      <c r="AD751" s="174"/>
      <c r="AE751" s="174"/>
      <c r="AF751" s="174"/>
      <c r="AG751" s="174"/>
      <c r="AH751" s="174"/>
      <c r="AI751" s="7"/>
      <c r="AJ751" s="7"/>
      <c r="AK751" s="7"/>
    </row>
    <row r="752" spans="1:37" ht="15.75" customHeight="1">
      <c r="A752" s="7"/>
      <c r="B752" s="7"/>
      <c r="C752" s="7"/>
      <c r="D752" s="7"/>
      <c r="E752" s="36"/>
      <c r="F752" s="36"/>
      <c r="G752" s="36"/>
      <c r="H752" s="7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  <c r="AA752" s="174"/>
      <c r="AB752" s="174"/>
      <c r="AC752" s="174"/>
      <c r="AD752" s="174"/>
      <c r="AE752" s="174"/>
      <c r="AF752" s="174"/>
      <c r="AG752" s="174"/>
      <c r="AH752" s="174"/>
      <c r="AI752" s="7"/>
      <c r="AJ752" s="7"/>
      <c r="AK752" s="7"/>
    </row>
    <row r="753" spans="1:37" ht="15.75" customHeight="1">
      <c r="A753" s="7"/>
      <c r="B753" s="7"/>
      <c r="C753" s="7"/>
      <c r="D753" s="7"/>
      <c r="E753" s="36"/>
      <c r="F753" s="36"/>
      <c r="G753" s="36"/>
      <c r="H753" s="7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  <c r="AA753" s="174"/>
      <c r="AB753" s="174"/>
      <c r="AC753" s="174"/>
      <c r="AD753" s="174"/>
      <c r="AE753" s="174"/>
      <c r="AF753" s="174"/>
      <c r="AG753" s="174"/>
      <c r="AH753" s="174"/>
      <c r="AI753" s="7"/>
      <c r="AJ753" s="7"/>
      <c r="AK753" s="7"/>
    </row>
    <row r="754" spans="1:37" ht="15.75" customHeight="1">
      <c r="A754" s="7"/>
      <c r="B754" s="7"/>
      <c r="C754" s="7"/>
      <c r="D754" s="7"/>
      <c r="E754" s="36"/>
      <c r="F754" s="36"/>
      <c r="G754" s="36"/>
      <c r="H754" s="7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  <c r="AA754" s="174"/>
      <c r="AB754" s="174"/>
      <c r="AC754" s="174"/>
      <c r="AD754" s="174"/>
      <c r="AE754" s="174"/>
      <c r="AF754" s="174"/>
      <c r="AG754" s="174"/>
      <c r="AH754" s="174"/>
      <c r="AI754" s="7"/>
      <c r="AJ754" s="7"/>
      <c r="AK754" s="7"/>
    </row>
    <row r="755" spans="1:37" ht="15.75" customHeight="1">
      <c r="A755" s="7"/>
      <c r="B755" s="7"/>
      <c r="C755" s="7"/>
      <c r="D755" s="7"/>
      <c r="E755" s="36"/>
      <c r="F755" s="36"/>
      <c r="G755" s="36"/>
      <c r="H755" s="7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  <c r="AA755" s="174"/>
      <c r="AB755" s="174"/>
      <c r="AC755" s="174"/>
      <c r="AD755" s="174"/>
      <c r="AE755" s="174"/>
      <c r="AF755" s="174"/>
      <c r="AG755" s="174"/>
      <c r="AH755" s="174"/>
      <c r="AI755" s="7"/>
      <c r="AJ755" s="7"/>
      <c r="AK755" s="7"/>
    </row>
    <row r="756" spans="1:37" ht="15.75" customHeight="1">
      <c r="A756" s="7"/>
      <c r="B756" s="7"/>
      <c r="C756" s="7"/>
      <c r="D756" s="7"/>
      <c r="E756" s="36"/>
      <c r="F756" s="36"/>
      <c r="G756" s="36"/>
      <c r="H756" s="7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  <c r="AA756" s="174"/>
      <c r="AB756" s="174"/>
      <c r="AC756" s="174"/>
      <c r="AD756" s="174"/>
      <c r="AE756" s="174"/>
      <c r="AF756" s="174"/>
      <c r="AG756" s="174"/>
      <c r="AH756" s="174"/>
      <c r="AI756" s="7"/>
      <c r="AJ756" s="7"/>
      <c r="AK756" s="7"/>
    </row>
    <row r="757" spans="1:37" ht="15.75" customHeight="1">
      <c r="A757" s="7"/>
      <c r="B757" s="7"/>
      <c r="C757" s="7"/>
      <c r="D757" s="7"/>
      <c r="E757" s="36"/>
      <c r="F757" s="36"/>
      <c r="G757" s="36"/>
      <c r="H757" s="7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  <c r="AA757" s="174"/>
      <c r="AB757" s="174"/>
      <c r="AC757" s="174"/>
      <c r="AD757" s="174"/>
      <c r="AE757" s="174"/>
      <c r="AF757" s="174"/>
      <c r="AG757" s="174"/>
      <c r="AH757" s="174"/>
      <c r="AI757" s="7"/>
      <c r="AJ757" s="7"/>
      <c r="AK757" s="7"/>
    </row>
    <row r="758" spans="1:37" ht="15.75" customHeight="1">
      <c r="A758" s="7"/>
      <c r="B758" s="7"/>
      <c r="C758" s="7"/>
      <c r="D758" s="7"/>
      <c r="E758" s="36"/>
      <c r="F758" s="36"/>
      <c r="G758" s="36"/>
      <c r="H758" s="7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  <c r="AA758" s="174"/>
      <c r="AB758" s="174"/>
      <c r="AC758" s="174"/>
      <c r="AD758" s="174"/>
      <c r="AE758" s="174"/>
      <c r="AF758" s="174"/>
      <c r="AG758" s="174"/>
      <c r="AH758" s="174"/>
      <c r="AI758" s="7"/>
      <c r="AJ758" s="7"/>
      <c r="AK758" s="7"/>
    </row>
    <row r="759" spans="1:37" ht="15.75" customHeight="1">
      <c r="A759" s="7"/>
      <c r="B759" s="7"/>
      <c r="C759" s="7"/>
      <c r="D759" s="7"/>
      <c r="E759" s="36"/>
      <c r="F759" s="36"/>
      <c r="G759" s="36"/>
      <c r="H759" s="7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  <c r="AA759" s="174"/>
      <c r="AB759" s="174"/>
      <c r="AC759" s="174"/>
      <c r="AD759" s="174"/>
      <c r="AE759" s="174"/>
      <c r="AF759" s="174"/>
      <c r="AG759" s="174"/>
      <c r="AH759" s="174"/>
      <c r="AI759" s="7"/>
      <c r="AJ759" s="7"/>
      <c r="AK759" s="7"/>
    </row>
    <row r="760" spans="1:37" ht="15.75" customHeight="1">
      <c r="A760" s="7"/>
      <c r="B760" s="7"/>
      <c r="C760" s="7"/>
      <c r="D760" s="7"/>
      <c r="E760" s="36"/>
      <c r="F760" s="36"/>
      <c r="G760" s="36"/>
      <c r="H760" s="7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  <c r="AA760" s="174"/>
      <c r="AB760" s="174"/>
      <c r="AC760" s="174"/>
      <c r="AD760" s="174"/>
      <c r="AE760" s="174"/>
      <c r="AF760" s="174"/>
      <c r="AG760" s="174"/>
      <c r="AH760" s="174"/>
      <c r="AI760" s="7"/>
      <c r="AJ760" s="7"/>
      <c r="AK760" s="7"/>
    </row>
    <row r="761" spans="1:37" ht="15.75" customHeight="1">
      <c r="A761" s="7"/>
      <c r="B761" s="7"/>
      <c r="C761" s="7"/>
      <c r="D761" s="7"/>
      <c r="E761" s="36"/>
      <c r="F761" s="36"/>
      <c r="G761" s="36"/>
      <c r="H761" s="7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7"/>
      <c r="AJ761" s="7"/>
      <c r="AK761" s="7"/>
    </row>
    <row r="762" spans="1:37" ht="15.75" customHeight="1">
      <c r="A762" s="7"/>
      <c r="B762" s="7"/>
      <c r="C762" s="7"/>
      <c r="D762" s="7"/>
      <c r="E762" s="36"/>
      <c r="F762" s="36"/>
      <c r="G762" s="36"/>
      <c r="H762" s="7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  <c r="AA762" s="174"/>
      <c r="AB762" s="174"/>
      <c r="AC762" s="174"/>
      <c r="AD762" s="174"/>
      <c r="AE762" s="174"/>
      <c r="AF762" s="174"/>
      <c r="AG762" s="174"/>
      <c r="AH762" s="174"/>
      <c r="AI762" s="7"/>
      <c r="AJ762" s="7"/>
      <c r="AK762" s="7"/>
    </row>
    <row r="763" spans="1:37" ht="15.75" customHeight="1">
      <c r="A763" s="7"/>
      <c r="B763" s="7"/>
      <c r="C763" s="7"/>
      <c r="D763" s="7"/>
      <c r="E763" s="36"/>
      <c r="F763" s="36"/>
      <c r="G763" s="36"/>
      <c r="H763" s="7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  <c r="AA763" s="174"/>
      <c r="AB763" s="174"/>
      <c r="AC763" s="174"/>
      <c r="AD763" s="174"/>
      <c r="AE763" s="174"/>
      <c r="AF763" s="174"/>
      <c r="AG763" s="174"/>
      <c r="AH763" s="174"/>
      <c r="AI763" s="7"/>
      <c r="AJ763" s="7"/>
      <c r="AK763" s="7"/>
    </row>
    <row r="764" spans="1:37" ht="15.75" customHeight="1">
      <c r="A764" s="7"/>
      <c r="B764" s="7"/>
      <c r="C764" s="7"/>
      <c r="D764" s="7"/>
      <c r="E764" s="36"/>
      <c r="F764" s="36"/>
      <c r="G764" s="36"/>
      <c r="H764" s="7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  <c r="AA764" s="174"/>
      <c r="AB764" s="174"/>
      <c r="AC764" s="174"/>
      <c r="AD764" s="174"/>
      <c r="AE764" s="174"/>
      <c r="AF764" s="174"/>
      <c r="AG764" s="174"/>
      <c r="AH764" s="174"/>
      <c r="AI764" s="7"/>
      <c r="AJ764" s="7"/>
      <c r="AK764" s="7"/>
    </row>
    <row r="765" spans="1:37" ht="15.75" customHeight="1">
      <c r="A765" s="7"/>
      <c r="B765" s="7"/>
      <c r="C765" s="7"/>
      <c r="D765" s="7"/>
      <c r="E765" s="36"/>
      <c r="F765" s="36"/>
      <c r="G765" s="36"/>
      <c r="H765" s="7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  <c r="AA765" s="174"/>
      <c r="AB765" s="174"/>
      <c r="AC765" s="174"/>
      <c r="AD765" s="174"/>
      <c r="AE765" s="174"/>
      <c r="AF765" s="174"/>
      <c r="AG765" s="174"/>
      <c r="AH765" s="174"/>
      <c r="AI765" s="7"/>
      <c r="AJ765" s="7"/>
      <c r="AK765" s="7"/>
    </row>
    <row r="766" spans="1:37" ht="15.75" customHeight="1">
      <c r="A766" s="7"/>
      <c r="B766" s="7"/>
      <c r="C766" s="7"/>
      <c r="D766" s="7"/>
      <c r="E766" s="36"/>
      <c r="F766" s="36"/>
      <c r="G766" s="36"/>
      <c r="H766" s="7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  <c r="AA766" s="174"/>
      <c r="AB766" s="174"/>
      <c r="AC766" s="174"/>
      <c r="AD766" s="174"/>
      <c r="AE766" s="174"/>
      <c r="AF766" s="174"/>
      <c r="AG766" s="174"/>
      <c r="AH766" s="174"/>
      <c r="AI766" s="7"/>
      <c r="AJ766" s="7"/>
      <c r="AK766" s="7"/>
    </row>
    <row r="767" spans="1:37" ht="15.75" customHeight="1">
      <c r="A767" s="7"/>
      <c r="B767" s="7"/>
      <c r="C767" s="7"/>
      <c r="D767" s="7"/>
      <c r="E767" s="36"/>
      <c r="F767" s="36"/>
      <c r="G767" s="36"/>
      <c r="H767" s="7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  <c r="AA767" s="174"/>
      <c r="AB767" s="174"/>
      <c r="AC767" s="174"/>
      <c r="AD767" s="174"/>
      <c r="AE767" s="174"/>
      <c r="AF767" s="174"/>
      <c r="AG767" s="174"/>
      <c r="AH767" s="174"/>
      <c r="AI767" s="7"/>
      <c r="AJ767" s="7"/>
      <c r="AK767" s="7"/>
    </row>
    <row r="768" spans="1:37" ht="15.75" customHeight="1">
      <c r="A768" s="7"/>
      <c r="B768" s="7"/>
      <c r="C768" s="7"/>
      <c r="D768" s="7"/>
      <c r="E768" s="36"/>
      <c r="F768" s="36"/>
      <c r="G768" s="36"/>
      <c r="H768" s="7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  <c r="AA768" s="174"/>
      <c r="AB768" s="174"/>
      <c r="AC768" s="174"/>
      <c r="AD768" s="174"/>
      <c r="AE768" s="174"/>
      <c r="AF768" s="174"/>
      <c r="AG768" s="174"/>
      <c r="AH768" s="174"/>
      <c r="AI768" s="7"/>
      <c r="AJ768" s="7"/>
      <c r="AK768" s="7"/>
    </row>
    <row r="769" spans="1:37" ht="15.75" customHeight="1">
      <c r="A769" s="7"/>
      <c r="B769" s="7"/>
      <c r="C769" s="7"/>
      <c r="D769" s="7"/>
      <c r="E769" s="36"/>
      <c r="F769" s="36"/>
      <c r="G769" s="36"/>
      <c r="H769" s="7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  <c r="AA769" s="174"/>
      <c r="AB769" s="174"/>
      <c r="AC769" s="174"/>
      <c r="AD769" s="174"/>
      <c r="AE769" s="174"/>
      <c r="AF769" s="174"/>
      <c r="AG769" s="174"/>
      <c r="AH769" s="174"/>
      <c r="AI769" s="7"/>
      <c r="AJ769" s="7"/>
      <c r="AK769" s="7"/>
    </row>
    <row r="770" spans="1:37" ht="15.75" customHeight="1">
      <c r="A770" s="7"/>
      <c r="B770" s="7"/>
      <c r="C770" s="7"/>
      <c r="D770" s="7"/>
      <c r="E770" s="36"/>
      <c r="F770" s="36"/>
      <c r="G770" s="36"/>
      <c r="H770" s="7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  <c r="AA770" s="174"/>
      <c r="AB770" s="174"/>
      <c r="AC770" s="174"/>
      <c r="AD770" s="174"/>
      <c r="AE770" s="174"/>
      <c r="AF770" s="174"/>
      <c r="AG770" s="174"/>
      <c r="AH770" s="174"/>
      <c r="AI770" s="7"/>
      <c r="AJ770" s="7"/>
      <c r="AK770" s="7"/>
    </row>
    <row r="771" spans="1:37" ht="15.75" customHeight="1">
      <c r="A771" s="7"/>
      <c r="B771" s="7"/>
      <c r="C771" s="7"/>
      <c r="D771" s="7"/>
      <c r="E771" s="36"/>
      <c r="F771" s="36"/>
      <c r="G771" s="36"/>
      <c r="H771" s="7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  <c r="AA771" s="174"/>
      <c r="AB771" s="174"/>
      <c r="AC771" s="174"/>
      <c r="AD771" s="174"/>
      <c r="AE771" s="174"/>
      <c r="AF771" s="174"/>
      <c r="AG771" s="174"/>
      <c r="AH771" s="174"/>
      <c r="AI771" s="7"/>
      <c r="AJ771" s="7"/>
      <c r="AK771" s="7"/>
    </row>
    <row r="772" spans="1:37" ht="15.75" customHeight="1">
      <c r="A772" s="7"/>
      <c r="B772" s="7"/>
      <c r="C772" s="7"/>
      <c r="D772" s="7"/>
      <c r="E772" s="36"/>
      <c r="F772" s="36"/>
      <c r="G772" s="36"/>
      <c r="H772" s="7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  <c r="AA772" s="174"/>
      <c r="AB772" s="174"/>
      <c r="AC772" s="174"/>
      <c r="AD772" s="174"/>
      <c r="AE772" s="174"/>
      <c r="AF772" s="174"/>
      <c r="AG772" s="174"/>
      <c r="AH772" s="174"/>
      <c r="AI772" s="7"/>
      <c r="AJ772" s="7"/>
      <c r="AK772" s="7"/>
    </row>
    <row r="773" spans="1:37" ht="15.75" customHeight="1">
      <c r="A773" s="7"/>
      <c r="B773" s="7"/>
      <c r="C773" s="7"/>
      <c r="D773" s="7"/>
      <c r="E773" s="36"/>
      <c r="F773" s="36"/>
      <c r="G773" s="36"/>
      <c r="H773" s="7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  <c r="AA773" s="174"/>
      <c r="AB773" s="174"/>
      <c r="AC773" s="174"/>
      <c r="AD773" s="174"/>
      <c r="AE773" s="174"/>
      <c r="AF773" s="174"/>
      <c r="AG773" s="174"/>
      <c r="AH773" s="174"/>
      <c r="AI773" s="7"/>
      <c r="AJ773" s="7"/>
      <c r="AK773" s="7"/>
    </row>
    <row r="774" spans="1:37" ht="15.75" customHeight="1">
      <c r="A774" s="7"/>
      <c r="B774" s="7"/>
      <c r="C774" s="7"/>
      <c r="D774" s="7"/>
      <c r="E774" s="36"/>
      <c r="F774" s="36"/>
      <c r="G774" s="36"/>
      <c r="H774" s="7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  <c r="AA774" s="174"/>
      <c r="AB774" s="174"/>
      <c r="AC774" s="174"/>
      <c r="AD774" s="174"/>
      <c r="AE774" s="174"/>
      <c r="AF774" s="174"/>
      <c r="AG774" s="174"/>
      <c r="AH774" s="174"/>
      <c r="AI774" s="7"/>
      <c r="AJ774" s="7"/>
      <c r="AK774" s="7"/>
    </row>
    <row r="775" spans="1:37" ht="15.75" customHeight="1">
      <c r="A775" s="7"/>
      <c r="B775" s="7"/>
      <c r="C775" s="7"/>
      <c r="D775" s="7"/>
      <c r="E775" s="36"/>
      <c r="F775" s="36"/>
      <c r="G775" s="36"/>
      <c r="H775" s="7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  <c r="AA775" s="174"/>
      <c r="AB775" s="174"/>
      <c r="AC775" s="174"/>
      <c r="AD775" s="174"/>
      <c r="AE775" s="174"/>
      <c r="AF775" s="174"/>
      <c r="AG775" s="174"/>
      <c r="AH775" s="174"/>
      <c r="AI775" s="7"/>
      <c r="AJ775" s="7"/>
      <c r="AK775" s="7"/>
    </row>
    <row r="776" spans="1:37" ht="15.75" customHeight="1">
      <c r="A776" s="7"/>
      <c r="B776" s="7"/>
      <c r="C776" s="7"/>
      <c r="D776" s="7"/>
      <c r="E776" s="36"/>
      <c r="F776" s="36"/>
      <c r="G776" s="36"/>
      <c r="H776" s="7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174"/>
      <c r="AD776" s="174"/>
      <c r="AE776" s="174"/>
      <c r="AF776" s="174"/>
      <c r="AG776" s="174"/>
      <c r="AH776" s="174"/>
      <c r="AI776" s="7"/>
      <c r="AJ776" s="7"/>
      <c r="AK776" s="7"/>
    </row>
    <row r="777" spans="1:37" ht="15.75" customHeight="1">
      <c r="A777" s="7"/>
      <c r="B777" s="7"/>
      <c r="C777" s="7"/>
      <c r="D777" s="7"/>
      <c r="E777" s="36"/>
      <c r="F777" s="36"/>
      <c r="G777" s="36"/>
      <c r="H777" s="7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174"/>
      <c r="AD777" s="174"/>
      <c r="AE777" s="174"/>
      <c r="AF777" s="174"/>
      <c r="AG777" s="174"/>
      <c r="AH777" s="174"/>
      <c r="AI777" s="7"/>
      <c r="AJ777" s="7"/>
      <c r="AK777" s="7"/>
    </row>
    <row r="778" spans="1:37" ht="15.75" customHeight="1">
      <c r="A778" s="7"/>
      <c r="B778" s="7"/>
      <c r="C778" s="7"/>
      <c r="D778" s="7"/>
      <c r="E778" s="36"/>
      <c r="F778" s="36"/>
      <c r="G778" s="36"/>
      <c r="H778" s="7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  <c r="AA778" s="174"/>
      <c r="AB778" s="174"/>
      <c r="AC778" s="174"/>
      <c r="AD778" s="174"/>
      <c r="AE778" s="174"/>
      <c r="AF778" s="174"/>
      <c r="AG778" s="174"/>
      <c r="AH778" s="174"/>
      <c r="AI778" s="7"/>
      <c r="AJ778" s="7"/>
      <c r="AK778" s="7"/>
    </row>
    <row r="779" spans="1:37" ht="15.75" customHeight="1">
      <c r="A779" s="7"/>
      <c r="B779" s="7"/>
      <c r="C779" s="7"/>
      <c r="D779" s="7"/>
      <c r="E779" s="36"/>
      <c r="F779" s="36"/>
      <c r="G779" s="36"/>
      <c r="H779" s="7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  <c r="AA779" s="174"/>
      <c r="AB779" s="174"/>
      <c r="AC779" s="174"/>
      <c r="AD779" s="174"/>
      <c r="AE779" s="174"/>
      <c r="AF779" s="174"/>
      <c r="AG779" s="174"/>
      <c r="AH779" s="174"/>
      <c r="AI779" s="7"/>
      <c r="AJ779" s="7"/>
      <c r="AK779" s="7"/>
    </row>
    <row r="780" spans="1:37" ht="15.75" customHeight="1">
      <c r="A780" s="7"/>
      <c r="B780" s="7"/>
      <c r="C780" s="7"/>
      <c r="D780" s="7"/>
      <c r="E780" s="36"/>
      <c r="F780" s="36"/>
      <c r="G780" s="36"/>
      <c r="H780" s="7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  <c r="AA780" s="174"/>
      <c r="AB780" s="174"/>
      <c r="AC780" s="174"/>
      <c r="AD780" s="174"/>
      <c r="AE780" s="174"/>
      <c r="AF780" s="174"/>
      <c r="AG780" s="174"/>
      <c r="AH780" s="174"/>
      <c r="AI780" s="7"/>
      <c r="AJ780" s="7"/>
      <c r="AK780" s="7"/>
    </row>
    <row r="781" spans="1:37" ht="15.75" customHeight="1">
      <c r="A781" s="7"/>
      <c r="B781" s="7"/>
      <c r="C781" s="7"/>
      <c r="D781" s="7"/>
      <c r="E781" s="36"/>
      <c r="F781" s="36"/>
      <c r="G781" s="36"/>
      <c r="H781" s="7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  <c r="AA781" s="174"/>
      <c r="AB781" s="174"/>
      <c r="AC781" s="174"/>
      <c r="AD781" s="174"/>
      <c r="AE781" s="174"/>
      <c r="AF781" s="174"/>
      <c r="AG781" s="174"/>
      <c r="AH781" s="174"/>
      <c r="AI781" s="7"/>
      <c r="AJ781" s="7"/>
      <c r="AK781" s="7"/>
    </row>
    <row r="782" spans="1:37" ht="15.75" customHeight="1">
      <c r="A782" s="7"/>
      <c r="B782" s="7"/>
      <c r="C782" s="7"/>
      <c r="D782" s="7"/>
      <c r="E782" s="36"/>
      <c r="F782" s="36"/>
      <c r="G782" s="36"/>
      <c r="H782" s="7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  <c r="AA782" s="174"/>
      <c r="AB782" s="174"/>
      <c r="AC782" s="174"/>
      <c r="AD782" s="174"/>
      <c r="AE782" s="174"/>
      <c r="AF782" s="174"/>
      <c r="AG782" s="174"/>
      <c r="AH782" s="174"/>
      <c r="AI782" s="7"/>
      <c r="AJ782" s="7"/>
      <c r="AK782" s="7"/>
    </row>
    <row r="783" spans="1:37" ht="15.75" customHeight="1">
      <c r="A783" s="7"/>
      <c r="B783" s="7"/>
      <c r="C783" s="7"/>
      <c r="D783" s="7"/>
      <c r="E783" s="36"/>
      <c r="F783" s="36"/>
      <c r="G783" s="36"/>
      <c r="H783" s="7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  <c r="AA783" s="174"/>
      <c r="AB783" s="174"/>
      <c r="AC783" s="174"/>
      <c r="AD783" s="174"/>
      <c r="AE783" s="174"/>
      <c r="AF783" s="174"/>
      <c r="AG783" s="174"/>
      <c r="AH783" s="174"/>
      <c r="AI783" s="7"/>
      <c r="AJ783" s="7"/>
      <c r="AK783" s="7"/>
    </row>
    <row r="784" spans="1:37" ht="15.75" customHeight="1">
      <c r="A784" s="7"/>
      <c r="B784" s="7"/>
      <c r="C784" s="7"/>
      <c r="D784" s="7"/>
      <c r="E784" s="36"/>
      <c r="F784" s="36"/>
      <c r="G784" s="36"/>
      <c r="H784" s="7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  <c r="AA784" s="174"/>
      <c r="AB784" s="174"/>
      <c r="AC784" s="174"/>
      <c r="AD784" s="174"/>
      <c r="AE784" s="174"/>
      <c r="AF784" s="174"/>
      <c r="AG784" s="174"/>
      <c r="AH784" s="174"/>
      <c r="AI784" s="7"/>
      <c r="AJ784" s="7"/>
      <c r="AK784" s="7"/>
    </row>
    <row r="785" spans="1:37" ht="15.75" customHeight="1">
      <c r="A785" s="7"/>
      <c r="B785" s="7"/>
      <c r="C785" s="7"/>
      <c r="D785" s="7"/>
      <c r="E785" s="36"/>
      <c r="F785" s="36"/>
      <c r="G785" s="36"/>
      <c r="H785" s="7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  <c r="AA785" s="174"/>
      <c r="AB785" s="174"/>
      <c r="AC785" s="174"/>
      <c r="AD785" s="174"/>
      <c r="AE785" s="174"/>
      <c r="AF785" s="174"/>
      <c r="AG785" s="174"/>
      <c r="AH785" s="174"/>
      <c r="AI785" s="7"/>
      <c r="AJ785" s="7"/>
      <c r="AK785" s="7"/>
    </row>
    <row r="786" spans="1:37" ht="15.75" customHeight="1">
      <c r="A786" s="7"/>
      <c r="B786" s="7"/>
      <c r="C786" s="7"/>
      <c r="D786" s="7"/>
      <c r="E786" s="36"/>
      <c r="F786" s="36"/>
      <c r="G786" s="36"/>
      <c r="H786" s="7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  <c r="AA786" s="174"/>
      <c r="AB786" s="174"/>
      <c r="AC786" s="174"/>
      <c r="AD786" s="174"/>
      <c r="AE786" s="174"/>
      <c r="AF786" s="174"/>
      <c r="AG786" s="174"/>
      <c r="AH786" s="174"/>
      <c r="AI786" s="7"/>
      <c r="AJ786" s="7"/>
      <c r="AK786" s="7"/>
    </row>
    <row r="787" spans="1:37" ht="15.75" customHeight="1">
      <c r="A787" s="7"/>
      <c r="B787" s="7"/>
      <c r="C787" s="7"/>
      <c r="D787" s="7"/>
      <c r="E787" s="36"/>
      <c r="F787" s="36"/>
      <c r="G787" s="36"/>
      <c r="H787" s="7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  <c r="AA787" s="174"/>
      <c r="AB787" s="174"/>
      <c r="AC787" s="174"/>
      <c r="AD787" s="174"/>
      <c r="AE787" s="174"/>
      <c r="AF787" s="174"/>
      <c r="AG787" s="174"/>
      <c r="AH787" s="174"/>
      <c r="AI787" s="7"/>
      <c r="AJ787" s="7"/>
      <c r="AK787" s="7"/>
    </row>
    <row r="788" spans="1:37" ht="15.75" customHeight="1">
      <c r="A788" s="7"/>
      <c r="B788" s="7"/>
      <c r="C788" s="7"/>
      <c r="D788" s="7"/>
      <c r="E788" s="36"/>
      <c r="F788" s="36"/>
      <c r="G788" s="36"/>
      <c r="H788" s="7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  <c r="AA788" s="174"/>
      <c r="AB788" s="174"/>
      <c r="AC788" s="174"/>
      <c r="AD788" s="174"/>
      <c r="AE788" s="174"/>
      <c r="AF788" s="174"/>
      <c r="AG788" s="174"/>
      <c r="AH788" s="174"/>
      <c r="AI788" s="7"/>
      <c r="AJ788" s="7"/>
      <c r="AK788" s="7"/>
    </row>
    <row r="789" spans="1:37" ht="15.75" customHeight="1">
      <c r="A789" s="7"/>
      <c r="B789" s="7"/>
      <c r="C789" s="7"/>
      <c r="D789" s="7"/>
      <c r="E789" s="36"/>
      <c r="F789" s="36"/>
      <c r="G789" s="36"/>
      <c r="H789" s="7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  <c r="AA789" s="174"/>
      <c r="AB789" s="174"/>
      <c r="AC789" s="174"/>
      <c r="AD789" s="174"/>
      <c r="AE789" s="174"/>
      <c r="AF789" s="174"/>
      <c r="AG789" s="174"/>
      <c r="AH789" s="174"/>
      <c r="AI789" s="7"/>
      <c r="AJ789" s="7"/>
      <c r="AK789" s="7"/>
    </row>
    <row r="790" spans="1:37" ht="15.75" customHeight="1">
      <c r="A790" s="7"/>
      <c r="B790" s="7"/>
      <c r="C790" s="7"/>
      <c r="D790" s="7"/>
      <c r="E790" s="36"/>
      <c r="F790" s="36"/>
      <c r="G790" s="36"/>
      <c r="H790" s="7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  <c r="AA790" s="174"/>
      <c r="AB790" s="174"/>
      <c r="AC790" s="174"/>
      <c r="AD790" s="174"/>
      <c r="AE790" s="174"/>
      <c r="AF790" s="174"/>
      <c r="AG790" s="174"/>
      <c r="AH790" s="174"/>
      <c r="AI790" s="7"/>
      <c r="AJ790" s="7"/>
      <c r="AK790" s="7"/>
    </row>
    <row r="791" spans="1:37" ht="15.75" customHeight="1">
      <c r="A791" s="7"/>
      <c r="B791" s="7"/>
      <c r="C791" s="7"/>
      <c r="D791" s="7"/>
      <c r="E791" s="36"/>
      <c r="F791" s="36"/>
      <c r="G791" s="36"/>
      <c r="H791" s="7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  <c r="AA791" s="174"/>
      <c r="AB791" s="174"/>
      <c r="AC791" s="174"/>
      <c r="AD791" s="174"/>
      <c r="AE791" s="174"/>
      <c r="AF791" s="174"/>
      <c r="AG791" s="174"/>
      <c r="AH791" s="174"/>
      <c r="AI791" s="7"/>
      <c r="AJ791" s="7"/>
      <c r="AK791" s="7"/>
    </row>
    <row r="792" spans="1:37" ht="15.75" customHeight="1">
      <c r="A792" s="7"/>
      <c r="B792" s="7"/>
      <c r="C792" s="7"/>
      <c r="D792" s="7"/>
      <c r="E792" s="36"/>
      <c r="F792" s="36"/>
      <c r="G792" s="36"/>
      <c r="H792" s="7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  <c r="AA792" s="174"/>
      <c r="AB792" s="174"/>
      <c r="AC792" s="174"/>
      <c r="AD792" s="174"/>
      <c r="AE792" s="174"/>
      <c r="AF792" s="174"/>
      <c r="AG792" s="174"/>
      <c r="AH792" s="174"/>
      <c r="AI792" s="7"/>
      <c r="AJ792" s="7"/>
      <c r="AK792" s="7"/>
    </row>
    <row r="793" spans="1:37" ht="15.75" customHeight="1">
      <c r="A793" s="7"/>
      <c r="B793" s="7"/>
      <c r="C793" s="7"/>
      <c r="D793" s="7"/>
      <c r="E793" s="36"/>
      <c r="F793" s="36"/>
      <c r="G793" s="36"/>
      <c r="H793" s="7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  <c r="AA793" s="174"/>
      <c r="AB793" s="174"/>
      <c r="AC793" s="174"/>
      <c r="AD793" s="174"/>
      <c r="AE793" s="174"/>
      <c r="AF793" s="174"/>
      <c r="AG793" s="174"/>
      <c r="AH793" s="174"/>
      <c r="AI793" s="7"/>
      <c r="AJ793" s="7"/>
      <c r="AK793" s="7"/>
    </row>
    <row r="794" spans="1:37" ht="15.75" customHeight="1">
      <c r="A794" s="7"/>
      <c r="B794" s="7"/>
      <c r="C794" s="7"/>
      <c r="D794" s="7"/>
      <c r="E794" s="36"/>
      <c r="F794" s="36"/>
      <c r="G794" s="36"/>
      <c r="H794" s="7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  <c r="AA794" s="174"/>
      <c r="AB794" s="174"/>
      <c r="AC794" s="174"/>
      <c r="AD794" s="174"/>
      <c r="AE794" s="174"/>
      <c r="AF794" s="174"/>
      <c r="AG794" s="174"/>
      <c r="AH794" s="174"/>
      <c r="AI794" s="7"/>
      <c r="AJ794" s="7"/>
      <c r="AK794" s="7"/>
    </row>
    <row r="795" spans="1:37" ht="15.75" customHeight="1">
      <c r="A795" s="7"/>
      <c r="B795" s="7"/>
      <c r="C795" s="7"/>
      <c r="D795" s="7"/>
      <c r="E795" s="36"/>
      <c r="F795" s="36"/>
      <c r="G795" s="36"/>
      <c r="H795" s="7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  <c r="AA795" s="174"/>
      <c r="AB795" s="174"/>
      <c r="AC795" s="174"/>
      <c r="AD795" s="174"/>
      <c r="AE795" s="174"/>
      <c r="AF795" s="174"/>
      <c r="AG795" s="174"/>
      <c r="AH795" s="174"/>
      <c r="AI795" s="7"/>
      <c r="AJ795" s="7"/>
      <c r="AK795" s="7"/>
    </row>
    <row r="796" spans="1:37" ht="15.75" customHeight="1">
      <c r="A796" s="7"/>
      <c r="B796" s="7"/>
      <c r="C796" s="7"/>
      <c r="D796" s="7"/>
      <c r="E796" s="36"/>
      <c r="F796" s="36"/>
      <c r="G796" s="36"/>
      <c r="H796" s="7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  <c r="AA796" s="174"/>
      <c r="AB796" s="174"/>
      <c r="AC796" s="174"/>
      <c r="AD796" s="174"/>
      <c r="AE796" s="174"/>
      <c r="AF796" s="174"/>
      <c r="AG796" s="174"/>
      <c r="AH796" s="174"/>
      <c r="AI796" s="7"/>
      <c r="AJ796" s="7"/>
      <c r="AK796" s="7"/>
    </row>
    <row r="797" spans="1:37" ht="15.75" customHeight="1">
      <c r="A797" s="7"/>
      <c r="B797" s="7"/>
      <c r="C797" s="7"/>
      <c r="D797" s="7"/>
      <c r="E797" s="36"/>
      <c r="F797" s="36"/>
      <c r="G797" s="36"/>
      <c r="H797" s="7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  <c r="AA797" s="174"/>
      <c r="AB797" s="174"/>
      <c r="AC797" s="174"/>
      <c r="AD797" s="174"/>
      <c r="AE797" s="174"/>
      <c r="AF797" s="174"/>
      <c r="AG797" s="174"/>
      <c r="AH797" s="174"/>
      <c r="AI797" s="7"/>
      <c r="AJ797" s="7"/>
      <c r="AK797" s="7"/>
    </row>
    <row r="798" spans="1:37" ht="15.75" customHeight="1">
      <c r="A798" s="7"/>
      <c r="B798" s="7"/>
      <c r="C798" s="7"/>
      <c r="D798" s="7"/>
      <c r="E798" s="36"/>
      <c r="F798" s="36"/>
      <c r="G798" s="36"/>
      <c r="H798" s="7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  <c r="AA798" s="174"/>
      <c r="AB798" s="174"/>
      <c r="AC798" s="174"/>
      <c r="AD798" s="174"/>
      <c r="AE798" s="174"/>
      <c r="AF798" s="174"/>
      <c r="AG798" s="174"/>
      <c r="AH798" s="174"/>
      <c r="AI798" s="7"/>
      <c r="AJ798" s="7"/>
      <c r="AK798" s="7"/>
    </row>
    <row r="799" spans="1:37" ht="15.75" customHeight="1">
      <c r="A799" s="7"/>
      <c r="B799" s="7"/>
      <c r="C799" s="7"/>
      <c r="D799" s="7"/>
      <c r="E799" s="36"/>
      <c r="F799" s="36"/>
      <c r="G799" s="36"/>
      <c r="H799" s="7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  <c r="AA799" s="174"/>
      <c r="AB799" s="174"/>
      <c r="AC799" s="174"/>
      <c r="AD799" s="174"/>
      <c r="AE799" s="174"/>
      <c r="AF799" s="174"/>
      <c r="AG799" s="174"/>
      <c r="AH799" s="174"/>
      <c r="AI799" s="7"/>
      <c r="AJ799" s="7"/>
      <c r="AK799" s="7"/>
    </row>
    <row r="800" spans="1:37" ht="15.75" customHeight="1">
      <c r="A800" s="7"/>
      <c r="B800" s="7"/>
      <c r="C800" s="7"/>
      <c r="D800" s="7"/>
      <c r="E800" s="36"/>
      <c r="F800" s="36"/>
      <c r="G800" s="36"/>
      <c r="H800" s="7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  <c r="AA800" s="174"/>
      <c r="AB800" s="174"/>
      <c r="AC800" s="174"/>
      <c r="AD800" s="174"/>
      <c r="AE800" s="174"/>
      <c r="AF800" s="174"/>
      <c r="AG800" s="174"/>
      <c r="AH800" s="174"/>
      <c r="AI800" s="7"/>
      <c r="AJ800" s="7"/>
      <c r="AK800" s="7"/>
    </row>
    <row r="801" spans="1:37" ht="15.75" customHeight="1">
      <c r="A801" s="7"/>
      <c r="B801" s="7"/>
      <c r="C801" s="7"/>
      <c r="D801" s="7"/>
      <c r="E801" s="36"/>
      <c r="F801" s="36"/>
      <c r="G801" s="36"/>
      <c r="H801" s="7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  <c r="AA801" s="174"/>
      <c r="AB801" s="174"/>
      <c r="AC801" s="174"/>
      <c r="AD801" s="174"/>
      <c r="AE801" s="174"/>
      <c r="AF801" s="174"/>
      <c r="AG801" s="174"/>
      <c r="AH801" s="174"/>
      <c r="AI801" s="7"/>
      <c r="AJ801" s="7"/>
      <c r="AK801" s="7"/>
    </row>
    <row r="802" spans="1:37" ht="15.75" customHeight="1">
      <c r="A802" s="7"/>
      <c r="B802" s="7"/>
      <c r="C802" s="7"/>
      <c r="D802" s="7"/>
      <c r="E802" s="36"/>
      <c r="F802" s="36"/>
      <c r="G802" s="36"/>
      <c r="H802" s="7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  <c r="AA802" s="174"/>
      <c r="AB802" s="174"/>
      <c r="AC802" s="174"/>
      <c r="AD802" s="174"/>
      <c r="AE802" s="174"/>
      <c r="AF802" s="174"/>
      <c r="AG802" s="174"/>
      <c r="AH802" s="174"/>
      <c r="AI802" s="7"/>
      <c r="AJ802" s="7"/>
      <c r="AK802" s="7"/>
    </row>
    <row r="803" spans="1:37" ht="15.75" customHeight="1">
      <c r="A803" s="7"/>
      <c r="B803" s="7"/>
      <c r="C803" s="7"/>
      <c r="D803" s="7"/>
      <c r="E803" s="36"/>
      <c r="F803" s="36"/>
      <c r="G803" s="36"/>
      <c r="H803" s="7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  <c r="AA803" s="174"/>
      <c r="AB803" s="174"/>
      <c r="AC803" s="174"/>
      <c r="AD803" s="174"/>
      <c r="AE803" s="174"/>
      <c r="AF803" s="174"/>
      <c r="AG803" s="174"/>
      <c r="AH803" s="174"/>
      <c r="AI803" s="7"/>
      <c r="AJ803" s="7"/>
      <c r="AK803" s="7"/>
    </row>
    <row r="804" spans="1:37" ht="15.75" customHeight="1">
      <c r="A804" s="7"/>
      <c r="B804" s="7"/>
      <c r="C804" s="7"/>
      <c r="D804" s="7"/>
      <c r="E804" s="36"/>
      <c r="F804" s="36"/>
      <c r="G804" s="36"/>
      <c r="H804" s="7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  <c r="AA804" s="174"/>
      <c r="AB804" s="174"/>
      <c r="AC804" s="174"/>
      <c r="AD804" s="174"/>
      <c r="AE804" s="174"/>
      <c r="AF804" s="174"/>
      <c r="AG804" s="174"/>
      <c r="AH804" s="174"/>
      <c r="AI804" s="7"/>
      <c r="AJ804" s="7"/>
      <c r="AK804" s="7"/>
    </row>
    <row r="805" spans="1:37" ht="15.75" customHeight="1">
      <c r="A805" s="7"/>
      <c r="B805" s="7"/>
      <c r="C805" s="7"/>
      <c r="D805" s="7"/>
      <c r="E805" s="36"/>
      <c r="F805" s="36"/>
      <c r="G805" s="36"/>
      <c r="H805" s="7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  <c r="AA805" s="174"/>
      <c r="AB805" s="174"/>
      <c r="AC805" s="174"/>
      <c r="AD805" s="174"/>
      <c r="AE805" s="174"/>
      <c r="AF805" s="174"/>
      <c r="AG805" s="174"/>
      <c r="AH805" s="174"/>
      <c r="AI805" s="7"/>
      <c r="AJ805" s="7"/>
      <c r="AK805" s="7"/>
    </row>
    <row r="806" spans="1:37" ht="15.75" customHeight="1">
      <c r="A806" s="7"/>
      <c r="B806" s="7"/>
      <c r="C806" s="7"/>
      <c r="D806" s="7"/>
      <c r="E806" s="36"/>
      <c r="F806" s="36"/>
      <c r="G806" s="36"/>
      <c r="H806" s="7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  <c r="AA806" s="174"/>
      <c r="AB806" s="174"/>
      <c r="AC806" s="174"/>
      <c r="AD806" s="174"/>
      <c r="AE806" s="174"/>
      <c r="AF806" s="174"/>
      <c r="AG806" s="174"/>
      <c r="AH806" s="174"/>
      <c r="AI806" s="7"/>
      <c r="AJ806" s="7"/>
      <c r="AK806" s="7"/>
    </row>
    <row r="807" spans="1:37" ht="15.75" customHeight="1">
      <c r="A807" s="7"/>
      <c r="B807" s="7"/>
      <c r="C807" s="7"/>
      <c r="D807" s="7"/>
      <c r="E807" s="36"/>
      <c r="F807" s="36"/>
      <c r="G807" s="36"/>
      <c r="H807" s="7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  <c r="AA807" s="174"/>
      <c r="AB807" s="174"/>
      <c r="AC807" s="174"/>
      <c r="AD807" s="174"/>
      <c r="AE807" s="174"/>
      <c r="AF807" s="174"/>
      <c r="AG807" s="174"/>
      <c r="AH807" s="174"/>
      <c r="AI807" s="7"/>
      <c r="AJ807" s="7"/>
      <c r="AK807" s="7"/>
    </row>
    <row r="808" spans="1:37" ht="15.75" customHeight="1">
      <c r="A808" s="7"/>
      <c r="B808" s="7"/>
      <c r="C808" s="7"/>
      <c r="D808" s="7"/>
      <c r="E808" s="36"/>
      <c r="F808" s="36"/>
      <c r="G808" s="36"/>
      <c r="H808" s="7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  <c r="AA808" s="174"/>
      <c r="AB808" s="174"/>
      <c r="AC808" s="174"/>
      <c r="AD808" s="174"/>
      <c r="AE808" s="174"/>
      <c r="AF808" s="174"/>
      <c r="AG808" s="174"/>
      <c r="AH808" s="174"/>
      <c r="AI808" s="7"/>
      <c r="AJ808" s="7"/>
      <c r="AK808" s="7"/>
    </row>
    <row r="809" spans="1:37" ht="15.75" customHeight="1">
      <c r="A809" s="7"/>
      <c r="B809" s="7"/>
      <c r="C809" s="7"/>
      <c r="D809" s="7"/>
      <c r="E809" s="36"/>
      <c r="F809" s="36"/>
      <c r="G809" s="36"/>
      <c r="H809" s="7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  <c r="AA809" s="174"/>
      <c r="AB809" s="174"/>
      <c r="AC809" s="174"/>
      <c r="AD809" s="174"/>
      <c r="AE809" s="174"/>
      <c r="AF809" s="174"/>
      <c r="AG809" s="174"/>
      <c r="AH809" s="174"/>
      <c r="AI809" s="7"/>
      <c r="AJ809" s="7"/>
      <c r="AK809" s="7"/>
    </row>
    <row r="810" spans="1:37" ht="15.75" customHeight="1">
      <c r="A810" s="7"/>
      <c r="B810" s="7"/>
      <c r="C810" s="7"/>
      <c r="D810" s="7"/>
      <c r="E810" s="36"/>
      <c r="F810" s="36"/>
      <c r="G810" s="36"/>
      <c r="H810" s="7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  <c r="AA810" s="174"/>
      <c r="AB810" s="174"/>
      <c r="AC810" s="174"/>
      <c r="AD810" s="174"/>
      <c r="AE810" s="174"/>
      <c r="AF810" s="174"/>
      <c r="AG810" s="174"/>
      <c r="AH810" s="174"/>
      <c r="AI810" s="7"/>
      <c r="AJ810" s="7"/>
      <c r="AK810" s="7"/>
    </row>
    <row r="811" spans="1:37" ht="15.75" customHeight="1">
      <c r="A811" s="7"/>
      <c r="B811" s="7"/>
      <c r="C811" s="7"/>
      <c r="D811" s="7"/>
      <c r="E811" s="36"/>
      <c r="F811" s="36"/>
      <c r="G811" s="36"/>
      <c r="H811" s="7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7"/>
      <c r="AJ811" s="7"/>
      <c r="AK811" s="7"/>
    </row>
    <row r="812" spans="1:37" ht="15.75" customHeight="1">
      <c r="A812" s="7"/>
      <c r="B812" s="7"/>
      <c r="C812" s="7"/>
      <c r="D812" s="7"/>
      <c r="E812" s="36"/>
      <c r="F812" s="36"/>
      <c r="G812" s="36"/>
      <c r="H812" s="7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7"/>
      <c r="AJ812" s="7"/>
      <c r="AK812" s="7"/>
    </row>
    <row r="813" spans="1:37" ht="15.75" customHeight="1">
      <c r="A813" s="7"/>
      <c r="B813" s="7"/>
      <c r="C813" s="7"/>
      <c r="D813" s="7"/>
      <c r="E813" s="36"/>
      <c r="F813" s="36"/>
      <c r="G813" s="36"/>
      <c r="H813" s="7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7"/>
      <c r="AJ813" s="7"/>
      <c r="AK813" s="7"/>
    </row>
    <row r="814" spans="1:37" ht="15.75" customHeight="1">
      <c r="A814" s="7"/>
      <c r="B814" s="7"/>
      <c r="C814" s="7"/>
      <c r="D814" s="7"/>
      <c r="E814" s="36"/>
      <c r="F814" s="36"/>
      <c r="G814" s="36"/>
      <c r="H814" s="7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7"/>
      <c r="AJ814" s="7"/>
      <c r="AK814" s="7"/>
    </row>
    <row r="815" spans="1:37" ht="15.75" customHeight="1">
      <c r="A815" s="7"/>
      <c r="B815" s="7"/>
      <c r="C815" s="7"/>
      <c r="D815" s="7"/>
      <c r="E815" s="36"/>
      <c r="F815" s="36"/>
      <c r="G815" s="36"/>
      <c r="H815" s="7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7"/>
      <c r="AJ815" s="7"/>
      <c r="AK815" s="7"/>
    </row>
    <row r="816" spans="1:37" ht="15.75" customHeight="1">
      <c r="A816" s="7"/>
      <c r="B816" s="7"/>
      <c r="C816" s="7"/>
      <c r="D816" s="7"/>
      <c r="E816" s="36"/>
      <c r="F816" s="36"/>
      <c r="G816" s="36"/>
      <c r="H816" s="7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7"/>
      <c r="AJ816" s="7"/>
      <c r="AK816" s="7"/>
    </row>
    <row r="817" spans="1:37" ht="15.75" customHeight="1">
      <c r="A817" s="7"/>
      <c r="B817" s="7"/>
      <c r="C817" s="7"/>
      <c r="D817" s="7"/>
      <c r="E817" s="36"/>
      <c r="F817" s="36"/>
      <c r="G817" s="36"/>
      <c r="H817" s="7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7"/>
      <c r="AJ817" s="7"/>
      <c r="AK817" s="7"/>
    </row>
    <row r="818" spans="1:37" ht="15.75" customHeight="1">
      <c r="A818" s="7"/>
      <c r="B818" s="7"/>
      <c r="C818" s="7"/>
      <c r="D818" s="7"/>
      <c r="E818" s="36"/>
      <c r="F818" s="36"/>
      <c r="G818" s="36"/>
      <c r="H818" s="7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  <c r="AA818" s="174"/>
      <c r="AB818" s="174"/>
      <c r="AC818" s="174"/>
      <c r="AD818" s="174"/>
      <c r="AE818" s="174"/>
      <c r="AF818" s="174"/>
      <c r="AG818" s="174"/>
      <c r="AH818" s="174"/>
      <c r="AI818" s="7"/>
      <c r="AJ818" s="7"/>
      <c r="AK818" s="7"/>
    </row>
    <row r="819" spans="1:37" ht="15.75" customHeight="1">
      <c r="A819" s="7"/>
      <c r="B819" s="7"/>
      <c r="C819" s="7"/>
      <c r="D819" s="7"/>
      <c r="E819" s="36"/>
      <c r="F819" s="36"/>
      <c r="G819" s="36"/>
      <c r="H819" s="7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  <c r="AA819" s="174"/>
      <c r="AB819" s="174"/>
      <c r="AC819" s="174"/>
      <c r="AD819" s="174"/>
      <c r="AE819" s="174"/>
      <c r="AF819" s="174"/>
      <c r="AG819" s="174"/>
      <c r="AH819" s="174"/>
      <c r="AI819" s="7"/>
      <c r="AJ819" s="7"/>
      <c r="AK819" s="7"/>
    </row>
    <row r="820" spans="1:37" ht="15.75" customHeight="1">
      <c r="A820" s="7"/>
      <c r="B820" s="7"/>
      <c r="C820" s="7"/>
      <c r="D820" s="7"/>
      <c r="E820" s="36"/>
      <c r="F820" s="36"/>
      <c r="G820" s="36"/>
      <c r="H820" s="7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  <c r="AA820" s="174"/>
      <c r="AB820" s="174"/>
      <c r="AC820" s="174"/>
      <c r="AD820" s="174"/>
      <c r="AE820" s="174"/>
      <c r="AF820" s="174"/>
      <c r="AG820" s="174"/>
      <c r="AH820" s="174"/>
      <c r="AI820" s="7"/>
      <c r="AJ820" s="7"/>
      <c r="AK820" s="7"/>
    </row>
    <row r="821" spans="1:37" ht="15.75" customHeight="1">
      <c r="A821" s="7"/>
      <c r="B821" s="7"/>
      <c r="C821" s="7"/>
      <c r="D821" s="7"/>
      <c r="E821" s="36"/>
      <c r="F821" s="36"/>
      <c r="G821" s="36"/>
      <c r="H821" s="7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  <c r="AA821" s="174"/>
      <c r="AB821" s="174"/>
      <c r="AC821" s="174"/>
      <c r="AD821" s="174"/>
      <c r="AE821" s="174"/>
      <c r="AF821" s="174"/>
      <c r="AG821" s="174"/>
      <c r="AH821" s="174"/>
      <c r="AI821" s="7"/>
      <c r="AJ821" s="7"/>
      <c r="AK821" s="7"/>
    </row>
    <row r="822" spans="1:37" ht="15.75" customHeight="1">
      <c r="A822" s="7"/>
      <c r="B822" s="7"/>
      <c r="C822" s="7"/>
      <c r="D822" s="7"/>
      <c r="E822" s="36"/>
      <c r="F822" s="36"/>
      <c r="G822" s="36"/>
      <c r="H822" s="7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  <c r="AA822" s="174"/>
      <c r="AB822" s="174"/>
      <c r="AC822" s="174"/>
      <c r="AD822" s="174"/>
      <c r="AE822" s="174"/>
      <c r="AF822" s="174"/>
      <c r="AG822" s="174"/>
      <c r="AH822" s="174"/>
      <c r="AI822" s="7"/>
      <c r="AJ822" s="7"/>
      <c r="AK822" s="7"/>
    </row>
    <row r="823" spans="1:37" ht="15.75" customHeight="1">
      <c r="A823" s="7"/>
      <c r="B823" s="7"/>
      <c r="C823" s="7"/>
      <c r="D823" s="7"/>
      <c r="E823" s="36"/>
      <c r="F823" s="36"/>
      <c r="G823" s="36"/>
      <c r="H823" s="7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  <c r="AA823" s="174"/>
      <c r="AB823" s="174"/>
      <c r="AC823" s="174"/>
      <c r="AD823" s="174"/>
      <c r="AE823" s="174"/>
      <c r="AF823" s="174"/>
      <c r="AG823" s="174"/>
      <c r="AH823" s="174"/>
      <c r="AI823" s="7"/>
      <c r="AJ823" s="7"/>
      <c r="AK823" s="7"/>
    </row>
    <row r="824" spans="1:37" ht="15.75" customHeight="1">
      <c r="A824" s="7"/>
      <c r="B824" s="7"/>
      <c r="C824" s="7"/>
      <c r="D824" s="7"/>
      <c r="E824" s="36"/>
      <c r="F824" s="36"/>
      <c r="G824" s="36"/>
      <c r="H824" s="7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  <c r="AA824" s="174"/>
      <c r="AB824" s="174"/>
      <c r="AC824" s="174"/>
      <c r="AD824" s="174"/>
      <c r="AE824" s="174"/>
      <c r="AF824" s="174"/>
      <c r="AG824" s="174"/>
      <c r="AH824" s="174"/>
      <c r="AI824" s="7"/>
      <c r="AJ824" s="7"/>
      <c r="AK824" s="7"/>
    </row>
    <row r="825" spans="1:37" ht="15.75" customHeight="1">
      <c r="A825" s="7"/>
      <c r="B825" s="7"/>
      <c r="C825" s="7"/>
      <c r="D825" s="7"/>
      <c r="E825" s="36"/>
      <c r="F825" s="36"/>
      <c r="G825" s="36"/>
      <c r="H825" s="7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  <c r="AA825" s="174"/>
      <c r="AB825" s="174"/>
      <c r="AC825" s="174"/>
      <c r="AD825" s="174"/>
      <c r="AE825" s="174"/>
      <c r="AF825" s="174"/>
      <c r="AG825" s="174"/>
      <c r="AH825" s="174"/>
      <c r="AI825" s="7"/>
      <c r="AJ825" s="7"/>
      <c r="AK825" s="7"/>
    </row>
    <row r="826" spans="1:37" ht="15.75" customHeight="1">
      <c r="A826" s="7"/>
      <c r="B826" s="7"/>
      <c r="C826" s="7"/>
      <c r="D826" s="7"/>
      <c r="E826" s="36"/>
      <c r="F826" s="36"/>
      <c r="G826" s="36"/>
      <c r="H826" s="7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  <c r="AA826" s="174"/>
      <c r="AB826" s="174"/>
      <c r="AC826" s="174"/>
      <c r="AD826" s="174"/>
      <c r="AE826" s="174"/>
      <c r="AF826" s="174"/>
      <c r="AG826" s="174"/>
      <c r="AH826" s="174"/>
      <c r="AI826" s="7"/>
      <c r="AJ826" s="7"/>
      <c r="AK826" s="7"/>
    </row>
    <row r="827" spans="1:37" ht="15.75" customHeight="1">
      <c r="A827" s="7"/>
      <c r="B827" s="7"/>
      <c r="C827" s="7"/>
      <c r="D827" s="7"/>
      <c r="E827" s="36"/>
      <c r="F827" s="36"/>
      <c r="G827" s="36"/>
      <c r="H827" s="7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  <c r="AA827" s="174"/>
      <c r="AB827" s="174"/>
      <c r="AC827" s="174"/>
      <c r="AD827" s="174"/>
      <c r="AE827" s="174"/>
      <c r="AF827" s="174"/>
      <c r="AG827" s="174"/>
      <c r="AH827" s="174"/>
      <c r="AI827" s="7"/>
      <c r="AJ827" s="7"/>
      <c r="AK827" s="7"/>
    </row>
    <row r="828" spans="1:37" ht="15.75" customHeight="1">
      <c r="A828" s="7"/>
      <c r="B828" s="7"/>
      <c r="C828" s="7"/>
      <c r="D828" s="7"/>
      <c r="E828" s="36"/>
      <c r="F828" s="36"/>
      <c r="G828" s="36"/>
      <c r="H828" s="7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  <c r="AA828" s="174"/>
      <c r="AB828" s="174"/>
      <c r="AC828" s="174"/>
      <c r="AD828" s="174"/>
      <c r="AE828" s="174"/>
      <c r="AF828" s="174"/>
      <c r="AG828" s="174"/>
      <c r="AH828" s="174"/>
      <c r="AI828" s="7"/>
      <c r="AJ828" s="7"/>
      <c r="AK828" s="7"/>
    </row>
    <row r="829" spans="1:37" ht="15.75" customHeight="1">
      <c r="A829" s="7"/>
      <c r="B829" s="7"/>
      <c r="C829" s="7"/>
      <c r="D829" s="7"/>
      <c r="E829" s="36"/>
      <c r="F829" s="36"/>
      <c r="G829" s="36"/>
      <c r="H829" s="7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  <c r="AA829" s="174"/>
      <c r="AB829" s="174"/>
      <c r="AC829" s="174"/>
      <c r="AD829" s="174"/>
      <c r="AE829" s="174"/>
      <c r="AF829" s="174"/>
      <c r="AG829" s="174"/>
      <c r="AH829" s="174"/>
      <c r="AI829" s="7"/>
      <c r="AJ829" s="7"/>
      <c r="AK829" s="7"/>
    </row>
    <row r="830" spans="1:37" ht="15.75" customHeight="1">
      <c r="A830" s="7"/>
      <c r="B830" s="7"/>
      <c r="C830" s="7"/>
      <c r="D830" s="7"/>
      <c r="E830" s="36"/>
      <c r="F830" s="36"/>
      <c r="G830" s="36"/>
      <c r="H830" s="7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  <c r="AA830" s="174"/>
      <c r="AB830" s="174"/>
      <c r="AC830" s="174"/>
      <c r="AD830" s="174"/>
      <c r="AE830" s="174"/>
      <c r="AF830" s="174"/>
      <c r="AG830" s="174"/>
      <c r="AH830" s="174"/>
      <c r="AI830" s="7"/>
      <c r="AJ830" s="7"/>
      <c r="AK830" s="7"/>
    </row>
    <row r="831" spans="1:37" ht="15.75" customHeight="1">
      <c r="A831" s="7"/>
      <c r="B831" s="7"/>
      <c r="C831" s="7"/>
      <c r="D831" s="7"/>
      <c r="E831" s="36"/>
      <c r="F831" s="36"/>
      <c r="G831" s="36"/>
      <c r="H831" s="7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  <c r="AA831" s="174"/>
      <c r="AB831" s="174"/>
      <c r="AC831" s="174"/>
      <c r="AD831" s="174"/>
      <c r="AE831" s="174"/>
      <c r="AF831" s="174"/>
      <c r="AG831" s="174"/>
      <c r="AH831" s="174"/>
      <c r="AI831" s="7"/>
      <c r="AJ831" s="7"/>
      <c r="AK831" s="7"/>
    </row>
    <row r="832" spans="1:37" ht="15.75" customHeight="1">
      <c r="A832" s="7"/>
      <c r="B832" s="7"/>
      <c r="C832" s="7"/>
      <c r="D832" s="7"/>
      <c r="E832" s="36"/>
      <c r="F832" s="36"/>
      <c r="G832" s="36"/>
      <c r="H832" s="7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  <c r="AA832" s="174"/>
      <c r="AB832" s="174"/>
      <c r="AC832" s="174"/>
      <c r="AD832" s="174"/>
      <c r="AE832" s="174"/>
      <c r="AF832" s="174"/>
      <c r="AG832" s="174"/>
      <c r="AH832" s="174"/>
      <c r="AI832" s="7"/>
      <c r="AJ832" s="7"/>
      <c r="AK832" s="7"/>
    </row>
    <row r="833" spans="1:37" ht="15.75" customHeight="1">
      <c r="A833" s="7"/>
      <c r="B833" s="7"/>
      <c r="C833" s="7"/>
      <c r="D833" s="7"/>
      <c r="E833" s="36"/>
      <c r="F833" s="36"/>
      <c r="G833" s="36"/>
      <c r="H833" s="7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  <c r="AA833" s="174"/>
      <c r="AB833" s="174"/>
      <c r="AC833" s="174"/>
      <c r="AD833" s="174"/>
      <c r="AE833" s="174"/>
      <c r="AF833" s="174"/>
      <c r="AG833" s="174"/>
      <c r="AH833" s="174"/>
      <c r="AI833" s="7"/>
      <c r="AJ833" s="7"/>
      <c r="AK833" s="7"/>
    </row>
    <row r="834" spans="1:37" ht="15.75" customHeight="1">
      <c r="A834" s="7"/>
      <c r="B834" s="7"/>
      <c r="C834" s="7"/>
      <c r="D834" s="7"/>
      <c r="E834" s="36"/>
      <c r="F834" s="36"/>
      <c r="G834" s="36"/>
      <c r="H834" s="7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  <c r="AA834" s="174"/>
      <c r="AB834" s="174"/>
      <c r="AC834" s="174"/>
      <c r="AD834" s="174"/>
      <c r="AE834" s="174"/>
      <c r="AF834" s="174"/>
      <c r="AG834" s="174"/>
      <c r="AH834" s="174"/>
      <c r="AI834" s="7"/>
      <c r="AJ834" s="7"/>
      <c r="AK834" s="7"/>
    </row>
    <row r="835" spans="1:37" ht="15.75" customHeight="1">
      <c r="A835" s="7"/>
      <c r="B835" s="7"/>
      <c r="C835" s="7"/>
      <c r="D835" s="7"/>
      <c r="E835" s="36"/>
      <c r="F835" s="36"/>
      <c r="G835" s="36"/>
      <c r="H835" s="7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  <c r="AA835" s="174"/>
      <c r="AB835" s="174"/>
      <c r="AC835" s="174"/>
      <c r="AD835" s="174"/>
      <c r="AE835" s="174"/>
      <c r="AF835" s="174"/>
      <c r="AG835" s="174"/>
      <c r="AH835" s="174"/>
      <c r="AI835" s="7"/>
      <c r="AJ835" s="7"/>
      <c r="AK835" s="7"/>
    </row>
    <row r="836" spans="1:37" ht="15.75" customHeight="1">
      <c r="A836" s="7"/>
      <c r="B836" s="7"/>
      <c r="C836" s="7"/>
      <c r="D836" s="7"/>
      <c r="E836" s="36"/>
      <c r="F836" s="36"/>
      <c r="G836" s="36"/>
      <c r="H836" s="7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  <c r="AA836" s="174"/>
      <c r="AB836" s="174"/>
      <c r="AC836" s="174"/>
      <c r="AD836" s="174"/>
      <c r="AE836" s="174"/>
      <c r="AF836" s="174"/>
      <c r="AG836" s="174"/>
      <c r="AH836" s="174"/>
      <c r="AI836" s="7"/>
      <c r="AJ836" s="7"/>
      <c r="AK836" s="7"/>
    </row>
    <row r="837" spans="1:37" ht="15.75" customHeight="1">
      <c r="A837" s="7"/>
      <c r="B837" s="7"/>
      <c r="C837" s="7"/>
      <c r="D837" s="7"/>
      <c r="E837" s="36"/>
      <c r="F837" s="36"/>
      <c r="G837" s="36"/>
      <c r="H837" s="7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  <c r="AA837" s="174"/>
      <c r="AB837" s="174"/>
      <c r="AC837" s="174"/>
      <c r="AD837" s="174"/>
      <c r="AE837" s="174"/>
      <c r="AF837" s="174"/>
      <c r="AG837" s="174"/>
      <c r="AH837" s="174"/>
      <c r="AI837" s="7"/>
      <c r="AJ837" s="7"/>
      <c r="AK837" s="7"/>
    </row>
    <row r="838" spans="1:37" ht="15.75" customHeight="1">
      <c r="A838" s="7"/>
      <c r="B838" s="7"/>
      <c r="C838" s="7"/>
      <c r="D838" s="7"/>
      <c r="E838" s="36"/>
      <c r="F838" s="36"/>
      <c r="G838" s="36"/>
      <c r="H838" s="7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  <c r="AA838" s="174"/>
      <c r="AB838" s="174"/>
      <c r="AC838" s="174"/>
      <c r="AD838" s="174"/>
      <c r="AE838" s="174"/>
      <c r="AF838" s="174"/>
      <c r="AG838" s="174"/>
      <c r="AH838" s="174"/>
      <c r="AI838" s="7"/>
      <c r="AJ838" s="7"/>
      <c r="AK838" s="7"/>
    </row>
    <row r="839" spans="1:37" ht="15.75" customHeight="1">
      <c r="A839" s="7"/>
      <c r="B839" s="7"/>
      <c r="C839" s="7"/>
      <c r="D839" s="7"/>
      <c r="E839" s="36"/>
      <c r="F839" s="36"/>
      <c r="G839" s="36"/>
      <c r="H839" s="7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  <c r="AA839" s="174"/>
      <c r="AB839" s="174"/>
      <c r="AC839" s="174"/>
      <c r="AD839" s="174"/>
      <c r="AE839" s="174"/>
      <c r="AF839" s="174"/>
      <c r="AG839" s="174"/>
      <c r="AH839" s="174"/>
      <c r="AI839" s="7"/>
      <c r="AJ839" s="7"/>
      <c r="AK839" s="7"/>
    </row>
    <row r="840" spans="1:37" ht="15.75" customHeight="1">
      <c r="A840" s="7"/>
      <c r="B840" s="7"/>
      <c r="C840" s="7"/>
      <c r="D840" s="7"/>
      <c r="E840" s="36"/>
      <c r="F840" s="36"/>
      <c r="G840" s="36"/>
      <c r="H840" s="7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  <c r="AA840" s="174"/>
      <c r="AB840" s="174"/>
      <c r="AC840" s="174"/>
      <c r="AD840" s="174"/>
      <c r="AE840" s="174"/>
      <c r="AF840" s="174"/>
      <c r="AG840" s="174"/>
      <c r="AH840" s="174"/>
      <c r="AI840" s="7"/>
      <c r="AJ840" s="7"/>
      <c r="AK840" s="7"/>
    </row>
    <row r="841" spans="1:37" ht="15.75" customHeight="1">
      <c r="A841" s="7"/>
      <c r="B841" s="7"/>
      <c r="C841" s="7"/>
      <c r="D841" s="7"/>
      <c r="E841" s="36"/>
      <c r="F841" s="36"/>
      <c r="G841" s="36"/>
      <c r="H841" s="7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  <c r="AA841" s="174"/>
      <c r="AB841" s="174"/>
      <c r="AC841" s="174"/>
      <c r="AD841" s="174"/>
      <c r="AE841" s="174"/>
      <c r="AF841" s="174"/>
      <c r="AG841" s="174"/>
      <c r="AH841" s="174"/>
      <c r="AI841" s="7"/>
      <c r="AJ841" s="7"/>
      <c r="AK841" s="7"/>
    </row>
    <row r="842" spans="1:37" ht="15.75" customHeight="1">
      <c r="A842" s="7"/>
      <c r="B842" s="7"/>
      <c r="C842" s="7"/>
      <c r="D842" s="7"/>
      <c r="E842" s="36"/>
      <c r="F842" s="36"/>
      <c r="G842" s="36"/>
      <c r="H842" s="7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  <c r="AA842" s="174"/>
      <c r="AB842" s="174"/>
      <c r="AC842" s="174"/>
      <c r="AD842" s="174"/>
      <c r="AE842" s="174"/>
      <c r="AF842" s="174"/>
      <c r="AG842" s="174"/>
      <c r="AH842" s="174"/>
      <c r="AI842" s="7"/>
      <c r="AJ842" s="7"/>
      <c r="AK842" s="7"/>
    </row>
    <row r="843" spans="1:37" ht="15.75" customHeight="1">
      <c r="A843" s="7"/>
      <c r="B843" s="7"/>
      <c r="C843" s="7"/>
      <c r="D843" s="7"/>
      <c r="E843" s="36"/>
      <c r="F843" s="36"/>
      <c r="G843" s="36"/>
      <c r="H843" s="7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  <c r="AA843" s="174"/>
      <c r="AB843" s="174"/>
      <c r="AC843" s="174"/>
      <c r="AD843" s="174"/>
      <c r="AE843" s="174"/>
      <c r="AF843" s="174"/>
      <c r="AG843" s="174"/>
      <c r="AH843" s="174"/>
      <c r="AI843" s="7"/>
      <c r="AJ843" s="7"/>
      <c r="AK843" s="7"/>
    </row>
    <row r="844" spans="1:37" ht="15.75" customHeight="1">
      <c r="A844" s="7"/>
      <c r="B844" s="7"/>
      <c r="C844" s="7"/>
      <c r="D844" s="7"/>
      <c r="E844" s="36"/>
      <c r="F844" s="36"/>
      <c r="G844" s="36"/>
      <c r="H844" s="7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  <c r="AA844" s="174"/>
      <c r="AB844" s="174"/>
      <c r="AC844" s="174"/>
      <c r="AD844" s="174"/>
      <c r="AE844" s="174"/>
      <c r="AF844" s="174"/>
      <c r="AG844" s="174"/>
      <c r="AH844" s="174"/>
      <c r="AI844" s="7"/>
      <c r="AJ844" s="7"/>
      <c r="AK844" s="7"/>
    </row>
    <row r="845" spans="1:37" ht="15.75" customHeight="1">
      <c r="A845" s="7"/>
      <c r="B845" s="7"/>
      <c r="C845" s="7"/>
      <c r="D845" s="7"/>
      <c r="E845" s="36"/>
      <c r="F845" s="36"/>
      <c r="G845" s="36"/>
      <c r="H845" s="7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  <c r="AA845" s="174"/>
      <c r="AB845" s="174"/>
      <c r="AC845" s="174"/>
      <c r="AD845" s="174"/>
      <c r="AE845" s="174"/>
      <c r="AF845" s="174"/>
      <c r="AG845" s="174"/>
      <c r="AH845" s="174"/>
      <c r="AI845" s="7"/>
      <c r="AJ845" s="7"/>
      <c r="AK845" s="7"/>
    </row>
    <row r="846" spans="1:37" ht="15.75" customHeight="1">
      <c r="A846" s="7"/>
      <c r="B846" s="7"/>
      <c r="C846" s="7"/>
      <c r="D846" s="7"/>
      <c r="E846" s="36"/>
      <c r="F846" s="36"/>
      <c r="G846" s="36"/>
      <c r="H846" s="7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  <c r="AA846" s="174"/>
      <c r="AB846" s="174"/>
      <c r="AC846" s="174"/>
      <c r="AD846" s="174"/>
      <c r="AE846" s="174"/>
      <c r="AF846" s="174"/>
      <c r="AG846" s="174"/>
      <c r="AH846" s="174"/>
      <c r="AI846" s="7"/>
      <c r="AJ846" s="7"/>
      <c r="AK846" s="7"/>
    </row>
    <row r="847" spans="1:37" ht="15.75" customHeight="1">
      <c r="A847" s="7"/>
      <c r="B847" s="7"/>
      <c r="C847" s="7"/>
      <c r="D847" s="7"/>
      <c r="E847" s="36"/>
      <c r="F847" s="36"/>
      <c r="G847" s="36"/>
      <c r="H847" s="7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  <c r="AA847" s="174"/>
      <c r="AB847" s="174"/>
      <c r="AC847" s="174"/>
      <c r="AD847" s="174"/>
      <c r="AE847" s="174"/>
      <c r="AF847" s="174"/>
      <c r="AG847" s="174"/>
      <c r="AH847" s="174"/>
      <c r="AI847" s="7"/>
      <c r="AJ847" s="7"/>
      <c r="AK847" s="7"/>
    </row>
    <row r="848" spans="1:37" ht="15.75" customHeight="1">
      <c r="A848" s="7"/>
      <c r="B848" s="7"/>
      <c r="C848" s="7"/>
      <c r="D848" s="7"/>
      <c r="E848" s="36"/>
      <c r="F848" s="36"/>
      <c r="G848" s="36"/>
      <c r="H848" s="7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  <c r="AA848" s="174"/>
      <c r="AB848" s="174"/>
      <c r="AC848" s="174"/>
      <c r="AD848" s="174"/>
      <c r="AE848" s="174"/>
      <c r="AF848" s="174"/>
      <c r="AG848" s="174"/>
      <c r="AH848" s="174"/>
      <c r="AI848" s="7"/>
      <c r="AJ848" s="7"/>
      <c r="AK848" s="7"/>
    </row>
    <row r="849" spans="1:37" ht="15.75" customHeight="1">
      <c r="A849" s="7"/>
      <c r="B849" s="7"/>
      <c r="C849" s="7"/>
      <c r="D849" s="7"/>
      <c r="E849" s="36"/>
      <c r="F849" s="36"/>
      <c r="G849" s="36"/>
      <c r="H849" s="7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  <c r="AA849" s="174"/>
      <c r="AB849" s="174"/>
      <c r="AC849" s="174"/>
      <c r="AD849" s="174"/>
      <c r="AE849" s="174"/>
      <c r="AF849" s="174"/>
      <c r="AG849" s="174"/>
      <c r="AH849" s="174"/>
      <c r="AI849" s="7"/>
      <c r="AJ849" s="7"/>
      <c r="AK849" s="7"/>
    </row>
    <row r="850" spans="1:37" ht="15.75" customHeight="1">
      <c r="A850" s="7"/>
      <c r="B850" s="7"/>
      <c r="C850" s="7"/>
      <c r="D850" s="7"/>
      <c r="E850" s="36"/>
      <c r="F850" s="36"/>
      <c r="G850" s="36"/>
      <c r="H850" s="7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  <c r="AA850" s="174"/>
      <c r="AB850" s="174"/>
      <c r="AC850" s="174"/>
      <c r="AD850" s="174"/>
      <c r="AE850" s="174"/>
      <c r="AF850" s="174"/>
      <c r="AG850" s="174"/>
      <c r="AH850" s="174"/>
      <c r="AI850" s="7"/>
      <c r="AJ850" s="7"/>
      <c r="AK850" s="7"/>
    </row>
    <row r="851" spans="1:37" ht="15.75" customHeight="1">
      <c r="A851" s="7"/>
      <c r="B851" s="7"/>
      <c r="C851" s="7"/>
      <c r="D851" s="7"/>
      <c r="E851" s="36"/>
      <c r="F851" s="36"/>
      <c r="G851" s="36"/>
      <c r="H851" s="7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  <c r="AA851" s="174"/>
      <c r="AB851" s="174"/>
      <c r="AC851" s="174"/>
      <c r="AD851" s="174"/>
      <c r="AE851" s="174"/>
      <c r="AF851" s="174"/>
      <c r="AG851" s="174"/>
      <c r="AH851" s="174"/>
      <c r="AI851" s="7"/>
      <c r="AJ851" s="7"/>
      <c r="AK851" s="7"/>
    </row>
    <row r="852" spans="1:37" ht="15.75" customHeight="1">
      <c r="A852" s="7"/>
      <c r="B852" s="7"/>
      <c r="C852" s="7"/>
      <c r="D852" s="7"/>
      <c r="E852" s="36"/>
      <c r="F852" s="36"/>
      <c r="G852" s="36"/>
      <c r="H852" s="7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  <c r="AA852" s="174"/>
      <c r="AB852" s="174"/>
      <c r="AC852" s="174"/>
      <c r="AD852" s="174"/>
      <c r="AE852" s="174"/>
      <c r="AF852" s="174"/>
      <c r="AG852" s="174"/>
      <c r="AH852" s="174"/>
      <c r="AI852" s="7"/>
      <c r="AJ852" s="7"/>
      <c r="AK852" s="7"/>
    </row>
    <row r="853" spans="1:37" ht="15.75" customHeight="1">
      <c r="A853" s="7"/>
      <c r="B853" s="7"/>
      <c r="C853" s="7"/>
      <c r="D853" s="7"/>
      <c r="E853" s="36"/>
      <c r="F853" s="36"/>
      <c r="G853" s="36"/>
      <c r="H853" s="7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  <c r="AA853" s="174"/>
      <c r="AB853" s="174"/>
      <c r="AC853" s="174"/>
      <c r="AD853" s="174"/>
      <c r="AE853" s="174"/>
      <c r="AF853" s="174"/>
      <c r="AG853" s="174"/>
      <c r="AH853" s="174"/>
      <c r="AI853" s="7"/>
      <c r="AJ853" s="7"/>
      <c r="AK853" s="7"/>
    </row>
    <row r="854" spans="1:37" ht="15.75" customHeight="1">
      <c r="A854" s="7"/>
      <c r="B854" s="7"/>
      <c r="C854" s="7"/>
      <c r="D854" s="7"/>
      <c r="E854" s="36"/>
      <c r="F854" s="36"/>
      <c r="G854" s="36"/>
      <c r="H854" s="7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  <c r="AA854" s="174"/>
      <c r="AB854" s="174"/>
      <c r="AC854" s="174"/>
      <c r="AD854" s="174"/>
      <c r="AE854" s="174"/>
      <c r="AF854" s="174"/>
      <c r="AG854" s="174"/>
      <c r="AH854" s="174"/>
      <c r="AI854" s="7"/>
      <c r="AJ854" s="7"/>
      <c r="AK854" s="7"/>
    </row>
    <row r="855" spans="1:37" ht="15.75" customHeight="1">
      <c r="A855" s="7"/>
      <c r="B855" s="7"/>
      <c r="C855" s="7"/>
      <c r="D855" s="7"/>
      <c r="E855" s="36"/>
      <c r="F855" s="36"/>
      <c r="G855" s="36"/>
      <c r="H855" s="7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  <c r="AA855" s="174"/>
      <c r="AB855" s="174"/>
      <c r="AC855" s="174"/>
      <c r="AD855" s="174"/>
      <c r="AE855" s="174"/>
      <c r="AF855" s="174"/>
      <c r="AG855" s="174"/>
      <c r="AH855" s="174"/>
      <c r="AI855" s="7"/>
      <c r="AJ855" s="7"/>
      <c r="AK855" s="7"/>
    </row>
    <row r="856" spans="1:37" ht="15.75" customHeight="1">
      <c r="A856" s="7"/>
      <c r="B856" s="7"/>
      <c r="C856" s="7"/>
      <c r="D856" s="7"/>
      <c r="E856" s="36"/>
      <c r="F856" s="36"/>
      <c r="G856" s="36"/>
      <c r="H856" s="7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  <c r="AA856" s="174"/>
      <c r="AB856" s="174"/>
      <c r="AC856" s="174"/>
      <c r="AD856" s="174"/>
      <c r="AE856" s="174"/>
      <c r="AF856" s="174"/>
      <c r="AG856" s="174"/>
      <c r="AH856" s="174"/>
      <c r="AI856" s="7"/>
      <c r="AJ856" s="7"/>
      <c r="AK856" s="7"/>
    </row>
    <row r="857" spans="1:37" ht="15.75" customHeight="1">
      <c r="A857" s="7"/>
      <c r="B857" s="7"/>
      <c r="C857" s="7"/>
      <c r="D857" s="7"/>
      <c r="E857" s="36"/>
      <c r="F857" s="36"/>
      <c r="G857" s="36"/>
      <c r="H857" s="7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  <c r="AA857" s="174"/>
      <c r="AB857" s="174"/>
      <c r="AC857" s="174"/>
      <c r="AD857" s="174"/>
      <c r="AE857" s="174"/>
      <c r="AF857" s="174"/>
      <c r="AG857" s="174"/>
      <c r="AH857" s="174"/>
      <c r="AI857" s="7"/>
      <c r="AJ857" s="7"/>
      <c r="AK857" s="7"/>
    </row>
    <row r="858" spans="1:37" ht="15.75" customHeight="1">
      <c r="A858" s="7"/>
      <c r="B858" s="7"/>
      <c r="C858" s="7"/>
      <c r="D858" s="7"/>
      <c r="E858" s="36"/>
      <c r="F858" s="36"/>
      <c r="G858" s="36"/>
      <c r="H858" s="7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  <c r="AA858" s="174"/>
      <c r="AB858" s="174"/>
      <c r="AC858" s="174"/>
      <c r="AD858" s="174"/>
      <c r="AE858" s="174"/>
      <c r="AF858" s="174"/>
      <c r="AG858" s="174"/>
      <c r="AH858" s="174"/>
      <c r="AI858" s="7"/>
      <c r="AJ858" s="7"/>
      <c r="AK858" s="7"/>
    </row>
    <row r="859" spans="1:37" ht="15.75" customHeight="1">
      <c r="A859" s="7"/>
      <c r="B859" s="7"/>
      <c r="C859" s="7"/>
      <c r="D859" s="7"/>
      <c r="E859" s="36"/>
      <c r="F859" s="36"/>
      <c r="G859" s="36"/>
      <c r="H859" s="7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  <c r="AA859" s="174"/>
      <c r="AB859" s="174"/>
      <c r="AC859" s="174"/>
      <c r="AD859" s="174"/>
      <c r="AE859" s="174"/>
      <c r="AF859" s="174"/>
      <c r="AG859" s="174"/>
      <c r="AH859" s="174"/>
      <c r="AI859" s="7"/>
      <c r="AJ859" s="7"/>
      <c r="AK859" s="7"/>
    </row>
    <row r="860" spans="1:37" ht="15.75" customHeight="1">
      <c r="A860" s="7"/>
      <c r="B860" s="7"/>
      <c r="C860" s="7"/>
      <c r="D860" s="7"/>
      <c r="E860" s="36"/>
      <c r="F860" s="36"/>
      <c r="G860" s="36"/>
      <c r="H860" s="7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  <c r="AA860" s="174"/>
      <c r="AB860" s="174"/>
      <c r="AC860" s="174"/>
      <c r="AD860" s="174"/>
      <c r="AE860" s="174"/>
      <c r="AF860" s="174"/>
      <c r="AG860" s="174"/>
      <c r="AH860" s="174"/>
      <c r="AI860" s="7"/>
      <c r="AJ860" s="7"/>
      <c r="AK860" s="7"/>
    </row>
    <row r="861" spans="1:37" ht="15.75" customHeight="1">
      <c r="A861" s="7"/>
      <c r="B861" s="7"/>
      <c r="C861" s="7"/>
      <c r="D861" s="7"/>
      <c r="E861" s="36"/>
      <c r="F861" s="36"/>
      <c r="G861" s="36"/>
      <c r="H861" s="7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  <c r="AA861" s="174"/>
      <c r="AB861" s="174"/>
      <c r="AC861" s="174"/>
      <c r="AD861" s="174"/>
      <c r="AE861" s="174"/>
      <c r="AF861" s="174"/>
      <c r="AG861" s="174"/>
      <c r="AH861" s="174"/>
      <c r="AI861" s="7"/>
      <c r="AJ861" s="7"/>
      <c r="AK861" s="7"/>
    </row>
    <row r="862" spans="1:37" ht="15.75" customHeight="1">
      <c r="A862" s="7"/>
      <c r="B862" s="7"/>
      <c r="C862" s="7"/>
      <c r="D862" s="7"/>
      <c r="E862" s="36"/>
      <c r="F862" s="36"/>
      <c r="G862" s="36"/>
      <c r="H862" s="7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  <c r="AA862" s="174"/>
      <c r="AB862" s="174"/>
      <c r="AC862" s="174"/>
      <c r="AD862" s="174"/>
      <c r="AE862" s="174"/>
      <c r="AF862" s="174"/>
      <c r="AG862" s="174"/>
      <c r="AH862" s="174"/>
      <c r="AI862" s="7"/>
      <c r="AJ862" s="7"/>
      <c r="AK862" s="7"/>
    </row>
    <row r="863" spans="1:37" ht="15.75" customHeight="1">
      <c r="A863" s="7"/>
      <c r="B863" s="7"/>
      <c r="C863" s="7"/>
      <c r="D863" s="7"/>
      <c r="E863" s="36"/>
      <c r="F863" s="36"/>
      <c r="G863" s="36"/>
      <c r="H863" s="7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  <c r="AA863" s="174"/>
      <c r="AB863" s="174"/>
      <c r="AC863" s="174"/>
      <c r="AD863" s="174"/>
      <c r="AE863" s="174"/>
      <c r="AF863" s="174"/>
      <c r="AG863" s="174"/>
      <c r="AH863" s="174"/>
      <c r="AI863" s="7"/>
      <c r="AJ863" s="7"/>
      <c r="AK863" s="7"/>
    </row>
    <row r="864" spans="1:37" ht="15.75" customHeight="1">
      <c r="A864" s="7"/>
      <c r="B864" s="7"/>
      <c r="C864" s="7"/>
      <c r="D864" s="7"/>
      <c r="E864" s="36"/>
      <c r="F864" s="36"/>
      <c r="G864" s="36"/>
      <c r="H864" s="7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  <c r="AA864" s="174"/>
      <c r="AB864" s="174"/>
      <c r="AC864" s="174"/>
      <c r="AD864" s="174"/>
      <c r="AE864" s="174"/>
      <c r="AF864" s="174"/>
      <c r="AG864" s="174"/>
      <c r="AH864" s="174"/>
      <c r="AI864" s="7"/>
      <c r="AJ864" s="7"/>
      <c r="AK864" s="7"/>
    </row>
    <row r="865" spans="1:37" ht="15.75" customHeight="1">
      <c r="A865" s="7"/>
      <c r="B865" s="7"/>
      <c r="C865" s="7"/>
      <c r="D865" s="7"/>
      <c r="E865" s="36"/>
      <c r="F865" s="36"/>
      <c r="G865" s="36"/>
      <c r="H865" s="7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  <c r="AA865" s="174"/>
      <c r="AB865" s="174"/>
      <c r="AC865" s="174"/>
      <c r="AD865" s="174"/>
      <c r="AE865" s="174"/>
      <c r="AF865" s="174"/>
      <c r="AG865" s="174"/>
      <c r="AH865" s="174"/>
      <c r="AI865" s="7"/>
      <c r="AJ865" s="7"/>
      <c r="AK865" s="7"/>
    </row>
    <row r="866" spans="1:37" ht="15.75" customHeight="1">
      <c r="A866" s="7"/>
      <c r="B866" s="7"/>
      <c r="C866" s="7"/>
      <c r="D866" s="7"/>
      <c r="E866" s="36"/>
      <c r="F866" s="36"/>
      <c r="G866" s="36"/>
      <c r="H866" s="7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  <c r="AA866" s="174"/>
      <c r="AB866" s="174"/>
      <c r="AC866" s="174"/>
      <c r="AD866" s="174"/>
      <c r="AE866" s="174"/>
      <c r="AF866" s="174"/>
      <c r="AG866" s="174"/>
      <c r="AH866" s="174"/>
      <c r="AI866" s="7"/>
      <c r="AJ866" s="7"/>
      <c r="AK866" s="7"/>
    </row>
    <row r="867" spans="1:37" ht="15.75" customHeight="1">
      <c r="A867" s="7"/>
      <c r="B867" s="7"/>
      <c r="C867" s="7"/>
      <c r="D867" s="7"/>
      <c r="E867" s="36"/>
      <c r="F867" s="36"/>
      <c r="G867" s="36"/>
      <c r="H867" s="7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  <c r="AA867" s="174"/>
      <c r="AB867" s="174"/>
      <c r="AC867" s="174"/>
      <c r="AD867" s="174"/>
      <c r="AE867" s="174"/>
      <c r="AF867" s="174"/>
      <c r="AG867" s="174"/>
      <c r="AH867" s="174"/>
      <c r="AI867" s="7"/>
      <c r="AJ867" s="7"/>
      <c r="AK867" s="7"/>
    </row>
    <row r="868" spans="1:37" ht="15.75" customHeight="1">
      <c r="A868" s="7"/>
      <c r="B868" s="7"/>
      <c r="C868" s="7"/>
      <c r="D868" s="7"/>
      <c r="E868" s="36"/>
      <c r="F868" s="36"/>
      <c r="G868" s="36"/>
      <c r="H868" s="7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  <c r="AA868" s="174"/>
      <c r="AB868" s="174"/>
      <c r="AC868" s="174"/>
      <c r="AD868" s="174"/>
      <c r="AE868" s="174"/>
      <c r="AF868" s="174"/>
      <c r="AG868" s="174"/>
      <c r="AH868" s="174"/>
      <c r="AI868" s="7"/>
      <c r="AJ868" s="7"/>
      <c r="AK868" s="7"/>
    </row>
    <row r="869" spans="1:37" ht="15.75" customHeight="1">
      <c r="A869" s="7"/>
      <c r="B869" s="7"/>
      <c r="C869" s="7"/>
      <c r="D869" s="7"/>
      <c r="E869" s="36"/>
      <c r="F869" s="36"/>
      <c r="G869" s="36"/>
      <c r="H869" s="7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  <c r="AA869" s="174"/>
      <c r="AB869" s="174"/>
      <c r="AC869" s="174"/>
      <c r="AD869" s="174"/>
      <c r="AE869" s="174"/>
      <c r="AF869" s="174"/>
      <c r="AG869" s="174"/>
      <c r="AH869" s="174"/>
      <c r="AI869" s="7"/>
      <c r="AJ869" s="7"/>
      <c r="AK869" s="7"/>
    </row>
    <row r="870" spans="1:37" ht="15.75" customHeight="1">
      <c r="A870" s="7"/>
      <c r="B870" s="7"/>
      <c r="C870" s="7"/>
      <c r="D870" s="7"/>
      <c r="E870" s="36"/>
      <c r="F870" s="36"/>
      <c r="G870" s="36"/>
      <c r="H870" s="7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  <c r="AA870" s="174"/>
      <c r="AB870" s="174"/>
      <c r="AC870" s="174"/>
      <c r="AD870" s="174"/>
      <c r="AE870" s="174"/>
      <c r="AF870" s="174"/>
      <c r="AG870" s="174"/>
      <c r="AH870" s="174"/>
      <c r="AI870" s="7"/>
      <c r="AJ870" s="7"/>
      <c r="AK870" s="7"/>
    </row>
    <row r="871" spans="1:37" ht="15.75" customHeight="1">
      <c r="A871" s="7"/>
      <c r="B871" s="7"/>
      <c r="C871" s="7"/>
      <c r="D871" s="7"/>
      <c r="E871" s="36"/>
      <c r="F871" s="36"/>
      <c r="G871" s="36"/>
      <c r="H871" s="7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  <c r="AA871" s="174"/>
      <c r="AB871" s="174"/>
      <c r="AC871" s="174"/>
      <c r="AD871" s="174"/>
      <c r="AE871" s="174"/>
      <c r="AF871" s="174"/>
      <c r="AG871" s="174"/>
      <c r="AH871" s="174"/>
      <c r="AI871" s="7"/>
      <c r="AJ871" s="7"/>
      <c r="AK871" s="7"/>
    </row>
    <row r="872" spans="1:37" ht="15.75" customHeight="1">
      <c r="A872" s="7"/>
      <c r="B872" s="7"/>
      <c r="C872" s="7"/>
      <c r="D872" s="7"/>
      <c r="E872" s="36"/>
      <c r="F872" s="36"/>
      <c r="G872" s="36"/>
      <c r="H872" s="7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  <c r="AA872" s="174"/>
      <c r="AB872" s="174"/>
      <c r="AC872" s="174"/>
      <c r="AD872" s="174"/>
      <c r="AE872" s="174"/>
      <c r="AF872" s="174"/>
      <c r="AG872" s="174"/>
      <c r="AH872" s="174"/>
      <c r="AI872" s="7"/>
      <c r="AJ872" s="7"/>
      <c r="AK872" s="7"/>
    </row>
    <row r="873" spans="1:37" ht="15.75" customHeight="1">
      <c r="A873" s="7"/>
      <c r="B873" s="7"/>
      <c r="C873" s="7"/>
      <c r="D873" s="7"/>
      <c r="E873" s="36"/>
      <c r="F873" s="36"/>
      <c r="G873" s="36"/>
      <c r="H873" s="7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  <c r="AA873" s="174"/>
      <c r="AB873" s="174"/>
      <c r="AC873" s="174"/>
      <c r="AD873" s="174"/>
      <c r="AE873" s="174"/>
      <c r="AF873" s="174"/>
      <c r="AG873" s="174"/>
      <c r="AH873" s="174"/>
      <c r="AI873" s="7"/>
      <c r="AJ873" s="7"/>
      <c r="AK873" s="7"/>
    </row>
    <row r="874" spans="1:37" ht="15.75" customHeight="1">
      <c r="A874" s="7"/>
      <c r="B874" s="7"/>
      <c r="C874" s="7"/>
      <c r="D874" s="7"/>
      <c r="E874" s="36"/>
      <c r="F874" s="36"/>
      <c r="G874" s="36"/>
      <c r="H874" s="7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  <c r="AA874" s="174"/>
      <c r="AB874" s="174"/>
      <c r="AC874" s="174"/>
      <c r="AD874" s="174"/>
      <c r="AE874" s="174"/>
      <c r="AF874" s="174"/>
      <c r="AG874" s="174"/>
      <c r="AH874" s="174"/>
      <c r="AI874" s="7"/>
      <c r="AJ874" s="7"/>
      <c r="AK874" s="7"/>
    </row>
    <row r="875" spans="1:37" ht="15.75" customHeight="1">
      <c r="A875" s="7"/>
      <c r="B875" s="7"/>
      <c r="C875" s="7"/>
      <c r="D875" s="7"/>
      <c r="E875" s="36"/>
      <c r="F875" s="36"/>
      <c r="G875" s="36"/>
      <c r="H875" s="7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  <c r="AA875" s="174"/>
      <c r="AB875" s="174"/>
      <c r="AC875" s="174"/>
      <c r="AD875" s="174"/>
      <c r="AE875" s="174"/>
      <c r="AF875" s="174"/>
      <c r="AG875" s="174"/>
      <c r="AH875" s="174"/>
      <c r="AI875" s="7"/>
      <c r="AJ875" s="7"/>
      <c r="AK875" s="7"/>
    </row>
    <row r="876" spans="1:37" ht="15.75" customHeight="1">
      <c r="A876" s="7"/>
      <c r="B876" s="7"/>
      <c r="C876" s="7"/>
      <c r="D876" s="7"/>
      <c r="E876" s="36"/>
      <c r="F876" s="36"/>
      <c r="G876" s="36"/>
      <c r="H876" s="7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  <c r="AA876" s="174"/>
      <c r="AB876" s="174"/>
      <c r="AC876" s="174"/>
      <c r="AD876" s="174"/>
      <c r="AE876" s="174"/>
      <c r="AF876" s="174"/>
      <c r="AG876" s="174"/>
      <c r="AH876" s="174"/>
      <c r="AI876" s="7"/>
      <c r="AJ876" s="7"/>
      <c r="AK876" s="7"/>
    </row>
    <row r="877" spans="1:37" ht="15.75" customHeight="1">
      <c r="A877" s="7"/>
      <c r="B877" s="7"/>
      <c r="C877" s="7"/>
      <c r="D877" s="7"/>
      <c r="E877" s="36"/>
      <c r="F877" s="36"/>
      <c r="G877" s="36"/>
      <c r="H877" s="7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  <c r="AA877" s="174"/>
      <c r="AB877" s="174"/>
      <c r="AC877" s="174"/>
      <c r="AD877" s="174"/>
      <c r="AE877" s="174"/>
      <c r="AF877" s="174"/>
      <c r="AG877" s="174"/>
      <c r="AH877" s="174"/>
      <c r="AI877" s="7"/>
      <c r="AJ877" s="7"/>
      <c r="AK877" s="7"/>
    </row>
    <row r="878" spans="1:37" ht="15.75" customHeight="1">
      <c r="A878" s="7"/>
      <c r="B878" s="7"/>
      <c r="C878" s="7"/>
      <c r="D878" s="7"/>
      <c r="E878" s="36"/>
      <c r="F878" s="36"/>
      <c r="G878" s="36"/>
      <c r="H878" s="7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  <c r="AA878" s="174"/>
      <c r="AB878" s="174"/>
      <c r="AC878" s="174"/>
      <c r="AD878" s="174"/>
      <c r="AE878" s="174"/>
      <c r="AF878" s="174"/>
      <c r="AG878" s="174"/>
      <c r="AH878" s="174"/>
      <c r="AI878" s="7"/>
      <c r="AJ878" s="7"/>
      <c r="AK878" s="7"/>
    </row>
    <row r="879" spans="1:37" ht="15.75" customHeight="1">
      <c r="A879" s="7"/>
      <c r="B879" s="7"/>
      <c r="C879" s="7"/>
      <c r="D879" s="7"/>
      <c r="E879" s="36"/>
      <c r="F879" s="36"/>
      <c r="G879" s="36"/>
      <c r="H879" s="7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  <c r="AA879" s="174"/>
      <c r="AB879" s="174"/>
      <c r="AC879" s="174"/>
      <c r="AD879" s="174"/>
      <c r="AE879" s="174"/>
      <c r="AF879" s="174"/>
      <c r="AG879" s="174"/>
      <c r="AH879" s="174"/>
      <c r="AI879" s="7"/>
      <c r="AJ879" s="7"/>
      <c r="AK879" s="7"/>
    </row>
    <row r="880" spans="1:37" ht="15.75" customHeight="1">
      <c r="A880" s="7"/>
      <c r="B880" s="7"/>
      <c r="C880" s="7"/>
      <c r="D880" s="7"/>
      <c r="E880" s="36"/>
      <c r="F880" s="36"/>
      <c r="G880" s="36"/>
      <c r="H880" s="7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  <c r="AA880" s="174"/>
      <c r="AB880" s="174"/>
      <c r="AC880" s="174"/>
      <c r="AD880" s="174"/>
      <c r="AE880" s="174"/>
      <c r="AF880" s="174"/>
      <c r="AG880" s="174"/>
      <c r="AH880" s="174"/>
      <c r="AI880" s="7"/>
      <c r="AJ880" s="7"/>
      <c r="AK880" s="7"/>
    </row>
    <row r="881" spans="1:37" ht="15.75" customHeight="1">
      <c r="A881" s="7"/>
      <c r="B881" s="7"/>
      <c r="C881" s="7"/>
      <c r="D881" s="7"/>
      <c r="E881" s="36"/>
      <c r="F881" s="36"/>
      <c r="G881" s="36"/>
      <c r="H881" s="7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  <c r="AA881" s="174"/>
      <c r="AB881" s="174"/>
      <c r="AC881" s="174"/>
      <c r="AD881" s="174"/>
      <c r="AE881" s="174"/>
      <c r="AF881" s="174"/>
      <c r="AG881" s="174"/>
      <c r="AH881" s="174"/>
      <c r="AI881" s="7"/>
      <c r="AJ881" s="7"/>
      <c r="AK881" s="7"/>
    </row>
    <row r="882" spans="1:37" ht="15.75" customHeight="1">
      <c r="A882" s="7"/>
      <c r="B882" s="7"/>
      <c r="C882" s="7"/>
      <c r="D882" s="7"/>
      <c r="E882" s="36"/>
      <c r="F882" s="36"/>
      <c r="G882" s="36"/>
      <c r="H882" s="7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  <c r="AA882" s="174"/>
      <c r="AB882" s="174"/>
      <c r="AC882" s="174"/>
      <c r="AD882" s="174"/>
      <c r="AE882" s="174"/>
      <c r="AF882" s="174"/>
      <c r="AG882" s="174"/>
      <c r="AH882" s="174"/>
      <c r="AI882" s="7"/>
      <c r="AJ882" s="7"/>
      <c r="AK882" s="7"/>
    </row>
    <row r="883" spans="1:37" ht="15.75" customHeight="1">
      <c r="A883" s="7"/>
      <c r="B883" s="7"/>
      <c r="C883" s="7"/>
      <c r="D883" s="7"/>
      <c r="E883" s="36"/>
      <c r="F883" s="36"/>
      <c r="G883" s="36"/>
      <c r="H883" s="7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  <c r="AA883" s="174"/>
      <c r="AB883" s="174"/>
      <c r="AC883" s="174"/>
      <c r="AD883" s="174"/>
      <c r="AE883" s="174"/>
      <c r="AF883" s="174"/>
      <c r="AG883" s="174"/>
      <c r="AH883" s="174"/>
      <c r="AI883" s="7"/>
      <c r="AJ883" s="7"/>
      <c r="AK883" s="7"/>
    </row>
    <row r="884" spans="1:37" ht="15.75" customHeight="1">
      <c r="A884" s="7"/>
      <c r="B884" s="7"/>
      <c r="C884" s="7"/>
      <c r="D884" s="7"/>
      <c r="E884" s="36"/>
      <c r="F884" s="36"/>
      <c r="G884" s="36"/>
      <c r="H884" s="7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  <c r="AA884" s="174"/>
      <c r="AB884" s="174"/>
      <c r="AC884" s="174"/>
      <c r="AD884" s="174"/>
      <c r="AE884" s="174"/>
      <c r="AF884" s="174"/>
      <c r="AG884" s="174"/>
      <c r="AH884" s="174"/>
      <c r="AI884" s="7"/>
      <c r="AJ884" s="7"/>
      <c r="AK884" s="7"/>
    </row>
    <row r="885" spans="1:37" ht="15.75" customHeight="1">
      <c r="A885" s="7"/>
      <c r="B885" s="7"/>
      <c r="C885" s="7"/>
      <c r="D885" s="7"/>
      <c r="E885" s="36"/>
      <c r="F885" s="36"/>
      <c r="G885" s="36"/>
      <c r="H885" s="7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  <c r="AA885" s="174"/>
      <c r="AB885" s="174"/>
      <c r="AC885" s="174"/>
      <c r="AD885" s="174"/>
      <c r="AE885" s="174"/>
      <c r="AF885" s="174"/>
      <c r="AG885" s="174"/>
      <c r="AH885" s="174"/>
      <c r="AI885" s="7"/>
      <c r="AJ885" s="7"/>
      <c r="AK885" s="7"/>
    </row>
    <row r="886" spans="1:37" ht="15.75" customHeight="1">
      <c r="A886" s="7"/>
      <c r="B886" s="7"/>
      <c r="C886" s="7"/>
      <c r="D886" s="7"/>
      <c r="E886" s="36"/>
      <c r="F886" s="36"/>
      <c r="G886" s="36"/>
      <c r="H886" s="7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  <c r="AA886" s="174"/>
      <c r="AB886" s="174"/>
      <c r="AC886" s="174"/>
      <c r="AD886" s="174"/>
      <c r="AE886" s="174"/>
      <c r="AF886" s="174"/>
      <c r="AG886" s="174"/>
      <c r="AH886" s="174"/>
      <c r="AI886" s="7"/>
      <c r="AJ886" s="7"/>
      <c r="AK886" s="7"/>
    </row>
    <row r="887" spans="1:37" ht="15.75" customHeight="1">
      <c r="A887" s="7"/>
      <c r="B887" s="7"/>
      <c r="C887" s="7"/>
      <c r="D887" s="7"/>
      <c r="E887" s="36"/>
      <c r="F887" s="36"/>
      <c r="G887" s="36"/>
      <c r="H887" s="7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  <c r="AA887" s="174"/>
      <c r="AB887" s="174"/>
      <c r="AC887" s="174"/>
      <c r="AD887" s="174"/>
      <c r="AE887" s="174"/>
      <c r="AF887" s="174"/>
      <c r="AG887" s="174"/>
      <c r="AH887" s="174"/>
      <c r="AI887" s="7"/>
      <c r="AJ887" s="7"/>
      <c r="AK887" s="7"/>
    </row>
    <row r="888" spans="1:37" ht="15.75" customHeight="1">
      <c r="A888" s="7"/>
      <c r="B888" s="7"/>
      <c r="C888" s="7"/>
      <c r="D888" s="7"/>
      <c r="E888" s="36"/>
      <c r="F888" s="36"/>
      <c r="G888" s="36"/>
      <c r="H888" s="7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  <c r="AA888" s="174"/>
      <c r="AB888" s="174"/>
      <c r="AC888" s="174"/>
      <c r="AD888" s="174"/>
      <c r="AE888" s="174"/>
      <c r="AF888" s="174"/>
      <c r="AG888" s="174"/>
      <c r="AH888" s="174"/>
      <c r="AI888" s="7"/>
      <c r="AJ888" s="7"/>
      <c r="AK888" s="7"/>
    </row>
    <row r="889" spans="1:37" ht="15.75" customHeight="1">
      <c r="A889" s="7"/>
      <c r="B889" s="7"/>
      <c r="C889" s="7"/>
      <c r="D889" s="7"/>
      <c r="E889" s="36"/>
      <c r="F889" s="36"/>
      <c r="G889" s="36"/>
      <c r="H889" s="7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  <c r="AA889" s="174"/>
      <c r="AB889" s="174"/>
      <c r="AC889" s="174"/>
      <c r="AD889" s="174"/>
      <c r="AE889" s="174"/>
      <c r="AF889" s="174"/>
      <c r="AG889" s="174"/>
      <c r="AH889" s="174"/>
      <c r="AI889" s="7"/>
      <c r="AJ889" s="7"/>
      <c r="AK889" s="7"/>
    </row>
    <row r="890" spans="1:37" ht="15.75" customHeight="1">
      <c r="A890" s="7"/>
      <c r="B890" s="7"/>
      <c r="C890" s="7"/>
      <c r="D890" s="7"/>
      <c r="E890" s="36"/>
      <c r="F890" s="36"/>
      <c r="G890" s="36"/>
      <c r="H890" s="7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  <c r="AA890" s="174"/>
      <c r="AB890" s="174"/>
      <c r="AC890" s="174"/>
      <c r="AD890" s="174"/>
      <c r="AE890" s="174"/>
      <c r="AF890" s="174"/>
      <c r="AG890" s="174"/>
      <c r="AH890" s="174"/>
      <c r="AI890" s="7"/>
      <c r="AJ890" s="7"/>
      <c r="AK890" s="7"/>
    </row>
    <row r="891" spans="1:37" ht="15.75" customHeight="1">
      <c r="A891" s="7"/>
      <c r="B891" s="7"/>
      <c r="C891" s="7"/>
      <c r="D891" s="7"/>
      <c r="E891" s="36"/>
      <c r="F891" s="36"/>
      <c r="G891" s="36"/>
      <c r="H891" s="7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  <c r="AA891" s="174"/>
      <c r="AB891" s="174"/>
      <c r="AC891" s="174"/>
      <c r="AD891" s="174"/>
      <c r="AE891" s="174"/>
      <c r="AF891" s="174"/>
      <c r="AG891" s="174"/>
      <c r="AH891" s="174"/>
      <c r="AI891" s="7"/>
      <c r="AJ891" s="7"/>
      <c r="AK891" s="7"/>
    </row>
    <row r="892" spans="1:37" ht="15.75" customHeight="1">
      <c r="A892" s="7"/>
      <c r="B892" s="7"/>
      <c r="C892" s="7"/>
      <c r="D892" s="7"/>
      <c r="E892" s="36"/>
      <c r="F892" s="36"/>
      <c r="G892" s="36"/>
      <c r="H892" s="7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  <c r="AA892" s="174"/>
      <c r="AB892" s="174"/>
      <c r="AC892" s="174"/>
      <c r="AD892" s="174"/>
      <c r="AE892" s="174"/>
      <c r="AF892" s="174"/>
      <c r="AG892" s="174"/>
      <c r="AH892" s="174"/>
      <c r="AI892" s="7"/>
      <c r="AJ892" s="7"/>
      <c r="AK892" s="7"/>
    </row>
    <row r="893" spans="1:37" ht="15.75" customHeight="1">
      <c r="A893" s="7"/>
      <c r="B893" s="7"/>
      <c r="C893" s="7"/>
      <c r="D893" s="7"/>
      <c r="E893" s="36"/>
      <c r="F893" s="36"/>
      <c r="G893" s="36"/>
      <c r="H893" s="7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  <c r="AA893" s="174"/>
      <c r="AB893" s="174"/>
      <c r="AC893" s="174"/>
      <c r="AD893" s="174"/>
      <c r="AE893" s="174"/>
      <c r="AF893" s="174"/>
      <c r="AG893" s="174"/>
      <c r="AH893" s="174"/>
      <c r="AI893" s="7"/>
      <c r="AJ893" s="7"/>
      <c r="AK893" s="7"/>
    </row>
    <row r="894" spans="1:37" ht="15.75" customHeight="1">
      <c r="A894" s="7"/>
      <c r="B894" s="7"/>
      <c r="C894" s="7"/>
      <c r="D894" s="7"/>
      <c r="E894" s="36"/>
      <c r="F894" s="36"/>
      <c r="G894" s="36"/>
      <c r="H894" s="7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  <c r="AA894" s="174"/>
      <c r="AB894" s="174"/>
      <c r="AC894" s="174"/>
      <c r="AD894" s="174"/>
      <c r="AE894" s="174"/>
      <c r="AF894" s="174"/>
      <c r="AG894" s="174"/>
      <c r="AH894" s="174"/>
      <c r="AI894" s="7"/>
      <c r="AJ894" s="7"/>
      <c r="AK894" s="7"/>
    </row>
    <row r="895" spans="1:37" ht="15.75" customHeight="1">
      <c r="A895" s="7"/>
      <c r="B895" s="7"/>
      <c r="C895" s="7"/>
      <c r="D895" s="7"/>
      <c r="E895" s="36"/>
      <c r="F895" s="36"/>
      <c r="G895" s="36"/>
      <c r="H895" s="7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  <c r="AA895" s="174"/>
      <c r="AB895" s="174"/>
      <c r="AC895" s="174"/>
      <c r="AD895" s="174"/>
      <c r="AE895" s="174"/>
      <c r="AF895" s="174"/>
      <c r="AG895" s="174"/>
      <c r="AH895" s="174"/>
      <c r="AI895" s="7"/>
      <c r="AJ895" s="7"/>
      <c r="AK895" s="7"/>
    </row>
    <row r="896" spans="1:37" ht="15.75" customHeight="1">
      <c r="A896" s="7"/>
      <c r="B896" s="7"/>
      <c r="C896" s="7"/>
      <c r="D896" s="7"/>
      <c r="E896" s="36"/>
      <c r="F896" s="36"/>
      <c r="G896" s="36"/>
      <c r="H896" s="7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  <c r="AA896" s="174"/>
      <c r="AB896" s="174"/>
      <c r="AC896" s="174"/>
      <c r="AD896" s="174"/>
      <c r="AE896" s="174"/>
      <c r="AF896" s="174"/>
      <c r="AG896" s="174"/>
      <c r="AH896" s="174"/>
      <c r="AI896" s="7"/>
      <c r="AJ896" s="7"/>
      <c r="AK896" s="7"/>
    </row>
    <row r="897" spans="1:37" ht="15.75" customHeight="1">
      <c r="A897" s="7"/>
      <c r="B897" s="7"/>
      <c r="C897" s="7"/>
      <c r="D897" s="7"/>
      <c r="E897" s="36"/>
      <c r="F897" s="36"/>
      <c r="G897" s="36"/>
      <c r="H897" s="7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  <c r="AA897" s="174"/>
      <c r="AB897" s="174"/>
      <c r="AC897" s="174"/>
      <c r="AD897" s="174"/>
      <c r="AE897" s="174"/>
      <c r="AF897" s="174"/>
      <c r="AG897" s="174"/>
      <c r="AH897" s="174"/>
      <c r="AI897" s="7"/>
      <c r="AJ897" s="7"/>
      <c r="AK897" s="7"/>
    </row>
    <row r="898" spans="1:37" ht="15.75" customHeight="1">
      <c r="A898" s="7"/>
      <c r="B898" s="7"/>
      <c r="C898" s="7"/>
      <c r="D898" s="7"/>
      <c r="E898" s="36"/>
      <c r="F898" s="36"/>
      <c r="G898" s="36"/>
      <c r="H898" s="7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  <c r="AA898" s="174"/>
      <c r="AB898" s="174"/>
      <c r="AC898" s="174"/>
      <c r="AD898" s="174"/>
      <c r="AE898" s="174"/>
      <c r="AF898" s="174"/>
      <c r="AG898" s="174"/>
      <c r="AH898" s="174"/>
      <c r="AI898" s="7"/>
      <c r="AJ898" s="7"/>
      <c r="AK898" s="7"/>
    </row>
    <row r="899" spans="1:37" ht="15.75" customHeight="1">
      <c r="A899" s="7"/>
      <c r="B899" s="7"/>
      <c r="C899" s="7"/>
      <c r="D899" s="7"/>
      <c r="E899" s="36"/>
      <c r="F899" s="36"/>
      <c r="G899" s="36"/>
      <c r="H899" s="7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  <c r="AA899" s="174"/>
      <c r="AB899" s="174"/>
      <c r="AC899" s="174"/>
      <c r="AD899" s="174"/>
      <c r="AE899" s="174"/>
      <c r="AF899" s="174"/>
      <c r="AG899" s="174"/>
      <c r="AH899" s="174"/>
      <c r="AI899" s="7"/>
      <c r="AJ899" s="7"/>
      <c r="AK899" s="7"/>
    </row>
    <row r="900" spans="1:37" ht="15.75" customHeight="1">
      <c r="A900" s="7"/>
      <c r="B900" s="7"/>
      <c r="C900" s="7"/>
      <c r="D900" s="7"/>
      <c r="E900" s="36"/>
      <c r="F900" s="36"/>
      <c r="G900" s="36"/>
      <c r="H900" s="7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  <c r="AA900" s="174"/>
      <c r="AB900" s="174"/>
      <c r="AC900" s="174"/>
      <c r="AD900" s="174"/>
      <c r="AE900" s="174"/>
      <c r="AF900" s="174"/>
      <c r="AG900" s="174"/>
      <c r="AH900" s="174"/>
      <c r="AI900" s="7"/>
      <c r="AJ900" s="7"/>
      <c r="AK900" s="7"/>
    </row>
    <row r="901" spans="1:37" ht="15.75" customHeight="1">
      <c r="A901" s="7"/>
      <c r="B901" s="7"/>
      <c r="C901" s="7"/>
      <c r="D901" s="7"/>
      <c r="E901" s="36"/>
      <c r="F901" s="36"/>
      <c r="G901" s="36"/>
      <c r="H901" s="7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  <c r="AA901" s="174"/>
      <c r="AB901" s="174"/>
      <c r="AC901" s="174"/>
      <c r="AD901" s="174"/>
      <c r="AE901" s="174"/>
      <c r="AF901" s="174"/>
      <c r="AG901" s="174"/>
      <c r="AH901" s="174"/>
      <c r="AI901" s="7"/>
      <c r="AJ901" s="7"/>
      <c r="AK901" s="7"/>
    </row>
    <row r="902" spans="1:37" ht="15.75" customHeight="1">
      <c r="A902" s="7"/>
      <c r="B902" s="7"/>
      <c r="C902" s="7"/>
      <c r="D902" s="7"/>
      <c r="E902" s="36"/>
      <c r="F902" s="36"/>
      <c r="G902" s="36"/>
      <c r="H902" s="7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  <c r="AA902" s="174"/>
      <c r="AB902" s="174"/>
      <c r="AC902" s="174"/>
      <c r="AD902" s="174"/>
      <c r="AE902" s="174"/>
      <c r="AF902" s="174"/>
      <c r="AG902" s="174"/>
      <c r="AH902" s="174"/>
      <c r="AI902" s="7"/>
      <c r="AJ902" s="7"/>
      <c r="AK902" s="7"/>
    </row>
    <row r="903" spans="1:37" ht="15.75" customHeight="1">
      <c r="A903" s="7"/>
      <c r="B903" s="7"/>
      <c r="C903" s="7"/>
      <c r="D903" s="7"/>
      <c r="E903" s="36"/>
      <c r="F903" s="36"/>
      <c r="G903" s="36"/>
      <c r="H903" s="7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  <c r="AA903" s="174"/>
      <c r="AB903" s="174"/>
      <c r="AC903" s="174"/>
      <c r="AD903" s="174"/>
      <c r="AE903" s="174"/>
      <c r="AF903" s="174"/>
      <c r="AG903" s="174"/>
      <c r="AH903" s="174"/>
      <c r="AI903" s="7"/>
      <c r="AJ903" s="7"/>
      <c r="AK903" s="7"/>
    </row>
    <row r="904" spans="1:37" ht="15.75" customHeight="1">
      <c r="A904" s="7"/>
      <c r="B904" s="7"/>
      <c r="C904" s="7"/>
      <c r="D904" s="7"/>
      <c r="E904" s="36"/>
      <c r="F904" s="36"/>
      <c r="G904" s="36"/>
      <c r="H904" s="7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  <c r="AA904" s="174"/>
      <c r="AB904" s="174"/>
      <c r="AC904" s="174"/>
      <c r="AD904" s="174"/>
      <c r="AE904" s="174"/>
      <c r="AF904" s="174"/>
      <c r="AG904" s="174"/>
      <c r="AH904" s="174"/>
      <c r="AI904" s="7"/>
      <c r="AJ904" s="7"/>
      <c r="AK904" s="7"/>
    </row>
    <row r="905" spans="1:37" ht="15.75" customHeight="1">
      <c r="A905" s="7"/>
      <c r="B905" s="7"/>
      <c r="C905" s="7"/>
      <c r="D905" s="7"/>
      <c r="E905" s="36"/>
      <c r="F905" s="36"/>
      <c r="G905" s="36"/>
      <c r="H905" s="7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  <c r="AA905" s="174"/>
      <c r="AB905" s="174"/>
      <c r="AC905" s="174"/>
      <c r="AD905" s="174"/>
      <c r="AE905" s="174"/>
      <c r="AF905" s="174"/>
      <c r="AG905" s="174"/>
      <c r="AH905" s="174"/>
      <c r="AI905" s="7"/>
      <c r="AJ905" s="7"/>
      <c r="AK905" s="7"/>
    </row>
    <row r="906" spans="1:37" ht="15.75" customHeight="1">
      <c r="A906" s="7"/>
      <c r="B906" s="7"/>
      <c r="C906" s="7"/>
      <c r="D906" s="7"/>
      <c r="E906" s="36"/>
      <c r="F906" s="36"/>
      <c r="G906" s="36"/>
      <c r="H906" s="7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  <c r="AA906" s="174"/>
      <c r="AB906" s="174"/>
      <c r="AC906" s="174"/>
      <c r="AD906" s="174"/>
      <c r="AE906" s="174"/>
      <c r="AF906" s="174"/>
      <c r="AG906" s="174"/>
      <c r="AH906" s="174"/>
      <c r="AI906" s="7"/>
      <c r="AJ906" s="7"/>
      <c r="AK906" s="7"/>
    </row>
    <row r="907" spans="1:37" ht="15.75" customHeight="1">
      <c r="A907" s="7"/>
      <c r="B907" s="7"/>
      <c r="C907" s="7"/>
      <c r="D907" s="7"/>
      <c r="E907" s="36"/>
      <c r="F907" s="36"/>
      <c r="G907" s="36"/>
      <c r="H907" s="7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  <c r="AA907" s="174"/>
      <c r="AB907" s="174"/>
      <c r="AC907" s="174"/>
      <c r="AD907" s="174"/>
      <c r="AE907" s="174"/>
      <c r="AF907" s="174"/>
      <c r="AG907" s="174"/>
      <c r="AH907" s="174"/>
      <c r="AI907" s="7"/>
      <c r="AJ907" s="7"/>
      <c r="AK907" s="7"/>
    </row>
    <row r="908" spans="1:37" ht="15.75" customHeight="1">
      <c r="A908" s="7"/>
      <c r="B908" s="7"/>
      <c r="C908" s="7"/>
      <c r="D908" s="7"/>
      <c r="E908" s="36"/>
      <c r="F908" s="36"/>
      <c r="G908" s="36"/>
      <c r="H908" s="7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  <c r="AA908" s="174"/>
      <c r="AB908" s="174"/>
      <c r="AC908" s="174"/>
      <c r="AD908" s="174"/>
      <c r="AE908" s="174"/>
      <c r="AF908" s="174"/>
      <c r="AG908" s="174"/>
      <c r="AH908" s="174"/>
      <c r="AI908" s="7"/>
      <c r="AJ908" s="7"/>
      <c r="AK908" s="7"/>
    </row>
    <row r="909" spans="1:37" ht="15.75" customHeight="1">
      <c r="A909" s="7"/>
      <c r="B909" s="7"/>
      <c r="C909" s="7"/>
      <c r="D909" s="7"/>
      <c r="E909" s="36"/>
      <c r="F909" s="36"/>
      <c r="G909" s="36"/>
      <c r="H909" s="7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  <c r="AA909" s="174"/>
      <c r="AB909" s="174"/>
      <c r="AC909" s="174"/>
      <c r="AD909" s="174"/>
      <c r="AE909" s="174"/>
      <c r="AF909" s="174"/>
      <c r="AG909" s="174"/>
      <c r="AH909" s="174"/>
      <c r="AI909" s="7"/>
      <c r="AJ909" s="7"/>
      <c r="AK909" s="7"/>
    </row>
    <row r="910" spans="1:37" ht="15.75" customHeight="1">
      <c r="A910" s="7"/>
      <c r="B910" s="7"/>
      <c r="C910" s="7"/>
      <c r="D910" s="7"/>
      <c r="E910" s="36"/>
      <c r="F910" s="36"/>
      <c r="G910" s="36"/>
      <c r="H910" s="7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  <c r="AA910" s="174"/>
      <c r="AB910" s="174"/>
      <c r="AC910" s="174"/>
      <c r="AD910" s="174"/>
      <c r="AE910" s="174"/>
      <c r="AF910" s="174"/>
      <c r="AG910" s="174"/>
      <c r="AH910" s="174"/>
      <c r="AI910" s="7"/>
      <c r="AJ910" s="7"/>
      <c r="AK910" s="7"/>
    </row>
    <row r="911" spans="1:37" ht="15.75" customHeight="1">
      <c r="A911" s="7"/>
      <c r="B911" s="7"/>
      <c r="C911" s="7"/>
      <c r="D911" s="7"/>
      <c r="E911" s="36"/>
      <c r="F911" s="36"/>
      <c r="G911" s="36"/>
      <c r="H911" s="7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  <c r="AA911" s="174"/>
      <c r="AB911" s="174"/>
      <c r="AC911" s="174"/>
      <c r="AD911" s="174"/>
      <c r="AE911" s="174"/>
      <c r="AF911" s="174"/>
      <c r="AG911" s="174"/>
      <c r="AH911" s="174"/>
      <c r="AI911" s="7"/>
      <c r="AJ911" s="7"/>
      <c r="AK911" s="7"/>
    </row>
    <row r="912" spans="1:37" ht="15.75" customHeight="1">
      <c r="A912" s="7"/>
      <c r="B912" s="7"/>
      <c r="C912" s="7"/>
      <c r="D912" s="7"/>
      <c r="E912" s="36"/>
      <c r="F912" s="36"/>
      <c r="G912" s="36"/>
      <c r="H912" s="7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  <c r="AA912" s="174"/>
      <c r="AB912" s="174"/>
      <c r="AC912" s="174"/>
      <c r="AD912" s="174"/>
      <c r="AE912" s="174"/>
      <c r="AF912" s="174"/>
      <c r="AG912" s="174"/>
      <c r="AH912" s="174"/>
      <c r="AI912" s="7"/>
      <c r="AJ912" s="7"/>
      <c r="AK912" s="7"/>
    </row>
    <row r="913" spans="1:37" ht="15.75" customHeight="1">
      <c r="A913" s="7"/>
      <c r="B913" s="7"/>
      <c r="C913" s="7"/>
      <c r="D913" s="7"/>
      <c r="E913" s="36"/>
      <c r="F913" s="36"/>
      <c r="G913" s="36"/>
      <c r="H913" s="7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  <c r="AA913" s="174"/>
      <c r="AB913" s="174"/>
      <c r="AC913" s="174"/>
      <c r="AD913" s="174"/>
      <c r="AE913" s="174"/>
      <c r="AF913" s="174"/>
      <c r="AG913" s="174"/>
      <c r="AH913" s="174"/>
      <c r="AI913" s="7"/>
      <c r="AJ913" s="7"/>
      <c r="AK913" s="7"/>
    </row>
    <row r="914" spans="1:37" ht="15.75" customHeight="1">
      <c r="A914" s="7"/>
      <c r="B914" s="7"/>
      <c r="C914" s="7"/>
      <c r="D914" s="7"/>
      <c r="E914" s="36"/>
      <c r="F914" s="36"/>
      <c r="G914" s="36"/>
      <c r="H914" s="7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  <c r="AA914" s="174"/>
      <c r="AB914" s="174"/>
      <c r="AC914" s="174"/>
      <c r="AD914" s="174"/>
      <c r="AE914" s="174"/>
      <c r="AF914" s="174"/>
      <c r="AG914" s="174"/>
      <c r="AH914" s="174"/>
      <c r="AI914" s="7"/>
      <c r="AJ914" s="7"/>
      <c r="AK914" s="7"/>
    </row>
    <row r="915" spans="1:37" ht="15.75" customHeight="1">
      <c r="A915" s="7"/>
      <c r="B915" s="7"/>
      <c r="C915" s="7"/>
      <c r="D915" s="7"/>
      <c r="E915" s="36"/>
      <c r="F915" s="36"/>
      <c r="G915" s="36"/>
      <c r="H915" s="7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  <c r="AA915" s="174"/>
      <c r="AB915" s="174"/>
      <c r="AC915" s="174"/>
      <c r="AD915" s="174"/>
      <c r="AE915" s="174"/>
      <c r="AF915" s="174"/>
      <c r="AG915" s="174"/>
      <c r="AH915" s="174"/>
      <c r="AI915" s="7"/>
      <c r="AJ915" s="7"/>
      <c r="AK915" s="7"/>
    </row>
    <row r="916" spans="1:37" ht="15.75" customHeight="1">
      <c r="A916" s="7"/>
      <c r="B916" s="7"/>
      <c r="C916" s="7"/>
      <c r="D916" s="7"/>
      <c r="E916" s="36"/>
      <c r="F916" s="36"/>
      <c r="G916" s="36"/>
      <c r="H916" s="7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  <c r="AA916" s="174"/>
      <c r="AB916" s="174"/>
      <c r="AC916" s="174"/>
      <c r="AD916" s="174"/>
      <c r="AE916" s="174"/>
      <c r="AF916" s="174"/>
      <c r="AG916" s="174"/>
      <c r="AH916" s="174"/>
      <c r="AI916" s="7"/>
      <c r="AJ916" s="7"/>
      <c r="AK916" s="7"/>
    </row>
    <row r="917" spans="1:37" ht="15.75" customHeight="1">
      <c r="A917" s="7"/>
      <c r="B917" s="7"/>
      <c r="C917" s="7"/>
      <c r="D917" s="7"/>
      <c r="E917" s="36"/>
      <c r="F917" s="36"/>
      <c r="G917" s="36"/>
      <c r="H917" s="7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  <c r="AA917" s="174"/>
      <c r="AB917" s="174"/>
      <c r="AC917" s="174"/>
      <c r="AD917" s="174"/>
      <c r="AE917" s="174"/>
      <c r="AF917" s="174"/>
      <c r="AG917" s="174"/>
      <c r="AH917" s="174"/>
      <c r="AI917" s="7"/>
      <c r="AJ917" s="7"/>
      <c r="AK917" s="7"/>
    </row>
    <row r="918" spans="1:37" ht="15.75" customHeight="1">
      <c r="A918" s="7"/>
      <c r="B918" s="7"/>
      <c r="C918" s="7"/>
      <c r="D918" s="7"/>
      <c r="E918" s="36"/>
      <c r="F918" s="36"/>
      <c r="G918" s="36"/>
      <c r="H918" s="7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  <c r="AA918" s="174"/>
      <c r="AB918" s="174"/>
      <c r="AC918" s="174"/>
      <c r="AD918" s="174"/>
      <c r="AE918" s="174"/>
      <c r="AF918" s="174"/>
      <c r="AG918" s="174"/>
      <c r="AH918" s="174"/>
      <c r="AI918" s="7"/>
      <c r="AJ918" s="7"/>
      <c r="AK918" s="7"/>
    </row>
    <row r="919" spans="1:37" ht="15.75" customHeight="1">
      <c r="A919" s="7"/>
      <c r="B919" s="7"/>
      <c r="C919" s="7"/>
      <c r="D919" s="7"/>
      <c r="E919" s="36"/>
      <c r="F919" s="36"/>
      <c r="G919" s="36"/>
      <c r="H919" s="7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  <c r="AA919" s="174"/>
      <c r="AB919" s="174"/>
      <c r="AC919" s="174"/>
      <c r="AD919" s="174"/>
      <c r="AE919" s="174"/>
      <c r="AF919" s="174"/>
      <c r="AG919" s="174"/>
      <c r="AH919" s="174"/>
      <c r="AI919" s="7"/>
      <c r="AJ919" s="7"/>
      <c r="AK919" s="7"/>
    </row>
    <row r="920" spans="1:37" ht="15.75" customHeight="1">
      <c r="A920" s="7"/>
      <c r="B920" s="7"/>
      <c r="C920" s="7"/>
      <c r="D920" s="7"/>
      <c r="E920" s="36"/>
      <c r="F920" s="36"/>
      <c r="G920" s="36"/>
      <c r="H920" s="7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  <c r="AA920" s="174"/>
      <c r="AB920" s="174"/>
      <c r="AC920" s="174"/>
      <c r="AD920" s="174"/>
      <c r="AE920" s="174"/>
      <c r="AF920" s="174"/>
      <c r="AG920" s="174"/>
      <c r="AH920" s="174"/>
      <c r="AI920" s="7"/>
      <c r="AJ920" s="7"/>
      <c r="AK920" s="7"/>
    </row>
    <row r="921" spans="1:37" ht="15.75" customHeight="1">
      <c r="A921" s="7"/>
      <c r="B921" s="7"/>
      <c r="C921" s="7"/>
      <c r="D921" s="7"/>
      <c r="E921" s="36"/>
      <c r="F921" s="36"/>
      <c r="G921" s="36"/>
      <c r="H921" s="7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  <c r="AA921" s="174"/>
      <c r="AB921" s="174"/>
      <c r="AC921" s="174"/>
      <c r="AD921" s="174"/>
      <c r="AE921" s="174"/>
      <c r="AF921" s="174"/>
      <c r="AG921" s="174"/>
      <c r="AH921" s="174"/>
      <c r="AI921" s="7"/>
      <c r="AJ921" s="7"/>
      <c r="AK921" s="7"/>
    </row>
    <row r="922" spans="1:37" ht="15.75" customHeight="1">
      <c r="A922" s="7"/>
      <c r="B922" s="7"/>
      <c r="C922" s="7"/>
      <c r="D922" s="7"/>
      <c r="E922" s="36"/>
      <c r="F922" s="36"/>
      <c r="G922" s="36"/>
      <c r="H922" s="7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  <c r="AA922" s="174"/>
      <c r="AB922" s="174"/>
      <c r="AC922" s="174"/>
      <c r="AD922" s="174"/>
      <c r="AE922" s="174"/>
      <c r="AF922" s="174"/>
      <c r="AG922" s="174"/>
      <c r="AH922" s="174"/>
      <c r="AI922" s="7"/>
      <c r="AJ922" s="7"/>
      <c r="AK922" s="7"/>
    </row>
    <row r="923" spans="1:37" ht="15.75" customHeight="1">
      <c r="A923" s="7"/>
      <c r="B923" s="7"/>
      <c r="C923" s="7"/>
      <c r="D923" s="7"/>
      <c r="E923" s="36"/>
      <c r="F923" s="36"/>
      <c r="G923" s="36"/>
      <c r="H923" s="7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  <c r="AA923" s="174"/>
      <c r="AB923" s="174"/>
      <c r="AC923" s="174"/>
      <c r="AD923" s="174"/>
      <c r="AE923" s="174"/>
      <c r="AF923" s="174"/>
      <c r="AG923" s="174"/>
      <c r="AH923" s="174"/>
      <c r="AI923" s="7"/>
      <c r="AJ923" s="7"/>
      <c r="AK923" s="7"/>
    </row>
    <row r="924" spans="1:37" ht="15.75" customHeight="1">
      <c r="A924" s="7"/>
      <c r="B924" s="7"/>
      <c r="C924" s="7"/>
      <c r="D924" s="7"/>
      <c r="E924" s="36"/>
      <c r="F924" s="36"/>
      <c r="G924" s="36"/>
      <c r="H924" s="7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  <c r="AA924" s="174"/>
      <c r="AB924" s="174"/>
      <c r="AC924" s="174"/>
      <c r="AD924" s="174"/>
      <c r="AE924" s="174"/>
      <c r="AF924" s="174"/>
      <c r="AG924" s="174"/>
      <c r="AH924" s="174"/>
      <c r="AI924" s="7"/>
      <c r="AJ924" s="7"/>
      <c r="AK924" s="7"/>
    </row>
    <row r="925" spans="1:37" ht="15.75" customHeight="1">
      <c r="A925" s="7"/>
      <c r="B925" s="7"/>
      <c r="C925" s="7"/>
      <c r="D925" s="7"/>
      <c r="E925" s="36"/>
      <c r="F925" s="36"/>
      <c r="G925" s="36"/>
      <c r="H925" s="7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  <c r="AA925" s="174"/>
      <c r="AB925" s="174"/>
      <c r="AC925" s="174"/>
      <c r="AD925" s="174"/>
      <c r="AE925" s="174"/>
      <c r="AF925" s="174"/>
      <c r="AG925" s="174"/>
      <c r="AH925" s="174"/>
      <c r="AI925" s="7"/>
      <c r="AJ925" s="7"/>
      <c r="AK925" s="7"/>
    </row>
    <row r="926" spans="1:37" ht="15.75" customHeight="1">
      <c r="A926" s="7"/>
      <c r="B926" s="7"/>
      <c r="C926" s="7"/>
      <c r="D926" s="7"/>
      <c r="E926" s="36"/>
      <c r="F926" s="36"/>
      <c r="G926" s="36"/>
      <c r="H926" s="7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  <c r="AA926" s="174"/>
      <c r="AB926" s="174"/>
      <c r="AC926" s="174"/>
      <c r="AD926" s="174"/>
      <c r="AE926" s="174"/>
      <c r="AF926" s="174"/>
      <c r="AG926" s="174"/>
      <c r="AH926" s="174"/>
      <c r="AI926" s="7"/>
      <c r="AJ926" s="7"/>
      <c r="AK926" s="7"/>
    </row>
    <row r="927" spans="1:37" ht="15.75" customHeight="1">
      <c r="A927" s="7"/>
      <c r="B927" s="7"/>
      <c r="C927" s="7"/>
      <c r="D927" s="7"/>
      <c r="E927" s="36"/>
      <c r="F927" s="36"/>
      <c r="G927" s="36"/>
      <c r="H927" s="7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  <c r="AA927" s="174"/>
      <c r="AB927" s="174"/>
      <c r="AC927" s="174"/>
      <c r="AD927" s="174"/>
      <c r="AE927" s="174"/>
      <c r="AF927" s="174"/>
      <c r="AG927" s="174"/>
      <c r="AH927" s="174"/>
      <c r="AI927" s="7"/>
      <c r="AJ927" s="7"/>
      <c r="AK927" s="7"/>
    </row>
    <row r="928" spans="1:37" ht="15.75" customHeight="1">
      <c r="A928" s="7"/>
      <c r="B928" s="7"/>
      <c r="C928" s="7"/>
      <c r="D928" s="7"/>
      <c r="E928" s="36"/>
      <c r="F928" s="36"/>
      <c r="G928" s="36"/>
      <c r="H928" s="7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  <c r="AA928" s="174"/>
      <c r="AB928" s="174"/>
      <c r="AC928" s="174"/>
      <c r="AD928" s="174"/>
      <c r="AE928" s="174"/>
      <c r="AF928" s="174"/>
      <c r="AG928" s="174"/>
      <c r="AH928" s="174"/>
      <c r="AI928" s="7"/>
      <c r="AJ928" s="7"/>
      <c r="AK928" s="7"/>
    </row>
    <row r="929" spans="1:37" ht="15.75" customHeight="1">
      <c r="A929" s="7"/>
      <c r="B929" s="7"/>
      <c r="C929" s="7"/>
      <c r="D929" s="7"/>
      <c r="E929" s="36"/>
      <c r="F929" s="36"/>
      <c r="G929" s="36"/>
      <c r="H929" s="7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  <c r="AA929" s="174"/>
      <c r="AB929" s="174"/>
      <c r="AC929" s="174"/>
      <c r="AD929" s="174"/>
      <c r="AE929" s="174"/>
      <c r="AF929" s="174"/>
      <c r="AG929" s="174"/>
      <c r="AH929" s="174"/>
      <c r="AI929" s="7"/>
      <c r="AJ929" s="7"/>
      <c r="AK929" s="7"/>
    </row>
    <row r="930" spans="1:37" ht="15.75" customHeight="1">
      <c r="A930" s="7"/>
      <c r="B930" s="7"/>
      <c r="C930" s="7"/>
      <c r="D930" s="7"/>
      <c r="E930" s="36"/>
      <c r="F930" s="36"/>
      <c r="G930" s="36"/>
      <c r="H930" s="7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  <c r="AA930" s="174"/>
      <c r="AB930" s="174"/>
      <c r="AC930" s="174"/>
      <c r="AD930" s="174"/>
      <c r="AE930" s="174"/>
      <c r="AF930" s="174"/>
      <c r="AG930" s="174"/>
      <c r="AH930" s="174"/>
      <c r="AI930" s="7"/>
      <c r="AJ930" s="7"/>
      <c r="AK930" s="7"/>
    </row>
    <row r="931" spans="1:37" ht="15.75" customHeight="1">
      <c r="A931" s="7"/>
      <c r="B931" s="7"/>
      <c r="C931" s="7"/>
      <c r="D931" s="7"/>
      <c r="E931" s="36"/>
      <c r="F931" s="36"/>
      <c r="G931" s="36"/>
      <c r="H931" s="7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  <c r="AA931" s="174"/>
      <c r="AB931" s="174"/>
      <c r="AC931" s="174"/>
      <c r="AD931" s="174"/>
      <c r="AE931" s="174"/>
      <c r="AF931" s="174"/>
      <c r="AG931" s="174"/>
      <c r="AH931" s="174"/>
      <c r="AI931" s="7"/>
      <c r="AJ931" s="7"/>
      <c r="AK931" s="7"/>
    </row>
    <row r="932" spans="1:37" ht="15.75" customHeight="1">
      <c r="A932" s="7"/>
      <c r="B932" s="7"/>
      <c r="C932" s="7"/>
      <c r="D932" s="7"/>
      <c r="E932" s="36"/>
      <c r="F932" s="36"/>
      <c r="G932" s="36"/>
      <c r="H932" s="7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  <c r="AA932" s="174"/>
      <c r="AB932" s="174"/>
      <c r="AC932" s="174"/>
      <c r="AD932" s="174"/>
      <c r="AE932" s="174"/>
      <c r="AF932" s="174"/>
      <c r="AG932" s="174"/>
      <c r="AH932" s="174"/>
      <c r="AI932" s="7"/>
      <c r="AJ932" s="7"/>
      <c r="AK932" s="7"/>
    </row>
    <row r="933" spans="1:37" ht="15.75" customHeight="1">
      <c r="A933" s="7"/>
      <c r="B933" s="7"/>
      <c r="C933" s="7"/>
      <c r="D933" s="7"/>
      <c r="E933" s="36"/>
      <c r="F933" s="36"/>
      <c r="G933" s="36"/>
      <c r="H933" s="7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  <c r="AA933" s="174"/>
      <c r="AB933" s="174"/>
      <c r="AC933" s="174"/>
      <c r="AD933" s="174"/>
      <c r="AE933" s="174"/>
      <c r="AF933" s="174"/>
      <c r="AG933" s="174"/>
      <c r="AH933" s="174"/>
      <c r="AI933" s="7"/>
      <c r="AJ933" s="7"/>
      <c r="AK933" s="7"/>
    </row>
    <row r="934" spans="1:37" ht="15.75" customHeight="1">
      <c r="A934" s="7"/>
      <c r="B934" s="7"/>
      <c r="C934" s="7"/>
      <c r="D934" s="7"/>
      <c r="E934" s="36"/>
      <c r="F934" s="36"/>
      <c r="G934" s="36"/>
      <c r="H934" s="7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  <c r="AA934" s="174"/>
      <c r="AB934" s="174"/>
      <c r="AC934" s="174"/>
      <c r="AD934" s="174"/>
      <c r="AE934" s="174"/>
      <c r="AF934" s="174"/>
      <c r="AG934" s="174"/>
      <c r="AH934" s="174"/>
      <c r="AI934" s="7"/>
      <c r="AJ934" s="7"/>
      <c r="AK934" s="7"/>
    </row>
    <row r="935" spans="1:37" ht="15.75" customHeight="1">
      <c r="A935" s="7"/>
      <c r="B935" s="7"/>
      <c r="C935" s="7"/>
      <c r="D935" s="7"/>
      <c r="E935" s="36"/>
      <c r="F935" s="36"/>
      <c r="G935" s="36"/>
      <c r="H935" s="7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  <c r="AA935" s="174"/>
      <c r="AB935" s="174"/>
      <c r="AC935" s="174"/>
      <c r="AD935" s="174"/>
      <c r="AE935" s="174"/>
      <c r="AF935" s="174"/>
      <c r="AG935" s="174"/>
      <c r="AH935" s="174"/>
      <c r="AI935" s="7"/>
      <c r="AJ935" s="7"/>
      <c r="AK935" s="7"/>
    </row>
    <row r="936" spans="1:37" ht="15.75" customHeight="1">
      <c r="A936" s="7"/>
      <c r="B936" s="7"/>
      <c r="C936" s="7"/>
      <c r="D936" s="7"/>
      <c r="E936" s="36"/>
      <c r="F936" s="36"/>
      <c r="G936" s="36"/>
      <c r="H936" s="7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  <c r="AA936" s="174"/>
      <c r="AB936" s="174"/>
      <c r="AC936" s="174"/>
      <c r="AD936" s="174"/>
      <c r="AE936" s="174"/>
      <c r="AF936" s="174"/>
      <c r="AG936" s="174"/>
      <c r="AH936" s="174"/>
      <c r="AI936" s="7"/>
      <c r="AJ936" s="7"/>
      <c r="AK936" s="7"/>
    </row>
    <row r="937" spans="1:37" ht="15.75" customHeight="1">
      <c r="A937" s="7"/>
      <c r="B937" s="7"/>
      <c r="C937" s="7"/>
      <c r="D937" s="7"/>
      <c r="E937" s="36"/>
      <c r="F937" s="36"/>
      <c r="G937" s="36"/>
      <c r="H937" s="7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  <c r="AA937" s="174"/>
      <c r="AB937" s="174"/>
      <c r="AC937" s="174"/>
      <c r="AD937" s="174"/>
      <c r="AE937" s="174"/>
      <c r="AF937" s="174"/>
      <c r="AG937" s="174"/>
      <c r="AH937" s="174"/>
      <c r="AI937" s="7"/>
      <c r="AJ937" s="7"/>
      <c r="AK937" s="7"/>
    </row>
    <row r="938" spans="1:37" ht="15.75" customHeight="1">
      <c r="A938" s="7"/>
      <c r="B938" s="7"/>
      <c r="C938" s="7"/>
      <c r="D938" s="7"/>
      <c r="E938" s="36"/>
      <c r="F938" s="36"/>
      <c r="G938" s="36"/>
      <c r="H938" s="7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174"/>
      <c r="AD938" s="174"/>
      <c r="AE938" s="174"/>
      <c r="AF938" s="174"/>
      <c r="AG938" s="174"/>
      <c r="AH938" s="174"/>
      <c r="AI938" s="7"/>
      <c r="AJ938" s="7"/>
      <c r="AK938" s="7"/>
    </row>
    <row r="939" spans="1:37" ht="15.75" customHeight="1">
      <c r="A939" s="7"/>
      <c r="B939" s="7"/>
      <c r="C939" s="7"/>
      <c r="D939" s="7"/>
      <c r="E939" s="36"/>
      <c r="F939" s="36"/>
      <c r="G939" s="36"/>
      <c r="H939" s="7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174"/>
      <c r="AD939" s="174"/>
      <c r="AE939" s="174"/>
      <c r="AF939" s="174"/>
      <c r="AG939" s="174"/>
      <c r="AH939" s="174"/>
      <c r="AI939" s="7"/>
      <c r="AJ939" s="7"/>
      <c r="AK939" s="7"/>
    </row>
    <row r="940" spans="1:37" ht="15.75" customHeight="1">
      <c r="A940" s="7"/>
      <c r="B940" s="7"/>
      <c r="C940" s="7"/>
      <c r="D940" s="7"/>
      <c r="E940" s="36"/>
      <c r="F940" s="36"/>
      <c r="G940" s="36"/>
      <c r="H940" s="7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  <c r="AA940" s="174"/>
      <c r="AB940" s="174"/>
      <c r="AC940" s="174"/>
      <c r="AD940" s="174"/>
      <c r="AE940" s="174"/>
      <c r="AF940" s="174"/>
      <c r="AG940" s="174"/>
      <c r="AH940" s="174"/>
      <c r="AI940" s="7"/>
      <c r="AJ940" s="7"/>
      <c r="AK940" s="7"/>
    </row>
    <row r="941" spans="1:37" ht="15.75" customHeight="1">
      <c r="A941" s="7"/>
      <c r="B941" s="7"/>
      <c r="C941" s="7"/>
      <c r="D941" s="7"/>
      <c r="E941" s="36"/>
      <c r="F941" s="36"/>
      <c r="G941" s="36"/>
      <c r="H941" s="7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  <c r="AA941" s="174"/>
      <c r="AB941" s="174"/>
      <c r="AC941" s="174"/>
      <c r="AD941" s="174"/>
      <c r="AE941" s="174"/>
      <c r="AF941" s="174"/>
      <c r="AG941" s="174"/>
      <c r="AH941" s="174"/>
      <c r="AI941" s="7"/>
      <c r="AJ941" s="7"/>
      <c r="AK941" s="7"/>
    </row>
    <row r="942" spans="1:37" ht="15.75" customHeight="1">
      <c r="A942" s="7"/>
      <c r="B942" s="7"/>
      <c r="C942" s="7"/>
      <c r="D942" s="7"/>
      <c r="E942" s="36"/>
      <c r="F942" s="36"/>
      <c r="G942" s="36"/>
      <c r="H942" s="7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  <c r="AA942" s="174"/>
      <c r="AB942" s="174"/>
      <c r="AC942" s="174"/>
      <c r="AD942" s="174"/>
      <c r="AE942" s="174"/>
      <c r="AF942" s="174"/>
      <c r="AG942" s="174"/>
      <c r="AH942" s="174"/>
      <c r="AI942" s="7"/>
      <c r="AJ942" s="7"/>
      <c r="AK942" s="7"/>
    </row>
    <row r="943" spans="1:37" ht="15.75" customHeight="1">
      <c r="A943" s="7"/>
      <c r="B943" s="7"/>
      <c r="C943" s="7"/>
      <c r="D943" s="7"/>
      <c r="E943" s="36"/>
      <c r="F943" s="36"/>
      <c r="G943" s="36"/>
      <c r="H943" s="7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  <c r="AA943" s="174"/>
      <c r="AB943" s="174"/>
      <c r="AC943" s="174"/>
      <c r="AD943" s="174"/>
      <c r="AE943" s="174"/>
      <c r="AF943" s="174"/>
      <c r="AG943" s="174"/>
      <c r="AH943" s="174"/>
      <c r="AI943" s="7"/>
      <c r="AJ943" s="7"/>
      <c r="AK943" s="7"/>
    </row>
    <row r="944" spans="1:37" ht="15.75" customHeight="1">
      <c r="A944" s="7"/>
      <c r="B944" s="7"/>
      <c r="C944" s="7"/>
      <c r="D944" s="7"/>
      <c r="E944" s="36"/>
      <c r="F944" s="36"/>
      <c r="G944" s="36"/>
      <c r="H944" s="7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  <c r="AA944" s="174"/>
      <c r="AB944" s="174"/>
      <c r="AC944" s="174"/>
      <c r="AD944" s="174"/>
      <c r="AE944" s="174"/>
      <c r="AF944" s="174"/>
      <c r="AG944" s="174"/>
      <c r="AH944" s="174"/>
      <c r="AI944" s="7"/>
      <c r="AJ944" s="7"/>
      <c r="AK944" s="7"/>
    </row>
    <row r="945" spans="1:37" ht="15.75" customHeight="1">
      <c r="A945" s="7"/>
      <c r="B945" s="7"/>
      <c r="C945" s="7"/>
      <c r="D945" s="7"/>
      <c r="E945" s="36"/>
      <c r="F945" s="36"/>
      <c r="G945" s="36"/>
      <c r="H945" s="7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  <c r="AA945" s="174"/>
      <c r="AB945" s="174"/>
      <c r="AC945" s="174"/>
      <c r="AD945" s="174"/>
      <c r="AE945" s="174"/>
      <c r="AF945" s="174"/>
      <c r="AG945" s="174"/>
      <c r="AH945" s="174"/>
      <c r="AI945" s="7"/>
      <c r="AJ945" s="7"/>
      <c r="AK945" s="7"/>
    </row>
    <row r="946" spans="1:37" ht="15.75" customHeight="1">
      <c r="A946" s="7"/>
      <c r="B946" s="7"/>
      <c r="C946" s="7"/>
      <c r="D946" s="7"/>
      <c r="E946" s="36"/>
      <c r="F946" s="36"/>
      <c r="G946" s="36"/>
      <c r="H946" s="7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  <c r="AA946" s="174"/>
      <c r="AB946" s="174"/>
      <c r="AC946" s="174"/>
      <c r="AD946" s="174"/>
      <c r="AE946" s="174"/>
      <c r="AF946" s="174"/>
      <c r="AG946" s="174"/>
      <c r="AH946" s="174"/>
      <c r="AI946" s="7"/>
      <c r="AJ946" s="7"/>
      <c r="AK946" s="7"/>
    </row>
    <row r="947" spans="1:37" ht="15.75" customHeight="1">
      <c r="A947" s="7"/>
      <c r="B947" s="7"/>
      <c r="C947" s="7"/>
      <c r="D947" s="7"/>
      <c r="E947" s="36"/>
      <c r="F947" s="36"/>
      <c r="G947" s="36"/>
      <c r="H947" s="7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  <c r="AA947" s="174"/>
      <c r="AB947" s="174"/>
      <c r="AC947" s="174"/>
      <c r="AD947" s="174"/>
      <c r="AE947" s="174"/>
      <c r="AF947" s="174"/>
      <c r="AG947" s="174"/>
      <c r="AH947" s="174"/>
      <c r="AI947" s="7"/>
      <c r="AJ947" s="7"/>
      <c r="AK947" s="7"/>
    </row>
    <row r="948" spans="1:37" ht="15.75" customHeight="1">
      <c r="A948" s="7"/>
      <c r="B948" s="7"/>
      <c r="C948" s="7"/>
      <c r="D948" s="7"/>
      <c r="E948" s="36"/>
      <c r="F948" s="36"/>
      <c r="G948" s="36"/>
      <c r="H948" s="7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  <c r="AA948" s="174"/>
      <c r="AB948" s="174"/>
      <c r="AC948" s="174"/>
      <c r="AD948" s="174"/>
      <c r="AE948" s="174"/>
      <c r="AF948" s="174"/>
      <c r="AG948" s="174"/>
      <c r="AH948" s="174"/>
      <c r="AI948" s="7"/>
      <c r="AJ948" s="7"/>
      <c r="AK948" s="7"/>
    </row>
    <row r="949" spans="1:37" ht="15.75" customHeight="1">
      <c r="A949" s="7"/>
      <c r="B949" s="7"/>
      <c r="C949" s="7"/>
      <c r="D949" s="7"/>
      <c r="E949" s="36"/>
      <c r="F949" s="36"/>
      <c r="G949" s="36"/>
      <c r="H949" s="7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  <c r="AA949" s="174"/>
      <c r="AB949" s="174"/>
      <c r="AC949" s="174"/>
      <c r="AD949" s="174"/>
      <c r="AE949" s="174"/>
      <c r="AF949" s="174"/>
      <c r="AG949" s="174"/>
      <c r="AH949" s="174"/>
      <c r="AI949" s="7"/>
      <c r="AJ949" s="7"/>
      <c r="AK949" s="7"/>
    </row>
    <row r="950" spans="1:37" ht="15.75" customHeight="1">
      <c r="A950" s="7"/>
      <c r="B950" s="7"/>
      <c r="C950" s="7"/>
      <c r="D950" s="7"/>
      <c r="E950" s="36"/>
      <c r="F950" s="36"/>
      <c r="G950" s="36"/>
      <c r="H950" s="7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  <c r="AA950" s="174"/>
      <c r="AB950" s="174"/>
      <c r="AC950" s="174"/>
      <c r="AD950" s="174"/>
      <c r="AE950" s="174"/>
      <c r="AF950" s="174"/>
      <c r="AG950" s="174"/>
      <c r="AH950" s="174"/>
      <c r="AI950" s="7"/>
      <c r="AJ950" s="7"/>
      <c r="AK950" s="7"/>
    </row>
    <row r="951" spans="1:37" ht="15.75" customHeight="1">
      <c r="A951" s="7"/>
      <c r="B951" s="7"/>
      <c r="C951" s="7"/>
      <c r="D951" s="7"/>
      <c r="E951" s="36"/>
      <c r="F951" s="36"/>
      <c r="G951" s="36"/>
      <c r="H951" s="7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  <c r="AA951" s="174"/>
      <c r="AB951" s="174"/>
      <c r="AC951" s="174"/>
      <c r="AD951" s="174"/>
      <c r="AE951" s="174"/>
      <c r="AF951" s="174"/>
      <c r="AG951" s="174"/>
      <c r="AH951" s="174"/>
      <c r="AI951" s="7"/>
      <c r="AJ951" s="7"/>
      <c r="AK951" s="7"/>
    </row>
    <row r="952" spans="1:37" ht="15.75" customHeight="1">
      <c r="A952" s="7"/>
      <c r="B952" s="7"/>
      <c r="C952" s="7"/>
      <c r="D952" s="7"/>
      <c r="E952" s="36"/>
      <c r="F952" s="36"/>
      <c r="G952" s="36"/>
      <c r="H952" s="7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  <c r="AA952" s="174"/>
      <c r="AB952" s="174"/>
      <c r="AC952" s="174"/>
      <c r="AD952" s="174"/>
      <c r="AE952" s="174"/>
      <c r="AF952" s="174"/>
      <c r="AG952" s="174"/>
      <c r="AH952" s="174"/>
      <c r="AI952" s="7"/>
      <c r="AJ952" s="7"/>
      <c r="AK952" s="7"/>
    </row>
    <row r="953" spans="1:37" ht="15.75" customHeight="1">
      <c r="A953" s="7"/>
      <c r="B953" s="7"/>
      <c r="C953" s="7"/>
      <c r="D953" s="7"/>
      <c r="E953" s="36"/>
      <c r="F953" s="36"/>
      <c r="G953" s="36"/>
      <c r="H953" s="7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  <c r="AA953" s="174"/>
      <c r="AB953" s="174"/>
      <c r="AC953" s="174"/>
      <c r="AD953" s="174"/>
      <c r="AE953" s="174"/>
      <c r="AF953" s="174"/>
      <c r="AG953" s="174"/>
      <c r="AH953" s="174"/>
      <c r="AI953" s="7"/>
      <c r="AJ953" s="7"/>
      <c r="AK953" s="7"/>
    </row>
    <row r="954" spans="1:37" ht="15.75" customHeight="1">
      <c r="A954" s="7"/>
      <c r="B954" s="7"/>
      <c r="C954" s="7"/>
      <c r="D954" s="7"/>
      <c r="E954" s="36"/>
      <c r="F954" s="36"/>
      <c r="G954" s="36"/>
      <c r="H954" s="7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  <c r="AA954" s="174"/>
      <c r="AB954" s="174"/>
      <c r="AC954" s="174"/>
      <c r="AD954" s="174"/>
      <c r="AE954" s="174"/>
      <c r="AF954" s="174"/>
      <c r="AG954" s="174"/>
      <c r="AH954" s="174"/>
      <c r="AI954" s="7"/>
      <c r="AJ954" s="7"/>
      <c r="AK954" s="7"/>
    </row>
    <row r="955" spans="1:37" ht="15.75" customHeight="1">
      <c r="A955" s="7"/>
      <c r="B955" s="7"/>
      <c r="C955" s="7"/>
      <c r="D955" s="7"/>
      <c r="E955" s="36"/>
      <c r="F955" s="36"/>
      <c r="G955" s="36"/>
      <c r="H955" s="7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  <c r="AA955" s="174"/>
      <c r="AB955" s="174"/>
      <c r="AC955" s="174"/>
      <c r="AD955" s="174"/>
      <c r="AE955" s="174"/>
      <c r="AF955" s="174"/>
      <c r="AG955" s="174"/>
      <c r="AH955" s="174"/>
      <c r="AI955" s="7"/>
      <c r="AJ955" s="7"/>
      <c r="AK955" s="7"/>
    </row>
    <row r="956" spans="1:37" ht="15.75" customHeight="1">
      <c r="A956" s="7"/>
      <c r="B956" s="7"/>
      <c r="C956" s="7"/>
      <c r="D956" s="7"/>
      <c r="E956" s="36"/>
      <c r="F956" s="36"/>
      <c r="G956" s="36"/>
      <c r="H956" s="7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  <c r="AA956" s="174"/>
      <c r="AB956" s="174"/>
      <c r="AC956" s="174"/>
      <c r="AD956" s="174"/>
      <c r="AE956" s="174"/>
      <c r="AF956" s="174"/>
      <c r="AG956" s="174"/>
      <c r="AH956" s="174"/>
      <c r="AI956" s="7"/>
      <c r="AJ956" s="7"/>
      <c r="AK956" s="7"/>
    </row>
    <row r="957" spans="1:37" ht="15.75" customHeight="1">
      <c r="A957" s="7"/>
      <c r="B957" s="7"/>
      <c r="C957" s="7"/>
      <c r="D957" s="7"/>
      <c r="E957" s="36"/>
      <c r="F957" s="36"/>
      <c r="G957" s="36"/>
      <c r="H957" s="7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  <c r="AA957" s="174"/>
      <c r="AB957" s="174"/>
      <c r="AC957" s="174"/>
      <c r="AD957" s="174"/>
      <c r="AE957" s="174"/>
      <c r="AF957" s="174"/>
      <c r="AG957" s="174"/>
      <c r="AH957" s="174"/>
      <c r="AI957" s="7"/>
      <c r="AJ957" s="7"/>
      <c r="AK957" s="7"/>
    </row>
    <row r="958" spans="1:37" ht="15.75" customHeight="1">
      <c r="A958" s="7"/>
      <c r="B958" s="7"/>
      <c r="C958" s="7"/>
      <c r="D958" s="7"/>
      <c r="E958" s="36"/>
      <c r="F958" s="36"/>
      <c r="G958" s="36"/>
      <c r="H958" s="7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  <c r="AA958" s="174"/>
      <c r="AB958" s="174"/>
      <c r="AC958" s="174"/>
      <c r="AD958" s="174"/>
      <c r="AE958" s="174"/>
      <c r="AF958" s="174"/>
      <c r="AG958" s="174"/>
      <c r="AH958" s="174"/>
      <c r="AI958" s="7"/>
      <c r="AJ958" s="7"/>
      <c r="AK958" s="7"/>
    </row>
    <row r="959" spans="1:37" ht="15.75" customHeight="1">
      <c r="A959" s="7"/>
      <c r="B959" s="7"/>
      <c r="C959" s="7"/>
      <c r="D959" s="7"/>
      <c r="E959" s="36"/>
      <c r="F959" s="36"/>
      <c r="G959" s="36"/>
      <c r="H959" s="7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  <c r="AA959" s="174"/>
      <c r="AB959" s="174"/>
      <c r="AC959" s="174"/>
      <c r="AD959" s="174"/>
      <c r="AE959" s="174"/>
      <c r="AF959" s="174"/>
      <c r="AG959" s="174"/>
      <c r="AH959" s="174"/>
      <c r="AI959" s="7"/>
      <c r="AJ959" s="7"/>
      <c r="AK959" s="7"/>
    </row>
    <row r="960" spans="1:37" ht="15.75" customHeight="1">
      <c r="A960" s="7"/>
      <c r="B960" s="7"/>
      <c r="C960" s="7"/>
      <c r="D960" s="7"/>
      <c r="E960" s="36"/>
      <c r="F960" s="36"/>
      <c r="G960" s="36"/>
      <c r="H960" s="7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  <c r="AA960" s="174"/>
      <c r="AB960" s="174"/>
      <c r="AC960" s="174"/>
      <c r="AD960" s="174"/>
      <c r="AE960" s="174"/>
      <c r="AF960" s="174"/>
      <c r="AG960" s="174"/>
      <c r="AH960" s="174"/>
      <c r="AI960" s="7"/>
      <c r="AJ960" s="7"/>
      <c r="AK960" s="7"/>
    </row>
    <row r="961" spans="1:37" ht="15.75" customHeight="1">
      <c r="A961" s="7"/>
      <c r="B961" s="7"/>
      <c r="C961" s="7"/>
      <c r="D961" s="7"/>
      <c r="E961" s="36"/>
      <c r="F961" s="36"/>
      <c r="G961" s="36"/>
      <c r="H961" s="7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  <c r="AA961" s="174"/>
      <c r="AB961" s="174"/>
      <c r="AC961" s="174"/>
      <c r="AD961" s="174"/>
      <c r="AE961" s="174"/>
      <c r="AF961" s="174"/>
      <c r="AG961" s="174"/>
      <c r="AH961" s="174"/>
      <c r="AI961" s="7"/>
      <c r="AJ961" s="7"/>
      <c r="AK961" s="7"/>
    </row>
    <row r="962" spans="1:37" ht="15.75" customHeight="1">
      <c r="A962" s="7"/>
      <c r="B962" s="7"/>
      <c r="C962" s="7"/>
      <c r="D962" s="7"/>
      <c r="E962" s="36"/>
      <c r="F962" s="36"/>
      <c r="G962" s="36"/>
      <c r="H962" s="7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  <c r="AA962" s="174"/>
      <c r="AB962" s="174"/>
      <c r="AC962" s="174"/>
      <c r="AD962" s="174"/>
      <c r="AE962" s="174"/>
      <c r="AF962" s="174"/>
      <c r="AG962" s="174"/>
      <c r="AH962" s="174"/>
      <c r="AI962" s="7"/>
      <c r="AJ962" s="7"/>
      <c r="AK962" s="7"/>
    </row>
    <row r="963" spans="1:37" ht="15.75" customHeight="1">
      <c r="A963" s="7"/>
      <c r="B963" s="7"/>
      <c r="C963" s="7"/>
      <c r="D963" s="7"/>
      <c r="E963" s="36"/>
      <c r="F963" s="36"/>
      <c r="G963" s="36"/>
      <c r="H963" s="7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  <c r="AA963" s="174"/>
      <c r="AB963" s="174"/>
      <c r="AC963" s="174"/>
      <c r="AD963" s="174"/>
      <c r="AE963" s="174"/>
      <c r="AF963" s="174"/>
      <c r="AG963" s="174"/>
      <c r="AH963" s="174"/>
      <c r="AI963" s="7"/>
      <c r="AJ963" s="7"/>
      <c r="AK963" s="7"/>
    </row>
    <row r="964" spans="1:37" ht="15.75" customHeight="1">
      <c r="A964" s="7"/>
      <c r="B964" s="7"/>
      <c r="C964" s="7"/>
      <c r="D964" s="7"/>
      <c r="E964" s="36"/>
      <c r="F964" s="36"/>
      <c r="G964" s="36"/>
      <c r="H964" s="7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  <c r="AA964" s="174"/>
      <c r="AB964" s="174"/>
      <c r="AC964" s="174"/>
      <c r="AD964" s="174"/>
      <c r="AE964" s="174"/>
      <c r="AF964" s="174"/>
      <c r="AG964" s="174"/>
      <c r="AH964" s="174"/>
      <c r="AI964" s="7"/>
      <c r="AJ964" s="7"/>
      <c r="AK964" s="7"/>
    </row>
    <row r="965" spans="1:37" ht="15.75" customHeight="1">
      <c r="A965" s="7"/>
      <c r="B965" s="7"/>
      <c r="C965" s="7"/>
      <c r="D965" s="7"/>
      <c r="E965" s="36"/>
      <c r="F965" s="36"/>
      <c r="G965" s="36"/>
      <c r="H965" s="7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  <c r="AA965" s="174"/>
      <c r="AB965" s="174"/>
      <c r="AC965" s="174"/>
      <c r="AD965" s="174"/>
      <c r="AE965" s="174"/>
      <c r="AF965" s="174"/>
      <c r="AG965" s="174"/>
      <c r="AH965" s="174"/>
      <c r="AI965" s="7"/>
      <c r="AJ965" s="7"/>
      <c r="AK965" s="7"/>
    </row>
    <row r="966" spans="1:37" ht="15.75" customHeight="1">
      <c r="A966" s="7"/>
      <c r="B966" s="7"/>
      <c r="C966" s="7"/>
      <c r="D966" s="7"/>
      <c r="E966" s="36"/>
      <c r="F966" s="36"/>
      <c r="G966" s="36"/>
      <c r="H966" s="7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  <c r="AA966" s="174"/>
      <c r="AB966" s="174"/>
      <c r="AC966" s="174"/>
      <c r="AD966" s="174"/>
      <c r="AE966" s="174"/>
      <c r="AF966" s="174"/>
      <c r="AG966" s="174"/>
      <c r="AH966" s="174"/>
      <c r="AI966" s="7"/>
      <c r="AJ966" s="7"/>
      <c r="AK966" s="7"/>
    </row>
    <row r="967" spans="1:37" ht="15.75" customHeight="1">
      <c r="A967" s="7"/>
      <c r="B967" s="7"/>
      <c r="C967" s="7"/>
      <c r="D967" s="7"/>
      <c r="E967" s="36"/>
      <c r="F967" s="36"/>
      <c r="G967" s="36"/>
      <c r="H967" s="7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  <c r="AA967" s="174"/>
      <c r="AB967" s="174"/>
      <c r="AC967" s="174"/>
      <c r="AD967" s="174"/>
      <c r="AE967" s="174"/>
      <c r="AF967" s="174"/>
      <c r="AG967" s="174"/>
      <c r="AH967" s="174"/>
      <c r="AI967" s="7"/>
      <c r="AJ967" s="7"/>
      <c r="AK967" s="7"/>
    </row>
    <row r="968" spans="1:37" ht="15.75" customHeight="1">
      <c r="A968" s="7"/>
      <c r="B968" s="7"/>
      <c r="C968" s="7"/>
      <c r="D968" s="7"/>
      <c r="E968" s="36"/>
      <c r="F968" s="36"/>
      <c r="G968" s="36"/>
      <c r="H968" s="7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  <c r="AA968" s="174"/>
      <c r="AB968" s="174"/>
      <c r="AC968" s="174"/>
      <c r="AD968" s="174"/>
      <c r="AE968" s="174"/>
      <c r="AF968" s="174"/>
      <c r="AG968" s="174"/>
      <c r="AH968" s="174"/>
      <c r="AI968" s="7"/>
      <c r="AJ968" s="7"/>
      <c r="AK968" s="7"/>
    </row>
    <row r="969" spans="1:37" ht="15.75" customHeight="1">
      <c r="A969" s="7"/>
      <c r="B969" s="7"/>
      <c r="C969" s="7"/>
      <c r="D969" s="7"/>
      <c r="E969" s="36"/>
      <c r="F969" s="36"/>
      <c r="G969" s="36"/>
      <c r="H969" s="7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  <c r="AA969" s="174"/>
      <c r="AB969" s="174"/>
      <c r="AC969" s="174"/>
      <c r="AD969" s="174"/>
      <c r="AE969" s="174"/>
      <c r="AF969" s="174"/>
      <c r="AG969" s="174"/>
      <c r="AH969" s="174"/>
      <c r="AI969" s="7"/>
      <c r="AJ969" s="7"/>
      <c r="AK969" s="7"/>
    </row>
    <row r="970" spans="1:37" ht="15.75" customHeight="1">
      <c r="A970" s="7"/>
      <c r="B970" s="7"/>
      <c r="C970" s="7"/>
      <c r="D970" s="7"/>
      <c r="E970" s="36"/>
      <c r="F970" s="36"/>
      <c r="G970" s="36"/>
      <c r="H970" s="7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  <c r="AA970" s="174"/>
      <c r="AB970" s="174"/>
      <c r="AC970" s="174"/>
      <c r="AD970" s="174"/>
      <c r="AE970" s="174"/>
      <c r="AF970" s="174"/>
      <c r="AG970" s="174"/>
      <c r="AH970" s="174"/>
      <c r="AI970" s="7"/>
      <c r="AJ970" s="7"/>
      <c r="AK970" s="7"/>
    </row>
    <row r="971" spans="1:37" ht="15.75" customHeight="1">
      <c r="A971" s="7"/>
      <c r="B971" s="7"/>
      <c r="C971" s="7"/>
      <c r="D971" s="7"/>
      <c r="E971" s="36"/>
      <c r="F971" s="36"/>
      <c r="G971" s="36"/>
      <c r="H971" s="7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  <c r="AA971" s="174"/>
      <c r="AB971" s="174"/>
      <c r="AC971" s="174"/>
      <c r="AD971" s="174"/>
      <c r="AE971" s="174"/>
      <c r="AF971" s="174"/>
      <c r="AG971" s="174"/>
      <c r="AH971" s="174"/>
      <c r="AI971" s="7"/>
      <c r="AJ971" s="7"/>
      <c r="AK971" s="7"/>
    </row>
    <row r="972" spans="1:37" ht="15.75" customHeight="1">
      <c r="A972" s="7"/>
      <c r="B972" s="7"/>
      <c r="C972" s="7"/>
      <c r="D972" s="7"/>
      <c r="E972" s="36"/>
      <c r="F972" s="36"/>
      <c r="G972" s="36"/>
      <c r="H972" s="7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  <c r="AA972" s="174"/>
      <c r="AB972" s="174"/>
      <c r="AC972" s="174"/>
      <c r="AD972" s="174"/>
      <c r="AE972" s="174"/>
      <c r="AF972" s="174"/>
      <c r="AG972" s="174"/>
      <c r="AH972" s="174"/>
      <c r="AI972" s="7"/>
      <c r="AJ972" s="7"/>
      <c r="AK972" s="7"/>
    </row>
    <row r="973" spans="1:37" ht="15.75" customHeight="1">
      <c r="A973" s="7"/>
      <c r="B973" s="7"/>
      <c r="C973" s="7"/>
      <c r="D973" s="7"/>
      <c r="E973" s="36"/>
      <c r="F973" s="36"/>
      <c r="G973" s="36"/>
      <c r="H973" s="7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  <c r="AA973" s="174"/>
      <c r="AB973" s="174"/>
      <c r="AC973" s="174"/>
      <c r="AD973" s="174"/>
      <c r="AE973" s="174"/>
      <c r="AF973" s="174"/>
      <c r="AG973" s="174"/>
      <c r="AH973" s="174"/>
      <c r="AI973" s="7"/>
      <c r="AJ973" s="7"/>
      <c r="AK973" s="7"/>
    </row>
    <row r="974" spans="1:37" ht="15.75" customHeight="1">
      <c r="A974" s="7"/>
      <c r="B974" s="7"/>
      <c r="C974" s="7"/>
      <c r="D974" s="7"/>
      <c r="E974" s="36"/>
      <c r="F974" s="36"/>
      <c r="G974" s="36"/>
      <c r="H974" s="7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  <c r="AA974" s="174"/>
      <c r="AB974" s="174"/>
      <c r="AC974" s="174"/>
      <c r="AD974" s="174"/>
      <c r="AE974" s="174"/>
      <c r="AF974" s="174"/>
      <c r="AG974" s="174"/>
      <c r="AH974" s="174"/>
      <c r="AI974" s="7"/>
      <c r="AJ974" s="7"/>
      <c r="AK974" s="7"/>
    </row>
    <row r="975" spans="1:37" ht="15.75" customHeight="1">
      <c r="A975" s="7"/>
      <c r="B975" s="7"/>
      <c r="C975" s="7"/>
      <c r="D975" s="7"/>
      <c r="E975" s="36"/>
      <c r="F975" s="36"/>
      <c r="G975" s="36"/>
      <c r="H975" s="7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  <c r="AA975" s="174"/>
      <c r="AB975" s="174"/>
      <c r="AC975" s="174"/>
      <c r="AD975" s="174"/>
      <c r="AE975" s="174"/>
      <c r="AF975" s="174"/>
      <c r="AG975" s="174"/>
      <c r="AH975" s="174"/>
      <c r="AI975" s="7"/>
      <c r="AJ975" s="7"/>
      <c r="AK975" s="7"/>
    </row>
    <row r="976" spans="1:37" ht="15.75" customHeight="1">
      <c r="A976" s="7"/>
      <c r="B976" s="7"/>
      <c r="C976" s="7"/>
      <c r="D976" s="7"/>
      <c r="E976" s="36"/>
      <c r="F976" s="36"/>
      <c r="G976" s="36"/>
      <c r="H976" s="7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  <c r="AA976" s="174"/>
      <c r="AB976" s="174"/>
      <c r="AC976" s="174"/>
      <c r="AD976" s="174"/>
      <c r="AE976" s="174"/>
      <c r="AF976" s="174"/>
      <c r="AG976" s="174"/>
      <c r="AH976" s="174"/>
      <c r="AI976" s="7"/>
      <c r="AJ976" s="7"/>
      <c r="AK976" s="7"/>
    </row>
    <row r="977" spans="1:37" ht="15.75" customHeight="1">
      <c r="A977" s="7"/>
      <c r="B977" s="7"/>
      <c r="C977" s="7"/>
      <c r="D977" s="7"/>
      <c r="E977" s="36"/>
      <c r="F977" s="36"/>
      <c r="G977" s="36"/>
      <c r="H977" s="7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  <c r="AA977" s="174"/>
      <c r="AB977" s="174"/>
      <c r="AC977" s="174"/>
      <c r="AD977" s="174"/>
      <c r="AE977" s="174"/>
      <c r="AF977" s="174"/>
      <c r="AG977" s="174"/>
      <c r="AH977" s="174"/>
      <c r="AI977" s="7"/>
      <c r="AJ977" s="7"/>
      <c r="AK977" s="7"/>
    </row>
    <row r="978" spans="1:37" ht="15.75" customHeight="1">
      <c r="A978" s="7"/>
      <c r="B978" s="7"/>
      <c r="C978" s="7"/>
      <c r="D978" s="7"/>
      <c r="E978" s="36"/>
      <c r="F978" s="36"/>
      <c r="G978" s="36"/>
      <c r="H978" s="7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  <c r="AA978" s="174"/>
      <c r="AB978" s="174"/>
      <c r="AC978" s="174"/>
      <c r="AD978" s="174"/>
      <c r="AE978" s="174"/>
      <c r="AF978" s="174"/>
      <c r="AG978" s="174"/>
      <c r="AH978" s="174"/>
      <c r="AI978" s="7"/>
      <c r="AJ978" s="7"/>
      <c r="AK978" s="7"/>
    </row>
    <row r="979" spans="1:37" ht="15.75" customHeight="1">
      <c r="A979" s="7"/>
      <c r="B979" s="7"/>
      <c r="C979" s="7"/>
      <c r="D979" s="7"/>
      <c r="E979" s="36"/>
      <c r="F979" s="36"/>
      <c r="G979" s="36"/>
      <c r="H979" s="7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  <c r="AA979" s="174"/>
      <c r="AB979" s="174"/>
      <c r="AC979" s="174"/>
      <c r="AD979" s="174"/>
      <c r="AE979" s="174"/>
      <c r="AF979" s="174"/>
      <c r="AG979" s="174"/>
      <c r="AH979" s="174"/>
      <c r="AI979" s="7"/>
      <c r="AJ979" s="7"/>
      <c r="AK979" s="7"/>
    </row>
    <row r="980" spans="1:37" ht="15.75" customHeight="1">
      <c r="A980" s="7"/>
      <c r="B980" s="7"/>
      <c r="C980" s="7"/>
      <c r="D980" s="7"/>
      <c r="E980" s="36"/>
      <c r="F980" s="36"/>
      <c r="G980" s="36"/>
      <c r="H980" s="7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  <c r="AA980" s="174"/>
      <c r="AB980" s="174"/>
      <c r="AC980" s="174"/>
      <c r="AD980" s="174"/>
      <c r="AE980" s="174"/>
      <c r="AF980" s="174"/>
      <c r="AG980" s="174"/>
      <c r="AH980" s="174"/>
      <c r="AI980" s="7"/>
      <c r="AJ980" s="7"/>
      <c r="AK980" s="7"/>
    </row>
    <row r="981" spans="1:37" ht="15.75" customHeight="1">
      <c r="A981" s="7"/>
      <c r="B981" s="7"/>
      <c r="C981" s="7"/>
      <c r="D981" s="7"/>
      <c r="E981" s="36"/>
      <c r="F981" s="36"/>
      <c r="G981" s="36"/>
      <c r="H981" s="7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  <c r="AA981" s="174"/>
      <c r="AB981" s="174"/>
      <c r="AC981" s="174"/>
      <c r="AD981" s="174"/>
      <c r="AE981" s="174"/>
      <c r="AF981" s="174"/>
      <c r="AG981" s="174"/>
      <c r="AH981" s="174"/>
      <c r="AI981" s="7"/>
      <c r="AJ981" s="7"/>
      <c r="AK981" s="7"/>
    </row>
    <row r="982" spans="1:37" ht="15.75" customHeight="1">
      <c r="A982" s="7"/>
      <c r="B982" s="7"/>
      <c r="C982" s="7"/>
      <c r="D982" s="7"/>
      <c r="E982" s="36"/>
      <c r="F982" s="36"/>
      <c r="G982" s="36"/>
      <c r="H982" s="7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  <c r="AA982" s="174"/>
      <c r="AB982" s="174"/>
      <c r="AC982" s="174"/>
      <c r="AD982" s="174"/>
      <c r="AE982" s="174"/>
      <c r="AF982" s="174"/>
      <c r="AG982" s="174"/>
      <c r="AH982" s="174"/>
      <c r="AI982" s="7"/>
      <c r="AJ982" s="7"/>
      <c r="AK982" s="7"/>
    </row>
    <row r="983" spans="1:37" ht="15.75" customHeight="1">
      <c r="A983" s="7"/>
      <c r="B983" s="7"/>
      <c r="C983" s="7"/>
      <c r="D983" s="7"/>
      <c r="E983" s="36"/>
      <c r="F983" s="36"/>
      <c r="G983" s="36"/>
      <c r="H983" s="7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  <c r="AA983" s="174"/>
      <c r="AB983" s="174"/>
      <c r="AC983" s="174"/>
      <c r="AD983" s="174"/>
      <c r="AE983" s="174"/>
      <c r="AF983" s="174"/>
      <c r="AG983" s="174"/>
      <c r="AH983" s="174"/>
      <c r="AI983" s="7"/>
      <c r="AJ983" s="7"/>
      <c r="AK983" s="7"/>
    </row>
    <row r="984" spans="1:37" ht="15.75" customHeight="1">
      <c r="A984" s="7"/>
      <c r="B984" s="7"/>
      <c r="C984" s="7"/>
      <c r="D984" s="7"/>
      <c r="E984" s="36"/>
      <c r="F984" s="36"/>
      <c r="G984" s="36"/>
      <c r="H984" s="7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  <c r="AA984" s="174"/>
      <c r="AB984" s="174"/>
      <c r="AC984" s="174"/>
      <c r="AD984" s="174"/>
      <c r="AE984" s="174"/>
      <c r="AF984" s="174"/>
      <c r="AG984" s="174"/>
      <c r="AH984" s="174"/>
      <c r="AI984" s="7"/>
      <c r="AJ984" s="7"/>
      <c r="AK984" s="7"/>
    </row>
    <row r="985" spans="1:37" ht="15.75" customHeight="1">
      <c r="A985" s="7"/>
      <c r="B985" s="7"/>
      <c r="C985" s="7"/>
      <c r="D985" s="7"/>
      <c r="E985" s="36"/>
      <c r="F985" s="36"/>
      <c r="G985" s="36"/>
      <c r="H985" s="7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  <c r="AA985" s="174"/>
      <c r="AB985" s="174"/>
      <c r="AC985" s="174"/>
      <c r="AD985" s="174"/>
      <c r="AE985" s="174"/>
      <c r="AF985" s="174"/>
      <c r="AG985" s="174"/>
      <c r="AH985" s="174"/>
      <c r="AI985" s="7"/>
      <c r="AJ985" s="7"/>
      <c r="AK985" s="7"/>
    </row>
    <row r="986" spans="1:37" ht="15.75" customHeight="1">
      <c r="A986" s="7"/>
      <c r="B986" s="7"/>
      <c r="C986" s="7"/>
      <c r="D986" s="7"/>
      <c r="E986" s="36"/>
      <c r="F986" s="36"/>
      <c r="G986" s="36"/>
      <c r="H986" s="7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  <c r="AA986" s="174"/>
      <c r="AB986" s="174"/>
      <c r="AC986" s="174"/>
      <c r="AD986" s="174"/>
      <c r="AE986" s="174"/>
      <c r="AF986" s="174"/>
      <c r="AG986" s="174"/>
      <c r="AH986" s="174"/>
      <c r="AI986" s="7"/>
      <c r="AJ986" s="7"/>
      <c r="AK986" s="7"/>
    </row>
    <row r="987" spans="1:37" ht="15.75" customHeight="1">
      <c r="A987" s="7"/>
      <c r="B987" s="7"/>
      <c r="C987" s="7"/>
      <c r="D987" s="7"/>
      <c r="E987" s="36"/>
      <c r="F987" s="36"/>
      <c r="G987" s="36"/>
      <c r="H987" s="7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  <c r="AA987" s="174"/>
      <c r="AB987" s="174"/>
      <c r="AC987" s="174"/>
      <c r="AD987" s="174"/>
      <c r="AE987" s="174"/>
      <c r="AF987" s="174"/>
      <c r="AG987" s="174"/>
      <c r="AH987" s="174"/>
      <c r="AI987" s="7"/>
      <c r="AJ987" s="7"/>
      <c r="AK987" s="7"/>
    </row>
    <row r="988" spans="1:37" ht="15.75" customHeight="1">
      <c r="A988" s="7"/>
      <c r="B988" s="7"/>
      <c r="C988" s="7"/>
      <c r="D988" s="7"/>
      <c r="E988" s="36"/>
      <c r="F988" s="36"/>
      <c r="G988" s="36"/>
      <c r="H988" s="7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  <c r="AA988" s="174"/>
      <c r="AB988" s="174"/>
      <c r="AC988" s="174"/>
      <c r="AD988" s="174"/>
      <c r="AE988" s="174"/>
      <c r="AF988" s="174"/>
      <c r="AG988" s="174"/>
      <c r="AH988" s="174"/>
      <c r="AI988" s="7"/>
      <c r="AJ988" s="7"/>
      <c r="AK988" s="7"/>
    </row>
    <row r="989" spans="1:37" ht="15.75" customHeight="1">
      <c r="A989" s="7"/>
      <c r="B989" s="7"/>
      <c r="C989" s="7"/>
      <c r="D989" s="7"/>
      <c r="E989" s="36"/>
      <c r="F989" s="36"/>
      <c r="G989" s="36"/>
      <c r="H989" s="7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  <c r="AA989" s="174"/>
      <c r="AB989" s="174"/>
      <c r="AC989" s="174"/>
      <c r="AD989" s="174"/>
      <c r="AE989" s="174"/>
      <c r="AF989" s="174"/>
      <c r="AG989" s="174"/>
      <c r="AH989" s="174"/>
      <c r="AI989" s="7"/>
      <c r="AJ989" s="7"/>
      <c r="AK989" s="7"/>
    </row>
    <row r="990" spans="1:37" ht="15.75" customHeight="1">
      <c r="A990" s="7"/>
      <c r="B990" s="7"/>
      <c r="C990" s="7"/>
      <c r="D990" s="7"/>
      <c r="E990" s="36"/>
      <c r="F990" s="36"/>
      <c r="G990" s="36"/>
      <c r="H990" s="7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  <c r="AA990" s="174"/>
      <c r="AB990" s="174"/>
      <c r="AC990" s="174"/>
      <c r="AD990" s="174"/>
      <c r="AE990" s="174"/>
      <c r="AF990" s="174"/>
      <c r="AG990" s="174"/>
      <c r="AH990" s="174"/>
      <c r="AI990" s="7"/>
      <c r="AJ990" s="7"/>
      <c r="AK990" s="7"/>
    </row>
    <row r="991" spans="1:37" ht="15.75" customHeight="1">
      <c r="A991" s="7"/>
      <c r="B991" s="7"/>
      <c r="C991" s="7"/>
      <c r="D991" s="7"/>
      <c r="E991" s="36"/>
      <c r="F991" s="36"/>
      <c r="G991" s="36"/>
      <c r="H991" s="7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  <c r="AA991" s="174"/>
      <c r="AB991" s="174"/>
      <c r="AC991" s="174"/>
      <c r="AD991" s="174"/>
      <c r="AE991" s="174"/>
      <c r="AF991" s="174"/>
      <c r="AG991" s="174"/>
      <c r="AH991" s="174"/>
      <c r="AI991" s="7"/>
      <c r="AJ991" s="7"/>
      <c r="AK991" s="7"/>
    </row>
    <row r="992" spans="1:37" ht="15.75" customHeight="1">
      <c r="A992" s="7"/>
      <c r="B992" s="7"/>
      <c r="C992" s="7"/>
      <c r="D992" s="7"/>
      <c r="E992" s="36"/>
      <c r="F992" s="36"/>
      <c r="G992" s="36"/>
      <c r="H992" s="7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  <c r="AA992" s="174"/>
      <c r="AB992" s="174"/>
      <c r="AC992" s="174"/>
      <c r="AD992" s="174"/>
      <c r="AE992" s="174"/>
      <c r="AF992" s="174"/>
      <c r="AG992" s="174"/>
      <c r="AH992" s="174"/>
      <c r="AI992" s="7"/>
      <c r="AJ992" s="7"/>
      <c r="AK992" s="7"/>
    </row>
    <row r="993" spans="1:37" ht="15.75" customHeight="1">
      <c r="A993" s="7"/>
      <c r="B993" s="7"/>
      <c r="C993" s="7"/>
      <c r="D993" s="7"/>
      <c r="E993" s="36"/>
      <c r="F993" s="36"/>
      <c r="G993" s="36"/>
      <c r="H993" s="7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  <c r="AA993" s="174"/>
      <c r="AB993" s="174"/>
      <c r="AC993" s="174"/>
      <c r="AD993" s="174"/>
      <c r="AE993" s="174"/>
      <c r="AF993" s="174"/>
      <c r="AG993" s="174"/>
      <c r="AH993" s="174"/>
      <c r="AI993" s="7"/>
      <c r="AJ993" s="7"/>
      <c r="AK993" s="7"/>
    </row>
    <row r="994" spans="1:37" ht="15.75" customHeight="1">
      <c r="A994" s="7"/>
      <c r="B994" s="7"/>
      <c r="C994" s="7"/>
      <c r="D994" s="7"/>
      <c r="E994" s="36"/>
      <c r="F994" s="36"/>
      <c r="G994" s="36"/>
      <c r="H994" s="7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  <c r="AA994" s="174"/>
      <c r="AB994" s="174"/>
      <c r="AC994" s="174"/>
      <c r="AD994" s="174"/>
      <c r="AE994" s="174"/>
      <c r="AF994" s="174"/>
      <c r="AG994" s="174"/>
      <c r="AH994" s="174"/>
      <c r="AI994" s="7"/>
      <c r="AJ994" s="7"/>
      <c r="AK994" s="7"/>
    </row>
    <row r="995" spans="1:37" ht="15.75" customHeight="1">
      <c r="A995" s="7"/>
      <c r="B995" s="7"/>
      <c r="C995" s="7"/>
      <c r="D995" s="7"/>
      <c r="E995" s="36"/>
      <c r="F995" s="36"/>
      <c r="G995" s="36"/>
      <c r="H995" s="7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  <c r="AA995" s="174"/>
      <c r="AB995" s="174"/>
      <c r="AC995" s="174"/>
      <c r="AD995" s="174"/>
      <c r="AE995" s="174"/>
      <c r="AF995" s="174"/>
      <c r="AG995" s="174"/>
      <c r="AH995" s="174"/>
      <c r="AI995" s="7"/>
      <c r="AJ995" s="7"/>
      <c r="AK995" s="7"/>
    </row>
    <row r="996" spans="1:37" ht="15.75" customHeight="1">
      <c r="A996" s="7"/>
      <c r="B996" s="7"/>
      <c r="C996" s="7"/>
      <c r="D996" s="7"/>
      <c r="E996" s="36"/>
      <c r="F996" s="36"/>
      <c r="G996" s="36"/>
      <c r="H996" s="7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  <c r="AA996" s="174"/>
      <c r="AB996" s="174"/>
      <c r="AC996" s="174"/>
      <c r="AD996" s="174"/>
      <c r="AE996" s="174"/>
      <c r="AF996" s="174"/>
      <c r="AG996" s="174"/>
      <c r="AH996" s="174"/>
      <c r="AI996" s="7"/>
      <c r="AJ996" s="7"/>
      <c r="AK996" s="7"/>
    </row>
    <row r="997" spans="1:37" ht="15.75" customHeight="1">
      <c r="A997" s="7"/>
      <c r="B997" s="7"/>
      <c r="C997" s="7"/>
      <c r="D997" s="7"/>
      <c r="E997" s="36"/>
      <c r="F997" s="36"/>
      <c r="G997" s="36"/>
      <c r="H997" s="7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  <c r="AA997" s="174"/>
      <c r="AB997" s="174"/>
      <c r="AC997" s="174"/>
      <c r="AD997" s="174"/>
      <c r="AE997" s="174"/>
      <c r="AF997" s="174"/>
      <c r="AG997" s="174"/>
      <c r="AH997" s="174"/>
      <c r="AI997" s="7"/>
      <c r="AJ997" s="7"/>
      <c r="AK997" s="7"/>
    </row>
    <row r="998" spans="1:37" ht="15.75" customHeight="1">
      <c r="A998" s="7"/>
      <c r="B998" s="7"/>
      <c r="C998" s="7"/>
      <c r="D998" s="7"/>
      <c r="E998" s="36"/>
      <c r="F998" s="36"/>
      <c r="G998" s="36"/>
      <c r="H998" s="7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  <c r="AA998" s="174"/>
      <c r="AB998" s="174"/>
      <c r="AC998" s="174"/>
      <c r="AD998" s="174"/>
      <c r="AE998" s="174"/>
      <c r="AF998" s="174"/>
      <c r="AG998" s="174"/>
      <c r="AH998" s="174"/>
      <c r="AI998" s="7"/>
      <c r="AJ998" s="7"/>
      <c r="AK998" s="7"/>
    </row>
    <row r="999" spans="1:37" ht="15.75" customHeight="1">
      <c r="A999" s="7"/>
      <c r="B999" s="7"/>
      <c r="C999" s="7"/>
      <c r="D999" s="7"/>
      <c r="E999" s="36"/>
      <c r="F999" s="36"/>
      <c r="G999" s="36"/>
      <c r="H999" s="7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  <c r="AA999" s="174"/>
      <c r="AB999" s="174"/>
      <c r="AC999" s="174"/>
      <c r="AD999" s="174"/>
      <c r="AE999" s="174"/>
      <c r="AF999" s="174"/>
      <c r="AG999" s="174"/>
      <c r="AH999" s="174"/>
      <c r="AI999" s="7"/>
      <c r="AJ999" s="7"/>
      <c r="AK999" s="7"/>
    </row>
    <row r="1000" spans="1:37" ht="15.75" customHeight="1">
      <c r="A1000" s="7"/>
      <c r="B1000" s="7"/>
      <c r="C1000" s="7"/>
      <c r="D1000" s="7"/>
      <c r="E1000" s="36"/>
      <c r="F1000" s="36"/>
      <c r="G1000" s="36"/>
      <c r="H1000" s="7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  <c r="AA1000" s="174"/>
      <c r="AB1000" s="174"/>
      <c r="AC1000" s="174"/>
      <c r="AD1000" s="174"/>
      <c r="AE1000" s="174"/>
      <c r="AF1000" s="174"/>
      <c r="AG1000" s="174"/>
      <c r="AH1000" s="174"/>
      <c r="AI1000" s="7"/>
      <c r="AJ1000" s="7"/>
      <c r="AK1000" s="7"/>
    </row>
  </sheetData>
  <mergeCells count="9">
    <mergeCell ref="B453:C453"/>
    <mergeCell ref="B454:C454"/>
    <mergeCell ref="A2:C2"/>
    <mergeCell ref="A3:C3"/>
    <mergeCell ref="A4:AH4"/>
    <mergeCell ref="A5:AH5"/>
    <mergeCell ref="A11:A17"/>
    <mergeCell ref="B11:B17"/>
    <mergeCell ref="B447:C447"/>
  </mergeCells>
  <conditionalFormatting sqref="A11:K11">
    <cfRule type="containsText" dxfId="79" priority="1" operator="containsText" text="bắc kạn">
      <formula>NOT(ISERROR(SEARCH(("bắc kạn"),(A11))))</formula>
    </cfRule>
  </conditionalFormatting>
  <conditionalFormatting sqref="M11:AJ11">
    <cfRule type="containsText" dxfId="78" priority="2" operator="containsText" text="bắc kạn">
      <formula>NOT(ISERROR(SEARCH(("bắc kạn"),(M11))))</formula>
    </cfRule>
  </conditionalFormatting>
  <printOptions horizontalCentered="1"/>
  <pageMargins left="0.45" right="0.45" top="0.5" bottom="0.31" header="0" footer="0"/>
  <pageSetup paperSize="8" fitToHeight="0"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53125" defaultRowHeight="1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66699"/>
  </sheetPr>
  <dimension ref="A1:AJ1000"/>
  <sheetViews>
    <sheetView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F16" sqref="F16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22" width="13.7265625" customWidth="1"/>
    <col min="23" max="23" width="11.81640625" customWidth="1"/>
    <col min="24" max="24" width="16.453125" customWidth="1"/>
    <col min="25" max="30" width="9.08984375" customWidth="1"/>
    <col min="31" max="35" width="8" customWidth="1"/>
  </cols>
  <sheetData>
    <row r="1" spans="1:36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7"/>
    </row>
    <row r="2" spans="1:36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7"/>
    </row>
    <row r="3" spans="1:36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6"/>
      <c r="X3" s="176"/>
      <c r="Y3" s="176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7"/>
    </row>
    <row r="4" spans="1:36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7"/>
    </row>
    <row r="5" spans="1:36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7"/>
    </row>
    <row r="6" spans="1:36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7"/>
    </row>
    <row r="7" spans="1:36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760"/>
      <c r="U7" s="760"/>
      <c r="V7" s="760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7"/>
    </row>
    <row r="8" spans="1:36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  <c r="V8" s="760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7"/>
    </row>
    <row r="9" spans="1:36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7"/>
    </row>
    <row r="10" spans="1:36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77" t="s">
        <v>976</v>
      </c>
      <c r="F10" s="778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9"/>
      <c r="T10" s="779"/>
      <c r="U10" s="779"/>
      <c r="V10" s="779"/>
      <c r="W10" s="771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7"/>
    </row>
    <row r="11" spans="1:36" ht="18.75" customHeight="1">
      <c r="A11" s="767"/>
      <c r="B11" s="767"/>
      <c r="C11" s="768"/>
      <c r="D11" s="767"/>
      <c r="E11" s="767"/>
      <c r="F11" s="180"/>
      <c r="G11" s="180"/>
      <c r="H11" s="180"/>
      <c r="I11" s="180"/>
      <c r="J11" s="181"/>
      <c r="K11" s="181"/>
      <c r="L11" s="181"/>
      <c r="M11" s="181"/>
      <c r="N11" s="182"/>
      <c r="O11" s="180"/>
      <c r="P11" s="180"/>
      <c r="Q11" s="180"/>
      <c r="R11" s="183"/>
      <c r="S11" s="180"/>
      <c r="T11" s="180"/>
      <c r="U11" s="180"/>
      <c r="V11" s="180"/>
      <c r="W11" s="180"/>
      <c r="X11" s="184"/>
      <c r="Y11" s="184">
        <f>COUNTA(F11:W11)</f>
        <v>0</v>
      </c>
      <c r="Z11" s="184"/>
      <c r="AA11" s="184"/>
      <c r="AB11" s="184"/>
      <c r="AC11" s="184"/>
      <c r="AD11" s="184"/>
      <c r="AE11" s="184"/>
      <c r="AF11" s="184"/>
      <c r="AG11" s="184"/>
      <c r="AH11" s="184"/>
      <c r="AI11" s="184"/>
      <c r="AJ11" s="184"/>
    </row>
    <row r="12" spans="1:36" ht="18.75" customHeight="1">
      <c r="A12" s="767"/>
      <c r="B12" s="767"/>
      <c r="C12" s="25" t="s">
        <v>39</v>
      </c>
      <c r="D12" s="767"/>
      <c r="E12" s="767"/>
      <c r="F12" s="185"/>
      <c r="G12" s="185"/>
      <c r="H12" s="185"/>
      <c r="I12" s="185"/>
      <c r="J12" s="186"/>
      <c r="K12" s="186"/>
      <c r="L12" s="186"/>
      <c r="M12" s="186"/>
      <c r="N12" s="185"/>
      <c r="O12" s="185"/>
      <c r="P12" s="185"/>
      <c r="Q12" s="185"/>
      <c r="R12" s="187"/>
      <c r="S12" s="185"/>
      <c r="T12" s="185"/>
      <c r="U12" s="185"/>
      <c r="V12" s="185"/>
      <c r="W12" s="185"/>
      <c r="X12" s="184"/>
      <c r="Y12" s="188"/>
      <c r="Z12" s="184"/>
      <c r="AA12" s="184"/>
      <c r="AB12" s="184"/>
      <c r="AC12" s="184"/>
      <c r="AD12" s="184"/>
      <c r="AE12" s="184"/>
      <c r="AF12" s="184"/>
      <c r="AG12" s="184"/>
      <c r="AH12" s="184"/>
      <c r="AI12" s="184"/>
      <c r="AJ12" s="184"/>
    </row>
    <row r="13" spans="1:36" ht="47.25" customHeight="1">
      <c r="A13" s="767"/>
      <c r="B13" s="767"/>
      <c r="C13" s="25" t="s">
        <v>40</v>
      </c>
      <c r="D13" s="767"/>
      <c r="E13" s="767"/>
      <c r="F13" s="32"/>
      <c r="G13" s="32"/>
      <c r="H13" s="32"/>
      <c r="I13" s="32"/>
      <c r="J13" s="186"/>
      <c r="K13" s="186"/>
      <c r="L13" s="32"/>
      <c r="M13" s="32"/>
      <c r="N13" s="185"/>
      <c r="O13" s="32"/>
      <c r="P13" s="32"/>
      <c r="Q13" s="32"/>
      <c r="R13" s="189"/>
      <c r="S13" s="32"/>
      <c r="T13" s="32"/>
      <c r="U13" s="32"/>
      <c r="V13" s="32"/>
      <c r="W13" s="32"/>
      <c r="X13" s="184"/>
      <c r="Y13" s="188"/>
      <c r="Z13" s="184"/>
      <c r="AA13" s="184"/>
      <c r="AB13" s="184"/>
      <c r="AC13" s="184"/>
      <c r="AD13" s="184"/>
      <c r="AE13" s="184"/>
      <c r="AF13" s="184"/>
      <c r="AG13" s="184"/>
      <c r="AH13" s="184"/>
      <c r="AI13" s="184"/>
      <c r="AJ13" s="184"/>
    </row>
    <row r="14" spans="1:36" ht="38.25" hidden="1" customHeight="1">
      <c r="A14" s="767"/>
      <c r="B14" s="767"/>
      <c r="C14" s="25" t="s">
        <v>41</v>
      </c>
      <c r="D14" s="767"/>
      <c r="E14" s="767"/>
      <c r="F14" s="185"/>
      <c r="G14" s="185"/>
      <c r="H14" s="185"/>
      <c r="I14" s="185"/>
      <c r="J14" s="186"/>
      <c r="K14" s="186"/>
      <c r="L14" s="186"/>
      <c r="M14" s="186"/>
      <c r="N14" s="185"/>
      <c r="O14" s="185"/>
      <c r="P14" s="185"/>
      <c r="Q14" s="185"/>
      <c r="R14" s="190"/>
      <c r="S14" s="185"/>
      <c r="T14" s="185"/>
      <c r="U14" s="185"/>
      <c r="V14" s="185"/>
      <c r="W14" s="185"/>
      <c r="X14" s="184"/>
      <c r="Y14" s="184"/>
      <c r="Z14" s="184"/>
      <c r="AA14" s="184"/>
      <c r="AB14" s="184"/>
      <c r="AC14" s="184"/>
      <c r="AD14" s="184"/>
      <c r="AE14" s="184"/>
      <c r="AF14" s="184"/>
      <c r="AG14" s="184"/>
      <c r="AH14" s="184"/>
      <c r="AI14" s="184"/>
      <c r="AJ14" s="184"/>
    </row>
    <row r="15" spans="1:36" ht="33" customHeight="1">
      <c r="A15" s="767"/>
      <c r="B15" s="767"/>
      <c r="C15" s="25" t="s">
        <v>42</v>
      </c>
      <c r="D15" s="767"/>
      <c r="E15" s="767"/>
      <c r="F15" s="191"/>
      <c r="G15" s="191"/>
      <c r="H15" s="191"/>
      <c r="I15" s="191"/>
      <c r="J15" s="186"/>
      <c r="K15" s="186"/>
      <c r="L15" s="186"/>
      <c r="M15" s="186"/>
      <c r="N15" s="185"/>
      <c r="O15" s="191"/>
      <c r="P15" s="191"/>
      <c r="Q15" s="191"/>
      <c r="R15" s="30"/>
      <c r="S15" s="191"/>
      <c r="T15" s="192"/>
      <c r="U15" s="191"/>
      <c r="V15" s="191"/>
      <c r="W15" s="191"/>
      <c r="X15" s="184"/>
      <c r="Y15" s="184"/>
      <c r="Z15" s="184"/>
      <c r="AA15" s="184"/>
      <c r="AB15" s="184"/>
      <c r="AC15" s="184"/>
      <c r="AD15" s="184"/>
      <c r="AE15" s="184"/>
      <c r="AF15" s="184"/>
      <c r="AG15" s="184"/>
      <c r="AH15" s="184"/>
      <c r="AI15" s="184"/>
      <c r="AJ15" s="184"/>
    </row>
    <row r="16" spans="1:36" ht="30.75" customHeight="1">
      <c r="A16" s="767"/>
      <c r="B16" s="767"/>
      <c r="C16" s="25" t="s">
        <v>977</v>
      </c>
      <c r="D16" s="767"/>
      <c r="E16" s="767"/>
      <c r="F16" s="193"/>
      <c r="G16" s="193"/>
      <c r="H16" s="193"/>
      <c r="I16" s="193"/>
      <c r="J16" s="186"/>
      <c r="K16" s="186"/>
      <c r="L16" s="186"/>
      <c r="M16" s="186"/>
      <c r="N16" s="185"/>
      <c r="O16" s="193"/>
      <c r="P16" s="193"/>
      <c r="Q16" s="193"/>
      <c r="R16" s="194"/>
      <c r="S16" s="193"/>
      <c r="T16" s="193"/>
      <c r="U16" s="193"/>
      <c r="V16" s="193"/>
      <c r="W16" s="185"/>
      <c r="X16" s="184"/>
      <c r="Y16" s="184"/>
      <c r="Z16" s="184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</row>
    <row r="17" spans="1:36" ht="36" customHeight="1">
      <c r="A17" s="768"/>
      <c r="B17" s="768"/>
      <c r="C17" s="25" t="s">
        <v>70</v>
      </c>
      <c r="D17" s="768"/>
      <c r="E17" s="768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189"/>
      <c r="S17" s="32"/>
      <c r="T17" s="32"/>
      <c r="U17" s="32"/>
      <c r="V17" s="32"/>
      <c r="W17" s="32"/>
      <c r="X17" s="184"/>
      <c r="Y17" s="184"/>
      <c r="Z17" s="184"/>
      <c r="AA17" s="184"/>
      <c r="AB17" s="184"/>
      <c r="AC17" s="184"/>
      <c r="AD17" s="184"/>
      <c r="AE17" s="184"/>
      <c r="AF17" s="184"/>
      <c r="AG17" s="184"/>
      <c r="AH17" s="184"/>
      <c r="AI17" s="184"/>
      <c r="AJ17" s="184"/>
    </row>
    <row r="18" spans="1:36" ht="16.5" customHeight="1">
      <c r="A18" s="41"/>
      <c r="B18" s="42" t="s">
        <v>85</v>
      </c>
      <c r="C18" s="42"/>
      <c r="D18" s="42"/>
      <c r="E18" s="195"/>
      <c r="F18" s="43"/>
      <c r="G18" s="43"/>
      <c r="H18" s="43"/>
      <c r="I18" s="43"/>
      <c r="J18" s="196"/>
      <c r="K18" s="196"/>
      <c r="L18" s="196"/>
      <c r="M18" s="196"/>
      <c r="N18" s="197"/>
      <c r="O18" s="43"/>
      <c r="P18" s="43"/>
      <c r="Q18" s="43"/>
      <c r="R18" s="198"/>
      <c r="S18" s="43"/>
      <c r="T18" s="43"/>
      <c r="U18" s="43"/>
      <c r="V18" s="43"/>
      <c r="W18" s="43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</row>
    <row r="19" spans="1:36" ht="26.25" customHeight="1">
      <c r="A19" s="46">
        <v>1</v>
      </c>
      <c r="B19" s="47" t="s">
        <v>87</v>
      </c>
      <c r="C19" s="47" t="s">
        <v>88</v>
      </c>
      <c r="D19" s="46"/>
      <c r="E19" s="200"/>
      <c r="F19" s="201"/>
      <c r="G19" s="201"/>
      <c r="H19" s="201"/>
      <c r="I19" s="201"/>
      <c r="J19" s="202"/>
      <c r="K19" s="202"/>
      <c r="L19" s="202"/>
      <c r="M19" s="202"/>
      <c r="N19" s="203"/>
      <c r="O19" s="201"/>
      <c r="P19" s="201"/>
      <c r="Q19" s="201"/>
      <c r="R19" s="204"/>
      <c r="S19" s="201"/>
      <c r="T19" s="201"/>
      <c r="U19" s="201"/>
      <c r="V19" s="201"/>
      <c r="W19" s="201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</row>
    <row r="20" spans="1:36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SUM(F20:W20)</f>
        <v>0</v>
      </c>
      <c r="F20" s="209"/>
      <c r="G20" s="209"/>
      <c r="H20" s="209"/>
      <c r="I20" s="209"/>
      <c r="J20" s="210"/>
      <c r="K20" s="210"/>
      <c r="L20" s="210"/>
      <c r="M20" s="210"/>
      <c r="N20" s="210"/>
      <c r="O20" s="209"/>
      <c r="P20" s="209"/>
      <c r="Q20" s="209"/>
      <c r="R20" s="211"/>
      <c r="S20" s="209"/>
      <c r="T20" s="209"/>
      <c r="U20" s="209"/>
      <c r="V20" s="209"/>
      <c r="W20" s="209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</row>
    <row r="21" spans="1:36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213"/>
      <c r="G21" s="213"/>
      <c r="H21" s="213"/>
      <c r="I21" s="213"/>
      <c r="J21" s="214"/>
      <c r="K21" s="214"/>
      <c r="L21" s="214"/>
      <c r="M21" s="214"/>
      <c r="N21" s="214"/>
      <c r="O21" s="213"/>
      <c r="P21" s="213"/>
      <c r="Q21" s="213"/>
      <c r="R21" s="215"/>
      <c r="S21" s="213"/>
      <c r="T21" s="213"/>
      <c r="U21" s="213"/>
      <c r="V21" s="213"/>
      <c r="W21" s="213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</row>
    <row r="22" spans="1:36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213"/>
      <c r="G22" s="213"/>
      <c r="H22" s="213"/>
      <c r="I22" s="213"/>
      <c r="J22" s="214"/>
      <c r="K22" s="214"/>
      <c r="L22" s="214"/>
      <c r="M22" s="214"/>
      <c r="N22" s="214"/>
      <c r="O22" s="213"/>
      <c r="P22" s="213"/>
      <c r="Q22" s="213"/>
      <c r="R22" s="215"/>
      <c r="S22" s="213"/>
      <c r="T22" s="213"/>
      <c r="U22" s="213"/>
      <c r="V22" s="213"/>
      <c r="W22" s="213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</row>
    <row r="23" spans="1:36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213"/>
      <c r="G23" s="213"/>
      <c r="H23" s="213"/>
      <c r="I23" s="213"/>
      <c r="J23" s="214"/>
      <c r="K23" s="214"/>
      <c r="L23" s="214"/>
      <c r="M23" s="214"/>
      <c r="N23" s="214"/>
      <c r="O23" s="213"/>
      <c r="P23" s="213"/>
      <c r="Q23" s="213"/>
      <c r="R23" s="215"/>
      <c r="S23" s="213"/>
      <c r="T23" s="213"/>
      <c r="U23" s="213"/>
      <c r="V23" s="213"/>
      <c r="W23" s="213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</row>
    <row r="24" spans="1:36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213"/>
      <c r="G24" s="213"/>
      <c r="H24" s="213"/>
      <c r="I24" s="213"/>
      <c r="J24" s="214"/>
      <c r="K24" s="214"/>
      <c r="L24" s="214"/>
      <c r="M24" s="214"/>
      <c r="N24" s="214"/>
      <c r="O24" s="213"/>
      <c r="P24" s="213"/>
      <c r="Q24" s="213"/>
      <c r="R24" s="215"/>
      <c r="S24" s="213"/>
      <c r="T24" s="213"/>
      <c r="U24" s="213"/>
      <c r="V24" s="213"/>
      <c r="W24" s="213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</row>
    <row r="25" spans="1:36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209"/>
      <c r="G25" s="209"/>
      <c r="H25" s="209"/>
      <c r="I25" s="209"/>
      <c r="J25" s="210"/>
      <c r="K25" s="210"/>
      <c r="L25" s="210"/>
      <c r="M25" s="210"/>
      <c r="N25" s="210"/>
      <c r="O25" s="209"/>
      <c r="P25" s="209"/>
      <c r="Q25" s="209"/>
      <c r="R25" s="211"/>
      <c r="S25" s="209"/>
      <c r="T25" s="209"/>
      <c r="U25" s="209"/>
      <c r="V25" s="209"/>
      <c r="W25" s="209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</row>
    <row r="26" spans="1:36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213"/>
      <c r="G26" s="213"/>
      <c r="H26" s="213"/>
      <c r="I26" s="213"/>
      <c r="J26" s="214"/>
      <c r="K26" s="214"/>
      <c r="L26" s="214"/>
      <c r="M26" s="214"/>
      <c r="N26" s="214"/>
      <c r="O26" s="213"/>
      <c r="P26" s="213"/>
      <c r="Q26" s="213"/>
      <c r="R26" s="215"/>
      <c r="S26" s="213"/>
      <c r="T26" s="213"/>
      <c r="U26" s="213"/>
      <c r="V26" s="213"/>
      <c r="W26" s="213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5"/>
      <c r="AI26" s="205"/>
      <c r="AJ26" s="205"/>
    </row>
    <row r="27" spans="1:36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213"/>
      <c r="G27" s="213"/>
      <c r="H27" s="213"/>
      <c r="I27" s="213"/>
      <c r="J27" s="214"/>
      <c r="K27" s="214"/>
      <c r="L27" s="214"/>
      <c r="M27" s="214"/>
      <c r="N27" s="214"/>
      <c r="O27" s="213"/>
      <c r="P27" s="213"/>
      <c r="Q27" s="213"/>
      <c r="R27" s="215"/>
      <c r="S27" s="213"/>
      <c r="T27" s="213"/>
      <c r="U27" s="213"/>
      <c r="V27" s="213"/>
      <c r="W27" s="213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</row>
    <row r="28" spans="1:36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213"/>
      <c r="G28" s="213"/>
      <c r="H28" s="213"/>
      <c r="I28" s="213"/>
      <c r="J28" s="214"/>
      <c r="K28" s="214"/>
      <c r="L28" s="214"/>
      <c r="M28" s="214"/>
      <c r="N28" s="214"/>
      <c r="O28" s="213"/>
      <c r="P28" s="213"/>
      <c r="Q28" s="213"/>
      <c r="R28" s="215"/>
      <c r="S28" s="213"/>
      <c r="T28" s="213"/>
      <c r="U28" s="213"/>
      <c r="V28" s="213"/>
      <c r="W28" s="213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</row>
    <row r="29" spans="1:36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213"/>
      <c r="G29" s="213"/>
      <c r="H29" s="213"/>
      <c r="I29" s="213"/>
      <c r="J29" s="214"/>
      <c r="K29" s="214"/>
      <c r="L29" s="214"/>
      <c r="M29" s="214"/>
      <c r="N29" s="214"/>
      <c r="O29" s="213"/>
      <c r="P29" s="213"/>
      <c r="Q29" s="213"/>
      <c r="R29" s="215"/>
      <c r="S29" s="213"/>
      <c r="T29" s="213"/>
      <c r="U29" s="213"/>
      <c r="V29" s="213"/>
      <c r="W29" s="213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</row>
    <row r="30" spans="1:36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209"/>
      <c r="G30" s="209"/>
      <c r="H30" s="209"/>
      <c r="I30" s="209"/>
      <c r="J30" s="210"/>
      <c r="K30" s="210"/>
      <c r="L30" s="210"/>
      <c r="M30" s="210"/>
      <c r="N30" s="210"/>
      <c r="O30" s="209"/>
      <c r="P30" s="209"/>
      <c r="Q30" s="209"/>
      <c r="R30" s="211"/>
      <c r="S30" s="209"/>
      <c r="T30" s="209"/>
      <c r="U30" s="209"/>
      <c r="V30" s="209"/>
      <c r="W30" s="209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</row>
    <row r="31" spans="1:36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213"/>
      <c r="G31" s="213"/>
      <c r="H31" s="213"/>
      <c r="I31" s="213"/>
      <c r="J31" s="214"/>
      <c r="K31" s="214"/>
      <c r="L31" s="214"/>
      <c r="M31" s="214"/>
      <c r="N31" s="214"/>
      <c r="O31" s="213"/>
      <c r="P31" s="213"/>
      <c r="Q31" s="213"/>
      <c r="R31" s="215"/>
      <c r="S31" s="213"/>
      <c r="T31" s="213"/>
      <c r="U31" s="213"/>
      <c r="V31" s="213"/>
      <c r="W31" s="213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</row>
    <row r="32" spans="1:36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213"/>
      <c r="G32" s="213"/>
      <c r="H32" s="213"/>
      <c r="I32" s="213"/>
      <c r="J32" s="214"/>
      <c r="K32" s="214"/>
      <c r="L32" s="214"/>
      <c r="M32" s="214"/>
      <c r="N32" s="214"/>
      <c r="O32" s="213"/>
      <c r="P32" s="213"/>
      <c r="Q32" s="213"/>
      <c r="R32" s="215"/>
      <c r="S32" s="213"/>
      <c r="T32" s="213"/>
      <c r="U32" s="213"/>
      <c r="V32" s="213"/>
      <c r="W32" s="213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</row>
    <row r="33" spans="1:36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213"/>
      <c r="G33" s="213"/>
      <c r="H33" s="213"/>
      <c r="I33" s="213"/>
      <c r="J33" s="214"/>
      <c r="K33" s="214"/>
      <c r="L33" s="214"/>
      <c r="M33" s="214"/>
      <c r="N33" s="214"/>
      <c r="O33" s="213"/>
      <c r="P33" s="213"/>
      <c r="Q33" s="213"/>
      <c r="R33" s="215"/>
      <c r="S33" s="213"/>
      <c r="T33" s="213"/>
      <c r="U33" s="213"/>
      <c r="V33" s="213"/>
      <c r="W33" s="213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</row>
    <row r="34" spans="1:36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213"/>
      <c r="G34" s="213"/>
      <c r="H34" s="213"/>
      <c r="I34" s="213"/>
      <c r="J34" s="214"/>
      <c r="K34" s="214"/>
      <c r="L34" s="214"/>
      <c r="M34" s="214"/>
      <c r="N34" s="214"/>
      <c r="O34" s="213"/>
      <c r="P34" s="213"/>
      <c r="Q34" s="213"/>
      <c r="R34" s="215"/>
      <c r="S34" s="213"/>
      <c r="T34" s="213"/>
      <c r="U34" s="213"/>
      <c r="V34" s="213"/>
      <c r="W34" s="213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</row>
    <row r="35" spans="1:36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213"/>
      <c r="G35" s="213"/>
      <c r="H35" s="213"/>
      <c r="I35" s="213"/>
      <c r="J35" s="214"/>
      <c r="K35" s="214"/>
      <c r="L35" s="214"/>
      <c r="M35" s="214"/>
      <c r="N35" s="214"/>
      <c r="O35" s="213"/>
      <c r="P35" s="213"/>
      <c r="Q35" s="213"/>
      <c r="R35" s="215"/>
      <c r="S35" s="213"/>
      <c r="T35" s="213"/>
      <c r="U35" s="213"/>
      <c r="V35" s="213"/>
      <c r="W35" s="213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</row>
    <row r="36" spans="1:36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213"/>
      <c r="G36" s="213"/>
      <c r="H36" s="213"/>
      <c r="I36" s="213"/>
      <c r="J36" s="214"/>
      <c r="K36" s="214"/>
      <c r="L36" s="214"/>
      <c r="M36" s="214"/>
      <c r="N36" s="214"/>
      <c r="O36" s="213"/>
      <c r="P36" s="213"/>
      <c r="Q36" s="213"/>
      <c r="R36" s="215"/>
      <c r="S36" s="213"/>
      <c r="T36" s="213"/>
      <c r="U36" s="213"/>
      <c r="V36" s="213"/>
      <c r="W36" s="213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</row>
    <row r="37" spans="1:36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5"/>
      <c r="S37" s="213"/>
      <c r="T37" s="213"/>
      <c r="U37" s="213"/>
      <c r="V37" s="213"/>
      <c r="W37" s="213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</row>
    <row r="38" spans="1:36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209"/>
      <c r="G38" s="209"/>
      <c r="H38" s="209"/>
      <c r="I38" s="209"/>
      <c r="J38" s="210"/>
      <c r="K38" s="210"/>
      <c r="L38" s="210"/>
      <c r="M38" s="210"/>
      <c r="N38" s="210"/>
      <c r="O38" s="209"/>
      <c r="P38" s="209"/>
      <c r="Q38" s="209"/>
      <c r="R38" s="211"/>
      <c r="S38" s="209"/>
      <c r="T38" s="209"/>
      <c r="U38" s="209"/>
      <c r="V38" s="209"/>
      <c r="W38" s="209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</row>
    <row r="39" spans="1:36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213"/>
      <c r="G39" s="213"/>
      <c r="H39" s="213"/>
      <c r="I39" s="213"/>
      <c r="J39" s="214"/>
      <c r="K39" s="214"/>
      <c r="L39" s="214"/>
      <c r="M39" s="214"/>
      <c r="N39" s="214"/>
      <c r="O39" s="213"/>
      <c r="P39" s="213"/>
      <c r="Q39" s="213"/>
      <c r="R39" s="215"/>
      <c r="S39" s="213"/>
      <c r="T39" s="213"/>
      <c r="U39" s="213"/>
      <c r="V39" s="213"/>
      <c r="W39" s="213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</row>
    <row r="40" spans="1:36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213"/>
      <c r="G40" s="213"/>
      <c r="H40" s="213"/>
      <c r="I40" s="213"/>
      <c r="J40" s="214"/>
      <c r="K40" s="214"/>
      <c r="L40" s="214"/>
      <c r="M40" s="214"/>
      <c r="N40" s="214"/>
      <c r="O40" s="213"/>
      <c r="P40" s="213"/>
      <c r="Q40" s="213"/>
      <c r="R40" s="215"/>
      <c r="S40" s="213"/>
      <c r="T40" s="213"/>
      <c r="U40" s="213"/>
      <c r="V40" s="213"/>
      <c r="W40" s="213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</row>
    <row r="41" spans="1:36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213"/>
      <c r="G41" s="213"/>
      <c r="H41" s="213"/>
      <c r="I41" s="213"/>
      <c r="J41" s="214"/>
      <c r="K41" s="214"/>
      <c r="L41" s="214"/>
      <c r="M41" s="214"/>
      <c r="N41" s="214"/>
      <c r="O41" s="213"/>
      <c r="P41" s="213"/>
      <c r="Q41" s="213"/>
      <c r="R41" s="215"/>
      <c r="S41" s="213"/>
      <c r="T41" s="213"/>
      <c r="U41" s="213"/>
      <c r="V41" s="213"/>
      <c r="W41" s="213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</row>
    <row r="42" spans="1:36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213"/>
      <c r="G42" s="213"/>
      <c r="H42" s="213"/>
      <c r="I42" s="213"/>
      <c r="J42" s="214"/>
      <c r="K42" s="214"/>
      <c r="L42" s="214"/>
      <c r="M42" s="214"/>
      <c r="N42" s="214"/>
      <c r="O42" s="213"/>
      <c r="P42" s="213"/>
      <c r="Q42" s="213"/>
      <c r="R42" s="215"/>
      <c r="S42" s="213"/>
      <c r="T42" s="213"/>
      <c r="U42" s="213"/>
      <c r="V42" s="213"/>
      <c r="W42" s="213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</row>
    <row r="43" spans="1:36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213"/>
      <c r="G43" s="213"/>
      <c r="H43" s="213"/>
      <c r="I43" s="213"/>
      <c r="J43" s="214"/>
      <c r="K43" s="214"/>
      <c r="L43" s="214"/>
      <c r="M43" s="214"/>
      <c r="N43" s="214"/>
      <c r="O43" s="213"/>
      <c r="P43" s="213"/>
      <c r="Q43" s="213"/>
      <c r="R43" s="215"/>
      <c r="S43" s="213"/>
      <c r="T43" s="213"/>
      <c r="U43" s="213"/>
      <c r="V43" s="213"/>
      <c r="W43" s="213"/>
      <c r="X43" s="218"/>
      <c r="Y43" s="218"/>
      <c r="Z43" s="218"/>
      <c r="AA43" s="218"/>
      <c r="AB43" s="218"/>
      <c r="AC43" s="218"/>
      <c r="AD43" s="218"/>
      <c r="AE43" s="218"/>
      <c r="AF43" s="218"/>
      <c r="AG43" s="218"/>
      <c r="AH43" s="218"/>
      <c r="AI43" s="218"/>
      <c r="AJ43" s="218"/>
    </row>
    <row r="44" spans="1:36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213"/>
      <c r="G44" s="213"/>
      <c r="H44" s="213"/>
      <c r="I44" s="213"/>
      <c r="J44" s="214"/>
      <c r="K44" s="214"/>
      <c r="L44" s="214"/>
      <c r="M44" s="214"/>
      <c r="N44" s="214"/>
      <c r="O44" s="213"/>
      <c r="P44" s="213"/>
      <c r="Q44" s="213"/>
      <c r="R44" s="215"/>
      <c r="S44" s="213"/>
      <c r="T44" s="213"/>
      <c r="U44" s="213"/>
      <c r="V44" s="213"/>
      <c r="W44" s="213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</row>
    <row r="45" spans="1:36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213"/>
      <c r="G45" s="213"/>
      <c r="H45" s="213"/>
      <c r="I45" s="213"/>
      <c r="J45" s="214"/>
      <c r="K45" s="214"/>
      <c r="L45" s="214"/>
      <c r="M45" s="214"/>
      <c r="N45" s="214"/>
      <c r="O45" s="213"/>
      <c r="P45" s="213"/>
      <c r="Q45" s="213"/>
      <c r="R45" s="215"/>
      <c r="S45" s="213"/>
      <c r="T45" s="213"/>
      <c r="U45" s="213"/>
      <c r="V45" s="213"/>
      <c r="W45" s="213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</row>
    <row r="46" spans="1:36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213"/>
      <c r="G46" s="213"/>
      <c r="H46" s="213"/>
      <c r="I46" s="213"/>
      <c r="J46" s="214"/>
      <c r="K46" s="214"/>
      <c r="L46" s="214"/>
      <c r="M46" s="214"/>
      <c r="N46" s="214"/>
      <c r="O46" s="213"/>
      <c r="P46" s="213"/>
      <c r="Q46" s="213"/>
      <c r="R46" s="215"/>
      <c r="S46" s="213"/>
      <c r="T46" s="213"/>
      <c r="U46" s="213"/>
      <c r="V46" s="213"/>
      <c r="W46" s="213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</row>
    <row r="47" spans="1:36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213"/>
      <c r="G47" s="213"/>
      <c r="H47" s="213"/>
      <c r="I47" s="213"/>
      <c r="J47" s="214"/>
      <c r="K47" s="214"/>
      <c r="L47" s="214"/>
      <c r="M47" s="214"/>
      <c r="N47" s="214"/>
      <c r="O47" s="213"/>
      <c r="P47" s="213"/>
      <c r="Q47" s="213"/>
      <c r="R47" s="215"/>
      <c r="S47" s="213"/>
      <c r="T47" s="213"/>
      <c r="U47" s="213"/>
      <c r="V47" s="213"/>
      <c r="W47" s="213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</row>
    <row r="48" spans="1:36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213"/>
      <c r="G48" s="213"/>
      <c r="H48" s="213"/>
      <c r="I48" s="213"/>
      <c r="J48" s="214"/>
      <c r="K48" s="214"/>
      <c r="L48" s="214"/>
      <c r="M48" s="214"/>
      <c r="N48" s="214"/>
      <c r="O48" s="213"/>
      <c r="P48" s="213"/>
      <c r="Q48" s="213"/>
      <c r="R48" s="215"/>
      <c r="S48" s="213"/>
      <c r="T48" s="213"/>
      <c r="U48" s="213"/>
      <c r="V48" s="213"/>
      <c r="W48" s="213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</row>
    <row r="49" spans="1:36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213"/>
      <c r="G49" s="213"/>
      <c r="H49" s="213"/>
      <c r="I49" s="213"/>
      <c r="J49" s="214"/>
      <c r="K49" s="214"/>
      <c r="L49" s="214"/>
      <c r="M49" s="214"/>
      <c r="N49" s="214"/>
      <c r="O49" s="213"/>
      <c r="P49" s="213"/>
      <c r="Q49" s="213"/>
      <c r="R49" s="215"/>
      <c r="S49" s="213"/>
      <c r="T49" s="213"/>
      <c r="U49" s="213"/>
      <c r="V49" s="213"/>
      <c r="W49" s="213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</row>
    <row r="50" spans="1:36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213"/>
      <c r="G50" s="213"/>
      <c r="H50" s="213"/>
      <c r="I50" s="213"/>
      <c r="J50" s="214"/>
      <c r="K50" s="214"/>
      <c r="L50" s="214"/>
      <c r="M50" s="214"/>
      <c r="N50" s="214"/>
      <c r="O50" s="213"/>
      <c r="P50" s="213"/>
      <c r="Q50" s="213"/>
      <c r="R50" s="215"/>
      <c r="S50" s="213"/>
      <c r="T50" s="213"/>
      <c r="U50" s="213"/>
      <c r="V50" s="213"/>
      <c r="W50" s="213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</row>
    <row r="51" spans="1:36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213"/>
      <c r="G51" s="213"/>
      <c r="H51" s="213"/>
      <c r="I51" s="213"/>
      <c r="J51" s="214"/>
      <c r="K51" s="214"/>
      <c r="L51" s="214"/>
      <c r="M51" s="214"/>
      <c r="N51" s="214"/>
      <c r="O51" s="213"/>
      <c r="P51" s="213"/>
      <c r="Q51" s="213"/>
      <c r="R51" s="215"/>
      <c r="S51" s="213"/>
      <c r="T51" s="213"/>
      <c r="U51" s="213"/>
      <c r="V51" s="213"/>
      <c r="W51" s="213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</row>
    <row r="52" spans="1:36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213"/>
      <c r="G52" s="213"/>
      <c r="H52" s="213"/>
      <c r="I52" s="213"/>
      <c r="J52" s="214"/>
      <c r="K52" s="214"/>
      <c r="L52" s="214"/>
      <c r="M52" s="214"/>
      <c r="N52" s="214"/>
      <c r="O52" s="213"/>
      <c r="P52" s="213"/>
      <c r="Q52" s="213"/>
      <c r="R52" s="215"/>
      <c r="S52" s="213"/>
      <c r="T52" s="213"/>
      <c r="U52" s="213"/>
      <c r="V52" s="213"/>
      <c r="W52" s="213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</row>
    <row r="53" spans="1:36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213"/>
      <c r="G53" s="213"/>
      <c r="H53" s="213"/>
      <c r="I53" s="213"/>
      <c r="J53" s="214"/>
      <c r="K53" s="214"/>
      <c r="L53" s="214"/>
      <c r="M53" s="214"/>
      <c r="N53" s="214"/>
      <c r="O53" s="213"/>
      <c r="P53" s="213"/>
      <c r="Q53" s="213"/>
      <c r="R53" s="215"/>
      <c r="S53" s="213"/>
      <c r="T53" s="213"/>
      <c r="U53" s="213"/>
      <c r="V53" s="213"/>
      <c r="W53" s="213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</row>
    <row r="54" spans="1:36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213"/>
      <c r="G54" s="213"/>
      <c r="H54" s="213"/>
      <c r="I54" s="213"/>
      <c r="J54" s="214"/>
      <c r="K54" s="214"/>
      <c r="L54" s="214"/>
      <c r="M54" s="214"/>
      <c r="N54" s="214"/>
      <c r="O54" s="213"/>
      <c r="P54" s="213"/>
      <c r="Q54" s="213"/>
      <c r="R54" s="215"/>
      <c r="S54" s="213"/>
      <c r="T54" s="213"/>
      <c r="U54" s="213"/>
      <c r="V54" s="213"/>
      <c r="W54" s="213"/>
      <c r="X54" s="205"/>
      <c r="Y54" s="205"/>
      <c r="Z54" s="205"/>
      <c r="AA54" s="205"/>
      <c r="AB54" s="205"/>
      <c r="AC54" s="205"/>
      <c r="AD54" s="205"/>
      <c r="AE54" s="205"/>
      <c r="AF54" s="205"/>
      <c r="AG54" s="205"/>
      <c r="AH54" s="205"/>
      <c r="AI54" s="205"/>
      <c r="AJ54" s="205"/>
    </row>
    <row r="55" spans="1:36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213"/>
      <c r="G55" s="213"/>
      <c r="H55" s="213"/>
      <c r="I55" s="213"/>
      <c r="J55" s="214"/>
      <c r="K55" s="214"/>
      <c r="L55" s="214"/>
      <c r="M55" s="214"/>
      <c r="N55" s="214"/>
      <c r="O55" s="213"/>
      <c r="P55" s="213"/>
      <c r="Q55" s="213"/>
      <c r="R55" s="215"/>
      <c r="S55" s="213"/>
      <c r="T55" s="213"/>
      <c r="U55" s="213"/>
      <c r="V55" s="213"/>
      <c r="W55" s="213"/>
      <c r="X55" s="205"/>
      <c r="Y55" s="205"/>
      <c r="Z55" s="205"/>
      <c r="AA55" s="205"/>
      <c r="AB55" s="205"/>
      <c r="AC55" s="205"/>
      <c r="AD55" s="205"/>
      <c r="AE55" s="205"/>
      <c r="AF55" s="205"/>
      <c r="AG55" s="205"/>
      <c r="AH55" s="205"/>
      <c r="AI55" s="205"/>
      <c r="AJ55" s="205"/>
    </row>
    <row r="56" spans="1:36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213"/>
      <c r="G56" s="213"/>
      <c r="H56" s="213"/>
      <c r="I56" s="213"/>
      <c r="J56" s="214"/>
      <c r="K56" s="214"/>
      <c r="L56" s="214"/>
      <c r="M56" s="214"/>
      <c r="N56" s="214"/>
      <c r="O56" s="213"/>
      <c r="P56" s="213"/>
      <c r="Q56" s="213"/>
      <c r="R56" s="215"/>
      <c r="S56" s="213"/>
      <c r="T56" s="213"/>
      <c r="U56" s="213"/>
      <c r="V56" s="213"/>
      <c r="W56" s="213"/>
      <c r="X56" s="205"/>
      <c r="Y56" s="205"/>
      <c r="Z56" s="205"/>
      <c r="AA56" s="205"/>
      <c r="AB56" s="205"/>
      <c r="AC56" s="205"/>
      <c r="AD56" s="205"/>
      <c r="AE56" s="205"/>
      <c r="AF56" s="205"/>
      <c r="AG56" s="205"/>
      <c r="AH56" s="205"/>
      <c r="AI56" s="205"/>
      <c r="AJ56" s="205"/>
    </row>
    <row r="57" spans="1:36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213"/>
      <c r="G57" s="213"/>
      <c r="H57" s="213"/>
      <c r="I57" s="213"/>
      <c r="J57" s="214"/>
      <c r="K57" s="214"/>
      <c r="L57" s="214"/>
      <c r="M57" s="214"/>
      <c r="N57" s="214"/>
      <c r="O57" s="213"/>
      <c r="P57" s="213"/>
      <c r="Q57" s="213"/>
      <c r="R57" s="215"/>
      <c r="S57" s="213"/>
      <c r="T57" s="213"/>
      <c r="U57" s="213"/>
      <c r="V57" s="213"/>
      <c r="W57" s="213"/>
      <c r="X57" s="205"/>
      <c r="Y57" s="205"/>
      <c r="Z57" s="205"/>
      <c r="AA57" s="205"/>
      <c r="AB57" s="205"/>
      <c r="AC57" s="205"/>
      <c r="AD57" s="205"/>
      <c r="AE57" s="205"/>
      <c r="AF57" s="205"/>
      <c r="AG57" s="205"/>
      <c r="AH57" s="205"/>
      <c r="AI57" s="205"/>
      <c r="AJ57" s="205"/>
    </row>
    <row r="58" spans="1:36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213"/>
      <c r="G58" s="213"/>
      <c r="H58" s="213"/>
      <c r="I58" s="213"/>
      <c r="J58" s="214"/>
      <c r="K58" s="214"/>
      <c r="L58" s="214"/>
      <c r="M58" s="214"/>
      <c r="N58" s="214"/>
      <c r="O58" s="213"/>
      <c r="P58" s="213"/>
      <c r="Q58" s="213"/>
      <c r="R58" s="215"/>
      <c r="S58" s="213"/>
      <c r="T58" s="219"/>
      <c r="U58" s="219"/>
      <c r="V58" s="219"/>
      <c r="W58" s="219"/>
      <c r="X58" s="205"/>
      <c r="Y58" s="205"/>
      <c r="Z58" s="205"/>
      <c r="AA58" s="205"/>
      <c r="AB58" s="205"/>
      <c r="AC58" s="205"/>
      <c r="AD58" s="205"/>
      <c r="AE58" s="205"/>
      <c r="AF58" s="205"/>
      <c r="AG58" s="205"/>
      <c r="AH58" s="205"/>
      <c r="AI58" s="205"/>
      <c r="AJ58" s="205"/>
    </row>
    <row r="59" spans="1:36" ht="18.75" hidden="1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213"/>
      <c r="G59" s="213"/>
      <c r="H59" s="213"/>
      <c r="I59" s="213"/>
      <c r="J59" s="214"/>
      <c r="K59" s="214"/>
      <c r="L59" s="214"/>
      <c r="M59" s="214"/>
      <c r="N59" s="214"/>
      <c r="O59" s="213"/>
      <c r="P59" s="213"/>
      <c r="Q59" s="213"/>
      <c r="R59" s="215"/>
      <c r="S59" s="213"/>
      <c r="T59" s="213"/>
      <c r="U59" s="213"/>
      <c r="V59" s="213"/>
      <c r="W59" s="213"/>
      <c r="X59" s="205"/>
      <c r="Y59" s="205"/>
      <c r="Z59" s="205"/>
      <c r="AA59" s="205"/>
      <c r="AB59" s="205"/>
      <c r="AC59" s="205"/>
      <c r="AD59" s="205"/>
      <c r="AE59" s="205"/>
      <c r="AF59" s="205"/>
      <c r="AG59" s="205"/>
      <c r="AH59" s="205"/>
      <c r="AI59" s="205"/>
      <c r="AJ59" s="205"/>
    </row>
    <row r="60" spans="1:36" ht="18.75" hidden="1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213"/>
      <c r="G60" s="213"/>
      <c r="H60" s="213"/>
      <c r="I60" s="213"/>
      <c r="J60" s="214"/>
      <c r="K60" s="214"/>
      <c r="L60" s="214"/>
      <c r="M60" s="214"/>
      <c r="N60" s="214"/>
      <c r="O60" s="213"/>
      <c r="P60" s="213"/>
      <c r="Q60" s="213"/>
      <c r="R60" s="215"/>
      <c r="S60" s="213"/>
      <c r="T60" s="213"/>
      <c r="U60" s="213"/>
      <c r="V60" s="213"/>
      <c r="W60" s="213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</row>
    <row r="61" spans="1:36" ht="18.75" hidden="1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213"/>
      <c r="G61" s="213"/>
      <c r="H61" s="213"/>
      <c r="I61" s="213"/>
      <c r="J61" s="214"/>
      <c r="K61" s="214"/>
      <c r="L61" s="214"/>
      <c r="M61" s="214"/>
      <c r="N61" s="214"/>
      <c r="O61" s="213"/>
      <c r="P61" s="213"/>
      <c r="Q61" s="213"/>
      <c r="R61" s="215"/>
      <c r="S61" s="213"/>
      <c r="T61" s="213"/>
      <c r="U61" s="213"/>
      <c r="V61" s="213"/>
      <c r="W61" s="213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</row>
    <row r="62" spans="1:36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213"/>
      <c r="G62" s="213"/>
      <c r="H62" s="213"/>
      <c r="I62" s="213"/>
      <c r="J62" s="214"/>
      <c r="K62" s="214"/>
      <c r="L62" s="214"/>
      <c r="M62" s="214"/>
      <c r="N62" s="214"/>
      <c r="O62" s="213"/>
      <c r="P62" s="213"/>
      <c r="Q62" s="213"/>
      <c r="R62" s="215"/>
      <c r="S62" s="213"/>
      <c r="T62" s="213"/>
      <c r="U62" s="213"/>
      <c r="V62" s="213"/>
      <c r="W62" s="213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</row>
    <row r="63" spans="1:36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213"/>
      <c r="G63" s="213"/>
      <c r="H63" s="213"/>
      <c r="I63" s="213"/>
      <c r="J63" s="214"/>
      <c r="K63" s="214"/>
      <c r="L63" s="214"/>
      <c r="M63" s="214"/>
      <c r="N63" s="214"/>
      <c r="O63" s="213"/>
      <c r="P63" s="213"/>
      <c r="Q63" s="213"/>
      <c r="R63" s="215"/>
      <c r="S63" s="213"/>
      <c r="T63" s="213"/>
      <c r="U63" s="213"/>
      <c r="V63" s="213"/>
      <c r="W63" s="213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</row>
    <row r="64" spans="1:36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213"/>
      <c r="G64" s="213"/>
      <c r="H64" s="213"/>
      <c r="I64" s="213"/>
      <c r="J64" s="214"/>
      <c r="K64" s="214"/>
      <c r="L64" s="214"/>
      <c r="M64" s="214"/>
      <c r="N64" s="214"/>
      <c r="O64" s="213"/>
      <c r="P64" s="213"/>
      <c r="Q64" s="213"/>
      <c r="R64" s="215"/>
      <c r="S64" s="213"/>
      <c r="T64" s="213"/>
      <c r="U64" s="213"/>
      <c r="V64" s="213"/>
      <c r="W64" s="213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</row>
    <row r="65" spans="1:36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213"/>
      <c r="G65" s="213"/>
      <c r="H65" s="213"/>
      <c r="I65" s="213"/>
      <c r="J65" s="214"/>
      <c r="K65" s="214"/>
      <c r="L65" s="214"/>
      <c r="M65" s="214"/>
      <c r="N65" s="214"/>
      <c r="O65" s="213"/>
      <c r="P65" s="213"/>
      <c r="Q65" s="213"/>
      <c r="R65" s="215"/>
      <c r="S65" s="213"/>
      <c r="T65" s="213"/>
      <c r="U65" s="213"/>
      <c r="V65" s="213"/>
      <c r="W65" s="213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</row>
    <row r="66" spans="1:36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213"/>
      <c r="G66" s="213"/>
      <c r="H66" s="213"/>
      <c r="I66" s="213"/>
      <c r="J66" s="214"/>
      <c r="K66" s="214"/>
      <c r="L66" s="214"/>
      <c r="M66" s="214"/>
      <c r="N66" s="214"/>
      <c r="O66" s="213"/>
      <c r="P66" s="213"/>
      <c r="Q66" s="213"/>
      <c r="R66" s="215"/>
      <c r="S66" s="213"/>
      <c r="T66" s="213"/>
      <c r="U66" s="213"/>
      <c r="V66" s="213"/>
      <c r="W66" s="213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</row>
    <row r="67" spans="1:36" ht="18.75" hidden="1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213"/>
      <c r="G67" s="213"/>
      <c r="H67" s="213"/>
      <c r="I67" s="213"/>
      <c r="J67" s="214"/>
      <c r="K67" s="214"/>
      <c r="L67" s="214"/>
      <c r="M67" s="214"/>
      <c r="N67" s="214"/>
      <c r="O67" s="213"/>
      <c r="P67" s="213"/>
      <c r="Q67" s="213"/>
      <c r="R67" s="215"/>
      <c r="S67" s="213"/>
      <c r="T67" s="213"/>
      <c r="U67" s="213"/>
      <c r="V67" s="213"/>
      <c r="W67" s="213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</row>
    <row r="68" spans="1:36" ht="18.75" hidden="1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213"/>
      <c r="G68" s="213"/>
      <c r="H68" s="213"/>
      <c r="I68" s="213"/>
      <c r="J68" s="214"/>
      <c r="K68" s="214"/>
      <c r="L68" s="214"/>
      <c r="M68" s="214"/>
      <c r="N68" s="214"/>
      <c r="O68" s="213"/>
      <c r="P68" s="213"/>
      <c r="Q68" s="213"/>
      <c r="R68" s="215"/>
      <c r="S68" s="213"/>
      <c r="T68" s="213"/>
      <c r="U68" s="213"/>
      <c r="V68" s="213"/>
      <c r="W68" s="213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</row>
    <row r="69" spans="1:36" ht="18.75" hidden="1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213"/>
      <c r="G69" s="213"/>
      <c r="H69" s="213"/>
      <c r="I69" s="213"/>
      <c r="J69" s="214"/>
      <c r="K69" s="214"/>
      <c r="L69" s="214"/>
      <c r="M69" s="214"/>
      <c r="N69" s="214"/>
      <c r="O69" s="213"/>
      <c r="P69" s="213"/>
      <c r="Q69" s="213"/>
      <c r="R69" s="215"/>
      <c r="S69" s="213"/>
      <c r="T69" s="213"/>
      <c r="U69" s="213"/>
      <c r="V69" s="213"/>
      <c r="W69" s="213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</row>
    <row r="70" spans="1:36" ht="18.75" hidden="1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213"/>
      <c r="G70" s="213"/>
      <c r="H70" s="213"/>
      <c r="I70" s="213"/>
      <c r="J70" s="214"/>
      <c r="K70" s="214"/>
      <c r="L70" s="214"/>
      <c r="M70" s="214"/>
      <c r="N70" s="214"/>
      <c r="O70" s="213"/>
      <c r="P70" s="213"/>
      <c r="Q70" s="213"/>
      <c r="R70" s="215"/>
      <c r="S70" s="213"/>
      <c r="T70" s="213"/>
      <c r="U70" s="213"/>
      <c r="V70" s="213"/>
      <c r="W70" s="213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</row>
    <row r="71" spans="1:36" ht="63" hidden="1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213"/>
      <c r="G71" s="213"/>
      <c r="H71" s="213"/>
      <c r="I71" s="213"/>
      <c r="J71" s="214"/>
      <c r="K71" s="214"/>
      <c r="L71" s="214"/>
      <c r="M71" s="214"/>
      <c r="N71" s="214"/>
      <c r="O71" s="213"/>
      <c r="P71" s="213"/>
      <c r="Q71" s="213"/>
      <c r="R71" s="215"/>
      <c r="S71" s="213"/>
      <c r="T71" s="213"/>
      <c r="U71" s="213"/>
      <c r="V71" s="213"/>
      <c r="W71" s="213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</row>
    <row r="72" spans="1:36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213"/>
      <c r="G72" s="213"/>
      <c r="H72" s="213"/>
      <c r="I72" s="213"/>
      <c r="J72" s="214"/>
      <c r="K72" s="214"/>
      <c r="L72" s="214"/>
      <c r="M72" s="214"/>
      <c r="N72" s="214"/>
      <c r="O72" s="213"/>
      <c r="P72" s="213"/>
      <c r="Q72" s="213"/>
      <c r="R72" s="215"/>
      <c r="S72" s="213"/>
      <c r="T72" s="213"/>
      <c r="U72" s="213"/>
      <c r="V72" s="213"/>
      <c r="W72" s="213"/>
      <c r="X72" s="205"/>
      <c r="Y72" s="205"/>
      <c r="Z72" s="205"/>
      <c r="AA72" s="205"/>
      <c r="AB72" s="205"/>
      <c r="AC72" s="205"/>
      <c r="AD72" s="205"/>
      <c r="AE72" s="205"/>
      <c r="AF72" s="205"/>
      <c r="AG72" s="205"/>
      <c r="AH72" s="205"/>
      <c r="AI72" s="205"/>
      <c r="AJ72" s="205"/>
    </row>
    <row r="73" spans="1:36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213"/>
      <c r="G73" s="213"/>
      <c r="H73" s="213"/>
      <c r="I73" s="213"/>
      <c r="J73" s="214"/>
      <c r="K73" s="214"/>
      <c r="L73" s="214"/>
      <c r="M73" s="214"/>
      <c r="N73" s="214"/>
      <c r="O73" s="213"/>
      <c r="P73" s="213"/>
      <c r="Q73" s="213"/>
      <c r="R73" s="215"/>
      <c r="S73" s="213"/>
      <c r="T73" s="213"/>
      <c r="U73" s="213"/>
      <c r="V73" s="213"/>
      <c r="W73" s="213"/>
      <c r="X73" s="205"/>
      <c r="Y73" s="205"/>
      <c r="Z73" s="205"/>
      <c r="AA73" s="205"/>
      <c r="AB73" s="205"/>
      <c r="AC73" s="205"/>
      <c r="AD73" s="205"/>
      <c r="AE73" s="205"/>
      <c r="AF73" s="205"/>
      <c r="AG73" s="205"/>
      <c r="AH73" s="205"/>
      <c r="AI73" s="205"/>
      <c r="AJ73" s="205"/>
    </row>
    <row r="74" spans="1:36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213"/>
      <c r="G74" s="213"/>
      <c r="H74" s="213"/>
      <c r="I74" s="213"/>
      <c r="J74" s="214"/>
      <c r="K74" s="214"/>
      <c r="L74" s="214"/>
      <c r="M74" s="214"/>
      <c r="N74" s="214"/>
      <c r="O74" s="213"/>
      <c r="P74" s="213"/>
      <c r="Q74" s="213"/>
      <c r="R74" s="215"/>
      <c r="S74" s="213"/>
      <c r="T74" s="213"/>
      <c r="U74" s="213"/>
      <c r="V74" s="213"/>
      <c r="W74" s="213"/>
      <c r="X74" s="205"/>
      <c r="Y74" s="205"/>
      <c r="Z74" s="205"/>
      <c r="AA74" s="205"/>
      <c r="AB74" s="205"/>
      <c r="AC74" s="205"/>
      <c r="AD74" s="205"/>
      <c r="AE74" s="205"/>
      <c r="AF74" s="205"/>
      <c r="AG74" s="205"/>
      <c r="AH74" s="205"/>
      <c r="AI74" s="205"/>
      <c r="AJ74" s="205"/>
    </row>
    <row r="75" spans="1:36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213"/>
      <c r="G75" s="213"/>
      <c r="H75" s="213"/>
      <c r="I75" s="213"/>
      <c r="J75" s="214"/>
      <c r="K75" s="214"/>
      <c r="L75" s="214"/>
      <c r="M75" s="214"/>
      <c r="N75" s="214"/>
      <c r="O75" s="213"/>
      <c r="P75" s="213"/>
      <c r="Q75" s="213"/>
      <c r="R75" s="215"/>
      <c r="S75" s="213"/>
      <c r="T75" s="213"/>
      <c r="U75" s="213"/>
      <c r="V75" s="213"/>
      <c r="W75" s="213"/>
      <c r="X75" s="205"/>
      <c r="Y75" s="205"/>
      <c r="Z75" s="205"/>
      <c r="AA75" s="205"/>
      <c r="AB75" s="205"/>
      <c r="AC75" s="205"/>
      <c r="AD75" s="205"/>
      <c r="AE75" s="205"/>
      <c r="AF75" s="205"/>
      <c r="AG75" s="205"/>
      <c r="AH75" s="205"/>
      <c r="AI75" s="205"/>
      <c r="AJ75" s="205"/>
    </row>
    <row r="76" spans="1:36" ht="18.7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213"/>
      <c r="G76" s="213"/>
      <c r="H76" s="213"/>
      <c r="I76" s="213"/>
      <c r="J76" s="214"/>
      <c r="K76" s="214"/>
      <c r="L76" s="214"/>
      <c r="M76" s="214"/>
      <c r="N76" s="214"/>
      <c r="O76" s="213"/>
      <c r="P76" s="213"/>
      <c r="Q76" s="213"/>
      <c r="R76" s="215"/>
      <c r="S76" s="213"/>
      <c r="T76" s="213"/>
      <c r="U76" s="213"/>
      <c r="V76" s="213"/>
      <c r="W76" s="213"/>
      <c r="X76" s="205"/>
      <c r="Y76" s="205"/>
      <c r="Z76" s="205"/>
      <c r="AA76" s="205"/>
      <c r="AB76" s="205"/>
      <c r="AC76" s="205"/>
      <c r="AD76" s="205"/>
      <c r="AE76" s="205"/>
      <c r="AF76" s="205"/>
      <c r="AG76" s="205"/>
      <c r="AH76" s="205"/>
      <c r="AI76" s="205"/>
      <c r="AJ76" s="205"/>
    </row>
    <row r="77" spans="1:36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213"/>
      <c r="G77" s="213"/>
      <c r="H77" s="213"/>
      <c r="I77" s="213"/>
      <c r="J77" s="214"/>
      <c r="K77" s="214"/>
      <c r="L77" s="214"/>
      <c r="M77" s="214"/>
      <c r="N77" s="221"/>
      <c r="O77" s="213"/>
      <c r="P77" s="213"/>
      <c r="Q77" s="213"/>
      <c r="R77" s="215"/>
      <c r="S77" s="213"/>
      <c r="T77" s="213"/>
      <c r="U77" s="213"/>
      <c r="V77" s="213"/>
      <c r="W77" s="213"/>
      <c r="X77" s="205"/>
      <c r="Y77" s="205"/>
      <c r="Z77" s="205"/>
      <c r="AA77" s="205"/>
      <c r="AB77" s="205"/>
      <c r="AC77" s="205"/>
      <c r="AD77" s="205"/>
      <c r="AE77" s="205"/>
      <c r="AF77" s="205"/>
      <c r="AG77" s="205"/>
      <c r="AH77" s="205"/>
      <c r="AI77" s="205"/>
      <c r="AJ77" s="205"/>
    </row>
    <row r="78" spans="1:36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213"/>
      <c r="G78" s="213"/>
      <c r="H78" s="213"/>
      <c r="I78" s="213"/>
      <c r="J78" s="214"/>
      <c r="K78" s="214"/>
      <c r="L78" s="214"/>
      <c r="M78" s="214"/>
      <c r="N78" s="221"/>
      <c r="O78" s="213"/>
      <c r="P78" s="213"/>
      <c r="Q78" s="213"/>
      <c r="R78" s="215"/>
      <c r="S78" s="213"/>
      <c r="T78" s="213"/>
      <c r="U78" s="213"/>
      <c r="V78" s="213"/>
      <c r="W78" s="213"/>
      <c r="X78" s="205"/>
      <c r="Y78" s="205"/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</row>
    <row r="79" spans="1:36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213"/>
      <c r="G79" s="213"/>
      <c r="H79" s="213"/>
      <c r="I79" s="213"/>
      <c r="J79" s="214"/>
      <c r="K79" s="214"/>
      <c r="L79" s="214"/>
      <c r="M79" s="214"/>
      <c r="N79" s="221"/>
      <c r="O79" s="213"/>
      <c r="P79" s="213"/>
      <c r="Q79" s="213"/>
      <c r="R79" s="215"/>
      <c r="S79" s="213"/>
      <c r="T79" s="213"/>
      <c r="U79" s="213"/>
      <c r="V79" s="213"/>
      <c r="W79" s="213"/>
      <c r="X79" s="205"/>
      <c r="Y79" s="205"/>
      <c r="Z79" s="205"/>
      <c r="AA79" s="205"/>
      <c r="AB79" s="205"/>
      <c r="AC79" s="205"/>
      <c r="AD79" s="205"/>
      <c r="AE79" s="205"/>
      <c r="AF79" s="205"/>
      <c r="AG79" s="205"/>
      <c r="AH79" s="205"/>
      <c r="AI79" s="205"/>
      <c r="AJ79" s="205"/>
    </row>
    <row r="80" spans="1:36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213"/>
      <c r="G80" s="213"/>
      <c r="H80" s="213"/>
      <c r="I80" s="213"/>
      <c r="J80" s="214"/>
      <c r="K80" s="214"/>
      <c r="L80" s="214"/>
      <c r="M80" s="214"/>
      <c r="N80" s="221"/>
      <c r="O80" s="213"/>
      <c r="P80" s="213"/>
      <c r="Q80" s="213"/>
      <c r="R80" s="215"/>
      <c r="S80" s="213"/>
      <c r="T80" s="213"/>
      <c r="U80" s="213"/>
      <c r="V80" s="213"/>
      <c r="W80" s="213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205"/>
      <c r="AI80" s="205"/>
      <c r="AJ80" s="205"/>
    </row>
    <row r="81" spans="1:36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213"/>
      <c r="G81" s="213"/>
      <c r="H81" s="213"/>
      <c r="I81" s="213"/>
      <c r="J81" s="214"/>
      <c r="K81" s="214"/>
      <c r="L81" s="214"/>
      <c r="M81" s="214"/>
      <c r="N81" s="221"/>
      <c r="O81" s="213"/>
      <c r="P81" s="213"/>
      <c r="Q81" s="213"/>
      <c r="R81" s="215"/>
      <c r="S81" s="213"/>
      <c r="T81" s="213"/>
      <c r="U81" s="213"/>
      <c r="V81" s="213"/>
      <c r="W81" s="213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205"/>
      <c r="AI81" s="205"/>
      <c r="AJ81" s="205"/>
    </row>
    <row r="82" spans="1:36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213"/>
      <c r="G82" s="213"/>
      <c r="H82" s="213"/>
      <c r="I82" s="213"/>
      <c r="J82" s="214"/>
      <c r="K82" s="214"/>
      <c r="L82" s="214"/>
      <c r="M82" s="214"/>
      <c r="N82" s="221"/>
      <c r="O82" s="213"/>
      <c r="P82" s="213"/>
      <c r="Q82" s="213"/>
      <c r="R82" s="215"/>
      <c r="S82" s="213"/>
      <c r="T82" s="213"/>
      <c r="U82" s="213"/>
      <c r="V82" s="213"/>
      <c r="W82" s="213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205"/>
      <c r="AI82" s="205"/>
      <c r="AJ82" s="205"/>
    </row>
    <row r="83" spans="1:36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213"/>
      <c r="G83" s="213"/>
      <c r="H83" s="213"/>
      <c r="I83" s="213"/>
      <c r="J83" s="214"/>
      <c r="K83" s="214"/>
      <c r="L83" s="214"/>
      <c r="M83" s="214"/>
      <c r="N83" s="221"/>
      <c r="O83" s="213"/>
      <c r="P83" s="213"/>
      <c r="Q83" s="213"/>
      <c r="R83" s="215"/>
      <c r="S83" s="213"/>
      <c r="T83" s="213"/>
      <c r="U83" s="213"/>
      <c r="V83" s="213"/>
      <c r="W83" s="213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205"/>
      <c r="AI83" s="205"/>
      <c r="AJ83" s="205"/>
    </row>
    <row r="84" spans="1:36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213"/>
      <c r="G84" s="213"/>
      <c r="H84" s="213"/>
      <c r="I84" s="213"/>
      <c r="J84" s="214"/>
      <c r="K84" s="214"/>
      <c r="L84" s="214"/>
      <c r="M84" s="214"/>
      <c r="N84" s="221"/>
      <c r="O84" s="213"/>
      <c r="P84" s="213"/>
      <c r="Q84" s="213"/>
      <c r="R84" s="215"/>
      <c r="S84" s="213"/>
      <c r="T84" s="213"/>
      <c r="U84" s="213"/>
      <c r="V84" s="213"/>
      <c r="W84" s="213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205"/>
      <c r="AI84" s="205"/>
      <c r="AJ84" s="205"/>
    </row>
    <row r="85" spans="1:36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213"/>
      <c r="G85" s="213"/>
      <c r="H85" s="213"/>
      <c r="I85" s="213"/>
      <c r="J85" s="214"/>
      <c r="K85" s="214"/>
      <c r="L85" s="214"/>
      <c r="M85" s="214"/>
      <c r="N85" s="221"/>
      <c r="O85" s="213"/>
      <c r="P85" s="213"/>
      <c r="Q85" s="213"/>
      <c r="R85" s="215"/>
      <c r="S85" s="213"/>
      <c r="T85" s="213"/>
      <c r="U85" s="213"/>
      <c r="V85" s="213"/>
      <c r="W85" s="213"/>
      <c r="X85" s="205"/>
      <c r="Y85" s="205"/>
      <c r="Z85" s="205"/>
      <c r="AA85" s="205"/>
      <c r="AB85" s="205"/>
      <c r="AC85" s="205"/>
      <c r="AD85" s="205"/>
      <c r="AE85" s="205"/>
      <c r="AF85" s="205"/>
      <c r="AG85" s="205"/>
      <c r="AH85" s="205"/>
      <c r="AI85" s="205"/>
      <c r="AJ85" s="205"/>
    </row>
    <row r="86" spans="1:36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213"/>
      <c r="G86" s="213"/>
      <c r="H86" s="213"/>
      <c r="I86" s="213"/>
      <c r="J86" s="214"/>
      <c r="K86" s="214"/>
      <c r="L86" s="214"/>
      <c r="M86" s="214"/>
      <c r="N86" s="221"/>
      <c r="O86" s="213"/>
      <c r="P86" s="213"/>
      <c r="Q86" s="213"/>
      <c r="R86" s="215"/>
      <c r="S86" s="213"/>
      <c r="T86" s="213"/>
      <c r="U86" s="213"/>
      <c r="V86" s="213"/>
      <c r="W86" s="213"/>
      <c r="X86" s="205"/>
      <c r="Y86" s="205"/>
      <c r="Z86" s="205"/>
      <c r="AA86" s="205"/>
      <c r="AB86" s="205"/>
      <c r="AC86" s="205"/>
      <c r="AD86" s="205"/>
      <c r="AE86" s="205"/>
      <c r="AF86" s="205"/>
      <c r="AG86" s="205"/>
      <c r="AH86" s="205"/>
      <c r="AI86" s="205"/>
      <c r="AJ86" s="205"/>
    </row>
    <row r="87" spans="1:36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213"/>
      <c r="G87" s="213"/>
      <c r="H87" s="213"/>
      <c r="I87" s="213"/>
      <c r="J87" s="214"/>
      <c r="K87" s="214"/>
      <c r="L87" s="214"/>
      <c r="M87" s="214"/>
      <c r="N87" s="221"/>
      <c r="O87" s="213"/>
      <c r="P87" s="213"/>
      <c r="Q87" s="213"/>
      <c r="R87" s="215"/>
      <c r="S87" s="213"/>
      <c r="T87" s="213"/>
      <c r="U87" s="213"/>
      <c r="V87" s="213"/>
      <c r="W87" s="213"/>
      <c r="X87" s="205"/>
      <c r="Y87" s="205"/>
      <c r="Z87" s="205"/>
      <c r="AA87" s="205"/>
      <c r="AB87" s="205"/>
      <c r="AC87" s="205"/>
      <c r="AD87" s="205"/>
      <c r="AE87" s="205"/>
      <c r="AF87" s="205"/>
      <c r="AG87" s="205"/>
      <c r="AH87" s="205"/>
      <c r="AI87" s="205"/>
      <c r="AJ87" s="205"/>
    </row>
    <row r="88" spans="1:36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213"/>
      <c r="G88" s="213"/>
      <c r="H88" s="213"/>
      <c r="I88" s="213"/>
      <c r="J88" s="214"/>
      <c r="K88" s="214"/>
      <c r="L88" s="214"/>
      <c r="M88" s="214"/>
      <c r="N88" s="221"/>
      <c r="O88" s="213"/>
      <c r="P88" s="213"/>
      <c r="Q88" s="213"/>
      <c r="R88" s="215"/>
      <c r="S88" s="213"/>
      <c r="T88" s="213"/>
      <c r="U88" s="213"/>
      <c r="V88" s="213"/>
      <c r="W88" s="213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205"/>
      <c r="AI88" s="205"/>
      <c r="AJ88" s="205"/>
    </row>
    <row r="89" spans="1:36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213"/>
      <c r="G89" s="213"/>
      <c r="H89" s="213"/>
      <c r="I89" s="213"/>
      <c r="J89" s="214"/>
      <c r="K89" s="214"/>
      <c r="L89" s="214"/>
      <c r="M89" s="214"/>
      <c r="N89" s="221"/>
      <c r="O89" s="213"/>
      <c r="P89" s="213"/>
      <c r="Q89" s="213"/>
      <c r="R89" s="215"/>
      <c r="S89" s="213"/>
      <c r="T89" s="213"/>
      <c r="U89" s="213"/>
      <c r="V89" s="213"/>
      <c r="W89" s="213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205"/>
      <c r="AI89" s="205"/>
      <c r="AJ89" s="205"/>
    </row>
    <row r="90" spans="1:36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213"/>
      <c r="G90" s="213"/>
      <c r="H90" s="213"/>
      <c r="I90" s="213"/>
      <c r="J90" s="214"/>
      <c r="K90" s="214"/>
      <c r="L90" s="214"/>
      <c r="M90" s="214"/>
      <c r="N90" s="221"/>
      <c r="O90" s="213"/>
      <c r="P90" s="213"/>
      <c r="Q90" s="213"/>
      <c r="R90" s="215"/>
      <c r="S90" s="213"/>
      <c r="T90" s="213"/>
      <c r="U90" s="213"/>
      <c r="V90" s="213"/>
      <c r="W90" s="213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205"/>
      <c r="AI90" s="205"/>
      <c r="AJ90" s="205"/>
    </row>
    <row r="91" spans="1:36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213"/>
      <c r="G91" s="213"/>
      <c r="H91" s="213"/>
      <c r="I91" s="213"/>
      <c r="J91" s="214"/>
      <c r="K91" s="214"/>
      <c r="L91" s="214"/>
      <c r="M91" s="214"/>
      <c r="N91" s="221"/>
      <c r="O91" s="213"/>
      <c r="P91" s="213"/>
      <c r="Q91" s="213"/>
      <c r="R91" s="215"/>
      <c r="S91" s="213"/>
      <c r="T91" s="213"/>
      <c r="U91" s="213"/>
      <c r="V91" s="213"/>
      <c r="W91" s="213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205"/>
      <c r="AI91" s="205"/>
      <c r="AJ91" s="205"/>
    </row>
    <row r="92" spans="1:36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213"/>
      <c r="G92" s="213"/>
      <c r="H92" s="213"/>
      <c r="I92" s="213"/>
      <c r="J92" s="214"/>
      <c r="K92" s="214"/>
      <c r="L92" s="214"/>
      <c r="M92" s="214"/>
      <c r="N92" s="221"/>
      <c r="O92" s="213"/>
      <c r="P92" s="213"/>
      <c r="Q92" s="213"/>
      <c r="R92" s="215"/>
      <c r="S92" s="213"/>
      <c r="T92" s="213"/>
      <c r="U92" s="213"/>
      <c r="V92" s="213"/>
      <c r="W92" s="213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205"/>
      <c r="AI92" s="205"/>
      <c r="AJ92" s="205"/>
    </row>
    <row r="93" spans="1:36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213"/>
      <c r="G93" s="213"/>
      <c r="H93" s="213"/>
      <c r="I93" s="213"/>
      <c r="J93" s="214"/>
      <c r="K93" s="214"/>
      <c r="L93" s="214"/>
      <c r="M93" s="214"/>
      <c r="N93" s="221"/>
      <c r="O93" s="213"/>
      <c r="P93" s="213"/>
      <c r="Q93" s="213"/>
      <c r="R93" s="215"/>
      <c r="S93" s="213"/>
      <c r="T93" s="213"/>
      <c r="U93" s="213"/>
      <c r="V93" s="213"/>
      <c r="W93" s="213"/>
      <c r="X93" s="205"/>
      <c r="Y93" s="205"/>
      <c r="Z93" s="205"/>
      <c r="AA93" s="205"/>
      <c r="AB93" s="205"/>
      <c r="AC93" s="205"/>
      <c r="AD93" s="205"/>
      <c r="AE93" s="205"/>
      <c r="AF93" s="205"/>
      <c r="AG93" s="205"/>
      <c r="AH93" s="205"/>
      <c r="AI93" s="205"/>
      <c r="AJ93" s="205"/>
    </row>
    <row r="94" spans="1:36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213"/>
      <c r="G94" s="213"/>
      <c r="H94" s="213"/>
      <c r="I94" s="213"/>
      <c r="J94" s="214"/>
      <c r="K94" s="214"/>
      <c r="L94" s="214"/>
      <c r="M94" s="214"/>
      <c r="N94" s="221"/>
      <c r="O94" s="213"/>
      <c r="P94" s="213"/>
      <c r="Q94" s="213"/>
      <c r="R94" s="215"/>
      <c r="S94" s="213"/>
      <c r="T94" s="213"/>
      <c r="U94" s="213"/>
      <c r="V94" s="213"/>
      <c r="W94" s="213"/>
      <c r="X94" s="205"/>
      <c r="Y94" s="205"/>
      <c r="Z94" s="205"/>
      <c r="AA94" s="205"/>
      <c r="AB94" s="205"/>
      <c r="AC94" s="205"/>
      <c r="AD94" s="205"/>
      <c r="AE94" s="205"/>
      <c r="AF94" s="205"/>
      <c r="AG94" s="205"/>
      <c r="AH94" s="205"/>
      <c r="AI94" s="205"/>
      <c r="AJ94" s="205"/>
    </row>
    <row r="95" spans="1:36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213"/>
      <c r="G95" s="213"/>
      <c r="H95" s="213"/>
      <c r="I95" s="213"/>
      <c r="J95" s="214"/>
      <c r="K95" s="214"/>
      <c r="L95" s="214"/>
      <c r="M95" s="214"/>
      <c r="N95" s="221"/>
      <c r="O95" s="213"/>
      <c r="P95" s="213"/>
      <c r="Q95" s="213"/>
      <c r="R95" s="215"/>
      <c r="S95" s="213"/>
      <c r="T95" s="213"/>
      <c r="U95" s="213"/>
      <c r="V95" s="213"/>
      <c r="W95" s="213"/>
      <c r="X95" s="205"/>
      <c r="Y95" s="205"/>
      <c r="Z95" s="205"/>
      <c r="AA95" s="205"/>
      <c r="AB95" s="205"/>
      <c r="AC95" s="205"/>
      <c r="AD95" s="205"/>
      <c r="AE95" s="205"/>
      <c r="AF95" s="205"/>
      <c r="AG95" s="205"/>
      <c r="AH95" s="205"/>
      <c r="AI95" s="205"/>
      <c r="AJ95" s="205"/>
    </row>
    <row r="96" spans="1:36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213"/>
      <c r="G96" s="213"/>
      <c r="H96" s="213"/>
      <c r="I96" s="213"/>
      <c r="J96" s="214"/>
      <c r="K96" s="214"/>
      <c r="L96" s="214"/>
      <c r="M96" s="214"/>
      <c r="N96" s="221"/>
      <c r="O96" s="213"/>
      <c r="P96" s="213"/>
      <c r="Q96" s="213"/>
      <c r="R96" s="215"/>
      <c r="S96" s="213"/>
      <c r="T96" s="213"/>
      <c r="U96" s="213"/>
      <c r="V96" s="213"/>
      <c r="W96" s="213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205"/>
      <c r="AI96" s="205"/>
      <c r="AJ96" s="205"/>
    </row>
    <row r="97" spans="1:36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213"/>
      <c r="G97" s="213"/>
      <c r="H97" s="213"/>
      <c r="I97" s="213"/>
      <c r="J97" s="214"/>
      <c r="K97" s="214"/>
      <c r="L97" s="214"/>
      <c r="M97" s="214"/>
      <c r="N97" s="221"/>
      <c r="O97" s="213"/>
      <c r="P97" s="213"/>
      <c r="Q97" s="213"/>
      <c r="R97" s="215"/>
      <c r="S97" s="213"/>
      <c r="T97" s="213"/>
      <c r="U97" s="213"/>
      <c r="V97" s="213"/>
      <c r="W97" s="213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205"/>
      <c r="AI97" s="205"/>
      <c r="AJ97" s="205"/>
    </row>
    <row r="98" spans="1:36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213"/>
      <c r="G98" s="213"/>
      <c r="H98" s="213"/>
      <c r="I98" s="213"/>
      <c r="J98" s="214"/>
      <c r="K98" s="214"/>
      <c r="L98" s="214"/>
      <c r="M98" s="214"/>
      <c r="N98" s="221"/>
      <c r="O98" s="213"/>
      <c r="P98" s="213"/>
      <c r="Q98" s="213"/>
      <c r="R98" s="215"/>
      <c r="S98" s="213"/>
      <c r="T98" s="213"/>
      <c r="U98" s="213"/>
      <c r="V98" s="213"/>
      <c r="W98" s="213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205"/>
      <c r="AI98" s="205"/>
      <c r="AJ98" s="205"/>
    </row>
    <row r="99" spans="1:36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213"/>
      <c r="G99" s="213"/>
      <c r="H99" s="213"/>
      <c r="I99" s="213"/>
      <c r="J99" s="214"/>
      <c r="K99" s="214"/>
      <c r="L99" s="214"/>
      <c r="M99" s="214"/>
      <c r="N99" s="221"/>
      <c r="O99" s="213"/>
      <c r="P99" s="213"/>
      <c r="Q99" s="213"/>
      <c r="R99" s="215"/>
      <c r="S99" s="213"/>
      <c r="T99" s="213"/>
      <c r="U99" s="213"/>
      <c r="V99" s="213"/>
      <c r="W99" s="213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205"/>
      <c r="AI99" s="205"/>
      <c r="AJ99" s="205"/>
    </row>
    <row r="100" spans="1:36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213"/>
      <c r="G100" s="213"/>
      <c r="H100" s="213"/>
      <c r="I100" s="213"/>
      <c r="J100" s="214"/>
      <c r="K100" s="214"/>
      <c r="L100" s="214"/>
      <c r="M100" s="214"/>
      <c r="N100" s="221"/>
      <c r="O100" s="213"/>
      <c r="P100" s="213"/>
      <c r="Q100" s="213"/>
      <c r="R100" s="215"/>
      <c r="S100" s="213"/>
      <c r="T100" s="213"/>
      <c r="U100" s="213"/>
      <c r="V100" s="213"/>
      <c r="W100" s="213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</row>
    <row r="101" spans="1:36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213"/>
      <c r="G101" s="213"/>
      <c r="H101" s="213"/>
      <c r="I101" s="213"/>
      <c r="J101" s="214"/>
      <c r="K101" s="214"/>
      <c r="L101" s="214"/>
      <c r="M101" s="214"/>
      <c r="N101" s="221"/>
      <c r="O101" s="213"/>
      <c r="P101" s="213"/>
      <c r="Q101" s="213"/>
      <c r="R101" s="215"/>
      <c r="S101" s="213"/>
      <c r="T101" s="213"/>
      <c r="U101" s="213"/>
      <c r="V101" s="213"/>
      <c r="W101" s="213"/>
      <c r="X101" s="205"/>
      <c r="Y101" s="205"/>
      <c r="Z101" s="205"/>
      <c r="AA101" s="205"/>
      <c r="AB101" s="205"/>
      <c r="AC101" s="205"/>
      <c r="AD101" s="205"/>
      <c r="AE101" s="205"/>
      <c r="AF101" s="205"/>
      <c r="AG101" s="205"/>
      <c r="AH101" s="205"/>
      <c r="AI101" s="205"/>
      <c r="AJ101" s="205"/>
    </row>
    <row r="102" spans="1:36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213"/>
      <c r="G102" s="213"/>
      <c r="H102" s="213"/>
      <c r="I102" s="213"/>
      <c r="J102" s="214"/>
      <c r="K102" s="214"/>
      <c r="L102" s="214"/>
      <c r="M102" s="214"/>
      <c r="N102" s="221"/>
      <c r="O102" s="213"/>
      <c r="P102" s="213"/>
      <c r="Q102" s="213"/>
      <c r="R102" s="215"/>
      <c r="S102" s="213"/>
      <c r="T102" s="213"/>
      <c r="U102" s="213"/>
      <c r="V102" s="213"/>
      <c r="W102" s="213"/>
      <c r="X102" s="205"/>
      <c r="Y102" s="205"/>
      <c r="Z102" s="205"/>
      <c r="AA102" s="205"/>
      <c r="AB102" s="205"/>
      <c r="AC102" s="205"/>
      <c r="AD102" s="205"/>
      <c r="AE102" s="205"/>
      <c r="AF102" s="205"/>
      <c r="AG102" s="205"/>
      <c r="AH102" s="205"/>
      <c r="AI102" s="205"/>
      <c r="AJ102" s="205"/>
    </row>
    <row r="103" spans="1:36" ht="18.75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213"/>
      <c r="G103" s="213"/>
      <c r="H103" s="213"/>
      <c r="I103" s="213"/>
      <c r="J103" s="214"/>
      <c r="K103" s="214"/>
      <c r="L103" s="214"/>
      <c r="M103" s="214"/>
      <c r="N103" s="221"/>
      <c r="O103" s="213"/>
      <c r="P103" s="213"/>
      <c r="Q103" s="213"/>
      <c r="R103" s="215"/>
      <c r="S103" s="213"/>
      <c r="T103" s="213"/>
      <c r="U103" s="213"/>
      <c r="V103" s="213"/>
      <c r="W103" s="213"/>
      <c r="X103" s="205"/>
      <c r="Y103" s="205"/>
      <c r="Z103" s="205"/>
      <c r="AA103" s="205"/>
      <c r="AB103" s="205"/>
      <c r="AC103" s="205"/>
      <c r="AD103" s="205"/>
      <c r="AE103" s="205"/>
      <c r="AF103" s="205"/>
      <c r="AG103" s="205"/>
      <c r="AH103" s="205"/>
      <c r="AI103" s="205"/>
      <c r="AJ103" s="205"/>
    </row>
    <row r="104" spans="1:36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213"/>
      <c r="G104" s="213"/>
      <c r="H104" s="213"/>
      <c r="I104" s="213"/>
      <c r="J104" s="214"/>
      <c r="K104" s="214"/>
      <c r="L104" s="214"/>
      <c r="M104" s="214"/>
      <c r="N104" s="221"/>
      <c r="O104" s="213"/>
      <c r="P104" s="213"/>
      <c r="Q104" s="213"/>
      <c r="R104" s="215"/>
      <c r="S104" s="213"/>
      <c r="T104" s="213"/>
      <c r="U104" s="213"/>
      <c r="V104" s="213"/>
      <c r="W104" s="213"/>
      <c r="X104" s="205"/>
      <c r="Y104" s="205"/>
      <c r="Z104" s="205"/>
      <c r="AA104" s="205"/>
      <c r="AB104" s="205"/>
      <c r="AC104" s="205"/>
      <c r="AD104" s="205"/>
      <c r="AE104" s="205"/>
      <c r="AF104" s="205"/>
      <c r="AG104" s="205"/>
      <c r="AH104" s="205"/>
      <c r="AI104" s="205"/>
      <c r="AJ104" s="205"/>
    </row>
    <row r="105" spans="1:36" ht="18.75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213"/>
      <c r="G105" s="213"/>
      <c r="H105" s="213"/>
      <c r="I105" s="213"/>
      <c r="J105" s="214"/>
      <c r="K105" s="214"/>
      <c r="L105" s="214"/>
      <c r="M105" s="214"/>
      <c r="N105" s="221"/>
      <c r="O105" s="213"/>
      <c r="P105" s="213"/>
      <c r="Q105" s="213"/>
      <c r="R105" s="215"/>
      <c r="S105" s="213"/>
      <c r="T105" s="213"/>
      <c r="U105" s="213"/>
      <c r="V105" s="213"/>
      <c r="W105" s="213"/>
      <c r="X105" s="205"/>
      <c r="Y105" s="205"/>
      <c r="Z105" s="205"/>
      <c r="AA105" s="205"/>
      <c r="AB105" s="205"/>
      <c r="AC105" s="205"/>
      <c r="AD105" s="205"/>
      <c r="AE105" s="205"/>
      <c r="AF105" s="205"/>
      <c r="AG105" s="205"/>
      <c r="AH105" s="205"/>
      <c r="AI105" s="205"/>
      <c r="AJ105" s="205"/>
    </row>
    <row r="106" spans="1:36" ht="18.75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213"/>
      <c r="G106" s="213"/>
      <c r="H106" s="213"/>
      <c r="I106" s="213"/>
      <c r="J106" s="214"/>
      <c r="K106" s="214"/>
      <c r="L106" s="214"/>
      <c r="M106" s="214"/>
      <c r="N106" s="221"/>
      <c r="O106" s="213"/>
      <c r="P106" s="213"/>
      <c r="Q106" s="213"/>
      <c r="R106" s="215"/>
      <c r="S106" s="213"/>
      <c r="T106" s="213"/>
      <c r="U106" s="213"/>
      <c r="V106" s="213"/>
      <c r="W106" s="213"/>
      <c r="X106" s="205"/>
      <c r="Y106" s="205"/>
      <c r="Z106" s="205"/>
      <c r="AA106" s="205"/>
      <c r="AB106" s="205"/>
      <c r="AC106" s="205"/>
      <c r="AD106" s="205"/>
      <c r="AE106" s="205"/>
      <c r="AF106" s="205"/>
      <c r="AG106" s="205"/>
      <c r="AH106" s="205"/>
      <c r="AI106" s="205"/>
      <c r="AJ106" s="205"/>
    </row>
    <row r="107" spans="1:36" ht="18.75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213"/>
      <c r="G107" s="213"/>
      <c r="H107" s="213"/>
      <c r="I107" s="213"/>
      <c r="J107" s="214"/>
      <c r="K107" s="214"/>
      <c r="L107" s="214"/>
      <c r="M107" s="214"/>
      <c r="N107" s="221"/>
      <c r="O107" s="213"/>
      <c r="P107" s="213"/>
      <c r="Q107" s="213"/>
      <c r="R107" s="215"/>
      <c r="S107" s="213"/>
      <c r="T107" s="213"/>
      <c r="U107" s="213"/>
      <c r="V107" s="213"/>
      <c r="W107" s="213"/>
      <c r="X107" s="205"/>
      <c r="Y107" s="205"/>
      <c r="Z107" s="205"/>
      <c r="AA107" s="205"/>
      <c r="AB107" s="205"/>
      <c r="AC107" s="205"/>
      <c r="AD107" s="205"/>
      <c r="AE107" s="205"/>
      <c r="AF107" s="205"/>
      <c r="AG107" s="205"/>
      <c r="AH107" s="205"/>
      <c r="AI107" s="205"/>
      <c r="AJ107" s="205"/>
    </row>
    <row r="108" spans="1:36" ht="18.75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213"/>
      <c r="G108" s="213"/>
      <c r="H108" s="213"/>
      <c r="I108" s="213"/>
      <c r="J108" s="214"/>
      <c r="K108" s="214"/>
      <c r="L108" s="214"/>
      <c r="M108" s="214"/>
      <c r="N108" s="221"/>
      <c r="O108" s="213"/>
      <c r="P108" s="213"/>
      <c r="Q108" s="213"/>
      <c r="R108" s="215"/>
      <c r="S108" s="213"/>
      <c r="T108" s="213"/>
      <c r="U108" s="213"/>
      <c r="V108" s="213"/>
      <c r="W108" s="213"/>
      <c r="X108" s="205"/>
      <c r="Y108" s="205"/>
      <c r="Z108" s="205"/>
      <c r="AA108" s="205"/>
      <c r="AB108" s="205"/>
      <c r="AC108" s="205"/>
      <c r="AD108" s="205"/>
      <c r="AE108" s="205"/>
      <c r="AF108" s="205"/>
      <c r="AG108" s="205"/>
      <c r="AH108" s="205"/>
      <c r="AI108" s="205"/>
      <c r="AJ108" s="205"/>
    </row>
    <row r="109" spans="1:36" ht="18.75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213"/>
      <c r="G109" s="213"/>
      <c r="H109" s="213"/>
      <c r="I109" s="213"/>
      <c r="J109" s="214"/>
      <c r="K109" s="214"/>
      <c r="L109" s="214"/>
      <c r="M109" s="214"/>
      <c r="N109" s="221"/>
      <c r="O109" s="213"/>
      <c r="P109" s="213"/>
      <c r="Q109" s="213"/>
      <c r="R109" s="215"/>
      <c r="S109" s="213"/>
      <c r="T109" s="213"/>
      <c r="U109" s="213"/>
      <c r="V109" s="213"/>
      <c r="W109" s="213"/>
      <c r="X109" s="205"/>
      <c r="Y109" s="205"/>
      <c r="Z109" s="205"/>
      <c r="AA109" s="205"/>
      <c r="AB109" s="205"/>
      <c r="AC109" s="205"/>
      <c r="AD109" s="205"/>
      <c r="AE109" s="205"/>
      <c r="AF109" s="205"/>
      <c r="AG109" s="205"/>
      <c r="AH109" s="205"/>
      <c r="AI109" s="205"/>
      <c r="AJ109" s="205"/>
    </row>
    <row r="110" spans="1:36" ht="18.75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213"/>
      <c r="G110" s="213"/>
      <c r="H110" s="213"/>
      <c r="I110" s="213"/>
      <c r="J110" s="214"/>
      <c r="K110" s="214"/>
      <c r="L110" s="214"/>
      <c r="M110" s="214"/>
      <c r="N110" s="221"/>
      <c r="O110" s="213"/>
      <c r="P110" s="213"/>
      <c r="Q110" s="213"/>
      <c r="R110" s="215"/>
      <c r="S110" s="213"/>
      <c r="T110" s="213"/>
      <c r="U110" s="213"/>
      <c r="V110" s="213"/>
      <c r="W110" s="213"/>
      <c r="X110" s="205"/>
      <c r="Y110" s="205"/>
      <c r="Z110" s="205"/>
      <c r="AA110" s="205"/>
      <c r="AB110" s="205"/>
      <c r="AC110" s="205"/>
      <c r="AD110" s="205"/>
      <c r="AE110" s="205"/>
      <c r="AF110" s="205"/>
      <c r="AG110" s="205"/>
      <c r="AH110" s="205"/>
      <c r="AI110" s="205"/>
      <c r="AJ110" s="205"/>
    </row>
    <row r="111" spans="1:36" ht="18.75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213"/>
      <c r="G111" s="213"/>
      <c r="H111" s="213"/>
      <c r="I111" s="213"/>
      <c r="J111" s="214"/>
      <c r="K111" s="214"/>
      <c r="L111" s="214"/>
      <c r="M111" s="214"/>
      <c r="N111" s="221"/>
      <c r="O111" s="213"/>
      <c r="P111" s="213"/>
      <c r="Q111" s="213"/>
      <c r="R111" s="215"/>
      <c r="S111" s="213"/>
      <c r="T111" s="213"/>
      <c r="U111" s="213"/>
      <c r="V111" s="213"/>
      <c r="W111" s="213"/>
      <c r="X111" s="205"/>
      <c r="Y111" s="205"/>
      <c r="Z111" s="205"/>
      <c r="AA111" s="205"/>
      <c r="AB111" s="205"/>
      <c r="AC111" s="205"/>
      <c r="AD111" s="205"/>
      <c r="AE111" s="205"/>
      <c r="AF111" s="205"/>
      <c r="AG111" s="205"/>
      <c r="AH111" s="205"/>
      <c r="AI111" s="205"/>
      <c r="AJ111" s="205"/>
    </row>
    <row r="112" spans="1:36" ht="18.75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213"/>
      <c r="G112" s="213"/>
      <c r="H112" s="213"/>
      <c r="I112" s="213"/>
      <c r="J112" s="214"/>
      <c r="K112" s="214"/>
      <c r="L112" s="214"/>
      <c r="M112" s="214"/>
      <c r="N112" s="221"/>
      <c r="O112" s="213"/>
      <c r="P112" s="213"/>
      <c r="Q112" s="213"/>
      <c r="R112" s="215"/>
      <c r="S112" s="213"/>
      <c r="T112" s="213"/>
      <c r="U112" s="213"/>
      <c r="V112" s="213"/>
      <c r="W112" s="213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205"/>
      <c r="AI112" s="205"/>
      <c r="AJ112" s="205"/>
    </row>
    <row r="113" spans="1:36" ht="18.75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213"/>
      <c r="G113" s="213"/>
      <c r="H113" s="213"/>
      <c r="I113" s="213"/>
      <c r="J113" s="214"/>
      <c r="K113" s="214"/>
      <c r="L113" s="214"/>
      <c r="M113" s="214"/>
      <c r="N113" s="221"/>
      <c r="O113" s="213"/>
      <c r="P113" s="213"/>
      <c r="Q113" s="213"/>
      <c r="R113" s="215"/>
      <c r="S113" s="213"/>
      <c r="T113" s="213"/>
      <c r="U113" s="213"/>
      <c r="V113" s="213"/>
      <c r="W113" s="213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205"/>
      <c r="AI113" s="205"/>
      <c r="AJ113" s="205"/>
    </row>
    <row r="114" spans="1:36" ht="18.75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213"/>
      <c r="G114" s="213"/>
      <c r="H114" s="213"/>
      <c r="I114" s="213"/>
      <c r="J114" s="214"/>
      <c r="K114" s="214"/>
      <c r="L114" s="214"/>
      <c r="M114" s="214"/>
      <c r="N114" s="221"/>
      <c r="O114" s="213"/>
      <c r="P114" s="213"/>
      <c r="Q114" s="213"/>
      <c r="R114" s="215"/>
      <c r="S114" s="213"/>
      <c r="T114" s="213"/>
      <c r="U114" s="213"/>
      <c r="V114" s="213"/>
      <c r="W114" s="213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205"/>
      <c r="AI114" s="205"/>
      <c r="AJ114" s="205"/>
    </row>
    <row r="115" spans="1:36" ht="18.75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213"/>
      <c r="G115" s="213"/>
      <c r="H115" s="213"/>
      <c r="I115" s="213"/>
      <c r="J115" s="214"/>
      <c r="K115" s="214"/>
      <c r="L115" s="214"/>
      <c r="M115" s="214"/>
      <c r="N115" s="221"/>
      <c r="O115" s="213"/>
      <c r="P115" s="213"/>
      <c r="Q115" s="213"/>
      <c r="R115" s="215"/>
      <c r="S115" s="213"/>
      <c r="T115" s="213"/>
      <c r="U115" s="213"/>
      <c r="V115" s="213"/>
      <c r="W115" s="213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205"/>
      <c r="AI115" s="205"/>
      <c r="AJ115" s="205"/>
    </row>
    <row r="116" spans="1:36" ht="18.75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213"/>
      <c r="G116" s="213"/>
      <c r="H116" s="213"/>
      <c r="I116" s="213"/>
      <c r="J116" s="214"/>
      <c r="K116" s="214"/>
      <c r="L116" s="214"/>
      <c r="M116" s="214"/>
      <c r="N116" s="221"/>
      <c r="O116" s="213"/>
      <c r="P116" s="213"/>
      <c r="Q116" s="213"/>
      <c r="R116" s="215"/>
      <c r="S116" s="213"/>
      <c r="T116" s="213"/>
      <c r="U116" s="213"/>
      <c r="V116" s="213"/>
      <c r="W116" s="213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205"/>
      <c r="AI116" s="205"/>
      <c r="AJ116" s="205"/>
    </row>
    <row r="117" spans="1:36" ht="18.75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213"/>
      <c r="G117" s="213"/>
      <c r="H117" s="213"/>
      <c r="I117" s="213"/>
      <c r="J117" s="214"/>
      <c r="K117" s="214"/>
      <c r="L117" s="214"/>
      <c r="M117" s="214"/>
      <c r="N117" s="221"/>
      <c r="O117" s="213"/>
      <c r="P117" s="213"/>
      <c r="Q117" s="213"/>
      <c r="R117" s="215"/>
      <c r="S117" s="213"/>
      <c r="T117" s="213"/>
      <c r="U117" s="213"/>
      <c r="V117" s="213"/>
      <c r="W117" s="213"/>
      <c r="X117" s="205"/>
      <c r="Y117" s="205"/>
      <c r="Z117" s="205"/>
      <c r="AA117" s="205"/>
      <c r="AB117" s="205"/>
      <c r="AC117" s="205"/>
      <c r="AD117" s="205"/>
      <c r="AE117" s="205"/>
      <c r="AF117" s="205"/>
      <c r="AG117" s="205"/>
      <c r="AH117" s="205"/>
      <c r="AI117" s="205"/>
      <c r="AJ117" s="205"/>
    </row>
    <row r="118" spans="1:36" ht="18.75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213"/>
      <c r="G118" s="213"/>
      <c r="H118" s="213"/>
      <c r="I118" s="213"/>
      <c r="J118" s="214"/>
      <c r="K118" s="214"/>
      <c r="L118" s="214"/>
      <c r="M118" s="214"/>
      <c r="N118" s="221"/>
      <c r="O118" s="213"/>
      <c r="P118" s="213"/>
      <c r="Q118" s="213"/>
      <c r="R118" s="215"/>
      <c r="S118" s="213"/>
      <c r="T118" s="213"/>
      <c r="U118" s="213"/>
      <c r="V118" s="213"/>
      <c r="W118" s="213"/>
      <c r="X118" s="205"/>
      <c r="Y118" s="205"/>
      <c r="Z118" s="205"/>
      <c r="AA118" s="205"/>
      <c r="AB118" s="205"/>
      <c r="AC118" s="205"/>
      <c r="AD118" s="205"/>
      <c r="AE118" s="205"/>
      <c r="AF118" s="205"/>
      <c r="AG118" s="205"/>
      <c r="AH118" s="205"/>
      <c r="AI118" s="205"/>
      <c r="AJ118" s="205"/>
    </row>
    <row r="119" spans="1:36" ht="18.75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213"/>
      <c r="G119" s="213"/>
      <c r="H119" s="213"/>
      <c r="I119" s="213"/>
      <c r="J119" s="214"/>
      <c r="K119" s="214"/>
      <c r="L119" s="214"/>
      <c r="M119" s="214"/>
      <c r="N119" s="221"/>
      <c r="O119" s="213"/>
      <c r="P119" s="213"/>
      <c r="Q119" s="213"/>
      <c r="R119" s="215"/>
      <c r="S119" s="213"/>
      <c r="T119" s="213"/>
      <c r="U119" s="213"/>
      <c r="V119" s="213"/>
      <c r="W119" s="213"/>
      <c r="X119" s="205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</row>
    <row r="120" spans="1:36" ht="18.75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213"/>
      <c r="G120" s="213"/>
      <c r="H120" s="213"/>
      <c r="I120" s="213"/>
      <c r="J120" s="214"/>
      <c r="K120" s="214"/>
      <c r="L120" s="214"/>
      <c r="M120" s="214"/>
      <c r="N120" s="221"/>
      <c r="O120" s="213"/>
      <c r="P120" s="213"/>
      <c r="Q120" s="213"/>
      <c r="R120" s="215"/>
      <c r="S120" s="213"/>
      <c r="T120" s="213"/>
      <c r="U120" s="213"/>
      <c r="V120" s="213"/>
      <c r="W120" s="213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5"/>
    </row>
    <row r="121" spans="1:36" ht="18.75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213"/>
      <c r="G121" s="213"/>
      <c r="H121" s="213"/>
      <c r="I121" s="213"/>
      <c r="J121" s="214"/>
      <c r="K121" s="214"/>
      <c r="L121" s="214"/>
      <c r="M121" s="214"/>
      <c r="N121" s="221"/>
      <c r="O121" s="213"/>
      <c r="P121" s="213"/>
      <c r="Q121" s="213"/>
      <c r="R121" s="215"/>
      <c r="S121" s="213"/>
      <c r="T121" s="213"/>
      <c r="U121" s="213"/>
      <c r="V121" s="213"/>
      <c r="W121" s="213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205"/>
      <c r="AI121" s="205"/>
      <c r="AJ121" s="205"/>
    </row>
    <row r="122" spans="1:36" ht="18.75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213"/>
      <c r="G122" s="213"/>
      <c r="H122" s="213"/>
      <c r="I122" s="213"/>
      <c r="J122" s="214"/>
      <c r="K122" s="214"/>
      <c r="L122" s="214"/>
      <c r="M122" s="214"/>
      <c r="N122" s="221"/>
      <c r="O122" s="213"/>
      <c r="P122" s="213"/>
      <c r="Q122" s="213"/>
      <c r="R122" s="215"/>
      <c r="S122" s="213"/>
      <c r="T122" s="213"/>
      <c r="U122" s="213"/>
      <c r="V122" s="213"/>
      <c r="W122" s="213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205"/>
      <c r="AI122" s="205"/>
      <c r="AJ122" s="205"/>
    </row>
    <row r="123" spans="1:36" ht="18.75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213"/>
      <c r="G123" s="213"/>
      <c r="H123" s="213"/>
      <c r="I123" s="213"/>
      <c r="J123" s="214"/>
      <c r="K123" s="214"/>
      <c r="L123" s="214"/>
      <c r="M123" s="214"/>
      <c r="N123" s="221"/>
      <c r="O123" s="213"/>
      <c r="P123" s="213"/>
      <c r="Q123" s="213"/>
      <c r="R123" s="215"/>
      <c r="S123" s="213"/>
      <c r="T123" s="213"/>
      <c r="U123" s="213"/>
      <c r="V123" s="213"/>
      <c r="W123" s="213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</row>
    <row r="124" spans="1:36" ht="18.75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213"/>
      <c r="G124" s="213"/>
      <c r="H124" s="213"/>
      <c r="I124" s="213"/>
      <c r="J124" s="214"/>
      <c r="K124" s="214"/>
      <c r="L124" s="214"/>
      <c r="M124" s="214"/>
      <c r="N124" s="221"/>
      <c r="O124" s="213"/>
      <c r="P124" s="213"/>
      <c r="Q124" s="213"/>
      <c r="R124" s="215"/>
      <c r="S124" s="213"/>
      <c r="T124" s="213"/>
      <c r="U124" s="213"/>
      <c r="V124" s="213"/>
      <c r="W124" s="213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205"/>
      <c r="AI124" s="205"/>
      <c r="AJ124" s="205"/>
    </row>
    <row r="125" spans="1:36" ht="18.75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213"/>
      <c r="G125" s="213"/>
      <c r="H125" s="213"/>
      <c r="I125" s="213"/>
      <c r="J125" s="214"/>
      <c r="K125" s="214"/>
      <c r="L125" s="214"/>
      <c r="M125" s="214"/>
      <c r="N125" s="221"/>
      <c r="O125" s="213"/>
      <c r="P125" s="213"/>
      <c r="Q125" s="213"/>
      <c r="R125" s="215"/>
      <c r="S125" s="213"/>
      <c r="T125" s="213"/>
      <c r="U125" s="213"/>
      <c r="V125" s="213"/>
      <c r="W125" s="213"/>
      <c r="X125" s="205"/>
      <c r="Y125" s="205"/>
      <c r="Z125" s="205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5"/>
    </row>
    <row r="126" spans="1:36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213"/>
      <c r="G126" s="213"/>
      <c r="H126" s="213"/>
      <c r="I126" s="213"/>
      <c r="J126" s="214"/>
      <c r="K126" s="214"/>
      <c r="L126" s="214"/>
      <c r="M126" s="214"/>
      <c r="N126" s="221"/>
      <c r="O126" s="213"/>
      <c r="P126" s="213"/>
      <c r="Q126" s="213"/>
      <c r="R126" s="215"/>
      <c r="S126" s="213"/>
      <c r="T126" s="213"/>
      <c r="U126" s="213"/>
      <c r="V126" s="213"/>
      <c r="W126" s="213"/>
      <c r="X126" s="205"/>
      <c r="Y126" s="205"/>
      <c r="Z126" s="205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5"/>
    </row>
    <row r="127" spans="1:36" ht="18.75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213"/>
      <c r="G127" s="213"/>
      <c r="H127" s="213"/>
      <c r="I127" s="213"/>
      <c r="J127" s="214"/>
      <c r="K127" s="214"/>
      <c r="L127" s="214"/>
      <c r="M127" s="214"/>
      <c r="N127" s="221"/>
      <c r="O127" s="213"/>
      <c r="P127" s="213"/>
      <c r="Q127" s="213"/>
      <c r="R127" s="215"/>
      <c r="S127" s="213"/>
      <c r="T127" s="213"/>
      <c r="U127" s="213"/>
      <c r="V127" s="213"/>
      <c r="W127" s="213"/>
      <c r="X127" s="205"/>
      <c r="Y127" s="205"/>
      <c r="Z127" s="205"/>
      <c r="AA127" s="205"/>
      <c r="AB127" s="205"/>
      <c r="AC127" s="205"/>
      <c r="AD127" s="205"/>
      <c r="AE127" s="205"/>
      <c r="AF127" s="205"/>
      <c r="AG127" s="205"/>
      <c r="AH127" s="205"/>
      <c r="AI127" s="205"/>
      <c r="AJ127" s="205"/>
    </row>
    <row r="128" spans="1:36" ht="18.75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213"/>
      <c r="G128" s="213"/>
      <c r="H128" s="213"/>
      <c r="I128" s="213"/>
      <c r="J128" s="214"/>
      <c r="K128" s="214"/>
      <c r="L128" s="214"/>
      <c r="M128" s="214"/>
      <c r="N128" s="221"/>
      <c r="O128" s="213"/>
      <c r="P128" s="213"/>
      <c r="Q128" s="213"/>
      <c r="R128" s="215"/>
      <c r="S128" s="213"/>
      <c r="T128" s="213"/>
      <c r="U128" s="213"/>
      <c r="V128" s="213"/>
      <c r="W128" s="213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205"/>
      <c r="AI128" s="205"/>
      <c r="AJ128" s="205"/>
    </row>
    <row r="129" spans="1:36" ht="18.75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213"/>
      <c r="G129" s="213"/>
      <c r="H129" s="213"/>
      <c r="I129" s="213"/>
      <c r="J129" s="214"/>
      <c r="K129" s="214"/>
      <c r="L129" s="214"/>
      <c r="M129" s="214"/>
      <c r="N129" s="221"/>
      <c r="O129" s="213"/>
      <c r="P129" s="213"/>
      <c r="Q129" s="213"/>
      <c r="R129" s="215"/>
      <c r="S129" s="213"/>
      <c r="T129" s="213"/>
      <c r="U129" s="213"/>
      <c r="V129" s="213"/>
      <c r="W129" s="213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205"/>
      <c r="AI129" s="205"/>
      <c r="AJ129" s="205"/>
    </row>
    <row r="130" spans="1:36" ht="18.75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213"/>
      <c r="G130" s="213"/>
      <c r="H130" s="213"/>
      <c r="I130" s="213"/>
      <c r="J130" s="214"/>
      <c r="K130" s="214"/>
      <c r="L130" s="214"/>
      <c r="M130" s="214"/>
      <c r="N130" s="221"/>
      <c r="O130" s="213"/>
      <c r="P130" s="213"/>
      <c r="Q130" s="213"/>
      <c r="R130" s="215"/>
      <c r="S130" s="213"/>
      <c r="T130" s="213"/>
      <c r="U130" s="213"/>
      <c r="V130" s="213"/>
      <c r="W130" s="213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205"/>
      <c r="AI130" s="205"/>
      <c r="AJ130" s="205"/>
    </row>
    <row r="131" spans="1:36" ht="18.75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213"/>
      <c r="G131" s="213"/>
      <c r="H131" s="213"/>
      <c r="I131" s="213"/>
      <c r="J131" s="214"/>
      <c r="K131" s="214"/>
      <c r="L131" s="214"/>
      <c r="M131" s="214"/>
      <c r="N131" s="221"/>
      <c r="O131" s="213"/>
      <c r="P131" s="213"/>
      <c r="Q131" s="213"/>
      <c r="R131" s="215"/>
      <c r="S131" s="213"/>
      <c r="T131" s="213"/>
      <c r="U131" s="213"/>
      <c r="V131" s="213"/>
      <c r="W131" s="213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205"/>
      <c r="AI131" s="205"/>
      <c r="AJ131" s="205"/>
    </row>
    <row r="132" spans="1:36" ht="18.75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213"/>
      <c r="G132" s="213"/>
      <c r="H132" s="213"/>
      <c r="I132" s="213"/>
      <c r="J132" s="214"/>
      <c r="K132" s="214"/>
      <c r="L132" s="214"/>
      <c r="M132" s="214"/>
      <c r="N132" s="221"/>
      <c r="O132" s="213"/>
      <c r="P132" s="213"/>
      <c r="Q132" s="213"/>
      <c r="R132" s="215"/>
      <c r="S132" s="213"/>
      <c r="T132" s="213"/>
      <c r="U132" s="213"/>
      <c r="V132" s="213"/>
      <c r="W132" s="213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205"/>
      <c r="AI132" s="205"/>
      <c r="AJ132" s="205"/>
    </row>
    <row r="133" spans="1:36" ht="18.75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213"/>
      <c r="G133" s="213"/>
      <c r="H133" s="213"/>
      <c r="I133" s="213"/>
      <c r="J133" s="214"/>
      <c r="K133" s="214"/>
      <c r="L133" s="214"/>
      <c r="M133" s="214"/>
      <c r="N133" s="221"/>
      <c r="O133" s="213"/>
      <c r="P133" s="213"/>
      <c r="Q133" s="213"/>
      <c r="R133" s="215"/>
      <c r="S133" s="213"/>
      <c r="T133" s="213"/>
      <c r="U133" s="213"/>
      <c r="V133" s="213"/>
      <c r="W133" s="213"/>
      <c r="X133" s="205"/>
      <c r="Y133" s="205"/>
      <c r="Z133" s="205"/>
      <c r="AA133" s="205"/>
      <c r="AB133" s="205"/>
      <c r="AC133" s="205"/>
      <c r="AD133" s="205"/>
      <c r="AE133" s="205"/>
      <c r="AF133" s="205"/>
      <c r="AG133" s="205"/>
      <c r="AH133" s="205"/>
      <c r="AI133" s="205"/>
      <c r="AJ133" s="205"/>
    </row>
    <row r="134" spans="1:36" ht="18.75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213"/>
      <c r="G134" s="213"/>
      <c r="H134" s="213"/>
      <c r="I134" s="213"/>
      <c r="J134" s="214"/>
      <c r="K134" s="214"/>
      <c r="L134" s="214"/>
      <c r="M134" s="214"/>
      <c r="N134" s="221"/>
      <c r="O134" s="213"/>
      <c r="P134" s="213"/>
      <c r="Q134" s="213"/>
      <c r="R134" s="215"/>
      <c r="S134" s="213"/>
      <c r="T134" s="213"/>
      <c r="U134" s="213"/>
      <c r="V134" s="213"/>
      <c r="W134" s="213"/>
      <c r="X134" s="205"/>
      <c r="Y134" s="205"/>
      <c r="Z134" s="205"/>
      <c r="AA134" s="205"/>
      <c r="AB134" s="205"/>
      <c r="AC134" s="205"/>
      <c r="AD134" s="205"/>
      <c r="AE134" s="205"/>
      <c r="AF134" s="205"/>
      <c r="AG134" s="205"/>
      <c r="AH134" s="205"/>
      <c r="AI134" s="205"/>
      <c r="AJ134" s="205"/>
    </row>
    <row r="135" spans="1:36" ht="18.75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213"/>
      <c r="G135" s="213"/>
      <c r="H135" s="213"/>
      <c r="I135" s="213"/>
      <c r="J135" s="214"/>
      <c r="K135" s="214"/>
      <c r="L135" s="214"/>
      <c r="M135" s="214"/>
      <c r="N135" s="221"/>
      <c r="O135" s="213"/>
      <c r="P135" s="213"/>
      <c r="Q135" s="213"/>
      <c r="R135" s="215"/>
      <c r="S135" s="213"/>
      <c r="T135" s="213"/>
      <c r="U135" s="213"/>
      <c r="V135" s="213"/>
      <c r="W135" s="213"/>
      <c r="X135" s="205"/>
      <c r="Y135" s="205"/>
      <c r="Z135" s="205"/>
      <c r="AA135" s="205"/>
      <c r="AB135" s="205"/>
      <c r="AC135" s="205"/>
      <c r="AD135" s="205"/>
      <c r="AE135" s="205"/>
      <c r="AF135" s="205"/>
      <c r="AG135" s="205"/>
      <c r="AH135" s="205"/>
      <c r="AI135" s="205"/>
      <c r="AJ135" s="205"/>
    </row>
    <row r="136" spans="1:36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213"/>
      <c r="G136" s="213"/>
      <c r="H136" s="213"/>
      <c r="I136" s="213"/>
      <c r="J136" s="214"/>
      <c r="K136" s="214"/>
      <c r="L136" s="214"/>
      <c r="M136" s="214"/>
      <c r="N136" s="221"/>
      <c r="O136" s="213"/>
      <c r="P136" s="213"/>
      <c r="Q136" s="213"/>
      <c r="R136" s="215"/>
      <c r="S136" s="213"/>
      <c r="T136" s="213"/>
      <c r="U136" s="213"/>
      <c r="V136" s="213"/>
      <c r="W136" s="213"/>
      <c r="X136" s="205"/>
      <c r="Y136" s="205"/>
      <c r="Z136" s="205"/>
      <c r="AA136" s="205"/>
      <c r="AB136" s="205"/>
      <c r="AC136" s="205"/>
      <c r="AD136" s="205"/>
      <c r="AE136" s="205"/>
      <c r="AF136" s="205"/>
      <c r="AG136" s="205"/>
      <c r="AH136" s="205"/>
      <c r="AI136" s="205"/>
      <c r="AJ136" s="205"/>
    </row>
    <row r="137" spans="1:36" ht="18.75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213"/>
      <c r="G137" s="213"/>
      <c r="H137" s="213"/>
      <c r="I137" s="213"/>
      <c r="J137" s="214"/>
      <c r="K137" s="214"/>
      <c r="L137" s="214"/>
      <c r="M137" s="214"/>
      <c r="N137" s="221"/>
      <c r="O137" s="213"/>
      <c r="P137" s="213"/>
      <c r="Q137" s="213"/>
      <c r="R137" s="215"/>
      <c r="S137" s="213"/>
      <c r="T137" s="213"/>
      <c r="U137" s="213"/>
      <c r="V137" s="213"/>
      <c r="W137" s="213"/>
      <c r="X137" s="205"/>
      <c r="Y137" s="205"/>
      <c r="Z137" s="205"/>
      <c r="AA137" s="205"/>
      <c r="AB137" s="205"/>
      <c r="AC137" s="205"/>
      <c r="AD137" s="205"/>
      <c r="AE137" s="205"/>
      <c r="AF137" s="205"/>
      <c r="AG137" s="205"/>
      <c r="AH137" s="205"/>
      <c r="AI137" s="205"/>
      <c r="AJ137" s="205"/>
    </row>
    <row r="138" spans="1:36" ht="18.75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213"/>
      <c r="G138" s="213"/>
      <c r="H138" s="213"/>
      <c r="I138" s="213"/>
      <c r="J138" s="214"/>
      <c r="K138" s="214"/>
      <c r="L138" s="214"/>
      <c r="M138" s="214"/>
      <c r="N138" s="221"/>
      <c r="O138" s="213"/>
      <c r="P138" s="213"/>
      <c r="Q138" s="213"/>
      <c r="R138" s="215"/>
      <c r="S138" s="213"/>
      <c r="T138" s="213"/>
      <c r="U138" s="213"/>
      <c r="V138" s="213"/>
      <c r="W138" s="213"/>
      <c r="X138" s="205"/>
      <c r="Y138" s="205"/>
      <c r="Z138" s="205"/>
      <c r="AA138" s="205"/>
      <c r="AB138" s="205"/>
      <c r="AC138" s="205"/>
      <c r="AD138" s="205"/>
      <c r="AE138" s="205"/>
      <c r="AF138" s="205"/>
      <c r="AG138" s="205"/>
      <c r="AH138" s="205"/>
      <c r="AI138" s="205"/>
      <c r="AJ138" s="205"/>
    </row>
    <row r="139" spans="1:36" ht="18.75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213"/>
      <c r="G139" s="213"/>
      <c r="H139" s="213"/>
      <c r="I139" s="213"/>
      <c r="J139" s="214"/>
      <c r="K139" s="214"/>
      <c r="L139" s="214"/>
      <c r="M139" s="214"/>
      <c r="N139" s="221"/>
      <c r="O139" s="213"/>
      <c r="P139" s="213"/>
      <c r="Q139" s="213"/>
      <c r="R139" s="215"/>
      <c r="S139" s="213"/>
      <c r="T139" s="213"/>
      <c r="U139" s="213"/>
      <c r="V139" s="213"/>
      <c r="W139" s="213"/>
      <c r="X139" s="205"/>
      <c r="Y139" s="205"/>
      <c r="Z139" s="205"/>
      <c r="AA139" s="205"/>
      <c r="AB139" s="205"/>
      <c r="AC139" s="205"/>
      <c r="AD139" s="205"/>
      <c r="AE139" s="205"/>
      <c r="AF139" s="205"/>
      <c r="AG139" s="205"/>
      <c r="AH139" s="205"/>
      <c r="AI139" s="205"/>
      <c r="AJ139" s="205"/>
    </row>
    <row r="140" spans="1:36" ht="18.75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213"/>
      <c r="G140" s="213"/>
      <c r="H140" s="213"/>
      <c r="I140" s="213"/>
      <c r="J140" s="214"/>
      <c r="K140" s="214"/>
      <c r="L140" s="214"/>
      <c r="M140" s="214"/>
      <c r="N140" s="221"/>
      <c r="O140" s="213"/>
      <c r="P140" s="213"/>
      <c r="Q140" s="213"/>
      <c r="R140" s="215"/>
      <c r="S140" s="213"/>
      <c r="T140" s="213"/>
      <c r="U140" s="213"/>
      <c r="V140" s="213"/>
      <c r="W140" s="213"/>
      <c r="X140" s="205"/>
      <c r="Y140" s="205"/>
      <c r="Z140" s="205"/>
      <c r="AA140" s="205"/>
      <c r="AB140" s="205"/>
      <c r="AC140" s="205"/>
      <c r="AD140" s="205"/>
      <c r="AE140" s="205"/>
      <c r="AF140" s="205"/>
      <c r="AG140" s="205"/>
      <c r="AH140" s="205"/>
      <c r="AI140" s="205"/>
      <c r="AJ140" s="205"/>
    </row>
    <row r="141" spans="1:36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213"/>
      <c r="G141" s="213"/>
      <c r="H141" s="213"/>
      <c r="I141" s="213"/>
      <c r="J141" s="214"/>
      <c r="K141" s="214"/>
      <c r="L141" s="214"/>
      <c r="M141" s="214"/>
      <c r="N141" s="221"/>
      <c r="O141" s="213"/>
      <c r="P141" s="213"/>
      <c r="Q141" s="213"/>
      <c r="R141" s="215"/>
      <c r="S141" s="213"/>
      <c r="T141" s="213"/>
      <c r="U141" s="213"/>
      <c r="V141" s="213"/>
      <c r="W141" s="213"/>
      <c r="X141" s="205"/>
      <c r="Y141" s="205"/>
      <c r="Z141" s="205"/>
      <c r="AA141" s="205"/>
      <c r="AB141" s="205"/>
      <c r="AC141" s="205"/>
      <c r="AD141" s="205"/>
      <c r="AE141" s="205"/>
      <c r="AF141" s="205"/>
      <c r="AG141" s="205"/>
      <c r="AH141" s="205"/>
      <c r="AI141" s="205"/>
      <c r="AJ141" s="205"/>
    </row>
    <row r="142" spans="1:36" ht="18.75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213"/>
      <c r="G142" s="213"/>
      <c r="H142" s="213"/>
      <c r="I142" s="213"/>
      <c r="J142" s="214"/>
      <c r="K142" s="214"/>
      <c r="L142" s="214"/>
      <c r="M142" s="214"/>
      <c r="N142" s="221"/>
      <c r="O142" s="213"/>
      <c r="P142" s="213"/>
      <c r="Q142" s="213"/>
      <c r="R142" s="215"/>
      <c r="S142" s="213"/>
      <c r="T142" s="213"/>
      <c r="U142" s="213"/>
      <c r="V142" s="213"/>
      <c r="W142" s="213"/>
      <c r="X142" s="205"/>
      <c r="Y142" s="205"/>
      <c r="Z142" s="205"/>
      <c r="AA142" s="205"/>
      <c r="AB142" s="205"/>
      <c r="AC142" s="205"/>
      <c r="AD142" s="205"/>
      <c r="AE142" s="205"/>
      <c r="AF142" s="205"/>
      <c r="AG142" s="205"/>
      <c r="AH142" s="205"/>
      <c r="AI142" s="205"/>
      <c r="AJ142" s="205"/>
    </row>
    <row r="143" spans="1:36" ht="18.75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213"/>
      <c r="G143" s="213"/>
      <c r="H143" s="213"/>
      <c r="I143" s="213"/>
      <c r="J143" s="214"/>
      <c r="K143" s="214"/>
      <c r="L143" s="214"/>
      <c r="M143" s="214"/>
      <c r="N143" s="221"/>
      <c r="O143" s="213"/>
      <c r="P143" s="213"/>
      <c r="Q143" s="213"/>
      <c r="R143" s="215"/>
      <c r="S143" s="213"/>
      <c r="T143" s="213"/>
      <c r="U143" s="213"/>
      <c r="V143" s="213"/>
      <c r="W143" s="213"/>
      <c r="X143" s="205"/>
      <c r="Y143" s="205"/>
      <c r="Z143" s="205"/>
      <c r="AA143" s="205"/>
      <c r="AB143" s="205"/>
      <c r="AC143" s="205"/>
      <c r="AD143" s="205"/>
      <c r="AE143" s="205"/>
      <c r="AF143" s="205"/>
      <c r="AG143" s="205"/>
      <c r="AH143" s="205"/>
      <c r="AI143" s="205"/>
      <c r="AJ143" s="205"/>
    </row>
    <row r="144" spans="1:36" ht="18.75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213"/>
      <c r="G144" s="213"/>
      <c r="H144" s="213"/>
      <c r="I144" s="213"/>
      <c r="J144" s="214"/>
      <c r="K144" s="214"/>
      <c r="L144" s="214"/>
      <c r="M144" s="214"/>
      <c r="N144" s="221"/>
      <c r="O144" s="213"/>
      <c r="P144" s="213"/>
      <c r="Q144" s="213"/>
      <c r="R144" s="215"/>
      <c r="S144" s="213"/>
      <c r="T144" s="213"/>
      <c r="U144" s="213"/>
      <c r="V144" s="213"/>
      <c r="W144" s="213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205"/>
      <c r="AI144" s="205"/>
      <c r="AJ144" s="205"/>
    </row>
    <row r="145" spans="1:36" ht="18.75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213"/>
      <c r="G145" s="213"/>
      <c r="H145" s="213"/>
      <c r="I145" s="213"/>
      <c r="J145" s="214"/>
      <c r="K145" s="214"/>
      <c r="L145" s="214"/>
      <c r="M145" s="214"/>
      <c r="N145" s="221"/>
      <c r="O145" s="213"/>
      <c r="P145" s="213"/>
      <c r="Q145" s="213"/>
      <c r="R145" s="215"/>
      <c r="S145" s="213"/>
      <c r="T145" s="213"/>
      <c r="U145" s="213"/>
      <c r="V145" s="213"/>
      <c r="W145" s="213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205"/>
      <c r="AI145" s="205"/>
      <c r="AJ145" s="205"/>
    </row>
    <row r="146" spans="1:36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213"/>
      <c r="G146" s="213"/>
      <c r="H146" s="213"/>
      <c r="I146" s="213"/>
      <c r="J146" s="214"/>
      <c r="K146" s="214"/>
      <c r="L146" s="214"/>
      <c r="M146" s="214"/>
      <c r="N146" s="221"/>
      <c r="O146" s="213"/>
      <c r="P146" s="213"/>
      <c r="Q146" s="213"/>
      <c r="R146" s="215"/>
      <c r="S146" s="213"/>
      <c r="T146" s="213"/>
      <c r="U146" s="213"/>
      <c r="V146" s="213"/>
      <c r="W146" s="213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205"/>
      <c r="AI146" s="205"/>
      <c r="AJ146" s="205"/>
    </row>
    <row r="147" spans="1:36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213"/>
      <c r="G147" s="213"/>
      <c r="H147" s="213"/>
      <c r="I147" s="213"/>
      <c r="J147" s="214"/>
      <c r="K147" s="214"/>
      <c r="L147" s="214"/>
      <c r="M147" s="214"/>
      <c r="N147" s="221"/>
      <c r="O147" s="213"/>
      <c r="P147" s="213"/>
      <c r="Q147" s="213"/>
      <c r="R147" s="215"/>
      <c r="S147" s="213"/>
      <c r="T147" s="213"/>
      <c r="U147" s="213"/>
      <c r="V147" s="213"/>
      <c r="W147" s="213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</row>
    <row r="148" spans="1:36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213"/>
      <c r="G148" s="213"/>
      <c r="H148" s="213"/>
      <c r="I148" s="213"/>
      <c r="J148" s="214"/>
      <c r="K148" s="214"/>
      <c r="L148" s="214"/>
      <c r="M148" s="214"/>
      <c r="N148" s="221"/>
      <c r="O148" s="213"/>
      <c r="P148" s="213"/>
      <c r="Q148" s="213"/>
      <c r="R148" s="215"/>
      <c r="S148" s="213"/>
      <c r="T148" s="213"/>
      <c r="U148" s="213"/>
      <c r="V148" s="213"/>
      <c r="W148" s="213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205"/>
      <c r="AI148" s="205"/>
      <c r="AJ148" s="205"/>
    </row>
    <row r="149" spans="1:36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213"/>
      <c r="G149" s="213"/>
      <c r="H149" s="213"/>
      <c r="I149" s="213"/>
      <c r="J149" s="214"/>
      <c r="K149" s="214"/>
      <c r="L149" s="214"/>
      <c r="M149" s="214"/>
      <c r="N149" s="221"/>
      <c r="O149" s="213"/>
      <c r="P149" s="213"/>
      <c r="Q149" s="213"/>
      <c r="R149" s="215"/>
      <c r="S149" s="213"/>
      <c r="T149" s="213"/>
      <c r="U149" s="213"/>
      <c r="V149" s="213"/>
      <c r="W149" s="213"/>
      <c r="X149" s="205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5"/>
      <c r="AJ149" s="205"/>
    </row>
    <row r="150" spans="1:36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213"/>
      <c r="G150" s="213"/>
      <c r="H150" s="213"/>
      <c r="I150" s="213"/>
      <c r="J150" s="214"/>
      <c r="K150" s="214"/>
      <c r="L150" s="214"/>
      <c r="M150" s="214"/>
      <c r="N150" s="221"/>
      <c r="O150" s="213"/>
      <c r="P150" s="213"/>
      <c r="Q150" s="213"/>
      <c r="R150" s="215"/>
      <c r="S150" s="213"/>
      <c r="T150" s="213"/>
      <c r="U150" s="213"/>
      <c r="V150" s="213"/>
      <c r="W150" s="213"/>
      <c r="X150" s="205"/>
      <c r="Y150" s="205"/>
      <c r="Z150" s="205"/>
      <c r="AA150" s="205"/>
      <c r="AB150" s="205"/>
      <c r="AC150" s="205"/>
      <c r="AD150" s="205"/>
      <c r="AE150" s="205"/>
      <c r="AF150" s="205"/>
      <c r="AG150" s="205"/>
      <c r="AH150" s="205"/>
      <c r="AI150" s="205"/>
      <c r="AJ150" s="205"/>
    </row>
    <row r="151" spans="1:36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213"/>
      <c r="G151" s="213"/>
      <c r="H151" s="213"/>
      <c r="I151" s="213"/>
      <c r="J151" s="214"/>
      <c r="K151" s="214"/>
      <c r="L151" s="214"/>
      <c r="M151" s="214"/>
      <c r="N151" s="221"/>
      <c r="O151" s="213"/>
      <c r="P151" s="213"/>
      <c r="Q151" s="213"/>
      <c r="R151" s="215"/>
      <c r="S151" s="213"/>
      <c r="T151" s="213"/>
      <c r="U151" s="213"/>
      <c r="V151" s="213"/>
      <c r="W151" s="213"/>
      <c r="X151" s="205"/>
      <c r="Y151" s="205"/>
      <c r="Z151" s="205"/>
      <c r="AA151" s="205"/>
      <c r="AB151" s="205"/>
      <c r="AC151" s="205"/>
      <c r="AD151" s="205"/>
      <c r="AE151" s="205"/>
      <c r="AF151" s="205"/>
      <c r="AG151" s="205"/>
      <c r="AH151" s="205"/>
      <c r="AI151" s="205"/>
      <c r="AJ151" s="205"/>
    </row>
    <row r="152" spans="1:36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213"/>
      <c r="G152" s="213"/>
      <c r="H152" s="213"/>
      <c r="I152" s="213"/>
      <c r="J152" s="214"/>
      <c r="K152" s="214"/>
      <c r="L152" s="214"/>
      <c r="M152" s="214"/>
      <c r="N152" s="221"/>
      <c r="O152" s="213"/>
      <c r="P152" s="213"/>
      <c r="Q152" s="213"/>
      <c r="R152" s="215"/>
      <c r="S152" s="213"/>
      <c r="T152" s="213"/>
      <c r="U152" s="213"/>
      <c r="V152" s="213"/>
      <c r="W152" s="213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205"/>
      <c r="AI152" s="205"/>
      <c r="AJ152" s="205"/>
    </row>
    <row r="153" spans="1:36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213"/>
      <c r="G153" s="213"/>
      <c r="H153" s="213"/>
      <c r="I153" s="213"/>
      <c r="J153" s="214"/>
      <c r="K153" s="214"/>
      <c r="L153" s="214"/>
      <c r="M153" s="214"/>
      <c r="N153" s="221"/>
      <c r="O153" s="213"/>
      <c r="P153" s="213"/>
      <c r="Q153" s="213"/>
      <c r="R153" s="215"/>
      <c r="S153" s="213"/>
      <c r="T153" s="213"/>
      <c r="U153" s="213"/>
      <c r="V153" s="213"/>
      <c r="W153" s="213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  <c r="AJ153" s="205"/>
    </row>
    <row r="154" spans="1:36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213"/>
      <c r="G154" s="213"/>
      <c r="H154" s="213"/>
      <c r="I154" s="213"/>
      <c r="J154" s="214"/>
      <c r="K154" s="214"/>
      <c r="L154" s="214"/>
      <c r="M154" s="214"/>
      <c r="N154" s="221"/>
      <c r="O154" s="213"/>
      <c r="P154" s="213"/>
      <c r="Q154" s="213"/>
      <c r="R154" s="215"/>
      <c r="S154" s="213"/>
      <c r="T154" s="213"/>
      <c r="U154" s="213"/>
      <c r="V154" s="213"/>
      <c r="W154" s="213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  <c r="AJ154" s="205"/>
    </row>
    <row r="155" spans="1:36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213"/>
      <c r="G155" s="213"/>
      <c r="H155" s="213"/>
      <c r="I155" s="213"/>
      <c r="J155" s="214"/>
      <c r="K155" s="214"/>
      <c r="L155" s="214"/>
      <c r="M155" s="214"/>
      <c r="N155" s="221"/>
      <c r="O155" s="213"/>
      <c r="P155" s="213"/>
      <c r="Q155" s="213"/>
      <c r="R155" s="215"/>
      <c r="S155" s="213"/>
      <c r="T155" s="213"/>
      <c r="U155" s="213"/>
      <c r="V155" s="213"/>
      <c r="W155" s="213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205"/>
      <c r="AI155" s="205"/>
      <c r="AJ155" s="205"/>
    </row>
    <row r="156" spans="1:36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213"/>
      <c r="G156" s="213"/>
      <c r="H156" s="213"/>
      <c r="I156" s="213"/>
      <c r="J156" s="214"/>
      <c r="K156" s="214"/>
      <c r="L156" s="214"/>
      <c r="M156" s="214"/>
      <c r="N156" s="221"/>
      <c r="O156" s="213"/>
      <c r="P156" s="213"/>
      <c r="Q156" s="213"/>
      <c r="R156" s="215"/>
      <c r="S156" s="213"/>
      <c r="T156" s="213"/>
      <c r="U156" s="213"/>
      <c r="V156" s="213"/>
      <c r="W156" s="213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205"/>
      <c r="AI156" s="205"/>
      <c r="AJ156" s="205"/>
    </row>
    <row r="157" spans="1:36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213"/>
      <c r="G157" s="213"/>
      <c r="H157" s="213"/>
      <c r="I157" s="213"/>
      <c r="J157" s="214"/>
      <c r="K157" s="214"/>
      <c r="L157" s="214"/>
      <c r="M157" s="214"/>
      <c r="N157" s="221"/>
      <c r="O157" s="213"/>
      <c r="P157" s="213"/>
      <c r="Q157" s="213"/>
      <c r="R157" s="215"/>
      <c r="S157" s="213"/>
      <c r="T157" s="213"/>
      <c r="U157" s="213"/>
      <c r="V157" s="213"/>
      <c r="W157" s="213"/>
      <c r="X157" s="205"/>
      <c r="Y157" s="205"/>
      <c r="Z157" s="205"/>
      <c r="AA157" s="205"/>
      <c r="AB157" s="205"/>
      <c r="AC157" s="205"/>
      <c r="AD157" s="205"/>
      <c r="AE157" s="205"/>
      <c r="AF157" s="205"/>
      <c r="AG157" s="205"/>
      <c r="AH157" s="205"/>
      <c r="AI157" s="205"/>
      <c r="AJ157" s="205"/>
    </row>
    <row r="158" spans="1:36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213"/>
      <c r="G158" s="213"/>
      <c r="H158" s="213"/>
      <c r="I158" s="213"/>
      <c r="J158" s="214"/>
      <c r="K158" s="214"/>
      <c r="L158" s="214"/>
      <c r="M158" s="214"/>
      <c r="N158" s="221"/>
      <c r="O158" s="213"/>
      <c r="P158" s="213"/>
      <c r="Q158" s="213"/>
      <c r="R158" s="215"/>
      <c r="S158" s="213"/>
      <c r="T158" s="213"/>
      <c r="U158" s="213"/>
      <c r="V158" s="213"/>
      <c r="W158" s="213"/>
      <c r="X158" s="205"/>
      <c r="Y158" s="205"/>
      <c r="Z158" s="205"/>
      <c r="AA158" s="205"/>
      <c r="AB158" s="205"/>
      <c r="AC158" s="205"/>
      <c r="AD158" s="205"/>
      <c r="AE158" s="205"/>
      <c r="AF158" s="205"/>
      <c r="AG158" s="205"/>
      <c r="AH158" s="205"/>
      <c r="AI158" s="205"/>
      <c r="AJ158" s="205"/>
    </row>
    <row r="159" spans="1:36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213"/>
      <c r="G159" s="213"/>
      <c r="H159" s="213"/>
      <c r="I159" s="213"/>
      <c r="J159" s="214"/>
      <c r="K159" s="214"/>
      <c r="L159" s="214"/>
      <c r="M159" s="214"/>
      <c r="N159" s="221"/>
      <c r="O159" s="213"/>
      <c r="P159" s="213"/>
      <c r="Q159" s="213"/>
      <c r="R159" s="215"/>
      <c r="S159" s="213"/>
      <c r="T159" s="213"/>
      <c r="U159" s="213"/>
      <c r="V159" s="213"/>
      <c r="W159" s="213"/>
      <c r="X159" s="205"/>
      <c r="Y159" s="205"/>
      <c r="Z159" s="205"/>
      <c r="AA159" s="205"/>
      <c r="AB159" s="205"/>
      <c r="AC159" s="205"/>
      <c r="AD159" s="205"/>
      <c r="AE159" s="205"/>
      <c r="AF159" s="205"/>
      <c r="AG159" s="205"/>
      <c r="AH159" s="205"/>
      <c r="AI159" s="205"/>
      <c r="AJ159" s="205"/>
    </row>
    <row r="160" spans="1:36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213"/>
      <c r="G160" s="213"/>
      <c r="H160" s="213"/>
      <c r="I160" s="213"/>
      <c r="J160" s="214"/>
      <c r="K160" s="214"/>
      <c r="L160" s="214"/>
      <c r="M160" s="214"/>
      <c r="N160" s="221"/>
      <c r="O160" s="213"/>
      <c r="P160" s="213"/>
      <c r="Q160" s="213"/>
      <c r="R160" s="215"/>
      <c r="S160" s="213"/>
      <c r="T160" s="213"/>
      <c r="U160" s="213"/>
      <c r="V160" s="213"/>
      <c r="W160" s="213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205"/>
      <c r="AI160" s="205"/>
      <c r="AJ160" s="205"/>
    </row>
    <row r="161" spans="1:36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213"/>
      <c r="G161" s="213"/>
      <c r="H161" s="213"/>
      <c r="I161" s="213"/>
      <c r="J161" s="214"/>
      <c r="K161" s="214"/>
      <c r="L161" s="214"/>
      <c r="M161" s="214"/>
      <c r="N161" s="221"/>
      <c r="O161" s="213"/>
      <c r="P161" s="213"/>
      <c r="Q161" s="213"/>
      <c r="R161" s="215"/>
      <c r="S161" s="213"/>
      <c r="T161" s="213"/>
      <c r="U161" s="213"/>
      <c r="V161" s="213"/>
      <c r="W161" s="213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205"/>
      <c r="AI161" s="205"/>
      <c r="AJ161" s="205"/>
    </row>
    <row r="162" spans="1:36" ht="18.75" hidden="1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213"/>
      <c r="G162" s="213"/>
      <c r="H162" s="213"/>
      <c r="I162" s="213"/>
      <c r="J162" s="214"/>
      <c r="K162" s="214"/>
      <c r="L162" s="214"/>
      <c r="M162" s="214"/>
      <c r="N162" s="221"/>
      <c r="O162" s="213"/>
      <c r="P162" s="213"/>
      <c r="Q162" s="213"/>
      <c r="R162" s="215"/>
      <c r="S162" s="213"/>
      <c r="T162" s="213"/>
      <c r="U162" s="213"/>
      <c r="V162" s="213"/>
      <c r="W162" s="213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205"/>
      <c r="AI162" s="205"/>
      <c r="AJ162" s="205"/>
    </row>
    <row r="163" spans="1:36" ht="18.75" hidden="1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213"/>
      <c r="G163" s="213"/>
      <c r="H163" s="213"/>
      <c r="I163" s="213"/>
      <c r="J163" s="214"/>
      <c r="K163" s="214"/>
      <c r="L163" s="214"/>
      <c r="M163" s="214"/>
      <c r="N163" s="221"/>
      <c r="O163" s="213"/>
      <c r="P163" s="213"/>
      <c r="Q163" s="213"/>
      <c r="R163" s="215"/>
      <c r="S163" s="213"/>
      <c r="T163" s="213"/>
      <c r="U163" s="213"/>
      <c r="V163" s="213"/>
      <c r="W163" s="213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205"/>
      <c r="AI163" s="205"/>
      <c r="AJ163" s="205"/>
    </row>
    <row r="164" spans="1:36" ht="31.5" hidden="1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213"/>
      <c r="G164" s="213"/>
      <c r="H164" s="213"/>
      <c r="I164" s="213"/>
      <c r="J164" s="214"/>
      <c r="K164" s="214"/>
      <c r="L164" s="214"/>
      <c r="M164" s="214"/>
      <c r="N164" s="221"/>
      <c r="O164" s="213"/>
      <c r="P164" s="213"/>
      <c r="Q164" s="213"/>
      <c r="R164" s="215"/>
      <c r="S164" s="213"/>
      <c r="T164" s="213"/>
      <c r="U164" s="213"/>
      <c r="V164" s="213"/>
      <c r="W164" s="213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205"/>
      <c r="AI164" s="205"/>
      <c r="AJ164" s="205"/>
    </row>
    <row r="165" spans="1:36" ht="18.75" hidden="1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213"/>
      <c r="G165" s="213"/>
      <c r="H165" s="213"/>
      <c r="I165" s="213"/>
      <c r="J165" s="214"/>
      <c r="K165" s="214"/>
      <c r="L165" s="214"/>
      <c r="M165" s="214"/>
      <c r="N165" s="221"/>
      <c r="O165" s="213"/>
      <c r="P165" s="213"/>
      <c r="Q165" s="213"/>
      <c r="R165" s="215"/>
      <c r="S165" s="213"/>
      <c r="T165" s="213"/>
      <c r="U165" s="213"/>
      <c r="V165" s="213"/>
      <c r="W165" s="213"/>
      <c r="X165" s="205"/>
      <c r="Y165" s="205"/>
      <c r="Z165" s="205"/>
      <c r="AA165" s="205"/>
      <c r="AB165" s="205"/>
      <c r="AC165" s="205"/>
      <c r="AD165" s="205"/>
      <c r="AE165" s="205"/>
      <c r="AF165" s="205"/>
      <c r="AG165" s="205"/>
      <c r="AH165" s="205"/>
      <c r="AI165" s="205"/>
      <c r="AJ165" s="205"/>
    </row>
    <row r="166" spans="1:36" ht="31.5" hidden="1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213"/>
      <c r="G166" s="213"/>
      <c r="H166" s="213"/>
      <c r="I166" s="213"/>
      <c r="J166" s="214"/>
      <c r="K166" s="214"/>
      <c r="L166" s="214"/>
      <c r="M166" s="214"/>
      <c r="N166" s="221"/>
      <c r="O166" s="213"/>
      <c r="P166" s="213"/>
      <c r="Q166" s="213"/>
      <c r="R166" s="215"/>
      <c r="S166" s="213"/>
      <c r="T166" s="213"/>
      <c r="U166" s="213"/>
      <c r="V166" s="213"/>
      <c r="W166" s="213"/>
      <c r="X166" s="205"/>
      <c r="Y166" s="205"/>
      <c r="Z166" s="205"/>
      <c r="AA166" s="205"/>
      <c r="AB166" s="205"/>
      <c r="AC166" s="205"/>
      <c r="AD166" s="205"/>
      <c r="AE166" s="205"/>
      <c r="AF166" s="205"/>
      <c r="AG166" s="205"/>
      <c r="AH166" s="205"/>
      <c r="AI166" s="205"/>
      <c r="AJ166" s="205"/>
    </row>
    <row r="167" spans="1:36" ht="18.75" hidden="1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213"/>
      <c r="G167" s="213"/>
      <c r="H167" s="213"/>
      <c r="I167" s="213"/>
      <c r="J167" s="214"/>
      <c r="K167" s="214"/>
      <c r="L167" s="214"/>
      <c r="M167" s="214"/>
      <c r="N167" s="221"/>
      <c r="O167" s="213"/>
      <c r="P167" s="213"/>
      <c r="Q167" s="213"/>
      <c r="R167" s="215"/>
      <c r="S167" s="213"/>
      <c r="T167" s="213"/>
      <c r="U167" s="213"/>
      <c r="V167" s="213"/>
      <c r="W167" s="213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5"/>
      <c r="AI167" s="205"/>
      <c r="AJ167" s="205"/>
    </row>
    <row r="168" spans="1:36" ht="18.75" hidden="1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213"/>
      <c r="G168" s="213"/>
      <c r="H168" s="213"/>
      <c r="I168" s="213"/>
      <c r="J168" s="214"/>
      <c r="K168" s="214"/>
      <c r="L168" s="214"/>
      <c r="M168" s="214"/>
      <c r="N168" s="221"/>
      <c r="O168" s="213"/>
      <c r="P168" s="213"/>
      <c r="Q168" s="213"/>
      <c r="R168" s="215"/>
      <c r="S168" s="213"/>
      <c r="T168" s="213"/>
      <c r="U168" s="213"/>
      <c r="V168" s="213"/>
      <c r="W168" s="213"/>
      <c r="X168" s="205"/>
      <c r="Y168" s="205"/>
      <c r="Z168" s="205"/>
      <c r="AA168" s="205"/>
      <c r="AB168" s="205"/>
      <c r="AC168" s="205"/>
      <c r="AD168" s="205"/>
      <c r="AE168" s="205"/>
      <c r="AF168" s="205"/>
      <c r="AG168" s="205"/>
      <c r="AH168" s="205"/>
      <c r="AI168" s="205"/>
      <c r="AJ168" s="205"/>
    </row>
    <row r="169" spans="1:36" ht="15.75" hidden="1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213"/>
      <c r="G169" s="213"/>
      <c r="H169" s="213"/>
      <c r="I169" s="213"/>
      <c r="J169" s="214"/>
      <c r="K169" s="214"/>
      <c r="L169" s="214"/>
      <c r="M169" s="214"/>
      <c r="N169" s="221"/>
      <c r="O169" s="213"/>
      <c r="P169" s="213"/>
      <c r="Q169" s="213"/>
      <c r="R169" s="215"/>
      <c r="S169" s="213"/>
      <c r="T169" s="213"/>
      <c r="U169" s="213"/>
      <c r="V169" s="213"/>
      <c r="W169" s="213"/>
      <c r="X169" s="205"/>
      <c r="Y169" s="205"/>
      <c r="Z169" s="205"/>
      <c r="AA169" s="205"/>
      <c r="AB169" s="205"/>
      <c r="AC169" s="205"/>
      <c r="AD169" s="205"/>
      <c r="AE169" s="205"/>
      <c r="AF169" s="205"/>
      <c r="AG169" s="205"/>
      <c r="AH169" s="205"/>
      <c r="AI169" s="205"/>
      <c r="AJ169" s="205"/>
    </row>
    <row r="170" spans="1:36" ht="31.5" hidden="1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213"/>
      <c r="G170" s="213"/>
      <c r="H170" s="213"/>
      <c r="I170" s="213"/>
      <c r="J170" s="214"/>
      <c r="K170" s="214"/>
      <c r="L170" s="214"/>
      <c r="M170" s="214"/>
      <c r="N170" s="221"/>
      <c r="O170" s="213"/>
      <c r="P170" s="213"/>
      <c r="Q170" s="213"/>
      <c r="R170" s="215"/>
      <c r="S170" s="213"/>
      <c r="T170" s="213"/>
      <c r="U170" s="213"/>
      <c r="V170" s="213"/>
      <c r="W170" s="213"/>
      <c r="X170" s="205"/>
      <c r="Y170" s="205"/>
      <c r="Z170" s="205"/>
      <c r="AA170" s="205"/>
      <c r="AB170" s="205"/>
      <c r="AC170" s="205"/>
      <c r="AD170" s="205"/>
      <c r="AE170" s="205"/>
      <c r="AF170" s="205"/>
      <c r="AG170" s="205"/>
      <c r="AH170" s="205"/>
      <c r="AI170" s="205"/>
      <c r="AJ170" s="205"/>
    </row>
    <row r="171" spans="1:36" ht="31.5" hidden="1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213"/>
      <c r="G171" s="213"/>
      <c r="H171" s="213"/>
      <c r="I171" s="213"/>
      <c r="J171" s="214"/>
      <c r="K171" s="214"/>
      <c r="L171" s="214"/>
      <c r="M171" s="214"/>
      <c r="N171" s="221"/>
      <c r="O171" s="213"/>
      <c r="P171" s="213"/>
      <c r="Q171" s="213"/>
      <c r="R171" s="215"/>
      <c r="S171" s="213"/>
      <c r="T171" s="213"/>
      <c r="U171" s="213"/>
      <c r="V171" s="213"/>
      <c r="W171" s="213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5"/>
      <c r="AI171" s="205"/>
      <c r="AJ171" s="205"/>
    </row>
    <row r="172" spans="1:36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213"/>
      <c r="G172" s="213"/>
      <c r="H172" s="213"/>
      <c r="I172" s="213"/>
      <c r="J172" s="214"/>
      <c r="K172" s="214"/>
      <c r="L172" s="214"/>
      <c r="M172" s="214"/>
      <c r="N172" s="221"/>
      <c r="O172" s="213"/>
      <c r="P172" s="213"/>
      <c r="Q172" s="213"/>
      <c r="R172" s="215"/>
      <c r="S172" s="213"/>
      <c r="T172" s="213"/>
      <c r="U172" s="213"/>
      <c r="V172" s="213"/>
      <c r="W172" s="213"/>
      <c r="X172" s="205"/>
      <c r="Y172" s="205"/>
      <c r="Z172" s="205"/>
      <c r="AA172" s="205"/>
      <c r="AB172" s="205"/>
      <c r="AC172" s="205"/>
      <c r="AD172" s="205"/>
      <c r="AE172" s="205"/>
      <c r="AF172" s="205"/>
      <c r="AG172" s="205"/>
      <c r="AH172" s="205"/>
      <c r="AI172" s="205"/>
      <c r="AJ172" s="205"/>
    </row>
    <row r="173" spans="1:36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213"/>
      <c r="G173" s="213"/>
      <c r="H173" s="213"/>
      <c r="I173" s="213"/>
      <c r="J173" s="214"/>
      <c r="K173" s="214"/>
      <c r="L173" s="214"/>
      <c r="M173" s="214"/>
      <c r="N173" s="221"/>
      <c r="O173" s="213"/>
      <c r="P173" s="213"/>
      <c r="Q173" s="213"/>
      <c r="R173" s="215"/>
      <c r="S173" s="213"/>
      <c r="T173" s="213"/>
      <c r="U173" s="213"/>
      <c r="V173" s="213"/>
      <c r="W173" s="213"/>
      <c r="X173" s="205"/>
      <c r="Y173" s="205"/>
      <c r="Z173" s="205"/>
      <c r="AA173" s="205"/>
      <c r="AB173" s="205"/>
      <c r="AC173" s="205"/>
      <c r="AD173" s="205"/>
      <c r="AE173" s="205"/>
      <c r="AF173" s="205"/>
      <c r="AG173" s="205"/>
      <c r="AH173" s="205"/>
      <c r="AI173" s="205"/>
      <c r="AJ173" s="205"/>
    </row>
    <row r="174" spans="1:36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213"/>
      <c r="G174" s="213"/>
      <c r="H174" s="213"/>
      <c r="I174" s="213"/>
      <c r="J174" s="214"/>
      <c r="K174" s="214"/>
      <c r="L174" s="214"/>
      <c r="M174" s="214"/>
      <c r="N174" s="221"/>
      <c r="O174" s="213"/>
      <c r="P174" s="213"/>
      <c r="Q174" s="213"/>
      <c r="R174" s="215"/>
      <c r="S174" s="213"/>
      <c r="T174" s="213"/>
      <c r="U174" s="213"/>
      <c r="V174" s="213"/>
      <c r="W174" s="213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5"/>
      <c r="AI174" s="205"/>
      <c r="AJ174" s="205"/>
    </row>
    <row r="175" spans="1:36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213"/>
      <c r="G175" s="213"/>
      <c r="H175" s="213"/>
      <c r="I175" s="213"/>
      <c r="J175" s="214"/>
      <c r="K175" s="214"/>
      <c r="L175" s="214"/>
      <c r="M175" s="214"/>
      <c r="N175" s="221"/>
      <c r="O175" s="213"/>
      <c r="P175" s="213"/>
      <c r="Q175" s="213"/>
      <c r="R175" s="215"/>
      <c r="S175" s="213"/>
      <c r="T175" s="213"/>
      <c r="U175" s="213"/>
      <c r="V175" s="213"/>
      <c r="W175" s="213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5"/>
      <c r="AI175" s="205"/>
      <c r="AJ175" s="205"/>
    </row>
    <row r="176" spans="1:36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213"/>
      <c r="G176" s="213"/>
      <c r="H176" s="213"/>
      <c r="I176" s="213"/>
      <c r="J176" s="214"/>
      <c r="K176" s="214"/>
      <c r="L176" s="214"/>
      <c r="M176" s="214"/>
      <c r="N176" s="221"/>
      <c r="O176" s="213"/>
      <c r="P176" s="213"/>
      <c r="Q176" s="213"/>
      <c r="R176" s="215"/>
      <c r="S176" s="213"/>
      <c r="T176" s="213"/>
      <c r="U176" s="213"/>
      <c r="V176" s="213"/>
      <c r="W176" s="213"/>
      <c r="X176" s="205"/>
      <c r="Y176" s="205"/>
      <c r="Z176" s="205"/>
      <c r="AA176" s="205"/>
      <c r="AB176" s="205"/>
      <c r="AC176" s="205"/>
      <c r="AD176" s="205"/>
      <c r="AE176" s="205"/>
      <c r="AF176" s="205"/>
      <c r="AG176" s="205"/>
      <c r="AH176" s="205"/>
      <c r="AI176" s="205"/>
      <c r="AJ176" s="205"/>
    </row>
    <row r="177" spans="1:36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213"/>
      <c r="G177" s="213"/>
      <c r="H177" s="213"/>
      <c r="I177" s="213"/>
      <c r="J177" s="214"/>
      <c r="K177" s="214"/>
      <c r="L177" s="214"/>
      <c r="M177" s="214"/>
      <c r="N177" s="221"/>
      <c r="O177" s="213"/>
      <c r="P177" s="213"/>
      <c r="Q177" s="213"/>
      <c r="R177" s="215"/>
      <c r="S177" s="213"/>
      <c r="T177" s="213"/>
      <c r="U177" s="213"/>
      <c r="V177" s="213"/>
      <c r="W177" s="213"/>
      <c r="X177" s="205"/>
      <c r="Y177" s="205"/>
      <c r="Z177" s="205"/>
      <c r="AA177" s="205"/>
      <c r="AB177" s="205"/>
      <c r="AC177" s="205"/>
      <c r="AD177" s="205"/>
      <c r="AE177" s="205"/>
      <c r="AF177" s="205"/>
      <c r="AG177" s="205"/>
      <c r="AH177" s="205"/>
      <c r="AI177" s="205"/>
      <c r="AJ177" s="205"/>
    </row>
    <row r="178" spans="1:36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213"/>
      <c r="G178" s="213"/>
      <c r="H178" s="213"/>
      <c r="I178" s="213"/>
      <c r="J178" s="214"/>
      <c r="K178" s="214"/>
      <c r="L178" s="214"/>
      <c r="M178" s="214"/>
      <c r="N178" s="221"/>
      <c r="O178" s="213"/>
      <c r="P178" s="213"/>
      <c r="Q178" s="213"/>
      <c r="R178" s="215"/>
      <c r="S178" s="213"/>
      <c r="T178" s="213"/>
      <c r="U178" s="213"/>
      <c r="V178" s="213"/>
      <c r="W178" s="213"/>
      <c r="X178" s="205"/>
      <c r="Y178" s="205"/>
      <c r="Z178" s="205"/>
      <c r="AA178" s="205"/>
      <c r="AB178" s="205"/>
      <c r="AC178" s="205"/>
      <c r="AD178" s="205"/>
      <c r="AE178" s="205"/>
      <c r="AF178" s="205"/>
      <c r="AG178" s="205"/>
      <c r="AH178" s="205"/>
      <c r="AI178" s="205"/>
      <c r="AJ178" s="205"/>
    </row>
    <row r="179" spans="1:36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213"/>
      <c r="G179" s="213"/>
      <c r="H179" s="213"/>
      <c r="I179" s="213"/>
      <c r="J179" s="214"/>
      <c r="K179" s="214"/>
      <c r="L179" s="214"/>
      <c r="M179" s="214"/>
      <c r="N179" s="221"/>
      <c r="O179" s="213"/>
      <c r="P179" s="213"/>
      <c r="Q179" s="213"/>
      <c r="R179" s="215"/>
      <c r="S179" s="213"/>
      <c r="T179" s="213"/>
      <c r="U179" s="213"/>
      <c r="V179" s="213"/>
      <c r="W179" s="213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5"/>
      <c r="AI179" s="205"/>
      <c r="AJ179" s="205"/>
    </row>
    <row r="180" spans="1:36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213"/>
      <c r="G180" s="213"/>
      <c r="H180" s="213"/>
      <c r="I180" s="213"/>
      <c r="J180" s="214"/>
      <c r="K180" s="214"/>
      <c r="L180" s="214"/>
      <c r="M180" s="214"/>
      <c r="N180" s="221"/>
      <c r="O180" s="213"/>
      <c r="P180" s="213"/>
      <c r="Q180" s="213"/>
      <c r="R180" s="215"/>
      <c r="S180" s="213"/>
      <c r="T180" s="213"/>
      <c r="U180" s="213"/>
      <c r="V180" s="213"/>
      <c r="W180" s="213"/>
      <c r="X180" s="205"/>
      <c r="Y180" s="205"/>
      <c r="Z180" s="205"/>
      <c r="AA180" s="205"/>
      <c r="AB180" s="205"/>
      <c r="AC180" s="205"/>
      <c r="AD180" s="205"/>
      <c r="AE180" s="205"/>
      <c r="AF180" s="205"/>
      <c r="AG180" s="205"/>
      <c r="AH180" s="205"/>
      <c r="AI180" s="205"/>
      <c r="AJ180" s="205"/>
    </row>
    <row r="181" spans="1:36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213"/>
      <c r="G181" s="213"/>
      <c r="H181" s="213"/>
      <c r="I181" s="213"/>
      <c r="J181" s="214"/>
      <c r="K181" s="214"/>
      <c r="L181" s="214"/>
      <c r="M181" s="214"/>
      <c r="N181" s="221"/>
      <c r="O181" s="213"/>
      <c r="P181" s="213"/>
      <c r="Q181" s="213"/>
      <c r="R181" s="215"/>
      <c r="S181" s="213"/>
      <c r="T181" s="213"/>
      <c r="U181" s="213"/>
      <c r="V181" s="213"/>
      <c r="W181" s="213"/>
      <c r="X181" s="205"/>
      <c r="Y181" s="205"/>
      <c r="Z181" s="205"/>
      <c r="AA181" s="205"/>
      <c r="AB181" s="205"/>
      <c r="AC181" s="205"/>
      <c r="AD181" s="205"/>
      <c r="AE181" s="205"/>
      <c r="AF181" s="205"/>
      <c r="AG181" s="205"/>
      <c r="AH181" s="205"/>
      <c r="AI181" s="205"/>
      <c r="AJ181" s="205"/>
    </row>
    <row r="182" spans="1:36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213"/>
      <c r="G182" s="213"/>
      <c r="H182" s="213"/>
      <c r="I182" s="213"/>
      <c r="J182" s="214"/>
      <c r="K182" s="214"/>
      <c r="L182" s="214"/>
      <c r="M182" s="214"/>
      <c r="N182" s="221"/>
      <c r="O182" s="213"/>
      <c r="P182" s="213"/>
      <c r="Q182" s="213"/>
      <c r="R182" s="215"/>
      <c r="S182" s="213"/>
      <c r="T182" s="213"/>
      <c r="U182" s="213"/>
      <c r="V182" s="213"/>
      <c r="W182" s="213"/>
      <c r="X182" s="205"/>
      <c r="Y182" s="205"/>
      <c r="Z182" s="205"/>
      <c r="AA182" s="205"/>
      <c r="AB182" s="205"/>
      <c r="AC182" s="205"/>
      <c r="AD182" s="205"/>
      <c r="AE182" s="205"/>
      <c r="AF182" s="205"/>
      <c r="AG182" s="205"/>
      <c r="AH182" s="205"/>
      <c r="AI182" s="205"/>
      <c r="AJ182" s="205"/>
    </row>
    <row r="183" spans="1:36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213"/>
      <c r="G183" s="213"/>
      <c r="H183" s="213"/>
      <c r="I183" s="213"/>
      <c r="J183" s="214"/>
      <c r="K183" s="214"/>
      <c r="L183" s="214"/>
      <c r="M183" s="214"/>
      <c r="N183" s="221"/>
      <c r="O183" s="213"/>
      <c r="P183" s="213"/>
      <c r="Q183" s="213"/>
      <c r="R183" s="215"/>
      <c r="S183" s="213"/>
      <c r="T183" s="213"/>
      <c r="U183" s="213"/>
      <c r="V183" s="213"/>
      <c r="W183" s="213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5"/>
      <c r="AI183" s="205"/>
      <c r="AJ183" s="205"/>
    </row>
    <row r="184" spans="1:36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213"/>
      <c r="G184" s="213"/>
      <c r="H184" s="213"/>
      <c r="I184" s="213"/>
      <c r="J184" s="214"/>
      <c r="K184" s="214"/>
      <c r="L184" s="214"/>
      <c r="M184" s="214"/>
      <c r="N184" s="221"/>
      <c r="O184" s="213"/>
      <c r="P184" s="213"/>
      <c r="Q184" s="213"/>
      <c r="R184" s="215"/>
      <c r="S184" s="213"/>
      <c r="T184" s="213"/>
      <c r="U184" s="213"/>
      <c r="V184" s="213"/>
      <c r="W184" s="213"/>
      <c r="X184" s="205"/>
      <c r="Y184" s="205"/>
      <c r="Z184" s="205"/>
      <c r="AA184" s="205"/>
      <c r="AB184" s="205"/>
      <c r="AC184" s="205"/>
      <c r="AD184" s="205"/>
      <c r="AE184" s="205"/>
      <c r="AF184" s="205"/>
      <c r="AG184" s="205"/>
      <c r="AH184" s="205"/>
      <c r="AI184" s="205"/>
      <c r="AJ184" s="205"/>
    </row>
    <row r="185" spans="1:36" ht="31.5" customHeight="1">
      <c r="A185" s="101">
        <v>7.7</v>
      </c>
      <c r="B185" s="53" t="s">
        <v>412</v>
      </c>
      <c r="C185" s="87" t="s">
        <v>413</v>
      </c>
      <c r="D185" s="61" t="s">
        <v>987</v>
      </c>
      <c r="E185" s="200">
        <f t="shared" si="0"/>
        <v>0</v>
      </c>
      <c r="F185" s="213"/>
      <c r="G185" s="213"/>
      <c r="H185" s="213"/>
      <c r="I185" s="213"/>
      <c r="J185" s="214"/>
      <c r="K185" s="214"/>
      <c r="L185" s="214"/>
      <c r="M185" s="214"/>
      <c r="N185" s="221"/>
      <c r="O185" s="213"/>
      <c r="P185" s="213"/>
      <c r="Q185" s="213"/>
      <c r="R185" s="215"/>
      <c r="S185" s="213"/>
      <c r="T185" s="213"/>
      <c r="U185" s="213"/>
      <c r="V185" s="213"/>
      <c r="W185" s="213"/>
      <c r="X185" s="205"/>
      <c r="Y185" s="205"/>
      <c r="Z185" s="205"/>
      <c r="AA185" s="205"/>
      <c r="AB185" s="205"/>
      <c r="AC185" s="205"/>
      <c r="AD185" s="205"/>
      <c r="AE185" s="205"/>
      <c r="AF185" s="205"/>
      <c r="AG185" s="205"/>
      <c r="AH185" s="205"/>
      <c r="AI185" s="205"/>
      <c r="AJ185" s="205"/>
    </row>
    <row r="186" spans="1:36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213"/>
      <c r="G186" s="213"/>
      <c r="H186" s="213"/>
      <c r="I186" s="213"/>
      <c r="J186" s="214"/>
      <c r="K186" s="214"/>
      <c r="L186" s="214"/>
      <c r="M186" s="214"/>
      <c r="N186" s="221"/>
      <c r="O186" s="213"/>
      <c r="P186" s="213"/>
      <c r="Q186" s="213"/>
      <c r="R186" s="215"/>
      <c r="S186" s="213"/>
      <c r="T186" s="213"/>
      <c r="U186" s="213"/>
      <c r="V186" s="213"/>
      <c r="W186" s="213"/>
      <c r="X186" s="205"/>
      <c r="Y186" s="205"/>
      <c r="Z186" s="205"/>
      <c r="AA186" s="205"/>
      <c r="AB186" s="205"/>
      <c r="AC186" s="205"/>
      <c r="AD186" s="205"/>
      <c r="AE186" s="205"/>
      <c r="AF186" s="205"/>
      <c r="AG186" s="205"/>
      <c r="AH186" s="205"/>
      <c r="AI186" s="205"/>
      <c r="AJ186" s="205"/>
    </row>
    <row r="187" spans="1:36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213"/>
      <c r="G187" s="213"/>
      <c r="H187" s="213"/>
      <c r="I187" s="213"/>
      <c r="J187" s="214"/>
      <c r="K187" s="214"/>
      <c r="L187" s="214"/>
      <c r="M187" s="214"/>
      <c r="N187" s="221"/>
      <c r="O187" s="213"/>
      <c r="P187" s="213"/>
      <c r="Q187" s="213"/>
      <c r="R187" s="215"/>
      <c r="S187" s="213"/>
      <c r="T187" s="213"/>
      <c r="U187" s="213"/>
      <c r="V187" s="213"/>
      <c r="W187" s="213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5"/>
      <c r="AI187" s="205"/>
      <c r="AJ187" s="205"/>
    </row>
    <row r="188" spans="1:36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213"/>
      <c r="G188" s="213"/>
      <c r="H188" s="213"/>
      <c r="I188" s="213"/>
      <c r="J188" s="214"/>
      <c r="K188" s="214"/>
      <c r="L188" s="214"/>
      <c r="M188" s="214"/>
      <c r="N188" s="221"/>
      <c r="O188" s="213"/>
      <c r="P188" s="213"/>
      <c r="Q188" s="213"/>
      <c r="R188" s="215"/>
      <c r="S188" s="213"/>
      <c r="T188" s="213"/>
      <c r="U188" s="213"/>
      <c r="V188" s="213"/>
      <c r="W188" s="213"/>
      <c r="X188" s="205"/>
      <c r="Y188" s="205"/>
      <c r="Z188" s="205"/>
      <c r="AA188" s="205"/>
      <c r="AB188" s="205"/>
      <c r="AC188" s="205"/>
      <c r="AD188" s="205"/>
      <c r="AE188" s="205"/>
      <c r="AF188" s="205"/>
      <c r="AG188" s="205"/>
      <c r="AH188" s="205"/>
      <c r="AI188" s="205"/>
      <c r="AJ188" s="205"/>
    </row>
    <row r="189" spans="1:36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213"/>
      <c r="G189" s="213"/>
      <c r="H189" s="213"/>
      <c r="I189" s="213"/>
      <c r="J189" s="214"/>
      <c r="K189" s="214"/>
      <c r="L189" s="214"/>
      <c r="M189" s="214"/>
      <c r="N189" s="221"/>
      <c r="O189" s="213"/>
      <c r="P189" s="213"/>
      <c r="Q189" s="213"/>
      <c r="R189" s="215"/>
      <c r="S189" s="213"/>
      <c r="T189" s="213"/>
      <c r="U189" s="213"/>
      <c r="V189" s="213"/>
      <c r="W189" s="213"/>
      <c r="X189" s="205"/>
      <c r="Y189" s="205"/>
      <c r="Z189" s="205"/>
      <c r="AA189" s="205"/>
      <c r="AB189" s="205"/>
      <c r="AC189" s="205"/>
      <c r="AD189" s="205"/>
      <c r="AE189" s="205"/>
      <c r="AF189" s="205"/>
      <c r="AG189" s="205"/>
      <c r="AH189" s="205"/>
      <c r="AI189" s="205"/>
      <c r="AJ189" s="205"/>
    </row>
    <row r="190" spans="1:36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213"/>
      <c r="G190" s="213"/>
      <c r="H190" s="213"/>
      <c r="I190" s="213"/>
      <c r="J190" s="214"/>
      <c r="K190" s="214"/>
      <c r="L190" s="214"/>
      <c r="M190" s="214"/>
      <c r="N190" s="221"/>
      <c r="O190" s="213"/>
      <c r="P190" s="213"/>
      <c r="Q190" s="213"/>
      <c r="R190" s="215"/>
      <c r="S190" s="213"/>
      <c r="T190" s="213"/>
      <c r="U190" s="213"/>
      <c r="V190" s="213"/>
      <c r="W190" s="213"/>
      <c r="X190" s="205"/>
      <c r="Y190" s="205"/>
      <c r="Z190" s="205"/>
      <c r="AA190" s="205"/>
      <c r="AB190" s="205"/>
      <c r="AC190" s="205"/>
      <c r="AD190" s="205"/>
      <c r="AE190" s="205"/>
      <c r="AF190" s="205"/>
      <c r="AG190" s="205"/>
      <c r="AH190" s="205"/>
      <c r="AI190" s="205"/>
      <c r="AJ190" s="205"/>
    </row>
    <row r="191" spans="1:36" ht="18.75" customHeight="1">
      <c r="A191" s="42" t="s">
        <v>991</v>
      </c>
      <c r="B191" s="59" t="s">
        <v>428</v>
      </c>
      <c r="C191" s="111" t="s">
        <v>429</v>
      </c>
      <c r="D191" s="61" t="s">
        <v>992</v>
      </c>
      <c r="E191" s="200">
        <f t="shared" si="0"/>
        <v>0</v>
      </c>
      <c r="F191" s="213"/>
      <c r="G191" s="213"/>
      <c r="H191" s="213"/>
      <c r="I191" s="213"/>
      <c r="J191" s="214"/>
      <c r="K191" s="214"/>
      <c r="L191" s="214"/>
      <c r="M191" s="214"/>
      <c r="N191" s="221"/>
      <c r="O191" s="213"/>
      <c r="P191" s="213"/>
      <c r="Q191" s="213"/>
      <c r="R191" s="215"/>
      <c r="S191" s="213"/>
      <c r="T191" s="213"/>
      <c r="U191" s="213"/>
      <c r="V191" s="213"/>
      <c r="W191" s="213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5"/>
      <c r="AI191" s="205"/>
      <c r="AJ191" s="205"/>
    </row>
    <row r="192" spans="1:36" ht="18.75" customHeight="1">
      <c r="A192" s="42" t="s">
        <v>990</v>
      </c>
      <c r="B192" s="59" t="s">
        <v>426</v>
      </c>
      <c r="C192" s="111" t="s">
        <v>431</v>
      </c>
      <c r="D192" s="61" t="s">
        <v>993</v>
      </c>
      <c r="E192" s="200">
        <f t="shared" si="0"/>
        <v>0</v>
      </c>
      <c r="F192" s="213"/>
      <c r="G192" s="213"/>
      <c r="H192" s="213"/>
      <c r="I192" s="213"/>
      <c r="J192" s="214"/>
      <c r="K192" s="214"/>
      <c r="L192" s="214"/>
      <c r="M192" s="214"/>
      <c r="N192" s="221"/>
      <c r="O192" s="213"/>
      <c r="P192" s="213"/>
      <c r="Q192" s="213"/>
      <c r="R192" s="215"/>
      <c r="S192" s="213"/>
      <c r="T192" s="213"/>
      <c r="U192" s="213"/>
      <c r="V192" s="213"/>
      <c r="W192" s="213"/>
      <c r="X192" s="205"/>
      <c r="Y192" s="205"/>
      <c r="Z192" s="205"/>
      <c r="AA192" s="205"/>
      <c r="AB192" s="205"/>
      <c r="AC192" s="205"/>
      <c r="AD192" s="205"/>
      <c r="AE192" s="205"/>
      <c r="AF192" s="205"/>
      <c r="AG192" s="205"/>
      <c r="AH192" s="205"/>
      <c r="AI192" s="205"/>
      <c r="AJ192" s="205"/>
    </row>
    <row r="193" spans="1:36" ht="18.75" customHeight="1">
      <c r="A193" s="42" t="s">
        <v>991</v>
      </c>
      <c r="B193" s="59" t="s">
        <v>428</v>
      </c>
      <c r="C193" s="111" t="s">
        <v>433</v>
      </c>
      <c r="D193" s="61" t="s">
        <v>994</v>
      </c>
      <c r="E193" s="200">
        <f t="shared" si="0"/>
        <v>0</v>
      </c>
      <c r="F193" s="213"/>
      <c r="G193" s="213"/>
      <c r="H193" s="213"/>
      <c r="I193" s="213"/>
      <c r="J193" s="214"/>
      <c r="K193" s="214"/>
      <c r="L193" s="214"/>
      <c r="M193" s="214"/>
      <c r="N193" s="221"/>
      <c r="O193" s="213"/>
      <c r="P193" s="213"/>
      <c r="Q193" s="213"/>
      <c r="R193" s="215"/>
      <c r="S193" s="213"/>
      <c r="T193" s="213"/>
      <c r="U193" s="213"/>
      <c r="V193" s="213"/>
      <c r="W193" s="213"/>
      <c r="X193" s="205"/>
      <c r="Y193" s="205"/>
      <c r="Z193" s="205"/>
      <c r="AA193" s="205"/>
      <c r="AB193" s="205"/>
      <c r="AC193" s="205"/>
      <c r="AD193" s="205"/>
      <c r="AE193" s="205"/>
      <c r="AF193" s="205"/>
      <c r="AG193" s="205"/>
      <c r="AH193" s="205"/>
      <c r="AI193" s="205"/>
      <c r="AJ193" s="205"/>
    </row>
    <row r="194" spans="1:36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213"/>
      <c r="G194" s="213"/>
      <c r="H194" s="213"/>
      <c r="I194" s="213"/>
      <c r="J194" s="214"/>
      <c r="K194" s="214"/>
      <c r="L194" s="214"/>
      <c r="M194" s="214"/>
      <c r="N194" s="221"/>
      <c r="O194" s="213"/>
      <c r="P194" s="213"/>
      <c r="Q194" s="213"/>
      <c r="R194" s="215"/>
      <c r="S194" s="213"/>
      <c r="T194" s="213"/>
      <c r="U194" s="213"/>
      <c r="V194" s="213"/>
      <c r="W194" s="213"/>
      <c r="X194" s="205"/>
      <c r="Y194" s="205"/>
      <c r="Z194" s="205"/>
      <c r="AA194" s="205"/>
      <c r="AB194" s="205"/>
      <c r="AC194" s="205"/>
      <c r="AD194" s="205"/>
      <c r="AE194" s="205"/>
      <c r="AF194" s="205"/>
      <c r="AG194" s="205"/>
      <c r="AH194" s="205"/>
      <c r="AI194" s="205"/>
      <c r="AJ194" s="205"/>
    </row>
    <row r="195" spans="1:36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213"/>
      <c r="G195" s="213"/>
      <c r="H195" s="213"/>
      <c r="I195" s="213"/>
      <c r="J195" s="214"/>
      <c r="K195" s="214"/>
      <c r="L195" s="214"/>
      <c r="M195" s="214"/>
      <c r="N195" s="213"/>
      <c r="O195" s="213"/>
      <c r="P195" s="213"/>
      <c r="Q195" s="213"/>
      <c r="R195" s="215"/>
      <c r="S195" s="213"/>
      <c r="T195" s="213"/>
      <c r="U195" s="213"/>
      <c r="V195" s="213"/>
      <c r="W195" s="213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5"/>
      <c r="AI195" s="205"/>
      <c r="AJ195" s="205"/>
    </row>
    <row r="196" spans="1:36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213"/>
      <c r="G196" s="213"/>
      <c r="H196" s="213"/>
      <c r="I196" s="213"/>
      <c r="J196" s="214"/>
      <c r="K196" s="214"/>
      <c r="L196" s="214"/>
      <c r="M196" s="214"/>
      <c r="N196" s="221"/>
      <c r="O196" s="213"/>
      <c r="P196" s="213"/>
      <c r="Q196" s="213"/>
      <c r="R196" s="215"/>
      <c r="S196" s="213"/>
      <c r="T196" s="213"/>
      <c r="U196" s="213"/>
      <c r="V196" s="213"/>
      <c r="W196" s="213"/>
      <c r="X196" s="205"/>
      <c r="Y196" s="205"/>
      <c r="Z196" s="205"/>
      <c r="AA196" s="205"/>
      <c r="AB196" s="205"/>
      <c r="AC196" s="205"/>
      <c r="AD196" s="205"/>
      <c r="AE196" s="205"/>
      <c r="AF196" s="205"/>
      <c r="AG196" s="205"/>
      <c r="AH196" s="205"/>
      <c r="AI196" s="205"/>
      <c r="AJ196" s="205"/>
    </row>
    <row r="197" spans="1:36" ht="18.75" customHeight="1">
      <c r="A197" s="42" t="s">
        <v>997</v>
      </c>
      <c r="B197" s="59" t="s">
        <v>440</v>
      </c>
      <c r="C197" s="111" t="s">
        <v>429</v>
      </c>
      <c r="D197" s="61" t="s">
        <v>998</v>
      </c>
      <c r="E197" s="200">
        <f t="shared" si="0"/>
        <v>0</v>
      </c>
      <c r="F197" s="213"/>
      <c r="G197" s="213"/>
      <c r="H197" s="213"/>
      <c r="I197" s="213"/>
      <c r="J197" s="214"/>
      <c r="K197" s="214"/>
      <c r="L197" s="214"/>
      <c r="M197" s="214"/>
      <c r="N197" s="221"/>
      <c r="O197" s="213"/>
      <c r="P197" s="213"/>
      <c r="Q197" s="213"/>
      <c r="R197" s="215"/>
      <c r="S197" s="213"/>
      <c r="T197" s="213"/>
      <c r="U197" s="213"/>
      <c r="V197" s="213"/>
      <c r="W197" s="213"/>
      <c r="X197" s="205"/>
      <c r="Y197" s="205"/>
      <c r="Z197" s="205"/>
      <c r="AA197" s="205"/>
      <c r="AB197" s="205"/>
      <c r="AC197" s="205"/>
      <c r="AD197" s="205"/>
      <c r="AE197" s="205"/>
      <c r="AF197" s="205"/>
      <c r="AG197" s="205"/>
      <c r="AH197" s="205"/>
      <c r="AI197" s="205"/>
      <c r="AJ197" s="205"/>
    </row>
    <row r="198" spans="1:36" ht="18.75" customHeight="1">
      <c r="A198" s="42" t="s">
        <v>996</v>
      </c>
      <c r="B198" s="59" t="s">
        <v>439</v>
      </c>
      <c r="C198" s="111" t="s">
        <v>431</v>
      </c>
      <c r="D198" s="61" t="s">
        <v>999</v>
      </c>
      <c r="E198" s="200">
        <f t="shared" si="0"/>
        <v>0</v>
      </c>
      <c r="F198" s="213"/>
      <c r="G198" s="213"/>
      <c r="H198" s="213"/>
      <c r="I198" s="213"/>
      <c r="J198" s="214"/>
      <c r="K198" s="214"/>
      <c r="L198" s="214"/>
      <c r="M198" s="214"/>
      <c r="N198" s="221"/>
      <c r="O198" s="213"/>
      <c r="P198" s="213"/>
      <c r="Q198" s="213"/>
      <c r="R198" s="215"/>
      <c r="S198" s="213"/>
      <c r="T198" s="213"/>
      <c r="U198" s="213"/>
      <c r="V198" s="213"/>
      <c r="W198" s="213"/>
      <c r="X198" s="205"/>
      <c r="Y198" s="205"/>
      <c r="Z198" s="205"/>
      <c r="AA198" s="205"/>
      <c r="AB198" s="205"/>
      <c r="AC198" s="205"/>
      <c r="AD198" s="205"/>
      <c r="AE198" s="205"/>
      <c r="AF198" s="205"/>
      <c r="AG198" s="205"/>
      <c r="AH198" s="205"/>
      <c r="AI198" s="205"/>
      <c r="AJ198" s="205"/>
    </row>
    <row r="199" spans="1:36" ht="18.75" customHeight="1">
      <c r="A199" s="42" t="s">
        <v>997</v>
      </c>
      <c r="B199" s="59" t="s">
        <v>440</v>
      </c>
      <c r="C199" s="111" t="s">
        <v>433</v>
      </c>
      <c r="D199" s="61" t="s">
        <v>1000</v>
      </c>
      <c r="E199" s="200">
        <f t="shared" si="0"/>
        <v>0</v>
      </c>
      <c r="F199" s="213"/>
      <c r="G199" s="213"/>
      <c r="H199" s="213"/>
      <c r="I199" s="213"/>
      <c r="J199" s="214"/>
      <c r="K199" s="214"/>
      <c r="L199" s="214"/>
      <c r="M199" s="214"/>
      <c r="N199" s="221"/>
      <c r="O199" s="213"/>
      <c r="P199" s="213"/>
      <c r="Q199" s="213"/>
      <c r="R199" s="215"/>
      <c r="S199" s="213"/>
      <c r="T199" s="213"/>
      <c r="U199" s="213"/>
      <c r="V199" s="213"/>
      <c r="W199" s="213"/>
      <c r="X199" s="205"/>
      <c r="Y199" s="205"/>
      <c r="Z199" s="205"/>
      <c r="AA199" s="205"/>
      <c r="AB199" s="205"/>
      <c r="AC199" s="205"/>
      <c r="AD199" s="205"/>
      <c r="AE199" s="205"/>
      <c r="AF199" s="205"/>
      <c r="AG199" s="205"/>
      <c r="AH199" s="205"/>
      <c r="AI199" s="205"/>
      <c r="AJ199" s="205"/>
    </row>
    <row r="200" spans="1:36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213"/>
      <c r="G200" s="213"/>
      <c r="H200" s="213"/>
      <c r="I200" s="213"/>
      <c r="J200" s="214"/>
      <c r="K200" s="214"/>
      <c r="L200" s="214"/>
      <c r="M200" s="214"/>
      <c r="N200" s="221"/>
      <c r="O200" s="213"/>
      <c r="P200" s="213"/>
      <c r="Q200" s="213"/>
      <c r="R200" s="215"/>
      <c r="S200" s="213"/>
      <c r="T200" s="213"/>
      <c r="U200" s="213"/>
      <c r="V200" s="213"/>
      <c r="W200" s="213"/>
      <c r="X200" s="205"/>
      <c r="Y200" s="205"/>
      <c r="Z200" s="205"/>
      <c r="AA200" s="205"/>
      <c r="AB200" s="205"/>
      <c r="AC200" s="205"/>
      <c r="AD200" s="205"/>
      <c r="AE200" s="205"/>
      <c r="AF200" s="205"/>
      <c r="AG200" s="205"/>
      <c r="AH200" s="205"/>
      <c r="AI200" s="205"/>
      <c r="AJ200" s="205"/>
    </row>
    <row r="201" spans="1:36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213"/>
      <c r="G201" s="213"/>
      <c r="H201" s="213"/>
      <c r="I201" s="213"/>
      <c r="J201" s="214"/>
      <c r="K201" s="214"/>
      <c r="L201" s="214"/>
      <c r="M201" s="214"/>
      <c r="N201" s="213"/>
      <c r="O201" s="213"/>
      <c r="P201" s="213"/>
      <c r="Q201" s="213"/>
      <c r="R201" s="215"/>
      <c r="S201" s="213"/>
      <c r="T201" s="213"/>
      <c r="U201" s="213"/>
      <c r="V201" s="213"/>
      <c r="W201" s="213"/>
      <c r="X201" s="205"/>
      <c r="Y201" s="205"/>
      <c r="Z201" s="205"/>
      <c r="AA201" s="205"/>
      <c r="AB201" s="205"/>
      <c r="AC201" s="205"/>
      <c r="AD201" s="205"/>
      <c r="AE201" s="205"/>
      <c r="AF201" s="205"/>
      <c r="AG201" s="205"/>
      <c r="AH201" s="205"/>
      <c r="AI201" s="205"/>
      <c r="AJ201" s="205"/>
    </row>
    <row r="202" spans="1:36" ht="18.75" customHeight="1">
      <c r="A202" s="42"/>
      <c r="B202" s="59" t="s">
        <v>449</v>
      </c>
      <c r="C202" s="111" t="s">
        <v>450</v>
      </c>
      <c r="D202" s="61" t="s">
        <v>1001</v>
      </c>
      <c r="E202" s="200">
        <f t="shared" si="0"/>
        <v>0</v>
      </c>
      <c r="F202" s="213"/>
      <c r="G202" s="213"/>
      <c r="H202" s="213"/>
      <c r="I202" s="213"/>
      <c r="J202" s="214"/>
      <c r="K202" s="214"/>
      <c r="L202" s="214"/>
      <c r="M202" s="214"/>
      <c r="N202" s="213"/>
      <c r="O202" s="213"/>
      <c r="P202" s="213"/>
      <c r="Q202" s="213"/>
      <c r="R202" s="215"/>
      <c r="S202" s="213"/>
      <c r="T202" s="213"/>
      <c r="U202" s="213"/>
      <c r="V202" s="213"/>
      <c r="W202" s="213"/>
      <c r="X202" s="205"/>
      <c r="Y202" s="205"/>
      <c r="Z202" s="205"/>
      <c r="AA202" s="205"/>
      <c r="AB202" s="205"/>
      <c r="AC202" s="205"/>
      <c r="AD202" s="205"/>
      <c r="AE202" s="205"/>
      <c r="AF202" s="205"/>
      <c r="AG202" s="205"/>
      <c r="AH202" s="205"/>
      <c r="AI202" s="205"/>
      <c r="AJ202" s="205"/>
    </row>
    <row r="203" spans="1:36" ht="18.75" customHeight="1">
      <c r="A203" s="42"/>
      <c r="B203" s="59" t="s">
        <v>449</v>
      </c>
      <c r="C203" s="111" t="s">
        <v>431</v>
      </c>
      <c r="D203" s="61" t="s">
        <v>1002</v>
      </c>
      <c r="E203" s="200">
        <f t="shared" si="0"/>
        <v>0</v>
      </c>
      <c r="F203" s="213"/>
      <c r="G203" s="213"/>
      <c r="H203" s="213"/>
      <c r="I203" s="213"/>
      <c r="J203" s="214"/>
      <c r="K203" s="214"/>
      <c r="L203" s="214"/>
      <c r="M203" s="214"/>
      <c r="N203" s="213"/>
      <c r="O203" s="213"/>
      <c r="P203" s="213"/>
      <c r="Q203" s="213"/>
      <c r="R203" s="215"/>
      <c r="S203" s="213"/>
      <c r="T203" s="213"/>
      <c r="U203" s="213"/>
      <c r="V203" s="213"/>
      <c r="W203" s="213"/>
      <c r="X203" s="205"/>
      <c r="Y203" s="205"/>
      <c r="Z203" s="205"/>
      <c r="AA203" s="205"/>
      <c r="AB203" s="205"/>
      <c r="AC203" s="205"/>
      <c r="AD203" s="205"/>
      <c r="AE203" s="205"/>
      <c r="AF203" s="205"/>
      <c r="AG203" s="205"/>
      <c r="AH203" s="205"/>
      <c r="AI203" s="205"/>
      <c r="AJ203" s="205"/>
    </row>
    <row r="204" spans="1:36" ht="18.75" customHeight="1">
      <c r="A204" s="42"/>
      <c r="B204" s="59" t="s">
        <v>453</v>
      </c>
      <c r="C204" s="111" t="s">
        <v>433</v>
      </c>
      <c r="D204" s="61" t="s">
        <v>1003</v>
      </c>
      <c r="E204" s="200">
        <f t="shared" si="0"/>
        <v>0</v>
      </c>
      <c r="F204" s="213"/>
      <c r="G204" s="213"/>
      <c r="H204" s="213"/>
      <c r="I204" s="213"/>
      <c r="J204" s="214"/>
      <c r="K204" s="214"/>
      <c r="L204" s="214"/>
      <c r="M204" s="214"/>
      <c r="N204" s="213"/>
      <c r="O204" s="213"/>
      <c r="P204" s="213"/>
      <c r="Q204" s="213"/>
      <c r="R204" s="215"/>
      <c r="S204" s="213"/>
      <c r="T204" s="213"/>
      <c r="U204" s="213"/>
      <c r="V204" s="213"/>
      <c r="W204" s="213"/>
      <c r="X204" s="205"/>
      <c r="Y204" s="205"/>
      <c r="Z204" s="205"/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</row>
    <row r="205" spans="1:36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213"/>
      <c r="G205" s="213"/>
      <c r="H205" s="213"/>
      <c r="I205" s="213"/>
      <c r="J205" s="214"/>
      <c r="K205" s="214"/>
      <c r="L205" s="214"/>
      <c r="M205" s="214"/>
      <c r="N205" s="213"/>
      <c r="O205" s="213"/>
      <c r="P205" s="213"/>
      <c r="Q205" s="213"/>
      <c r="R205" s="215"/>
      <c r="S205" s="213"/>
      <c r="T205" s="213"/>
      <c r="U205" s="213"/>
      <c r="V205" s="213"/>
      <c r="W205" s="213"/>
      <c r="X205" s="205"/>
      <c r="Y205" s="205"/>
      <c r="Z205" s="205"/>
      <c r="AA205" s="205"/>
      <c r="AB205" s="205"/>
      <c r="AC205" s="205"/>
      <c r="AD205" s="205"/>
      <c r="AE205" s="205"/>
      <c r="AF205" s="205"/>
      <c r="AG205" s="205"/>
      <c r="AH205" s="205"/>
      <c r="AI205" s="205"/>
      <c r="AJ205" s="205"/>
    </row>
    <row r="206" spans="1:36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213"/>
      <c r="G206" s="213"/>
      <c r="H206" s="213"/>
      <c r="I206" s="213"/>
      <c r="J206" s="214"/>
      <c r="K206" s="214"/>
      <c r="L206" s="214"/>
      <c r="M206" s="214"/>
      <c r="N206" s="213"/>
      <c r="O206" s="213"/>
      <c r="P206" s="213"/>
      <c r="Q206" s="213"/>
      <c r="R206" s="215"/>
      <c r="S206" s="213"/>
      <c r="T206" s="213"/>
      <c r="U206" s="213"/>
      <c r="V206" s="213"/>
      <c r="W206" s="213"/>
      <c r="X206" s="205"/>
      <c r="Y206" s="205"/>
      <c r="Z206" s="205"/>
      <c r="AA206" s="205"/>
      <c r="AB206" s="205"/>
      <c r="AC206" s="205"/>
      <c r="AD206" s="205"/>
      <c r="AE206" s="205"/>
      <c r="AF206" s="205"/>
      <c r="AG206" s="205"/>
      <c r="AH206" s="205"/>
      <c r="AI206" s="205"/>
      <c r="AJ206" s="205"/>
    </row>
    <row r="207" spans="1:36" ht="18.75" customHeight="1">
      <c r="A207" s="42"/>
      <c r="B207" s="59" t="s">
        <v>461</v>
      </c>
      <c r="C207" s="111" t="s">
        <v>431</v>
      </c>
      <c r="D207" s="61" t="s">
        <v>1004</v>
      </c>
      <c r="E207" s="200">
        <f t="shared" si="0"/>
        <v>0</v>
      </c>
      <c r="F207" s="213"/>
      <c r="G207" s="213"/>
      <c r="H207" s="213"/>
      <c r="I207" s="213"/>
      <c r="J207" s="214"/>
      <c r="K207" s="214"/>
      <c r="L207" s="214"/>
      <c r="M207" s="214"/>
      <c r="N207" s="221"/>
      <c r="O207" s="213"/>
      <c r="P207" s="213"/>
      <c r="Q207" s="213"/>
      <c r="R207" s="215"/>
      <c r="S207" s="213"/>
      <c r="T207" s="213"/>
      <c r="U207" s="213"/>
      <c r="V207" s="213"/>
      <c r="W207" s="213"/>
      <c r="X207" s="205"/>
      <c r="Y207" s="205"/>
      <c r="Z207" s="205"/>
      <c r="AA207" s="205"/>
      <c r="AB207" s="205"/>
      <c r="AC207" s="205"/>
      <c r="AD207" s="205"/>
      <c r="AE207" s="205"/>
      <c r="AF207" s="205"/>
      <c r="AG207" s="205"/>
      <c r="AH207" s="205"/>
      <c r="AI207" s="205"/>
      <c r="AJ207" s="205"/>
    </row>
    <row r="208" spans="1:36" ht="18.75" customHeight="1">
      <c r="A208" s="42"/>
      <c r="B208" s="59" t="s">
        <v>464</v>
      </c>
      <c r="C208" s="111" t="s">
        <v>433</v>
      </c>
      <c r="D208" s="61" t="s">
        <v>1005</v>
      </c>
      <c r="E208" s="200">
        <f t="shared" si="0"/>
        <v>0</v>
      </c>
      <c r="F208" s="213"/>
      <c r="G208" s="213"/>
      <c r="H208" s="213"/>
      <c r="I208" s="213"/>
      <c r="J208" s="214"/>
      <c r="K208" s="214"/>
      <c r="L208" s="214"/>
      <c r="M208" s="214"/>
      <c r="N208" s="221"/>
      <c r="O208" s="213"/>
      <c r="P208" s="213"/>
      <c r="Q208" s="213"/>
      <c r="R208" s="215"/>
      <c r="S208" s="213"/>
      <c r="T208" s="213"/>
      <c r="U208" s="213"/>
      <c r="V208" s="213"/>
      <c r="W208" s="213"/>
      <c r="X208" s="205"/>
      <c r="Y208" s="205"/>
      <c r="Z208" s="205"/>
      <c r="AA208" s="205"/>
      <c r="AB208" s="205"/>
      <c r="AC208" s="205"/>
      <c r="AD208" s="205"/>
      <c r="AE208" s="205"/>
      <c r="AF208" s="205"/>
      <c r="AG208" s="205"/>
      <c r="AH208" s="205"/>
      <c r="AI208" s="205"/>
      <c r="AJ208" s="205"/>
    </row>
    <row r="209" spans="1:36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213"/>
      <c r="G209" s="213"/>
      <c r="H209" s="213"/>
      <c r="I209" s="213"/>
      <c r="J209" s="214"/>
      <c r="K209" s="214"/>
      <c r="L209" s="214"/>
      <c r="M209" s="214"/>
      <c r="N209" s="221"/>
      <c r="O209" s="213"/>
      <c r="P209" s="213"/>
      <c r="Q209" s="213"/>
      <c r="R209" s="215"/>
      <c r="S209" s="213"/>
      <c r="T209" s="213"/>
      <c r="U209" s="213"/>
      <c r="V209" s="213"/>
      <c r="W209" s="213"/>
      <c r="X209" s="205"/>
      <c r="Y209" s="205"/>
      <c r="Z209" s="205"/>
      <c r="AA209" s="205"/>
      <c r="AB209" s="205"/>
      <c r="AC209" s="205"/>
      <c r="AD209" s="205"/>
      <c r="AE209" s="205"/>
      <c r="AF209" s="205"/>
      <c r="AG209" s="205"/>
      <c r="AH209" s="205"/>
      <c r="AI209" s="205"/>
      <c r="AJ209" s="205"/>
    </row>
    <row r="210" spans="1:36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213"/>
      <c r="G210" s="213"/>
      <c r="H210" s="213"/>
      <c r="I210" s="213"/>
      <c r="J210" s="214"/>
      <c r="K210" s="214"/>
      <c r="L210" s="214"/>
      <c r="M210" s="214"/>
      <c r="N210" s="221"/>
      <c r="O210" s="213"/>
      <c r="P210" s="213"/>
      <c r="Q210" s="213"/>
      <c r="R210" s="215"/>
      <c r="S210" s="213"/>
      <c r="T210" s="213"/>
      <c r="U210" s="213"/>
      <c r="V210" s="213"/>
      <c r="W210" s="213"/>
      <c r="X210" s="205"/>
      <c r="Y210" s="205"/>
      <c r="Z210" s="205"/>
      <c r="AA210" s="205"/>
      <c r="AB210" s="205"/>
      <c r="AC210" s="205"/>
      <c r="AD210" s="205"/>
      <c r="AE210" s="205"/>
      <c r="AF210" s="205"/>
      <c r="AG210" s="205"/>
      <c r="AH210" s="205"/>
      <c r="AI210" s="205"/>
      <c r="AJ210" s="205"/>
    </row>
    <row r="211" spans="1:36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213"/>
      <c r="G211" s="213"/>
      <c r="H211" s="213"/>
      <c r="I211" s="213"/>
      <c r="J211" s="214"/>
      <c r="K211" s="214"/>
      <c r="L211" s="214"/>
      <c r="M211" s="214"/>
      <c r="N211" s="221"/>
      <c r="O211" s="213"/>
      <c r="P211" s="213"/>
      <c r="Q211" s="213"/>
      <c r="R211" s="215"/>
      <c r="S211" s="213"/>
      <c r="T211" s="213"/>
      <c r="U211" s="213"/>
      <c r="V211" s="213"/>
      <c r="W211" s="213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</row>
    <row r="212" spans="1:36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213"/>
      <c r="G212" s="213"/>
      <c r="H212" s="213"/>
      <c r="I212" s="213"/>
      <c r="J212" s="214"/>
      <c r="K212" s="214"/>
      <c r="L212" s="214"/>
      <c r="M212" s="214"/>
      <c r="N212" s="221"/>
      <c r="O212" s="213"/>
      <c r="P212" s="213"/>
      <c r="Q212" s="213"/>
      <c r="R212" s="215"/>
      <c r="S212" s="213"/>
      <c r="T212" s="213"/>
      <c r="U212" s="213"/>
      <c r="V212" s="213"/>
      <c r="W212" s="213"/>
      <c r="X212" s="205"/>
      <c r="Y212" s="205"/>
      <c r="Z212" s="205"/>
      <c r="AA212" s="205"/>
      <c r="AB212" s="205"/>
      <c r="AC212" s="205"/>
      <c r="AD212" s="205"/>
      <c r="AE212" s="205"/>
      <c r="AF212" s="205"/>
      <c r="AG212" s="205"/>
      <c r="AH212" s="205"/>
      <c r="AI212" s="205"/>
      <c r="AJ212" s="205"/>
    </row>
    <row r="213" spans="1:36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213"/>
      <c r="G213" s="213"/>
      <c r="H213" s="213"/>
      <c r="I213" s="213"/>
      <c r="J213" s="214"/>
      <c r="K213" s="214"/>
      <c r="L213" s="214"/>
      <c r="M213" s="214"/>
      <c r="N213" s="221"/>
      <c r="O213" s="213"/>
      <c r="P213" s="213"/>
      <c r="Q213" s="213"/>
      <c r="R213" s="215"/>
      <c r="S213" s="213"/>
      <c r="T213" s="213"/>
      <c r="U213" s="213"/>
      <c r="V213" s="213"/>
      <c r="W213" s="213"/>
      <c r="X213" s="205"/>
      <c r="Y213" s="205"/>
      <c r="Z213" s="205"/>
      <c r="AA213" s="205"/>
      <c r="AB213" s="205"/>
      <c r="AC213" s="205"/>
      <c r="AD213" s="205"/>
      <c r="AE213" s="205"/>
      <c r="AF213" s="205"/>
      <c r="AG213" s="205"/>
      <c r="AH213" s="205"/>
      <c r="AI213" s="205"/>
      <c r="AJ213" s="205"/>
    </row>
    <row r="214" spans="1:36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213"/>
      <c r="G214" s="213"/>
      <c r="H214" s="213"/>
      <c r="I214" s="213"/>
      <c r="J214" s="214"/>
      <c r="K214" s="214"/>
      <c r="L214" s="214"/>
      <c r="M214" s="214"/>
      <c r="N214" s="221"/>
      <c r="O214" s="213"/>
      <c r="P214" s="213"/>
      <c r="Q214" s="213"/>
      <c r="R214" s="215"/>
      <c r="S214" s="213"/>
      <c r="T214" s="213"/>
      <c r="U214" s="213"/>
      <c r="V214" s="213"/>
      <c r="W214" s="213"/>
      <c r="X214" s="205"/>
      <c r="Y214" s="205"/>
      <c r="Z214" s="205"/>
      <c r="AA214" s="205"/>
      <c r="AB214" s="205"/>
      <c r="AC214" s="205"/>
      <c r="AD214" s="205"/>
      <c r="AE214" s="205"/>
      <c r="AF214" s="205"/>
      <c r="AG214" s="205"/>
      <c r="AH214" s="205"/>
      <c r="AI214" s="205"/>
      <c r="AJ214" s="205"/>
    </row>
    <row r="215" spans="1:36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213"/>
      <c r="G215" s="213"/>
      <c r="H215" s="213"/>
      <c r="I215" s="213"/>
      <c r="J215" s="214"/>
      <c r="K215" s="214"/>
      <c r="L215" s="214"/>
      <c r="M215" s="214"/>
      <c r="N215" s="221"/>
      <c r="O215" s="213"/>
      <c r="P215" s="213"/>
      <c r="Q215" s="213"/>
      <c r="R215" s="215"/>
      <c r="S215" s="213"/>
      <c r="T215" s="213"/>
      <c r="U215" s="213"/>
      <c r="V215" s="213"/>
      <c r="W215" s="213"/>
      <c r="X215" s="205"/>
      <c r="Y215" s="205"/>
      <c r="Z215" s="205"/>
      <c r="AA215" s="205"/>
      <c r="AB215" s="205"/>
      <c r="AC215" s="205"/>
      <c r="AD215" s="205"/>
      <c r="AE215" s="205"/>
      <c r="AF215" s="205"/>
      <c r="AG215" s="205"/>
      <c r="AH215" s="205"/>
      <c r="AI215" s="205"/>
      <c r="AJ215" s="205"/>
    </row>
    <row r="216" spans="1:36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213"/>
      <c r="G216" s="213"/>
      <c r="H216" s="213"/>
      <c r="I216" s="213"/>
      <c r="J216" s="214"/>
      <c r="K216" s="214"/>
      <c r="L216" s="214"/>
      <c r="M216" s="214"/>
      <c r="N216" s="221"/>
      <c r="O216" s="213"/>
      <c r="P216" s="213"/>
      <c r="Q216" s="213"/>
      <c r="R216" s="215"/>
      <c r="S216" s="213"/>
      <c r="T216" s="213"/>
      <c r="U216" s="213"/>
      <c r="V216" s="213"/>
      <c r="W216" s="213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</row>
    <row r="217" spans="1:36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213"/>
      <c r="G217" s="213"/>
      <c r="H217" s="213"/>
      <c r="I217" s="213"/>
      <c r="J217" s="214"/>
      <c r="K217" s="214"/>
      <c r="L217" s="214"/>
      <c r="M217" s="214"/>
      <c r="N217" s="221"/>
      <c r="O217" s="213"/>
      <c r="P217" s="213"/>
      <c r="Q217" s="213"/>
      <c r="R217" s="215"/>
      <c r="S217" s="213"/>
      <c r="T217" s="213"/>
      <c r="U217" s="213"/>
      <c r="V217" s="213"/>
      <c r="W217" s="213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</row>
    <row r="218" spans="1:36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213"/>
      <c r="G218" s="213"/>
      <c r="H218" s="213"/>
      <c r="I218" s="213"/>
      <c r="J218" s="214"/>
      <c r="K218" s="214"/>
      <c r="L218" s="214"/>
      <c r="M218" s="214"/>
      <c r="N218" s="221"/>
      <c r="O218" s="213"/>
      <c r="P218" s="213"/>
      <c r="Q218" s="213"/>
      <c r="R218" s="215"/>
      <c r="S218" s="213"/>
      <c r="T218" s="213"/>
      <c r="U218" s="213"/>
      <c r="V218" s="213"/>
      <c r="W218" s="213"/>
      <c r="X218" s="205"/>
      <c r="Y218" s="205"/>
      <c r="Z218" s="205"/>
      <c r="AA218" s="205"/>
      <c r="AB218" s="205"/>
      <c r="AC218" s="205"/>
      <c r="AD218" s="205"/>
      <c r="AE218" s="205"/>
      <c r="AF218" s="205"/>
      <c r="AG218" s="205"/>
      <c r="AH218" s="205"/>
      <c r="AI218" s="205"/>
      <c r="AJ218" s="205"/>
    </row>
    <row r="219" spans="1:36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213"/>
      <c r="G219" s="213"/>
      <c r="H219" s="213"/>
      <c r="I219" s="213"/>
      <c r="J219" s="214"/>
      <c r="K219" s="214"/>
      <c r="L219" s="214"/>
      <c r="M219" s="214"/>
      <c r="N219" s="221"/>
      <c r="O219" s="213"/>
      <c r="P219" s="213"/>
      <c r="Q219" s="213"/>
      <c r="R219" s="215"/>
      <c r="S219" s="213"/>
      <c r="T219" s="213"/>
      <c r="U219" s="213"/>
      <c r="V219" s="213"/>
      <c r="W219" s="213"/>
      <c r="X219" s="205"/>
      <c r="Y219" s="205"/>
      <c r="Z219" s="205"/>
      <c r="AA219" s="205"/>
      <c r="AB219" s="205"/>
      <c r="AC219" s="205"/>
      <c r="AD219" s="205"/>
      <c r="AE219" s="205"/>
      <c r="AF219" s="205"/>
      <c r="AG219" s="205"/>
      <c r="AH219" s="205"/>
      <c r="AI219" s="205"/>
      <c r="AJ219" s="205"/>
    </row>
    <row r="220" spans="1:36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213"/>
      <c r="G220" s="213"/>
      <c r="H220" s="213"/>
      <c r="I220" s="213"/>
      <c r="J220" s="214"/>
      <c r="K220" s="214"/>
      <c r="L220" s="214"/>
      <c r="M220" s="214"/>
      <c r="N220" s="221"/>
      <c r="O220" s="213"/>
      <c r="P220" s="213"/>
      <c r="Q220" s="213"/>
      <c r="R220" s="215"/>
      <c r="S220" s="213"/>
      <c r="T220" s="213"/>
      <c r="U220" s="213"/>
      <c r="V220" s="213"/>
      <c r="W220" s="213"/>
      <c r="X220" s="205"/>
      <c r="Y220" s="205"/>
      <c r="Z220" s="205"/>
      <c r="AA220" s="205"/>
      <c r="AB220" s="205"/>
      <c r="AC220" s="205"/>
      <c r="AD220" s="205"/>
      <c r="AE220" s="205"/>
      <c r="AF220" s="205"/>
      <c r="AG220" s="205"/>
      <c r="AH220" s="205"/>
      <c r="AI220" s="205"/>
      <c r="AJ220" s="205"/>
    </row>
    <row r="221" spans="1:36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213"/>
      <c r="G221" s="213"/>
      <c r="H221" s="213"/>
      <c r="I221" s="213"/>
      <c r="J221" s="214"/>
      <c r="K221" s="214"/>
      <c r="L221" s="214"/>
      <c r="M221" s="214"/>
      <c r="N221" s="221"/>
      <c r="O221" s="213"/>
      <c r="P221" s="213"/>
      <c r="Q221" s="213"/>
      <c r="R221" s="215"/>
      <c r="S221" s="213"/>
      <c r="T221" s="213"/>
      <c r="U221" s="213"/>
      <c r="V221" s="213"/>
      <c r="W221" s="213"/>
      <c r="X221" s="205"/>
      <c r="Y221" s="205"/>
      <c r="Z221" s="205"/>
      <c r="AA221" s="205"/>
      <c r="AB221" s="205"/>
      <c r="AC221" s="205"/>
      <c r="AD221" s="205"/>
      <c r="AE221" s="205"/>
      <c r="AF221" s="205"/>
      <c r="AG221" s="205"/>
      <c r="AH221" s="205"/>
      <c r="AI221" s="205"/>
      <c r="AJ221" s="205"/>
    </row>
    <row r="222" spans="1:36" ht="18.75" customHeight="1">
      <c r="A222" s="118" t="s">
        <v>1007</v>
      </c>
      <c r="B222" s="59" t="s">
        <v>502</v>
      </c>
      <c r="C222" s="113" t="s">
        <v>503</v>
      </c>
      <c r="D222" s="61" t="s">
        <v>1008</v>
      </c>
      <c r="E222" s="200">
        <f t="shared" si="0"/>
        <v>0</v>
      </c>
      <c r="F222" s="213"/>
      <c r="G222" s="213"/>
      <c r="H222" s="213"/>
      <c r="I222" s="213"/>
      <c r="J222" s="214"/>
      <c r="K222" s="214"/>
      <c r="L222" s="214"/>
      <c r="M222" s="214"/>
      <c r="N222" s="221"/>
      <c r="O222" s="213"/>
      <c r="P222" s="213"/>
      <c r="Q222" s="213"/>
      <c r="R222" s="215"/>
      <c r="S222" s="213"/>
      <c r="T222" s="213"/>
      <c r="U222" s="213"/>
      <c r="V222" s="213"/>
      <c r="W222" s="213"/>
      <c r="X222" s="205"/>
      <c r="Y222" s="205"/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05"/>
    </row>
    <row r="223" spans="1:36" ht="18.75" customHeight="1">
      <c r="A223" s="118" t="s">
        <v>1009</v>
      </c>
      <c r="B223" s="59" t="s">
        <v>506</v>
      </c>
      <c r="C223" s="113" t="s">
        <v>507</v>
      </c>
      <c r="D223" s="61" t="s">
        <v>1010</v>
      </c>
      <c r="E223" s="200">
        <f t="shared" si="0"/>
        <v>0</v>
      </c>
      <c r="F223" s="213"/>
      <c r="G223" s="213"/>
      <c r="H223" s="213"/>
      <c r="I223" s="213"/>
      <c r="J223" s="214"/>
      <c r="K223" s="214"/>
      <c r="L223" s="214"/>
      <c r="M223" s="214"/>
      <c r="N223" s="221"/>
      <c r="O223" s="213"/>
      <c r="P223" s="213"/>
      <c r="Q223" s="213"/>
      <c r="R223" s="215"/>
      <c r="S223" s="213"/>
      <c r="T223" s="213"/>
      <c r="U223" s="213"/>
      <c r="V223" s="213"/>
      <c r="W223" s="213"/>
      <c r="X223" s="205"/>
      <c r="Y223" s="205"/>
      <c r="Z223" s="205"/>
      <c r="AA223" s="205"/>
      <c r="AB223" s="205"/>
      <c r="AC223" s="205"/>
      <c r="AD223" s="205"/>
      <c r="AE223" s="205"/>
      <c r="AF223" s="205"/>
      <c r="AG223" s="205"/>
      <c r="AH223" s="205"/>
      <c r="AI223" s="205"/>
      <c r="AJ223" s="205"/>
    </row>
    <row r="224" spans="1:36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213"/>
      <c r="G224" s="213"/>
      <c r="H224" s="213"/>
      <c r="I224" s="213"/>
      <c r="J224" s="214"/>
      <c r="K224" s="214"/>
      <c r="L224" s="214"/>
      <c r="M224" s="214"/>
      <c r="N224" s="221"/>
      <c r="O224" s="213"/>
      <c r="P224" s="213"/>
      <c r="Q224" s="213"/>
      <c r="R224" s="215"/>
      <c r="S224" s="213"/>
      <c r="T224" s="213"/>
      <c r="U224" s="213"/>
      <c r="V224" s="213"/>
      <c r="W224" s="213"/>
      <c r="X224" s="205"/>
      <c r="Y224" s="205"/>
      <c r="Z224" s="205"/>
      <c r="AA224" s="205"/>
      <c r="AB224" s="205"/>
      <c r="AC224" s="205"/>
      <c r="AD224" s="205"/>
      <c r="AE224" s="205"/>
      <c r="AF224" s="205"/>
      <c r="AG224" s="205"/>
      <c r="AH224" s="205"/>
      <c r="AI224" s="205"/>
      <c r="AJ224" s="205"/>
    </row>
    <row r="225" spans="1:36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213"/>
      <c r="G225" s="213"/>
      <c r="H225" s="213"/>
      <c r="I225" s="213"/>
      <c r="J225" s="214"/>
      <c r="K225" s="214"/>
      <c r="L225" s="214"/>
      <c r="M225" s="214"/>
      <c r="N225" s="221"/>
      <c r="O225" s="213"/>
      <c r="P225" s="213"/>
      <c r="Q225" s="213"/>
      <c r="R225" s="215"/>
      <c r="S225" s="213"/>
      <c r="T225" s="213"/>
      <c r="U225" s="213"/>
      <c r="V225" s="213"/>
      <c r="W225" s="213"/>
      <c r="X225" s="205"/>
      <c r="Y225" s="205"/>
      <c r="Z225" s="205"/>
      <c r="AA225" s="205"/>
      <c r="AB225" s="205"/>
      <c r="AC225" s="205"/>
      <c r="AD225" s="205"/>
      <c r="AE225" s="205"/>
      <c r="AF225" s="205"/>
      <c r="AG225" s="205"/>
      <c r="AH225" s="205"/>
      <c r="AI225" s="205"/>
      <c r="AJ225" s="205"/>
    </row>
    <row r="226" spans="1:36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213"/>
      <c r="G226" s="213"/>
      <c r="H226" s="213"/>
      <c r="I226" s="213"/>
      <c r="J226" s="214"/>
      <c r="K226" s="214"/>
      <c r="L226" s="214"/>
      <c r="M226" s="214"/>
      <c r="N226" s="221"/>
      <c r="O226" s="213"/>
      <c r="P226" s="213"/>
      <c r="Q226" s="213"/>
      <c r="R226" s="215"/>
      <c r="S226" s="213"/>
      <c r="T226" s="213"/>
      <c r="U226" s="213"/>
      <c r="V226" s="213"/>
      <c r="W226" s="213"/>
      <c r="X226" s="205"/>
      <c r="Y226" s="205"/>
      <c r="Z226" s="205"/>
      <c r="AA226" s="205"/>
      <c r="AB226" s="205"/>
      <c r="AC226" s="205"/>
      <c r="AD226" s="205"/>
      <c r="AE226" s="205"/>
      <c r="AF226" s="205"/>
      <c r="AG226" s="205"/>
      <c r="AH226" s="205"/>
      <c r="AI226" s="205"/>
      <c r="AJ226" s="205"/>
    </row>
    <row r="227" spans="1:36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213"/>
      <c r="G227" s="213"/>
      <c r="H227" s="213"/>
      <c r="I227" s="213"/>
      <c r="J227" s="214"/>
      <c r="K227" s="214"/>
      <c r="L227" s="214"/>
      <c r="M227" s="214"/>
      <c r="N227" s="221"/>
      <c r="O227" s="213"/>
      <c r="P227" s="213"/>
      <c r="Q227" s="213"/>
      <c r="R227" s="215"/>
      <c r="S227" s="213"/>
      <c r="T227" s="213"/>
      <c r="U227" s="213"/>
      <c r="V227" s="213"/>
      <c r="W227" s="213"/>
      <c r="X227" s="205"/>
      <c r="Y227" s="205"/>
      <c r="Z227" s="205"/>
      <c r="AA227" s="205"/>
      <c r="AB227" s="205"/>
      <c r="AC227" s="205"/>
      <c r="AD227" s="205"/>
      <c r="AE227" s="205"/>
      <c r="AF227" s="205"/>
      <c r="AG227" s="205"/>
      <c r="AH227" s="205"/>
      <c r="AI227" s="205"/>
      <c r="AJ227" s="205"/>
    </row>
    <row r="228" spans="1:36" ht="18.75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213"/>
      <c r="G228" s="213"/>
      <c r="H228" s="213"/>
      <c r="I228" s="213"/>
      <c r="J228" s="214"/>
      <c r="K228" s="214"/>
      <c r="L228" s="214"/>
      <c r="M228" s="214"/>
      <c r="N228" s="221"/>
      <c r="O228" s="213"/>
      <c r="P228" s="213"/>
      <c r="Q228" s="213"/>
      <c r="R228" s="215"/>
      <c r="S228" s="213"/>
      <c r="T228" s="213"/>
      <c r="U228" s="213"/>
      <c r="V228" s="213"/>
      <c r="W228" s="213"/>
      <c r="X228" s="205"/>
      <c r="Y228" s="205"/>
      <c r="Z228" s="205"/>
      <c r="AA228" s="205"/>
      <c r="AB228" s="205"/>
      <c r="AC228" s="205"/>
      <c r="AD228" s="205"/>
      <c r="AE228" s="205"/>
      <c r="AF228" s="205"/>
      <c r="AG228" s="205"/>
      <c r="AH228" s="205"/>
      <c r="AI228" s="205"/>
      <c r="AJ228" s="205"/>
    </row>
    <row r="229" spans="1:36" ht="18.75" customHeight="1">
      <c r="A229" s="42"/>
      <c r="B229" s="59" t="s">
        <v>523</v>
      </c>
      <c r="C229" s="113" t="s">
        <v>524</v>
      </c>
      <c r="D229" s="61" t="s">
        <v>1012</v>
      </c>
      <c r="E229" s="200">
        <f t="shared" si="0"/>
        <v>0</v>
      </c>
      <c r="F229" s="213"/>
      <c r="G229" s="213"/>
      <c r="H229" s="213"/>
      <c r="I229" s="213"/>
      <c r="J229" s="214"/>
      <c r="K229" s="214"/>
      <c r="L229" s="214"/>
      <c r="M229" s="214"/>
      <c r="N229" s="221"/>
      <c r="O229" s="213"/>
      <c r="P229" s="213"/>
      <c r="Q229" s="213"/>
      <c r="R229" s="215"/>
      <c r="S229" s="213"/>
      <c r="T229" s="213"/>
      <c r="U229" s="213"/>
      <c r="V229" s="213"/>
      <c r="W229" s="213"/>
      <c r="X229" s="205"/>
      <c r="Y229" s="205"/>
      <c r="Z229" s="205"/>
      <c r="AA229" s="205"/>
      <c r="AB229" s="205"/>
      <c r="AC229" s="205"/>
      <c r="AD229" s="205"/>
      <c r="AE229" s="205"/>
      <c r="AF229" s="205"/>
      <c r="AG229" s="205"/>
      <c r="AH229" s="205"/>
      <c r="AI229" s="205"/>
      <c r="AJ229" s="205"/>
    </row>
    <row r="230" spans="1:36" ht="18.75" customHeight="1">
      <c r="A230" s="42"/>
      <c r="B230" s="59" t="s">
        <v>526</v>
      </c>
      <c r="C230" s="113" t="s">
        <v>527</v>
      </c>
      <c r="D230" s="61" t="s">
        <v>1013</v>
      </c>
      <c r="E230" s="200">
        <f t="shared" si="0"/>
        <v>0</v>
      </c>
      <c r="F230" s="213"/>
      <c r="G230" s="213"/>
      <c r="H230" s="213"/>
      <c r="I230" s="213"/>
      <c r="J230" s="214"/>
      <c r="K230" s="214"/>
      <c r="L230" s="214"/>
      <c r="M230" s="214"/>
      <c r="N230" s="221"/>
      <c r="O230" s="213"/>
      <c r="P230" s="213"/>
      <c r="Q230" s="213"/>
      <c r="R230" s="215"/>
      <c r="S230" s="213"/>
      <c r="T230" s="213"/>
      <c r="U230" s="213"/>
      <c r="V230" s="213"/>
      <c r="W230" s="213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5"/>
      <c r="AI230" s="205"/>
      <c r="AJ230" s="205"/>
    </row>
    <row r="231" spans="1:36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213"/>
      <c r="G231" s="213"/>
      <c r="H231" s="213"/>
      <c r="I231" s="213"/>
      <c r="J231" s="214"/>
      <c r="K231" s="214"/>
      <c r="L231" s="214"/>
      <c r="M231" s="214"/>
      <c r="N231" s="221"/>
      <c r="O231" s="213"/>
      <c r="P231" s="213"/>
      <c r="Q231" s="213"/>
      <c r="R231" s="215"/>
      <c r="S231" s="213"/>
      <c r="T231" s="213"/>
      <c r="U231" s="213"/>
      <c r="V231" s="213"/>
      <c r="W231" s="213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5"/>
      <c r="AI231" s="205"/>
      <c r="AJ231" s="205"/>
    </row>
    <row r="232" spans="1:36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213"/>
      <c r="G232" s="213"/>
      <c r="H232" s="213"/>
      <c r="I232" s="213"/>
      <c r="J232" s="214"/>
      <c r="K232" s="214"/>
      <c r="L232" s="214"/>
      <c r="M232" s="214"/>
      <c r="N232" s="221"/>
      <c r="O232" s="213"/>
      <c r="P232" s="213"/>
      <c r="Q232" s="213"/>
      <c r="R232" s="215"/>
      <c r="S232" s="213"/>
      <c r="T232" s="213"/>
      <c r="U232" s="213"/>
      <c r="V232" s="213"/>
      <c r="W232" s="213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5"/>
      <c r="AI232" s="205"/>
      <c r="AJ232" s="205"/>
    </row>
    <row r="233" spans="1:36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213"/>
      <c r="G233" s="213"/>
      <c r="H233" s="213"/>
      <c r="I233" s="213"/>
      <c r="J233" s="214"/>
      <c r="K233" s="214"/>
      <c r="L233" s="214"/>
      <c r="M233" s="214"/>
      <c r="N233" s="221"/>
      <c r="O233" s="213"/>
      <c r="P233" s="213"/>
      <c r="Q233" s="213"/>
      <c r="R233" s="215"/>
      <c r="S233" s="213"/>
      <c r="T233" s="213"/>
      <c r="U233" s="213"/>
      <c r="V233" s="213"/>
      <c r="W233" s="213"/>
      <c r="X233" s="205"/>
      <c r="Y233" s="205"/>
      <c r="Z233" s="205"/>
      <c r="AA233" s="205"/>
      <c r="AB233" s="205"/>
      <c r="AC233" s="205"/>
      <c r="AD233" s="205"/>
      <c r="AE233" s="205"/>
      <c r="AF233" s="205"/>
      <c r="AG233" s="205"/>
      <c r="AH233" s="205"/>
      <c r="AI233" s="205"/>
      <c r="AJ233" s="205"/>
    </row>
    <row r="234" spans="1:36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213"/>
      <c r="G234" s="213"/>
      <c r="H234" s="213"/>
      <c r="I234" s="213"/>
      <c r="J234" s="214"/>
      <c r="K234" s="214"/>
      <c r="L234" s="214"/>
      <c r="M234" s="214"/>
      <c r="N234" s="221"/>
      <c r="O234" s="213"/>
      <c r="P234" s="213"/>
      <c r="Q234" s="213"/>
      <c r="R234" s="215"/>
      <c r="S234" s="213"/>
      <c r="T234" s="213"/>
      <c r="U234" s="213"/>
      <c r="V234" s="213"/>
      <c r="W234" s="213"/>
      <c r="X234" s="205"/>
      <c r="Y234" s="205"/>
      <c r="Z234" s="205"/>
      <c r="AA234" s="205"/>
      <c r="AB234" s="205"/>
      <c r="AC234" s="205"/>
      <c r="AD234" s="205"/>
      <c r="AE234" s="205"/>
      <c r="AF234" s="205"/>
      <c r="AG234" s="205"/>
      <c r="AH234" s="205"/>
      <c r="AI234" s="205"/>
      <c r="AJ234" s="205"/>
    </row>
    <row r="235" spans="1:36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213"/>
      <c r="G235" s="213"/>
      <c r="H235" s="213"/>
      <c r="I235" s="213"/>
      <c r="J235" s="214"/>
      <c r="K235" s="214"/>
      <c r="L235" s="214"/>
      <c r="M235" s="214"/>
      <c r="N235" s="221"/>
      <c r="O235" s="213"/>
      <c r="P235" s="213"/>
      <c r="Q235" s="213"/>
      <c r="R235" s="215"/>
      <c r="S235" s="213"/>
      <c r="T235" s="213"/>
      <c r="U235" s="213"/>
      <c r="V235" s="213"/>
      <c r="W235" s="213"/>
      <c r="X235" s="205"/>
      <c r="Y235" s="205"/>
      <c r="Z235" s="205"/>
      <c r="AA235" s="205"/>
      <c r="AB235" s="205"/>
      <c r="AC235" s="205"/>
      <c r="AD235" s="205"/>
      <c r="AE235" s="205"/>
      <c r="AF235" s="205"/>
      <c r="AG235" s="205"/>
      <c r="AH235" s="205"/>
      <c r="AI235" s="205"/>
      <c r="AJ235" s="205"/>
    </row>
    <row r="236" spans="1:36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213"/>
      <c r="G236" s="213"/>
      <c r="H236" s="213"/>
      <c r="I236" s="213"/>
      <c r="J236" s="214"/>
      <c r="K236" s="214"/>
      <c r="L236" s="214"/>
      <c r="M236" s="214"/>
      <c r="N236" s="221"/>
      <c r="O236" s="213"/>
      <c r="P236" s="213"/>
      <c r="Q236" s="213"/>
      <c r="R236" s="215"/>
      <c r="S236" s="213"/>
      <c r="T236" s="213"/>
      <c r="U236" s="213"/>
      <c r="V236" s="213"/>
      <c r="W236" s="213"/>
      <c r="X236" s="205"/>
      <c r="Y236" s="205"/>
      <c r="Z236" s="205"/>
      <c r="AA236" s="205"/>
      <c r="AB236" s="205"/>
      <c r="AC236" s="205"/>
      <c r="AD236" s="205"/>
      <c r="AE236" s="205"/>
      <c r="AF236" s="205"/>
      <c r="AG236" s="205"/>
      <c r="AH236" s="205"/>
      <c r="AI236" s="205"/>
      <c r="AJ236" s="205"/>
    </row>
    <row r="237" spans="1:36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213"/>
      <c r="G237" s="213"/>
      <c r="H237" s="213"/>
      <c r="I237" s="213"/>
      <c r="J237" s="214"/>
      <c r="K237" s="214"/>
      <c r="L237" s="214"/>
      <c r="M237" s="214"/>
      <c r="N237" s="221"/>
      <c r="O237" s="213"/>
      <c r="P237" s="213"/>
      <c r="Q237" s="213"/>
      <c r="R237" s="215"/>
      <c r="S237" s="213"/>
      <c r="T237" s="213"/>
      <c r="U237" s="213"/>
      <c r="V237" s="213"/>
      <c r="W237" s="213"/>
      <c r="X237" s="205"/>
      <c r="Y237" s="205"/>
      <c r="Z237" s="205"/>
      <c r="AA237" s="205"/>
      <c r="AB237" s="205"/>
      <c r="AC237" s="205"/>
      <c r="AD237" s="205"/>
      <c r="AE237" s="205"/>
      <c r="AF237" s="205"/>
      <c r="AG237" s="205"/>
      <c r="AH237" s="205"/>
      <c r="AI237" s="205"/>
      <c r="AJ237" s="205"/>
    </row>
    <row r="238" spans="1:36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213"/>
      <c r="G238" s="213"/>
      <c r="H238" s="213"/>
      <c r="I238" s="213"/>
      <c r="J238" s="214"/>
      <c r="K238" s="214"/>
      <c r="L238" s="214"/>
      <c r="M238" s="214"/>
      <c r="N238" s="221"/>
      <c r="O238" s="213"/>
      <c r="P238" s="213"/>
      <c r="Q238" s="213"/>
      <c r="R238" s="215"/>
      <c r="S238" s="213"/>
      <c r="T238" s="213"/>
      <c r="U238" s="213"/>
      <c r="V238" s="213"/>
      <c r="W238" s="213"/>
      <c r="X238" s="205"/>
      <c r="Y238" s="205"/>
      <c r="Z238" s="205"/>
      <c r="AA238" s="205"/>
      <c r="AB238" s="205"/>
      <c r="AC238" s="205"/>
      <c r="AD238" s="205"/>
      <c r="AE238" s="205"/>
      <c r="AF238" s="205"/>
      <c r="AG238" s="205"/>
      <c r="AH238" s="205"/>
      <c r="AI238" s="205"/>
      <c r="AJ238" s="205"/>
    </row>
    <row r="239" spans="1:36" ht="18.75" customHeight="1">
      <c r="A239" s="42"/>
      <c r="B239" s="59" t="s">
        <v>551</v>
      </c>
      <c r="C239" s="113" t="s">
        <v>524</v>
      </c>
      <c r="D239" s="61" t="s">
        <v>1014</v>
      </c>
      <c r="E239" s="200">
        <f t="shared" si="0"/>
        <v>0</v>
      </c>
      <c r="F239" s="213"/>
      <c r="G239" s="213"/>
      <c r="H239" s="213"/>
      <c r="I239" s="213"/>
      <c r="J239" s="214"/>
      <c r="K239" s="214"/>
      <c r="L239" s="214"/>
      <c r="M239" s="214"/>
      <c r="N239" s="221"/>
      <c r="O239" s="213"/>
      <c r="P239" s="213"/>
      <c r="Q239" s="213"/>
      <c r="R239" s="215"/>
      <c r="S239" s="213"/>
      <c r="T239" s="213"/>
      <c r="U239" s="213"/>
      <c r="V239" s="213"/>
      <c r="W239" s="213"/>
      <c r="X239" s="205"/>
      <c r="Y239" s="205"/>
      <c r="Z239" s="205"/>
      <c r="AA239" s="205"/>
      <c r="AB239" s="205"/>
      <c r="AC239" s="205"/>
      <c r="AD239" s="205"/>
      <c r="AE239" s="205"/>
      <c r="AF239" s="205"/>
      <c r="AG239" s="205"/>
      <c r="AH239" s="205"/>
      <c r="AI239" s="205"/>
      <c r="AJ239" s="205"/>
    </row>
    <row r="240" spans="1:36" ht="18.75" customHeight="1">
      <c r="A240" s="42"/>
      <c r="B240" s="59" t="s">
        <v>553</v>
      </c>
      <c r="C240" s="113" t="s">
        <v>527</v>
      </c>
      <c r="D240" s="61" t="s">
        <v>1015</v>
      </c>
      <c r="E240" s="200">
        <f t="shared" si="0"/>
        <v>0</v>
      </c>
      <c r="F240" s="213"/>
      <c r="G240" s="213"/>
      <c r="H240" s="213"/>
      <c r="I240" s="213"/>
      <c r="J240" s="214"/>
      <c r="K240" s="214"/>
      <c r="L240" s="214"/>
      <c r="M240" s="214"/>
      <c r="N240" s="221"/>
      <c r="O240" s="213"/>
      <c r="P240" s="213"/>
      <c r="Q240" s="213"/>
      <c r="R240" s="215"/>
      <c r="S240" s="213"/>
      <c r="T240" s="213"/>
      <c r="U240" s="213"/>
      <c r="V240" s="213"/>
      <c r="W240" s="213"/>
      <c r="X240" s="205"/>
      <c r="Y240" s="205"/>
      <c r="Z240" s="205"/>
      <c r="AA240" s="205"/>
      <c r="AB240" s="205"/>
      <c r="AC240" s="205"/>
      <c r="AD240" s="205"/>
      <c r="AE240" s="205"/>
      <c r="AF240" s="205"/>
      <c r="AG240" s="205"/>
      <c r="AH240" s="205"/>
      <c r="AI240" s="205"/>
      <c r="AJ240" s="205"/>
    </row>
    <row r="241" spans="1:36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213"/>
      <c r="G241" s="213"/>
      <c r="H241" s="213"/>
      <c r="I241" s="213"/>
      <c r="J241" s="214"/>
      <c r="K241" s="214"/>
      <c r="L241" s="214"/>
      <c r="M241" s="214"/>
      <c r="N241" s="221"/>
      <c r="O241" s="213"/>
      <c r="P241" s="213"/>
      <c r="Q241" s="213"/>
      <c r="R241" s="215"/>
      <c r="S241" s="213"/>
      <c r="T241" s="213"/>
      <c r="U241" s="213"/>
      <c r="V241" s="213"/>
      <c r="W241" s="213"/>
      <c r="X241" s="205"/>
      <c r="Y241" s="205"/>
      <c r="Z241" s="205"/>
      <c r="AA241" s="205"/>
      <c r="AB241" s="205"/>
      <c r="AC241" s="205"/>
      <c r="AD241" s="205"/>
      <c r="AE241" s="205"/>
      <c r="AF241" s="205"/>
      <c r="AG241" s="205"/>
      <c r="AH241" s="205"/>
      <c r="AI241" s="205"/>
      <c r="AJ241" s="205"/>
    </row>
    <row r="242" spans="1:36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213"/>
      <c r="G242" s="213"/>
      <c r="H242" s="213"/>
      <c r="I242" s="213"/>
      <c r="J242" s="214"/>
      <c r="K242" s="214"/>
      <c r="L242" s="214"/>
      <c r="M242" s="214"/>
      <c r="N242" s="221"/>
      <c r="O242" s="213"/>
      <c r="P242" s="213"/>
      <c r="Q242" s="213"/>
      <c r="R242" s="215"/>
      <c r="S242" s="213"/>
      <c r="T242" s="213"/>
      <c r="U242" s="213"/>
      <c r="V242" s="213"/>
      <c r="W242" s="213"/>
      <c r="X242" s="205"/>
      <c r="Y242" s="205"/>
      <c r="Z242" s="205"/>
      <c r="AA242" s="205"/>
      <c r="AB242" s="205"/>
      <c r="AC242" s="205"/>
      <c r="AD242" s="205"/>
      <c r="AE242" s="205"/>
      <c r="AF242" s="205"/>
      <c r="AG242" s="205"/>
      <c r="AH242" s="205"/>
      <c r="AI242" s="205"/>
      <c r="AJ242" s="205"/>
    </row>
    <row r="243" spans="1:36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213"/>
      <c r="G243" s="213"/>
      <c r="H243" s="213"/>
      <c r="I243" s="213"/>
      <c r="J243" s="214"/>
      <c r="K243" s="214"/>
      <c r="L243" s="214"/>
      <c r="M243" s="214"/>
      <c r="N243" s="221"/>
      <c r="O243" s="213"/>
      <c r="P243" s="213"/>
      <c r="Q243" s="213"/>
      <c r="R243" s="215"/>
      <c r="S243" s="213"/>
      <c r="T243" s="213"/>
      <c r="U243" s="213"/>
      <c r="V243" s="213"/>
      <c r="W243" s="213"/>
      <c r="X243" s="205"/>
      <c r="Y243" s="205"/>
      <c r="Z243" s="205"/>
      <c r="AA243" s="205"/>
      <c r="AB243" s="205"/>
      <c r="AC243" s="205"/>
      <c r="AD243" s="205"/>
      <c r="AE243" s="205"/>
      <c r="AF243" s="205"/>
      <c r="AG243" s="205"/>
      <c r="AH243" s="205"/>
      <c r="AI243" s="205"/>
      <c r="AJ243" s="205"/>
    </row>
    <row r="244" spans="1:36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213"/>
      <c r="G244" s="213"/>
      <c r="H244" s="213"/>
      <c r="I244" s="213"/>
      <c r="J244" s="214"/>
      <c r="K244" s="214"/>
      <c r="L244" s="214"/>
      <c r="M244" s="214"/>
      <c r="N244" s="221"/>
      <c r="O244" s="213"/>
      <c r="P244" s="213"/>
      <c r="Q244" s="213"/>
      <c r="R244" s="215"/>
      <c r="S244" s="213"/>
      <c r="T244" s="213"/>
      <c r="U244" s="213"/>
      <c r="V244" s="213"/>
      <c r="W244" s="213"/>
      <c r="X244" s="205"/>
      <c r="Y244" s="205"/>
      <c r="Z244" s="205"/>
      <c r="AA244" s="205"/>
      <c r="AB244" s="205"/>
      <c r="AC244" s="205"/>
      <c r="AD244" s="205"/>
      <c r="AE244" s="205"/>
      <c r="AF244" s="205"/>
      <c r="AG244" s="205"/>
      <c r="AH244" s="205"/>
      <c r="AI244" s="205"/>
      <c r="AJ244" s="205"/>
    </row>
    <row r="245" spans="1:36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213"/>
      <c r="G245" s="213"/>
      <c r="H245" s="213"/>
      <c r="I245" s="213"/>
      <c r="J245" s="214"/>
      <c r="K245" s="214"/>
      <c r="L245" s="214"/>
      <c r="M245" s="214"/>
      <c r="N245" s="221"/>
      <c r="O245" s="213"/>
      <c r="P245" s="213"/>
      <c r="Q245" s="213"/>
      <c r="R245" s="215"/>
      <c r="S245" s="213"/>
      <c r="T245" s="213"/>
      <c r="U245" s="213"/>
      <c r="V245" s="213"/>
      <c r="W245" s="213"/>
      <c r="X245" s="205"/>
      <c r="Y245" s="205"/>
      <c r="Z245" s="205"/>
      <c r="AA245" s="205"/>
      <c r="AB245" s="205"/>
      <c r="AC245" s="205"/>
      <c r="AD245" s="205"/>
      <c r="AE245" s="205"/>
      <c r="AF245" s="205"/>
      <c r="AG245" s="205"/>
      <c r="AH245" s="205"/>
      <c r="AI245" s="205"/>
      <c r="AJ245" s="205"/>
    </row>
    <row r="246" spans="1:36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213"/>
      <c r="G246" s="213"/>
      <c r="H246" s="213"/>
      <c r="I246" s="213"/>
      <c r="J246" s="214"/>
      <c r="K246" s="214"/>
      <c r="L246" s="214"/>
      <c r="M246" s="214"/>
      <c r="N246" s="221"/>
      <c r="O246" s="213"/>
      <c r="P246" s="213"/>
      <c r="Q246" s="213"/>
      <c r="R246" s="215"/>
      <c r="S246" s="213"/>
      <c r="T246" s="213"/>
      <c r="U246" s="213"/>
      <c r="V246" s="213"/>
      <c r="W246" s="213"/>
      <c r="X246" s="205"/>
      <c r="Y246" s="205"/>
      <c r="Z246" s="205"/>
      <c r="AA246" s="205"/>
      <c r="AB246" s="205"/>
      <c r="AC246" s="205"/>
      <c r="AD246" s="205"/>
      <c r="AE246" s="205"/>
      <c r="AF246" s="205"/>
      <c r="AG246" s="205"/>
      <c r="AH246" s="205"/>
      <c r="AI246" s="205"/>
      <c r="AJ246" s="205"/>
    </row>
    <row r="247" spans="1:36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213"/>
      <c r="G247" s="213"/>
      <c r="H247" s="213"/>
      <c r="I247" s="213"/>
      <c r="J247" s="214"/>
      <c r="K247" s="214"/>
      <c r="L247" s="214"/>
      <c r="M247" s="214"/>
      <c r="N247" s="221"/>
      <c r="O247" s="213"/>
      <c r="P247" s="213"/>
      <c r="Q247" s="213"/>
      <c r="R247" s="215"/>
      <c r="S247" s="213"/>
      <c r="T247" s="213"/>
      <c r="U247" s="213"/>
      <c r="V247" s="213"/>
      <c r="W247" s="213"/>
      <c r="X247" s="205"/>
      <c r="Y247" s="205"/>
      <c r="Z247" s="205"/>
      <c r="AA247" s="205"/>
      <c r="AB247" s="205"/>
      <c r="AC247" s="205"/>
      <c r="AD247" s="205"/>
      <c r="AE247" s="205"/>
      <c r="AF247" s="205"/>
      <c r="AG247" s="205"/>
      <c r="AH247" s="205"/>
      <c r="AI247" s="205"/>
      <c r="AJ247" s="205"/>
    </row>
    <row r="248" spans="1:36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213"/>
      <c r="G248" s="213"/>
      <c r="H248" s="213"/>
      <c r="I248" s="213"/>
      <c r="J248" s="214"/>
      <c r="K248" s="214"/>
      <c r="L248" s="214"/>
      <c r="M248" s="214"/>
      <c r="N248" s="221"/>
      <c r="O248" s="213"/>
      <c r="P248" s="213"/>
      <c r="Q248" s="213"/>
      <c r="R248" s="215"/>
      <c r="S248" s="213"/>
      <c r="T248" s="213"/>
      <c r="U248" s="213"/>
      <c r="V248" s="213"/>
      <c r="W248" s="213"/>
      <c r="X248" s="205"/>
      <c r="Y248" s="205"/>
      <c r="Z248" s="205"/>
      <c r="AA248" s="205"/>
      <c r="AB248" s="205"/>
      <c r="AC248" s="205"/>
      <c r="AD248" s="205"/>
      <c r="AE248" s="205"/>
      <c r="AF248" s="205"/>
      <c r="AG248" s="205"/>
      <c r="AH248" s="205"/>
      <c r="AI248" s="205"/>
      <c r="AJ248" s="205"/>
    </row>
    <row r="249" spans="1:36" ht="18.75" customHeight="1">
      <c r="A249" s="42" t="s">
        <v>1020</v>
      </c>
      <c r="B249" s="59" t="s">
        <v>566</v>
      </c>
      <c r="C249" s="113" t="s">
        <v>567</v>
      </c>
      <c r="D249" s="61" t="s">
        <v>1021</v>
      </c>
      <c r="E249" s="200">
        <f t="shared" si="0"/>
        <v>0</v>
      </c>
      <c r="F249" s="213"/>
      <c r="G249" s="213"/>
      <c r="H249" s="213"/>
      <c r="I249" s="213"/>
      <c r="J249" s="214"/>
      <c r="K249" s="214"/>
      <c r="L249" s="214"/>
      <c r="M249" s="214"/>
      <c r="N249" s="221"/>
      <c r="O249" s="213"/>
      <c r="P249" s="213"/>
      <c r="Q249" s="213"/>
      <c r="R249" s="215"/>
      <c r="S249" s="213"/>
      <c r="T249" s="213"/>
      <c r="U249" s="213"/>
      <c r="V249" s="213"/>
      <c r="W249" s="213"/>
      <c r="X249" s="205"/>
      <c r="Y249" s="205"/>
      <c r="Z249" s="205"/>
      <c r="AA249" s="205"/>
      <c r="AB249" s="205"/>
      <c r="AC249" s="205"/>
      <c r="AD249" s="205"/>
      <c r="AE249" s="205"/>
      <c r="AF249" s="205"/>
      <c r="AG249" s="205"/>
      <c r="AH249" s="205"/>
      <c r="AI249" s="205"/>
      <c r="AJ249" s="205"/>
    </row>
    <row r="250" spans="1:36" ht="18.75" customHeight="1">
      <c r="A250" s="42" t="s">
        <v>1022</v>
      </c>
      <c r="B250" s="59" t="s">
        <v>569</v>
      </c>
      <c r="C250" s="113" t="s">
        <v>570</v>
      </c>
      <c r="D250" s="61" t="s">
        <v>1023</v>
      </c>
      <c r="E250" s="200">
        <f t="shared" si="0"/>
        <v>0</v>
      </c>
      <c r="F250" s="213"/>
      <c r="G250" s="213"/>
      <c r="H250" s="213"/>
      <c r="I250" s="213"/>
      <c r="J250" s="214"/>
      <c r="K250" s="214"/>
      <c r="L250" s="214"/>
      <c r="M250" s="214"/>
      <c r="N250" s="221"/>
      <c r="O250" s="213"/>
      <c r="P250" s="213"/>
      <c r="Q250" s="213"/>
      <c r="R250" s="215"/>
      <c r="S250" s="213"/>
      <c r="T250" s="213"/>
      <c r="U250" s="213"/>
      <c r="V250" s="213"/>
      <c r="W250" s="213"/>
      <c r="X250" s="205"/>
      <c r="Y250" s="205"/>
      <c r="Z250" s="205"/>
      <c r="AA250" s="205"/>
      <c r="AB250" s="205"/>
      <c r="AC250" s="205"/>
      <c r="AD250" s="205"/>
      <c r="AE250" s="205"/>
      <c r="AF250" s="205"/>
      <c r="AG250" s="205"/>
      <c r="AH250" s="205"/>
      <c r="AI250" s="205"/>
      <c r="AJ250" s="205"/>
    </row>
    <row r="251" spans="1:36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213"/>
      <c r="G251" s="213"/>
      <c r="H251" s="213"/>
      <c r="I251" s="213"/>
      <c r="J251" s="214"/>
      <c r="K251" s="214"/>
      <c r="L251" s="214"/>
      <c r="M251" s="214"/>
      <c r="N251" s="221"/>
      <c r="O251" s="213"/>
      <c r="P251" s="213"/>
      <c r="Q251" s="213"/>
      <c r="R251" s="215"/>
      <c r="S251" s="213"/>
      <c r="T251" s="213"/>
      <c r="U251" s="213"/>
      <c r="V251" s="213"/>
      <c r="W251" s="213"/>
      <c r="X251" s="205"/>
      <c r="Y251" s="205"/>
      <c r="Z251" s="205"/>
      <c r="AA251" s="205"/>
      <c r="AB251" s="205"/>
      <c r="AC251" s="205"/>
      <c r="AD251" s="205"/>
      <c r="AE251" s="205"/>
      <c r="AF251" s="205"/>
      <c r="AG251" s="205"/>
      <c r="AH251" s="205"/>
      <c r="AI251" s="205"/>
      <c r="AJ251" s="205"/>
    </row>
    <row r="252" spans="1:36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213"/>
      <c r="G252" s="213"/>
      <c r="H252" s="213"/>
      <c r="I252" s="213"/>
      <c r="J252" s="214"/>
      <c r="K252" s="214"/>
      <c r="L252" s="214"/>
      <c r="M252" s="214"/>
      <c r="N252" s="221"/>
      <c r="O252" s="213"/>
      <c r="P252" s="213"/>
      <c r="Q252" s="213"/>
      <c r="R252" s="215"/>
      <c r="S252" s="213"/>
      <c r="T252" s="213"/>
      <c r="U252" s="213"/>
      <c r="V252" s="213"/>
      <c r="W252" s="213"/>
      <c r="X252" s="205"/>
      <c r="Y252" s="205"/>
      <c r="Z252" s="205"/>
      <c r="AA252" s="205"/>
      <c r="AB252" s="205"/>
      <c r="AC252" s="205"/>
      <c r="AD252" s="205"/>
      <c r="AE252" s="205"/>
      <c r="AF252" s="205"/>
      <c r="AG252" s="205"/>
      <c r="AH252" s="205"/>
      <c r="AI252" s="205"/>
      <c r="AJ252" s="205"/>
    </row>
    <row r="253" spans="1:36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213"/>
      <c r="G253" s="213"/>
      <c r="H253" s="213"/>
      <c r="I253" s="213"/>
      <c r="J253" s="214"/>
      <c r="K253" s="214"/>
      <c r="L253" s="214"/>
      <c r="M253" s="214"/>
      <c r="N253" s="221"/>
      <c r="O253" s="213"/>
      <c r="P253" s="213"/>
      <c r="Q253" s="213"/>
      <c r="R253" s="215"/>
      <c r="S253" s="213"/>
      <c r="T253" s="213"/>
      <c r="U253" s="213"/>
      <c r="V253" s="213"/>
      <c r="W253" s="213"/>
      <c r="X253" s="205"/>
      <c r="Y253" s="205"/>
      <c r="Z253" s="205"/>
      <c r="AA253" s="205"/>
      <c r="AB253" s="205"/>
      <c r="AC253" s="205"/>
      <c r="AD253" s="205"/>
      <c r="AE253" s="205"/>
      <c r="AF253" s="205"/>
      <c r="AG253" s="205"/>
      <c r="AH253" s="205"/>
      <c r="AI253" s="205"/>
      <c r="AJ253" s="205"/>
    </row>
    <row r="254" spans="1:36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213"/>
      <c r="G254" s="213"/>
      <c r="H254" s="213"/>
      <c r="I254" s="213"/>
      <c r="J254" s="214"/>
      <c r="K254" s="214"/>
      <c r="L254" s="214"/>
      <c r="M254" s="214"/>
      <c r="N254" s="221"/>
      <c r="O254" s="213"/>
      <c r="P254" s="213"/>
      <c r="Q254" s="213"/>
      <c r="R254" s="215"/>
      <c r="S254" s="213"/>
      <c r="T254" s="213"/>
      <c r="U254" s="213"/>
      <c r="V254" s="213"/>
      <c r="W254" s="213"/>
      <c r="X254" s="205"/>
      <c r="Y254" s="205"/>
      <c r="Z254" s="205"/>
      <c r="AA254" s="205"/>
      <c r="AB254" s="205"/>
      <c r="AC254" s="205"/>
      <c r="AD254" s="205"/>
      <c r="AE254" s="205"/>
      <c r="AF254" s="205"/>
      <c r="AG254" s="205"/>
      <c r="AH254" s="205"/>
      <c r="AI254" s="205"/>
      <c r="AJ254" s="205"/>
    </row>
    <row r="255" spans="1:36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213"/>
      <c r="G255" s="213"/>
      <c r="H255" s="213"/>
      <c r="I255" s="213"/>
      <c r="J255" s="214"/>
      <c r="K255" s="214"/>
      <c r="L255" s="214"/>
      <c r="M255" s="214"/>
      <c r="N255" s="221"/>
      <c r="O255" s="213"/>
      <c r="P255" s="213"/>
      <c r="Q255" s="213"/>
      <c r="R255" s="215"/>
      <c r="S255" s="213"/>
      <c r="T255" s="213"/>
      <c r="U255" s="213"/>
      <c r="V255" s="213"/>
      <c r="W255" s="213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</row>
    <row r="256" spans="1:36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213"/>
      <c r="G256" s="213"/>
      <c r="H256" s="213"/>
      <c r="I256" s="213"/>
      <c r="J256" s="214"/>
      <c r="K256" s="214"/>
      <c r="L256" s="214"/>
      <c r="M256" s="214"/>
      <c r="N256" s="221"/>
      <c r="O256" s="213"/>
      <c r="P256" s="213"/>
      <c r="Q256" s="213"/>
      <c r="R256" s="215"/>
      <c r="S256" s="213"/>
      <c r="T256" s="213"/>
      <c r="U256" s="213"/>
      <c r="V256" s="213"/>
      <c r="W256" s="213"/>
      <c r="X256" s="205"/>
      <c r="Y256" s="205"/>
      <c r="Z256" s="205"/>
      <c r="AA256" s="205"/>
      <c r="AB256" s="205"/>
      <c r="AC256" s="205"/>
      <c r="AD256" s="205"/>
      <c r="AE256" s="205"/>
      <c r="AF256" s="205"/>
      <c r="AG256" s="205"/>
      <c r="AH256" s="205"/>
      <c r="AI256" s="205"/>
      <c r="AJ256" s="205"/>
    </row>
    <row r="257" spans="1:36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213"/>
      <c r="G257" s="213"/>
      <c r="H257" s="213"/>
      <c r="I257" s="213"/>
      <c r="J257" s="214"/>
      <c r="K257" s="214"/>
      <c r="L257" s="214"/>
      <c r="M257" s="214"/>
      <c r="N257" s="221"/>
      <c r="O257" s="213"/>
      <c r="P257" s="213"/>
      <c r="Q257" s="213"/>
      <c r="R257" s="215"/>
      <c r="S257" s="213"/>
      <c r="T257" s="213"/>
      <c r="U257" s="213"/>
      <c r="V257" s="213"/>
      <c r="W257" s="213"/>
      <c r="X257" s="205"/>
      <c r="Y257" s="205"/>
      <c r="Z257" s="205"/>
      <c r="AA257" s="205"/>
      <c r="AB257" s="205"/>
      <c r="AC257" s="205"/>
      <c r="AD257" s="205"/>
      <c r="AE257" s="205"/>
      <c r="AF257" s="205"/>
      <c r="AG257" s="205"/>
      <c r="AH257" s="205"/>
      <c r="AI257" s="205"/>
      <c r="AJ257" s="205"/>
    </row>
    <row r="258" spans="1:36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213"/>
      <c r="G258" s="213"/>
      <c r="H258" s="213"/>
      <c r="I258" s="213"/>
      <c r="J258" s="214"/>
      <c r="K258" s="214"/>
      <c r="L258" s="214"/>
      <c r="M258" s="214"/>
      <c r="N258" s="221"/>
      <c r="O258" s="213"/>
      <c r="P258" s="213"/>
      <c r="Q258" s="213"/>
      <c r="R258" s="215"/>
      <c r="S258" s="213"/>
      <c r="T258" s="213"/>
      <c r="U258" s="213"/>
      <c r="V258" s="213"/>
      <c r="W258" s="213"/>
      <c r="X258" s="205"/>
      <c r="Y258" s="205"/>
      <c r="Z258" s="205"/>
      <c r="AA258" s="205"/>
      <c r="AB258" s="205"/>
      <c r="AC258" s="205"/>
      <c r="AD258" s="205"/>
      <c r="AE258" s="205"/>
      <c r="AF258" s="205"/>
      <c r="AG258" s="205"/>
      <c r="AH258" s="205"/>
      <c r="AI258" s="205"/>
      <c r="AJ258" s="205"/>
    </row>
    <row r="259" spans="1:36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213"/>
      <c r="G259" s="213"/>
      <c r="H259" s="213"/>
      <c r="I259" s="213"/>
      <c r="J259" s="214"/>
      <c r="K259" s="214"/>
      <c r="L259" s="214"/>
      <c r="M259" s="214"/>
      <c r="N259" s="221"/>
      <c r="O259" s="213"/>
      <c r="P259" s="213"/>
      <c r="Q259" s="213"/>
      <c r="R259" s="215"/>
      <c r="S259" s="213"/>
      <c r="T259" s="213"/>
      <c r="U259" s="213"/>
      <c r="V259" s="213"/>
      <c r="W259" s="213"/>
      <c r="X259" s="205"/>
      <c r="Y259" s="205"/>
      <c r="Z259" s="205"/>
      <c r="AA259" s="205"/>
      <c r="AB259" s="205"/>
      <c r="AC259" s="205"/>
      <c r="AD259" s="205"/>
      <c r="AE259" s="205"/>
      <c r="AF259" s="205"/>
      <c r="AG259" s="205"/>
      <c r="AH259" s="205"/>
      <c r="AI259" s="205"/>
      <c r="AJ259" s="205"/>
    </row>
    <row r="260" spans="1:36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213"/>
      <c r="G260" s="213"/>
      <c r="H260" s="213"/>
      <c r="I260" s="213"/>
      <c r="J260" s="214"/>
      <c r="K260" s="214"/>
      <c r="L260" s="214"/>
      <c r="M260" s="214"/>
      <c r="N260" s="221"/>
      <c r="O260" s="213"/>
      <c r="P260" s="213"/>
      <c r="Q260" s="213"/>
      <c r="R260" s="215"/>
      <c r="S260" s="213"/>
      <c r="T260" s="213"/>
      <c r="U260" s="213"/>
      <c r="V260" s="213"/>
      <c r="W260" s="213"/>
      <c r="X260" s="205"/>
      <c r="Y260" s="205"/>
      <c r="Z260" s="205"/>
      <c r="AA260" s="205"/>
      <c r="AB260" s="205"/>
      <c r="AC260" s="205"/>
      <c r="AD260" s="205"/>
      <c r="AE260" s="205"/>
      <c r="AF260" s="205"/>
      <c r="AG260" s="205"/>
      <c r="AH260" s="205"/>
      <c r="AI260" s="205"/>
      <c r="AJ260" s="205"/>
    </row>
    <row r="261" spans="1:36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213"/>
      <c r="G261" s="213"/>
      <c r="H261" s="213"/>
      <c r="I261" s="213"/>
      <c r="J261" s="214"/>
      <c r="K261" s="214"/>
      <c r="L261" s="214"/>
      <c r="M261" s="214"/>
      <c r="N261" s="221"/>
      <c r="O261" s="213"/>
      <c r="P261" s="213"/>
      <c r="Q261" s="213"/>
      <c r="R261" s="215"/>
      <c r="S261" s="213"/>
      <c r="T261" s="213"/>
      <c r="U261" s="213"/>
      <c r="V261" s="213"/>
      <c r="W261" s="213"/>
      <c r="X261" s="205"/>
      <c r="Y261" s="205"/>
      <c r="Z261" s="205"/>
      <c r="AA261" s="205"/>
      <c r="AB261" s="205"/>
      <c r="AC261" s="205"/>
      <c r="AD261" s="205"/>
      <c r="AE261" s="205"/>
      <c r="AF261" s="205"/>
      <c r="AG261" s="205"/>
      <c r="AH261" s="205"/>
      <c r="AI261" s="205"/>
      <c r="AJ261" s="205"/>
    </row>
    <row r="262" spans="1:36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213"/>
      <c r="G262" s="213"/>
      <c r="H262" s="213"/>
      <c r="I262" s="213"/>
      <c r="J262" s="214"/>
      <c r="K262" s="214"/>
      <c r="L262" s="214"/>
      <c r="M262" s="214"/>
      <c r="N262" s="221"/>
      <c r="O262" s="213"/>
      <c r="P262" s="213"/>
      <c r="Q262" s="213"/>
      <c r="R262" s="215"/>
      <c r="S262" s="213"/>
      <c r="T262" s="213"/>
      <c r="U262" s="213"/>
      <c r="V262" s="213"/>
      <c r="W262" s="213"/>
      <c r="X262" s="205"/>
      <c r="Y262" s="205"/>
      <c r="Z262" s="205"/>
      <c r="AA262" s="205"/>
      <c r="AB262" s="205"/>
      <c r="AC262" s="205"/>
      <c r="AD262" s="205"/>
      <c r="AE262" s="205"/>
      <c r="AF262" s="205"/>
      <c r="AG262" s="205"/>
      <c r="AH262" s="205"/>
      <c r="AI262" s="205"/>
      <c r="AJ262" s="205"/>
    </row>
    <row r="263" spans="1:36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213"/>
      <c r="G263" s="213"/>
      <c r="H263" s="213"/>
      <c r="I263" s="213"/>
      <c r="J263" s="214"/>
      <c r="K263" s="214"/>
      <c r="L263" s="214"/>
      <c r="M263" s="214"/>
      <c r="N263" s="221"/>
      <c r="O263" s="213"/>
      <c r="P263" s="213"/>
      <c r="Q263" s="213"/>
      <c r="R263" s="215"/>
      <c r="S263" s="213"/>
      <c r="T263" s="213"/>
      <c r="U263" s="213"/>
      <c r="V263" s="213"/>
      <c r="W263" s="213"/>
      <c r="X263" s="205"/>
      <c r="Y263" s="205"/>
      <c r="Z263" s="205"/>
      <c r="AA263" s="205"/>
      <c r="AB263" s="205"/>
      <c r="AC263" s="205"/>
      <c r="AD263" s="205"/>
      <c r="AE263" s="205"/>
      <c r="AF263" s="205"/>
      <c r="AG263" s="205"/>
      <c r="AH263" s="205"/>
      <c r="AI263" s="205"/>
      <c r="AJ263" s="205"/>
    </row>
    <row r="264" spans="1:36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213"/>
      <c r="G264" s="213"/>
      <c r="H264" s="213"/>
      <c r="I264" s="213"/>
      <c r="J264" s="214"/>
      <c r="K264" s="214"/>
      <c r="L264" s="214"/>
      <c r="M264" s="214"/>
      <c r="N264" s="221"/>
      <c r="O264" s="213"/>
      <c r="P264" s="213"/>
      <c r="Q264" s="213"/>
      <c r="R264" s="215"/>
      <c r="S264" s="213"/>
      <c r="T264" s="213"/>
      <c r="U264" s="213"/>
      <c r="V264" s="213"/>
      <c r="W264" s="213"/>
      <c r="X264" s="205"/>
      <c r="Y264" s="205"/>
      <c r="Z264" s="205"/>
      <c r="AA264" s="205"/>
      <c r="AB264" s="205"/>
      <c r="AC264" s="205"/>
      <c r="AD264" s="205"/>
      <c r="AE264" s="205"/>
      <c r="AF264" s="205"/>
      <c r="AG264" s="205"/>
      <c r="AH264" s="205"/>
      <c r="AI264" s="205"/>
      <c r="AJ264" s="205"/>
    </row>
    <row r="265" spans="1:36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213"/>
      <c r="G265" s="213"/>
      <c r="H265" s="213"/>
      <c r="I265" s="213"/>
      <c r="J265" s="214"/>
      <c r="K265" s="214"/>
      <c r="L265" s="214"/>
      <c r="M265" s="214"/>
      <c r="N265" s="221"/>
      <c r="O265" s="213"/>
      <c r="P265" s="213"/>
      <c r="Q265" s="213"/>
      <c r="R265" s="215"/>
      <c r="S265" s="213"/>
      <c r="T265" s="213"/>
      <c r="U265" s="213"/>
      <c r="V265" s="213"/>
      <c r="W265" s="213"/>
      <c r="X265" s="205"/>
      <c r="Y265" s="205"/>
      <c r="Z265" s="205"/>
      <c r="AA265" s="205"/>
      <c r="AB265" s="205"/>
      <c r="AC265" s="205"/>
      <c r="AD265" s="205"/>
      <c r="AE265" s="205"/>
      <c r="AF265" s="205"/>
      <c r="AG265" s="205"/>
      <c r="AH265" s="205"/>
      <c r="AI265" s="205"/>
      <c r="AJ265" s="205"/>
    </row>
    <row r="266" spans="1:36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213"/>
      <c r="G266" s="213"/>
      <c r="H266" s="213"/>
      <c r="I266" s="213"/>
      <c r="J266" s="214"/>
      <c r="K266" s="214"/>
      <c r="L266" s="214"/>
      <c r="M266" s="214"/>
      <c r="N266" s="221"/>
      <c r="O266" s="213"/>
      <c r="P266" s="213"/>
      <c r="Q266" s="213"/>
      <c r="R266" s="215"/>
      <c r="S266" s="213"/>
      <c r="T266" s="213"/>
      <c r="U266" s="213"/>
      <c r="V266" s="213"/>
      <c r="W266" s="213"/>
      <c r="X266" s="205"/>
      <c r="Y266" s="205"/>
      <c r="Z266" s="205"/>
      <c r="AA266" s="205"/>
      <c r="AB266" s="205"/>
      <c r="AC266" s="205"/>
      <c r="AD266" s="205"/>
      <c r="AE266" s="205"/>
      <c r="AF266" s="205"/>
      <c r="AG266" s="205"/>
      <c r="AH266" s="205"/>
      <c r="AI266" s="205"/>
      <c r="AJ266" s="205"/>
    </row>
    <row r="267" spans="1:36" ht="18.75" customHeight="1">
      <c r="A267" s="42" t="s">
        <v>605</v>
      </c>
      <c r="B267" s="59" t="s">
        <v>606</v>
      </c>
      <c r="C267" s="113" t="s">
        <v>593</v>
      </c>
      <c r="D267" s="61" t="s">
        <v>1036</v>
      </c>
      <c r="E267" s="200">
        <f t="shared" si="0"/>
        <v>0</v>
      </c>
      <c r="F267" s="213"/>
      <c r="G267" s="213"/>
      <c r="H267" s="213"/>
      <c r="I267" s="213"/>
      <c r="J267" s="214"/>
      <c r="K267" s="214"/>
      <c r="L267" s="214"/>
      <c r="M267" s="214"/>
      <c r="N267" s="221"/>
      <c r="O267" s="213"/>
      <c r="P267" s="213"/>
      <c r="Q267" s="213"/>
      <c r="R267" s="215"/>
      <c r="S267" s="213"/>
      <c r="T267" s="213"/>
      <c r="U267" s="213"/>
      <c r="V267" s="213"/>
      <c r="W267" s="213"/>
      <c r="X267" s="205"/>
      <c r="Y267" s="205"/>
      <c r="Z267" s="205"/>
      <c r="AA267" s="205"/>
      <c r="AB267" s="205"/>
      <c r="AC267" s="205"/>
      <c r="AD267" s="205"/>
      <c r="AE267" s="205"/>
      <c r="AF267" s="205"/>
      <c r="AG267" s="205"/>
      <c r="AH267" s="205"/>
      <c r="AI267" s="205"/>
      <c r="AJ267" s="205"/>
    </row>
    <row r="268" spans="1:36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213"/>
      <c r="G268" s="213"/>
      <c r="H268" s="213"/>
      <c r="I268" s="213"/>
      <c r="J268" s="214"/>
      <c r="K268" s="214"/>
      <c r="L268" s="214"/>
      <c r="M268" s="214"/>
      <c r="N268" s="221"/>
      <c r="O268" s="213"/>
      <c r="P268" s="213"/>
      <c r="Q268" s="213"/>
      <c r="R268" s="215"/>
      <c r="S268" s="213"/>
      <c r="T268" s="213"/>
      <c r="U268" s="213"/>
      <c r="V268" s="213"/>
      <c r="W268" s="213"/>
      <c r="X268" s="205"/>
      <c r="Y268" s="205"/>
      <c r="Z268" s="205"/>
      <c r="AA268" s="205"/>
      <c r="AB268" s="205"/>
      <c r="AC268" s="205"/>
      <c r="AD268" s="205"/>
      <c r="AE268" s="205"/>
      <c r="AF268" s="205"/>
      <c r="AG268" s="205"/>
      <c r="AH268" s="205"/>
      <c r="AI268" s="205"/>
      <c r="AJ268" s="205"/>
    </row>
    <row r="269" spans="1:36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213"/>
      <c r="G269" s="213"/>
      <c r="H269" s="213"/>
      <c r="I269" s="213"/>
      <c r="J269" s="214"/>
      <c r="K269" s="214"/>
      <c r="L269" s="214"/>
      <c r="M269" s="214"/>
      <c r="N269" s="221"/>
      <c r="O269" s="213"/>
      <c r="P269" s="213"/>
      <c r="Q269" s="213"/>
      <c r="R269" s="215"/>
      <c r="S269" s="213"/>
      <c r="T269" s="213"/>
      <c r="U269" s="213"/>
      <c r="V269" s="213"/>
      <c r="W269" s="213"/>
      <c r="X269" s="205"/>
      <c r="Y269" s="205"/>
      <c r="Z269" s="205"/>
      <c r="AA269" s="205"/>
      <c r="AB269" s="205"/>
      <c r="AC269" s="205"/>
      <c r="AD269" s="205"/>
      <c r="AE269" s="205"/>
      <c r="AF269" s="205"/>
      <c r="AG269" s="205"/>
      <c r="AH269" s="205"/>
      <c r="AI269" s="205"/>
      <c r="AJ269" s="205"/>
    </row>
    <row r="270" spans="1:36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213"/>
      <c r="G270" s="213"/>
      <c r="H270" s="213"/>
      <c r="I270" s="213"/>
      <c r="J270" s="214"/>
      <c r="K270" s="214"/>
      <c r="L270" s="214"/>
      <c r="M270" s="214"/>
      <c r="N270" s="221"/>
      <c r="O270" s="213"/>
      <c r="P270" s="213"/>
      <c r="Q270" s="213"/>
      <c r="R270" s="215"/>
      <c r="S270" s="213"/>
      <c r="T270" s="213"/>
      <c r="U270" s="213"/>
      <c r="V270" s="213"/>
      <c r="W270" s="213"/>
      <c r="X270" s="205"/>
      <c r="Y270" s="205"/>
      <c r="Z270" s="205"/>
      <c r="AA270" s="205"/>
      <c r="AB270" s="205"/>
      <c r="AC270" s="205"/>
      <c r="AD270" s="205"/>
      <c r="AE270" s="205"/>
      <c r="AF270" s="205"/>
      <c r="AG270" s="205"/>
      <c r="AH270" s="205"/>
      <c r="AI270" s="205"/>
      <c r="AJ270" s="205"/>
    </row>
    <row r="271" spans="1:36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213"/>
      <c r="G271" s="213"/>
      <c r="H271" s="213"/>
      <c r="I271" s="213"/>
      <c r="J271" s="214"/>
      <c r="K271" s="214"/>
      <c r="L271" s="214"/>
      <c r="M271" s="214"/>
      <c r="N271" s="221"/>
      <c r="O271" s="213"/>
      <c r="P271" s="213"/>
      <c r="Q271" s="213"/>
      <c r="R271" s="215"/>
      <c r="S271" s="213"/>
      <c r="T271" s="213"/>
      <c r="U271" s="213"/>
      <c r="V271" s="213"/>
      <c r="W271" s="213"/>
      <c r="X271" s="205"/>
      <c r="Y271" s="205"/>
      <c r="Z271" s="205"/>
      <c r="AA271" s="205"/>
      <c r="AB271" s="205"/>
      <c r="AC271" s="205"/>
      <c r="AD271" s="205"/>
      <c r="AE271" s="205"/>
      <c r="AF271" s="205"/>
      <c r="AG271" s="205"/>
      <c r="AH271" s="205"/>
      <c r="AI271" s="205"/>
      <c r="AJ271" s="205"/>
    </row>
    <row r="272" spans="1:36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213"/>
      <c r="G272" s="213"/>
      <c r="H272" s="213"/>
      <c r="I272" s="213"/>
      <c r="J272" s="214"/>
      <c r="K272" s="214"/>
      <c r="L272" s="214"/>
      <c r="M272" s="214"/>
      <c r="N272" s="221"/>
      <c r="O272" s="213"/>
      <c r="P272" s="213"/>
      <c r="Q272" s="213"/>
      <c r="R272" s="215"/>
      <c r="S272" s="213"/>
      <c r="T272" s="213"/>
      <c r="U272" s="213"/>
      <c r="V272" s="213"/>
      <c r="W272" s="213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</row>
    <row r="273" spans="1:36" ht="18.75" customHeight="1">
      <c r="A273" s="42" t="s">
        <v>620</v>
      </c>
      <c r="B273" s="59" t="s">
        <v>621</v>
      </c>
      <c r="C273" s="113" t="s">
        <v>622</v>
      </c>
      <c r="D273" s="61" t="s">
        <v>1037</v>
      </c>
      <c r="E273" s="200">
        <f t="shared" si="0"/>
        <v>0</v>
      </c>
      <c r="F273" s="213"/>
      <c r="G273" s="213"/>
      <c r="H273" s="213"/>
      <c r="I273" s="213"/>
      <c r="J273" s="214"/>
      <c r="K273" s="214"/>
      <c r="L273" s="214"/>
      <c r="M273" s="214"/>
      <c r="N273" s="221"/>
      <c r="O273" s="213"/>
      <c r="P273" s="213"/>
      <c r="Q273" s="213"/>
      <c r="R273" s="215"/>
      <c r="S273" s="213"/>
      <c r="T273" s="213"/>
      <c r="U273" s="213"/>
      <c r="V273" s="213"/>
      <c r="W273" s="213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</row>
    <row r="274" spans="1:36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213"/>
      <c r="G274" s="213"/>
      <c r="H274" s="213"/>
      <c r="I274" s="213"/>
      <c r="J274" s="214"/>
      <c r="K274" s="214"/>
      <c r="L274" s="214"/>
      <c r="M274" s="214"/>
      <c r="N274" s="221"/>
      <c r="O274" s="213"/>
      <c r="P274" s="213"/>
      <c r="Q274" s="213"/>
      <c r="R274" s="215"/>
      <c r="S274" s="213"/>
      <c r="T274" s="213"/>
      <c r="U274" s="213"/>
      <c r="V274" s="213"/>
      <c r="W274" s="213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</row>
    <row r="275" spans="1:36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SUM(F275:W275)</f>
        <v>0</v>
      </c>
      <c r="F275" s="213"/>
      <c r="G275" s="213"/>
      <c r="H275" s="213"/>
      <c r="I275" s="213"/>
      <c r="J275" s="214"/>
      <c r="K275" s="214"/>
      <c r="L275" s="214"/>
      <c r="M275" s="214"/>
      <c r="N275" s="221"/>
      <c r="O275" s="213"/>
      <c r="P275" s="213"/>
      <c r="Q275" s="213"/>
      <c r="R275" s="215"/>
      <c r="S275" s="213"/>
      <c r="T275" s="213"/>
      <c r="U275" s="213"/>
      <c r="V275" s="213"/>
      <c r="W275" s="213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</row>
    <row r="276" spans="1:36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213"/>
      <c r="G276" s="213"/>
      <c r="H276" s="213"/>
      <c r="I276" s="213"/>
      <c r="J276" s="214"/>
      <c r="K276" s="214"/>
      <c r="L276" s="214"/>
      <c r="M276" s="214"/>
      <c r="N276" s="221"/>
      <c r="O276" s="213"/>
      <c r="P276" s="213"/>
      <c r="Q276" s="213"/>
      <c r="R276" s="215"/>
      <c r="S276" s="213"/>
      <c r="T276" s="213"/>
      <c r="U276" s="213"/>
      <c r="V276" s="213"/>
      <c r="W276" s="213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</row>
    <row r="277" spans="1:36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213"/>
      <c r="G277" s="213"/>
      <c r="H277" s="213"/>
      <c r="I277" s="213"/>
      <c r="J277" s="214"/>
      <c r="K277" s="214"/>
      <c r="L277" s="214"/>
      <c r="M277" s="214"/>
      <c r="N277" s="221"/>
      <c r="O277" s="213"/>
      <c r="P277" s="213"/>
      <c r="Q277" s="213"/>
      <c r="R277" s="215"/>
      <c r="S277" s="213"/>
      <c r="T277" s="213"/>
      <c r="U277" s="213"/>
      <c r="V277" s="213"/>
      <c r="W277" s="213"/>
      <c r="X277" s="205"/>
      <c r="Y277" s="205"/>
      <c r="Z277" s="205"/>
      <c r="AA277" s="205"/>
      <c r="AB277" s="205"/>
      <c r="AC277" s="205"/>
      <c r="AD277" s="205"/>
      <c r="AE277" s="205"/>
      <c r="AF277" s="205"/>
      <c r="AG277" s="205"/>
      <c r="AH277" s="205"/>
      <c r="AI277" s="205"/>
      <c r="AJ277" s="205"/>
    </row>
    <row r="278" spans="1:36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213"/>
      <c r="G278" s="213"/>
      <c r="H278" s="213"/>
      <c r="I278" s="213"/>
      <c r="J278" s="214"/>
      <c r="K278" s="214"/>
      <c r="L278" s="214"/>
      <c r="M278" s="214"/>
      <c r="N278" s="221"/>
      <c r="O278" s="213"/>
      <c r="P278" s="213"/>
      <c r="Q278" s="213"/>
      <c r="R278" s="215"/>
      <c r="S278" s="213"/>
      <c r="T278" s="213"/>
      <c r="U278" s="213"/>
      <c r="V278" s="213"/>
      <c r="W278" s="213"/>
      <c r="X278" s="205"/>
      <c r="Y278" s="205"/>
      <c r="Z278" s="205"/>
      <c r="AA278" s="205"/>
      <c r="AB278" s="205"/>
      <c r="AC278" s="205"/>
      <c r="AD278" s="205"/>
      <c r="AE278" s="205"/>
      <c r="AF278" s="205"/>
      <c r="AG278" s="205"/>
      <c r="AH278" s="205"/>
      <c r="AI278" s="205"/>
      <c r="AJ278" s="205"/>
    </row>
    <row r="279" spans="1:36" ht="18.75" customHeight="1">
      <c r="A279" s="42" t="s">
        <v>636</v>
      </c>
      <c r="B279" s="59" t="s">
        <v>637</v>
      </c>
      <c r="C279" s="113" t="s">
        <v>638</v>
      </c>
      <c r="D279" s="61" t="s">
        <v>1038</v>
      </c>
      <c r="E279" s="200">
        <f t="shared" si="1"/>
        <v>0</v>
      </c>
      <c r="F279" s="213"/>
      <c r="G279" s="213"/>
      <c r="H279" s="213"/>
      <c r="I279" s="213"/>
      <c r="J279" s="214"/>
      <c r="K279" s="214"/>
      <c r="L279" s="214"/>
      <c r="M279" s="214"/>
      <c r="N279" s="221"/>
      <c r="O279" s="213"/>
      <c r="P279" s="213"/>
      <c r="Q279" s="213"/>
      <c r="R279" s="215"/>
      <c r="S279" s="213"/>
      <c r="T279" s="213"/>
      <c r="U279" s="213"/>
      <c r="V279" s="213"/>
      <c r="W279" s="213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</row>
    <row r="280" spans="1:36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213"/>
      <c r="G280" s="213"/>
      <c r="H280" s="213"/>
      <c r="I280" s="213"/>
      <c r="J280" s="214"/>
      <c r="K280" s="214"/>
      <c r="L280" s="214"/>
      <c r="M280" s="214"/>
      <c r="N280" s="221"/>
      <c r="O280" s="213"/>
      <c r="P280" s="213"/>
      <c r="Q280" s="213"/>
      <c r="R280" s="215"/>
      <c r="S280" s="213"/>
      <c r="T280" s="213"/>
      <c r="U280" s="213"/>
      <c r="V280" s="213"/>
      <c r="W280" s="213"/>
      <c r="X280" s="205"/>
      <c r="Y280" s="205"/>
      <c r="Z280" s="205"/>
      <c r="AA280" s="205"/>
      <c r="AB280" s="205"/>
      <c r="AC280" s="205"/>
      <c r="AD280" s="205"/>
      <c r="AE280" s="205"/>
      <c r="AF280" s="205"/>
      <c r="AG280" s="205"/>
      <c r="AH280" s="205"/>
      <c r="AI280" s="205"/>
      <c r="AJ280" s="205"/>
    </row>
    <row r="281" spans="1:36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213"/>
      <c r="G281" s="213"/>
      <c r="H281" s="213"/>
      <c r="I281" s="213"/>
      <c r="J281" s="214"/>
      <c r="K281" s="214"/>
      <c r="L281" s="214"/>
      <c r="M281" s="214"/>
      <c r="N281" s="221"/>
      <c r="O281" s="213"/>
      <c r="P281" s="213"/>
      <c r="Q281" s="213"/>
      <c r="R281" s="215"/>
      <c r="S281" s="213"/>
      <c r="T281" s="213"/>
      <c r="U281" s="213"/>
      <c r="V281" s="213"/>
      <c r="W281" s="213"/>
      <c r="X281" s="205"/>
      <c r="Y281" s="205"/>
      <c r="Z281" s="205"/>
      <c r="AA281" s="205"/>
      <c r="AB281" s="205"/>
      <c r="AC281" s="205"/>
      <c r="AD281" s="205"/>
      <c r="AE281" s="205"/>
      <c r="AF281" s="205"/>
      <c r="AG281" s="205"/>
      <c r="AH281" s="205"/>
      <c r="AI281" s="205"/>
      <c r="AJ281" s="205"/>
    </row>
    <row r="282" spans="1:36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213"/>
      <c r="G282" s="213"/>
      <c r="H282" s="213"/>
      <c r="I282" s="213"/>
      <c r="J282" s="214"/>
      <c r="K282" s="214"/>
      <c r="L282" s="214"/>
      <c r="M282" s="214"/>
      <c r="N282" s="221"/>
      <c r="O282" s="213"/>
      <c r="P282" s="213"/>
      <c r="Q282" s="213"/>
      <c r="R282" s="215"/>
      <c r="S282" s="213"/>
      <c r="T282" s="213"/>
      <c r="U282" s="213"/>
      <c r="V282" s="213"/>
      <c r="W282" s="213"/>
      <c r="X282" s="205"/>
      <c r="Y282" s="205"/>
      <c r="Z282" s="205"/>
      <c r="AA282" s="205"/>
      <c r="AB282" s="205"/>
      <c r="AC282" s="205"/>
      <c r="AD282" s="205"/>
      <c r="AE282" s="205"/>
      <c r="AF282" s="205"/>
      <c r="AG282" s="205"/>
      <c r="AH282" s="205"/>
      <c r="AI282" s="205"/>
      <c r="AJ282" s="205"/>
    </row>
    <row r="283" spans="1:36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213"/>
      <c r="G283" s="213"/>
      <c r="H283" s="213"/>
      <c r="I283" s="213"/>
      <c r="J283" s="214"/>
      <c r="K283" s="214"/>
      <c r="L283" s="214"/>
      <c r="M283" s="214"/>
      <c r="N283" s="221"/>
      <c r="O283" s="213"/>
      <c r="P283" s="213"/>
      <c r="Q283" s="213"/>
      <c r="R283" s="215"/>
      <c r="S283" s="213"/>
      <c r="T283" s="213"/>
      <c r="U283" s="213"/>
      <c r="V283" s="213"/>
      <c r="W283" s="213"/>
      <c r="X283" s="205"/>
      <c r="Y283" s="205"/>
      <c r="Z283" s="205"/>
      <c r="AA283" s="205"/>
      <c r="AB283" s="205"/>
      <c r="AC283" s="205"/>
      <c r="AD283" s="205"/>
      <c r="AE283" s="205"/>
      <c r="AF283" s="205"/>
      <c r="AG283" s="205"/>
      <c r="AH283" s="205"/>
      <c r="AI283" s="205"/>
      <c r="AJ283" s="205"/>
    </row>
    <row r="284" spans="1:36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213"/>
      <c r="G284" s="213"/>
      <c r="H284" s="213"/>
      <c r="I284" s="213"/>
      <c r="J284" s="214"/>
      <c r="K284" s="214"/>
      <c r="L284" s="214"/>
      <c r="M284" s="214"/>
      <c r="N284" s="221"/>
      <c r="O284" s="213"/>
      <c r="P284" s="213"/>
      <c r="Q284" s="213"/>
      <c r="R284" s="215"/>
      <c r="S284" s="213"/>
      <c r="T284" s="213"/>
      <c r="U284" s="213"/>
      <c r="V284" s="213"/>
      <c r="W284" s="213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</row>
    <row r="285" spans="1:36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213"/>
      <c r="G285" s="213"/>
      <c r="H285" s="213"/>
      <c r="I285" s="213"/>
      <c r="J285" s="214"/>
      <c r="K285" s="214"/>
      <c r="L285" s="214"/>
      <c r="M285" s="214"/>
      <c r="N285" s="221"/>
      <c r="O285" s="213"/>
      <c r="P285" s="213"/>
      <c r="Q285" s="213"/>
      <c r="R285" s="215"/>
      <c r="S285" s="213"/>
      <c r="T285" s="213"/>
      <c r="U285" s="213"/>
      <c r="V285" s="213"/>
      <c r="W285" s="213"/>
      <c r="X285" s="205"/>
      <c r="Y285" s="205"/>
      <c r="Z285" s="205"/>
      <c r="AA285" s="205"/>
      <c r="AB285" s="205"/>
      <c r="AC285" s="205"/>
      <c r="AD285" s="205"/>
      <c r="AE285" s="205"/>
      <c r="AF285" s="205"/>
      <c r="AG285" s="205"/>
      <c r="AH285" s="205"/>
      <c r="AI285" s="205"/>
      <c r="AJ285" s="205"/>
    </row>
    <row r="286" spans="1:36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213"/>
      <c r="G286" s="213"/>
      <c r="H286" s="213"/>
      <c r="I286" s="213"/>
      <c r="J286" s="214"/>
      <c r="K286" s="214"/>
      <c r="L286" s="214"/>
      <c r="M286" s="214"/>
      <c r="N286" s="221"/>
      <c r="O286" s="213"/>
      <c r="P286" s="213"/>
      <c r="Q286" s="213"/>
      <c r="R286" s="215"/>
      <c r="S286" s="213"/>
      <c r="T286" s="213"/>
      <c r="U286" s="213"/>
      <c r="V286" s="213"/>
      <c r="W286" s="213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</row>
    <row r="287" spans="1:36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213"/>
      <c r="G287" s="213"/>
      <c r="H287" s="213"/>
      <c r="I287" s="213"/>
      <c r="J287" s="214"/>
      <c r="K287" s="214"/>
      <c r="L287" s="214"/>
      <c r="M287" s="214"/>
      <c r="N287" s="221"/>
      <c r="O287" s="213"/>
      <c r="P287" s="213"/>
      <c r="Q287" s="213"/>
      <c r="R287" s="215"/>
      <c r="S287" s="213"/>
      <c r="T287" s="213"/>
      <c r="U287" s="213"/>
      <c r="V287" s="213"/>
      <c r="W287" s="213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</row>
    <row r="288" spans="1:36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213"/>
      <c r="G288" s="213"/>
      <c r="H288" s="213"/>
      <c r="I288" s="213"/>
      <c r="J288" s="214"/>
      <c r="K288" s="214"/>
      <c r="L288" s="214"/>
      <c r="M288" s="214"/>
      <c r="N288" s="221"/>
      <c r="O288" s="213"/>
      <c r="P288" s="213"/>
      <c r="Q288" s="213"/>
      <c r="R288" s="215"/>
      <c r="S288" s="213"/>
      <c r="T288" s="213"/>
      <c r="U288" s="213"/>
      <c r="V288" s="213"/>
      <c r="W288" s="213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</row>
    <row r="289" spans="1:36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213"/>
      <c r="G289" s="213"/>
      <c r="H289" s="213"/>
      <c r="I289" s="213"/>
      <c r="J289" s="214"/>
      <c r="K289" s="214"/>
      <c r="L289" s="214"/>
      <c r="M289" s="214"/>
      <c r="N289" s="221"/>
      <c r="O289" s="213"/>
      <c r="P289" s="213"/>
      <c r="Q289" s="213"/>
      <c r="R289" s="215"/>
      <c r="S289" s="213"/>
      <c r="T289" s="213"/>
      <c r="U289" s="213"/>
      <c r="V289" s="213"/>
      <c r="W289" s="213"/>
      <c r="X289" s="205"/>
      <c r="Y289" s="205"/>
      <c r="Z289" s="205"/>
      <c r="AA289" s="205"/>
      <c r="AB289" s="205"/>
      <c r="AC289" s="205"/>
      <c r="AD289" s="205"/>
      <c r="AE289" s="205"/>
      <c r="AF289" s="205"/>
      <c r="AG289" s="205"/>
      <c r="AH289" s="205"/>
      <c r="AI289" s="205"/>
      <c r="AJ289" s="205"/>
    </row>
    <row r="290" spans="1:36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213"/>
      <c r="G290" s="213"/>
      <c r="H290" s="213"/>
      <c r="I290" s="213"/>
      <c r="J290" s="214"/>
      <c r="K290" s="214"/>
      <c r="L290" s="214"/>
      <c r="M290" s="214"/>
      <c r="N290" s="221"/>
      <c r="O290" s="213"/>
      <c r="P290" s="213"/>
      <c r="Q290" s="213"/>
      <c r="R290" s="215"/>
      <c r="S290" s="213"/>
      <c r="T290" s="213"/>
      <c r="U290" s="213"/>
      <c r="V290" s="213"/>
      <c r="W290" s="213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</row>
    <row r="291" spans="1:36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213"/>
      <c r="G291" s="213"/>
      <c r="H291" s="213"/>
      <c r="I291" s="213"/>
      <c r="J291" s="214"/>
      <c r="K291" s="214"/>
      <c r="L291" s="214"/>
      <c r="M291" s="214"/>
      <c r="N291" s="221"/>
      <c r="O291" s="213"/>
      <c r="P291" s="213"/>
      <c r="Q291" s="213"/>
      <c r="R291" s="215"/>
      <c r="S291" s="213"/>
      <c r="T291" s="213"/>
      <c r="U291" s="213"/>
      <c r="V291" s="213"/>
      <c r="W291" s="213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</row>
    <row r="292" spans="1:36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213"/>
      <c r="G292" s="213"/>
      <c r="H292" s="213"/>
      <c r="I292" s="213"/>
      <c r="J292" s="214"/>
      <c r="K292" s="214"/>
      <c r="L292" s="214"/>
      <c r="M292" s="214"/>
      <c r="N292" s="221"/>
      <c r="O292" s="213"/>
      <c r="P292" s="213"/>
      <c r="Q292" s="213"/>
      <c r="R292" s="215"/>
      <c r="S292" s="213"/>
      <c r="T292" s="213"/>
      <c r="U292" s="213"/>
      <c r="V292" s="213"/>
      <c r="W292" s="213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</row>
    <row r="293" spans="1:36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213"/>
      <c r="G293" s="213"/>
      <c r="H293" s="213"/>
      <c r="I293" s="213"/>
      <c r="J293" s="214"/>
      <c r="K293" s="214"/>
      <c r="L293" s="214"/>
      <c r="M293" s="214"/>
      <c r="N293" s="221"/>
      <c r="O293" s="213"/>
      <c r="P293" s="213"/>
      <c r="Q293" s="213"/>
      <c r="R293" s="215"/>
      <c r="S293" s="213"/>
      <c r="T293" s="213"/>
      <c r="U293" s="213"/>
      <c r="V293" s="213"/>
      <c r="W293" s="213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</row>
    <row r="294" spans="1:36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213"/>
      <c r="G294" s="213"/>
      <c r="H294" s="213"/>
      <c r="I294" s="213"/>
      <c r="J294" s="214"/>
      <c r="K294" s="214"/>
      <c r="L294" s="214"/>
      <c r="M294" s="214"/>
      <c r="N294" s="221"/>
      <c r="O294" s="213"/>
      <c r="P294" s="213"/>
      <c r="Q294" s="213"/>
      <c r="R294" s="215"/>
      <c r="S294" s="213"/>
      <c r="T294" s="213"/>
      <c r="U294" s="213"/>
      <c r="V294" s="213"/>
      <c r="W294" s="213"/>
      <c r="X294" s="205"/>
      <c r="Y294" s="205"/>
      <c r="Z294" s="205"/>
      <c r="AA294" s="205"/>
      <c r="AB294" s="205"/>
      <c r="AC294" s="205"/>
      <c r="AD294" s="205"/>
      <c r="AE294" s="205"/>
      <c r="AF294" s="205"/>
      <c r="AG294" s="205"/>
      <c r="AH294" s="205"/>
      <c r="AI294" s="205"/>
      <c r="AJ294" s="205"/>
    </row>
    <row r="295" spans="1:36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213"/>
      <c r="G295" s="213"/>
      <c r="H295" s="213"/>
      <c r="I295" s="213"/>
      <c r="J295" s="214"/>
      <c r="K295" s="214"/>
      <c r="L295" s="214"/>
      <c r="M295" s="214"/>
      <c r="N295" s="221"/>
      <c r="O295" s="213"/>
      <c r="P295" s="213"/>
      <c r="Q295" s="213"/>
      <c r="R295" s="215"/>
      <c r="S295" s="213"/>
      <c r="T295" s="213"/>
      <c r="U295" s="213"/>
      <c r="V295" s="213"/>
      <c r="W295" s="213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</row>
    <row r="296" spans="1:36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213"/>
      <c r="G296" s="213"/>
      <c r="H296" s="213"/>
      <c r="I296" s="213"/>
      <c r="J296" s="214"/>
      <c r="K296" s="214"/>
      <c r="L296" s="214"/>
      <c r="M296" s="214"/>
      <c r="N296" s="221"/>
      <c r="O296" s="213"/>
      <c r="P296" s="213"/>
      <c r="Q296" s="213"/>
      <c r="R296" s="215"/>
      <c r="S296" s="213"/>
      <c r="T296" s="213"/>
      <c r="U296" s="213"/>
      <c r="V296" s="213"/>
      <c r="W296" s="213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</row>
    <row r="297" spans="1:36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213"/>
      <c r="G297" s="213"/>
      <c r="H297" s="213"/>
      <c r="I297" s="213"/>
      <c r="J297" s="214"/>
      <c r="K297" s="214"/>
      <c r="L297" s="214"/>
      <c r="M297" s="214"/>
      <c r="N297" s="221"/>
      <c r="O297" s="213"/>
      <c r="P297" s="213"/>
      <c r="Q297" s="213"/>
      <c r="R297" s="215"/>
      <c r="S297" s="213"/>
      <c r="T297" s="213"/>
      <c r="U297" s="213"/>
      <c r="V297" s="213"/>
      <c r="W297" s="213"/>
      <c r="X297" s="205"/>
      <c r="Y297" s="205"/>
      <c r="Z297" s="205"/>
      <c r="AA297" s="205"/>
      <c r="AB297" s="205"/>
      <c r="AC297" s="205"/>
      <c r="AD297" s="205"/>
      <c r="AE297" s="205"/>
      <c r="AF297" s="205"/>
      <c r="AG297" s="205"/>
      <c r="AH297" s="205"/>
      <c r="AI297" s="205"/>
      <c r="AJ297" s="205"/>
    </row>
    <row r="298" spans="1:36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213"/>
      <c r="G298" s="213"/>
      <c r="H298" s="213"/>
      <c r="I298" s="213"/>
      <c r="J298" s="214"/>
      <c r="K298" s="214"/>
      <c r="L298" s="214"/>
      <c r="M298" s="214"/>
      <c r="N298" s="221"/>
      <c r="O298" s="213"/>
      <c r="P298" s="213"/>
      <c r="Q298" s="213"/>
      <c r="R298" s="215"/>
      <c r="S298" s="213"/>
      <c r="T298" s="213"/>
      <c r="U298" s="213"/>
      <c r="V298" s="213"/>
      <c r="W298" s="213"/>
      <c r="X298" s="205"/>
      <c r="Y298" s="205"/>
      <c r="Z298" s="205"/>
      <c r="AA298" s="205"/>
      <c r="AB298" s="205"/>
      <c r="AC298" s="205"/>
      <c r="AD298" s="205"/>
      <c r="AE298" s="205"/>
      <c r="AF298" s="205"/>
      <c r="AG298" s="205"/>
      <c r="AH298" s="205"/>
      <c r="AI298" s="205"/>
      <c r="AJ298" s="205"/>
    </row>
    <row r="299" spans="1:36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213"/>
      <c r="G299" s="213"/>
      <c r="H299" s="213"/>
      <c r="I299" s="213"/>
      <c r="J299" s="214"/>
      <c r="K299" s="214"/>
      <c r="L299" s="214"/>
      <c r="M299" s="214"/>
      <c r="N299" s="221"/>
      <c r="O299" s="213"/>
      <c r="P299" s="213"/>
      <c r="Q299" s="213"/>
      <c r="R299" s="215"/>
      <c r="S299" s="213"/>
      <c r="T299" s="213"/>
      <c r="U299" s="213"/>
      <c r="V299" s="213"/>
      <c r="W299" s="213"/>
      <c r="X299" s="205"/>
      <c r="Y299" s="205"/>
      <c r="Z299" s="205"/>
      <c r="AA299" s="205"/>
      <c r="AB299" s="205"/>
      <c r="AC299" s="205"/>
      <c r="AD299" s="205"/>
      <c r="AE299" s="205"/>
      <c r="AF299" s="205"/>
      <c r="AG299" s="205"/>
      <c r="AH299" s="205"/>
      <c r="AI299" s="205"/>
      <c r="AJ299" s="205"/>
    </row>
    <row r="300" spans="1:36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213"/>
      <c r="G300" s="213"/>
      <c r="H300" s="213"/>
      <c r="I300" s="213"/>
      <c r="J300" s="214"/>
      <c r="K300" s="214"/>
      <c r="L300" s="214"/>
      <c r="M300" s="214"/>
      <c r="N300" s="221"/>
      <c r="O300" s="213"/>
      <c r="P300" s="213"/>
      <c r="Q300" s="213"/>
      <c r="R300" s="215"/>
      <c r="S300" s="213"/>
      <c r="T300" s="213"/>
      <c r="U300" s="213"/>
      <c r="V300" s="213"/>
      <c r="W300" s="213"/>
      <c r="X300" s="205"/>
      <c r="Y300" s="205"/>
      <c r="Z300" s="205"/>
      <c r="AA300" s="205"/>
      <c r="AB300" s="205"/>
      <c r="AC300" s="205"/>
      <c r="AD300" s="205"/>
      <c r="AE300" s="205"/>
      <c r="AF300" s="205"/>
      <c r="AG300" s="205"/>
      <c r="AH300" s="205"/>
      <c r="AI300" s="205"/>
      <c r="AJ300" s="205"/>
    </row>
    <row r="301" spans="1:36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213"/>
      <c r="G301" s="213"/>
      <c r="H301" s="213"/>
      <c r="I301" s="213"/>
      <c r="J301" s="214"/>
      <c r="K301" s="214"/>
      <c r="L301" s="214"/>
      <c r="M301" s="214"/>
      <c r="N301" s="221"/>
      <c r="O301" s="213"/>
      <c r="P301" s="213"/>
      <c r="Q301" s="213"/>
      <c r="R301" s="215"/>
      <c r="S301" s="213"/>
      <c r="T301" s="213"/>
      <c r="U301" s="213"/>
      <c r="V301" s="213"/>
      <c r="W301" s="213"/>
      <c r="X301" s="205"/>
      <c r="Y301" s="205"/>
      <c r="Z301" s="205"/>
      <c r="AA301" s="205"/>
      <c r="AB301" s="205"/>
      <c r="AC301" s="205"/>
      <c r="AD301" s="205"/>
      <c r="AE301" s="205"/>
      <c r="AF301" s="205"/>
      <c r="AG301" s="205"/>
      <c r="AH301" s="205"/>
      <c r="AI301" s="205"/>
      <c r="AJ301" s="205"/>
    </row>
    <row r="302" spans="1:36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213"/>
      <c r="G302" s="213"/>
      <c r="H302" s="213"/>
      <c r="I302" s="213"/>
      <c r="J302" s="214"/>
      <c r="K302" s="214"/>
      <c r="L302" s="214"/>
      <c r="M302" s="214"/>
      <c r="N302" s="221"/>
      <c r="O302" s="213"/>
      <c r="P302" s="213"/>
      <c r="Q302" s="213"/>
      <c r="R302" s="215"/>
      <c r="S302" s="213"/>
      <c r="T302" s="213"/>
      <c r="U302" s="213"/>
      <c r="V302" s="213"/>
      <c r="W302" s="213"/>
      <c r="X302" s="205"/>
      <c r="Y302" s="205"/>
      <c r="Z302" s="205"/>
      <c r="AA302" s="205"/>
      <c r="AB302" s="205"/>
      <c r="AC302" s="205"/>
      <c r="AD302" s="205"/>
      <c r="AE302" s="205"/>
      <c r="AF302" s="205"/>
      <c r="AG302" s="205"/>
      <c r="AH302" s="205"/>
      <c r="AI302" s="205"/>
      <c r="AJ302" s="205"/>
    </row>
    <row r="303" spans="1:36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213"/>
      <c r="G303" s="213"/>
      <c r="H303" s="213"/>
      <c r="I303" s="213"/>
      <c r="J303" s="214"/>
      <c r="K303" s="214"/>
      <c r="L303" s="214"/>
      <c r="M303" s="214"/>
      <c r="N303" s="221"/>
      <c r="O303" s="213"/>
      <c r="P303" s="213"/>
      <c r="Q303" s="213"/>
      <c r="R303" s="215"/>
      <c r="S303" s="213"/>
      <c r="T303" s="213"/>
      <c r="U303" s="213"/>
      <c r="V303" s="213"/>
      <c r="W303" s="213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</row>
    <row r="304" spans="1:36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213"/>
      <c r="G304" s="213"/>
      <c r="H304" s="213"/>
      <c r="I304" s="213"/>
      <c r="J304" s="214"/>
      <c r="K304" s="214"/>
      <c r="L304" s="214"/>
      <c r="M304" s="214"/>
      <c r="N304" s="221"/>
      <c r="O304" s="213"/>
      <c r="P304" s="213"/>
      <c r="Q304" s="213"/>
      <c r="R304" s="215"/>
      <c r="S304" s="213"/>
      <c r="T304" s="213"/>
      <c r="U304" s="213"/>
      <c r="V304" s="213"/>
      <c r="W304" s="213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</row>
    <row r="305" spans="1:36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213"/>
      <c r="G305" s="213"/>
      <c r="H305" s="213"/>
      <c r="I305" s="213"/>
      <c r="J305" s="214"/>
      <c r="K305" s="214"/>
      <c r="L305" s="214"/>
      <c r="M305" s="214"/>
      <c r="N305" s="221"/>
      <c r="O305" s="213"/>
      <c r="P305" s="213"/>
      <c r="Q305" s="213"/>
      <c r="R305" s="215"/>
      <c r="S305" s="213"/>
      <c r="T305" s="213"/>
      <c r="U305" s="213"/>
      <c r="V305" s="213"/>
      <c r="W305" s="213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</row>
    <row r="306" spans="1:36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213"/>
      <c r="G306" s="213"/>
      <c r="H306" s="213"/>
      <c r="I306" s="213"/>
      <c r="J306" s="214"/>
      <c r="K306" s="214"/>
      <c r="L306" s="214"/>
      <c r="M306" s="214"/>
      <c r="N306" s="221"/>
      <c r="O306" s="213"/>
      <c r="P306" s="213"/>
      <c r="Q306" s="213"/>
      <c r="R306" s="215"/>
      <c r="S306" s="213"/>
      <c r="T306" s="213"/>
      <c r="U306" s="213"/>
      <c r="V306" s="213"/>
      <c r="W306" s="213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</row>
    <row r="307" spans="1:36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213"/>
      <c r="G307" s="213"/>
      <c r="H307" s="213"/>
      <c r="I307" s="213"/>
      <c r="J307" s="214"/>
      <c r="K307" s="214"/>
      <c r="L307" s="214"/>
      <c r="M307" s="214"/>
      <c r="N307" s="221"/>
      <c r="O307" s="213"/>
      <c r="P307" s="213"/>
      <c r="Q307" s="213"/>
      <c r="R307" s="215"/>
      <c r="S307" s="213"/>
      <c r="T307" s="213"/>
      <c r="U307" s="213"/>
      <c r="V307" s="213"/>
      <c r="W307" s="213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</row>
    <row r="308" spans="1:36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213"/>
      <c r="G308" s="213"/>
      <c r="H308" s="213"/>
      <c r="I308" s="213"/>
      <c r="J308" s="214"/>
      <c r="K308" s="214"/>
      <c r="L308" s="214"/>
      <c r="M308" s="214"/>
      <c r="N308" s="221"/>
      <c r="O308" s="213"/>
      <c r="P308" s="213"/>
      <c r="Q308" s="213"/>
      <c r="R308" s="215"/>
      <c r="S308" s="213"/>
      <c r="T308" s="213"/>
      <c r="U308" s="213"/>
      <c r="V308" s="213"/>
      <c r="W308" s="213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</row>
    <row r="309" spans="1:36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213"/>
      <c r="G309" s="213"/>
      <c r="H309" s="213"/>
      <c r="I309" s="213"/>
      <c r="J309" s="214"/>
      <c r="K309" s="214"/>
      <c r="L309" s="214"/>
      <c r="M309" s="214"/>
      <c r="N309" s="221"/>
      <c r="O309" s="213"/>
      <c r="P309" s="213"/>
      <c r="Q309" s="213"/>
      <c r="R309" s="215"/>
      <c r="S309" s="213"/>
      <c r="T309" s="213"/>
      <c r="U309" s="213"/>
      <c r="V309" s="213"/>
      <c r="W309" s="213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</row>
    <row r="310" spans="1:36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213"/>
      <c r="G310" s="213"/>
      <c r="H310" s="213"/>
      <c r="I310" s="213"/>
      <c r="J310" s="214"/>
      <c r="K310" s="214"/>
      <c r="L310" s="214"/>
      <c r="M310" s="214"/>
      <c r="N310" s="221"/>
      <c r="O310" s="213"/>
      <c r="P310" s="213"/>
      <c r="Q310" s="213"/>
      <c r="R310" s="215"/>
      <c r="S310" s="213"/>
      <c r="T310" s="213"/>
      <c r="U310" s="213"/>
      <c r="V310" s="213"/>
      <c r="W310" s="213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</row>
    <row r="311" spans="1:36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213"/>
      <c r="G311" s="213"/>
      <c r="H311" s="213"/>
      <c r="I311" s="213"/>
      <c r="J311" s="214"/>
      <c r="K311" s="214"/>
      <c r="L311" s="214"/>
      <c r="M311" s="214"/>
      <c r="N311" s="221"/>
      <c r="O311" s="213"/>
      <c r="P311" s="213"/>
      <c r="Q311" s="213"/>
      <c r="R311" s="215"/>
      <c r="S311" s="213"/>
      <c r="T311" s="213"/>
      <c r="U311" s="213"/>
      <c r="V311" s="213"/>
      <c r="W311" s="213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</row>
    <row r="312" spans="1:36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213"/>
      <c r="G312" s="213"/>
      <c r="H312" s="213"/>
      <c r="I312" s="213"/>
      <c r="J312" s="214"/>
      <c r="K312" s="214"/>
      <c r="L312" s="214"/>
      <c r="M312" s="214"/>
      <c r="N312" s="221"/>
      <c r="O312" s="213"/>
      <c r="P312" s="213"/>
      <c r="Q312" s="213"/>
      <c r="R312" s="215"/>
      <c r="S312" s="213"/>
      <c r="T312" s="213"/>
      <c r="U312" s="213"/>
      <c r="V312" s="213"/>
      <c r="W312" s="213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</row>
    <row r="313" spans="1:36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213"/>
      <c r="G313" s="213"/>
      <c r="H313" s="213"/>
      <c r="I313" s="213"/>
      <c r="J313" s="214"/>
      <c r="K313" s="214"/>
      <c r="L313" s="214"/>
      <c r="M313" s="214"/>
      <c r="N313" s="221"/>
      <c r="O313" s="213"/>
      <c r="P313" s="213"/>
      <c r="Q313" s="213"/>
      <c r="R313" s="215"/>
      <c r="S313" s="213"/>
      <c r="T313" s="213"/>
      <c r="U313" s="213"/>
      <c r="V313" s="213"/>
      <c r="W313" s="213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</row>
    <row r="314" spans="1:36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213"/>
      <c r="G314" s="213"/>
      <c r="H314" s="213"/>
      <c r="I314" s="213"/>
      <c r="J314" s="214"/>
      <c r="K314" s="214"/>
      <c r="L314" s="214"/>
      <c r="M314" s="214"/>
      <c r="N314" s="221"/>
      <c r="O314" s="213"/>
      <c r="P314" s="213"/>
      <c r="Q314" s="213"/>
      <c r="R314" s="215"/>
      <c r="S314" s="213"/>
      <c r="T314" s="213"/>
      <c r="U314" s="213"/>
      <c r="V314" s="213"/>
      <c r="W314" s="213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</row>
    <row r="315" spans="1:36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213"/>
      <c r="G315" s="213"/>
      <c r="H315" s="213"/>
      <c r="I315" s="213"/>
      <c r="J315" s="214"/>
      <c r="K315" s="214"/>
      <c r="L315" s="214"/>
      <c r="M315" s="214"/>
      <c r="N315" s="221"/>
      <c r="O315" s="213"/>
      <c r="P315" s="213"/>
      <c r="Q315" s="213"/>
      <c r="R315" s="215"/>
      <c r="S315" s="213"/>
      <c r="T315" s="213"/>
      <c r="U315" s="213"/>
      <c r="V315" s="213"/>
      <c r="W315" s="213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</row>
    <row r="316" spans="1:36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213"/>
      <c r="G316" s="213"/>
      <c r="H316" s="213"/>
      <c r="I316" s="213"/>
      <c r="J316" s="214"/>
      <c r="K316" s="214"/>
      <c r="L316" s="214"/>
      <c r="M316" s="214"/>
      <c r="N316" s="221"/>
      <c r="O316" s="213"/>
      <c r="P316" s="213"/>
      <c r="Q316" s="213"/>
      <c r="R316" s="215"/>
      <c r="S316" s="213"/>
      <c r="T316" s="213"/>
      <c r="U316" s="213"/>
      <c r="V316" s="213"/>
      <c r="W316" s="213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</row>
    <row r="317" spans="1:36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213"/>
      <c r="G317" s="213"/>
      <c r="H317" s="213"/>
      <c r="I317" s="213"/>
      <c r="J317" s="214"/>
      <c r="K317" s="214"/>
      <c r="L317" s="214"/>
      <c r="M317" s="214"/>
      <c r="N317" s="221"/>
      <c r="O317" s="213"/>
      <c r="P317" s="213"/>
      <c r="Q317" s="213"/>
      <c r="R317" s="215"/>
      <c r="S317" s="213"/>
      <c r="T317" s="213"/>
      <c r="U317" s="213"/>
      <c r="V317" s="213"/>
      <c r="W317" s="213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</row>
    <row r="318" spans="1:36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213"/>
      <c r="G318" s="213"/>
      <c r="H318" s="213"/>
      <c r="I318" s="213"/>
      <c r="J318" s="214"/>
      <c r="K318" s="214"/>
      <c r="L318" s="214"/>
      <c r="M318" s="214"/>
      <c r="N318" s="221"/>
      <c r="O318" s="213"/>
      <c r="P318" s="213"/>
      <c r="Q318" s="213"/>
      <c r="R318" s="215"/>
      <c r="S318" s="213"/>
      <c r="T318" s="213"/>
      <c r="U318" s="213"/>
      <c r="V318" s="213"/>
      <c r="W318" s="213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</row>
    <row r="319" spans="1:36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213"/>
      <c r="G319" s="213"/>
      <c r="H319" s="213"/>
      <c r="I319" s="213"/>
      <c r="J319" s="214"/>
      <c r="K319" s="214"/>
      <c r="L319" s="214"/>
      <c r="M319" s="214"/>
      <c r="N319" s="221"/>
      <c r="O319" s="213"/>
      <c r="P319" s="213"/>
      <c r="Q319" s="213"/>
      <c r="R319" s="215"/>
      <c r="S319" s="213"/>
      <c r="T319" s="213"/>
      <c r="U319" s="213"/>
      <c r="V319" s="213"/>
      <c r="W319" s="213"/>
      <c r="X319" s="205"/>
      <c r="Y319" s="205"/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</row>
    <row r="320" spans="1:36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213"/>
      <c r="G320" s="213"/>
      <c r="H320" s="213"/>
      <c r="I320" s="213"/>
      <c r="J320" s="214"/>
      <c r="K320" s="214"/>
      <c r="L320" s="214"/>
      <c r="M320" s="214"/>
      <c r="N320" s="221"/>
      <c r="O320" s="213"/>
      <c r="P320" s="213"/>
      <c r="Q320" s="213"/>
      <c r="R320" s="215"/>
      <c r="S320" s="213"/>
      <c r="T320" s="213"/>
      <c r="U320" s="213"/>
      <c r="V320" s="213"/>
      <c r="W320" s="213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</row>
    <row r="321" spans="1:36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213"/>
      <c r="G321" s="213"/>
      <c r="H321" s="213"/>
      <c r="I321" s="213"/>
      <c r="J321" s="214"/>
      <c r="K321" s="214"/>
      <c r="L321" s="214"/>
      <c r="M321" s="214"/>
      <c r="N321" s="221"/>
      <c r="O321" s="213"/>
      <c r="P321" s="213"/>
      <c r="Q321" s="213"/>
      <c r="R321" s="215"/>
      <c r="S321" s="213"/>
      <c r="T321" s="213"/>
      <c r="U321" s="213"/>
      <c r="V321" s="213"/>
      <c r="W321" s="213"/>
      <c r="X321" s="205"/>
      <c r="Y321" s="205"/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</row>
    <row r="322" spans="1:36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213"/>
      <c r="G322" s="213"/>
      <c r="H322" s="213"/>
      <c r="I322" s="213"/>
      <c r="J322" s="214"/>
      <c r="K322" s="214"/>
      <c r="L322" s="214"/>
      <c r="M322" s="214"/>
      <c r="N322" s="221"/>
      <c r="O322" s="213"/>
      <c r="P322" s="213"/>
      <c r="Q322" s="213"/>
      <c r="R322" s="215"/>
      <c r="S322" s="213"/>
      <c r="T322" s="213"/>
      <c r="U322" s="213"/>
      <c r="V322" s="213"/>
      <c r="W322" s="213"/>
      <c r="X322" s="205"/>
      <c r="Y322" s="205"/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</row>
    <row r="323" spans="1:36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213"/>
      <c r="G323" s="213"/>
      <c r="H323" s="213"/>
      <c r="I323" s="213"/>
      <c r="J323" s="214"/>
      <c r="K323" s="214"/>
      <c r="L323" s="214"/>
      <c r="M323" s="214"/>
      <c r="N323" s="221"/>
      <c r="O323" s="213"/>
      <c r="P323" s="213"/>
      <c r="Q323" s="213"/>
      <c r="R323" s="215"/>
      <c r="S323" s="213"/>
      <c r="T323" s="213"/>
      <c r="U323" s="213"/>
      <c r="V323" s="213"/>
      <c r="W323" s="213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</row>
    <row r="324" spans="1:36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213"/>
      <c r="G324" s="213"/>
      <c r="H324" s="213"/>
      <c r="I324" s="213"/>
      <c r="J324" s="214"/>
      <c r="K324" s="214"/>
      <c r="L324" s="214"/>
      <c r="M324" s="214"/>
      <c r="N324" s="221"/>
      <c r="O324" s="213"/>
      <c r="P324" s="213"/>
      <c r="Q324" s="213"/>
      <c r="R324" s="215"/>
      <c r="S324" s="213"/>
      <c r="T324" s="213"/>
      <c r="U324" s="213"/>
      <c r="V324" s="213"/>
      <c r="W324" s="213"/>
      <c r="X324" s="205"/>
      <c r="Y324" s="205"/>
      <c r="Z324" s="205"/>
      <c r="AA324" s="205"/>
      <c r="AB324" s="205"/>
      <c r="AC324" s="205"/>
      <c r="AD324" s="205"/>
      <c r="AE324" s="205"/>
      <c r="AF324" s="205"/>
      <c r="AG324" s="205"/>
      <c r="AH324" s="205"/>
      <c r="AI324" s="205"/>
      <c r="AJ324" s="205"/>
    </row>
    <row r="325" spans="1:36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213"/>
      <c r="G325" s="213"/>
      <c r="H325" s="213"/>
      <c r="I325" s="213"/>
      <c r="J325" s="214"/>
      <c r="K325" s="214"/>
      <c r="L325" s="214"/>
      <c r="M325" s="214"/>
      <c r="N325" s="221"/>
      <c r="O325" s="213"/>
      <c r="P325" s="213"/>
      <c r="Q325" s="213"/>
      <c r="R325" s="215"/>
      <c r="S325" s="213"/>
      <c r="T325" s="213"/>
      <c r="U325" s="213"/>
      <c r="V325" s="213"/>
      <c r="W325" s="213"/>
      <c r="X325" s="205"/>
      <c r="Y325" s="205"/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</row>
    <row r="326" spans="1:36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213"/>
      <c r="G326" s="213"/>
      <c r="H326" s="213"/>
      <c r="I326" s="213"/>
      <c r="J326" s="214"/>
      <c r="K326" s="214"/>
      <c r="L326" s="214"/>
      <c r="M326" s="214"/>
      <c r="N326" s="221"/>
      <c r="O326" s="213"/>
      <c r="P326" s="213"/>
      <c r="Q326" s="213"/>
      <c r="R326" s="215"/>
      <c r="S326" s="213"/>
      <c r="T326" s="213"/>
      <c r="U326" s="213"/>
      <c r="V326" s="213"/>
      <c r="W326" s="213"/>
      <c r="X326" s="205"/>
      <c r="Y326" s="205"/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</row>
    <row r="327" spans="1:36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213"/>
      <c r="G327" s="213"/>
      <c r="H327" s="213"/>
      <c r="I327" s="213"/>
      <c r="J327" s="214"/>
      <c r="K327" s="214"/>
      <c r="L327" s="214"/>
      <c r="M327" s="214"/>
      <c r="N327" s="221"/>
      <c r="O327" s="213"/>
      <c r="P327" s="213"/>
      <c r="Q327" s="213"/>
      <c r="R327" s="215"/>
      <c r="S327" s="213"/>
      <c r="T327" s="213"/>
      <c r="U327" s="213"/>
      <c r="V327" s="213"/>
      <c r="W327" s="213"/>
      <c r="X327" s="205"/>
      <c r="Y327" s="205"/>
      <c r="Z327" s="205"/>
      <c r="AA327" s="205"/>
      <c r="AB327" s="205"/>
      <c r="AC327" s="205"/>
      <c r="AD327" s="205"/>
      <c r="AE327" s="205"/>
      <c r="AF327" s="205"/>
      <c r="AG327" s="205"/>
      <c r="AH327" s="205"/>
      <c r="AI327" s="205"/>
      <c r="AJ327" s="205"/>
    </row>
    <row r="328" spans="1:36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213"/>
      <c r="G328" s="213"/>
      <c r="H328" s="213"/>
      <c r="I328" s="213"/>
      <c r="J328" s="214"/>
      <c r="K328" s="214"/>
      <c r="L328" s="214"/>
      <c r="M328" s="214"/>
      <c r="N328" s="221"/>
      <c r="O328" s="213"/>
      <c r="P328" s="213"/>
      <c r="Q328" s="213"/>
      <c r="R328" s="215"/>
      <c r="S328" s="213"/>
      <c r="T328" s="213"/>
      <c r="U328" s="213"/>
      <c r="V328" s="213"/>
      <c r="W328" s="213"/>
      <c r="X328" s="205"/>
      <c r="Y328" s="205"/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</row>
    <row r="329" spans="1:36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213"/>
      <c r="G329" s="213"/>
      <c r="H329" s="213"/>
      <c r="I329" s="213"/>
      <c r="J329" s="214"/>
      <c r="K329" s="214"/>
      <c r="L329" s="214"/>
      <c r="M329" s="214"/>
      <c r="N329" s="221"/>
      <c r="O329" s="213"/>
      <c r="P329" s="213"/>
      <c r="Q329" s="213"/>
      <c r="R329" s="215"/>
      <c r="S329" s="213"/>
      <c r="T329" s="213"/>
      <c r="U329" s="213"/>
      <c r="V329" s="213"/>
      <c r="W329" s="213"/>
      <c r="X329" s="205"/>
      <c r="Y329" s="205"/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</row>
    <row r="330" spans="1:36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213"/>
      <c r="G330" s="213"/>
      <c r="H330" s="213"/>
      <c r="I330" s="213"/>
      <c r="J330" s="214"/>
      <c r="K330" s="214"/>
      <c r="L330" s="214"/>
      <c r="M330" s="214"/>
      <c r="N330" s="221"/>
      <c r="O330" s="213"/>
      <c r="P330" s="213"/>
      <c r="Q330" s="213"/>
      <c r="R330" s="215"/>
      <c r="S330" s="213"/>
      <c r="T330" s="213"/>
      <c r="U330" s="213"/>
      <c r="V330" s="213"/>
      <c r="W330" s="213"/>
      <c r="X330" s="205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  <c r="AJ330" s="205"/>
    </row>
    <row r="331" spans="1:36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213"/>
      <c r="G331" s="213"/>
      <c r="H331" s="213"/>
      <c r="I331" s="213"/>
      <c r="J331" s="214"/>
      <c r="K331" s="214"/>
      <c r="L331" s="214"/>
      <c r="M331" s="214"/>
      <c r="N331" s="221"/>
      <c r="O331" s="213"/>
      <c r="P331" s="213"/>
      <c r="Q331" s="213"/>
      <c r="R331" s="215"/>
      <c r="S331" s="213"/>
      <c r="T331" s="213"/>
      <c r="U331" s="213"/>
      <c r="V331" s="213"/>
      <c r="W331" s="213"/>
      <c r="X331" s="205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  <c r="AJ331" s="205"/>
    </row>
    <row r="332" spans="1:36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213"/>
      <c r="G332" s="213"/>
      <c r="H332" s="213"/>
      <c r="I332" s="213"/>
      <c r="J332" s="214"/>
      <c r="K332" s="214"/>
      <c r="L332" s="214"/>
      <c r="M332" s="214"/>
      <c r="N332" s="221"/>
      <c r="O332" s="213"/>
      <c r="P332" s="213"/>
      <c r="Q332" s="213"/>
      <c r="R332" s="215"/>
      <c r="S332" s="213"/>
      <c r="T332" s="213"/>
      <c r="U332" s="213"/>
      <c r="V332" s="213"/>
      <c r="W332" s="213"/>
      <c r="X332" s="205"/>
      <c r="Y332" s="205"/>
      <c r="Z332" s="205"/>
      <c r="AA332" s="205"/>
      <c r="AB332" s="205"/>
      <c r="AC332" s="205"/>
      <c r="AD332" s="205"/>
      <c r="AE332" s="205"/>
      <c r="AF332" s="205"/>
      <c r="AG332" s="205"/>
      <c r="AH332" s="205"/>
      <c r="AI332" s="205"/>
      <c r="AJ332" s="205"/>
    </row>
    <row r="333" spans="1:36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213"/>
      <c r="G333" s="213"/>
      <c r="H333" s="213"/>
      <c r="I333" s="213"/>
      <c r="J333" s="214"/>
      <c r="K333" s="214"/>
      <c r="L333" s="214"/>
      <c r="M333" s="214"/>
      <c r="N333" s="221"/>
      <c r="O333" s="213"/>
      <c r="P333" s="213"/>
      <c r="Q333" s="213"/>
      <c r="R333" s="215"/>
      <c r="S333" s="213"/>
      <c r="T333" s="213"/>
      <c r="U333" s="213"/>
      <c r="V333" s="213"/>
      <c r="W333" s="213"/>
      <c r="X333" s="205"/>
      <c r="Y333" s="205"/>
      <c r="Z333" s="205"/>
      <c r="AA333" s="205"/>
      <c r="AB333" s="205"/>
      <c r="AC333" s="205"/>
      <c r="AD333" s="205"/>
      <c r="AE333" s="205"/>
      <c r="AF333" s="205"/>
      <c r="AG333" s="205"/>
      <c r="AH333" s="205"/>
      <c r="AI333" s="205"/>
      <c r="AJ333" s="205"/>
    </row>
    <row r="334" spans="1:36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213"/>
      <c r="G334" s="213"/>
      <c r="H334" s="213"/>
      <c r="I334" s="213"/>
      <c r="J334" s="214"/>
      <c r="K334" s="214"/>
      <c r="L334" s="214"/>
      <c r="M334" s="214"/>
      <c r="N334" s="221"/>
      <c r="O334" s="213"/>
      <c r="P334" s="213"/>
      <c r="Q334" s="213"/>
      <c r="R334" s="215"/>
      <c r="S334" s="213"/>
      <c r="T334" s="213"/>
      <c r="U334" s="213"/>
      <c r="V334" s="213"/>
      <c r="W334" s="213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</row>
    <row r="335" spans="1:36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213"/>
      <c r="G335" s="213"/>
      <c r="H335" s="213"/>
      <c r="I335" s="213"/>
      <c r="J335" s="214"/>
      <c r="K335" s="214"/>
      <c r="L335" s="214"/>
      <c r="M335" s="214"/>
      <c r="N335" s="221"/>
      <c r="O335" s="213"/>
      <c r="P335" s="213"/>
      <c r="Q335" s="213"/>
      <c r="R335" s="215"/>
      <c r="S335" s="213"/>
      <c r="T335" s="213"/>
      <c r="U335" s="213"/>
      <c r="V335" s="213"/>
      <c r="W335" s="213"/>
      <c r="X335" s="205"/>
      <c r="Y335" s="205"/>
      <c r="Z335" s="205"/>
      <c r="AA335" s="205"/>
      <c r="AB335" s="205"/>
      <c r="AC335" s="205"/>
      <c r="AD335" s="205"/>
      <c r="AE335" s="205"/>
      <c r="AF335" s="205"/>
      <c r="AG335" s="205"/>
      <c r="AH335" s="205"/>
      <c r="AI335" s="205"/>
      <c r="AJ335" s="205"/>
    </row>
    <row r="336" spans="1:36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213"/>
      <c r="G336" s="213"/>
      <c r="H336" s="213"/>
      <c r="I336" s="213"/>
      <c r="J336" s="214"/>
      <c r="K336" s="214"/>
      <c r="L336" s="214"/>
      <c r="M336" s="214"/>
      <c r="N336" s="221"/>
      <c r="O336" s="213"/>
      <c r="P336" s="213"/>
      <c r="Q336" s="213"/>
      <c r="R336" s="215"/>
      <c r="S336" s="213"/>
      <c r="T336" s="213"/>
      <c r="U336" s="213"/>
      <c r="V336" s="213"/>
      <c r="W336" s="213"/>
      <c r="X336" s="205"/>
      <c r="Y336" s="205"/>
      <c r="Z336" s="205"/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</row>
    <row r="337" spans="1:36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213"/>
      <c r="G337" s="213"/>
      <c r="H337" s="213"/>
      <c r="I337" s="213"/>
      <c r="J337" s="214"/>
      <c r="K337" s="214"/>
      <c r="L337" s="214"/>
      <c r="M337" s="214"/>
      <c r="N337" s="221"/>
      <c r="O337" s="213"/>
      <c r="P337" s="213"/>
      <c r="Q337" s="213"/>
      <c r="R337" s="215"/>
      <c r="S337" s="213"/>
      <c r="T337" s="213"/>
      <c r="U337" s="213"/>
      <c r="V337" s="213"/>
      <c r="W337" s="213"/>
      <c r="X337" s="205"/>
      <c r="Y337" s="205"/>
      <c r="Z337" s="205"/>
      <c r="AA337" s="205"/>
      <c r="AB337" s="205"/>
      <c r="AC337" s="205"/>
      <c r="AD337" s="205"/>
      <c r="AE337" s="205"/>
      <c r="AF337" s="205"/>
      <c r="AG337" s="205"/>
      <c r="AH337" s="205"/>
      <c r="AI337" s="205"/>
      <c r="AJ337" s="205"/>
    </row>
    <row r="338" spans="1:36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213"/>
      <c r="G338" s="213"/>
      <c r="H338" s="213"/>
      <c r="I338" s="213"/>
      <c r="J338" s="214"/>
      <c r="K338" s="214"/>
      <c r="L338" s="214"/>
      <c r="M338" s="214"/>
      <c r="N338" s="221"/>
      <c r="O338" s="213"/>
      <c r="P338" s="213"/>
      <c r="Q338" s="213"/>
      <c r="R338" s="215"/>
      <c r="S338" s="213"/>
      <c r="T338" s="213"/>
      <c r="U338" s="213"/>
      <c r="V338" s="213"/>
      <c r="W338" s="213"/>
      <c r="X338" s="205"/>
      <c r="Y338" s="205"/>
      <c r="Z338" s="205"/>
      <c r="AA338" s="205"/>
      <c r="AB338" s="205"/>
      <c r="AC338" s="205"/>
      <c r="AD338" s="205"/>
      <c r="AE338" s="205"/>
      <c r="AF338" s="205"/>
      <c r="AG338" s="205"/>
      <c r="AH338" s="205"/>
      <c r="AI338" s="205"/>
      <c r="AJ338" s="205"/>
    </row>
    <row r="339" spans="1:36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213"/>
      <c r="G339" s="213"/>
      <c r="H339" s="213"/>
      <c r="I339" s="213"/>
      <c r="J339" s="214"/>
      <c r="K339" s="214"/>
      <c r="L339" s="214"/>
      <c r="M339" s="214"/>
      <c r="N339" s="221"/>
      <c r="O339" s="213"/>
      <c r="P339" s="213"/>
      <c r="Q339" s="213"/>
      <c r="R339" s="215"/>
      <c r="S339" s="213"/>
      <c r="T339" s="213"/>
      <c r="U339" s="213"/>
      <c r="V339" s="213"/>
      <c r="W339" s="213"/>
      <c r="X339" s="205"/>
      <c r="Y339" s="205"/>
      <c r="Z339" s="205"/>
      <c r="AA339" s="205"/>
      <c r="AB339" s="205"/>
      <c r="AC339" s="205"/>
      <c r="AD339" s="205"/>
      <c r="AE339" s="205"/>
      <c r="AF339" s="205"/>
      <c r="AG339" s="205"/>
      <c r="AH339" s="205"/>
      <c r="AI339" s="205"/>
      <c r="AJ339" s="205"/>
    </row>
    <row r="340" spans="1:36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213"/>
      <c r="G340" s="213"/>
      <c r="H340" s="213"/>
      <c r="I340" s="213"/>
      <c r="J340" s="214"/>
      <c r="K340" s="214"/>
      <c r="L340" s="214"/>
      <c r="M340" s="214"/>
      <c r="N340" s="221"/>
      <c r="O340" s="213"/>
      <c r="P340" s="213"/>
      <c r="Q340" s="213"/>
      <c r="R340" s="215"/>
      <c r="S340" s="213"/>
      <c r="T340" s="213"/>
      <c r="U340" s="213"/>
      <c r="V340" s="213"/>
      <c r="W340" s="213"/>
      <c r="X340" s="205"/>
      <c r="Y340" s="205"/>
      <c r="Z340" s="205"/>
      <c r="AA340" s="205"/>
      <c r="AB340" s="205"/>
      <c r="AC340" s="205"/>
      <c r="AD340" s="205"/>
      <c r="AE340" s="205"/>
      <c r="AF340" s="205"/>
      <c r="AG340" s="205"/>
      <c r="AH340" s="205"/>
      <c r="AI340" s="205"/>
      <c r="AJ340" s="205"/>
    </row>
    <row r="341" spans="1:36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213"/>
      <c r="G341" s="213"/>
      <c r="H341" s="213"/>
      <c r="I341" s="213"/>
      <c r="J341" s="214"/>
      <c r="K341" s="214"/>
      <c r="L341" s="214"/>
      <c r="M341" s="214"/>
      <c r="N341" s="221"/>
      <c r="O341" s="213"/>
      <c r="P341" s="213"/>
      <c r="Q341" s="213"/>
      <c r="R341" s="215"/>
      <c r="S341" s="213"/>
      <c r="T341" s="213"/>
      <c r="U341" s="213"/>
      <c r="V341" s="213"/>
      <c r="W341" s="213"/>
      <c r="X341" s="205"/>
      <c r="Y341" s="205"/>
      <c r="Z341" s="205"/>
      <c r="AA341" s="205"/>
      <c r="AB341" s="205"/>
      <c r="AC341" s="205"/>
      <c r="AD341" s="205"/>
      <c r="AE341" s="205"/>
      <c r="AF341" s="205"/>
      <c r="AG341" s="205"/>
      <c r="AH341" s="205"/>
      <c r="AI341" s="205"/>
      <c r="AJ341" s="205"/>
    </row>
    <row r="342" spans="1:36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213"/>
      <c r="G342" s="213"/>
      <c r="H342" s="213"/>
      <c r="I342" s="213"/>
      <c r="J342" s="214"/>
      <c r="K342" s="214"/>
      <c r="L342" s="214"/>
      <c r="M342" s="214"/>
      <c r="N342" s="221"/>
      <c r="O342" s="213"/>
      <c r="P342" s="213"/>
      <c r="Q342" s="213"/>
      <c r="R342" s="215"/>
      <c r="S342" s="213"/>
      <c r="T342" s="213"/>
      <c r="U342" s="213"/>
      <c r="V342" s="213"/>
      <c r="W342" s="213"/>
      <c r="X342" s="205"/>
      <c r="Y342" s="205"/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</row>
    <row r="343" spans="1:36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213"/>
      <c r="G343" s="213"/>
      <c r="H343" s="213"/>
      <c r="I343" s="213"/>
      <c r="J343" s="214"/>
      <c r="K343" s="214"/>
      <c r="L343" s="214"/>
      <c r="M343" s="214"/>
      <c r="N343" s="221"/>
      <c r="O343" s="213"/>
      <c r="P343" s="213"/>
      <c r="Q343" s="213"/>
      <c r="R343" s="215"/>
      <c r="S343" s="213"/>
      <c r="T343" s="213"/>
      <c r="U343" s="213"/>
      <c r="V343" s="213"/>
      <c r="W343" s="213"/>
      <c r="X343" s="205"/>
      <c r="Y343" s="205"/>
      <c r="Z343" s="205"/>
      <c r="AA343" s="205"/>
      <c r="AB343" s="205"/>
      <c r="AC343" s="205"/>
      <c r="AD343" s="205"/>
      <c r="AE343" s="205"/>
      <c r="AF343" s="205"/>
      <c r="AG343" s="205"/>
      <c r="AH343" s="205"/>
      <c r="AI343" s="205"/>
      <c r="AJ343" s="205"/>
    </row>
    <row r="344" spans="1:36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213"/>
      <c r="G344" s="213"/>
      <c r="H344" s="213"/>
      <c r="I344" s="213"/>
      <c r="J344" s="214"/>
      <c r="K344" s="214"/>
      <c r="L344" s="214"/>
      <c r="M344" s="214"/>
      <c r="N344" s="221"/>
      <c r="O344" s="213"/>
      <c r="P344" s="213"/>
      <c r="Q344" s="213"/>
      <c r="R344" s="215"/>
      <c r="S344" s="213"/>
      <c r="T344" s="213"/>
      <c r="U344" s="213"/>
      <c r="V344" s="213"/>
      <c r="W344" s="213"/>
      <c r="X344" s="205"/>
      <c r="Y344" s="205"/>
      <c r="Z344" s="205"/>
      <c r="AA344" s="205"/>
      <c r="AB344" s="205"/>
      <c r="AC344" s="205"/>
      <c r="AD344" s="205"/>
      <c r="AE344" s="205"/>
      <c r="AF344" s="205"/>
      <c r="AG344" s="205"/>
      <c r="AH344" s="205"/>
      <c r="AI344" s="205"/>
      <c r="AJ344" s="205"/>
    </row>
    <row r="345" spans="1:36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213"/>
      <c r="G345" s="213"/>
      <c r="H345" s="213"/>
      <c r="I345" s="213"/>
      <c r="J345" s="214"/>
      <c r="K345" s="214"/>
      <c r="L345" s="214"/>
      <c r="M345" s="214"/>
      <c r="N345" s="221"/>
      <c r="O345" s="213"/>
      <c r="P345" s="213"/>
      <c r="Q345" s="213"/>
      <c r="R345" s="215"/>
      <c r="S345" s="213"/>
      <c r="T345" s="213"/>
      <c r="U345" s="213"/>
      <c r="V345" s="213"/>
      <c r="W345" s="213"/>
      <c r="X345" s="205"/>
      <c r="Y345" s="205"/>
      <c r="Z345" s="205"/>
      <c r="AA345" s="205"/>
      <c r="AB345" s="205"/>
      <c r="AC345" s="205"/>
      <c r="AD345" s="205"/>
      <c r="AE345" s="205"/>
      <c r="AF345" s="205"/>
      <c r="AG345" s="205"/>
      <c r="AH345" s="205"/>
      <c r="AI345" s="205"/>
      <c r="AJ345" s="205"/>
    </row>
    <row r="346" spans="1:36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213"/>
      <c r="G346" s="213"/>
      <c r="H346" s="213"/>
      <c r="I346" s="213"/>
      <c r="J346" s="214"/>
      <c r="K346" s="214"/>
      <c r="L346" s="214"/>
      <c r="M346" s="214"/>
      <c r="N346" s="221"/>
      <c r="O346" s="213"/>
      <c r="P346" s="213"/>
      <c r="Q346" s="213"/>
      <c r="R346" s="215"/>
      <c r="S346" s="213"/>
      <c r="T346" s="213"/>
      <c r="U346" s="213"/>
      <c r="V346" s="213"/>
      <c r="W346" s="213"/>
      <c r="X346" s="205"/>
      <c r="Y346" s="205"/>
      <c r="Z346" s="205"/>
      <c r="AA346" s="205"/>
      <c r="AB346" s="205"/>
      <c r="AC346" s="205"/>
      <c r="AD346" s="205"/>
      <c r="AE346" s="205"/>
      <c r="AF346" s="205"/>
      <c r="AG346" s="205"/>
      <c r="AH346" s="205"/>
      <c r="AI346" s="205"/>
      <c r="AJ346" s="205"/>
    </row>
    <row r="347" spans="1:36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213"/>
      <c r="G347" s="213"/>
      <c r="H347" s="213"/>
      <c r="I347" s="213"/>
      <c r="J347" s="214"/>
      <c r="K347" s="214"/>
      <c r="L347" s="214"/>
      <c r="M347" s="214"/>
      <c r="N347" s="221"/>
      <c r="O347" s="213"/>
      <c r="P347" s="213"/>
      <c r="Q347" s="213"/>
      <c r="R347" s="215"/>
      <c r="S347" s="213"/>
      <c r="T347" s="213"/>
      <c r="U347" s="213"/>
      <c r="V347" s="213"/>
      <c r="W347" s="213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</row>
    <row r="348" spans="1:36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213"/>
      <c r="G348" s="213"/>
      <c r="H348" s="213"/>
      <c r="I348" s="213"/>
      <c r="J348" s="214"/>
      <c r="K348" s="214"/>
      <c r="L348" s="214"/>
      <c r="M348" s="214"/>
      <c r="N348" s="221"/>
      <c r="O348" s="213"/>
      <c r="P348" s="213"/>
      <c r="Q348" s="213"/>
      <c r="R348" s="215"/>
      <c r="S348" s="213"/>
      <c r="T348" s="213"/>
      <c r="U348" s="213"/>
      <c r="V348" s="213"/>
      <c r="W348" s="213"/>
      <c r="X348" s="205"/>
      <c r="Y348" s="205"/>
      <c r="Z348" s="205"/>
      <c r="AA348" s="205"/>
      <c r="AB348" s="205"/>
      <c r="AC348" s="205"/>
      <c r="AD348" s="205"/>
      <c r="AE348" s="205"/>
      <c r="AF348" s="205"/>
      <c r="AG348" s="205"/>
      <c r="AH348" s="205"/>
      <c r="AI348" s="205"/>
      <c r="AJ348" s="205"/>
    </row>
    <row r="349" spans="1:36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213"/>
      <c r="G349" s="213"/>
      <c r="H349" s="213"/>
      <c r="I349" s="213"/>
      <c r="J349" s="214"/>
      <c r="K349" s="214"/>
      <c r="L349" s="214"/>
      <c r="M349" s="214"/>
      <c r="N349" s="221"/>
      <c r="O349" s="213"/>
      <c r="P349" s="213"/>
      <c r="Q349" s="213"/>
      <c r="R349" s="215"/>
      <c r="S349" s="213"/>
      <c r="T349" s="213"/>
      <c r="U349" s="213"/>
      <c r="V349" s="213"/>
      <c r="W349" s="213"/>
      <c r="X349" s="205"/>
      <c r="Y349" s="205"/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</row>
    <row r="350" spans="1:36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213"/>
      <c r="G350" s="213"/>
      <c r="H350" s="213"/>
      <c r="I350" s="213"/>
      <c r="J350" s="214"/>
      <c r="K350" s="214"/>
      <c r="L350" s="214"/>
      <c r="M350" s="214"/>
      <c r="N350" s="221"/>
      <c r="O350" s="213"/>
      <c r="P350" s="213"/>
      <c r="Q350" s="213"/>
      <c r="R350" s="215"/>
      <c r="S350" s="213"/>
      <c r="T350" s="213"/>
      <c r="U350" s="213"/>
      <c r="V350" s="213"/>
      <c r="W350" s="213"/>
      <c r="X350" s="205"/>
      <c r="Y350" s="205"/>
      <c r="Z350" s="205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</row>
    <row r="351" spans="1:36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213"/>
      <c r="G351" s="213"/>
      <c r="H351" s="213"/>
      <c r="I351" s="213"/>
      <c r="J351" s="214"/>
      <c r="K351" s="214"/>
      <c r="L351" s="214"/>
      <c r="M351" s="214"/>
      <c r="N351" s="221"/>
      <c r="O351" s="213"/>
      <c r="P351" s="213"/>
      <c r="Q351" s="213"/>
      <c r="R351" s="215"/>
      <c r="S351" s="213"/>
      <c r="T351" s="213"/>
      <c r="U351" s="213"/>
      <c r="V351" s="213"/>
      <c r="W351" s="213"/>
      <c r="X351" s="205"/>
      <c r="Y351" s="205"/>
      <c r="Z351" s="205"/>
      <c r="AA351" s="205"/>
      <c r="AB351" s="205"/>
      <c r="AC351" s="205"/>
      <c r="AD351" s="205"/>
      <c r="AE351" s="205"/>
      <c r="AF351" s="205"/>
      <c r="AG351" s="205"/>
      <c r="AH351" s="205"/>
      <c r="AI351" s="205"/>
      <c r="AJ351" s="205"/>
    </row>
    <row r="352" spans="1:36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213"/>
      <c r="G352" s="213"/>
      <c r="H352" s="213"/>
      <c r="I352" s="213"/>
      <c r="J352" s="214"/>
      <c r="K352" s="214"/>
      <c r="L352" s="214"/>
      <c r="M352" s="214"/>
      <c r="N352" s="221"/>
      <c r="O352" s="213"/>
      <c r="P352" s="213"/>
      <c r="Q352" s="213"/>
      <c r="R352" s="215"/>
      <c r="S352" s="213"/>
      <c r="T352" s="213"/>
      <c r="U352" s="213"/>
      <c r="V352" s="213"/>
      <c r="W352" s="213"/>
      <c r="X352" s="205"/>
      <c r="Y352" s="205"/>
      <c r="Z352" s="205"/>
      <c r="AA352" s="205"/>
      <c r="AB352" s="205"/>
      <c r="AC352" s="205"/>
      <c r="AD352" s="205"/>
      <c r="AE352" s="205"/>
      <c r="AF352" s="205"/>
      <c r="AG352" s="205"/>
      <c r="AH352" s="205"/>
      <c r="AI352" s="205"/>
      <c r="AJ352" s="205"/>
    </row>
    <row r="353" spans="1:36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213"/>
      <c r="G353" s="213"/>
      <c r="H353" s="213"/>
      <c r="I353" s="213"/>
      <c r="J353" s="214"/>
      <c r="K353" s="214"/>
      <c r="L353" s="214"/>
      <c r="M353" s="214"/>
      <c r="N353" s="221"/>
      <c r="O353" s="213"/>
      <c r="P353" s="213"/>
      <c r="Q353" s="213"/>
      <c r="R353" s="215"/>
      <c r="S353" s="213"/>
      <c r="T353" s="213"/>
      <c r="U353" s="213"/>
      <c r="V353" s="213"/>
      <c r="W353" s="213"/>
      <c r="X353" s="205"/>
      <c r="Y353" s="205"/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5"/>
      <c r="AJ353" s="205"/>
    </row>
    <row r="354" spans="1:36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213"/>
      <c r="G354" s="213"/>
      <c r="H354" s="213"/>
      <c r="I354" s="213"/>
      <c r="J354" s="214"/>
      <c r="K354" s="214"/>
      <c r="L354" s="214"/>
      <c r="M354" s="214"/>
      <c r="N354" s="221"/>
      <c r="O354" s="213"/>
      <c r="P354" s="213"/>
      <c r="Q354" s="213"/>
      <c r="R354" s="215"/>
      <c r="S354" s="213"/>
      <c r="T354" s="213"/>
      <c r="U354" s="213"/>
      <c r="V354" s="213"/>
      <c r="W354" s="213"/>
      <c r="X354" s="205"/>
      <c r="Y354" s="205"/>
      <c r="Z354" s="205"/>
      <c r="AA354" s="205"/>
      <c r="AB354" s="205"/>
      <c r="AC354" s="205"/>
      <c r="AD354" s="205"/>
      <c r="AE354" s="205"/>
      <c r="AF354" s="205"/>
      <c r="AG354" s="205"/>
      <c r="AH354" s="205"/>
      <c r="AI354" s="205"/>
      <c r="AJ354" s="205"/>
    </row>
    <row r="355" spans="1:36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213"/>
      <c r="G355" s="213"/>
      <c r="H355" s="213"/>
      <c r="I355" s="213"/>
      <c r="J355" s="214"/>
      <c r="K355" s="214"/>
      <c r="L355" s="214"/>
      <c r="M355" s="214"/>
      <c r="N355" s="221"/>
      <c r="O355" s="213"/>
      <c r="P355" s="213"/>
      <c r="Q355" s="213"/>
      <c r="R355" s="215"/>
      <c r="S355" s="213"/>
      <c r="T355" s="213"/>
      <c r="U355" s="213"/>
      <c r="V355" s="213"/>
      <c r="W355" s="213"/>
      <c r="X355" s="205"/>
      <c r="Y355" s="205"/>
      <c r="Z355" s="205"/>
      <c r="AA355" s="205"/>
      <c r="AB355" s="205"/>
      <c r="AC355" s="205"/>
      <c r="AD355" s="205"/>
      <c r="AE355" s="205"/>
      <c r="AF355" s="205"/>
      <c r="AG355" s="205"/>
      <c r="AH355" s="205"/>
      <c r="AI355" s="205"/>
      <c r="AJ355" s="205"/>
    </row>
    <row r="356" spans="1:36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213"/>
      <c r="G356" s="213"/>
      <c r="H356" s="213"/>
      <c r="I356" s="213"/>
      <c r="J356" s="214"/>
      <c r="K356" s="214"/>
      <c r="L356" s="214"/>
      <c r="M356" s="214"/>
      <c r="N356" s="221"/>
      <c r="O356" s="213"/>
      <c r="P356" s="213"/>
      <c r="Q356" s="213"/>
      <c r="R356" s="215"/>
      <c r="S356" s="213"/>
      <c r="T356" s="213"/>
      <c r="U356" s="213"/>
      <c r="V356" s="213"/>
      <c r="W356" s="213"/>
      <c r="X356" s="205"/>
      <c r="Y356" s="205"/>
      <c r="Z356" s="205"/>
      <c r="AA356" s="205"/>
      <c r="AB356" s="205"/>
      <c r="AC356" s="205"/>
      <c r="AD356" s="205"/>
      <c r="AE356" s="205"/>
      <c r="AF356" s="205"/>
      <c r="AG356" s="205"/>
      <c r="AH356" s="205"/>
      <c r="AI356" s="205"/>
      <c r="AJ356" s="205"/>
    </row>
    <row r="357" spans="1:36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213"/>
      <c r="G357" s="213"/>
      <c r="H357" s="213"/>
      <c r="I357" s="213"/>
      <c r="J357" s="214"/>
      <c r="K357" s="214"/>
      <c r="L357" s="214"/>
      <c r="M357" s="214"/>
      <c r="N357" s="221"/>
      <c r="O357" s="213"/>
      <c r="P357" s="213"/>
      <c r="Q357" s="213"/>
      <c r="R357" s="215"/>
      <c r="S357" s="213"/>
      <c r="T357" s="213"/>
      <c r="U357" s="213"/>
      <c r="V357" s="213"/>
      <c r="W357" s="213"/>
      <c r="X357" s="205"/>
      <c r="Y357" s="205"/>
      <c r="Z357" s="205"/>
      <c r="AA357" s="205"/>
      <c r="AB357" s="205"/>
      <c r="AC357" s="205"/>
      <c r="AD357" s="205"/>
      <c r="AE357" s="205"/>
      <c r="AF357" s="205"/>
      <c r="AG357" s="205"/>
      <c r="AH357" s="205"/>
      <c r="AI357" s="205"/>
      <c r="AJ357" s="205"/>
    </row>
    <row r="358" spans="1:36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213"/>
      <c r="G358" s="213"/>
      <c r="H358" s="213"/>
      <c r="I358" s="213"/>
      <c r="J358" s="214"/>
      <c r="K358" s="214"/>
      <c r="L358" s="214"/>
      <c r="M358" s="214"/>
      <c r="N358" s="221"/>
      <c r="O358" s="213"/>
      <c r="P358" s="213"/>
      <c r="Q358" s="213"/>
      <c r="R358" s="215"/>
      <c r="S358" s="213"/>
      <c r="T358" s="213"/>
      <c r="U358" s="213"/>
      <c r="V358" s="213"/>
      <c r="W358" s="213"/>
      <c r="X358" s="205"/>
      <c r="Y358" s="205"/>
      <c r="Z358" s="205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</row>
    <row r="359" spans="1:36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213"/>
      <c r="G359" s="213"/>
      <c r="H359" s="213"/>
      <c r="I359" s="213"/>
      <c r="J359" s="214"/>
      <c r="K359" s="214"/>
      <c r="L359" s="214"/>
      <c r="M359" s="214"/>
      <c r="N359" s="221"/>
      <c r="O359" s="213"/>
      <c r="P359" s="213"/>
      <c r="Q359" s="213"/>
      <c r="R359" s="215"/>
      <c r="S359" s="213"/>
      <c r="T359" s="213"/>
      <c r="U359" s="213"/>
      <c r="V359" s="213"/>
      <c r="W359" s="213"/>
      <c r="X359" s="205"/>
      <c r="Y359" s="205"/>
      <c r="Z359" s="205"/>
      <c r="AA359" s="205"/>
      <c r="AB359" s="205"/>
      <c r="AC359" s="205"/>
      <c r="AD359" s="205"/>
      <c r="AE359" s="205"/>
      <c r="AF359" s="205"/>
      <c r="AG359" s="205"/>
      <c r="AH359" s="205"/>
      <c r="AI359" s="205"/>
      <c r="AJ359" s="205"/>
    </row>
    <row r="360" spans="1:36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213"/>
      <c r="G360" s="213"/>
      <c r="H360" s="213"/>
      <c r="I360" s="213"/>
      <c r="J360" s="214"/>
      <c r="K360" s="214"/>
      <c r="L360" s="214"/>
      <c r="M360" s="214"/>
      <c r="N360" s="221"/>
      <c r="O360" s="213"/>
      <c r="P360" s="213"/>
      <c r="Q360" s="213"/>
      <c r="R360" s="215"/>
      <c r="S360" s="213"/>
      <c r="T360" s="213"/>
      <c r="U360" s="213"/>
      <c r="V360" s="213"/>
      <c r="W360" s="213"/>
      <c r="X360" s="205"/>
      <c r="Y360" s="205"/>
      <c r="Z360" s="205"/>
      <c r="AA360" s="205"/>
      <c r="AB360" s="205"/>
      <c r="AC360" s="205"/>
      <c r="AD360" s="205"/>
      <c r="AE360" s="205"/>
      <c r="AF360" s="205"/>
      <c r="AG360" s="205"/>
      <c r="AH360" s="205"/>
      <c r="AI360" s="205"/>
      <c r="AJ360" s="205"/>
    </row>
    <row r="361" spans="1:36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213"/>
      <c r="G361" s="213"/>
      <c r="H361" s="213"/>
      <c r="I361" s="213"/>
      <c r="J361" s="214"/>
      <c r="K361" s="214"/>
      <c r="L361" s="214"/>
      <c r="M361" s="214"/>
      <c r="N361" s="221"/>
      <c r="O361" s="213"/>
      <c r="P361" s="213"/>
      <c r="Q361" s="213"/>
      <c r="R361" s="215"/>
      <c r="S361" s="213"/>
      <c r="T361" s="213"/>
      <c r="U361" s="213"/>
      <c r="V361" s="213"/>
      <c r="W361" s="213"/>
      <c r="X361" s="205"/>
      <c r="Y361" s="205"/>
      <c r="Z361" s="205"/>
      <c r="AA361" s="205"/>
      <c r="AB361" s="205"/>
      <c r="AC361" s="205"/>
      <c r="AD361" s="205"/>
      <c r="AE361" s="205"/>
      <c r="AF361" s="205"/>
      <c r="AG361" s="205"/>
      <c r="AH361" s="205"/>
      <c r="AI361" s="205"/>
      <c r="AJ361" s="205"/>
    </row>
    <row r="362" spans="1:36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213"/>
      <c r="G362" s="213"/>
      <c r="H362" s="213"/>
      <c r="I362" s="213"/>
      <c r="J362" s="214"/>
      <c r="K362" s="214"/>
      <c r="L362" s="214"/>
      <c r="M362" s="214"/>
      <c r="N362" s="221"/>
      <c r="O362" s="213"/>
      <c r="P362" s="213"/>
      <c r="Q362" s="213"/>
      <c r="R362" s="215"/>
      <c r="S362" s="213"/>
      <c r="T362" s="213"/>
      <c r="U362" s="213"/>
      <c r="V362" s="213"/>
      <c r="W362" s="213"/>
      <c r="X362" s="205"/>
      <c r="Y362" s="205"/>
      <c r="Z362" s="205"/>
      <c r="AA362" s="205"/>
      <c r="AB362" s="205"/>
      <c r="AC362" s="205"/>
      <c r="AD362" s="205"/>
      <c r="AE362" s="205"/>
      <c r="AF362" s="205"/>
      <c r="AG362" s="205"/>
      <c r="AH362" s="205"/>
      <c r="AI362" s="205"/>
      <c r="AJ362" s="205"/>
    </row>
    <row r="363" spans="1:36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213"/>
      <c r="G363" s="213"/>
      <c r="H363" s="213"/>
      <c r="I363" s="213"/>
      <c r="J363" s="214"/>
      <c r="K363" s="214"/>
      <c r="L363" s="214"/>
      <c r="M363" s="214"/>
      <c r="N363" s="221"/>
      <c r="O363" s="213"/>
      <c r="P363" s="213"/>
      <c r="Q363" s="213"/>
      <c r="R363" s="215"/>
      <c r="S363" s="213"/>
      <c r="T363" s="213"/>
      <c r="U363" s="213"/>
      <c r="V363" s="213"/>
      <c r="W363" s="213"/>
      <c r="X363" s="205"/>
      <c r="Y363" s="205"/>
      <c r="Z363" s="205"/>
      <c r="AA363" s="205"/>
      <c r="AB363" s="205"/>
      <c r="AC363" s="205"/>
      <c r="AD363" s="205"/>
      <c r="AE363" s="205"/>
      <c r="AF363" s="205"/>
      <c r="AG363" s="205"/>
      <c r="AH363" s="205"/>
      <c r="AI363" s="205"/>
      <c r="AJ363" s="205"/>
    </row>
    <row r="364" spans="1:36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213"/>
      <c r="G364" s="213"/>
      <c r="H364" s="213"/>
      <c r="I364" s="213"/>
      <c r="J364" s="214"/>
      <c r="K364" s="214"/>
      <c r="L364" s="214"/>
      <c r="M364" s="214"/>
      <c r="N364" s="221"/>
      <c r="O364" s="213"/>
      <c r="P364" s="213"/>
      <c r="Q364" s="213"/>
      <c r="R364" s="215"/>
      <c r="S364" s="213"/>
      <c r="T364" s="213"/>
      <c r="U364" s="213"/>
      <c r="V364" s="213"/>
      <c r="W364" s="213"/>
      <c r="X364" s="205"/>
      <c r="Y364" s="205"/>
      <c r="Z364" s="205"/>
      <c r="AA364" s="205"/>
      <c r="AB364" s="205"/>
      <c r="AC364" s="205"/>
      <c r="AD364" s="205"/>
      <c r="AE364" s="205"/>
      <c r="AF364" s="205"/>
      <c r="AG364" s="205"/>
      <c r="AH364" s="205"/>
      <c r="AI364" s="205"/>
      <c r="AJ364" s="205"/>
    </row>
    <row r="365" spans="1:36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213"/>
      <c r="G365" s="213"/>
      <c r="H365" s="213"/>
      <c r="I365" s="213"/>
      <c r="J365" s="214"/>
      <c r="K365" s="214"/>
      <c r="L365" s="214"/>
      <c r="M365" s="214"/>
      <c r="N365" s="221"/>
      <c r="O365" s="213"/>
      <c r="P365" s="213"/>
      <c r="Q365" s="213"/>
      <c r="R365" s="215"/>
      <c r="S365" s="213"/>
      <c r="T365" s="213"/>
      <c r="U365" s="213"/>
      <c r="V365" s="213"/>
      <c r="W365" s="213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</row>
    <row r="366" spans="1:36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213"/>
      <c r="G366" s="213"/>
      <c r="H366" s="213"/>
      <c r="I366" s="213"/>
      <c r="J366" s="214"/>
      <c r="K366" s="214"/>
      <c r="L366" s="214"/>
      <c r="M366" s="214"/>
      <c r="N366" s="221"/>
      <c r="O366" s="213"/>
      <c r="P366" s="213"/>
      <c r="Q366" s="213"/>
      <c r="R366" s="215"/>
      <c r="S366" s="213"/>
      <c r="T366" s="213"/>
      <c r="U366" s="213"/>
      <c r="V366" s="213"/>
      <c r="W366" s="213"/>
      <c r="X366" s="205"/>
      <c r="Y366" s="205"/>
      <c r="Z366" s="205"/>
      <c r="AA366" s="205"/>
      <c r="AB366" s="205"/>
      <c r="AC366" s="205"/>
      <c r="AD366" s="205"/>
      <c r="AE366" s="205"/>
      <c r="AF366" s="205"/>
      <c r="AG366" s="205"/>
      <c r="AH366" s="205"/>
      <c r="AI366" s="205"/>
      <c r="AJ366" s="205"/>
    </row>
    <row r="367" spans="1:36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213"/>
      <c r="G367" s="213"/>
      <c r="H367" s="213"/>
      <c r="I367" s="213"/>
      <c r="J367" s="214"/>
      <c r="K367" s="214"/>
      <c r="L367" s="214"/>
      <c r="M367" s="214"/>
      <c r="N367" s="221"/>
      <c r="O367" s="213"/>
      <c r="P367" s="213"/>
      <c r="Q367" s="213"/>
      <c r="R367" s="215"/>
      <c r="S367" s="213"/>
      <c r="T367" s="213"/>
      <c r="U367" s="213"/>
      <c r="V367" s="213"/>
      <c r="W367" s="213"/>
      <c r="X367" s="205"/>
      <c r="Y367" s="205"/>
      <c r="Z367" s="205"/>
      <c r="AA367" s="205"/>
      <c r="AB367" s="205"/>
      <c r="AC367" s="205"/>
      <c r="AD367" s="205"/>
      <c r="AE367" s="205"/>
      <c r="AF367" s="205"/>
      <c r="AG367" s="205"/>
      <c r="AH367" s="205"/>
      <c r="AI367" s="205"/>
      <c r="AJ367" s="205"/>
    </row>
    <row r="368" spans="1:36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213"/>
      <c r="G368" s="213"/>
      <c r="H368" s="213"/>
      <c r="I368" s="213"/>
      <c r="J368" s="214"/>
      <c r="K368" s="214"/>
      <c r="L368" s="214"/>
      <c r="M368" s="214"/>
      <c r="N368" s="221"/>
      <c r="O368" s="213"/>
      <c r="P368" s="213"/>
      <c r="Q368" s="213"/>
      <c r="R368" s="215"/>
      <c r="S368" s="213"/>
      <c r="T368" s="213"/>
      <c r="U368" s="213"/>
      <c r="V368" s="213"/>
      <c r="W368" s="213"/>
      <c r="X368" s="205"/>
      <c r="Y368" s="205"/>
      <c r="Z368" s="205"/>
      <c r="AA368" s="205"/>
      <c r="AB368" s="205"/>
      <c r="AC368" s="205"/>
      <c r="AD368" s="205"/>
      <c r="AE368" s="205"/>
      <c r="AF368" s="205"/>
      <c r="AG368" s="205"/>
      <c r="AH368" s="205"/>
      <c r="AI368" s="205"/>
      <c r="AJ368" s="205"/>
    </row>
    <row r="369" spans="1:36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213"/>
      <c r="G369" s="213"/>
      <c r="H369" s="213"/>
      <c r="I369" s="213"/>
      <c r="J369" s="214"/>
      <c r="K369" s="214"/>
      <c r="L369" s="214"/>
      <c r="M369" s="214"/>
      <c r="N369" s="221"/>
      <c r="O369" s="213"/>
      <c r="P369" s="213"/>
      <c r="Q369" s="213"/>
      <c r="R369" s="215"/>
      <c r="S369" s="213"/>
      <c r="T369" s="213"/>
      <c r="U369" s="213"/>
      <c r="V369" s="213"/>
      <c r="W369" s="213"/>
      <c r="X369" s="205"/>
      <c r="Y369" s="205"/>
      <c r="Z369" s="205"/>
      <c r="AA369" s="205"/>
      <c r="AB369" s="205"/>
      <c r="AC369" s="205"/>
      <c r="AD369" s="205"/>
      <c r="AE369" s="205"/>
      <c r="AF369" s="205"/>
      <c r="AG369" s="205"/>
      <c r="AH369" s="205"/>
      <c r="AI369" s="205"/>
      <c r="AJ369" s="205"/>
    </row>
    <row r="370" spans="1:36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213"/>
      <c r="G370" s="213"/>
      <c r="H370" s="213"/>
      <c r="I370" s="213"/>
      <c r="J370" s="214"/>
      <c r="K370" s="214"/>
      <c r="L370" s="214"/>
      <c r="M370" s="214"/>
      <c r="N370" s="221"/>
      <c r="O370" s="213"/>
      <c r="P370" s="213"/>
      <c r="Q370" s="213"/>
      <c r="R370" s="215"/>
      <c r="S370" s="213"/>
      <c r="T370" s="213"/>
      <c r="U370" s="213"/>
      <c r="V370" s="213"/>
      <c r="W370" s="213"/>
      <c r="X370" s="205"/>
      <c r="Y370" s="205"/>
      <c r="Z370" s="205"/>
      <c r="AA370" s="205"/>
      <c r="AB370" s="205"/>
      <c r="AC370" s="205"/>
      <c r="AD370" s="205"/>
      <c r="AE370" s="205"/>
      <c r="AF370" s="205"/>
      <c r="AG370" s="205"/>
      <c r="AH370" s="205"/>
      <c r="AI370" s="205"/>
      <c r="AJ370" s="205"/>
    </row>
    <row r="371" spans="1:36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213"/>
      <c r="G371" s="213"/>
      <c r="H371" s="213"/>
      <c r="I371" s="213"/>
      <c r="J371" s="214"/>
      <c r="K371" s="214"/>
      <c r="L371" s="214"/>
      <c r="M371" s="214"/>
      <c r="N371" s="221"/>
      <c r="O371" s="213"/>
      <c r="P371" s="213"/>
      <c r="Q371" s="213"/>
      <c r="R371" s="215"/>
      <c r="S371" s="213"/>
      <c r="T371" s="213"/>
      <c r="U371" s="213"/>
      <c r="V371" s="213"/>
      <c r="W371" s="213"/>
      <c r="X371" s="205"/>
      <c r="Y371" s="205"/>
      <c r="Z371" s="205"/>
      <c r="AA371" s="205"/>
      <c r="AB371" s="205"/>
      <c r="AC371" s="205"/>
      <c r="AD371" s="205"/>
      <c r="AE371" s="205"/>
      <c r="AF371" s="205"/>
      <c r="AG371" s="205"/>
      <c r="AH371" s="205"/>
      <c r="AI371" s="205"/>
      <c r="AJ371" s="205"/>
    </row>
    <row r="372" spans="1:36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213"/>
      <c r="G372" s="213"/>
      <c r="H372" s="213"/>
      <c r="I372" s="213"/>
      <c r="J372" s="214"/>
      <c r="K372" s="214"/>
      <c r="L372" s="214"/>
      <c r="M372" s="214"/>
      <c r="N372" s="221"/>
      <c r="O372" s="213"/>
      <c r="P372" s="213"/>
      <c r="Q372" s="213"/>
      <c r="R372" s="215"/>
      <c r="S372" s="213"/>
      <c r="T372" s="213"/>
      <c r="U372" s="213"/>
      <c r="V372" s="213"/>
      <c r="W372" s="213"/>
      <c r="X372" s="205"/>
      <c r="Y372" s="205"/>
      <c r="Z372" s="205"/>
      <c r="AA372" s="205"/>
      <c r="AB372" s="205"/>
      <c r="AC372" s="205"/>
      <c r="AD372" s="205"/>
      <c r="AE372" s="205"/>
      <c r="AF372" s="205"/>
      <c r="AG372" s="205"/>
      <c r="AH372" s="205"/>
      <c r="AI372" s="205"/>
      <c r="AJ372" s="205"/>
    </row>
    <row r="373" spans="1:36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213"/>
      <c r="G373" s="213"/>
      <c r="H373" s="213"/>
      <c r="I373" s="213"/>
      <c r="J373" s="214"/>
      <c r="K373" s="214"/>
      <c r="L373" s="214"/>
      <c r="M373" s="214"/>
      <c r="N373" s="221"/>
      <c r="O373" s="213"/>
      <c r="P373" s="213"/>
      <c r="Q373" s="213"/>
      <c r="R373" s="215"/>
      <c r="S373" s="213"/>
      <c r="T373" s="213"/>
      <c r="U373" s="213"/>
      <c r="V373" s="213"/>
      <c r="W373" s="213"/>
      <c r="X373" s="205"/>
      <c r="Y373" s="205"/>
      <c r="Z373" s="205"/>
      <c r="AA373" s="205"/>
      <c r="AB373" s="205"/>
      <c r="AC373" s="205"/>
      <c r="AD373" s="205"/>
      <c r="AE373" s="205"/>
      <c r="AF373" s="205"/>
      <c r="AG373" s="205"/>
      <c r="AH373" s="205"/>
      <c r="AI373" s="205"/>
      <c r="AJ373" s="205"/>
    </row>
    <row r="374" spans="1:36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213"/>
      <c r="G374" s="213"/>
      <c r="H374" s="213"/>
      <c r="I374" s="213"/>
      <c r="J374" s="214"/>
      <c r="K374" s="214"/>
      <c r="L374" s="214"/>
      <c r="M374" s="214"/>
      <c r="N374" s="221"/>
      <c r="O374" s="213"/>
      <c r="P374" s="213"/>
      <c r="Q374" s="213"/>
      <c r="R374" s="215"/>
      <c r="S374" s="213"/>
      <c r="T374" s="213"/>
      <c r="U374" s="213"/>
      <c r="V374" s="213"/>
      <c r="W374" s="213"/>
      <c r="X374" s="205"/>
      <c r="Y374" s="205"/>
      <c r="Z374" s="205"/>
      <c r="AA374" s="205"/>
      <c r="AB374" s="205"/>
      <c r="AC374" s="205"/>
      <c r="AD374" s="205"/>
      <c r="AE374" s="205"/>
      <c r="AF374" s="205"/>
      <c r="AG374" s="205"/>
      <c r="AH374" s="205"/>
      <c r="AI374" s="205"/>
      <c r="AJ374" s="205"/>
    </row>
    <row r="375" spans="1:36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213"/>
      <c r="G375" s="213"/>
      <c r="H375" s="213"/>
      <c r="I375" s="213"/>
      <c r="J375" s="214"/>
      <c r="K375" s="214"/>
      <c r="L375" s="214"/>
      <c r="M375" s="214"/>
      <c r="N375" s="221"/>
      <c r="O375" s="213"/>
      <c r="P375" s="213"/>
      <c r="Q375" s="213"/>
      <c r="R375" s="215"/>
      <c r="S375" s="213"/>
      <c r="T375" s="213"/>
      <c r="U375" s="213"/>
      <c r="V375" s="213"/>
      <c r="W375" s="213"/>
      <c r="X375" s="205"/>
      <c r="Y375" s="205"/>
      <c r="Z375" s="205"/>
      <c r="AA375" s="205"/>
      <c r="AB375" s="205"/>
      <c r="AC375" s="205"/>
      <c r="AD375" s="205"/>
      <c r="AE375" s="205"/>
      <c r="AF375" s="205"/>
      <c r="AG375" s="205"/>
      <c r="AH375" s="205"/>
      <c r="AI375" s="205"/>
      <c r="AJ375" s="205"/>
    </row>
    <row r="376" spans="1:36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213"/>
      <c r="G376" s="213"/>
      <c r="H376" s="213"/>
      <c r="I376" s="213"/>
      <c r="J376" s="214"/>
      <c r="K376" s="214"/>
      <c r="L376" s="214"/>
      <c r="M376" s="214"/>
      <c r="N376" s="221"/>
      <c r="O376" s="213"/>
      <c r="P376" s="213"/>
      <c r="Q376" s="213"/>
      <c r="R376" s="215"/>
      <c r="S376" s="213"/>
      <c r="T376" s="213"/>
      <c r="U376" s="213"/>
      <c r="V376" s="213"/>
      <c r="W376" s="213"/>
      <c r="X376" s="205"/>
      <c r="Y376" s="205"/>
      <c r="Z376" s="205"/>
      <c r="AA376" s="205"/>
      <c r="AB376" s="205"/>
      <c r="AC376" s="205"/>
      <c r="AD376" s="205"/>
      <c r="AE376" s="205"/>
      <c r="AF376" s="205"/>
      <c r="AG376" s="205"/>
      <c r="AH376" s="205"/>
      <c r="AI376" s="205"/>
      <c r="AJ376" s="205"/>
    </row>
    <row r="377" spans="1:36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213"/>
      <c r="G377" s="213"/>
      <c r="H377" s="213"/>
      <c r="I377" s="213"/>
      <c r="J377" s="214"/>
      <c r="K377" s="214"/>
      <c r="L377" s="214"/>
      <c r="M377" s="214"/>
      <c r="N377" s="221"/>
      <c r="O377" s="213"/>
      <c r="P377" s="213"/>
      <c r="Q377" s="213"/>
      <c r="R377" s="215"/>
      <c r="S377" s="213"/>
      <c r="T377" s="213"/>
      <c r="U377" s="213"/>
      <c r="V377" s="213"/>
      <c r="W377" s="213"/>
      <c r="X377" s="205"/>
      <c r="Y377" s="205"/>
      <c r="Z377" s="205"/>
      <c r="AA377" s="205"/>
      <c r="AB377" s="205"/>
      <c r="AC377" s="205"/>
      <c r="AD377" s="205"/>
      <c r="AE377" s="205"/>
      <c r="AF377" s="205"/>
      <c r="AG377" s="205"/>
      <c r="AH377" s="205"/>
      <c r="AI377" s="205"/>
      <c r="AJ377" s="205"/>
    </row>
    <row r="378" spans="1:36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213"/>
      <c r="G378" s="213"/>
      <c r="H378" s="213"/>
      <c r="I378" s="213"/>
      <c r="J378" s="214"/>
      <c r="K378" s="214"/>
      <c r="L378" s="214"/>
      <c r="M378" s="214"/>
      <c r="N378" s="221"/>
      <c r="O378" s="213"/>
      <c r="P378" s="213"/>
      <c r="Q378" s="213"/>
      <c r="R378" s="215"/>
      <c r="S378" s="213"/>
      <c r="T378" s="213"/>
      <c r="U378" s="213"/>
      <c r="V378" s="213"/>
      <c r="W378" s="213"/>
      <c r="X378" s="205"/>
      <c r="Y378" s="205"/>
      <c r="Z378" s="205"/>
      <c r="AA378" s="205"/>
      <c r="AB378" s="205"/>
      <c r="AC378" s="205"/>
      <c r="AD378" s="205"/>
      <c r="AE378" s="205"/>
      <c r="AF378" s="205"/>
      <c r="AG378" s="205"/>
      <c r="AH378" s="205"/>
      <c r="AI378" s="205"/>
      <c r="AJ378" s="205"/>
    </row>
    <row r="379" spans="1:36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213"/>
      <c r="G379" s="213"/>
      <c r="H379" s="213"/>
      <c r="I379" s="213"/>
      <c r="J379" s="214"/>
      <c r="K379" s="214"/>
      <c r="L379" s="214"/>
      <c r="M379" s="214"/>
      <c r="N379" s="221"/>
      <c r="O379" s="213"/>
      <c r="P379" s="213"/>
      <c r="Q379" s="213"/>
      <c r="R379" s="215"/>
      <c r="S379" s="213"/>
      <c r="T379" s="213"/>
      <c r="U379" s="213"/>
      <c r="V379" s="213"/>
      <c r="W379" s="213"/>
      <c r="X379" s="205"/>
      <c r="Y379" s="205"/>
      <c r="Z379" s="205"/>
      <c r="AA379" s="205"/>
      <c r="AB379" s="205"/>
      <c r="AC379" s="205"/>
      <c r="AD379" s="205"/>
      <c r="AE379" s="205"/>
      <c r="AF379" s="205"/>
      <c r="AG379" s="205"/>
      <c r="AH379" s="205"/>
      <c r="AI379" s="205"/>
      <c r="AJ379" s="205"/>
    </row>
    <row r="380" spans="1:36" ht="18.75" customHeight="1">
      <c r="A380" s="42"/>
      <c r="B380" s="59" t="s">
        <v>828</v>
      </c>
      <c r="C380" s="111" t="s">
        <v>829</v>
      </c>
      <c r="D380" s="61" t="s">
        <v>1084</v>
      </c>
      <c r="E380" s="200">
        <f t="shared" si="1"/>
        <v>0</v>
      </c>
      <c r="F380" s="213"/>
      <c r="G380" s="213"/>
      <c r="H380" s="213"/>
      <c r="I380" s="213"/>
      <c r="J380" s="214"/>
      <c r="K380" s="214"/>
      <c r="L380" s="214"/>
      <c r="M380" s="214"/>
      <c r="N380" s="221"/>
      <c r="O380" s="213"/>
      <c r="P380" s="213"/>
      <c r="Q380" s="213"/>
      <c r="R380" s="215"/>
      <c r="S380" s="213"/>
      <c r="T380" s="213"/>
      <c r="U380" s="213"/>
      <c r="V380" s="213"/>
      <c r="W380" s="213"/>
      <c r="X380" s="205"/>
      <c r="Y380" s="205"/>
      <c r="Z380" s="205"/>
      <c r="AA380" s="205"/>
      <c r="AB380" s="205"/>
      <c r="AC380" s="205"/>
      <c r="AD380" s="205"/>
      <c r="AE380" s="205"/>
      <c r="AF380" s="205"/>
      <c r="AG380" s="205"/>
      <c r="AH380" s="205"/>
      <c r="AI380" s="205"/>
      <c r="AJ380" s="205"/>
    </row>
    <row r="381" spans="1:36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213"/>
      <c r="G381" s="213"/>
      <c r="H381" s="213"/>
      <c r="I381" s="213"/>
      <c r="J381" s="214"/>
      <c r="K381" s="214"/>
      <c r="L381" s="214"/>
      <c r="M381" s="214"/>
      <c r="N381" s="221"/>
      <c r="O381" s="213"/>
      <c r="P381" s="213"/>
      <c r="Q381" s="213"/>
      <c r="R381" s="215"/>
      <c r="S381" s="213"/>
      <c r="T381" s="213"/>
      <c r="U381" s="213"/>
      <c r="V381" s="213"/>
      <c r="W381" s="213"/>
      <c r="X381" s="205"/>
      <c r="Y381" s="205"/>
      <c r="Z381" s="205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</row>
    <row r="382" spans="1:36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213"/>
      <c r="G382" s="213"/>
      <c r="H382" s="213"/>
      <c r="I382" s="213"/>
      <c r="J382" s="214"/>
      <c r="K382" s="214"/>
      <c r="L382" s="214"/>
      <c r="M382" s="214"/>
      <c r="N382" s="221"/>
      <c r="O382" s="213"/>
      <c r="P382" s="213"/>
      <c r="Q382" s="213"/>
      <c r="R382" s="215"/>
      <c r="S382" s="213"/>
      <c r="T382" s="213"/>
      <c r="U382" s="213"/>
      <c r="V382" s="213"/>
      <c r="W382" s="213"/>
      <c r="X382" s="205"/>
      <c r="Y382" s="205"/>
      <c r="Z382" s="205"/>
      <c r="AA382" s="205"/>
      <c r="AB382" s="205"/>
      <c r="AC382" s="205"/>
      <c r="AD382" s="205"/>
      <c r="AE382" s="205"/>
      <c r="AF382" s="205"/>
      <c r="AG382" s="205"/>
      <c r="AH382" s="205"/>
      <c r="AI382" s="205"/>
      <c r="AJ382" s="205"/>
    </row>
    <row r="383" spans="1:36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213"/>
      <c r="G383" s="213"/>
      <c r="H383" s="213"/>
      <c r="I383" s="213"/>
      <c r="J383" s="214"/>
      <c r="K383" s="214"/>
      <c r="L383" s="214"/>
      <c r="M383" s="214"/>
      <c r="N383" s="221"/>
      <c r="O383" s="213"/>
      <c r="P383" s="213"/>
      <c r="Q383" s="213"/>
      <c r="R383" s="215"/>
      <c r="S383" s="213"/>
      <c r="T383" s="213"/>
      <c r="U383" s="213"/>
      <c r="V383" s="213"/>
      <c r="W383" s="213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</row>
    <row r="384" spans="1:36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213"/>
      <c r="G384" s="213"/>
      <c r="H384" s="213"/>
      <c r="I384" s="213"/>
      <c r="J384" s="214"/>
      <c r="K384" s="214"/>
      <c r="L384" s="214"/>
      <c r="M384" s="214"/>
      <c r="N384" s="221"/>
      <c r="O384" s="213"/>
      <c r="P384" s="213"/>
      <c r="Q384" s="213"/>
      <c r="R384" s="215"/>
      <c r="S384" s="213"/>
      <c r="T384" s="213"/>
      <c r="U384" s="213"/>
      <c r="V384" s="213"/>
      <c r="W384" s="213"/>
      <c r="X384" s="205"/>
      <c r="Y384" s="205"/>
      <c r="Z384" s="205"/>
      <c r="AA384" s="205"/>
      <c r="AB384" s="205"/>
      <c r="AC384" s="205"/>
      <c r="AD384" s="205"/>
      <c r="AE384" s="205"/>
      <c r="AF384" s="205"/>
      <c r="AG384" s="205"/>
      <c r="AH384" s="205"/>
      <c r="AI384" s="205"/>
      <c r="AJ384" s="205"/>
    </row>
    <row r="385" spans="1:36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213"/>
      <c r="G385" s="213"/>
      <c r="H385" s="213"/>
      <c r="I385" s="213"/>
      <c r="J385" s="214"/>
      <c r="K385" s="214"/>
      <c r="L385" s="214"/>
      <c r="M385" s="214"/>
      <c r="N385" s="221"/>
      <c r="O385" s="213"/>
      <c r="P385" s="213"/>
      <c r="Q385" s="213"/>
      <c r="R385" s="215"/>
      <c r="S385" s="213"/>
      <c r="T385" s="213"/>
      <c r="U385" s="213"/>
      <c r="V385" s="213"/>
      <c r="W385" s="213"/>
      <c r="X385" s="205"/>
      <c r="Y385" s="205"/>
      <c r="Z385" s="205"/>
      <c r="AA385" s="205"/>
      <c r="AB385" s="205"/>
      <c r="AC385" s="205"/>
      <c r="AD385" s="205"/>
      <c r="AE385" s="205"/>
      <c r="AF385" s="205"/>
      <c r="AG385" s="205"/>
      <c r="AH385" s="205"/>
      <c r="AI385" s="205"/>
      <c r="AJ385" s="205"/>
    </row>
    <row r="386" spans="1:36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213"/>
      <c r="G386" s="213"/>
      <c r="H386" s="213"/>
      <c r="I386" s="213"/>
      <c r="J386" s="214"/>
      <c r="K386" s="214"/>
      <c r="L386" s="214"/>
      <c r="M386" s="214"/>
      <c r="N386" s="221"/>
      <c r="O386" s="213"/>
      <c r="P386" s="213"/>
      <c r="Q386" s="213"/>
      <c r="R386" s="215"/>
      <c r="S386" s="213"/>
      <c r="T386" s="213"/>
      <c r="U386" s="213"/>
      <c r="V386" s="213"/>
      <c r="W386" s="213"/>
      <c r="X386" s="205"/>
      <c r="Y386" s="205"/>
      <c r="Z386" s="205"/>
      <c r="AA386" s="205"/>
      <c r="AB386" s="205"/>
      <c r="AC386" s="205"/>
      <c r="AD386" s="205"/>
      <c r="AE386" s="205"/>
      <c r="AF386" s="205"/>
      <c r="AG386" s="205"/>
      <c r="AH386" s="205"/>
      <c r="AI386" s="205"/>
      <c r="AJ386" s="205"/>
    </row>
    <row r="387" spans="1:36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213"/>
      <c r="G387" s="213"/>
      <c r="H387" s="213"/>
      <c r="I387" s="213"/>
      <c r="J387" s="214"/>
      <c r="K387" s="214"/>
      <c r="L387" s="214"/>
      <c r="M387" s="214"/>
      <c r="N387" s="221"/>
      <c r="O387" s="213"/>
      <c r="P387" s="213"/>
      <c r="Q387" s="213"/>
      <c r="R387" s="215"/>
      <c r="S387" s="213"/>
      <c r="T387" s="213"/>
      <c r="U387" s="213"/>
      <c r="V387" s="213"/>
      <c r="W387" s="213"/>
      <c r="X387" s="205"/>
      <c r="Y387" s="205"/>
      <c r="Z387" s="205"/>
      <c r="AA387" s="205"/>
      <c r="AB387" s="205"/>
      <c r="AC387" s="205"/>
      <c r="AD387" s="205"/>
      <c r="AE387" s="205"/>
      <c r="AF387" s="205"/>
      <c r="AG387" s="205"/>
      <c r="AH387" s="205"/>
      <c r="AI387" s="205"/>
      <c r="AJ387" s="205"/>
    </row>
    <row r="388" spans="1:36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213"/>
      <c r="G388" s="213"/>
      <c r="H388" s="213"/>
      <c r="I388" s="213"/>
      <c r="J388" s="214"/>
      <c r="K388" s="214"/>
      <c r="L388" s="214"/>
      <c r="M388" s="214"/>
      <c r="N388" s="221"/>
      <c r="O388" s="213"/>
      <c r="P388" s="213"/>
      <c r="Q388" s="213"/>
      <c r="R388" s="215"/>
      <c r="S388" s="213"/>
      <c r="T388" s="213"/>
      <c r="U388" s="213"/>
      <c r="V388" s="213"/>
      <c r="W388" s="213"/>
      <c r="X388" s="205"/>
      <c r="Y388" s="205"/>
      <c r="Z388" s="205"/>
      <c r="AA388" s="205"/>
      <c r="AB388" s="205"/>
      <c r="AC388" s="205"/>
      <c r="AD388" s="205"/>
      <c r="AE388" s="205"/>
      <c r="AF388" s="205"/>
      <c r="AG388" s="205"/>
      <c r="AH388" s="205"/>
      <c r="AI388" s="205"/>
      <c r="AJ388" s="205"/>
    </row>
    <row r="389" spans="1:36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213"/>
      <c r="G389" s="213"/>
      <c r="H389" s="213"/>
      <c r="I389" s="213"/>
      <c r="J389" s="214"/>
      <c r="K389" s="214"/>
      <c r="L389" s="214"/>
      <c r="M389" s="214"/>
      <c r="N389" s="221"/>
      <c r="O389" s="213"/>
      <c r="P389" s="213"/>
      <c r="Q389" s="213"/>
      <c r="R389" s="215"/>
      <c r="S389" s="213"/>
      <c r="T389" s="213"/>
      <c r="U389" s="213"/>
      <c r="V389" s="213"/>
      <c r="W389" s="213"/>
      <c r="X389" s="205"/>
      <c r="Y389" s="205"/>
      <c r="Z389" s="205"/>
      <c r="AA389" s="205"/>
      <c r="AB389" s="205"/>
      <c r="AC389" s="205"/>
      <c r="AD389" s="205"/>
      <c r="AE389" s="205"/>
      <c r="AF389" s="205"/>
      <c r="AG389" s="205"/>
      <c r="AH389" s="205"/>
      <c r="AI389" s="205"/>
      <c r="AJ389" s="205"/>
    </row>
    <row r="390" spans="1:36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213"/>
      <c r="G390" s="213"/>
      <c r="H390" s="213"/>
      <c r="I390" s="213"/>
      <c r="J390" s="214"/>
      <c r="K390" s="214"/>
      <c r="L390" s="214"/>
      <c r="M390" s="214"/>
      <c r="N390" s="221"/>
      <c r="O390" s="213"/>
      <c r="P390" s="213"/>
      <c r="Q390" s="213"/>
      <c r="R390" s="215"/>
      <c r="S390" s="213"/>
      <c r="T390" s="213"/>
      <c r="U390" s="213"/>
      <c r="V390" s="213"/>
      <c r="W390" s="213"/>
      <c r="X390" s="205"/>
      <c r="Y390" s="205"/>
      <c r="Z390" s="205"/>
      <c r="AA390" s="205"/>
      <c r="AB390" s="205"/>
      <c r="AC390" s="205"/>
      <c r="AD390" s="205"/>
      <c r="AE390" s="205"/>
      <c r="AF390" s="205"/>
      <c r="AG390" s="205"/>
      <c r="AH390" s="205"/>
      <c r="AI390" s="205"/>
      <c r="AJ390" s="205"/>
    </row>
    <row r="391" spans="1:36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213"/>
      <c r="G391" s="213"/>
      <c r="H391" s="213"/>
      <c r="I391" s="213"/>
      <c r="J391" s="214"/>
      <c r="K391" s="214"/>
      <c r="L391" s="214"/>
      <c r="M391" s="214"/>
      <c r="N391" s="221"/>
      <c r="O391" s="213"/>
      <c r="P391" s="213"/>
      <c r="Q391" s="213"/>
      <c r="R391" s="215"/>
      <c r="S391" s="213"/>
      <c r="T391" s="213"/>
      <c r="U391" s="213"/>
      <c r="V391" s="213"/>
      <c r="W391" s="213"/>
      <c r="X391" s="205"/>
      <c r="Y391" s="205"/>
      <c r="Z391" s="205"/>
      <c r="AA391" s="205"/>
      <c r="AB391" s="205"/>
      <c r="AC391" s="205"/>
      <c r="AD391" s="205"/>
      <c r="AE391" s="205"/>
      <c r="AF391" s="205"/>
      <c r="AG391" s="205"/>
      <c r="AH391" s="205"/>
      <c r="AI391" s="205"/>
      <c r="AJ391" s="205"/>
    </row>
    <row r="392" spans="1:36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213"/>
      <c r="G392" s="213"/>
      <c r="H392" s="213"/>
      <c r="I392" s="213"/>
      <c r="J392" s="214"/>
      <c r="K392" s="214"/>
      <c r="L392" s="214"/>
      <c r="M392" s="214"/>
      <c r="N392" s="221"/>
      <c r="O392" s="213"/>
      <c r="P392" s="213"/>
      <c r="Q392" s="213"/>
      <c r="R392" s="215"/>
      <c r="S392" s="213"/>
      <c r="T392" s="213"/>
      <c r="U392" s="213"/>
      <c r="V392" s="213"/>
      <c r="W392" s="213"/>
      <c r="X392" s="205"/>
      <c r="Y392" s="205"/>
      <c r="Z392" s="205"/>
      <c r="AA392" s="205"/>
      <c r="AB392" s="205"/>
      <c r="AC392" s="205"/>
      <c r="AD392" s="205"/>
      <c r="AE392" s="205"/>
      <c r="AF392" s="205"/>
      <c r="AG392" s="205"/>
      <c r="AH392" s="205"/>
      <c r="AI392" s="205"/>
      <c r="AJ392" s="205"/>
    </row>
    <row r="393" spans="1:36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213"/>
      <c r="G393" s="213"/>
      <c r="H393" s="213"/>
      <c r="I393" s="213"/>
      <c r="J393" s="214"/>
      <c r="K393" s="214"/>
      <c r="L393" s="214"/>
      <c r="M393" s="214"/>
      <c r="N393" s="221"/>
      <c r="O393" s="213"/>
      <c r="P393" s="213"/>
      <c r="Q393" s="213"/>
      <c r="R393" s="215"/>
      <c r="S393" s="213"/>
      <c r="T393" s="213"/>
      <c r="U393" s="213"/>
      <c r="V393" s="213"/>
      <c r="W393" s="213"/>
      <c r="X393" s="205"/>
      <c r="Y393" s="205"/>
      <c r="Z393" s="205"/>
      <c r="AA393" s="205"/>
      <c r="AB393" s="205"/>
      <c r="AC393" s="205"/>
      <c r="AD393" s="205"/>
      <c r="AE393" s="205"/>
      <c r="AF393" s="205"/>
      <c r="AG393" s="205"/>
      <c r="AH393" s="205"/>
      <c r="AI393" s="205"/>
      <c r="AJ393" s="205"/>
    </row>
    <row r="394" spans="1:36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213"/>
      <c r="G394" s="213"/>
      <c r="H394" s="213"/>
      <c r="I394" s="213"/>
      <c r="J394" s="214"/>
      <c r="K394" s="214"/>
      <c r="L394" s="214"/>
      <c r="M394" s="214"/>
      <c r="N394" s="221"/>
      <c r="O394" s="213"/>
      <c r="P394" s="213"/>
      <c r="Q394" s="213"/>
      <c r="R394" s="215"/>
      <c r="S394" s="213"/>
      <c r="T394" s="213"/>
      <c r="U394" s="213"/>
      <c r="V394" s="213"/>
      <c r="W394" s="213"/>
      <c r="X394" s="205"/>
      <c r="Y394" s="205"/>
      <c r="Z394" s="205"/>
      <c r="AA394" s="205"/>
      <c r="AB394" s="205"/>
      <c r="AC394" s="205"/>
      <c r="AD394" s="205"/>
      <c r="AE394" s="205"/>
      <c r="AF394" s="205"/>
      <c r="AG394" s="205"/>
      <c r="AH394" s="205"/>
      <c r="AI394" s="205"/>
      <c r="AJ394" s="205"/>
    </row>
    <row r="395" spans="1:36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213"/>
      <c r="G395" s="213"/>
      <c r="H395" s="213"/>
      <c r="I395" s="213"/>
      <c r="J395" s="214"/>
      <c r="K395" s="214"/>
      <c r="L395" s="214"/>
      <c r="M395" s="214"/>
      <c r="N395" s="221"/>
      <c r="O395" s="213"/>
      <c r="P395" s="213"/>
      <c r="Q395" s="213"/>
      <c r="R395" s="215"/>
      <c r="S395" s="213"/>
      <c r="T395" s="213"/>
      <c r="U395" s="213"/>
      <c r="V395" s="213"/>
      <c r="W395" s="213"/>
      <c r="X395" s="205"/>
      <c r="Y395" s="205"/>
      <c r="Z395" s="205"/>
      <c r="AA395" s="205"/>
      <c r="AB395" s="205"/>
      <c r="AC395" s="205"/>
      <c r="AD395" s="205"/>
      <c r="AE395" s="205"/>
      <c r="AF395" s="205"/>
      <c r="AG395" s="205"/>
      <c r="AH395" s="205"/>
      <c r="AI395" s="205"/>
      <c r="AJ395" s="205"/>
    </row>
    <row r="396" spans="1:36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213"/>
      <c r="G396" s="213"/>
      <c r="H396" s="213"/>
      <c r="I396" s="213"/>
      <c r="J396" s="214"/>
      <c r="K396" s="214"/>
      <c r="L396" s="214"/>
      <c r="M396" s="214"/>
      <c r="N396" s="221"/>
      <c r="O396" s="213"/>
      <c r="P396" s="213"/>
      <c r="Q396" s="213"/>
      <c r="R396" s="215"/>
      <c r="S396" s="213"/>
      <c r="T396" s="213"/>
      <c r="U396" s="213"/>
      <c r="V396" s="213"/>
      <c r="W396" s="213"/>
      <c r="X396" s="205"/>
      <c r="Y396" s="205"/>
      <c r="Z396" s="205"/>
      <c r="AA396" s="205"/>
      <c r="AB396" s="205"/>
      <c r="AC396" s="205"/>
      <c r="AD396" s="205"/>
      <c r="AE396" s="205"/>
      <c r="AF396" s="205"/>
      <c r="AG396" s="205"/>
      <c r="AH396" s="205"/>
      <c r="AI396" s="205"/>
      <c r="AJ396" s="205"/>
    </row>
    <row r="397" spans="1:36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213"/>
      <c r="G397" s="213"/>
      <c r="H397" s="213"/>
      <c r="I397" s="213"/>
      <c r="J397" s="214"/>
      <c r="K397" s="214"/>
      <c r="L397" s="214"/>
      <c r="M397" s="214"/>
      <c r="N397" s="221"/>
      <c r="O397" s="213"/>
      <c r="P397" s="213"/>
      <c r="Q397" s="213"/>
      <c r="R397" s="215"/>
      <c r="S397" s="213"/>
      <c r="T397" s="213"/>
      <c r="U397" s="213"/>
      <c r="V397" s="213"/>
      <c r="W397" s="213"/>
      <c r="X397" s="205"/>
      <c r="Y397" s="205"/>
      <c r="Z397" s="205"/>
      <c r="AA397" s="205"/>
      <c r="AB397" s="205"/>
      <c r="AC397" s="205"/>
      <c r="AD397" s="205"/>
      <c r="AE397" s="205"/>
      <c r="AF397" s="205"/>
      <c r="AG397" s="205"/>
      <c r="AH397" s="205"/>
      <c r="AI397" s="205"/>
      <c r="AJ397" s="205"/>
    </row>
    <row r="398" spans="1:36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213"/>
      <c r="G398" s="213"/>
      <c r="H398" s="213"/>
      <c r="I398" s="213"/>
      <c r="J398" s="214"/>
      <c r="K398" s="214"/>
      <c r="L398" s="214"/>
      <c r="M398" s="214"/>
      <c r="N398" s="221"/>
      <c r="O398" s="213"/>
      <c r="P398" s="213"/>
      <c r="Q398" s="213"/>
      <c r="R398" s="215"/>
      <c r="S398" s="213"/>
      <c r="T398" s="213"/>
      <c r="U398" s="213"/>
      <c r="V398" s="213"/>
      <c r="W398" s="213"/>
      <c r="X398" s="205"/>
      <c r="Y398" s="205"/>
      <c r="Z398" s="205"/>
      <c r="AA398" s="205"/>
      <c r="AB398" s="205"/>
      <c r="AC398" s="205"/>
      <c r="AD398" s="205"/>
      <c r="AE398" s="205"/>
      <c r="AF398" s="205"/>
      <c r="AG398" s="205"/>
      <c r="AH398" s="205"/>
      <c r="AI398" s="205"/>
      <c r="AJ398" s="205"/>
    </row>
    <row r="399" spans="1:36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213"/>
      <c r="G399" s="213"/>
      <c r="H399" s="213"/>
      <c r="I399" s="213"/>
      <c r="J399" s="214"/>
      <c r="K399" s="214"/>
      <c r="L399" s="214"/>
      <c r="M399" s="214"/>
      <c r="N399" s="221"/>
      <c r="O399" s="213"/>
      <c r="P399" s="213"/>
      <c r="Q399" s="213"/>
      <c r="R399" s="215"/>
      <c r="S399" s="213"/>
      <c r="T399" s="213"/>
      <c r="U399" s="213"/>
      <c r="V399" s="213"/>
      <c r="W399" s="213"/>
      <c r="X399" s="205"/>
      <c r="Y399" s="205"/>
      <c r="Z399" s="205"/>
      <c r="AA399" s="205"/>
      <c r="AB399" s="205"/>
      <c r="AC399" s="205"/>
      <c r="AD399" s="205"/>
      <c r="AE399" s="205"/>
      <c r="AF399" s="205"/>
      <c r="AG399" s="205"/>
      <c r="AH399" s="205"/>
      <c r="AI399" s="205"/>
      <c r="AJ399" s="205"/>
    </row>
    <row r="400" spans="1:36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213"/>
      <c r="G400" s="213"/>
      <c r="H400" s="213"/>
      <c r="I400" s="213"/>
      <c r="J400" s="214"/>
      <c r="K400" s="214"/>
      <c r="L400" s="214"/>
      <c r="M400" s="214"/>
      <c r="N400" s="221"/>
      <c r="O400" s="213"/>
      <c r="P400" s="213"/>
      <c r="Q400" s="213"/>
      <c r="R400" s="215"/>
      <c r="S400" s="213"/>
      <c r="T400" s="213"/>
      <c r="U400" s="213"/>
      <c r="V400" s="213"/>
      <c r="W400" s="213"/>
      <c r="X400" s="205"/>
      <c r="Y400" s="205"/>
      <c r="Z400" s="205"/>
      <c r="AA400" s="205"/>
      <c r="AB400" s="205"/>
      <c r="AC400" s="205"/>
      <c r="AD400" s="205"/>
      <c r="AE400" s="205"/>
      <c r="AF400" s="205"/>
      <c r="AG400" s="205"/>
      <c r="AH400" s="205"/>
      <c r="AI400" s="205"/>
      <c r="AJ400" s="205"/>
    </row>
    <row r="401" spans="1:36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213"/>
      <c r="G401" s="213"/>
      <c r="H401" s="213"/>
      <c r="I401" s="213"/>
      <c r="J401" s="214"/>
      <c r="K401" s="214"/>
      <c r="L401" s="214"/>
      <c r="M401" s="214"/>
      <c r="N401" s="221"/>
      <c r="O401" s="213"/>
      <c r="P401" s="213"/>
      <c r="Q401" s="213"/>
      <c r="R401" s="215"/>
      <c r="S401" s="213"/>
      <c r="T401" s="213"/>
      <c r="U401" s="213"/>
      <c r="V401" s="213"/>
      <c r="W401" s="213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</row>
    <row r="402" spans="1:36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213"/>
      <c r="G402" s="213"/>
      <c r="H402" s="213"/>
      <c r="I402" s="213"/>
      <c r="J402" s="214"/>
      <c r="K402" s="214"/>
      <c r="L402" s="214"/>
      <c r="M402" s="214"/>
      <c r="N402" s="221"/>
      <c r="O402" s="213"/>
      <c r="P402" s="213"/>
      <c r="Q402" s="213"/>
      <c r="R402" s="215"/>
      <c r="S402" s="213"/>
      <c r="T402" s="213"/>
      <c r="U402" s="213"/>
      <c r="V402" s="213"/>
      <c r="W402" s="213"/>
      <c r="X402" s="205"/>
      <c r="Y402" s="205"/>
      <c r="Z402" s="205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</row>
    <row r="403" spans="1:36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213"/>
      <c r="G403" s="213"/>
      <c r="H403" s="213"/>
      <c r="I403" s="213"/>
      <c r="J403" s="214"/>
      <c r="K403" s="214"/>
      <c r="L403" s="214"/>
      <c r="M403" s="214"/>
      <c r="N403" s="221"/>
      <c r="O403" s="213"/>
      <c r="P403" s="213"/>
      <c r="Q403" s="213"/>
      <c r="R403" s="215"/>
      <c r="S403" s="213"/>
      <c r="T403" s="213"/>
      <c r="U403" s="213"/>
      <c r="V403" s="213"/>
      <c r="W403" s="213"/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</row>
    <row r="404" spans="1:36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213"/>
      <c r="G404" s="213"/>
      <c r="H404" s="213"/>
      <c r="I404" s="213"/>
      <c r="J404" s="214"/>
      <c r="K404" s="214"/>
      <c r="L404" s="214"/>
      <c r="M404" s="214"/>
      <c r="N404" s="221"/>
      <c r="O404" s="213"/>
      <c r="P404" s="213"/>
      <c r="Q404" s="213"/>
      <c r="R404" s="215"/>
      <c r="S404" s="213"/>
      <c r="T404" s="213"/>
      <c r="U404" s="213"/>
      <c r="V404" s="213"/>
      <c r="W404" s="213"/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</row>
    <row r="405" spans="1:36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213"/>
      <c r="G405" s="213"/>
      <c r="H405" s="213"/>
      <c r="I405" s="213"/>
      <c r="J405" s="214"/>
      <c r="K405" s="214"/>
      <c r="L405" s="214"/>
      <c r="M405" s="214"/>
      <c r="N405" s="221"/>
      <c r="O405" s="213"/>
      <c r="P405" s="213"/>
      <c r="Q405" s="213"/>
      <c r="R405" s="215"/>
      <c r="S405" s="213"/>
      <c r="T405" s="213"/>
      <c r="U405" s="213"/>
      <c r="V405" s="213"/>
      <c r="W405" s="213"/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</row>
    <row r="406" spans="1:36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213"/>
      <c r="G406" s="213"/>
      <c r="H406" s="213"/>
      <c r="I406" s="213"/>
      <c r="J406" s="214"/>
      <c r="K406" s="214"/>
      <c r="L406" s="214"/>
      <c r="M406" s="214"/>
      <c r="N406" s="221"/>
      <c r="O406" s="213"/>
      <c r="P406" s="213"/>
      <c r="Q406" s="213"/>
      <c r="R406" s="215"/>
      <c r="S406" s="213"/>
      <c r="T406" s="213"/>
      <c r="U406" s="213"/>
      <c r="V406" s="213"/>
      <c r="W406" s="213"/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</row>
    <row r="407" spans="1:36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213"/>
      <c r="G407" s="213"/>
      <c r="H407" s="213"/>
      <c r="I407" s="213"/>
      <c r="J407" s="214"/>
      <c r="K407" s="214"/>
      <c r="L407" s="214"/>
      <c r="M407" s="214"/>
      <c r="N407" s="221"/>
      <c r="O407" s="213"/>
      <c r="P407" s="213"/>
      <c r="Q407" s="213"/>
      <c r="R407" s="215"/>
      <c r="S407" s="213"/>
      <c r="T407" s="213"/>
      <c r="U407" s="213"/>
      <c r="V407" s="213"/>
      <c r="W407" s="213"/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</row>
    <row r="408" spans="1:36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213"/>
      <c r="G408" s="213"/>
      <c r="H408" s="213"/>
      <c r="I408" s="213"/>
      <c r="J408" s="214"/>
      <c r="K408" s="214"/>
      <c r="L408" s="214"/>
      <c r="M408" s="214"/>
      <c r="N408" s="221"/>
      <c r="O408" s="213"/>
      <c r="P408" s="213"/>
      <c r="Q408" s="213"/>
      <c r="R408" s="215"/>
      <c r="S408" s="213"/>
      <c r="T408" s="213"/>
      <c r="U408" s="213"/>
      <c r="V408" s="213"/>
      <c r="W408" s="213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</row>
    <row r="409" spans="1:36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213"/>
      <c r="G409" s="213"/>
      <c r="H409" s="213"/>
      <c r="I409" s="213"/>
      <c r="J409" s="214"/>
      <c r="K409" s="214"/>
      <c r="L409" s="214"/>
      <c r="M409" s="214"/>
      <c r="N409" s="221"/>
      <c r="O409" s="213"/>
      <c r="P409" s="213"/>
      <c r="Q409" s="213"/>
      <c r="R409" s="215"/>
      <c r="S409" s="213"/>
      <c r="T409" s="213"/>
      <c r="U409" s="213"/>
      <c r="V409" s="213"/>
      <c r="W409" s="213"/>
      <c r="X409" s="205"/>
      <c r="Y409" s="205"/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</row>
    <row r="410" spans="1:36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213"/>
      <c r="G410" s="213"/>
      <c r="H410" s="213"/>
      <c r="I410" s="213"/>
      <c r="J410" s="214"/>
      <c r="K410" s="214"/>
      <c r="L410" s="214"/>
      <c r="M410" s="214"/>
      <c r="N410" s="221"/>
      <c r="O410" s="213"/>
      <c r="P410" s="213"/>
      <c r="Q410" s="213"/>
      <c r="R410" s="215"/>
      <c r="S410" s="213"/>
      <c r="T410" s="213"/>
      <c r="U410" s="213"/>
      <c r="V410" s="213"/>
      <c r="W410" s="213"/>
      <c r="X410" s="205"/>
      <c r="Y410" s="205"/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</row>
    <row r="411" spans="1:36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213"/>
      <c r="G411" s="213"/>
      <c r="H411" s="213"/>
      <c r="I411" s="213"/>
      <c r="J411" s="214"/>
      <c r="K411" s="214"/>
      <c r="L411" s="214"/>
      <c r="M411" s="214"/>
      <c r="N411" s="221"/>
      <c r="O411" s="213"/>
      <c r="P411" s="213"/>
      <c r="Q411" s="213"/>
      <c r="R411" s="215"/>
      <c r="S411" s="213"/>
      <c r="T411" s="213"/>
      <c r="U411" s="213"/>
      <c r="V411" s="213"/>
      <c r="W411" s="213"/>
      <c r="X411" s="205"/>
      <c r="Y411" s="205"/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</row>
    <row r="412" spans="1:36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213"/>
      <c r="G412" s="213"/>
      <c r="H412" s="213"/>
      <c r="I412" s="213"/>
      <c r="J412" s="214"/>
      <c r="K412" s="214"/>
      <c r="L412" s="214"/>
      <c r="M412" s="214"/>
      <c r="N412" s="221"/>
      <c r="O412" s="213"/>
      <c r="P412" s="213"/>
      <c r="Q412" s="213"/>
      <c r="R412" s="215"/>
      <c r="S412" s="213"/>
      <c r="T412" s="213"/>
      <c r="U412" s="213"/>
      <c r="V412" s="213"/>
      <c r="W412" s="213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</row>
    <row r="413" spans="1:36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213"/>
      <c r="G413" s="213"/>
      <c r="H413" s="213"/>
      <c r="I413" s="213"/>
      <c r="J413" s="214"/>
      <c r="K413" s="214"/>
      <c r="L413" s="214"/>
      <c r="M413" s="214"/>
      <c r="N413" s="221"/>
      <c r="O413" s="213"/>
      <c r="P413" s="213"/>
      <c r="Q413" s="213"/>
      <c r="R413" s="215"/>
      <c r="S413" s="213"/>
      <c r="T413" s="213"/>
      <c r="U413" s="213"/>
      <c r="V413" s="213"/>
      <c r="W413" s="213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</row>
    <row r="414" spans="1:36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213"/>
      <c r="G414" s="213"/>
      <c r="H414" s="213"/>
      <c r="I414" s="213"/>
      <c r="J414" s="214"/>
      <c r="K414" s="214"/>
      <c r="L414" s="214"/>
      <c r="M414" s="214"/>
      <c r="N414" s="221"/>
      <c r="O414" s="213"/>
      <c r="P414" s="213"/>
      <c r="Q414" s="213"/>
      <c r="R414" s="215"/>
      <c r="S414" s="213"/>
      <c r="T414" s="213"/>
      <c r="U414" s="213"/>
      <c r="V414" s="213"/>
      <c r="W414" s="213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</row>
    <row r="415" spans="1:36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213"/>
      <c r="G415" s="213"/>
      <c r="H415" s="213"/>
      <c r="I415" s="213"/>
      <c r="J415" s="214"/>
      <c r="K415" s="214"/>
      <c r="L415" s="214"/>
      <c r="M415" s="214"/>
      <c r="N415" s="221"/>
      <c r="O415" s="213"/>
      <c r="P415" s="213"/>
      <c r="Q415" s="213"/>
      <c r="R415" s="215"/>
      <c r="S415" s="213"/>
      <c r="T415" s="213"/>
      <c r="U415" s="213"/>
      <c r="V415" s="213"/>
      <c r="W415" s="213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</row>
    <row r="416" spans="1:36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213"/>
      <c r="G416" s="213"/>
      <c r="H416" s="213"/>
      <c r="I416" s="213"/>
      <c r="J416" s="214"/>
      <c r="K416" s="214"/>
      <c r="L416" s="214"/>
      <c r="M416" s="214"/>
      <c r="N416" s="221"/>
      <c r="O416" s="213"/>
      <c r="P416" s="213"/>
      <c r="Q416" s="213"/>
      <c r="R416" s="215"/>
      <c r="S416" s="213"/>
      <c r="T416" s="213"/>
      <c r="U416" s="213"/>
      <c r="V416" s="213"/>
      <c r="W416" s="213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</row>
    <row r="417" spans="1:36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213"/>
      <c r="G417" s="213"/>
      <c r="H417" s="213"/>
      <c r="I417" s="213"/>
      <c r="J417" s="214"/>
      <c r="K417" s="214"/>
      <c r="L417" s="214"/>
      <c r="M417" s="214"/>
      <c r="N417" s="221"/>
      <c r="O417" s="213"/>
      <c r="P417" s="213"/>
      <c r="Q417" s="213"/>
      <c r="R417" s="215"/>
      <c r="S417" s="213"/>
      <c r="T417" s="213"/>
      <c r="U417" s="213"/>
      <c r="V417" s="213"/>
      <c r="W417" s="213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</row>
    <row r="418" spans="1:36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213"/>
      <c r="G418" s="213"/>
      <c r="H418" s="213"/>
      <c r="I418" s="213"/>
      <c r="J418" s="214"/>
      <c r="K418" s="214"/>
      <c r="L418" s="214"/>
      <c r="M418" s="214"/>
      <c r="N418" s="221"/>
      <c r="O418" s="213"/>
      <c r="P418" s="213"/>
      <c r="Q418" s="213"/>
      <c r="R418" s="215"/>
      <c r="S418" s="213"/>
      <c r="T418" s="213"/>
      <c r="U418" s="213"/>
      <c r="V418" s="213"/>
      <c r="W418" s="213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</row>
    <row r="419" spans="1:36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213"/>
      <c r="G419" s="213"/>
      <c r="H419" s="213"/>
      <c r="I419" s="213"/>
      <c r="J419" s="214"/>
      <c r="K419" s="214"/>
      <c r="L419" s="214"/>
      <c r="M419" s="214"/>
      <c r="N419" s="221"/>
      <c r="O419" s="213"/>
      <c r="P419" s="213"/>
      <c r="Q419" s="213"/>
      <c r="R419" s="215"/>
      <c r="S419" s="213"/>
      <c r="T419" s="213"/>
      <c r="U419" s="213"/>
      <c r="V419" s="213"/>
      <c r="W419" s="213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</row>
    <row r="420" spans="1:36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213"/>
      <c r="G420" s="213"/>
      <c r="H420" s="213"/>
      <c r="I420" s="213"/>
      <c r="J420" s="214"/>
      <c r="K420" s="214"/>
      <c r="L420" s="214"/>
      <c r="M420" s="214"/>
      <c r="N420" s="221"/>
      <c r="O420" s="213"/>
      <c r="P420" s="213"/>
      <c r="Q420" s="213"/>
      <c r="R420" s="215"/>
      <c r="S420" s="213"/>
      <c r="T420" s="213"/>
      <c r="U420" s="213"/>
      <c r="V420" s="213"/>
      <c r="W420" s="213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</row>
    <row r="421" spans="1:36" ht="18.75" hidden="1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213"/>
      <c r="G421" s="213"/>
      <c r="H421" s="213"/>
      <c r="I421" s="213"/>
      <c r="J421" s="214"/>
      <c r="K421" s="214"/>
      <c r="L421" s="214"/>
      <c r="M421" s="214"/>
      <c r="N421" s="221"/>
      <c r="O421" s="213"/>
      <c r="P421" s="213"/>
      <c r="Q421" s="213"/>
      <c r="R421" s="215"/>
      <c r="S421" s="213"/>
      <c r="T421" s="213"/>
      <c r="U421" s="213"/>
      <c r="V421" s="213"/>
      <c r="W421" s="213"/>
      <c r="X421" s="205"/>
      <c r="Y421" s="205"/>
      <c r="Z421" s="205"/>
      <c r="AA421" s="205"/>
      <c r="AB421" s="205"/>
      <c r="AC421" s="205"/>
      <c r="AD421" s="205"/>
      <c r="AE421" s="205"/>
      <c r="AF421" s="205"/>
      <c r="AG421" s="205"/>
      <c r="AH421" s="205"/>
      <c r="AI421" s="205"/>
      <c r="AJ421" s="205"/>
    </row>
    <row r="422" spans="1:36" ht="31.5" hidden="1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213"/>
      <c r="G422" s="213"/>
      <c r="H422" s="213"/>
      <c r="I422" s="213"/>
      <c r="J422" s="214"/>
      <c r="K422" s="214"/>
      <c r="L422" s="214"/>
      <c r="M422" s="214"/>
      <c r="N422" s="221"/>
      <c r="O422" s="213"/>
      <c r="P422" s="213"/>
      <c r="Q422" s="213"/>
      <c r="R422" s="215"/>
      <c r="S422" s="213"/>
      <c r="T422" s="213"/>
      <c r="U422" s="213"/>
      <c r="V422" s="213"/>
      <c r="W422" s="213"/>
      <c r="X422" s="205"/>
      <c r="Y422" s="205"/>
      <c r="Z422" s="205"/>
      <c r="AA422" s="205"/>
      <c r="AB422" s="205"/>
      <c r="AC422" s="205"/>
      <c r="AD422" s="205"/>
      <c r="AE422" s="205"/>
      <c r="AF422" s="205"/>
      <c r="AG422" s="205"/>
      <c r="AH422" s="205"/>
      <c r="AI422" s="205"/>
      <c r="AJ422" s="205"/>
    </row>
    <row r="423" spans="1:36" ht="18.75" hidden="1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213"/>
      <c r="G423" s="213"/>
      <c r="H423" s="213"/>
      <c r="I423" s="213"/>
      <c r="J423" s="214"/>
      <c r="K423" s="214"/>
      <c r="L423" s="214"/>
      <c r="M423" s="214"/>
      <c r="N423" s="221"/>
      <c r="O423" s="213"/>
      <c r="P423" s="213"/>
      <c r="Q423" s="213"/>
      <c r="R423" s="215"/>
      <c r="S423" s="213"/>
      <c r="T423" s="213"/>
      <c r="U423" s="213"/>
      <c r="V423" s="213"/>
      <c r="W423" s="213"/>
      <c r="X423" s="205"/>
      <c r="Y423" s="205"/>
      <c r="Z423" s="205"/>
      <c r="AA423" s="205"/>
      <c r="AB423" s="205"/>
      <c r="AC423" s="205"/>
      <c r="AD423" s="205"/>
      <c r="AE423" s="205"/>
      <c r="AF423" s="205"/>
      <c r="AG423" s="205"/>
      <c r="AH423" s="205"/>
      <c r="AI423" s="205"/>
      <c r="AJ423" s="205"/>
    </row>
    <row r="424" spans="1:36" ht="18.75" hidden="1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213"/>
      <c r="G424" s="213"/>
      <c r="H424" s="213"/>
      <c r="I424" s="213"/>
      <c r="J424" s="214"/>
      <c r="K424" s="214"/>
      <c r="L424" s="214"/>
      <c r="M424" s="214"/>
      <c r="N424" s="221"/>
      <c r="O424" s="213"/>
      <c r="P424" s="213"/>
      <c r="Q424" s="213"/>
      <c r="R424" s="215"/>
      <c r="S424" s="213"/>
      <c r="T424" s="213"/>
      <c r="U424" s="213"/>
      <c r="V424" s="213"/>
      <c r="W424" s="213"/>
      <c r="X424" s="205"/>
      <c r="Y424" s="205"/>
      <c r="Z424" s="205"/>
      <c r="AA424" s="205"/>
      <c r="AB424" s="205"/>
      <c r="AC424" s="205"/>
      <c r="AD424" s="205"/>
      <c r="AE424" s="205"/>
      <c r="AF424" s="205"/>
      <c r="AG424" s="205"/>
      <c r="AH424" s="205"/>
      <c r="AI424" s="205"/>
      <c r="AJ424" s="205"/>
    </row>
    <row r="425" spans="1:36" ht="18.75" hidden="1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213"/>
      <c r="G425" s="213"/>
      <c r="H425" s="213"/>
      <c r="I425" s="213"/>
      <c r="J425" s="214"/>
      <c r="K425" s="214"/>
      <c r="L425" s="214"/>
      <c r="M425" s="214"/>
      <c r="N425" s="221"/>
      <c r="O425" s="213"/>
      <c r="P425" s="213"/>
      <c r="Q425" s="213"/>
      <c r="R425" s="215"/>
      <c r="S425" s="213"/>
      <c r="T425" s="213"/>
      <c r="U425" s="213"/>
      <c r="V425" s="213"/>
      <c r="W425" s="213"/>
      <c r="X425" s="205"/>
      <c r="Y425" s="205"/>
      <c r="Z425" s="205"/>
      <c r="AA425" s="205"/>
      <c r="AB425" s="205"/>
      <c r="AC425" s="205"/>
      <c r="AD425" s="205"/>
      <c r="AE425" s="205"/>
      <c r="AF425" s="205"/>
      <c r="AG425" s="205"/>
      <c r="AH425" s="205"/>
      <c r="AI425" s="205"/>
      <c r="AJ425" s="205"/>
    </row>
    <row r="426" spans="1:36" ht="31.5" hidden="1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213"/>
      <c r="G426" s="213"/>
      <c r="H426" s="213"/>
      <c r="I426" s="213"/>
      <c r="J426" s="214"/>
      <c r="K426" s="214"/>
      <c r="L426" s="214"/>
      <c r="M426" s="214"/>
      <c r="N426" s="221"/>
      <c r="O426" s="213"/>
      <c r="P426" s="213"/>
      <c r="Q426" s="213"/>
      <c r="R426" s="215"/>
      <c r="S426" s="213"/>
      <c r="T426" s="213"/>
      <c r="U426" s="213"/>
      <c r="V426" s="213"/>
      <c r="W426" s="213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</row>
    <row r="427" spans="1:36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213"/>
      <c r="G427" s="213"/>
      <c r="H427" s="213"/>
      <c r="I427" s="213"/>
      <c r="J427" s="214"/>
      <c r="K427" s="214"/>
      <c r="L427" s="214"/>
      <c r="M427" s="214"/>
      <c r="N427" s="221"/>
      <c r="O427" s="213"/>
      <c r="P427" s="213"/>
      <c r="Q427" s="213"/>
      <c r="R427" s="215"/>
      <c r="S427" s="213"/>
      <c r="T427" s="213"/>
      <c r="U427" s="213"/>
      <c r="V427" s="213"/>
      <c r="W427" s="213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</row>
    <row r="428" spans="1:36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213"/>
      <c r="G428" s="213"/>
      <c r="H428" s="213"/>
      <c r="I428" s="213"/>
      <c r="J428" s="214"/>
      <c r="K428" s="214"/>
      <c r="L428" s="214"/>
      <c r="M428" s="214"/>
      <c r="N428" s="221"/>
      <c r="O428" s="213"/>
      <c r="P428" s="213"/>
      <c r="Q428" s="213"/>
      <c r="R428" s="215"/>
      <c r="S428" s="213"/>
      <c r="T428" s="213"/>
      <c r="U428" s="213"/>
      <c r="V428" s="213"/>
      <c r="W428" s="213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</row>
    <row r="429" spans="1:36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213"/>
      <c r="G429" s="213"/>
      <c r="H429" s="213"/>
      <c r="I429" s="213"/>
      <c r="J429" s="214"/>
      <c r="K429" s="214"/>
      <c r="L429" s="214"/>
      <c r="M429" s="214"/>
      <c r="N429" s="221"/>
      <c r="O429" s="213"/>
      <c r="P429" s="213"/>
      <c r="Q429" s="213"/>
      <c r="R429" s="215"/>
      <c r="S429" s="213"/>
      <c r="T429" s="213"/>
      <c r="U429" s="213"/>
      <c r="V429" s="213"/>
      <c r="W429" s="213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</row>
    <row r="430" spans="1:36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213"/>
      <c r="G430" s="213"/>
      <c r="H430" s="213"/>
      <c r="I430" s="213"/>
      <c r="J430" s="214"/>
      <c r="K430" s="214"/>
      <c r="L430" s="214"/>
      <c r="M430" s="214"/>
      <c r="N430" s="221"/>
      <c r="O430" s="213"/>
      <c r="P430" s="213"/>
      <c r="Q430" s="213"/>
      <c r="R430" s="215"/>
      <c r="S430" s="213"/>
      <c r="T430" s="213"/>
      <c r="U430" s="213"/>
      <c r="V430" s="213"/>
      <c r="W430" s="213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</row>
    <row r="431" spans="1:36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213"/>
      <c r="G431" s="213"/>
      <c r="H431" s="213"/>
      <c r="I431" s="213"/>
      <c r="J431" s="214"/>
      <c r="K431" s="214"/>
      <c r="L431" s="214"/>
      <c r="M431" s="214"/>
      <c r="N431" s="221"/>
      <c r="O431" s="213"/>
      <c r="P431" s="213"/>
      <c r="Q431" s="213"/>
      <c r="R431" s="215"/>
      <c r="S431" s="213"/>
      <c r="T431" s="213"/>
      <c r="U431" s="213"/>
      <c r="V431" s="213"/>
      <c r="W431" s="213"/>
      <c r="X431" s="205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</row>
    <row r="432" spans="1:36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213"/>
      <c r="G432" s="213"/>
      <c r="H432" s="213"/>
      <c r="I432" s="213"/>
      <c r="J432" s="214"/>
      <c r="K432" s="214"/>
      <c r="L432" s="214"/>
      <c r="M432" s="214"/>
      <c r="N432" s="221"/>
      <c r="O432" s="213"/>
      <c r="P432" s="213"/>
      <c r="Q432" s="213"/>
      <c r="R432" s="215"/>
      <c r="S432" s="213"/>
      <c r="T432" s="213"/>
      <c r="U432" s="213"/>
      <c r="V432" s="213"/>
      <c r="W432" s="213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</row>
    <row r="433" spans="1:36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213"/>
      <c r="G433" s="213"/>
      <c r="H433" s="213"/>
      <c r="I433" s="213"/>
      <c r="J433" s="214"/>
      <c r="K433" s="214"/>
      <c r="L433" s="214"/>
      <c r="M433" s="214"/>
      <c r="N433" s="221"/>
      <c r="O433" s="213"/>
      <c r="P433" s="213"/>
      <c r="Q433" s="213"/>
      <c r="R433" s="215"/>
      <c r="S433" s="213"/>
      <c r="T433" s="213"/>
      <c r="U433" s="213"/>
      <c r="V433" s="213"/>
      <c r="W433" s="213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</row>
    <row r="434" spans="1:36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213"/>
      <c r="G434" s="213"/>
      <c r="H434" s="213"/>
      <c r="I434" s="213"/>
      <c r="J434" s="214"/>
      <c r="K434" s="214"/>
      <c r="L434" s="214"/>
      <c r="M434" s="214"/>
      <c r="N434" s="221"/>
      <c r="O434" s="213"/>
      <c r="P434" s="213"/>
      <c r="Q434" s="213"/>
      <c r="R434" s="215"/>
      <c r="S434" s="213"/>
      <c r="T434" s="213"/>
      <c r="U434" s="213"/>
      <c r="V434" s="213"/>
      <c r="W434" s="213"/>
      <c r="X434" s="205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</row>
    <row r="435" spans="1:36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213"/>
      <c r="G435" s="213"/>
      <c r="H435" s="213"/>
      <c r="I435" s="213"/>
      <c r="J435" s="214"/>
      <c r="K435" s="214"/>
      <c r="L435" s="214"/>
      <c r="M435" s="214"/>
      <c r="N435" s="221"/>
      <c r="O435" s="213"/>
      <c r="P435" s="213"/>
      <c r="Q435" s="213"/>
      <c r="R435" s="215"/>
      <c r="S435" s="213"/>
      <c r="T435" s="213"/>
      <c r="U435" s="213"/>
      <c r="V435" s="213"/>
      <c r="W435" s="213"/>
      <c r="X435" s="205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</row>
    <row r="436" spans="1:36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213"/>
      <c r="G436" s="213"/>
      <c r="H436" s="213"/>
      <c r="I436" s="213"/>
      <c r="J436" s="214"/>
      <c r="K436" s="214"/>
      <c r="L436" s="214"/>
      <c r="M436" s="214"/>
      <c r="N436" s="221"/>
      <c r="O436" s="213"/>
      <c r="P436" s="213"/>
      <c r="Q436" s="213"/>
      <c r="R436" s="215"/>
      <c r="S436" s="213"/>
      <c r="T436" s="213"/>
      <c r="U436" s="213"/>
      <c r="V436" s="213"/>
      <c r="W436" s="213"/>
      <c r="X436" s="205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</row>
    <row r="437" spans="1:36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213"/>
      <c r="G437" s="213"/>
      <c r="H437" s="213"/>
      <c r="I437" s="213"/>
      <c r="J437" s="214"/>
      <c r="K437" s="214"/>
      <c r="L437" s="214"/>
      <c r="M437" s="214"/>
      <c r="N437" s="221"/>
      <c r="O437" s="213"/>
      <c r="P437" s="213"/>
      <c r="Q437" s="213"/>
      <c r="R437" s="215"/>
      <c r="S437" s="213"/>
      <c r="T437" s="213"/>
      <c r="U437" s="213"/>
      <c r="V437" s="213"/>
      <c r="W437" s="213"/>
      <c r="X437" s="205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</row>
    <row r="438" spans="1:36" ht="18.75" customHeight="1">
      <c r="A438" s="101"/>
      <c r="B438" s="53" t="s">
        <v>947</v>
      </c>
      <c r="C438" s="87" t="s">
        <v>948</v>
      </c>
      <c r="D438" s="61" t="s">
        <v>1085</v>
      </c>
      <c r="E438" s="200">
        <f t="shared" si="1"/>
        <v>0</v>
      </c>
      <c r="F438" s="213"/>
      <c r="G438" s="213"/>
      <c r="H438" s="213"/>
      <c r="I438" s="213"/>
      <c r="J438" s="214"/>
      <c r="K438" s="214"/>
      <c r="L438" s="214"/>
      <c r="M438" s="214"/>
      <c r="N438" s="221"/>
      <c r="O438" s="213"/>
      <c r="P438" s="213"/>
      <c r="Q438" s="213"/>
      <c r="R438" s="215"/>
      <c r="S438" s="213"/>
      <c r="T438" s="213"/>
      <c r="U438" s="213"/>
      <c r="V438" s="213"/>
      <c r="W438" s="213"/>
      <c r="X438" s="205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</row>
    <row r="439" spans="1:36" ht="18.75" customHeight="1">
      <c r="A439" s="42"/>
      <c r="B439" s="59" t="s">
        <v>951</v>
      </c>
      <c r="C439" s="113" t="s">
        <v>131</v>
      </c>
      <c r="D439" s="61" t="s">
        <v>1086</v>
      </c>
      <c r="E439" s="200">
        <f t="shared" si="1"/>
        <v>0</v>
      </c>
      <c r="F439" s="213"/>
      <c r="G439" s="213"/>
      <c r="H439" s="213"/>
      <c r="I439" s="213"/>
      <c r="J439" s="214"/>
      <c r="K439" s="214"/>
      <c r="L439" s="214"/>
      <c r="M439" s="214"/>
      <c r="N439" s="221"/>
      <c r="O439" s="213"/>
      <c r="P439" s="213"/>
      <c r="Q439" s="213"/>
      <c r="R439" s="215"/>
      <c r="S439" s="213"/>
      <c r="T439" s="213"/>
      <c r="U439" s="213"/>
      <c r="V439" s="213"/>
      <c r="W439" s="213"/>
      <c r="X439" s="205"/>
      <c r="Y439" s="205"/>
      <c r="Z439" s="205"/>
      <c r="AA439" s="205"/>
      <c r="AB439" s="205"/>
      <c r="AC439" s="205"/>
      <c r="AD439" s="205"/>
      <c r="AE439" s="205"/>
      <c r="AF439" s="205"/>
      <c r="AG439" s="205"/>
      <c r="AH439" s="205"/>
      <c r="AI439" s="205"/>
      <c r="AJ439" s="205"/>
    </row>
    <row r="440" spans="1:36" ht="18.75" customHeight="1">
      <c r="A440" s="42"/>
      <c r="B440" s="59" t="s">
        <v>953</v>
      </c>
      <c r="C440" s="113" t="s">
        <v>200</v>
      </c>
      <c r="D440" s="61" t="s">
        <v>1087</v>
      </c>
      <c r="E440" s="200">
        <f t="shared" si="1"/>
        <v>0</v>
      </c>
      <c r="F440" s="213"/>
      <c r="G440" s="213"/>
      <c r="H440" s="213"/>
      <c r="I440" s="213"/>
      <c r="J440" s="214"/>
      <c r="K440" s="214"/>
      <c r="L440" s="214"/>
      <c r="M440" s="214"/>
      <c r="N440" s="221"/>
      <c r="O440" s="213"/>
      <c r="P440" s="213"/>
      <c r="Q440" s="213"/>
      <c r="R440" s="215"/>
      <c r="S440" s="213"/>
      <c r="T440" s="213"/>
      <c r="U440" s="213"/>
      <c r="V440" s="213"/>
      <c r="W440" s="213"/>
      <c r="X440" s="205"/>
      <c r="Y440" s="205"/>
      <c r="Z440" s="205"/>
      <c r="AA440" s="205"/>
      <c r="AB440" s="205"/>
      <c r="AC440" s="205"/>
      <c r="AD440" s="205"/>
      <c r="AE440" s="205"/>
      <c r="AF440" s="205"/>
      <c r="AG440" s="205"/>
      <c r="AH440" s="205"/>
      <c r="AI440" s="205"/>
      <c r="AJ440" s="205"/>
    </row>
    <row r="441" spans="1:36" ht="18.75" customHeight="1">
      <c r="A441" s="42"/>
      <c r="B441" s="59" t="s">
        <v>955</v>
      </c>
      <c r="C441" s="113" t="s">
        <v>203</v>
      </c>
      <c r="D441" s="61" t="s">
        <v>1088</v>
      </c>
      <c r="E441" s="200">
        <f t="shared" si="1"/>
        <v>0</v>
      </c>
      <c r="F441" s="213"/>
      <c r="G441" s="213"/>
      <c r="H441" s="213"/>
      <c r="I441" s="213"/>
      <c r="J441" s="214"/>
      <c r="K441" s="214"/>
      <c r="L441" s="214"/>
      <c r="M441" s="214"/>
      <c r="N441" s="221"/>
      <c r="O441" s="213"/>
      <c r="P441" s="213"/>
      <c r="Q441" s="213"/>
      <c r="R441" s="215"/>
      <c r="S441" s="213"/>
      <c r="T441" s="213"/>
      <c r="U441" s="213"/>
      <c r="V441" s="213"/>
      <c r="W441" s="213"/>
      <c r="X441" s="205"/>
      <c r="Y441" s="205"/>
      <c r="Z441" s="205"/>
      <c r="AA441" s="205"/>
      <c r="AB441" s="205"/>
      <c r="AC441" s="205"/>
      <c r="AD441" s="205"/>
      <c r="AE441" s="205"/>
      <c r="AF441" s="205"/>
      <c r="AG441" s="205"/>
      <c r="AH441" s="205"/>
      <c r="AI441" s="205"/>
      <c r="AJ441" s="205"/>
    </row>
    <row r="442" spans="1:36" ht="18.75" customHeight="1">
      <c r="A442" s="42"/>
      <c r="B442" s="59" t="s">
        <v>957</v>
      </c>
      <c r="C442" s="113" t="s">
        <v>159</v>
      </c>
      <c r="D442" s="61" t="s">
        <v>1089</v>
      </c>
      <c r="E442" s="200">
        <f t="shared" si="1"/>
        <v>0</v>
      </c>
      <c r="F442" s="213"/>
      <c r="G442" s="213"/>
      <c r="H442" s="213"/>
      <c r="I442" s="213"/>
      <c r="J442" s="214"/>
      <c r="K442" s="214"/>
      <c r="L442" s="214"/>
      <c r="M442" s="214"/>
      <c r="N442" s="221"/>
      <c r="O442" s="213"/>
      <c r="P442" s="213"/>
      <c r="Q442" s="213"/>
      <c r="R442" s="215"/>
      <c r="S442" s="213"/>
      <c r="T442" s="213"/>
      <c r="U442" s="213"/>
      <c r="V442" s="213"/>
      <c r="W442" s="213"/>
      <c r="X442" s="205"/>
      <c r="Y442" s="205"/>
      <c r="Z442" s="205"/>
      <c r="AA442" s="205"/>
      <c r="AB442" s="205"/>
      <c r="AC442" s="205"/>
      <c r="AD442" s="205"/>
      <c r="AE442" s="205"/>
      <c r="AF442" s="205"/>
      <c r="AG442" s="205"/>
      <c r="AH442" s="205"/>
      <c r="AI442" s="205"/>
      <c r="AJ442" s="205"/>
    </row>
    <row r="443" spans="1:36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213"/>
      <c r="G443" s="213"/>
      <c r="H443" s="213"/>
      <c r="I443" s="213"/>
      <c r="J443" s="214"/>
      <c r="K443" s="214"/>
      <c r="L443" s="214"/>
      <c r="M443" s="214"/>
      <c r="N443" s="221"/>
      <c r="O443" s="213"/>
      <c r="P443" s="213"/>
      <c r="Q443" s="213"/>
      <c r="R443" s="215"/>
      <c r="S443" s="213"/>
      <c r="T443" s="213"/>
      <c r="U443" s="213"/>
      <c r="V443" s="213"/>
      <c r="W443" s="213"/>
      <c r="X443" s="205"/>
      <c r="Y443" s="205"/>
      <c r="Z443" s="205"/>
      <c r="AA443" s="205"/>
      <c r="AB443" s="205"/>
      <c r="AC443" s="205"/>
      <c r="AD443" s="205"/>
      <c r="AE443" s="205"/>
      <c r="AF443" s="205"/>
      <c r="AG443" s="205"/>
      <c r="AH443" s="205"/>
      <c r="AI443" s="205"/>
      <c r="AJ443" s="205"/>
    </row>
    <row r="444" spans="1:36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213"/>
      <c r="G444" s="213"/>
      <c r="H444" s="213"/>
      <c r="I444" s="213"/>
      <c r="J444" s="214"/>
      <c r="K444" s="214"/>
      <c r="L444" s="214"/>
      <c r="M444" s="214"/>
      <c r="N444" s="221"/>
      <c r="O444" s="213"/>
      <c r="P444" s="213"/>
      <c r="Q444" s="213"/>
      <c r="R444" s="215"/>
      <c r="S444" s="213"/>
      <c r="T444" s="213"/>
      <c r="U444" s="213"/>
      <c r="V444" s="213"/>
      <c r="W444" s="213"/>
      <c r="X444" s="205"/>
      <c r="Y444" s="205"/>
      <c r="Z444" s="205"/>
      <c r="AA444" s="205"/>
      <c r="AB444" s="205"/>
      <c r="AC444" s="205"/>
      <c r="AD444" s="205"/>
      <c r="AE444" s="205"/>
      <c r="AF444" s="205"/>
      <c r="AG444" s="205"/>
      <c r="AH444" s="205"/>
      <c r="AI444" s="205"/>
      <c r="AJ444" s="205"/>
    </row>
    <row r="445" spans="1:36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213"/>
      <c r="G445" s="213"/>
      <c r="H445" s="213"/>
      <c r="I445" s="213"/>
      <c r="J445" s="214"/>
      <c r="K445" s="214"/>
      <c r="L445" s="214"/>
      <c r="M445" s="214"/>
      <c r="N445" s="221"/>
      <c r="O445" s="213"/>
      <c r="P445" s="213"/>
      <c r="Q445" s="213"/>
      <c r="R445" s="215"/>
      <c r="S445" s="213"/>
      <c r="T445" s="213"/>
      <c r="U445" s="213"/>
      <c r="V445" s="213"/>
      <c r="W445" s="213"/>
      <c r="X445" s="205"/>
      <c r="Y445" s="205"/>
      <c r="Z445" s="205"/>
      <c r="AA445" s="205"/>
      <c r="AB445" s="205"/>
      <c r="AC445" s="205"/>
      <c r="AD445" s="205"/>
      <c r="AE445" s="205"/>
      <c r="AF445" s="205"/>
      <c r="AG445" s="205"/>
      <c r="AH445" s="205"/>
      <c r="AI445" s="205"/>
      <c r="AJ445" s="205"/>
    </row>
    <row r="446" spans="1:36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213"/>
      <c r="G446" s="213"/>
      <c r="H446" s="213"/>
      <c r="I446" s="213"/>
      <c r="J446" s="214"/>
      <c r="K446" s="214"/>
      <c r="L446" s="214"/>
      <c r="M446" s="214"/>
      <c r="N446" s="221"/>
      <c r="O446" s="213"/>
      <c r="P446" s="213"/>
      <c r="Q446" s="213"/>
      <c r="R446" s="215"/>
      <c r="S446" s="213"/>
      <c r="T446" s="213"/>
      <c r="U446" s="213"/>
      <c r="V446" s="213"/>
      <c r="W446" s="213"/>
      <c r="X446" s="205"/>
      <c r="Y446" s="205"/>
      <c r="Z446" s="205"/>
      <c r="AA446" s="205"/>
      <c r="AB446" s="205"/>
      <c r="AC446" s="205"/>
      <c r="AD446" s="205"/>
      <c r="AE446" s="205"/>
      <c r="AF446" s="205"/>
      <c r="AG446" s="205"/>
      <c r="AH446" s="205"/>
      <c r="AI446" s="205"/>
      <c r="AJ446" s="205"/>
    </row>
    <row r="447" spans="1:36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231"/>
      <c r="G447" s="231"/>
      <c r="H447" s="231"/>
      <c r="I447" s="231"/>
      <c r="J447" s="232"/>
      <c r="K447" s="232"/>
      <c r="L447" s="232"/>
      <c r="M447" s="233"/>
      <c r="N447" s="234"/>
      <c r="O447" s="231"/>
      <c r="P447" s="231"/>
      <c r="Q447" s="231"/>
      <c r="R447" s="235"/>
      <c r="S447" s="231"/>
      <c r="T447" s="231"/>
      <c r="U447" s="231"/>
      <c r="V447" s="231"/>
      <c r="W447" s="231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236"/>
      <c r="AH447" s="236"/>
      <c r="AI447" s="236"/>
      <c r="AJ447" s="236"/>
    </row>
    <row r="448" spans="1:36" ht="15.75" customHeight="1">
      <c r="A448" s="177"/>
      <c r="B448" s="237"/>
      <c r="C448" s="205"/>
      <c r="D448" s="238"/>
      <c r="E448" s="205"/>
      <c r="F448" s="239"/>
      <c r="G448" s="239"/>
      <c r="H448" s="239"/>
      <c r="I448" s="239"/>
      <c r="J448" s="239"/>
      <c r="K448" s="239"/>
      <c r="L448" s="239"/>
      <c r="M448" s="239"/>
      <c r="N448" s="240"/>
      <c r="O448" s="239"/>
      <c r="P448" s="239"/>
      <c r="Q448" s="239"/>
      <c r="R448" s="239"/>
      <c r="S448" s="239"/>
      <c r="T448" s="239"/>
      <c r="U448" s="239"/>
      <c r="V448" s="239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7"/>
    </row>
    <row r="449" spans="1:36" ht="15.75" customHeight="1">
      <c r="A449" s="177"/>
      <c r="B449" s="237"/>
      <c r="C449" s="205"/>
      <c r="D449" s="238"/>
      <c r="E449" s="205"/>
      <c r="F449" s="239"/>
      <c r="G449" s="239"/>
      <c r="H449" s="239"/>
      <c r="I449" s="239"/>
      <c r="J449" s="239"/>
      <c r="K449" s="239"/>
      <c r="L449" s="239"/>
      <c r="M449" s="239"/>
      <c r="N449" s="240"/>
      <c r="O449" s="239"/>
      <c r="P449" s="239"/>
      <c r="Q449" s="239"/>
      <c r="R449" s="239"/>
      <c r="S449" s="239"/>
      <c r="T449" s="239"/>
      <c r="U449" s="239"/>
      <c r="V449" s="239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7"/>
    </row>
    <row r="450" spans="1:36" ht="15.75" customHeight="1">
      <c r="A450" s="177"/>
      <c r="B450" s="237"/>
      <c r="C450" s="241" t="s">
        <v>12</v>
      </c>
      <c r="D450" s="242">
        <f>COUNTIF($D$11:$FO$11,"Hà Giang")</f>
        <v>0</v>
      </c>
      <c r="E450" s="205"/>
      <c r="F450" s="239"/>
      <c r="G450" s="239"/>
      <c r="H450" s="239"/>
      <c r="I450" s="239"/>
      <c r="J450" s="239"/>
      <c r="K450" s="239"/>
      <c r="L450" s="239"/>
      <c r="M450" s="239"/>
      <c r="N450" s="240"/>
      <c r="O450" s="239"/>
      <c r="P450" s="239"/>
      <c r="Q450" s="239"/>
      <c r="R450" s="239"/>
      <c r="S450" s="239"/>
      <c r="T450" s="239"/>
      <c r="U450" s="239"/>
      <c r="V450" s="239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7"/>
    </row>
    <row r="451" spans="1:36" ht="15.75" customHeight="1">
      <c r="A451" s="177"/>
      <c r="B451" s="237"/>
      <c r="C451" s="241" t="s">
        <v>14</v>
      </c>
      <c r="D451" s="242">
        <f>COUNTIF($D$11:$FO$11,"Lào Cai")</f>
        <v>0</v>
      </c>
      <c r="E451" s="205"/>
      <c r="F451" s="239"/>
      <c r="G451" s="239"/>
      <c r="H451" s="239"/>
      <c r="I451" s="239"/>
      <c r="J451" s="239"/>
      <c r="K451" s="239"/>
      <c r="L451" s="239"/>
      <c r="M451" s="239"/>
      <c r="N451" s="240"/>
      <c r="O451" s="239"/>
      <c r="P451" s="239"/>
      <c r="Q451" s="239"/>
      <c r="R451" s="239"/>
      <c r="S451" s="239"/>
      <c r="T451" s="239"/>
      <c r="U451" s="239"/>
      <c r="V451" s="239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7"/>
    </row>
    <row r="452" spans="1:36" ht="15.75" customHeight="1">
      <c r="A452" s="177"/>
      <c r="B452" s="237"/>
      <c r="C452" s="241" t="s">
        <v>23</v>
      </c>
      <c r="D452" s="242">
        <f>COUNTIF($D$11:$FO$11,"Lai Châu")</f>
        <v>0</v>
      </c>
      <c r="E452" s="205"/>
      <c r="F452" s="239"/>
      <c r="G452" s="239"/>
      <c r="H452" s="239"/>
      <c r="I452" s="239"/>
      <c r="J452" s="239"/>
      <c r="K452" s="239"/>
      <c r="L452" s="239"/>
      <c r="M452" s="239"/>
      <c r="N452" s="240"/>
      <c r="O452" s="239"/>
      <c r="P452" s="239"/>
      <c r="Q452" s="239"/>
      <c r="R452" s="239"/>
      <c r="S452" s="239"/>
      <c r="T452" s="239"/>
      <c r="U452" s="239"/>
      <c r="V452" s="239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7"/>
    </row>
    <row r="453" spans="1:36" ht="15.75" customHeight="1">
      <c r="A453" s="177"/>
      <c r="B453" s="237"/>
      <c r="C453" s="243" t="s">
        <v>17</v>
      </c>
      <c r="D453" s="242">
        <f>COUNTIF($D$11:$FO$11,"Điện Biên")</f>
        <v>0</v>
      </c>
      <c r="E453" s="205"/>
      <c r="F453" s="239"/>
      <c r="G453" s="239"/>
      <c r="H453" s="239"/>
      <c r="I453" s="239"/>
      <c r="J453" s="239"/>
      <c r="K453" s="239"/>
      <c r="L453" s="239"/>
      <c r="M453" s="239"/>
      <c r="N453" s="240"/>
      <c r="O453" s="239"/>
      <c r="P453" s="239"/>
      <c r="Q453" s="239"/>
      <c r="R453" s="239"/>
      <c r="S453" s="239"/>
      <c r="T453" s="239"/>
      <c r="U453" s="239"/>
      <c r="V453" s="239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7"/>
    </row>
    <row r="454" spans="1:36" ht="15.75" customHeight="1">
      <c r="A454" s="177"/>
      <c r="B454" s="237"/>
      <c r="C454" s="243" t="s">
        <v>16</v>
      </c>
      <c r="D454" s="242">
        <f>COUNTIF($D$11:$FO$11,"Lạng Sơn")</f>
        <v>0</v>
      </c>
      <c r="E454" s="205"/>
      <c r="F454" s="239"/>
      <c r="G454" s="239"/>
      <c r="H454" s="239"/>
      <c r="I454" s="239"/>
      <c r="J454" s="239"/>
      <c r="K454" s="239"/>
      <c r="L454" s="239"/>
      <c r="M454" s="239"/>
      <c r="N454" s="240"/>
      <c r="O454" s="239"/>
      <c r="P454" s="239"/>
      <c r="Q454" s="239"/>
      <c r="R454" s="239"/>
      <c r="S454" s="239"/>
      <c r="T454" s="239"/>
      <c r="U454" s="239"/>
      <c r="V454" s="239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7"/>
    </row>
    <row r="455" spans="1:36" ht="15.75" customHeight="1">
      <c r="A455" s="177"/>
      <c r="B455" s="237"/>
      <c r="C455" s="243" t="s">
        <v>13</v>
      </c>
      <c r="D455" s="242">
        <f>COUNTIF($D$11:$FO$11,"Cao Bằng")</f>
        <v>0</v>
      </c>
      <c r="E455" s="205"/>
      <c r="F455" s="239"/>
      <c r="G455" s="239"/>
      <c r="H455" s="239"/>
      <c r="I455" s="239"/>
      <c r="J455" s="239"/>
      <c r="K455" s="239"/>
      <c r="L455" s="239"/>
      <c r="M455" s="239"/>
      <c r="N455" s="240"/>
      <c r="O455" s="239"/>
      <c r="P455" s="239"/>
      <c r="Q455" s="239"/>
      <c r="R455" s="239"/>
      <c r="S455" s="239"/>
      <c r="T455" s="239"/>
      <c r="U455" s="239"/>
      <c r="V455" s="239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7"/>
    </row>
    <row r="456" spans="1:36" ht="15.75" customHeight="1">
      <c r="A456" s="177"/>
      <c r="B456" s="237"/>
      <c r="C456" s="243" t="s">
        <v>1090</v>
      </c>
      <c r="D456" s="242">
        <f>COUNTIF($D$11:$FO$11,"Sơn La")</f>
        <v>0</v>
      </c>
      <c r="E456" s="205"/>
      <c r="F456" s="239"/>
      <c r="G456" s="239"/>
      <c r="H456" s="239"/>
      <c r="I456" s="239"/>
      <c r="J456" s="239"/>
      <c r="K456" s="239"/>
      <c r="L456" s="239"/>
      <c r="M456" s="239"/>
      <c r="N456" s="240"/>
      <c r="O456" s="239"/>
      <c r="P456" s="239"/>
      <c r="Q456" s="239"/>
      <c r="R456" s="239"/>
      <c r="S456" s="239"/>
      <c r="T456" s="239"/>
      <c r="U456" s="239"/>
      <c r="V456" s="239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7"/>
    </row>
    <row r="457" spans="1:36" ht="15.75" customHeight="1">
      <c r="A457" s="177"/>
      <c r="B457" s="237"/>
      <c r="C457" s="243" t="s">
        <v>19</v>
      </c>
      <c r="D457" s="242">
        <f>COUNTIF($D$11:$FO$11,"Yên Bái")</f>
        <v>0</v>
      </c>
      <c r="E457" s="205"/>
      <c r="F457" s="239"/>
      <c r="G457" s="239"/>
      <c r="H457" s="239"/>
      <c r="I457" s="239"/>
      <c r="J457" s="239"/>
      <c r="K457" s="239"/>
      <c r="L457" s="239"/>
      <c r="M457" s="239"/>
      <c r="N457" s="240"/>
      <c r="O457" s="239"/>
      <c r="P457" s="239"/>
      <c r="Q457" s="239"/>
      <c r="R457" s="239"/>
      <c r="S457" s="239"/>
      <c r="T457" s="239"/>
      <c r="U457" s="239"/>
      <c r="V457" s="239"/>
      <c r="W457" s="205"/>
      <c r="X457" s="205"/>
      <c r="Y457" s="205"/>
      <c r="Z457" s="205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7"/>
    </row>
    <row r="458" spans="1:36" ht="15.75" customHeight="1">
      <c r="A458" s="177"/>
      <c r="B458" s="237"/>
      <c r="C458" s="243" t="s">
        <v>18</v>
      </c>
      <c r="D458" s="242">
        <f>COUNTIF($D$11:$FO$11,"Tuyên Quang")</f>
        <v>0</v>
      </c>
      <c r="E458" s="205"/>
      <c r="F458" s="239"/>
      <c r="G458" s="239"/>
      <c r="H458" s="239"/>
      <c r="I458" s="239"/>
      <c r="J458" s="239"/>
      <c r="K458" s="239"/>
      <c r="L458" s="239"/>
      <c r="M458" s="239"/>
      <c r="N458" s="240"/>
      <c r="O458" s="239"/>
      <c r="P458" s="239"/>
      <c r="Q458" s="239"/>
      <c r="R458" s="239"/>
      <c r="S458" s="239"/>
      <c r="T458" s="239"/>
      <c r="U458" s="239"/>
      <c r="V458" s="239"/>
      <c r="W458" s="205"/>
      <c r="X458" s="205"/>
      <c r="Y458" s="205"/>
      <c r="Z458" s="205"/>
      <c r="AA458" s="205"/>
      <c r="AB458" s="205"/>
      <c r="AC458" s="205"/>
      <c r="AD458" s="205"/>
      <c r="AE458" s="205"/>
      <c r="AF458" s="205"/>
      <c r="AG458" s="205"/>
      <c r="AH458" s="205"/>
      <c r="AI458" s="205"/>
      <c r="AJ458" s="7"/>
    </row>
    <row r="459" spans="1:36" ht="15.75" customHeight="1">
      <c r="A459" s="177"/>
      <c r="B459" s="237"/>
      <c r="C459" s="243" t="s">
        <v>1091</v>
      </c>
      <c r="D459" s="242">
        <f>COUNTIF($D$11:$FO$11,"Thái Nguyên")</f>
        <v>0</v>
      </c>
      <c r="E459" s="205"/>
      <c r="F459" s="239"/>
      <c r="G459" s="239"/>
      <c r="H459" s="239"/>
      <c r="I459" s="239"/>
      <c r="J459" s="239"/>
      <c r="K459" s="239"/>
      <c r="L459" s="239"/>
      <c r="M459" s="239"/>
      <c r="N459" s="240"/>
      <c r="O459" s="239"/>
      <c r="P459" s="239"/>
      <c r="Q459" s="239"/>
      <c r="R459" s="239"/>
      <c r="S459" s="239"/>
      <c r="T459" s="239"/>
      <c r="U459" s="239"/>
      <c r="V459" s="239"/>
      <c r="W459" s="205"/>
      <c r="X459" s="205"/>
      <c r="Y459" s="205"/>
      <c r="Z459" s="205"/>
      <c r="AA459" s="205"/>
      <c r="AB459" s="205"/>
      <c r="AC459" s="205"/>
      <c r="AD459" s="205"/>
      <c r="AE459" s="205"/>
      <c r="AF459" s="205"/>
      <c r="AG459" s="205"/>
      <c r="AH459" s="205"/>
      <c r="AI459" s="205"/>
      <c r="AJ459" s="7"/>
    </row>
    <row r="460" spans="1:36" ht="15.75" customHeight="1">
      <c r="A460" s="177"/>
      <c r="B460" s="237"/>
      <c r="C460" s="243" t="s">
        <v>15</v>
      </c>
      <c r="D460" s="242">
        <f>COUNTIF($D$11:$FO$11,"Bắc Kạn")</f>
        <v>0</v>
      </c>
      <c r="E460" s="205"/>
      <c r="F460" s="239"/>
      <c r="G460" s="239"/>
      <c r="H460" s="239"/>
      <c r="I460" s="239"/>
      <c r="J460" s="239"/>
      <c r="K460" s="239"/>
      <c r="L460" s="239"/>
      <c r="M460" s="239"/>
      <c r="N460" s="240"/>
      <c r="O460" s="239"/>
      <c r="P460" s="239"/>
      <c r="Q460" s="239"/>
      <c r="R460" s="239"/>
      <c r="S460" s="239"/>
      <c r="T460" s="239"/>
      <c r="U460" s="239"/>
      <c r="V460" s="239"/>
      <c r="W460" s="205"/>
      <c r="X460" s="205"/>
      <c r="Y460" s="205"/>
      <c r="Z460" s="205"/>
      <c r="AA460" s="205"/>
      <c r="AB460" s="205"/>
      <c r="AC460" s="205"/>
      <c r="AD460" s="205"/>
      <c r="AE460" s="205"/>
      <c r="AF460" s="205"/>
      <c r="AG460" s="205"/>
      <c r="AH460" s="205"/>
      <c r="AI460" s="205"/>
      <c r="AJ460" s="7"/>
    </row>
    <row r="461" spans="1:36" ht="15.75" customHeight="1">
      <c r="A461" s="177"/>
      <c r="B461" s="237"/>
      <c r="C461" s="243" t="s">
        <v>25</v>
      </c>
      <c r="D461" s="242">
        <f>COUNTIF($D$11:$FO$11,"Hoà Bình")</f>
        <v>0</v>
      </c>
      <c r="E461" s="205"/>
      <c r="F461" s="239"/>
      <c r="G461" s="239"/>
      <c r="H461" s="239"/>
      <c r="I461" s="239"/>
      <c r="J461" s="239"/>
      <c r="K461" s="239"/>
      <c r="L461" s="239"/>
      <c r="M461" s="239"/>
      <c r="N461" s="240"/>
      <c r="O461" s="239"/>
      <c r="P461" s="239"/>
      <c r="Q461" s="239"/>
      <c r="R461" s="239"/>
      <c r="S461" s="239"/>
      <c r="T461" s="239"/>
      <c r="U461" s="239"/>
      <c r="V461" s="239"/>
      <c r="W461" s="205"/>
      <c r="X461" s="205"/>
      <c r="Y461" s="205"/>
      <c r="Z461" s="205"/>
      <c r="AA461" s="205"/>
      <c r="AB461" s="205"/>
      <c r="AC461" s="205"/>
      <c r="AD461" s="205"/>
      <c r="AE461" s="205"/>
      <c r="AF461" s="205"/>
      <c r="AG461" s="205"/>
      <c r="AH461" s="205"/>
      <c r="AI461" s="205"/>
      <c r="AJ461" s="7"/>
    </row>
    <row r="462" spans="1:36" ht="15.75" customHeight="1">
      <c r="A462" s="177"/>
      <c r="B462" s="237"/>
      <c r="C462" s="243" t="s">
        <v>1092</v>
      </c>
      <c r="D462" s="242">
        <f>COUNTIF($D$11:$FO$11,"Bắc Giang")</f>
        <v>0</v>
      </c>
      <c r="E462" s="205"/>
      <c r="F462" s="239"/>
      <c r="G462" s="239"/>
      <c r="H462" s="239"/>
      <c r="I462" s="239"/>
      <c r="J462" s="239"/>
      <c r="K462" s="239"/>
      <c r="L462" s="239"/>
      <c r="M462" s="239"/>
      <c r="N462" s="240"/>
      <c r="O462" s="239"/>
      <c r="P462" s="239"/>
      <c r="Q462" s="239"/>
      <c r="R462" s="239"/>
      <c r="S462" s="239"/>
      <c r="T462" s="239"/>
      <c r="U462" s="239"/>
      <c r="V462" s="239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7"/>
    </row>
    <row r="463" spans="1:36" ht="15.75" customHeight="1">
      <c r="A463" s="177"/>
      <c r="B463" s="237"/>
      <c r="C463" s="243" t="s">
        <v>28</v>
      </c>
      <c r="D463" s="242">
        <f>COUNTIF($D$11:$FO$11,"Quảng Ninh")</f>
        <v>0</v>
      </c>
      <c r="E463" s="205"/>
      <c r="F463" s="239"/>
      <c r="G463" s="239"/>
      <c r="H463" s="239"/>
      <c r="I463" s="239"/>
      <c r="J463" s="239"/>
      <c r="K463" s="239"/>
      <c r="L463" s="239"/>
      <c r="M463" s="239"/>
      <c r="N463" s="240"/>
      <c r="O463" s="239"/>
      <c r="P463" s="239"/>
      <c r="Q463" s="239"/>
      <c r="R463" s="239"/>
      <c r="S463" s="239"/>
      <c r="T463" s="239"/>
      <c r="U463" s="239"/>
      <c r="V463" s="239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7"/>
    </row>
    <row r="464" spans="1:36" ht="15.75" customHeight="1">
      <c r="A464" s="177"/>
      <c r="B464" s="237"/>
      <c r="C464" s="243" t="s">
        <v>26</v>
      </c>
      <c r="D464" s="242">
        <f>COUNTIF($D$11:$FO$11,"Hà Nội")</f>
        <v>0</v>
      </c>
      <c r="E464" s="205"/>
      <c r="F464" s="239"/>
      <c r="G464" s="239"/>
      <c r="H464" s="239"/>
      <c r="I464" s="239"/>
      <c r="J464" s="239"/>
      <c r="K464" s="239"/>
      <c r="L464" s="239"/>
      <c r="M464" s="239"/>
      <c r="N464" s="240"/>
      <c r="O464" s="239"/>
      <c r="P464" s="239"/>
      <c r="Q464" s="239"/>
      <c r="R464" s="239"/>
      <c r="S464" s="239"/>
      <c r="T464" s="239"/>
      <c r="U464" s="239"/>
      <c r="V464" s="239"/>
      <c r="W464" s="205"/>
      <c r="X464" s="205"/>
      <c r="Y464" s="205"/>
      <c r="Z464" s="205"/>
      <c r="AA464" s="205"/>
      <c r="AB464" s="205"/>
      <c r="AC464" s="205"/>
      <c r="AD464" s="205"/>
      <c r="AE464" s="205"/>
      <c r="AF464" s="205"/>
      <c r="AG464" s="205"/>
      <c r="AH464" s="205"/>
      <c r="AI464" s="205"/>
      <c r="AJ464" s="7"/>
    </row>
    <row r="465" spans="1:36" ht="15.75" customHeight="1">
      <c r="A465" s="177"/>
      <c r="B465" s="237"/>
      <c r="C465" s="243" t="s">
        <v>21</v>
      </c>
      <c r="D465" s="242">
        <f>COUNTIF($D$11:$FO$11,"Phú Thọ")</f>
        <v>0</v>
      </c>
      <c r="E465" s="205"/>
      <c r="F465" s="239"/>
      <c r="G465" s="239"/>
      <c r="H465" s="239"/>
      <c r="I465" s="239"/>
      <c r="J465" s="239"/>
      <c r="K465" s="239"/>
      <c r="L465" s="239"/>
      <c r="M465" s="239"/>
      <c r="N465" s="240"/>
      <c r="O465" s="239"/>
      <c r="P465" s="239"/>
      <c r="Q465" s="239"/>
      <c r="R465" s="239"/>
      <c r="S465" s="239"/>
      <c r="T465" s="239"/>
      <c r="U465" s="239"/>
      <c r="V465" s="239"/>
      <c r="W465" s="205"/>
      <c r="X465" s="205"/>
      <c r="Y465" s="205"/>
      <c r="Z465" s="205"/>
      <c r="AA465" s="205"/>
      <c r="AB465" s="205"/>
      <c r="AC465" s="205"/>
      <c r="AD465" s="205"/>
      <c r="AE465" s="205"/>
      <c r="AF465" s="205"/>
      <c r="AG465" s="205"/>
      <c r="AH465" s="205"/>
      <c r="AI465" s="205"/>
      <c r="AJ465" s="7"/>
    </row>
    <row r="466" spans="1:36" ht="15.75" customHeight="1">
      <c r="A466" s="177"/>
      <c r="B466" s="237"/>
      <c r="C466" s="243" t="s">
        <v>1093</v>
      </c>
      <c r="D466" s="242">
        <f>COUNTIF($D$11:$FO$11,"Vĩnh Phúc")</f>
        <v>0</v>
      </c>
      <c r="E466" s="205"/>
      <c r="F466" s="239"/>
      <c r="G466" s="239"/>
      <c r="H466" s="239"/>
      <c r="I466" s="239"/>
      <c r="J466" s="239"/>
      <c r="K466" s="239"/>
      <c r="L466" s="239"/>
      <c r="M466" s="239"/>
      <c r="N466" s="240"/>
      <c r="O466" s="239"/>
      <c r="P466" s="239"/>
      <c r="Q466" s="239"/>
      <c r="R466" s="239"/>
      <c r="S466" s="239"/>
      <c r="T466" s="239"/>
      <c r="U466" s="239"/>
      <c r="V466" s="239"/>
      <c r="W466" s="205"/>
      <c r="X466" s="205"/>
      <c r="Y466" s="205"/>
      <c r="Z466" s="205"/>
      <c r="AA466" s="205"/>
      <c r="AB466" s="205"/>
      <c r="AC466" s="205"/>
      <c r="AD466" s="205"/>
      <c r="AE466" s="205"/>
      <c r="AF466" s="205"/>
      <c r="AG466" s="205"/>
      <c r="AH466" s="205"/>
      <c r="AI466" s="205"/>
      <c r="AJ466" s="7"/>
    </row>
    <row r="467" spans="1:36" ht="15.75" customHeight="1">
      <c r="A467" s="177"/>
      <c r="B467" s="237"/>
      <c r="C467" s="243" t="s">
        <v>32</v>
      </c>
      <c r="D467" s="242">
        <f>COUNTIF($D$11:$FO$11,"Bắc Ninh")</f>
        <v>0</v>
      </c>
      <c r="E467" s="205"/>
      <c r="F467" s="239"/>
      <c r="G467" s="239"/>
      <c r="H467" s="239"/>
      <c r="I467" s="239"/>
      <c r="J467" s="239"/>
      <c r="K467" s="239"/>
      <c r="L467" s="239"/>
      <c r="M467" s="239"/>
      <c r="N467" s="240"/>
      <c r="O467" s="239"/>
      <c r="P467" s="239"/>
      <c r="Q467" s="239"/>
      <c r="R467" s="239"/>
      <c r="S467" s="239"/>
      <c r="T467" s="239"/>
      <c r="U467" s="239"/>
      <c r="V467" s="239"/>
      <c r="W467" s="205"/>
      <c r="X467" s="205"/>
      <c r="Y467" s="205"/>
      <c r="Z467" s="205"/>
      <c r="AA467" s="205"/>
      <c r="AB467" s="205"/>
      <c r="AC467" s="205"/>
      <c r="AD467" s="205"/>
      <c r="AE467" s="205"/>
      <c r="AF467" s="205"/>
      <c r="AG467" s="205"/>
      <c r="AH467" s="205"/>
      <c r="AI467" s="205"/>
      <c r="AJ467" s="7"/>
    </row>
    <row r="468" spans="1:36" ht="15.75" customHeight="1">
      <c r="A468" s="177"/>
      <c r="B468" s="237"/>
      <c r="C468" s="243" t="s">
        <v>29</v>
      </c>
      <c r="D468" s="242">
        <f>COUNTIF($D$11:$FO$11,"Hải Dương")</f>
        <v>0</v>
      </c>
      <c r="E468" s="205"/>
      <c r="F468" s="239"/>
      <c r="G468" s="239"/>
      <c r="H468" s="239"/>
      <c r="I468" s="239"/>
      <c r="J468" s="239"/>
      <c r="K468" s="239"/>
      <c r="L468" s="239"/>
      <c r="M468" s="239"/>
      <c r="N468" s="240"/>
      <c r="O468" s="239"/>
      <c r="P468" s="239"/>
      <c r="Q468" s="239"/>
      <c r="R468" s="239"/>
      <c r="S468" s="239"/>
      <c r="T468" s="239"/>
      <c r="U468" s="239"/>
      <c r="V468" s="239"/>
      <c r="W468" s="205"/>
      <c r="X468" s="205"/>
      <c r="Y468" s="205"/>
      <c r="Z468" s="205"/>
      <c r="AA468" s="205"/>
      <c r="AB468" s="205"/>
      <c r="AC468" s="205"/>
      <c r="AD468" s="205"/>
      <c r="AE468" s="205"/>
      <c r="AF468" s="205"/>
      <c r="AG468" s="205"/>
      <c r="AH468" s="205"/>
      <c r="AI468" s="205"/>
      <c r="AJ468" s="7"/>
    </row>
    <row r="469" spans="1:36" ht="15.75" customHeight="1">
      <c r="A469" s="177"/>
      <c r="B469" s="237"/>
      <c r="C469" s="243" t="s">
        <v>30</v>
      </c>
      <c r="D469" s="242">
        <f>COUNTIF($D$11:$FO$11,"Hưng Yên")</f>
        <v>0</v>
      </c>
      <c r="E469" s="205"/>
      <c r="F469" s="239"/>
      <c r="G469" s="239"/>
      <c r="H469" s="239"/>
      <c r="I469" s="239"/>
      <c r="J469" s="239"/>
      <c r="K469" s="239"/>
      <c r="L469" s="239"/>
      <c r="M469" s="239"/>
      <c r="N469" s="240"/>
      <c r="O469" s="239"/>
      <c r="P469" s="239"/>
      <c r="Q469" s="239"/>
      <c r="R469" s="239"/>
      <c r="S469" s="239"/>
      <c r="T469" s="239"/>
      <c r="U469" s="239"/>
      <c r="V469" s="239"/>
      <c r="W469" s="205"/>
      <c r="X469" s="205"/>
      <c r="Y469" s="205"/>
      <c r="Z469" s="205"/>
      <c r="AA469" s="205"/>
      <c r="AB469" s="205"/>
      <c r="AC469" s="205"/>
      <c r="AD469" s="205"/>
      <c r="AE469" s="205"/>
      <c r="AF469" s="205"/>
      <c r="AG469" s="205"/>
      <c r="AH469" s="205"/>
      <c r="AI469" s="205"/>
      <c r="AJ469" s="7"/>
    </row>
    <row r="470" spans="1:36" ht="15.75" customHeight="1">
      <c r="A470" s="177"/>
      <c r="B470" s="237"/>
      <c r="C470" s="243" t="s">
        <v>27</v>
      </c>
      <c r="D470" s="242">
        <f>COUNTIF($D$11:$FO$11,"Hải Phòng")</f>
        <v>0</v>
      </c>
      <c r="E470" s="205"/>
      <c r="F470" s="239"/>
      <c r="G470" s="239"/>
      <c r="H470" s="239"/>
      <c r="I470" s="239"/>
      <c r="J470" s="239"/>
      <c r="K470" s="239"/>
      <c r="L470" s="239"/>
      <c r="M470" s="239"/>
      <c r="N470" s="240"/>
      <c r="O470" s="239"/>
      <c r="P470" s="239"/>
      <c r="Q470" s="239"/>
      <c r="R470" s="239"/>
      <c r="S470" s="239"/>
      <c r="T470" s="239"/>
      <c r="U470" s="239"/>
      <c r="V470" s="239"/>
      <c r="W470" s="205"/>
      <c r="X470" s="205"/>
      <c r="Y470" s="205"/>
      <c r="Z470" s="205"/>
      <c r="AA470" s="205"/>
      <c r="AB470" s="205"/>
      <c r="AC470" s="205"/>
      <c r="AD470" s="205"/>
      <c r="AE470" s="205"/>
      <c r="AF470" s="205"/>
      <c r="AG470" s="205"/>
      <c r="AH470" s="205"/>
      <c r="AI470" s="205"/>
      <c r="AJ470" s="7"/>
    </row>
    <row r="471" spans="1:36" ht="15.75" customHeight="1">
      <c r="A471" s="177"/>
      <c r="B471" s="237"/>
      <c r="C471" s="243" t="s">
        <v>33</v>
      </c>
      <c r="D471" s="242">
        <f>COUNTIF($D$11:$FO$11,"Hà Nam")</f>
        <v>0</v>
      </c>
      <c r="E471" s="205"/>
      <c r="F471" s="239"/>
      <c r="G471" s="239"/>
      <c r="H471" s="239"/>
      <c r="I471" s="239"/>
      <c r="J471" s="239"/>
      <c r="K471" s="239"/>
      <c r="L471" s="239"/>
      <c r="M471" s="239"/>
      <c r="N471" s="240"/>
      <c r="O471" s="239"/>
      <c r="P471" s="239"/>
      <c r="Q471" s="239"/>
      <c r="R471" s="239"/>
      <c r="S471" s="239"/>
      <c r="T471" s="239"/>
      <c r="U471" s="239"/>
      <c r="V471" s="239"/>
      <c r="W471" s="205"/>
      <c r="X471" s="205"/>
      <c r="Y471" s="205"/>
      <c r="Z471" s="205"/>
      <c r="AA471" s="205"/>
      <c r="AB471" s="205"/>
      <c r="AC471" s="205"/>
      <c r="AD471" s="205"/>
      <c r="AE471" s="205"/>
      <c r="AF471" s="205"/>
      <c r="AG471" s="205"/>
      <c r="AH471" s="205"/>
      <c r="AI471" s="205"/>
      <c r="AJ471" s="7"/>
    </row>
    <row r="472" spans="1:36" ht="15.75" customHeight="1">
      <c r="A472" s="177"/>
      <c r="B472" s="237"/>
      <c r="C472" s="243" t="s">
        <v>36</v>
      </c>
      <c r="D472" s="242">
        <f>COUNTIF($D$11:$FO$11,"Nam Định")</f>
        <v>0</v>
      </c>
      <c r="E472" s="205"/>
      <c r="F472" s="239"/>
      <c r="G472" s="239"/>
      <c r="H472" s="239"/>
      <c r="I472" s="239"/>
      <c r="J472" s="239"/>
      <c r="K472" s="239"/>
      <c r="L472" s="239"/>
      <c r="M472" s="239"/>
      <c r="N472" s="240"/>
      <c r="O472" s="239"/>
      <c r="P472" s="239"/>
      <c r="Q472" s="239"/>
      <c r="R472" s="239"/>
      <c r="S472" s="239"/>
      <c r="T472" s="239"/>
      <c r="U472" s="239"/>
      <c r="V472" s="239"/>
      <c r="W472" s="205"/>
      <c r="X472" s="205"/>
      <c r="Y472" s="205"/>
      <c r="Z472" s="205"/>
      <c r="AA472" s="205"/>
      <c r="AB472" s="205"/>
      <c r="AC472" s="205"/>
      <c r="AD472" s="205"/>
      <c r="AE472" s="205"/>
      <c r="AF472" s="205"/>
      <c r="AG472" s="205"/>
      <c r="AH472" s="205"/>
      <c r="AI472" s="205"/>
      <c r="AJ472" s="7"/>
    </row>
    <row r="473" spans="1:36" ht="15.75" customHeight="1">
      <c r="A473" s="177"/>
      <c r="B473" s="237"/>
      <c r="C473" s="243" t="s">
        <v>1094</v>
      </c>
      <c r="D473" s="242">
        <f>COUNTIF($D$11:$FO$11,"Thái Bình")</f>
        <v>0</v>
      </c>
      <c r="E473" s="205"/>
      <c r="F473" s="239"/>
      <c r="G473" s="239"/>
      <c r="H473" s="239"/>
      <c r="I473" s="239"/>
      <c r="J473" s="239"/>
      <c r="K473" s="239"/>
      <c r="L473" s="239"/>
      <c r="M473" s="239"/>
      <c r="N473" s="240"/>
      <c r="O473" s="239"/>
      <c r="P473" s="239"/>
      <c r="Q473" s="239"/>
      <c r="R473" s="239"/>
      <c r="S473" s="239"/>
      <c r="T473" s="239"/>
      <c r="U473" s="239"/>
      <c r="V473" s="239"/>
      <c r="W473" s="205"/>
      <c r="X473" s="205"/>
      <c r="Y473" s="205"/>
      <c r="Z473" s="205"/>
      <c r="AA473" s="205"/>
      <c r="AB473" s="205"/>
      <c r="AC473" s="205"/>
      <c r="AD473" s="205"/>
      <c r="AE473" s="205"/>
      <c r="AF473" s="205"/>
      <c r="AG473" s="205"/>
      <c r="AH473" s="205"/>
      <c r="AI473" s="205"/>
      <c r="AJ473" s="7"/>
    </row>
    <row r="474" spans="1:36" ht="15.75" customHeight="1">
      <c r="A474" s="177"/>
      <c r="B474" s="237"/>
      <c r="C474" s="243" t="s">
        <v>34</v>
      </c>
      <c r="D474" s="242">
        <f>COUNTIF($D$11:$FO$11,"Ninh Bình")</f>
        <v>0</v>
      </c>
      <c r="E474" s="205"/>
      <c r="F474" s="239"/>
      <c r="G474" s="239"/>
      <c r="H474" s="239"/>
      <c r="I474" s="239"/>
      <c r="J474" s="239"/>
      <c r="K474" s="239"/>
      <c r="L474" s="239"/>
      <c r="M474" s="239"/>
      <c r="N474" s="240"/>
      <c r="O474" s="239"/>
      <c r="P474" s="239"/>
      <c r="Q474" s="239"/>
      <c r="R474" s="239"/>
      <c r="S474" s="239"/>
      <c r="T474" s="239"/>
      <c r="U474" s="239"/>
      <c r="V474" s="239"/>
      <c r="W474" s="205"/>
      <c r="X474" s="205"/>
      <c r="Y474" s="205"/>
      <c r="Z474" s="205"/>
      <c r="AA474" s="205"/>
      <c r="AB474" s="205"/>
      <c r="AC474" s="205"/>
      <c r="AD474" s="205"/>
      <c r="AE474" s="205"/>
      <c r="AF474" s="205"/>
      <c r="AG474" s="205"/>
      <c r="AH474" s="205"/>
      <c r="AI474" s="205"/>
      <c r="AJ474" s="7"/>
    </row>
    <row r="475" spans="1:36" ht="15.75" customHeight="1">
      <c r="A475" s="177"/>
      <c r="B475" s="237"/>
      <c r="C475" s="243" t="s">
        <v>37</v>
      </c>
      <c r="D475" s="242">
        <f>COUNTIF($D$11:$FO$11,"Thanh Hoá")</f>
        <v>0</v>
      </c>
      <c r="E475" s="205"/>
      <c r="F475" s="239"/>
      <c r="G475" s="239"/>
      <c r="H475" s="239"/>
      <c r="I475" s="239"/>
      <c r="J475" s="239"/>
      <c r="K475" s="239"/>
      <c r="L475" s="239"/>
      <c r="M475" s="239"/>
      <c r="N475" s="240"/>
      <c r="O475" s="239"/>
      <c r="P475" s="239"/>
      <c r="Q475" s="239"/>
      <c r="R475" s="239"/>
      <c r="S475" s="239"/>
      <c r="T475" s="239"/>
      <c r="U475" s="239"/>
      <c r="V475" s="239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7"/>
    </row>
    <row r="476" spans="1:36" ht="15.75" customHeight="1">
      <c r="A476" s="177"/>
      <c r="B476" s="237"/>
      <c r="C476" s="243" t="s">
        <v>1095</v>
      </c>
      <c r="D476" s="242">
        <f>COUNTIF($D$11:$FO$11,"Nghệ An")</f>
        <v>0</v>
      </c>
      <c r="E476" s="205"/>
      <c r="F476" s="239"/>
      <c r="G476" s="239"/>
      <c r="H476" s="239"/>
      <c r="I476" s="239"/>
      <c r="J476" s="239"/>
      <c r="K476" s="239"/>
      <c r="L476" s="239"/>
      <c r="M476" s="239"/>
      <c r="N476" s="240"/>
      <c r="O476" s="239"/>
      <c r="P476" s="239"/>
      <c r="Q476" s="239"/>
      <c r="R476" s="239"/>
      <c r="S476" s="239"/>
      <c r="T476" s="239"/>
      <c r="U476" s="239"/>
      <c r="V476" s="239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7"/>
    </row>
    <row r="477" spans="1:36" ht="15.75" customHeight="1">
      <c r="A477" s="177"/>
      <c r="B477" s="237"/>
      <c r="C477" s="243" t="s">
        <v>1096</v>
      </c>
      <c r="D477" s="242">
        <f>COUNTIF($D$11:$FO$11,"Hà Tĩnh")</f>
        <v>0</v>
      </c>
      <c r="E477" s="205"/>
      <c r="F477" s="239"/>
      <c r="G477" s="239"/>
      <c r="H477" s="239"/>
      <c r="I477" s="239"/>
      <c r="J477" s="239"/>
      <c r="K477" s="239"/>
      <c r="L477" s="239"/>
      <c r="M477" s="239"/>
      <c r="N477" s="240"/>
      <c r="O477" s="239"/>
      <c r="P477" s="239"/>
      <c r="Q477" s="239"/>
      <c r="R477" s="239"/>
      <c r="S477" s="239"/>
      <c r="T477" s="239"/>
      <c r="U477" s="239"/>
      <c r="V477" s="239"/>
      <c r="W477" s="205"/>
      <c r="X477" s="205"/>
      <c r="Y477" s="205"/>
      <c r="Z477" s="205"/>
      <c r="AA477" s="205"/>
      <c r="AB477" s="205"/>
      <c r="AC477" s="205"/>
      <c r="AD477" s="205"/>
      <c r="AE477" s="205"/>
      <c r="AF477" s="205"/>
      <c r="AG477" s="205"/>
      <c r="AH477" s="205"/>
      <c r="AI477" s="205"/>
      <c r="AJ477" s="7"/>
    </row>
    <row r="478" spans="1:36" ht="15.75" customHeight="1">
      <c r="A478" s="177"/>
      <c r="B478" s="237"/>
      <c r="C478" s="243" t="s">
        <v>1097</v>
      </c>
      <c r="D478" s="242">
        <f>COUNTIF($D$11:$FO$11,"Quảng Bình")</f>
        <v>0</v>
      </c>
      <c r="E478" s="205"/>
      <c r="F478" s="239"/>
      <c r="G478" s="239"/>
      <c r="H478" s="239"/>
      <c r="I478" s="239"/>
      <c r="J478" s="239"/>
      <c r="K478" s="239"/>
      <c r="L478" s="239"/>
      <c r="M478" s="239"/>
      <c r="N478" s="240"/>
      <c r="O478" s="239"/>
      <c r="P478" s="239"/>
      <c r="Q478" s="239"/>
      <c r="R478" s="239"/>
      <c r="S478" s="239"/>
      <c r="T478" s="239"/>
      <c r="U478" s="239"/>
      <c r="V478" s="239"/>
      <c r="W478" s="205"/>
      <c r="X478" s="205"/>
      <c r="Y478" s="205"/>
      <c r="Z478" s="205"/>
      <c r="AA478" s="205"/>
      <c r="AB478" s="205"/>
      <c r="AC478" s="205"/>
      <c r="AD478" s="205"/>
      <c r="AE478" s="205"/>
      <c r="AF478" s="205"/>
      <c r="AG478" s="205"/>
      <c r="AH478" s="205"/>
      <c r="AI478" s="205"/>
      <c r="AJ478" s="7"/>
    </row>
    <row r="479" spans="1:36" ht="15.75" customHeight="1">
      <c r="A479" s="177"/>
      <c r="B479" s="237"/>
      <c r="C479" s="243" t="s">
        <v>1098</v>
      </c>
      <c r="D479" s="242">
        <f>COUNTIF($D$11:$FO$11,"Quảng Trị")</f>
        <v>0</v>
      </c>
      <c r="E479" s="205"/>
      <c r="F479" s="239"/>
      <c r="G479" s="239"/>
      <c r="H479" s="239"/>
      <c r="I479" s="239"/>
      <c r="J479" s="239"/>
      <c r="K479" s="239"/>
      <c r="L479" s="239"/>
      <c r="M479" s="239"/>
      <c r="N479" s="240"/>
      <c r="O479" s="239"/>
      <c r="P479" s="239"/>
      <c r="Q479" s="239"/>
      <c r="R479" s="239"/>
      <c r="S479" s="239"/>
      <c r="T479" s="239"/>
      <c r="U479" s="239"/>
      <c r="V479" s="239"/>
      <c r="W479" s="205"/>
      <c r="X479" s="205"/>
      <c r="Y479" s="205"/>
      <c r="Z479" s="205"/>
      <c r="AA479" s="205"/>
      <c r="AB479" s="205"/>
      <c r="AC479" s="205"/>
      <c r="AD479" s="205"/>
      <c r="AE479" s="205"/>
      <c r="AF479" s="205"/>
      <c r="AG479" s="205"/>
      <c r="AH479" s="205"/>
      <c r="AI479" s="205"/>
      <c r="AJ479" s="7"/>
    </row>
    <row r="480" spans="1:36" ht="15.75" customHeight="1">
      <c r="A480" s="177"/>
      <c r="B480" s="237"/>
      <c r="C480" s="243" t="s">
        <v>1099</v>
      </c>
      <c r="D480" s="242">
        <f>COUNTIF($D$11:$FO$11,"Thừa Thiên Huế")</f>
        <v>0</v>
      </c>
      <c r="E480" s="205"/>
      <c r="F480" s="239"/>
      <c r="G480" s="239"/>
      <c r="H480" s="239"/>
      <c r="I480" s="239"/>
      <c r="J480" s="239"/>
      <c r="K480" s="239"/>
      <c r="L480" s="239"/>
      <c r="M480" s="239"/>
      <c r="N480" s="240"/>
      <c r="O480" s="239"/>
      <c r="P480" s="239"/>
      <c r="Q480" s="239"/>
      <c r="R480" s="239"/>
      <c r="S480" s="239"/>
      <c r="T480" s="239"/>
      <c r="U480" s="239"/>
      <c r="V480" s="239"/>
      <c r="W480" s="205"/>
      <c r="X480" s="205"/>
      <c r="Y480" s="205"/>
      <c r="Z480" s="205"/>
      <c r="AA480" s="205"/>
      <c r="AB480" s="205"/>
      <c r="AC480" s="205"/>
      <c r="AD480" s="205"/>
      <c r="AE480" s="205"/>
      <c r="AF480" s="205"/>
      <c r="AG480" s="205"/>
      <c r="AH480" s="205"/>
      <c r="AI480" s="205"/>
      <c r="AJ480" s="7"/>
    </row>
    <row r="481" spans="1:36" ht="15.75" customHeight="1">
      <c r="A481" s="177"/>
      <c r="B481" s="237"/>
      <c r="C481" s="243" t="s">
        <v>1100</v>
      </c>
      <c r="D481" s="242">
        <f>COUNTIF($D$11:$FO$11,"Đà Nẵng")</f>
        <v>0</v>
      </c>
      <c r="E481" s="205"/>
      <c r="F481" s="239"/>
      <c r="G481" s="239"/>
      <c r="H481" s="239"/>
      <c r="I481" s="239"/>
      <c r="J481" s="239"/>
      <c r="K481" s="239"/>
      <c r="L481" s="239"/>
      <c r="M481" s="239"/>
      <c r="N481" s="240"/>
      <c r="O481" s="239"/>
      <c r="P481" s="239"/>
      <c r="Q481" s="239"/>
      <c r="R481" s="239"/>
      <c r="S481" s="239"/>
      <c r="T481" s="239"/>
      <c r="U481" s="239"/>
      <c r="V481" s="239"/>
      <c r="W481" s="205"/>
      <c r="X481" s="205"/>
      <c r="Y481" s="205"/>
      <c r="Z481" s="205"/>
      <c r="AA481" s="205"/>
      <c r="AB481" s="205"/>
      <c r="AC481" s="205"/>
      <c r="AD481" s="205"/>
      <c r="AE481" s="205"/>
      <c r="AF481" s="205"/>
      <c r="AG481" s="205"/>
      <c r="AH481" s="205"/>
      <c r="AI481" s="205"/>
      <c r="AJ481" s="7"/>
    </row>
    <row r="482" spans="1:36" ht="15.75" customHeight="1">
      <c r="A482" s="177"/>
      <c r="B482" s="237"/>
      <c r="C482" s="243" t="s">
        <v>1101</v>
      </c>
      <c r="D482" s="242">
        <f>COUNTIF($D$11:$FO$11,"Quảng Nam")</f>
        <v>0</v>
      </c>
      <c r="E482" s="205"/>
      <c r="F482" s="239"/>
      <c r="G482" s="239"/>
      <c r="H482" s="239"/>
      <c r="I482" s="239"/>
      <c r="J482" s="239"/>
      <c r="K482" s="239"/>
      <c r="L482" s="239"/>
      <c r="M482" s="239"/>
      <c r="N482" s="240"/>
      <c r="O482" s="239"/>
      <c r="P482" s="239"/>
      <c r="Q482" s="239"/>
      <c r="R482" s="239"/>
      <c r="S482" s="239"/>
      <c r="T482" s="239"/>
      <c r="U482" s="239"/>
      <c r="V482" s="239"/>
      <c r="W482" s="205"/>
      <c r="X482" s="205"/>
      <c r="Y482" s="205"/>
      <c r="Z482" s="205"/>
      <c r="AA482" s="205"/>
      <c r="AB482" s="205"/>
      <c r="AC482" s="205"/>
      <c r="AD482" s="205"/>
      <c r="AE482" s="205"/>
      <c r="AF482" s="205"/>
      <c r="AG482" s="205"/>
      <c r="AH482" s="205"/>
      <c r="AI482" s="205"/>
      <c r="AJ482" s="7"/>
    </row>
    <row r="483" spans="1:36" ht="15.75" customHeight="1">
      <c r="A483" s="177"/>
      <c r="B483" s="237"/>
      <c r="C483" s="243" t="s">
        <v>1102</v>
      </c>
      <c r="D483" s="242">
        <f>COUNTIF($D$11:$FO$11,"Quảng Ngãi")</f>
        <v>0</v>
      </c>
      <c r="E483" s="205"/>
      <c r="F483" s="239"/>
      <c r="G483" s="239"/>
      <c r="H483" s="239"/>
      <c r="I483" s="239"/>
      <c r="J483" s="239"/>
      <c r="K483" s="239"/>
      <c r="L483" s="239"/>
      <c r="M483" s="239"/>
      <c r="N483" s="240"/>
      <c r="O483" s="239"/>
      <c r="P483" s="239"/>
      <c r="Q483" s="239"/>
      <c r="R483" s="239"/>
      <c r="S483" s="239"/>
      <c r="T483" s="239"/>
      <c r="U483" s="239"/>
      <c r="V483" s="239"/>
      <c r="W483" s="205"/>
      <c r="X483" s="205"/>
      <c r="Y483" s="205"/>
      <c r="Z483" s="205"/>
      <c r="AA483" s="205"/>
      <c r="AB483" s="205"/>
      <c r="AC483" s="205"/>
      <c r="AD483" s="205"/>
      <c r="AE483" s="205"/>
      <c r="AF483" s="205"/>
      <c r="AG483" s="205"/>
      <c r="AH483" s="205"/>
      <c r="AI483" s="205"/>
      <c r="AJ483" s="7"/>
    </row>
    <row r="484" spans="1:36" ht="15.75" customHeight="1">
      <c r="A484" s="177"/>
      <c r="B484" s="237"/>
      <c r="C484" s="243" t="s">
        <v>1103</v>
      </c>
      <c r="D484" s="242">
        <f>COUNTIF($D$11:$FO$11,"Bình Định")</f>
        <v>0</v>
      </c>
      <c r="E484" s="205"/>
      <c r="F484" s="239"/>
      <c r="G484" s="239"/>
      <c r="H484" s="239"/>
      <c r="I484" s="239"/>
      <c r="J484" s="239"/>
      <c r="K484" s="239"/>
      <c r="L484" s="239"/>
      <c r="M484" s="239"/>
      <c r="N484" s="240"/>
      <c r="O484" s="239"/>
      <c r="P484" s="239"/>
      <c r="Q484" s="239"/>
      <c r="R484" s="239"/>
      <c r="S484" s="239"/>
      <c r="T484" s="239"/>
      <c r="U484" s="239"/>
      <c r="V484" s="239"/>
      <c r="W484" s="205"/>
      <c r="X484" s="205"/>
      <c r="Y484" s="205"/>
      <c r="Z484" s="205"/>
      <c r="AA484" s="205"/>
      <c r="AB484" s="205"/>
      <c r="AC484" s="205"/>
      <c r="AD484" s="205"/>
      <c r="AE484" s="205"/>
      <c r="AF484" s="205"/>
      <c r="AG484" s="205"/>
      <c r="AH484" s="205"/>
      <c r="AI484" s="205"/>
      <c r="AJ484" s="7"/>
    </row>
    <row r="485" spans="1:36" ht="15.75" customHeight="1">
      <c r="A485" s="177"/>
      <c r="B485" s="237"/>
      <c r="C485" s="243" t="s">
        <v>1104</v>
      </c>
      <c r="D485" s="242">
        <f>COUNTIF($D$11:$FO$11,"Phú Yên")</f>
        <v>0</v>
      </c>
      <c r="E485" s="205"/>
      <c r="F485" s="239"/>
      <c r="G485" s="239"/>
      <c r="H485" s="239"/>
      <c r="I485" s="239"/>
      <c r="J485" s="239"/>
      <c r="K485" s="239"/>
      <c r="L485" s="239"/>
      <c r="M485" s="239"/>
      <c r="N485" s="240"/>
      <c r="O485" s="239"/>
      <c r="P485" s="239"/>
      <c r="Q485" s="239"/>
      <c r="R485" s="239"/>
      <c r="S485" s="239"/>
      <c r="T485" s="239"/>
      <c r="U485" s="239"/>
      <c r="V485" s="239"/>
      <c r="W485" s="205"/>
      <c r="X485" s="205"/>
      <c r="Y485" s="205"/>
      <c r="Z485" s="205"/>
      <c r="AA485" s="205"/>
      <c r="AB485" s="205"/>
      <c r="AC485" s="205"/>
      <c r="AD485" s="205"/>
      <c r="AE485" s="205"/>
      <c r="AF485" s="205"/>
      <c r="AG485" s="205"/>
      <c r="AH485" s="205"/>
      <c r="AI485" s="205"/>
      <c r="AJ485" s="7"/>
    </row>
    <row r="486" spans="1:36" ht="15.75" customHeight="1">
      <c r="A486" s="177"/>
      <c r="B486" s="237"/>
      <c r="C486" s="243" t="s">
        <v>1105</v>
      </c>
      <c r="D486" s="242">
        <f>COUNTIF($D$11:$FO$11,"Khánh Hoà")</f>
        <v>0</v>
      </c>
      <c r="E486" s="205"/>
      <c r="F486" s="239"/>
      <c r="G486" s="239"/>
      <c r="H486" s="239"/>
      <c r="I486" s="239"/>
      <c r="J486" s="239"/>
      <c r="K486" s="239"/>
      <c r="L486" s="239"/>
      <c r="M486" s="239"/>
      <c r="N486" s="240"/>
      <c r="O486" s="239"/>
      <c r="P486" s="239"/>
      <c r="Q486" s="239"/>
      <c r="R486" s="239"/>
      <c r="S486" s="239"/>
      <c r="T486" s="239"/>
      <c r="U486" s="239"/>
      <c r="V486" s="239"/>
      <c r="W486" s="205"/>
      <c r="X486" s="205"/>
      <c r="Y486" s="205"/>
      <c r="Z486" s="205"/>
      <c r="AA486" s="205"/>
      <c r="AB486" s="205"/>
      <c r="AC486" s="205"/>
      <c r="AD486" s="205"/>
      <c r="AE486" s="205"/>
      <c r="AF486" s="205"/>
      <c r="AG486" s="205"/>
      <c r="AH486" s="205"/>
      <c r="AI486" s="205"/>
      <c r="AJ486" s="7"/>
    </row>
    <row r="487" spans="1:36" ht="15.75" customHeight="1">
      <c r="A487" s="177"/>
      <c r="B487" s="237"/>
      <c r="C487" s="243" t="s">
        <v>1106</v>
      </c>
      <c r="D487" s="242">
        <f>COUNTIF($D$11:$FO$11,"Ninh Thuận")</f>
        <v>0</v>
      </c>
      <c r="E487" s="205"/>
      <c r="F487" s="239"/>
      <c r="G487" s="239"/>
      <c r="H487" s="239"/>
      <c r="I487" s="239"/>
      <c r="J487" s="239"/>
      <c r="K487" s="239"/>
      <c r="L487" s="239"/>
      <c r="M487" s="239"/>
      <c r="N487" s="240"/>
      <c r="O487" s="239"/>
      <c r="P487" s="239"/>
      <c r="Q487" s="239"/>
      <c r="R487" s="239"/>
      <c r="S487" s="239"/>
      <c r="T487" s="239"/>
      <c r="U487" s="239"/>
      <c r="V487" s="239"/>
      <c r="W487" s="205"/>
      <c r="X487" s="205"/>
      <c r="Y487" s="205"/>
      <c r="Z487" s="205"/>
      <c r="AA487" s="205"/>
      <c r="AB487" s="205"/>
      <c r="AC487" s="205"/>
      <c r="AD487" s="205"/>
      <c r="AE487" s="205"/>
      <c r="AF487" s="205"/>
      <c r="AG487" s="205"/>
      <c r="AH487" s="205"/>
      <c r="AI487" s="205"/>
      <c r="AJ487" s="7"/>
    </row>
    <row r="488" spans="1:36" ht="15.75" customHeight="1">
      <c r="A488" s="177"/>
      <c r="B488" s="237"/>
      <c r="C488" s="243" t="s">
        <v>1107</v>
      </c>
      <c r="D488" s="242">
        <f>COUNTIF($D$11:$FO$11,"Bình Thuận")</f>
        <v>0</v>
      </c>
      <c r="E488" s="205"/>
      <c r="F488" s="239"/>
      <c r="G488" s="239"/>
      <c r="H488" s="239"/>
      <c r="I488" s="239"/>
      <c r="J488" s="239"/>
      <c r="K488" s="239"/>
      <c r="L488" s="239"/>
      <c r="M488" s="239"/>
      <c r="N488" s="240"/>
      <c r="O488" s="239"/>
      <c r="P488" s="239"/>
      <c r="Q488" s="239"/>
      <c r="R488" s="239"/>
      <c r="S488" s="239"/>
      <c r="T488" s="239"/>
      <c r="U488" s="239"/>
      <c r="V488" s="239"/>
      <c r="W488" s="205"/>
      <c r="X488" s="205"/>
      <c r="Y488" s="205"/>
      <c r="Z488" s="205"/>
      <c r="AA488" s="205"/>
      <c r="AB488" s="205"/>
      <c r="AC488" s="205"/>
      <c r="AD488" s="205"/>
      <c r="AE488" s="205"/>
      <c r="AF488" s="205"/>
      <c r="AG488" s="205"/>
      <c r="AH488" s="205"/>
      <c r="AI488" s="205"/>
      <c r="AJ488" s="7"/>
    </row>
    <row r="489" spans="1:36" ht="15.75" customHeight="1">
      <c r="A489" s="177"/>
      <c r="B489" s="237"/>
      <c r="C489" s="243" t="s">
        <v>1108</v>
      </c>
      <c r="D489" s="242">
        <f>COUNTIF($D$11:$FO$11,"Kon Tum")</f>
        <v>0</v>
      </c>
      <c r="E489" s="205"/>
      <c r="F489" s="239"/>
      <c r="G489" s="239"/>
      <c r="H489" s="239"/>
      <c r="I489" s="239"/>
      <c r="J489" s="239"/>
      <c r="K489" s="239"/>
      <c r="L489" s="239"/>
      <c r="M489" s="239"/>
      <c r="N489" s="240"/>
      <c r="O489" s="239"/>
      <c r="P489" s="239"/>
      <c r="Q489" s="239"/>
      <c r="R489" s="239"/>
      <c r="S489" s="239"/>
      <c r="T489" s="239"/>
      <c r="U489" s="239"/>
      <c r="V489" s="239"/>
      <c r="W489" s="205"/>
      <c r="X489" s="205"/>
      <c r="Y489" s="205"/>
      <c r="Z489" s="205"/>
      <c r="AA489" s="205"/>
      <c r="AB489" s="205"/>
      <c r="AC489" s="205"/>
      <c r="AD489" s="205"/>
      <c r="AE489" s="205"/>
      <c r="AF489" s="205"/>
      <c r="AG489" s="205"/>
      <c r="AH489" s="205"/>
      <c r="AI489" s="205"/>
      <c r="AJ489" s="7"/>
    </row>
    <row r="490" spans="1:36" ht="15.75" customHeight="1">
      <c r="A490" s="177"/>
      <c r="B490" s="237"/>
      <c r="C490" s="243" t="s">
        <v>1109</v>
      </c>
      <c r="D490" s="242">
        <f>COUNTIF($D$11:$FO$11,"Gia Lai")</f>
        <v>0</v>
      </c>
      <c r="E490" s="205"/>
      <c r="F490" s="239"/>
      <c r="G490" s="239"/>
      <c r="H490" s="239"/>
      <c r="I490" s="239"/>
      <c r="J490" s="239"/>
      <c r="K490" s="239"/>
      <c r="L490" s="239"/>
      <c r="M490" s="239"/>
      <c r="N490" s="240"/>
      <c r="O490" s="239"/>
      <c r="P490" s="239"/>
      <c r="Q490" s="239"/>
      <c r="R490" s="239"/>
      <c r="S490" s="239"/>
      <c r="T490" s="239"/>
      <c r="U490" s="239"/>
      <c r="V490" s="239"/>
      <c r="W490" s="205"/>
      <c r="X490" s="205"/>
      <c r="Y490" s="205"/>
      <c r="Z490" s="205"/>
      <c r="AA490" s="205"/>
      <c r="AB490" s="205"/>
      <c r="AC490" s="205"/>
      <c r="AD490" s="205"/>
      <c r="AE490" s="205"/>
      <c r="AF490" s="205"/>
      <c r="AG490" s="205"/>
      <c r="AH490" s="205"/>
      <c r="AI490" s="205"/>
      <c r="AJ490" s="7"/>
    </row>
    <row r="491" spans="1:36" ht="15.75" customHeight="1">
      <c r="A491" s="177"/>
      <c r="B491" s="237"/>
      <c r="C491" s="243" t="s">
        <v>1110</v>
      </c>
      <c r="D491" s="242">
        <f>COUNTIF($D$11:$FO$11,"Đắk Lắk")</f>
        <v>0</v>
      </c>
      <c r="E491" s="205"/>
      <c r="F491" s="239"/>
      <c r="G491" s="239"/>
      <c r="H491" s="239"/>
      <c r="I491" s="239"/>
      <c r="J491" s="239"/>
      <c r="K491" s="239"/>
      <c r="L491" s="239"/>
      <c r="M491" s="239"/>
      <c r="N491" s="240"/>
      <c r="O491" s="239"/>
      <c r="P491" s="239"/>
      <c r="Q491" s="239"/>
      <c r="R491" s="239"/>
      <c r="S491" s="239"/>
      <c r="T491" s="239"/>
      <c r="U491" s="239"/>
      <c r="V491" s="239"/>
      <c r="W491" s="205"/>
      <c r="X491" s="205"/>
      <c r="Y491" s="205"/>
      <c r="Z491" s="205"/>
      <c r="AA491" s="205"/>
      <c r="AB491" s="205"/>
      <c r="AC491" s="205"/>
      <c r="AD491" s="205"/>
      <c r="AE491" s="205"/>
      <c r="AF491" s="205"/>
      <c r="AG491" s="205"/>
      <c r="AH491" s="205"/>
      <c r="AI491" s="205"/>
      <c r="AJ491" s="7"/>
    </row>
    <row r="492" spans="1:36" ht="15.75" customHeight="1">
      <c r="A492" s="177"/>
      <c r="B492" s="237"/>
      <c r="C492" s="243" t="s">
        <v>1111</v>
      </c>
      <c r="D492" s="242">
        <f>COUNTIF($D$11:$FO$11,"Đắk Nông")</f>
        <v>0</v>
      </c>
      <c r="E492" s="205"/>
      <c r="F492" s="239"/>
      <c r="G492" s="239"/>
      <c r="H492" s="239"/>
      <c r="I492" s="239"/>
      <c r="J492" s="239"/>
      <c r="K492" s="239"/>
      <c r="L492" s="239"/>
      <c r="M492" s="239"/>
      <c r="N492" s="240"/>
      <c r="O492" s="239"/>
      <c r="P492" s="239"/>
      <c r="Q492" s="239"/>
      <c r="R492" s="239"/>
      <c r="S492" s="239"/>
      <c r="T492" s="239"/>
      <c r="U492" s="239"/>
      <c r="V492" s="239"/>
      <c r="W492" s="205"/>
      <c r="X492" s="205"/>
      <c r="Y492" s="205"/>
      <c r="Z492" s="205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7"/>
    </row>
    <row r="493" spans="1:36" ht="15.75" customHeight="1">
      <c r="A493" s="177"/>
      <c r="B493" s="237"/>
      <c r="C493" s="243" t="s">
        <v>1112</v>
      </c>
      <c r="D493" s="242">
        <f>COUNTIF($D$11:$FO$11,"Lâm Đồng")</f>
        <v>0</v>
      </c>
      <c r="E493" s="205"/>
      <c r="F493" s="239"/>
      <c r="G493" s="239"/>
      <c r="H493" s="239"/>
      <c r="I493" s="239"/>
      <c r="J493" s="239"/>
      <c r="K493" s="239"/>
      <c r="L493" s="239"/>
      <c r="M493" s="239"/>
      <c r="N493" s="240"/>
      <c r="O493" s="239"/>
      <c r="P493" s="239"/>
      <c r="Q493" s="239"/>
      <c r="R493" s="239"/>
      <c r="S493" s="239"/>
      <c r="T493" s="239"/>
      <c r="U493" s="239"/>
      <c r="V493" s="239"/>
      <c r="W493" s="205"/>
      <c r="X493" s="205"/>
      <c r="Y493" s="205"/>
      <c r="Z493" s="205"/>
      <c r="AA493" s="205"/>
      <c r="AB493" s="205"/>
      <c r="AC493" s="205"/>
      <c r="AD493" s="205"/>
      <c r="AE493" s="205"/>
      <c r="AF493" s="205"/>
      <c r="AG493" s="205"/>
      <c r="AH493" s="205"/>
      <c r="AI493" s="205"/>
      <c r="AJ493" s="7"/>
    </row>
    <row r="494" spans="1:36" ht="15.75" customHeight="1">
      <c r="A494" s="177"/>
      <c r="B494" s="237"/>
      <c r="C494" s="243" t="s">
        <v>1113</v>
      </c>
      <c r="D494" s="242">
        <f>COUNTIF($D$11:$FO$11,"Tây Ninh")</f>
        <v>0</v>
      </c>
      <c r="E494" s="205"/>
      <c r="F494" s="239"/>
      <c r="G494" s="239"/>
      <c r="H494" s="239"/>
      <c r="I494" s="239"/>
      <c r="J494" s="239"/>
      <c r="K494" s="239"/>
      <c r="L494" s="239"/>
      <c r="M494" s="239"/>
      <c r="N494" s="240"/>
      <c r="O494" s="239"/>
      <c r="P494" s="239"/>
      <c r="Q494" s="239"/>
      <c r="R494" s="239"/>
      <c r="S494" s="239"/>
      <c r="T494" s="239"/>
      <c r="U494" s="239"/>
      <c r="V494" s="239"/>
      <c r="W494" s="205"/>
      <c r="X494" s="205"/>
      <c r="Y494" s="205"/>
      <c r="Z494" s="205"/>
      <c r="AA494" s="205"/>
      <c r="AB494" s="205"/>
      <c r="AC494" s="205"/>
      <c r="AD494" s="205"/>
      <c r="AE494" s="205"/>
      <c r="AF494" s="205"/>
      <c r="AG494" s="205"/>
      <c r="AH494" s="205"/>
      <c r="AI494" s="205"/>
      <c r="AJ494" s="7"/>
    </row>
    <row r="495" spans="1:36" ht="15.75" customHeight="1">
      <c r="A495" s="177"/>
      <c r="B495" s="237"/>
      <c r="C495" s="243" t="s">
        <v>1114</v>
      </c>
      <c r="D495" s="242">
        <f>COUNTIF($D$11:$FO$11,"Bình Phước")</f>
        <v>0</v>
      </c>
      <c r="E495" s="205"/>
      <c r="F495" s="239"/>
      <c r="G495" s="239"/>
      <c r="H495" s="239"/>
      <c r="I495" s="239"/>
      <c r="J495" s="239"/>
      <c r="K495" s="239"/>
      <c r="L495" s="239"/>
      <c r="M495" s="239"/>
      <c r="N495" s="240"/>
      <c r="O495" s="239"/>
      <c r="P495" s="239"/>
      <c r="Q495" s="239"/>
      <c r="R495" s="239"/>
      <c r="S495" s="239"/>
      <c r="T495" s="239"/>
      <c r="U495" s="239"/>
      <c r="V495" s="239"/>
      <c r="W495" s="205"/>
      <c r="X495" s="205"/>
      <c r="Y495" s="205"/>
      <c r="Z495" s="205"/>
      <c r="AA495" s="205"/>
      <c r="AB495" s="205"/>
      <c r="AC495" s="205"/>
      <c r="AD495" s="205"/>
      <c r="AE495" s="205"/>
      <c r="AF495" s="205"/>
      <c r="AG495" s="205"/>
      <c r="AH495" s="205"/>
      <c r="AI495" s="205"/>
      <c r="AJ495" s="7"/>
    </row>
    <row r="496" spans="1:36" ht="15.75" customHeight="1">
      <c r="A496" s="177"/>
      <c r="B496" s="237"/>
      <c r="C496" s="243" t="s">
        <v>1115</v>
      </c>
      <c r="D496" s="242">
        <f>COUNTIF($D$11:$FO$11,"Bình Dương")</f>
        <v>0</v>
      </c>
      <c r="E496" s="205"/>
      <c r="F496" s="239"/>
      <c r="G496" s="239"/>
      <c r="H496" s="239"/>
      <c r="I496" s="239"/>
      <c r="J496" s="239"/>
      <c r="K496" s="239"/>
      <c r="L496" s="239"/>
      <c r="M496" s="239"/>
      <c r="N496" s="240"/>
      <c r="O496" s="239"/>
      <c r="P496" s="239"/>
      <c r="Q496" s="239"/>
      <c r="R496" s="239"/>
      <c r="S496" s="239"/>
      <c r="T496" s="239"/>
      <c r="U496" s="239"/>
      <c r="V496" s="239"/>
      <c r="W496" s="205"/>
      <c r="X496" s="205"/>
      <c r="Y496" s="205"/>
      <c r="Z496" s="205"/>
      <c r="AA496" s="205"/>
      <c r="AB496" s="205"/>
      <c r="AC496" s="205"/>
      <c r="AD496" s="205"/>
      <c r="AE496" s="205"/>
      <c r="AF496" s="205"/>
      <c r="AG496" s="205"/>
      <c r="AH496" s="205"/>
      <c r="AI496" s="205"/>
      <c r="AJ496" s="7"/>
    </row>
    <row r="497" spans="1:36" ht="15.75" customHeight="1">
      <c r="A497" s="177"/>
      <c r="B497" s="237"/>
      <c r="C497" s="243" t="s">
        <v>1116</v>
      </c>
      <c r="D497" s="242">
        <f>COUNTIF($D$11:$FO$11,"Bà Rịa - Vũng Tàu")</f>
        <v>0</v>
      </c>
      <c r="E497" s="205"/>
      <c r="F497" s="239"/>
      <c r="G497" s="239"/>
      <c r="H497" s="239"/>
      <c r="I497" s="239"/>
      <c r="J497" s="239"/>
      <c r="K497" s="239"/>
      <c r="L497" s="239"/>
      <c r="M497" s="239"/>
      <c r="N497" s="240"/>
      <c r="O497" s="239"/>
      <c r="P497" s="239"/>
      <c r="Q497" s="239"/>
      <c r="R497" s="239"/>
      <c r="S497" s="239"/>
      <c r="T497" s="239"/>
      <c r="U497" s="239"/>
      <c r="V497" s="239"/>
      <c r="W497" s="205"/>
      <c r="X497" s="205"/>
      <c r="Y497" s="205"/>
      <c r="Z497" s="205"/>
      <c r="AA497" s="205"/>
      <c r="AB497" s="205"/>
      <c r="AC497" s="205"/>
      <c r="AD497" s="205"/>
      <c r="AE497" s="205"/>
      <c r="AF497" s="205"/>
      <c r="AG497" s="205"/>
      <c r="AH497" s="205"/>
      <c r="AI497" s="205"/>
      <c r="AJ497" s="7"/>
    </row>
    <row r="498" spans="1:36" ht="15.75" customHeight="1">
      <c r="A498" s="177"/>
      <c r="B498" s="237"/>
      <c r="C498" s="243" t="s">
        <v>1117</v>
      </c>
      <c r="D498" s="242">
        <f>COUNTIF($D$11:$FO$11,"Bến Tre")</f>
        <v>0</v>
      </c>
      <c r="E498" s="205"/>
      <c r="F498" s="239"/>
      <c r="G498" s="239"/>
      <c r="H498" s="239"/>
      <c r="I498" s="239"/>
      <c r="J498" s="239"/>
      <c r="K498" s="239"/>
      <c r="L498" s="239"/>
      <c r="M498" s="239"/>
      <c r="N498" s="240"/>
      <c r="O498" s="239"/>
      <c r="P498" s="239"/>
      <c r="Q498" s="239"/>
      <c r="R498" s="239"/>
      <c r="S498" s="239"/>
      <c r="T498" s="239"/>
      <c r="U498" s="239"/>
      <c r="V498" s="239"/>
      <c r="W498" s="205"/>
      <c r="X498" s="205"/>
      <c r="Y498" s="205"/>
      <c r="Z498" s="205"/>
      <c r="AA498" s="205"/>
      <c r="AB498" s="205"/>
      <c r="AC498" s="205"/>
      <c r="AD498" s="205"/>
      <c r="AE498" s="205"/>
      <c r="AF498" s="205"/>
      <c r="AG498" s="205"/>
      <c r="AH498" s="205"/>
      <c r="AI498" s="205"/>
      <c r="AJ498" s="7"/>
    </row>
    <row r="499" spans="1:36" ht="15.75" customHeight="1">
      <c r="A499" s="177"/>
      <c r="B499" s="237"/>
      <c r="C499" s="243" t="s">
        <v>1118</v>
      </c>
      <c r="D499" s="242">
        <f>COUNTIF($D$11:$FO$11,"An Giang")</f>
        <v>0</v>
      </c>
      <c r="E499" s="205"/>
      <c r="F499" s="239"/>
      <c r="G499" s="239"/>
      <c r="H499" s="239"/>
      <c r="I499" s="239"/>
      <c r="J499" s="239"/>
      <c r="K499" s="239"/>
      <c r="L499" s="239"/>
      <c r="M499" s="239"/>
      <c r="N499" s="240"/>
      <c r="O499" s="239"/>
      <c r="P499" s="239"/>
      <c r="Q499" s="239"/>
      <c r="R499" s="239"/>
      <c r="S499" s="239"/>
      <c r="T499" s="239"/>
      <c r="U499" s="239"/>
      <c r="V499" s="239"/>
      <c r="W499" s="205"/>
      <c r="X499" s="205"/>
      <c r="Y499" s="205"/>
      <c r="Z499" s="205"/>
      <c r="AA499" s="205"/>
      <c r="AB499" s="205"/>
      <c r="AC499" s="205"/>
      <c r="AD499" s="205"/>
      <c r="AE499" s="205"/>
      <c r="AF499" s="205"/>
      <c r="AG499" s="205"/>
      <c r="AH499" s="205"/>
      <c r="AI499" s="205"/>
      <c r="AJ499" s="7"/>
    </row>
    <row r="500" spans="1:36" ht="15.75" customHeight="1">
      <c r="A500" s="177"/>
      <c r="B500" s="237"/>
      <c r="C500" s="243" t="s">
        <v>1119</v>
      </c>
      <c r="D500" s="242">
        <f>COUNTIF($D$11:$FO$11,"Vĩnh Long")</f>
        <v>0</v>
      </c>
      <c r="E500" s="205"/>
      <c r="F500" s="239"/>
      <c r="G500" s="239"/>
      <c r="H500" s="239"/>
      <c r="I500" s="239"/>
      <c r="J500" s="239"/>
      <c r="K500" s="239"/>
      <c r="L500" s="239"/>
      <c r="M500" s="239"/>
      <c r="N500" s="240"/>
      <c r="O500" s="239"/>
      <c r="P500" s="239"/>
      <c r="Q500" s="239"/>
      <c r="R500" s="239"/>
      <c r="S500" s="239"/>
      <c r="T500" s="239"/>
      <c r="U500" s="239"/>
      <c r="V500" s="239"/>
      <c r="W500" s="205"/>
      <c r="X500" s="205"/>
      <c r="Y500" s="205"/>
      <c r="Z500" s="205"/>
      <c r="AA500" s="205"/>
      <c r="AB500" s="205"/>
      <c r="AC500" s="205"/>
      <c r="AD500" s="205"/>
      <c r="AE500" s="205"/>
      <c r="AF500" s="205"/>
      <c r="AG500" s="205"/>
      <c r="AH500" s="205"/>
      <c r="AI500" s="205"/>
      <c r="AJ500" s="7"/>
    </row>
    <row r="501" spans="1:36" ht="15.75" customHeight="1">
      <c r="A501" s="177"/>
      <c r="B501" s="237"/>
      <c r="C501" s="243" t="s">
        <v>1120</v>
      </c>
      <c r="D501" s="242">
        <f>COUNTIF($D$11:$FO$11,"Cần Thơ")</f>
        <v>0</v>
      </c>
      <c r="E501" s="205"/>
      <c r="F501" s="239"/>
      <c r="G501" s="239"/>
      <c r="H501" s="239"/>
      <c r="I501" s="239"/>
      <c r="J501" s="239"/>
      <c r="K501" s="239"/>
      <c r="L501" s="239"/>
      <c r="M501" s="239"/>
      <c r="N501" s="240"/>
      <c r="O501" s="239"/>
      <c r="P501" s="239"/>
      <c r="Q501" s="239"/>
      <c r="R501" s="239"/>
      <c r="S501" s="239"/>
      <c r="T501" s="239"/>
      <c r="U501" s="239"/>
      <c r="V501" s="239"/>
      <c r="W501" s="205"/>
      <c r="X501" s="205"/>
      <c r="Y501" s="205"/>
      <c r="Z501" s="205"/>
      <c r="AA501" s="205"/>
      <c r="AB501" s="205"/>
      <c r="AC501" s="205"/>
      <c r="AD501" s="205"/>
      <c r="AE501" s="205"/>
      <c r="AF501" s="205"/>
      <c r="AG501" s="205"/>
      <c r="AH501" s="205"/>
      <c r="AI501" s="205"/>
      <c r="AJ501" s="7"/>
    </row>
    <row r="502" spans="1:36" ht="15.75" customHeight="1">
      <c r="A502" s="177"/>
      <c r="B502" s="237"/>
      <c r="C502" s="243" t="s">
        <v>1121</v>
      </c>
      <c r="D502" s="242">
        <f>COUNTIF($D$11:$FO$11,"Hậu Giang")</f>
        <v>0</v>
      </c>
      <c r="E502" s="205"/>
      <c r="F502" s="239"/>
      <c r="G502" s="239"/>
      <c r="H502" s="239"/>
      <c r="I502" s="239"/>
      <c r="J502" s="239"/>
      <c r="K502" s="239"/>
      <c r="L502" s="239"/>
      <c r="M502" s="239"/>
      <c r="N502" s="240"/>
      <c r="O502" s="239"/>
      <c r="P502" s="239"/>
      <c r="Q502" s="239"/>
      <c r="R502" s="239"/>
      <c r="S502" s="239"/>
      <c r="T502" s="239"/>
      <c r="U502" s="239"/>
      <c r="V502" s="239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7"/>
    </row>
    <row r="503" spans="1:36" ht="15.75" customHeight="1">
      <c r="A503" s="177"/>
      <c r="B503" s="237"/>
      <c r="C503" s="243" t="s">
        <v>1122</v>
      </c>
      <c r="D503" s="242">
        <f>COUNTIF($D$11:$FO$11,"Sóc Trăng")</f>
        <v>0</v>
      </c>
      <c r="E503" s="205"/>
      <c r="F503" s="239"/>
      <c r="G503" s="239"/>
      <c r="H503" s="239"/>
      <c r="I503" s="239"/>
      <c r="J503" s="239"/>
      <c r="K503" s="239"/>
      <c r="L503" s="239"/>
      <c r="M503" s="239"/>
      <c r="N503" s="240"/>
      <c r="O503" s="239"/>
      <c r="P503" s="239"/>
      <c r="Q503" s="239"/>
      <c r="R503" s="239"/>
      <c r="S503" s="239"/>
      <c r="T503" s="239"/>
      <c r="U503" s="239"/>
      <c r="V503" s="239"/>
      <c r="W503" s="205"/>
      <c r="X503" s="205"/>
      <c r="Y503" s="205"/>
      <c r="Z503" s="205"/>
      <c r="AA503" s="205"/>
      <c r="AB503" s="205"/>
      <c r="AC503" s="205"/>
      <c r="AD503" s="205"/>
      <c r="AE503" s="205"/>
      <c r="AF503" s="205"/>
      <c r="AG503" s="205"/>
      <c r="AH503" s="205"/>
      <c r="AI503" s="205"/>
      <c r="AJ503" s="7"/>
    </row>
    <row r="504" spans="1:36" ht="15.75" customHeight="1">
      <c r="A504" s="177"/>
      <c r="B504" s="237"/>
      <c r="C504" s="243" t="s">
        <v>1123</v>
      </c>
      <c r="D504" s="242">
        <f>COUNTIF($D$11:$FO$11,"Bạc Liêu")</f>
        <v>0</v>
      </c>
      <c r="E504" s="205"/>
      <c r="F504" s="239"/>
      <c r="G504" s="239"/>
      <c r="H504" s="239"/>
      <c r="I504" s="239"/>
      <c r="J504" s="239"/>
      <c r="K504" s="239"/>
      <c r="L504" s="239"/>
      <c r="M504" s="239"/>
      <c r="N504" s="240"/>
      <c r="O504" s="239"/>
      <c r="P504" s="239"/>
      <c r="Q504" s="239"/>
      <c r="R504" s="239"/>
      <c r="S504" s="239"/>
      <c r="T504" s="239"/>
      <c r="U504" s="239"/>
      <c r="V504" s="239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7"/>
    </row>
    <row r="505" spans="1:36" ht="15.75" customHeight="1">
      <c r="A505" s="177"/>
      <c r="B505" s="237"/>
      <c r="C505" s="243" t="s">
        <v>1124</v>
      </c>
      <c r="D505" s="242">
        <f>COUNTIF($D$11:$FO$11,"Cà Mau")</f>
        <v>0</v>
      </c>
      <c r="E505" s="205"/>
      <c r="F505" s="239"/>
      <c r="G505" s="239"/>
      <c r="H505" s="239"/>
      <c r="I505" s="239"/>
      <c r="J505" s="239"/>
      <c r="K505" s="239"/>
      <c r="L505" s="239"/>
      <c r="M505" s="239"/>
      <c r="N505" s="240"/>
      <c r="O505" s="239"/>
      <c r="P505" s="239"/>
      <c r="Q505" s="239"/>
      <c r="R505" s="239"/>
      <c r="S505" s="239"/>
      <c r="T505" s="239"/>
      <c r="U505" s="239"/>
      <c r="V505" s="239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7"/>
    </row>
    <row r="506" spans="1:36" ht="15.75" customHeight="1">
      <c r="A506" s="177"/>
      <c r="B506" s="237"/>
      <c r="C506" s="243" t="s">
        <v>1125</v>
      </c>
      <c r="D506" s="242">
        <f>COUNTIF($D$11:$FO$11,"Kiên Giang")</f>
        <v>0</v>
      </c>
      <c r="E506" s="205"/>
      <c r="F506" s="239"/>
      <c r="G506" s="239"/>
      <c r="H506" s="239"/>
      <c r="I506" s="239"/>
      <c r="J506" s="239"/>
      <c r="K506" s="239"/>
      <c r="L506" s="239"/>
      <c r="M506" s="239"/>
      <c r="N506" s="240"/>
      <c r="O506" s="239"/>
      <c r="P506" s="239"/>
      <c r="Q506" s="239"/>
      <c r="R506" s="239"/>
      <c r="S506" s="239"/>
      <c r="T506" s="239"/>
      <c r="U506" s="239"/>
      <c r="V506" s="239"/>
      <c r="W506" s="205"/>
      <c r="X506" s="205"/>
      <c r="Y506" s="205"/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7"/>
    </row>
    <row r="507" spans="1:36" ht="15.75" customHeight="1">
      <c r="A507" s="177"/>
      <c r="B507" s="237"/>
      <c r="C507" s="243" t="s">
        <v>1126</v>
      </c>
      <c r="D507" s="242">
        <f>COUNTIF($D$11:$FO$11,"Đồng Tháp")</f>
        <v>0</v>
      </c>
      <c r="E507" s="205"/>
      <c r="F507" s="239"/>
      <c r="G507" s="239"/>
      <c r="H507" s="239"/>
      <c r="I507" s="239"/>
      <c r="J507" s="239"/>
      <c r="K507" s="239"/>
      <c r="L507" s="239"/>
      <c r="M507" s="239"/>
      <c r="N507" s="240"/>
      <c r="O507" s="239"/>
      <c r="P507" s="239"/>
      <c r="Q507" s="239"/>
      <c r="R507" s="239"/>
      <c r="S507" s="239"/>
      <c r="T507" s="239"/>
      <c r="U507" s="239"/>
      <c r="V507" s="239"/>
      <c r="W507" s="205"/>
      <c r="X507" s="205"/>
      <c r="Y507" s="205"/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7"/>
    </row>
    <row r="508" spans="1:36" ht="15.75" customHeight="1">
      <c r="A508" s="177"/>
      <c r="B508" s="237"/>
      <c r="C508" s="243" t="s">
        <v>1127</v>
      </c>
      <c r="D508" s="242">
        <f>COUNTIF($D$11:$FO$11,"Trà Vinh")</f>
        <v>0</v>
      </c>
      <c r="E508" s="205"/>
      <c r="F508" s="239"/>
      <c r="G508" s="239"/>
      <c r="H508" s="239"/>
      <c r="I508" s="239"/>
      <c r="J508" s="239"/>
      <c r="K508" s="239"/>
      <c r="L508" s="239"/>
      <c r="M508" s="239"/>
      <c r="N508" s="240"/>
      <c r="O508" s="239"/>
      <c r="P508" s="239"/>
      <c r="Q508" s="239"/>
      <c r="R508" s="239"/>
      <c r="S508" s="239"/>
      <c r="T508" s="239"/>
      <c r="U508" s="239"/>
      <c r="V508" s="239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7"/>
    </row>
    <row r="509" spans="1:36" ht="15.75" customHeight="1">
      <c r="A509" s="177"/>
      <c r="B509" s="237"/>
      <c r="C509" s="243" t="s">
        <v>1128</v>
      </c>
      <c r="D509" s="242">
        <f>COUNTIF($D$11:$FO$11,"Tiền Giang")</f>
        <v>0</v>
      </c>
      <c r="E509" s="205"/>
      <c r="F509" s="239"/>
      <c r="G509" s="239"/>
      <c r="H509" s="239"/>
      <c r="I509" s="239"/>
      <c r="J509" s="239"/>
      <c r="K509" s="239"/>
      <c r="L509" s="239"/>
      <c r="M509" s="239"/>
      <c r="N509" s="240"/>
      <c r="O509" s="239"/>
      <c r="P509" s="239"/>
      <c r="Q509" s="239"/>
      <c r="R509" s="239"/>
      <c r="S509" s="239"/>
      <c r="T509" s="239"/>
      <c r="U509" s="239"/>
      <c r="V509" s="239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7"/>
    </row>
    <row r="510" spans="1:36" ht="15.75" customHeight="1">
      <c r="A510" s="177"/>
      <c r="B510" s="237"/>
      <c r="C510" s="243" t="s">
        <v>1129</v>
      </c>
      <c r="D510" s="242">
        <f>COUNTIF($D$11:$FO$11,"Long An")</f>
        <v>0</v>
      </c>
      <c r="E510" s="205"/>
      <c r="F510" s="239"/>
      <c r="G510" s="239"/>
      <c r="H510" s="239"/>
      <c r="I510" s="239"/>
      <c r="J510" s="239"/>
      <c r="K510" s="239"/>
      <c r="L510" s="239"/>
      <c r="M510" s="239"/>
      <c r="N510" s="240"/>
      <c r="O510" s="239"/>
      <c r="P510" s="239"/>
      <c r="Q510" s="239"/>
      <c r="R510" s="239"/>
      <c r="S510" s="239"/>
      <c r="T510" s="239"/>
      <c r="U510" s="239"/>
      <c r="V510" s="239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7"/>
    </row>
    <row r="511" spans="1:36" ht="15.75" customHeight="1">
      <c r="A511" s="177"/>
      <c r="B511" s="237"/>
      <c r="C511" s="243" t="s">
        <v>1130</v>
      </c>
      <c r="D511" s="242">
        <f>COUNTIF($D$11:$FO$11,"Đồng Nai")</f>
        <v>0</v>
      </c>
      <c r="E511" s="205"/>
      <c r="F511" s="239"/>
      <c r="G511" s="239"/>
      <c r="H511" s="239"/>
      <c r="I511" s="239"/>
      <c r="J511" s="239"/>
      <c r="K511" s="239"/>
      <c r="L511" s="239"/>
      <c r="M511" s="239"/>
      <c r="N511" s="240"/>
      <c r="O511" s="239"/>
      <c r="P511" s="239"/>
      <c r="Q511" s="239"/>
      <c r="R511" s="239"/>
      <c r="S511" s="239"/>
      <c r="T511" s="239"/>
      <c r="U511" s="239"/>
      <c r="V511" s="239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7"/>
    </row>
    <row r="512" spans="1:36" ht="15.75" customHeight="1">
      <c r="A512" s="177"/>
      <c r="B512" s="237"/>
      <c r="C512" s="243" t="s">
        <v>1131</v>
      </c>
      <c r="D512" s="242">
        <f>COUNTIF($D$11:$FO$11,"TP Hồ Chí Minh")</f>
        <v>0</v>
      </c>
      <c r="E512" s="205"/>
      <c r="F512" s="239"/>
      <c r="G512" s="239"/>
      <c r="H512" s="239"/>
      <c r="I512" s="239"/>
      <c r="J512" s="239"/>
      <c r="K512" s="239"/>
      <c r="L512" s="239"/>
      <c r="M512" s="239"/>
      <c r="N512" s="240"/>
      <c r="O512" s="239"/>
      <c r="P512" s="239"/>
      <c r="Q512" s="239"/>
      <c r="R512" s="239"/>
      <c r="S512" s="239"/>
      <c r="T512" s="239"/>
      <c r="U512" s="239"/>
      <c r="V512" s="239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7"/>
    </row>
    <row r="513" spans="1:36" ht="15.75" customHeight="1">
      <c r="A513" s="177"/>
      <c r="B513" s="237"/>
      <c r="C513" s="243"/>
      <c r="D513" s="244"/>
      <c r="E513" s="205"/>
      <c r="F513" s="239"/>
      <c r="G513" s="239"/>
      <c r="H513" s="239"/>
      <c r="I513" s="239"/>
      <c r="J513" s="239"/>
      <c r="K513" s="239"/>
      <c r="L513" s="239"/>
      <c r="M513" s="239"/>
      <c r="N513" s="240"/>
      <c r="O513" s="239"/>
      <c r="P513" s="239"/>
      <c r="Q513" s="239"/>
      <c r="R513" s="239"/>
      <c r="S513" s="239"/>
      <c r="T513" s="239"/>
      <c r="U513" s="239"/>
      <c r="V513" s="239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7"/>
    </row>
    <row r="514" spans="1:36" ht="15.75" customHeight="1">
      <c r="A514" s="177"/>
      <c r="B514" s="237"/>
      <c r="C514" s="243"/>
      <c r="D514" s="245">
        <f>SUM(D450:D512)</f>
        <v>0</v>
      </c>
      <c r="E514" s="205"/>
      <c r="F514" s="239"/>
      <c r="G514" s="239"/>
      <c r="H514" s="239"/>
      <c r="I514" s="239"/>
      <c r="J514" s="239"/>
      <c r="K514" s="239"/>
      <c r="L514" s="239"/>
      <c r="M514" s="239"/>
      <c r="N514" s="240"/>
      <c r="O514" s="239"/>
      <c r="P514" s="239"/>
      <c r="Q514" s="239"/>
      <c r="R514" s="239"/>
      <c r="S514" s="239"/>
      <c r="T514" s="239"/>
      <c r="U514" s="239"/>
      <c r="V514" s="239"/>
      <c r="W514" s="205"/>
      <c r="X514" s="205"/>
      <c r="Y514" s="205"/>
      <c r="Z514" s="205"/>
      <c r="AA514" s="205"/>
      <c r="AB514" s="205"/>
      <c r="AC514" s="205"/>
      <c r="AD514" s="205"/>
      <c r="AE514" s="205"/>
      <c r="AF514" s="205"/>
      <c r="AG514" s="205"/>
      <c r="AH514" s="205"/>
      <c r="AI514" s="205"/>
      <c r="AJ514" s="7"/>
    </row>
    <row r="515" spans="1:36" ht="15.75" customHeight="1">
      <c r="A515" s="177"/>
      <c r="B515" s="237"/>
      <c r="C515" s="205"/>
      <c r="D515" s="238"/>
      <c r="E515" s="205"/>
      <c r="F515" s="239"/>
      <c r="G515" s="239"/>
      <c r="H515" s="239"/>
      <c r="I515" s="239"/>
      <c r="J515" s="239"/>
      <c r="K515" s="239"/>
      <c r="L515" s="239"/>
      <c r="M515" s="239"/>
      <c r="N515" s="240"/>
      <c r="O515" s="239"/>
      <c r="P515" s="239"/>
      <c r="Q515" s="239"/>
      <c r="R515" s="239"/>
      <c r="S515" s="239"/>
      <c r="T515" s="239"/>
      <c r="U515" s="239"/>
      <c r="V515" s="239"/>
      <c r="W515" s="205"/>
      <c r="X515" s="205"/>
      <c r="Y515" s="205"/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7"/>
    </row>
    <row r="516" spans="1:36" ht="15.75" customHeight="1">
      <c r="A516" s="177"/>
      <c r="B516" s="237"/>
      <c r="C516" s="205"/>
      <c r="D516" s="238"/>
      <c r="E516" s="205"/>
      <c r="F516" s="239"/>
      <c r="G516" s="239"/>
      <c r="H516" s="239"/>
      <c r="I516" s="239"/>
      <c r="J516" s="239"/>
      <c r="K516" s="239"/>
      <c r="L516" s="239"/>
      <c r="M516" s="239"/>
      <c r="N516" s="240"/>
      <c r="O516" s="239"/>
      <c r="P516" s="239"/>
      <c r="Q516" s="239"/>
      <c r="R516" s="239"/>
      <c r="S516" s="239"/>
      <c r="T516" s="239"/>
      <c r="U516" s="239"/>
      <c r="V516" s="239"/>
      <c r="W516" s="205"/>
      <c r="X516" s="205"/>
      <c r="Y516" s="205"/>
      <c r="Z516" s="205"/>
      <c r="AA516" s="205"/>
      <c r="AB516" s="205"/>
      <c r="AC516" s="205"/>
      <c r="AD516" s="205"/>
      <c r="AE516" s="205"/>
      <c r="AF516" s="205"/>
      <c r="AG516" s="205"/>
      <c r="AH516" s="205"/>
      <c r="AI516" s="205"/>
      <c r="AJ516" s="7"/>
    </row>
    <row r="517" spans="1:36" ht="15.75" customHeight="1">
      <c r="A517" s="177"/>
      <c r="B517" s="237"/>
      <c r="C517" s="205"/>
      <c r="D517" s="238"/>
      <c r="E517" s="205"/>
      <c r="F517" s="239"/>
      <c r="G517" s="239"/>
      <c r="H517" s="239"/>
      <c r="I517" s="239"/>
      <c r="J517" s="239"/>
      <c r="K517" s="239"/>
      <c r="L517" s="239"/>
      <c r="M517" s="239"/>
      <c r="N517" s="240"/>
      <c r="O517" s="239"/>
      <c r="P517" s="239"/>
      <c r="Q517" s="239"/>
      <c r="R517" s="239"/>
      <c r="S517" s="239"/>
      <c r="T517" s="239"/>
      <c r="U517" s="239"/>
      <c r="V517" s="239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7"/>
    </row>
    <row r="518" spans="1:36" ht="15.75" customHeight="1">
      <c r="A518" s="177"/>
      <c r="B518" s="237"/>
      <c r="C518" s="205"/>
      <c r="D518" s="238"/>
      <c r="E518" s="205"/>
      <c r="F518" s="239"/>
      <c r="G518" s="239"/>
      <c r="H518" s="239"/>
      <c r="I518" s="239"/>
      <c r="J518" s="239"/>
      <c r="K518" s="239"/>
      <c r="L518" s="239"/>
      <c r="M518" s="239"/>
      <c r="N518" s="240"/>
      <c r="O518" s="239"/>
      <c r="P518" s="239"/>
      <c r="Q518" s="239"/>
      <c r="R518" s="239"/>
      <c r="S518" s="239"/>
      <c r="T518" s="239"/>
      <c r="U518" s="239"/>
      <c r="V518" s="239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7"/>
    </row>
    <row r="519" spans="1:36" ht="15.75" customHeight="1">
      <c r="A519" s="177"/>
      <c r="B519" s="237"/>
      <c r="C519" s="205"/>
      <c r="D519" s="238"/>
      <c r="E519" s="205"/>
      <c r="F519" s="239"/>
      <c r="G519" s="239"/>
      <c r="H519" s="239"/>
      <c r="I519" s="239"/>
      <c r="J519" s="239"/>
      <c r="K519" s="239"/>
      <c r="L519" s="239"/>
      <c r="M519" s="239"/>
      <c r="N519" s="240"/>
      <c r="O519" s="239"/>
      <c r="P519" s="239"/>
      <c r="Q519" s="239"/>
      <c r="R519" s="239"/>
      <c r="S519" s="239"/>
      <c r="T519" s="239"/>
      <c r="U519" s="239"/>
      <c r="V519" s="239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7"/>
    </row>
    <row r="520" spans="1:36" ht="15.75" customHeight="1">
      <c r="A520" s="177"/>
      <c r="B520" s="237"/>
      <c r="C520" s="205"/>
      <c r="D520" s="238"/>
      <c r="E520" s="205"/>
      <c r="F520" s="239"/>
      <c r="G520" s="239"/>
      <c r="H520" s="239"/>
      <c r="I520" s="239"/>
      <c r="J520" s="239"/>
      <c r="K520" s="239"/>
      <c r="L520" s="239"/>
      <c r="M520" s="239"/>
      <c r="N520" s="240"/>
      <c r="O520" s="239"/>
      <c r="P520" s="239"/>
      <c r="Q520" s="239"/>
      <c r="R520" s="239"/>
      <c r="S520" s="239"/>
      <c r="T520" s="239"/>
      <c r="U520" s="239"/>
      <c r="V520" s="239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7"/>
    </row>
    <row r="521" spans="1:36" ht="15.75" customHeight="1">
      <c r="A521" s="177"/>
      <c r="B521" s="237"/>
      <c r="C521" s="205"/>
      <c r="D521" s="238"/>
      <c r="E521" s="205"/>
      <c r="F521" s="239"/>
      <c r="G521" s="239"/>
      <c r="H521" s="239"/>
      <c r="I521" s="239"/>
      <c r="J521" s="239"/>
      <c r="K521" s="239"/>
      <c r="L521" s="239"/>
      <c r="M521" s="239"/>
      <c r="N521" s="240"/>
      <c r="O521" s="239"/>
      <c r="P521" s="239"/>
      <c r="Q521" s="239"/>
      <c r="R521" s="239"/>
      <c r="S521" s="239"/>
      <c r="T521" s="239"/>
      <c r="U521" s="239"/>
      <c r="V521" s="239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/>
      <c r="AI521" s="205"/>
      <c r="AJ521" s="7"/>
    </row>
    <row r="522" spans="1:36" ht="15.75" customHeight="1">
      <c r="A522" s="177"/>
      <c r="B522" s="237"/>
      <c r="C522" s="205"/>
      <c r="D522" s="238"/>
      <c r="E522" s="205"/>
      <c r="F522" s="239"/>
      <c r="G522" s="239"/>
      <c r="H522" s="239"/>
      <c r="I522" s="239"/>
      <c r="J522" s="239"/>
      <c r="K522" s="239"/>
      <c r="L522" s="239"/>
      <c r="M522" s="239"/>
      <c r="N522" s="240"/>
      <c r="O522" s="239"/>
      <c r="P522" s="239"/>
      <c r="Q522" s="239"/>
      <c r="R522" s="239"/>
      <c r="S522" s="239"/>
      <c r="T522" s="239"/>
      <c r="U522" s="239"/>
      <c r="V522" s="239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7"/>
    </row>
    <row r="523" spans="1:36" ht="15.75" customHeight="1">
      <c r="A523" s="177"/>
      <c r="B523" s="237"/>
      <c r="C523" s="205"/>
      <c r="D523" s="238"/>
      <c r="E523" s="205"/>
      <c r="F523" s="239"/>
      <c r="G523" s="239"/>
      <c r="H523" s="239"/>
      <c r="I523" s="239"/>
      <c r="J523" s="239"/>
      <c r="K523" s="239"/>
      <c r="L523" s="239"/>
      <c r="M523" s="239"/>
      <c r="N523" s="240"/>
      <c r="O523" s="239"/>
      <c r="P523" s="239"/>
      <c r="Q523" s="239"/>
      <c r="R523" s="239"/>
      <c r="S523" s="239"/>
      <c r="T523" s="239"/>
      <c r="U523" s="239"/>
      <c r="V523" s="239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7"/>
    </row>
    <row r="524" spans="1:36" ht="15.75" customHeight="1">
      <c r="A524" s="177"/>
      <c r="B524" s="237"/>
      <c r="C524" s="205"/>
      <c r="D524" s="238"/>
      <c r="E524" s="205"/>
      <c r="F524" s="239"/>
      <c r="G524" s="239"/>
      <c r="H524" s="239"/>
      <c r="I524" s="239"/>
      <c r="J524" s="239"/>
      <c r="K524" s="239"/>
      <c r="L524" s="239"/>
      <c r="M524" s="239"/>
      <c r="N524" s="240"/>
      <c r="O524" s="239"/>
      <c r="P524" s="239"/>
      <c r="Q524" s="239"/>
      <c r="R524" s="239"/>
      <c r="S524" s="239"/>
      <c r="T524" s="239"/>
      <c r="U524" s="239"/>
      <c r="V524" s="239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7"/>
    </row>
    <row r="525" spans="1:36" ht="15.75" customHeight="1">
      <c r="A525" s="177"/>
      <c r="B525" s="237"/>
      <c r="C525" s="205"/>
      <c r="D525" s="238"/>
      <c r="E525" s="205"/>
      <c r="F525" s="239"/>
      <c r="G525" s="239"/>
      <c r="H525" s="239"/>
      <c r="I525" s="239"/>
      <c r="J525" s="239"/>
      <c r="K525" s="239"/>
      <c r="L525" s="239"/>
      <c r="M525" s="239"/>
      <c r="N525" s="240"/>
      <c r="O525" s="239"/>
      <c r="P525" s="239"/>
      <c r="Q525" s="239"/>
      <c r="R525" s="239"/>
      <c r="S525" s="239"/>
      <c r="T525" s="239"/>
      <c r="U525" s="239"/>
      <c r="V525" s="239"/>
      <c r="W525" s="205"/>
      <c r="X525" s="205"/>
      <c r="Y525" s="205"/>
      <c r="Z525" s="205"/>
      <c r="AA525" s="205"/>
      <c r="AB525" s="205"/>
      <c r="AC525" s="205"/>
      <c r="AD525" s="205"/>
      <c r="AE525" s="205"/>
      <c r="AF525" s="205"/>
      <c r="AG525" s="205"/>
      <c r="AH525" s="205"/>
      <c r="AI525" s="205"/>
      <c r="AJ525" s="7"/>
    </row>
    <row r="526" spans="1:36" ht="15.75" customHeight="1">
      <c r="A526" s="177"/>
      <c r="B526" s="237"/>
      <c r="C526" s="205"/>
      <c r="D526" s="238"/>
      <c r="E526" s="205"/>
      <c r="F526" s="239"/>
      <c r="G526" s="239"/>
      <c r="H526" s="239"/>
      <c r="I526" s="239"/>
      <c r="J526" s="239"/>
      <c r="K526" s="239"/>
      <c r="L526" s="239"/>
      <c r="M526" s="239"/>
      <c r="N526" s="240"/>
      <c r="O526" s="239"/>
      <c r="P526" s="239"/>
      <c r="Q526" s="239"/>
      <c r="R526" s="239"/>
      <c r="S526" s="239"/>
      <c r="T526" s="239"/>
      <c r="U526" s="239"/>
      <c r="V526" s="239"/>
      <c r="W526" s="205"/>
      <c r="X526" s="205"/>
      <c r="Y526" s="205"/>
      <c r="Z526" s="205"/>
      <c r="AA526" s="205"/>
      <c r="AB526" s="205"/>
      <c r="AC526" s="205"/>
      <c r="AD526" s="205"/>
      <c r="AE526" s="205"/>
      <c r="AF526" s="205"/>
      <c r="AG526" s="205"/>
      <c r="AH526" s="205"/>
      <c r="AI526" s="205"/>
      <c r="AJ526" s="7"/>
    </row>
    <row r="527" spans="1:36" ht="15.75" customHeight="1">
      <c r="A527" s="177"/>
      <c r="B527" s="237"/>
      <c r="C527" s="205"/>
      <c r="D527" s="238"/>
      <c r="E527" s="205"/>
      <c r="F527" s="239"/>
      <c r="G527" s="239"/>
      <c r="H527" s="239"/>
      <c r="I527" s="239"/>
      <c r="J527" s="239"/>
      <c r="K527" s="239"/>
      <c r="L527" s="239"/>
      <c r="M527" s="239"/>
      <c r="N527" s="240"/>
      <c r="O527" s="239"/>
      <c r="P527" s="239"/>
      <c r="Q527" s="239"/>
      <c r="R527" s="239"/>
      <c r="S527" s="239"/>
      <c r="T527" s="239"/>
      <c r="U527" s="239"/>
      <c r="V527" s="239"/>
      <c r="W527" s="205"/>
      <c r="X527" s="205"/>
      <c r="Y527" s="205"/>
      <c r="Z527" s="205"/>
      <c r="AA527" s="205"/>
      <c r="AB527" s="205"/>
      <c r="AC527" s="205"/>
      <c r="AD527" s="205"/>
      <c r="AE527" s="205"/>
      <c r="AF527" s="205"/>
      <c r="AG527" s="205"/>
      <c r="AH527" s="205"/>
      <c r="AI527" s="205"/>
      <c r="AJ527" s="7"/>
    </row>
    <row r="528" spans="1:36" ht="15.75" customHeight="1">
      <c r="A528" s="177"/>
      <c r="B528" s="237"/>
      <c r="C528" s="205"/>
      <c r="D528" s="238"/>
      <c r="E528" s="205"/>
      <c r="F528" s="239"/>
      <c r="G528" s="239"/>
      <c r="H528" s="239"/>
      <c r="I528" s="239"/>
      <c r="J528" s="239"/>
      <c r="K528" s="239"/>
      <c r="L528" s="239"/>
      <c r="M528" s="239"/>
      <c r="N528" s="240"/>
      <c r="O528" s="239"/>
      <c r="P528" s="239"/>
      <c r="Q528" s="239"/>
      <c r="R528" s="239"/>
      <c r="S528" s="239"/>
      <c r="T528" s="239"/>
      <c r="U528" s="239"/>
      <c r="V528" s="239"/>
      <c r="W528" s="205"/>
      <c r="X528" s="205"/>
      <c r="Y528" s="205"/>
      <c r="Z528" s="205"/>
      <c r="AA528" s="205"/>
      <c r="AB528" s="205"/>
      <c r="AC528" s="205"/>
      <c r="AD528" s="205"/>
      <c r="AE528" s="205"/>
      <c r="AF528" s="205"/>
      <c r="AG528" s="205"/>
      <c r="AH528" s="205"/>
      <c r="AI528" s="205"/>
      <c r="AJ528" s="7"/>
    </row>
    <row r="529" spans="1:36" ht="15.75" customHeight="1">
      <c r="A529" s="177"/>
      <c r="B529" s="237"/>
      <c r="C529" s="205"/>
      <c r="D529" s="238"/>
      <c r="E529" s="205"/>
      <c r="F529" s="239"/>
      <c r="G529" s="239"/>
      <c r="H529" s="239"/>
      <c r="I529" s="239"/>
      <c r="J529" s="239"/>
      <c r="K529" s="239"/>
      <c r="L529" s="239"/>
      <c r="M529" s="239"/>
      <c r="N529" s="240"/>
      <c r="O529" s="239"/>
      <c r="P529" s="239"/>
      <c r="Q529" s="239"/>
      <c r="R529" s="239"/>
      <c r="S529" s="239"/>
      <c r="T529" s="239"/>
      <c r="U529" s="239"/>
      <c r="V529" s="239"/>
      <c r="W529" s="205"/>
      <c r="X529" s="205"/>
      <c r="Y529" s="205"/>
      <c r="Z529" s="205"/>
      <c r="AA529" s="205"/>
      <c r="AB529" s="205"/>
      <c r="AC529" s="205"/>
      <c r="AD529" s="205"/>
      <c r="AE529" s="205"/>
      <c r="AF529" s="205"/>
      <c r="AG529" s="205"/>
      <c r="AH529" s="205"/>
      <c r="AI529" s="205"/>
      <c r="AJ529" s="7"/>
    </row>
    <row r="530" spans="1:36" ht="15.75" customHeight="1">
      <c r="A530" s="177"/>
      <c r="B530" s="237"/>
      <c r="C530" s="205"/>
      <c r="D530" s="238"/>
      <c r="E530" s="205"/>
      <c r="F530" s="239"/>
      <c r="G530" s="239"/>
      <c r="H530" s="239"/>
      <c r="I530" s="239"/>
      <c r="J530" s="239"/>
      <c r="K530" s="239"/>
      <c r="L530" s="239"/>
      <c r="M530" s="239"/>
      <c r="N530" s="240"/>
      <c r="O530" s="239"/>
      <c r="P530" s="239"/>
      <c r="Q530" s="239"/>
      <c r="R530" s="239"/>
      <c r="S530" s="239"/>
      <c r="T530" s="239"/>
      <c r="U530" s="239"/>
      <c r="V530" s="239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7"/>
    </row>
    <row r="531" spans="1:36" ht="15.75" customHeight="1">
      <c r="A531" s="177"/>
      <c r="B531" s="237"/>
      <c r="C531" s="205"/>
      <c r="D531" s="238"/>
      <c r="E531" s="205"/>
      <c r="F531" s="239"/>
      <c r="G531" s="239"/>
      <c r="H531" s="239"/>
      <c r="I531" s="239"/>
      <c r="J531" s="239"/>
      <c r="K531" s="239"/>
      <c r="L531" s="239"/>
      <c r="M531" s="239"/>
      <c r="N531" s="240"/>
      <c r="O531" s="239"/>
      <c r="P531" s="239"/>
      <c r="Q531" s="239"/>
      <c r="R531" s="239"/>
      <c r="S531" s="239"/>
      <c r="T531" s="239"/>
      <c r="U531" s="239"/>
      <c r="V531" s="239"/>
      <c r="W531" s="205"/>
      <c r="X531" s="205"/>
      <c r="Y531" s="205"/>
      <c r="Z531" s="205"/>
      <c r="AA531" s="205"/>
      <c r="AB531" s="205"/>
      <c r="AC531" s="205"/>
      <c r="AD531" s="205"/>
      <c r="AE531" s="205"/>
      <c r="AF531" s="205"/>
      <c r="AG531" s="205"/>
      <c r="AH531" s="205"/>
      <c r="AI531" s="205"/>
      <c r="AJ531" s="7"/>
    </row>
    <row r="532" spans="1:36" ht="15.75" customHeight="1">
      <c r="A532" s="177"/>
      <c r="B532" s="237"/>
      <c r="C532" s="205"/>
      <c r="D532" s="238"/>
      <c r="E532" s="205"/>
      <c r="F532" s="239"/>
      <c r="G532" s="239"/>
      <c r="H532" s="239"/>
      <c r="I532" s="239"/>
      <c r="J532" s="239"/>
      <c r="K532" s="239"/>
      <c r="L532" s="239"/>
      <c r="M532" s="239"/>
      <c r="N532" s="240"/>
      <c r="O532" s="239"/>
      <c r="P532" s="239"/>
      <c r="Q532" s="239"/>
      <c r="R532" s="239"/>
      <c r="S532" s="239"/>
      <c r="T532" s="239"/>
      <c r="U532" s="239"/>
      <c r="V532" s="239"/>
      <c r="W532" s="205"/>
      <c r="X532" s="205"/>
      <c r="Y532" s="205"/>
      <c r="Z532" s="205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7"/>
    </row>
    <row r="533" spans="1:36" ht="15.75" customHeight="1">
      <c r="A533" s="177"/>
      <c r="B533" s="237"/>
      <c r="C533" s="205"/>
      <c r="D533" s="238"/>
      <c r="E533" s="205"/>
      <c r="F533" s="239"/>
      <c r="G533" s="239"/>
      <c r="H533" s="239"/>
      <c r="I533" s="239"/>
      <c r="J533" s="239"/>
      <c r="K533" s="239"/>
      <c r="L533" s="239"/>
      <c r="M533" s="239"/>
      <c r="N533" s="240"/>
      <c r="O533" s="239"/>
      <c r="P533" s="239"/>
      <c r="Q533" s="239"/>
      <c r="R533" s="239"/>
      <c r="S533" s="239"/>
      <c r="T533" s="239"/>
      <c r="U533" s="239"/>
      <c r="V533" s="239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7"/>
    </row>
    <row r="534" spans="1:36" ht="15.75" customHeight="1">
      <c r="A534" s="177"/>
      <c r="B534" s="237"/>
      <c r="C534" s="205"/>
      <c r="D534" s="238"/>
      <c r="E534" s="205"/>
      <c r="F534" s="239"/>
      <c r="G534" s="239"/>
      <c r="H534" s="239"/>
      <c r="I534" s="239"/>
      <c r="J534" s="239"/>
      <c r="K534" s="239"/>
      <c r="L534" s="239"/>
      <c r="M534" s="239"/>
      <c r="N534" s="240"/>
      <c r="O534" s="239"/>
      <c r="P534" s="239"/>
      <c r="Q534" s="239"/>
      <c r="R534" s="239"/>
      <c r="S534" s="239"/>
      <c r="T534" s="239"/>
      <c r="U534" s="239"/>
      <c r="V534" s="239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7"/>
    </row>
    <row r="535" spans="1:36" ht="15.75" customHeight="1">
      <c r="A535" s="177"/>
      <c r="B535" s="237"/>
      <c r="C535" s="205"/>
      <c r="D535" s="238"/>
      <c r="E535" s="205"/>
      <c r="F535" s="239"/>
      <c r="G535" s="239"/>
      <c r="H535" s="239"/>
      <c r="I535" s="239"/>
      <c r="J535" s="239"/>
      <c r="K535" s="239"/>
      <c r="L535" s="239"/>
      <c r="M535" s="239"/>
      <c r="N535" s="240"/>
      <c r="O535" s="239"/>
      <c r="P535" s="239"/>
      <c r="Q535" s="239"/>
      <c r="R535" s="239"/>
      <c r="S535" s="239"/>
      <c r="T535" s="239"/>
      <c r="U535" s="239"/>
      <c r="V535" s="239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7"/>
    </row>
    <row r="536" spans="1:36" ht="15.75" customHeight="1">
      <c r="A536" s="177"/>
      <c r="B536" s="237"/>
      <c r="C536" s="205"/>
      <c r="D536" s="238"/>
      <c r="E536" s="205"/>
      <c r="F536" s="239"/>
      <c r="G536" s="239"/>
      <c r="H536" s="239"/>
      <c r="I536" s="239"/>
      <c r="J536" s="239"/>
      <c r="K536" s="239"/>
      <c r="L536" s="239"/>
      <c r="M536" s="239"/>
      <c r="N536" s="240"/>
      <c r="O536" s="239"/>
      <c r="P536" s="239"/>
      <c r="Q536" s="239"/>
      <c r="R536" s="239"/>
      <c r="S536" s="239"/>
      <c r="T536" s="239"/>
      <c r="U536" s="239"/>
      <c r="V536" s="239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7"/>
    </row>
    <row r="537" spans="1:36" ht="15.75" customHeight="1">
      <c r="A537" s="177"/>
      <c r="B537" s="237"/>
      <c r="C537" s="205"/>
      <c r="D537" s="238"/>
      <c r="E537" s="205"/>
      <c r="F537" s="239"/>
      <c r="G537" s="239"/>
      <c r="H537" s="239"/>
      <c r="I537" s="239"/>
      <c r="J537" s="239"/>
      <c r="K537" s="239"/>
      <c r="L537" s="239"/>
      <c r="M537" s="239"/>
      <c r="N537" s="240"/>
      <c r="O537" s="239"/>
      <c r="P537" s="239"/>
      <c r="Q537" s="239"/>
      <c r="R537" s="239"/>
      <c r="S537" s="239"/>
      <c r="T537" s="239"/>
      <c r="U537" s="239"/>
      <c r="V537" s="239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7"/>
    </row>
    <row r="538" spans="1:36" ht="15.75" customHeight="1">
      <c r="A538" s="177"/>
      <c r="B538" s="237"/>
      <c r="C538" s="205"/>
      <c r="D538" s="238"/>
      <c r="E538" s="205"/>
      <c r="F538" s="239"/>
      <c r="G538" s="239"/>
      <c r="H538" s="239"/>
      <c r="I538" s="239"/>
      <c r="J538" s="239"/>
      <c r="K538" s="239"/>
      <c r="L538" s="239"/>
      <c r="M538" s="239"/>
      <c r="N538" s="240"/>
      <c r="O538" s="239"/>
      <c r="P538" s="239"/>
      <c r="Q538" s="239"/>
      <c r="R538" s="239"/>
      <c r="S538" s="239"/>
      <c r="T538" s="239"/>
      <c r="U538" s="239"/>
      <c r="V538" s="239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7"/>
    </row>
    <row r="539" spans="1:36" ht="15.75" customHeight="1">
      <c r="A539" s="177"/>
      <c r="B539" s="237"/>
      <c r="C539" s="205"/>
      <c r="D539" s="238"/>
      <c r="E539" s="205"/>
      <c r="F539" s="239"/>
      <c r="G539" s="239"/>
      <c r="H539" s="239"/>
      <c r="I539" s="239"/>
      <c r="J539" s="239"/>
      <c r="K539" s="239"/>
      <c r="L539" s="239"/>
      <c r="M539" s="239"/>
      <c r="N539" s="240"/>
      <c r="O539" s="239"/>
      <c r="P539" s="239"/>
      <c r="Q539" s="239"/>
      <c r="R539" s="239"/>
      <c r="S539" s="239"/>
      <c r="T539" s="239"/>
      <c r="U539" s="239"/>
      <c r="V539" s="239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7"/>
    </row>
    <row r="540" spans="1:36" ht="15.75" customHeight="1">
      <c r="A540" s="177"/>
      <c r="B540" s="237"/>
      <c r="C540" s="205"/>
      <c r="D540" s="238"/>
      <c r="E540" s="205"/>
      <c r="F540" s="239"/>
      <c r="G540" s="239"/>
      <c r="H540" s="239"/>
      <c r="I540" s="239"/>
      <c r="J540" s="239"/>
      <c r="K540" s="239"/>
      <c r="L540" s="239"/>
      <c r="M540" s="239"/>
      <c r="N540" s="240"/>
      <c r="O540" s="239"/>
      <c r="P540" s="239"/>
      <c r="Q540" s="239"/>
      <c r="R540" s="239"/>
      <c r="S540" s="239"/>
      <c r="T540" s="239"/>
      <c r="U540" s="239"/>
      <c r="V540" s="239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7"/>
    </row>
    <row r="541" spans="1:36" ht="15.75" customHeight="1">
      <c r="A541" s="177"/>
      <c r="B541" s="237"/>
      <c r="C541" s="205"/>
      <c r="D541" s="238"/>
      <c r="E541" s="205"/>
      <c r="F541" s="239"/>
      <c r="G541" s="239"/>
      <c r="H541" s="239"/>
      <c r="I541" s="239"/>
      <c r="J541" s="239"/>
      <c r="K541" s="239"/>
      <c r="L541" s="239"/>
      <c r="M541" s="239"/>
      <c r="N541" s="240"/>
      <c r="O541" s="239"/>
      <c r="P541" s="239"/>
      <c r="Q541" s="239"/>
      <c r="R541" s="239"/>
      <c r="S541" s="239"/>
      <c r="T541" s="239"/>
      <c r="U541" s="239"/>
      <c r="V541" s="239"/>
      <c r="W541" s="205"/>
      <c r="X541" s="205"/>
      <c r="Y541" s="205"/>
      <c r="Z541" s="205"/>
      <c r="AA541" s="205"/>
      <c r="AB541" s="205"/>
      <c r="AC541" s="205"/>
      <c r="AD541" s="205"/>
      <c r="AE541" s="205"/>
      <c r="AF541" s="205"/>
      <c r="AG541" s="205"/>
      <c r="AH541" s="205"/>
      <c r="AI541" s="205"/>
      <c r="AJ541" s="7"/>
    </row>
    <row r="542" spans="1:36" ht="15.75" customHeight="1">
      <c r="A542" s="177"/>
      <c r="B542" s="237"/>
      <c r="C542" s="205"/>
      <c r="D542" s="238"/>
      <c r="E542" s="205"/>
      <c r="F542" s="239"/>
      <c r="G542" s="239"/>
      <c r="H542" s="239"/>
      <c r="I542" s="239"/>
      <c r="J542" s="239"/>
      <c r="K542" s="239"/>
      <c r="L542" s="239"/>
      <c r="M542" s="239"/>
      <c r="N542" s="240"/>
      <c r="O542" s="239"/>
      <c r="P542" s="239"/>
      <c r="Q542" s="239"/>
      <c r="R542" s="239"/>
      <c r="S542" s="239"/>
      <c r="T542" s="239"/>
      <c r="U542" s="239"/>
      <c r="V542" s="239"/>
      <c r="W542" s="205"/>
      <c r="X542" s="205"/>
      <c r="Y542" s="205"/>
      <c r="Z542" s="205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7"/>
    </row>
    <row r="543" spans="1:36" ht="15.75" customHeight="1">
      <c r="A543" s="177"/>
      <c r="B543" s="237"/>
      <c r="C543" s="205"/>
      <c r="D543" s="238"/>
      <c r="E543" s="205"/>
      <c r="F543" s="239"/>
      <c r="G543" s="239"/>
      <c r="H543" s="239"/>
      <c r="I543" s="239"/>
      <c r="J543" s="239"/>
      <c r="K543" s="239"/>
      <c r="L543" s="239"/>
      <c r="M543" s="239"/>
      <c r="N543" s="240"/>
      <c r="O543" s="239"/>
      <c r="P543" s="239"/>
      <c r="Q543" s="239"/>
      <c r="R543" s="239"/>
      <c r="S543" s="239"/>
      <c r="T543" s="239"/>
      <c r="U543" s="239"/>
      <c r="V543" s="239"/>
      <c r="W543" s="205"/>
      <c r="X543" s="205"/>
      <c r="Y543" s="205"/>
      <c r="Z543" s="205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7"/>
    </row>
    <row r="544" spans="1:36" ht="15.75" customHeight="1">
      <c r="A544" s="177"/>
      <c r="B544" s="237"/>
      <c r="C544" s="205"/>
      <c r="D544" s="238"/>
      <c r="E544" s="205"/>
      <c r="F544" s="239"/>
      <c r="G544" s="239"/>
      <c r="H544" s="239"/>
      <c r="I544" s="239"/>
      <c r="J544" s="239"/>
      <c r="K544" s="239"/>
      <c r="L544" s="239"/>
      <c r="M544" s="239"/>
      <c r="N544" s="240"/>
      <c r="O544" s="239"/>
      <c r="P544" s="239"/>
      <c r="Q544" s="239"/>
      <c r="R544" s="239"/>
      <c r="S544" s="239"/>
      <c r="T544" s="239"/>
      <c r="U544" s="239"/>
      <c r="V544" s="239"/>
      <c r="W544" s="205"/>
      <c r="X544" s="205"/>
      <c r="Y544" s="205"/>
      <c r="Z544" s="205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7"/>
    </row>
    <row r="545" spans="1:36" ht="15.75" customHeight="1">
      <c r="A545" s="177"/>
      <c r="B545" s="237"/>
      <c r="C545" s="205"/>
      <c r="D545" s="238"/>
      <c r="E545" s="205"/>
      <c r="F545" s="239"/>
      <c r="G545" s="239"/>
      <c r="H545" s="239"/>
      <c r="I545" s="239"/>
      <c r="J545" s="239"/>
      <c r="K545" s="239"/>
      <c r="L545" s="239"/>
      <c r="M545" s="239"/>
      <c r="N545" s="240"/>
      <c r="O545" s="239"/>
      <c r="P545" s="239"/>
      <c r="Q545" s="239"/>
      <c r="R545" s="239"/>
      <c r="S545" s="239"/>
      <c r="T545" s="239"/>
      <c r="U545" s="239"/>
      <c r="V545" s="239"/>
      <c r="W545" s="205"/>
      <c r="X545" s="205"/>
      <c r="Y545" s="205"/>
      <c r="Z545" s="205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7"/>
    </row>
    <row r="546" spans="1:36" ht="15.75" customHeight="1">
      <c r="A546" s="177"/>
      <c r="B546" s="237"/>
      <c r="C546" s="205"/>
      <c r="D546" s="238"/>
      <c r="E546" s="205"/>
      <c r="F546" s="239"/>
      <c r="G546" s="239"/>
      <c r="H546" s="239"/>
      <c r="I546" s="239"/>
      <c r="J546" s="239"/>
      <c r="K546" s="239"/>
      <c r="L546" s="239"/>
      <c r="M546" s="239"/>
      <c r="N546" s="240"/>
      <c r="O546" s="239"/>
      <c r="P546" s="239"/>
      <c r="Q546" s="239"/>
      <c r="R546" s="239"/>
      <c r="S546" s="239"/>
      <c r="T546" s="239"/>
      <c r="U546" s="239"/>
      <c r="V546" s="239"/>
      <c r="W546" s="205"/>
      <c r="X546" s="205"/>
      <c r="Y546" s="205"/>
      <c r="Z546" s="205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7"/>
    </row>
    <row r="547" spans="1:36" ht="15.75" customHeight="1">
      <c r="A547" s="177"/>
      <c r="B547" s="237"/>
      <c r="C547" s="205"/>
      <c r="D547" s="238"/>
      <c r="E547" s="205"/>
      <c r="F547" s="239"/>
      <c r="G547" s="239"/>
      <c r="H547" s="239"/>
      <c r="I547" s="239"/>
      <c r="J547" s="239"/>
      <c r="K547" s="239"/>
      <c r="L547" s="239"/>
      <c r="M547" s="239"/>
      <c r="N547" s="240"/>
      <c r="O547" s="239"/>
      <c r="P547" s="239"/>
      <c r="Q547" s="239"/>
      <c r="R547" s="239"/>
      <c r="S547" s="239"/>
      <c r="T547" s="239"/>
      <c r="U547" s="239"/>
      <c r="V547" s="239"/>
      <c r="W547" s="205"/>
      <c r="X547" s="205"/>
      <c r="Y547" s="205"/>
      <c r="Z547" s="205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7"/>
    </row>
    <row r="548" spans="1:36" ht="15.75" customHeight="1">
      <c r="A548" s="177"/>
      <c r="B548" s="237"/>
      <c r="C548" s="205"/>
      <c r="D548" s="238"/>
      <c r="E548" s="205"/>
      <c r="F548" s="239"/>
      <c r="G548" s="239"/>
      <c r="H548" s="239"/>
      <c r="I548" s="239"/>
      <c r="J548" s="239"/>
      <c r="K548" s="239"/>
      <c r="L548" s="239"/>
      <c r="M548" s="239"/>
      <c r="N548" s="240"/>
      <c r="O548" s="239"/>
      <c r="P548" s="239"/>
      <c r="Q548" s="239"/>
      <c r="R548" s="239"/>
      <c r="S548" s="239"/>
      <c r="T548" s="239"/>
      <c r="U548" s="239"/>
      <c r="V548" s="239"/>
      <c r="W548" s="205"/>
      <c r="X548" s="205"/>
      <c r="Y548" s="205"/>
      <c r="Z548" s="205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7"/>
    </row>
    <row r="549" spans="1:36" ht="15.75" customHeight="1">
      <c r="A549" s="177"/>
      <c r="B549" s="237"/>
      <c r="C549" s="205"/>
      <c r="D549" s="238"/>
      <c r="E549" s="205"/>
      <c r="F549" s="239"/>
      <c r="G549" s="239"/>
      <c r="H549" s="239"/>
      <c r="I549" s="239"/>
      <c r="J549" s="239"/>
      <c r="K549" s="239"/>
      <c r="L549" s="239"/>
      <c r="M549" s="239"/>
      <c r="N549" s="240"/>
      <c r="O549" s="239"/>
      <c r="P549" s="239"/>
      <c r="Q549" s="239"/>
      <c r="R549" s="239"/>
      <c r="S549" s="239"/>
      <c r="T549" s="239"/>
      <c r="U549" s="239"/>
      <c r="V549" s="239"/>
      <c r="W549" s="205"/>
      <c r="X549" s="205"/>
      <c r="Y549" s="205"/>
      <c r="Z549" s="205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7"/>
    </row>
    <row r="550" spans="1:36" ht="15.75" customHeight="1">
      <c r="A550" s="177"/>
      <c r="B550" s="237"/>
      <c r="C550" s="205"/>
      <c r="D550" s="238"/>
      <c r="E550" s="205"/>
      <c r="F550" s="239"/>
      <c r="G550" s="239"/>
      <c r="H550" s="239"/>
      <c r="I550" s="239"/>
      <c r="J550" s="239"/>
      <c r="K550" s="239"/>
      <c r="L550" s="239"/>
      <c r="M550" s="239"/>
      <c r="N550" s="240"/>
      <c r="O550" s="239"/>
      <c r="P550" s="239"/>
      <c r="Q550" s="239"/>
      <c r="R550" s="239"/>
      <c r="S550" s="239"/>
      <c r="T550" s="239"/>
      <c r="U550" s="239"/>
      <c r="V550" s="239"/>
      <c r="W550" s="205"/>
      <c r="X550" s="205"/>
      <c r="Y550" s="205"/>
      <c r="Z550" s="205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7"/>
    </row>
    <row r="551" spans="1:36" ht="15.75" customHeight="1">
      <c r="A551" s="177"/>
      <c r="B551" s="237"/>
      <c r="C551" s="205"/>
      <c r="D551" s="238"/>
      <c r="E551" s="205"/>
      <c r="F551" s="239"/>
      <c r="G551" s="239"/>
      <c r="H551" s="239"/>
      <c r="I551" s="239"/>
      <c r="J551" s="239"/>
      <c r="K551" s="239"/>
      <c r="L551" s="239"/>
      <c r="M551" s="239"/>
      <c r="N551" s="240"/>
      <c r="O551" s="239"/>
      <c r="P551" s="239"/>
      <c r="Q551" s="239"/>
      <c r="R551" s="239"/>
      <c r="S551" s="239"/>
      <c r="T551" s="239"/>
      <c r="U551" s="239"/>
      <c r="V551" s="239"/>
      <c r="W551" s="205"/>
      <c r="X551" s="205"/>
      <c r="Y551" s="205"/>
      <c r="Z551" s="205"/>
      <c r="AA551" s="205"/>
      <c r="AB551" s="205"/>
      <c r="AC551" s="205"/>
      <c r="AD551" s="205"/>
      <c r="AE551" s="205"/>
      <c r="AF551" s="205"/>
      <c r="AG551" s="205"/>
      <c r="AH551" s="205"/>
      <c r="AI551" s="205"/>
      <c r="AJ551" s="7"/>
    </row>
    <row r="552" spans="1:36" ht="15.75" customHeight="1">
      <c r="A552" s="177"/>
      <c r="B552" s="237"/>
      <c r="C552" s="205"/>
      <c r="D552" s="238"/>
      <c r="E552" s="205"/>
      <c r="F552" s="239"/>
      <c r="G552" s="239"/>
      <c r="H552" s="239"/>
      <c r="I552" s="239"/>
      <c r="J552" s="239"/>
      <c r="K552" s="239"/>
      <c r="L552" s="239"/>
      <c r="M552" s="239"/>
      <c r="N552" s="240"/>
      <c r="O552" s="239"/>
      <c r="P552" s="239"/>
      <c r="Q552" s="239"/>
      <c r="R552" s="239"/>
      <c r="S552" s="239"/>
      <c r="T552" s="239"/>
      <c r="U552" s="239"/>
      <c r="V552" s="239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7"/>
    </row>
    <row r="553" spans="1:36" ht="15.75" customHeight="1">
      <c r="A553" s="177"/>
      <c r="B553" s="237"/>
      <c r="C553" s="205"/>
      <c r="D553" s="238"/>
      <c r="E553" s="205"/>
      <c r="F553" s="239"/>
      <c r="G553" s="239"/>
      <c r="H553" s="239"/>
      <c r="I553" s="239"/>
      <c r="J553" s="239"/>
      <c r="K553" s="239"/>
      <c r="L553" s="239"/>
      <c r="M553" s="239"/>
      <c r="N553" s="240"/>
      <c r="O553" s="239"/>
      <c r="P553" s="239"/>
      <c r="Q553" s="239"/>
      <c r="R553" s="239"/>
      <c r="S553" s="239"/>
      <c r="T553" s="239"/>
      <c r="U553" s="239"/>
      <c r="V553" s="239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7"/>
    </row>
    <row r="554" spans="1:36" ht="15.75" customHeight="1">
      <c r="A554" s="177"/>
      <c r="B554" s="237"/>
      <c r="C554" s="205"/>
      <c r="D554" s="238"/>
      <c r="E554" s="205"/>
      <c r="F554" s="239"/>
      <c r="G554" s="239"/>
      <c r="H554" s="239"/>
      <c r="I554" s="239"/>
      <c r="J554" s="239"/>
      <c r="K554" s="239"/>
      <c r="L554" s="239"/>
      <c r="M554" s="239"/>
      <c r="N554" s="240"/>
      <c r="O554" s="239"/>
      <c r="P554" s="239"/>
      <c r="Q554" s="239"/>
      <c r="R554" s="239"/>
      <c r="S554" s="239"/>
      <c r="T554" s="239"/>
      <c r="U554" s="239"/>
      <c r="V554" s="239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/>
      <c r="AI554" s="205"/>
      <c r="AJ554" s="7"/>
    </row>
    <row r="555" spans="1:36" ht="15.75" customHeight="1">
      <c r="A555" s="177"/>
      <c r="B555" s="237"/>
      <c r="C555" s="205"/>
      <c r="D555" s="238"/>
      <c r="E555" s="205"/>
      <c r="F555" s="239"/>
      <c r="G555" s="239"/>
      <c r="H555" s="239"/>
      <c r="I555" s="239"/>
      <c r="J555" s="239"/>
      <c r="K555" s="239"/>
      <c r="L555" s="239"/>
      <c r="M555" s="239"/>
      <c r="N555" s="240"/>
      <c r="O555" s="239"/>
      <c r="P555" s="239"/>
      <c r="Q555" s="239"/>
      <c r="R555" s="239"/>
      <c r="S555" s="239"/>
      <c r="T555" s="239"/>
      <c r="U555" s="239"/>
      <c r="V555" s="239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7"/>
    </row>
    <row r="556" spans="1:36" ht="15.75" customHeight="1">
      <c r="A556" s="177"/>
      <c r="B556" s="237"/>
      <c r="C556" s="205"/>
      <c r="D556" s="238"/>
      <c r="E556" s="205"/>
      <c r="F556" s="239"/>
      <c r="G556" s="239"/>
      <c r="H556" s="239"/>
      <c r="I556" s="239"/>
      <c r="J556" s="239"/>
      <c r="K556" s="239"/>
      <c r="L556" s="239"/>
      <c r="M556" s="239"/>
      <c r="N556" s="240"/>
      <c r="O556" s="239"/>
      <c r="P556" s="239"/>
      <c r="Q556" s="239"/>
      <c r="R556" s="239"/>
      <c r="S556" s="239"/>
      <c r="T556" s="239"/>
      <c r="U556" s="239"/>
      <c r="V556" s="239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7"/>
    </row>
    <row r="557" spans="1:36" ht="15.75" customHeight="1">
      <c r="A557" s="177"/>
      <c r="B557" s="237"/>
      <c r="C557" s="205"/>
      <c r="D557" s="238"/>
      <c r="E557" s="205"/>
      <c r="F557" s="239"/>
      <c r="G557" s="239"/>
      <c r="H557" s="239"/>
      <c r="I557" s="239"/>
      <c r="J557" s="239"/>
      <c r="K557" s="239"/>
      <c r="L557" s="239"/>
      <c r="M557" s="239"/>
      <c r="N557" s="240"/>
      <c r="O557" s="239"/>
      <c r="P557" s="239"/>
      <c r="Q557" s="239"/>
      <c r="R557" s="239"/>
      <c r="S557" s="239"/>
      <c r="T557" s="239"/>
      <c r="U557" s="239"/>
      <c r="V557" s="239"/>
      <c r="W557" s="205"/>
      <c r="X557" s="205"/>
      <c r="Y557" s="205"/>
      <c r="Z557" s="205"/>
      <c r="AA557" s="205"/>
      <c r="AB557" s="205"/>
      <c r="AC557" s="205"/>
      <c r="AD557" s="205"/>
      <c r="AE557" s="205"/>
      <c r="AF557" s="205"/>
      <c r="AG557" s="205"/>
      <c r="AH557" s="205"/>
      <c r="AI557" s="205"/>
      <c r="AJ557" s="7"/>
    </row>
    <row r="558" spans="1:36" ht="15.75" customHeight="1">
      <c r="A558" s="177"/>
      <c r="B558" s="237"/>
      <c r="C558" s="205"/>
      <c r="D558" s="238"/>
      <c r="E558" s="205"/>
      <c r="F558" s="239"/>
      <c r="G558" s="239"/>
      <c r="H558" s="239"/>
      <c r="I558" s="239"/>
      <c r="J558" s="239"/>
      <c r="K558" s="239"/>
      <c r="L558" s="239"/>
      <c r="M558" s="239"/>
      <c r="N558" s="240"/>
      <c r="O558" s="239"/>
      <c r="P558" s="239"/>
      <c r="Q558" s="239"/>
      <c r="R558" s="239"/>
      <c r="S558" s="239"/>
      <c r="T558" s="239"/>
      <c r="U558" s="239"/>
      <c r="V558" s="239"/>
      <c r="W558" s="205"/>
      <c r="X558" s="205"/>
      <c r="Y558" s="205"/>
      <c r="Z558" s="205"/>
      <c r="AA558" s="205"/>
      <c r="AB558" s="205"/>
      <c r="AC558" s="205"/>
      <c r="AD558" s="205"/>
      <c r="AE558" s="205"/>
      <c r="AF558" s="205"/>
      <c r="AG558" s="205"/>
      <c r="AH558" s="205"/>
      <c r="AI558" s="205"/>
      <c r="AJ558" s="7"/>
    </row>
    <row r="559" spans="1:36" ht="15.75" customHeight="1">
      <c r="A559" s="177"/>
      <c r="B559" s="237"/>
      <c r="C559" s="205"/>
      <c r="D559" s="238"/>
      <c r="E559" s="205"/>
      <c r="F559" s="239"/>
      <c r="G559" s="239"/>
      <c r="H559" s="239"/>
      <c r="I559" s="239"/>
      <c r="J559" s="239"/>
      <c r="K559" s="239"/>
      <c r="L559" s="239"/>
      <c r="M559" s="239"/>
      <c r="N559" s="240"/>
      <c r="O559" s="239"/>
      <c r="P559" s="239"/>
      <c r="Q559" s="239"/>
      <c r="R559" s="239"/>
      <c r="S559" s="239"/>
      <c r="T559" s="239"/>
      <c r="U559" s="239"/>
      <c r="V559" s="239"/>
      <c r="W559" s="205"/>
      <c r="X559" s="205"/>
      <c r="Y559" s="205"/>
      <c r="Z559" s="205"/>
      <c r="AA559" s="205"/>
      <c r="AB559" s="205"/>
      <c r="AC559" s="205"/>
      <c r="AD559" s="205"/>
      <c r="AE559" s="205"/>
      <c r="AF559" s="205"/>
      <c r="AG559" s="205"/>
      <c r="AH559" s="205"/>
      <c r="AI559" s="205"/>
      <c r="AJ559" s="7"/>
    </row>
    <row r="560" spans="1:36" ht="15.75" customHeight="1">
      <c r="A560" s="177"/>
      <c r="B560" s="237"/>
      <c r="C560" s="205"/>
      <c r="D560" s="238"/>
      <c r="E560" s="205"/>
      <c r="F560" s="239"/>
      <c r="G560" s="239"/>
      <c r="H560" s="239"/>
      <c r="I560" s="239"/>
      <c r="J560" s="239"/>
      <c r="K560" s="239"/>
      <c r="L560" s="239"/>
      <c r="M560" s="239"/>
      <c r="N560" s="240"/>
      <c r="O560" s="239"/>
      <c r="P560" s="239"/>
      <c r="Q560" s="239"/>
      <c r="R560" s="239"/>
      <c r="S560" s="239"/>
      <c r="T560" s="239"/>
      <c r="U560" s="239"/>
      <c r="V560" s="239"/>
      <c r="W560" s="205"/>
      <c r="X560" s="205"/>
      <c r="Y560" s="205"/>
      <c r="Z560" s="205"/>
      <c r="AA560" s="205"/>
      <c r="AB560" s="205"/>
      <c r="AC560" s="205"/>
      <c r="AD560" s="205"/>
      <c r="AE560" s="205"/>
      <c r="AF560" s="205"/>
      <c r="AG560" s="205"/>
      <c r="AH560" s="205"/>
      <c r="AI560" s="205"/>
      <c r="AJ560" s="7"/>
    </row>
    <row r="561" spans="1:36" ht="15.75" customHeight="1">
      <c r="A561" s="177"/>
      <c r="B561" s="237"/>
      <c r="C561" s="205"/>
      <c r="D561" s="238"/>
      <c r="E561" s="205"/>
      <c r="F561" s="239"/>
      <c r="G561" s="239"/>
      <c r="H561" s="239"/>
      <c r="I561" s="239"/>
      <c r="J561" s="239"/>
      <c r="K561" s="239"/>
      <c r="L561" s="239"/>
      <c r="M561" s="239"/>
      <c r="N561" s="240"/>
      <c r="O561" s="239"/>
      <c r="P561" s="239"/>
      <c r="Q561" s="239"/>
      <c r="R561" s="239"/>
      <c r="S561" s="239"/>
      <c r="T561" s="239"/>
      <c r="U561" s="239"/>
      <c r="V561" s="239"/>
      <c r="W561" s="205"/>
      <c r="X561" s="205"/>
      <c r="Y561" s="205"/>
      <c r="Z561" s="205"/>
      <c r="AA561" s="205"/>
      <c r="AB561" s="205"/>
      <c r="AC561" s="205"/>
      <c r="AD561" s="205"/>
      <c r="AE561" s="205"/>
      <c r="AF561" s="205"/>
      <c r="AG561" s="205"/>
      <c r="AH561" s="205"/>
      <c r="AI561" s="205"/>
      <c r="AJ561" s="7"/>
    </row>
    <row r="562" spans="1:36" ht="15.75" customHeight="1">
      <c r="A562" s="177"/>
      <c r="B562" s="237"/>
      <c r="C562" s="205"/>
      <c r="D562" s="238"/>
      <c r="E562" s="205"/>
      <c r="F562" s="239"/>
      <c r="G562" s="239"/>
      <c r="H562" s="239"/>
      <c r="I562" s="239"/>
      <c r="J562" s="239"/>
      <c r="K562" s="239"/>
      <c r="L562" s="239"/>
      <c r="M562" s="239"/>
      <c r="N562" s="240"/>
      <c r="O562" s="239"/>
      <c r="P562" s="239"/>
      <c r="Q562" s="239"/>
      <c r="R562" s="239"/>
      <c r="S562" s="239"/>
      <c r="T562" s="239"/>
      <c r="U562" s="239"/>
      <c r="V562" s="239"/>
      <c r="W562" s="205"/>
      <c r="X562" s="205"/>
      <c r="Y562" s="205"/>
      <c r="Z562" s="205"/>
      <c r="AA562" s="205"/>
      <c r="AB562" s="205"/>
      <c r="AC562" s="205"/>
      <c r="AD562" s="205"/>
      <c r="AE562" s="205"/>
      <c r="AF562" s="205"/>
      <c r="AG562" s="205"/>
      <c r="AH562" s="205"/>
      <c r="AI562" s="205"/>
      <c r="AJ562" s="7"/>
    </row>
    <row r="563" spans="1:36" ht="15.75" customHeight="1">
      <c r="A563" s="177"/>
      <c r="B563" s="237"/>
      <c r="C563" s="205"/>
      <c r="D563" s="238"/>
      <c r="E563" s="205"/>
      <c r="F563" s="239"/>
      <c r="G563" s="239"/>
      <c r="H563" s="239"/>
      <c r="I563" s="239"/>
      <c r="J563" s="239"/>
      <c r="K563" s="239"/>
      <c r="L563" s="239"/>
      <c r="M563" s="239"/>
      <c r="N563" s="240"/>
      <c r="O563" s="239"/>
      <c r="P563" s="239"/>
      <c r="Q563" s="239"/>
      <c r="R563" s="239"/>
      <c r="S563" s="239"/>
      <c r="T563" s="239"/>
      <c r="U563" s="239"/>
      <c r="V563" s="239"/>
      <c r="W563" s="205"/>
      <c r="X563" s="205"/>
      <c r="Y563" s="205"/>
      <c r="Z563" s="205"/>
      <c r="AA563" s="205"/>
      <c r="AB563" s="205"/>
      <c r="AC563" s="205"/>
      <c r="AD563" s="205"/>
      <c r="AE563" s="205"/>
      <c r="AF563" s="205"/>
      <c r="AG563" s="205"/>
      <c r="AH563" s="205"/>
      <c r="AI563" s="205"/>
      <c r="AJ563" s="7"/>
    </row>
    <row r="564" spans="1:36" ht="15.75" customHeight="1">
      <c r="A564" s="177"/>
      <c r="B564" s="237"/>
      <c r="C564" s="205"/>
      <c r="D564" s="238"/>
      <c r="E564" s="205"/>
      <c r="F564" s="239"/>
      <c r="G564" s="239"/>
      <c r="H564" s="239"/>
      <c r="I564" s="239"/>
      <c r="J564" s="239"/>
      <c r="K564" s="239"/>
      <c r="L564" s="239"/>
      <c r="M564" s="239"/>
      <c r="N564" s="240"/>
      <c r="O564" s="239"/>
      <c r="P564" s="239"/>
      <c r="Q564" s="239"/>
      <c r="R564" s="239"/>
      <c r="S564" s="239"/>
      <c r="T564" s="239"/>
      <c r="U564" s="239"/>
      <c r="V564" s="239"/>
      <c r="W564" s="205"/>
      <c r="X564" s="205"/>
      <c r="Y564" s="205"/>
      <c r="Z564" s="205"/>
      <c r="AA564" s="205"/>
      <c r="AB564" s="205"/>
      <c r="AC564" s="205"/>
      <c r="AD564" s="205"/>
      <c r="AE564" s="205"/>
      <c r="AF564" s="205"/>
      <c r="AG564" s="205"/>
      <c r="AH564" s="205"/>
      <c r="AI564" s="205"/>
      <c r="AJ564" s="7"/>
    </row>
    <row r="565" spans="1:36" ht="15.75" customHeight="1">
      <c r="A565" s="177"/>
      <c r="B565" s="237"/>
      <c r="C565" s="205"/>
      <c r="D565" s="238"/>
      <c r="E565" s="205"/>
      <c r="F565" s="239"/>
      <c r="G565" s="239"/>
      <c r="H565" s="239"/>
      <c r="I565" s="239"/>
      <c r="J565" s="239"/>
      <c r="K565" s="239"/>
      <c r="L565" s="239"/>
      <c r="M565" s="239"/>
      <c r="N565" s="240"/>
      <c r="O565" s="239"/>
      <c r="P565" s="239"/>
      <c r="Q565" s="239"/>
      <c r="R565" s="239"/>
      <c r="S565" s="239"/>
      <c r="T565" s="239"/>
      <c r="U565" s="239"/>
      <c r="V565" s="239"/>
      <c r="W565" s="205"/>
      <c r="X565" s="205"/>
      <c r="Y565" s="205"/>
      <c r="Z565" s="205"/>
      <c r="AA565" s="205"/>
      <c r="AB565" s="205"/>
      <c r="AC565" s="205"/>
      <c r="AD565" s="205"/>
      <c r="AE565" s="205"/>
      <c r="AF565" s="205"/>
      <c r="AG565" s="205"/>
      <c r="AH565" s="205"/>
      <c r="AI565" s="205"/>
      <c r="AJ565" s="7"/>
    </row>
    <row r="566" spans="1:36" ht="15.75" customHeight="1">
      <c r="A566" s="177"/>
      <c r="B566" s="237"/>
      <c r="C566" s="205"/>
      <c r="D566" s="238"/>
      <c r="E566" s="205"/>
      <c r="F566" s="239"/>
      <c r="G566" s="239"/>
      <c r="H566" s="239"/>
      <c r="I566" s="239"/>
      <c r="J566" s="239"/>
      <c r="K566" s="239"/>
      <c r="L566" s="239"/>
      <c r="M566" s="239"/>
      <c r="N566" s="240"/>
      <c r="O566" s="239"/>
      <c r="P566" s="239"/>
      <c r="Q566" s="239"/>
      <c r="R566" s="239"/>
      <c r="S566" s="239"/>
      <c r="T566" s="239"/>
      <c r="U566" s="239"/>
      <c r="V566" s="239"/>
      <c r="W566" s="205"/>
      <c r="X566" s="205"/>
      <c r="Y566" s="205"/>
      <c r="Z566" s="205"/>
      <c r="AA566" s="205"/>
      <c r="AB566" s="205"/>
      <c r="AC566" s="205"/>
      <c r="AD566" s="205"/>
      <c r="AE566" s="205"/>
      <c r="AF566" s="205"/>
      <c r="AG566" s="205"/>
      <c r="AH566" s="205"/>
      <c r="AI566" s="205"/>
      <c r="AJ566" s="7"/>
    </row>
    <row r="567" spans="1:36" ht="15.75" customHeight="1">
      <c r="A567" s="177"/>
      <c r="B567" s="237"/>
      <c r="C567" s="205"/>
      <c r="D567" s="238"/>
      <c r="E567" s="205"/>
      <c r="F567" s="239"/>
      <c r="G567" s="239"/>
      <c r="H567" s="239"/>
      <c r="I567" s="239"/>
      <c r="J567" s="239"/>
      <c r="K567" s="239"/>
      <c r="L567" s="239"/>
      <c r="M567" s="239"/>
      <c r="N567" s="240"/>
      <c r="O567" s="239"/>
      <c r="P567" s="239"/>
      <c r="Q567" s="239"/>
      <c r="R567" s="239"/>
      <c r="S567" s="239"/>
      <c r="T567" s="239"/>
      <c r="U567" s="239"/>
      <c r="V567" s="239"/>
      <c r="W567" s="205"/>
      <c r="X567" s="205"/>
      <c r="Y567" s="205"/>
      <c r="Z567" s="205"/>
      <c r="AA567" s="205"/>
      <c r="AB567" s="205"/>
      <c r="AC567" s="205"/>
      <c r="AD567" s="205"/>
      <c r="AE567" s="205"/>
      <c r="AF567" s="205"/>
      <c r="AG567" s="205"/>
      <c r="AH567" s="205"/>
      <c r="AI567" s="205"/>
      <c r="AJ567" s="7"/>
    </row>
    <row r="568" spans="1:36" ht="15.75" customHeight="1">
      <c r="A568" s="177"/>
      <c r="B568" s="237"/>
      <c r="C568" s="205"/>
      <c r="D568" s="238"/>
      <c r="E568" s="205"/>
      <c r="F568" s="239"/>
      <c r="G568" s="239"/>
      <c r="H568" s="239"/>
      <c r="I568" s="239"/>
      <c r="J568" s="239"/>
      <c r="K568" s="239"/>
      <c r="L568" s="239"/>
      <c r="M568" s="239"/>
      <c r="N568" s="240"/>
      <c r="O568" s="239"/>
      <c r="P568" s="239"/>
      <c r="Q568" s="239"/>
      <c r="R568" s="239"/>
      <c r="S568" s="239"/>
      <c r="T568" s="239"/>
      <c r="U568" s="239"/>
      <c r="V568" s="239"/>
      <c r="W568" s="205"/>
      <c r="X568" s="205"/>
      <c r="Y568" s="205"/>
      <c r="Z568" s="205"/>
      <c r="AA568" s="205"/>
      <c r="AB568" s="205"/>
      <c r="AC568" s="205"/>
      <c r="AD568" s="205"/>
      <c r="AE568" s="205"/>
      <c r="AF568" s="205"/>
      <c r="AG568" s="205"/>
      <c r="AH568" s="205"/>
      <c r="AI568" s="205"/>
      <c r="AJ568" s="7"/>
    </row>
    <row r="569" spans="1:36" ht="15.75" customHeight="1">
      <c r="A569" s="177"/>
      <c r="B569" s="237"/>
      <c r="C569" s="205"/>
      <c r="D569" s="238"/>
      <c r="E569" s="205"/>
      <c r="F569" s="239"/>
      <c r="G569" s="239"/>
      <c r="H569" s="239"/>
      <c r="I569" s="239"/>
      <c r="J569" s="239"/>
      <c r="K569" s="239"/>
      <c r="L569" s="239"/>
      <c r="M569" s="239"/>
      <c r="N569" s="240"/>
      <c r="O569" s="239"/>
      <c r="P569" s="239"/>
      <c r="Q569" s="239"/>
      <c r="R569" s="239"/>
      <c r="S569" s="239"/>
      <c r="T569" s="239"/>
      <c r="U569" s="239"/>
      <c r="V569" s="239"/>
      <c r="W569" s="205"/>
      <c r="X569" s="205"/>
      <c r="Y569" s="205"/>
      <c r="Z569" s="205"/>
      <c r="AA569" s="205"/>
      <c r="AB569" s="205"/>
      <c r="AC569" s="205"/>
      <c r="AD569" s="205"/>
      <c r="AE569" s="205"/>
      <c r="AF569" s="205"/>
      <c r="AG569" s="205"/>
      <c r="AH569" s="205"/>
      <c r="AI569" s="205"/>
      <c r="AJ569" s="7"/>
    </row>
    <row r="570" spans="1:36" ht="15.75" customHeight="1">
      <c r="A570" s="177"/>
      <c r="B570" s="237"/>
      <c r="C570" s="205"/>
      <c r="D570" s="238"/>
      <c r="E570" s="205"/>
      <c r="F570" s="239"/>
      <c r="G570" s="239"/>
      <c r="H570" s="239"/>
      <c r="I570" s="239"/>
      <c r="J570" s="239"/>
      <c r="K570" s="239"/>
      <c r="L570" s="239"/>
      <c r="M570" s="239"/>
      <c r="N570" s="240"/>
      <c r="O570" s="239"/>
      <c r="P570" s="239"/>
      <c r="Q570" s="239"/>
      <c r="R570" s="239"/>
      <c r="S570" s="239"/>
      <c r="T570" s="239"/>
      <c r="U570" s="239"/>
      <c r="V570" s="239"/>
      <c r="W570" s="205"/>
      <c r="X570" s="205"/>
      <c r="Y570" s="205"/>
      <c r="Z570" s="205"/>
      <c r="AA570" s="205"/>
      <c r="AB570" s="205"/>
      <c r="AC570" s="205"/>
      <c r="AD570" s="205"/>
      <c r="AE570" s="205"/>
      <c r="AF570" s="205"/>
      <c r="AG570" s="205"/>
      <c r="AH570" s="205"/>
      <c r="AI570" s="205"/>
      <c r="AJ570" s="7"/>
    </row>
    <row r="571" spans="1:36" ht="15.75" customHeight="1">
      <c r="A571" s="177"/>
      <c r="B571" s="237"/>
      <c r="C571" s="205"/>
      <c r="D571" s="238"/>
      <c r="E571" s="205"/>
      <c r="F571" s="239"/>
      <c r="G571" s="239"/>
      <c r="H571" s="239"/>
      <c r="I571" s="239"/>
      <c r="J571" s="239"/>
      <c r="K571" s="239"/>
      <c r="L571" s="239"/>
      <c r="M571" s="239"/>
      <c r="N571" s="240"/>
      <c r="O571" s="239"/>
      <c r="P571" s="239"/>
      <c r="Q571" s="239"/>
      <c r="R571" s="239"/>
      <c r="S571" s="239"/>
      <c r="T571" s="239"/>
      <c r="U571" s="239"/>
      <c r="V571" s="239"/>
      <c r="W571" s="205"/>
      <c r="X571" s="205"/>
      <c r="Y571" s="205"/>
      <c r="Z571" s="205"/>
      <c r="AA571" s="205"/>
      <c r="AB571" s="205"/>
      <c r="AC571" s="205"/>
      <c r="AD571" s="205"/>
      <c r="AE571" s="205"/>
      <c r="AF571" s="205"/>
      <c r="AG571" s="205"/>
      <c r="AH571" s="205"/>
      <c r="AI571" s="205"/>
      <c r="AJ571" s="7"/>
    </row>
    <row r="572" spans="1:36" ht="15.75" customHeight="1">
      <c r="A572" s="177"/>
      <c r="B572" s="237"/>
      <c r="C572" s="205"/>
      <c r="D572" s="238"/>
      <c r="E572" s="205"/>
      <c r="F572" s="239"/>
      <c r="G572" s="239"/>
      <c r="H572" s="239"/>
      <c r="I572" s="239"/>
      <c r="J572" s="239"/>
      <c r="K572" s="239"/>
      <c r="L572" s="239"/>
      <c r="M572" s="239"/>
      <c r="N572" s="240"/>
      <c r="O572" s="239"/>
      <c r="P572" s="239"/>
      <c r="Q572" s="239"/>
      <c r="R572" s="239"/>
      <c r="S572" s="239"/>
      <c r="T572" s="239"/>
      <c r="U572" s="239"/>
      <c r="V572" s="239"/>
      <c r="W572" s="205"/>
      <c r="X572" s="205"/>
      <c r="Y572" s="205"/>
      <c r="Z572" s="205"/>
      <c r="AA572" s="205"/>
      <c r="AB572" s="205"/>
      <c r="AC572" s="205"/>
      <c r="AD572" s="205"/>
      <c r="AE572" s="205"/>
      <c r="AF572" s="205"/>
      <c r="AG572" s="205"/>
      <c r="AH572" s="205"/>
      <c r="AI572" s="205"/>
      <c r="AJ572" s="7"/>
    </row>
    <row r="573" spans="1:36" ht="15.75" customHeight="1">
      <c r="A573" s="177"/>
      <c r="B573" s="237"/>
      <c r="C573" s="205"/>
      <c r="D573" s="238"/>
      <c r="E573" s="205"/>
      <c r="F573" s="239"/>
      <c r="G573" s="239"/>
      <c r="H573" s="239"/>
      <c r="I573" s="239"/>
      <c r="J573" s="239"/>
      <c r="K573" s="239"/>
      <c r="L573" s="239"/>
      <c r="M573" s="239"/>
      <c r="N573" s="240"/>
      <c r="O573" s="239"/>
      <c r="P573" s="239"/>
      <c r="Q573" s="239"/>
      <c r="R573" s="239"/>
      <c r="S573" s="239"/>
      <c r="T573" s="239"/>
      <c r="U573" s="239"/>
      <c r="V573" s="239"/>
      <c r="W573" s="205"/>
      <c r="X573" s="205"/>
      <c r="Y573" s="205"/>
      <c r="Z573" s="205"/>
      <c r="AA573" s="205"/>
      <c r="AB573" s="205"/>
      <c r="AC573" s="205"/>
      <c r="AD573" s="205"/>
      <c r="AE573" s="205"/>
      <c r="AF573" s="205"/>
      <c r="AG573" s="205"/>
      <c r="AH573" s="205"/>
      <c r="AI573" s="205"/>
      <c r="AJ573" s="7"/>
    </row>
    <row r="574" spans="1:36" ht="15.75" customHeight="1">
      <c r="A574" s="177"/>
      <c r="B574" s="237"/>
      <c r="C574" s="205"/>
      <c r="D574" s="238"/>
      <c r="E574" s="205"/>
      <c r="F574" s="239"/>
      <c r="G574" s="239"/>
      <c r="H574" s="239"/>
      <c r="I574" s="239"/>
      <c r="J574" s="239"/>
      <c r="K574" s="239"/>
      <c r="L574" s="239"/>
      <c r="M574" s="239"/>
      <c r="N574" s="240"/>
      <c r="O574" s="239"/>
      <c r="P574" s="239"/>
      <c r="Q574" s="239"/>
      <c r="R574" s="239"/>
      <c r="S574" s="239"/>
      <c r="T574" s="239"/>
      <c r="U574" s="239"/>
      <c r="V574" s="239"/>
      <c r="W574" s="205"/>
      <c r="X574" s="205"/>
      <c r="Y574" s="205"/>
      <c r="Z574" s="205"/>
      <c r="AA574" s="205"/>
      <c r="AB574" s="205"/>
      <c r="AC574" s="205"/>
      <c r="AD574" s="205"/>
      <c r="AE574" s="205"/>
      <c r="AF574" s="205"/>
      <c r="AG574" s="205"/>
      <c r="AH574" s="205"/>
      <c r="AI574" s="205"/>
      <c r="AJ574" s="7"/>
    </row>
    <row r="575" spans="1:36" ht="15.75" customHeight="1">
      <c r="A575" s="177"/>
      <c r="B575" s="237"/>
      <c r="C575" s="205"/>
      <c r="D575" s="238"/>
      <c r="E575" s="205"/>
      <c r="F575" s="239"/>
      <c r="G575" s="239"/>
      <c r="H575" s="239"/>
      <c r="I575" s="239"/>
      <c r="J575" s="239"/>
      <c r="K575" s="239"/>
      <c r="L575" s="239"/>
      <c r="M575" s="239"/>
      <c r="N575" s="240"/>
      <c r="O575" s="239"/>
      <c r="P575" s="239"/>
      <c r="Q575" s="239"/>
      <c r="R575" s="239"/>
      <c r="S575" s="239"/>
      <c r="T575" s="239"/>
      <c r="U575" s="239"/>
      <c r="V575" s="239"/>
      <c r="W575" s="205"/>
      <c r="X575" s="205"/>
      <c r="Y575" s="205"/>
      <c r="Z575" s="205"/>
      <c r="AA575" s="205"/>
      <c r="AB575" s="205"/>
      <c r="AC575" s="205"/>
      <c r="AD575" s="205"/>
      <c r="AE575" s="205"/>
      <c r="AF575" s="205"/>
      <c r="AG575" s="205"/>
      <c r="AH575" s="205"/>
      <c r="AI575" s="205"/>
      <c r="AJ575" s="7"/>
    </row>
    <row r="576" spans="1:36" ht="15.75" customHeight="1">
      <c r="A576" s="177"/>
      <c r="B576" s="237"/>
      <c r="C576" s="205"/>
      <c r="D576" s="238"/>
      <c r="E576" s="205"/>
      <c r="F576" s="239"/>
      <c r="G576" s="239"/>
      <c r="H576" s="239"/>
      <c r="I576" s="239"/>
      <c r="J576" s="239"/>
      <c r="K576" s="239"/>
      <c r="L576" s="239"/>
      <c r="M576" s="239"/>
      <c r="N576" s="240"/>
      <c r="O576" s="239"/>
      <c r="P576" s="239"/>
      <c r="Q576" s="239"/>
      <c r="R576" s="239"/>
      <c r="S576" s="239"/>
      <c r="T576" s="239"/>
      <c r="U576" s="239"/>
      <c r="V576" s="239"/>
      <c r="W576" s="205"/>
      <c r="X576" s="205"/>
      <c r="Y576" s="205"/>
      <c r="Z576" s="205"/>
      <c r="AA576" s="205"/>
      <c r="AB576" s="205"/>
      <c r="AC576" s="205"/>
      <c r="AD576" s="205"/>
      <c r="AE576" s="205"/>
      <c r="AF576" s="205"/>
      <c r="AG576" s="205"/>
      <c r="AH576" s="205"/>
      <c r="AI576" s="205"/>
      <c r="AJ576" s="7"/>
    </row>
    <row r="577" spans="1:36" ht="15.75" customHeight="1">
      <c r="A577" s="177"/>
      <c r="B577" s="237"/>
      <c r="C577" s="205"/>
      <c r="D577" s="238"/>
      <c r="E577" s="205"/>
      <c r="F577" s="239"/>
      <c r="G577" s="239"/>
      <c r="H577" s="239"/>
      <c r="I577" s="239"/>
      <c r="J577" s="239"/>
      <c r="K577" s="239"/>
      <c r="L577" s="239"/>
      <c r="M577" s="239"/>
      <c r="N577" s="240"/>
      <c r="O577" s="239"/>
      <c r="P577" s="239"/>
      <c r="Q577" s="239"/>
      <c r="R577" s="239"/>
      <c r="S577" s="239"/>
      <c r="T577" s="239"/>
      <c r="U577" s="239"/>
      <c r="V577" s="239"/>
      <c r="W577" s="205"/>
      <c r="X577" s="205"/>
      <c r="Y577" s="205"/>
      <c r="Z577" s="205"/>
      <c r="AA577" s="205"/>
      <c r="AB577" s="205"/>
      <c r="AC577" s="205"/>
      <c r="AD577" s="205"/>
      <c r="AE577" s="205"/>
      <c r="AF577" s="205"/>
      <c r="AG577" s="205"/>
      <c r="AH577" s="205"/>
      <c r="AI577" s="205"/>
      <c r="AJ577" s="7"/>
    </row>
    <row r="578" spans="1:36" ht="15.75" customHeight="1">
      <c r="A578" s="177"/>
      <c r="B578" s="237"/>
      <c r="C578" s="205"/>
      <c r="D578" s="238"/>
      <c r="E578" s="205"/>
      <c r="F578" s="239"/>
      <c r="G578" s="239"/>
      <c r="H578" s="239"/>
      <c r="I578" s="239"/>
      <c r="J578" s="239"/>
      <c r="K578" s="239"/>
      <c r="L578" s="239"/>
      <c r="M578" s="239"/>
      <c r="N578" s="240"/>
      <c r="O578" s="239"/>
      <c r="P578" s="239"/>
      <c r="Q578" s="239"/>
      <c r="R578" s="239"/>
      <c r="S578" s="239"/>
      <c r="T578" s="239"/>
      <c r="U578" s="239"/>
      <c r="V578" s="239"/>
      <c r="W578" s="205"/>
      <c r="X578" s="205"/>
      <c r="Y578" s="205"/>
      <c r="Z578" s="205"/>
      <c r="AA578" s="205"/>
      <c r="AB578" s="205"/>
      <c r="AC578" s="205"/>
      <c r="AD578" s="205"/>
      <c r="AE578" s="205"/>
      <c r="AF578" s="205"/>
      <c r="AG578" s="205"/>
      <c r="AH578" s="205"/>
      <c r="AI578" s="205"/>
      <c r="AJ578" s="7"/>
    </row>
    <row r="579" spans="1:36" ht="15.75" customHeight="1">
      <c r="A579" s="177"/>
      <c r="B579" s="237"/>
      <c r="C579" s="205"/>
      <c r="D579" s="238"/>
      <c r="E579" s="205"/>
      <c r="F579" s="239"/>
      <c r="G579" s="239"/>
      <c r="H579" s="239"/>
      <c r="I579" s="239"/>
      <c r="J579" s="239"/>
      <c r="K579" s="239"/>
      <c r="L579" s="239"/>
      <c r="M579" s="239"/>
      <c r="N579" s="240"/>
      <c r="O579" s="239"/>
      <c r="P579" s="239"/>
      <c r="Q579" s="239"/>
      <c r="R579" s="239"/>
      <c r="S579" s="239"/>
      <c r="T579" s="239"/>
      <c r="U579" s="239"/>
      <c r="V579" s="239"/>
      <c r="W579" s="205"/>
      <c r="X579" s="205"/>
      <c r="Y579" s="205"/>
      <c r="Z579" s="205"/>
      <c r="AA579" s="205"/>
      <c r="AB579" s="205"/>
      <c r="AC579" s="205"/>
      <c r="AD579" s="205"/>
      <c r="AE579" s="205"/>
      <c r="AF579" s="205"/>
      <c r="AG579" s="205"/>
      <c r="AH579" s="205"/>
      <c r="AI579" s="205"/>
      <c r="AJ579" s="7"/>
    </row>
    <row r="580" spans="1:36" ht="15.75" customHeight="1">
      <c r="A580" s="177"/>
      <c r="B580" s="237"/>
      <c r="C580" s="205"/>
      <c r="D580" s="238"/>
      <c r="E580" s="205"/>
      <c r="F580" s="239"/>
      <c r="G580" s="239"/>
      <c r="H580" s="239"/>
      <c r="I580" s="239"/>
      <c r="J580" s="239"/>
      <c r="K580" s="239"/>
      <c r="L580" s="239"/>
      <c r="M580" s="239"/>
      <c r="N580" s="240"/>
      <c r="O580" s="239"/>
      <c r="P580" s="239"/>
      <c r="Q580" s="239"/>
      <c r="R580" s="239"/>
      <c r="S580" s="239"/>
      <c r="T580" s="239"/>
      <c r="U580" s="239"/>
      <c r="V580" s="239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7"/>
    </row>
    <row r="581" spans="1:36" ht="15.75" customHeight="1">
      <c r="A581" s="177"/>
      <c r="B581" s="237"/>
      <c r="C581" s="205"/>
      <c r="D581" s="238"/>
      <c r="E581" s="205"/>
      <c r="F581" s="239"/>
      <c r="G581" s="239"/>
      <c r="H581" s="239"/>
      <c r="I581" s="239"/>
      <c r="J581" s="239"/>
      <c r="K581" s="239"/>
      <c r="L581" s="239"/>
      <c r="M581" s="239"/>
      <c r="N581" s="240"/>
      <c r="O581" s="239"/>
      <c r="P581" s="239"/>
      <c r="Q581" s="239"/>
      <c r="R581" s="239"/>
      <c r="S581" s="239"/>
      <c r="T581" s="239"/>
      <c r="U581" s="239"/>
      <c r="V581" s="239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7"/>
    </row>
    <row r="582" spans="1:36" ht="15.75" customHeight="1">
      <c r="A582" s="177"/>
      <c r="B582" s="237"/>
      <c r="C582" s="205"/>
      <c r="D582" s="238"/>
      <c r="E582" s="205"/>
      <c r="F582" s="239"/>
      <c r="G582" s="239"/>
      <c r="H582" s="239"/>
      <c r="I582" s="239"/>
      <c r="J582" s="239"/>
      <c r="K582" s="239"/>
      <c r="L582" s="239"/>
      <c r="M582" s="239"/>
      <c r="N582" s="240"/>
      <c r="O582" s="239"/>
      <c r="P582" s="239"/>
      <c r="Q582" s="239"/>
      <c r="R582" s="239"/>
      <c r="S582" s="239"/>
      <c r="T582" s="239"/>
      <c r="U582" s="239"/>
      <c r="V582" s="239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7"/>
    </row>
    <row r="583" spans="1:36" ht="15.75" customHeight="1">
      <c r="A583" s="177"/>
      <c r="B583" s="237"/>
      <c r="C583" s="205"/>
      <c r="D583" s="238"/>
      <c r="E583" s="205"/>
      <c r="F583" s="239"/>
      <c r="G583" s="239"/>
      <c r="H583" s="239"/>
      <c r="I583" s="239"/>
      <c r="J583" s="239"/>
      <c r="K583" s="239"/>
      <c r="L583" s="239"/>
      <c r="M583" s="239"/>
      <c r="N583" s="240"/>
      <c r="O583" s="239"/>
      <c r="P583" s="239"/>
      <c r="Q583" s="239"/>
      <c r="R583" s="239"/>
      <c r="S583" s="239"/>
      <c r="T583" s="239"/>
      <c r="U583" s="239"/>
      <c r="V583" s="239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7"/>
    </row>
    <row r="584" spans="1:36" ht="15.75" customHeight="1">
      <c r="A584" s="177"/>
      <c r="B584" s="237"/>
      <c r="C584" s="205"/>
      <c r="D584" s="238"/>
      <c r="E584" s="205"/>
      <c r="F584" s="239"/>
      <c r="G584" s="239"/>
      <c r="H584" s="239"/>
      <c r="I584" s="239"/>
      <c r="J584" s="239"/>
      <c r="K584" s="239"/>
      <c r="L584" s="239"/>
      <c r="M584" s="239"/>
      <c r="N584" s="240"/>
      <c r="O584" s="239"/>
      <c r="P584" s="239"/>
      <c r="Q584" s="239"/>
      <c r="R584" s="239"/>
      <c r="S584" s="239"/>
      <c r="T584" s="239"/>
      <c r="U584" s="239"/>
      <c r="V584" s="239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7"/>
    </row>
    <row r="585" spans="1:36" ht="15.75" customHeight="1">
      <c r="A585" s="177"/>
      <c r="B585" s="237"/>
      <c r="C585" s="205"/>
      <c r="D585" s="238"/>
      <c r="E585" s="205"/>
      <c r="F585" s="239"/>
      <c r="G585" s="239"/>
      <c r="H585" s="239"/>
      <c r="I585" s="239"/>
      <c r="J585" s="239"/>
      <c r="K585" s="239"/>
      <c r="L585" s="239"/>
      <c r="M585" s="239"/>
      <c r="N585" s="240"/>
      <c r="O585" s="239"/>
      <c r="P585" s="239"/>
      <c r="Q585" s="239"/>
      <c r="R585" s="239"/>
      <c r="S585" s="239"/>
      <c r="T585" s="239"/>
      <c r="U585" s="239"/>
      <c r="V585" s="239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7"/>
    </row>
    <row r="586" spans="1:36" ht="15.75" customHeight="1">
      <c r="A586" s="177"/>
      <c r="B586" s="237"/>
      <c r="C586" s="205"/>
      <c r="D586" s="238"/>
      <c r="E586" s="205"/>
      <c r="F586" s="239"/>
      <c r="G586" s="239"/>
      <c r="H586" s="239"/>
      <c r="I586" s="239"/>
      <c r="J586" s="239"/>
      <c r="K586" s="239"/>
      <c r="L586" s="239"/>
      <c r="M586" s="239"/>
      <c r="N586" s="240"/>
      <c r="O586" s="239"/>
      <c r="P586" s="239"/>
      <c r="Q586" s="239"/>
      <c r="R586" s="239"/>
      <c r="S586" s="239"/>
      <c r="T586" s="239"/>
      <c r="U586" s="239"/>
      <c r="V586" s="239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7"/>
    </row>
    <row r="587" spans="1:36" ht="15.75" customHeight="1">
      <c r="A587" s="177"/>
      <c r="B587" s="237"/>
      <c r="C587" s="205"/>
      <c r="D587" s="238"/>
      <c r="E587" s="205"/>
      <c r="F587" s="239"/>
      <c r="G587" s="239"/>
      <c r="H587" s="239"/>
      <c r="I587" s="239"/>
      <c r="J587" s="239"/>
      <c r="K587" s="239"/>
      <c r="L587" s="239"/>
      <c r="M587" s="239"/>
      <c r="N587" s="240"/>
      <c r="O587" s="239"/>
      <c r="P587" s="239"/>
      <c r="Q587" s="239"/>
      <c r="R587" s="239"/>
      <c r="S587" s="239"/>
      <c r="T587" s="239"/>
      <c r="U587" s="239"/>
      <c r="V587" s="239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7"/>
    </row>
    <row r="588" spans="1:36" ht="15.75" customHeight="1">
      <c r="A588" s="177"/>
      <c r="B588" s="237"/>
      <c r="C588" s="205"/>
      <c r="D588" s="238"/>
      <c r="E588" s="205"/>
      <c r="F588" s="239"/>
      <c r="G588" s="239"/>
      <c r="H588" s="239"/>
      <c r="I588" s="239"/>
      <c r="J588" s="239"/>
      <c r="K588" s="239"/>
      <c r="L588" s="239"/>
      <c r="M588" s="239"/>
      <c r="N588" s="240"/>
      <c r="O588" s="239"/>
      <c r="P588" s="239"/>
      <c r="Q588" s="239"/>
      <c r="R588" s="239"/>
      <c r="S588" s="239"/>
      <c r="T588" s="239"/>
      <c r="U588" s="239"/>
      <c r="V588" s="239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7"/>
    </row>
    <row r="589" spans="1:36" ht="15.75" customHeight="1">
      <c r="A589" s="177"/>
      <c r="B589" s="237"/>
      <c r="C589" s="205"/>
      <c r="D589" s="238"/>
      <c r="E589" s="205"/>
      <c r="F589" s="239"/>
      <c r="G589" s="239"/>
      <c r="H589" s="239"/>
      <c r="I589" s="239"/>
      <c r="J589" s="239"/>
      <c r="K589" s="239"/>
      <c r="L589" s="239"/>
      <c r="M589" s="239"/>
      <c r="N589" s="240"/>
      <c r="O589" s="239"/>
      <c r="P589" s="239"/>
      <c r="Q589" s="239"/>
      <c r="R589" s="239"/>
      <c r="S589" s="239"/>
      <c r="T589" s="239"/>
      <c r="U589" s="239"/>
      <c r="V589" s="239"/>
      <c r="W589" s="205"/>
      <c r="X589" s="205"/>
      <c r="Y589" s="205"/>
      <c r="Z589" s="205"/>
      <c r="AA589" s="205"/>
      <c r="AB589" s="205"/>
      <c r="AC589" s="205"/>
      <c r="AD589" s="205"/>
      <c r="AE589" s="205"/>
      <c r="AF589" s="205"/>
      <c r="AG589" s="205"/>
      <c r="AH589" s="205"/>
      <c r="AI589" s="205"/>
      <c r="AJ589" s="7"/>
    </row>
    <row r="590" spans="1:36" ht="15.75" customHeight="1">
      <c r="A590" s="177"/>
      <c r="B590" s="237"/>
      <c r="C590" s="205"/>
      <c r="D590" s="238"/>
      <c r="E590" s="205"/>
      <c r="F590" s="239"/>
      <c r="G590" s="239"/>
      <c r="H590" s="239"/>
      <c r="I590" s="239"/>
      <c r="J590" s="239"/>
      <c r="K590" s="239"/>
      <c r="L590" s="239"/>
      <c r="M590" s="239"/>
      <c r="N590" s="240"/>
      <c r="O590" s="239"/>
      <c r="P590" s="239"/>
      <c r="Q590" s="239"/>
      <c r="R590" s="239"/>
      <c r="S590" s="239"/>
      <c r="T590" s="239"/>
      <c r="U590" s="239"/>
      <c r="V590" s="239"/>
      <c r="W590" s="205"/>
      <c r="X590" s="205"/>
      <c r="Y590" s="205"/>
      <c r="Z590" s="205"/>
      <c r="AA590" s="205"/>
      <c r="AB590" s="205"/>
      <c r="AC590" s="205"/>
      <c r="AD590" s="205"/>
      <c r="AE590" s="205"/>
      <c r="AF590" s="205"/>
      <c r="AG590" s="205"/>
      <c r="AH590" s="205"/>
      <c r="AI590" s="205"/>
      <c r="AJ590" s="7"/>
    </row>
    <row r="591" spans="1:36" ht="15.75" customHeight="1">
      <c r="A591" s="177"/>
      <c r="B591" s="237"/>
      <c r="C591" s="205"/>
      <c r="D591" s="238"/>
      <c r="E591" s="205"/>
      <c r="F591" s="239"/>
      <c r="G591" s="239"/>
      <c r="H591" s="239"/>
      <c r="I591" s="239"/>
      <c r="J591" s="239"/>
      <c r="K591" s="239"/>
      <c r="L591" s="239"/>
      <c r="M591" s="239"/>
      <c r="N591" s="240"/>
      <c r="O591" s="239"/>
      <c r="P591" s="239"/>
      <c r="Q591" s="239"/>
      <c r="R591" s="239"/>
      <c r="S591" s="239"/>
      <c r="T591" s="239"/>
      <c r="U591" s="239"/>
      <c r="V591" s="239"/>
      <c r="W591" s="205"/>
      <c r="X591" s="205"/>
      <c r="Y591" s="205"/>
      <c r="Z591" s="205"/>
      <c r="AA591" s="205"/>
      <c r="AB591" s="205"/>
      <c r="AC591" s="205"/>
      <c r="AD591" s="205"/>
      <c r="AE591" s="205"/>
      <c r="AF591" s="205"/>
      <c r="AG591" s="205"/>
      <c r="AH591" s="205"/>
      <c r="AI591" s="205"/>
      <c r="AJ591" s="7"/>
    </row>
    <row r="592" spans="1:36" ht="15.75" customHeight="1">
      <c r="A592" s="177"/>
      <c r="B592" s="237"/>
      <c r="C592" s="205"/>
      <c r="D592" s="238"/>
      <c r="E592" s="205"/>
      <c r="F592" s="239"/>
      <c r="G592" s="239"/>
      <c r="H592" s="239"/>
      <c r="I592" s="239"/>
      <c r="J592" s="239"/>
      <c r="K592" s="239"/>
      <c r="L592" s="239"/>
      <c r="M592" s="239"/>
      <c r="N592" s="240"/>
      <c r="O592" s="239"/>
      <c r="P592" s="239"/>
      <c r="Q592" s="239"/>
      <c r="R592" s="239"/>
      <c r="S592" s="239"/>
      <c r="T592" s="239"/>
      <c r="U592" s="239"/>
      <c r="V592" s="239"/>
      <c r="W592" s="205"/>
      <c r="X592" s="205"/>
      <c r="Y592" s="205"/>
      <c r="Z592" s="205"/>
      <c r="AA592" s="205"/>
      <c r="AB592" s="205"/>
      <c r="AC592" s="205"/>
      <c r="AD592" s="205"/>
      <c r="AE592" s="205"/>
      <c r="AF592" s="205"/>
      <c r="AG592" s="205"/>
      <c r="AH592" s="205"/>
      <c r="AI592" s="205"/>
      <c r="AJ592" s="7"/>
    </row>
    <row r="593" spans="1:36" ht="15.75" customHeight="1">
      <c r="A593" s="177"/>
      <c r="B593" s="237"/>
      <c r="C593" s="205"/>
      <c r="D593" s="238"/>
      <c r="E593" s="205"/>
      <c r="F593" s="239"/>
      <c r="G593" s="239"/>
      <c r="H593" s="239"/>
      <c r="I593" s="239"/>
      <c r="J593" s="239"/>
      <c r="K593" s="239"/>
      <c r="L593" s="239"/>
      <c r="M593" s="239"/>
      <c r="N593" s="240"/>
      <c r="O593" s="239"/>
      <c r="P593" s="239"/>
      <c r="Q593" s="239"/>
      <c r="R593" s="239"/>
      <c r="S593" s="239"/>
      <c r="T593" s="239"/>
      <c r="U593" s="239"/>
      <c r="V593" s="239"/>
      <c r="W593" s="205"/>
      <c r="X593" s="205"/>
      <c r="Y593" s="205"/>
      <c r="Z593" s="205"/>
      <c r="AA593" s="205"/>
      <c r="AB593" s="205"/>
      <c r="AC593" s="205"/>
      <c r="AD593" s="205"/>
      <c r="AE593" s="205"/>
      <c r="AF593" s="205"/>
      <c r="AG593" s="205"/>
      <c r="AH593" s="205"/>
      <c r="AI593" s="205"/>
      <c r="AJ593" s="7"/>
    </row>
    <row r="594" spans="1:36" ht="15.75" customHeight="1">
      <c r="A594" s="177"/>
      <c r="B594" s="237"/>
      <c r="C594" s="205"/>
      <c r="D594" s="238"/>
      <c r="E594" s="205"/>
      <c r="F594" s="239"/>
      <c r="G594" s="239"/>
      <c r="H594" s="239"/>
      <c r="I594" s="239"/>
      <c r="J594" s="239"/>
      <c r="K594" s="239"/>
      <c r="L594" s="239"/>
      <c r="M594" s="239"/>
      <c r="N594" s="240"/>
      <c r="O594" s="239"/>
      <c r="P594" s="239"/>
      <c r="Q594" s="239"/>
      <c r="R594" s="239"/>
      <c r="S594" s="239"/>
      <c r="T594" s="239"/>
      <c r="U594" s="239"/>
      <c r="V594" s="239"/>
      <c r="W594" s="205"/>
      <c r="X594" s="205"/>
      <c r="Y594" s="205"/>
      <c r="Z594" s="205"/>
      <c r="AA594" s="205"/>
      <c r="AB594" s="205"/>
      <c r="AC594" s="205"/>
      <c r="AD594" s="205"/>
      <c r="AE594" s="205"/>
      <c r="AF594" s="205"/>
      <c r="AG594" s="205"/>
      <c r="AH594" s="205"/>
      <c r="AI594" s="205"/>
      <c r="AJ594" s="7"/>
    </row>
    <row r="595" spans="1:36" ht="15.75" customHeight="1">
      <c r="A595" s="177"/>
      <c r="B595" s="237"/>
      <c r="C595" s="205"/>
      <c r="D595" s="238"/>
      <c r="E595" s="205"/>
      <c r="F595" s="239"/>
      <c r="G595" s="239"/>
      <c r="H595" s="239"/>
      <c r="I595" s="239"/>
      <c r="J595" s="239"/>
      <c r="K595" s="239"/>
      <c r="L595" s="239"/>
      <c r="M595" s="239"/>
      <c r="N595" s="240"/>
      <c r="O595" s="239"/>
      <c r="P595" s="239"/>
      <c r="Q595" s="239"/>
      <c r="R595" s="239"/>
      <c r="S595" s="239"/>
      <c r="T595" s="239"/>
      <c r="U595" s="239"/>
      <c r="V595" s="239"/>
      <c r="W595" s="205"/>
      <c r="X595" s="205"/>
      <c r="Y595" s="205"/>
      <c r="Z595" s="205"/>
      <c r="AA595" s="205"/>
      <c r="AB595" s="205"/>
      <c r="AC595" s="205"/>
      <c r="AD595" s="205"/>
      <c r="AE595" s="205"/>
      <c r="AF595" s="205"/>
      <c r="AG595" s="205"/>
      <c r="AH595" s="205"/>
      <c r="AI595" s="205"/>
      <c r="AJ595" s="7"/>
    </row>
    <row r="596" spans="1:36" ht="15.75" customHeight="1">
      <c r="A596" s="177"/>
      <c r="B596" s="237"/>
      <c r="C596" s="205"/>
      <c r="D596" s="238"/>
      <c r="E596" s="205"/>
      <c r="F596" s="239"/>
      <c r="G596" s="239"/>
      <c r="H596" s="239"/>
      <c r="I596" s="239"/>
      <c r="J596" s="239"/>
      <c r="K596" s="239"/>
      <c r="L596" s="239"/>
      <c r="M596" s="239"/>
      <c r="N596" s="240"/>
      <c r="O596" s="239"/>
      <c r="P596" s="239"/>
      <c r="Q596" s="239"/>
      <c r="R596" s="239"/>
      <c r="S596" s="239"/>
      <c r="T596" s="239"/>
      <c r="U596" s="239"/>
      <c r="V596" s="239"/>
      <c r="W596" s="205"/>
      <c r="X596" s="205"/>
      <c r="Y596" s="205"/>
      <c r="Z596" s="205"/>
      <c r="AA596" s="205"/>
      <c r="AB596" s="205"/>
      <c r="AC596" s="205"/>
      <c r="AD596" s="205"/>
      <c r="AE596" s="205"/>
      <c r="AF596" s="205"/>
      <c r="AG596" s="205"/>
      <c r="AH596" s="205"/>
      <c r="AI596" s="205"/>
      <c r="AJ596" s="7"/>
    </row>
    <row r="597" spans="1:36" ht="15.75" customHeight="1">
      <c r="A597" s="177"/>
      <c r="B597" s="237"/>
      <c r="C597" s="205"/>
      <c r="D597" s="238"/>
      <c r="E597" s="205"/>
      <c r="F597" s="239"/>
      <c r="G597" s="239"/>
      <c r="H597" s="239"/>
      <c r="I597" s="239"/>
      <c r="J597" s="239"/>
      <c r="K597" s="239"/>
      <c r="L597" s="239"/>
      <c r="M597" s="239"/>
      <c r="N597" s="240"/>
      <c r="O597" s="239"/>
      <c r="P597" s="239"/>
      <c r="Q597" s="239"/>
      <c r="R597" s="239"/>
      <c r="S597" s="239"/>
      <c r="T597" s="239"/>
      <c r="U597" s="239"/>
      <c r="V597" s="239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7"/>
    </row>
    <row r="598" spans="1:36" ht="15.75" customHeight="1">
      <c r="A598" s="177"/>
      <c r="B598" s="237"/>
      <c r="C598" s="205"/>
      <c r="D598" s="238"/>
      <c r="E598" s="205"/>
      <c r="F598" s="239"/>
      <c r="G598" s="239"/>
      <c r="H598" s="239"/>
      <c r="I598" s="239"/>
      <c r="J598" s="239"/>
      <c r="K598" s="239"/>
      <c r="L598" s="239"/>
      <c r="M598" s="239"/>
      <c r="N598" s="240"/>
      <c r="O598" s="239"/>
      <c r="P598" s="239"/>
      <c r="Q598" s="239"/>
      <c r="R598" s="239"/>
      <c r="S598" s="239"/>
      <c r="T598" s="239"/>
      <c r="U598" s="239"/>
      <c r="V598" s="239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7"/>
    </row>
    <row r="599" spans="1:36" ht="15.75" customHeight="1">
      <c r="A599" s="177"/>
      <c r="B599" s="237"/>
      <c r="C599" s="205"/>
      <c r="D599" s="238"/>
      <c r="E599" s="205"/>
      <c r="F599" s="239"/>
      <c r="G599" s="239"/>
      <c r="H599" s="239"/>
      <c r="I599" s="239"/>
      <c r="J599" s="239"/>
      <c r="K599" s="239"/>
      <c r="L599" s="239"/>
      <c r="M599" s="239"/>
      <c r="N599" s="240"/>
      <c r="O599" s="239"/>
      <c r="P599" s="239"/>
      <c r="Q599" s="239"/>
      <c r="R599" s="239"/>
      <c r="S599" s="239"/>
      <c r="T599" s="239"/>
      <c r="U599" s="239"/>
      <c r="V599" s="239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7"/>
    </row>
    <row r="600" spans="1:36" ht="15.75" customHeight="1">
      <c r="A600" s="177"/>
      <c r="B600" s="237"/>
      <c r="C600" s="205"/>
      <c r="D600" s="238"/>
      <c r="E600" s="205"/>
      <c r="F600" s="239"/>
      <c r="G600" s="239"/>
      <c r="H600" s="239"/>
      <c r="I600" s="239"/>
      <c r="J600" s="239"/>
      <c r="K600" s="239"/>
      <c r="L600" s="239"/>
      <c r="M600" s="239"/>
      <c r="N600" s="240"/>
      <c r="O600" s="239"/>
      <c r="P600" s="239"/>
      <c r="Q600" s="239"/>
      <c r="R600" s="239"/>
      <c r="S600" s="239"/>
      <c r="T600" s="239"/>
      <c r="U600" s="239"/>
      <c r="V600" s="239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7"/>
    </row>
    <row r="601" spans="1:36" ht="15.75" customHeight="1">
      <c r="A601" s="177"/>
      <c r="B601" s="237"/>
      <c r="C601" s="205"/>
      <c r="D601" s="238"/>
      <c r="E601" s="205"/>
      <c r="F601" s="239"/>
      <c r="G601" s="239"/>
      <c r="H601" s="239"/>
      <c r="I601" s="239"/>
      <c r="J601" s="239"/>
      <c r="K601" s="239"/>
      <c r="L601" s="239"/>
      <c r="M601" s="239"/>
      <c r="N601" s="240"/>
      <c r="O601" s="239"/>
      <c r="P601" s="239"/>
      <c r="Q601" s="239"/>
      <c r="R601" s="239"/>
      <c r="S601" s="239"/>
      <c r="T601" s="239"/>
      <c r="U601" s="239"/>
      <c r="V601" s="239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7"/>
    </row>
    <row r="602" spans="1:36" ht="15.75" customHeight="1">
      <c r="A602" s="177"/>
      <c r="B602" s="237"/>
      <c r="C602" s="205"/>
      <c r="D602" s="238"/>
      <c r="E602" s="205"/>
      <c r="F602" s="239"/>
      <c r="G602" s="239"/>
      <c r="H602" s="239"/>
      <c r="I602" s="239"/>
      <c r="J602" s="239"/>
      <c r="K602" s="239"/>
      <c r="L602" s="239"/>
      <c r="M602" s="239"/>
      <c r="N602" s="240"/>
      <c r="O602" s="239"/>
      <c r="P602" s="239"/>
      <c r="Q602" s="239"/>
      <c r="R602" s="239"/>
      <c r="S602" s="239"/>
      <c r="T602" s="239"/>
      <c r="U602" s="239"/>
      <c r="V602" s="239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7"/>
    </row>
    <row r="603" spans="1:36" ht="15.75" customHeight="1">
      <c r="A603" s="177"/>
      <c r="B603" s="237"/>
      <c r="C603" s="205"/>
      <c r="D603" s="238"/>
      <c r="E603" s="205"/>
      <c r="F603" s="239"/>
      <c r="G603" s="239"/>
      <c r="H603" s="239"/>
      <c r="I603" s="239"/>
      <c r="J603" s="239"/>
      <c r="K603" s="239"/>
      <c r="L603" s="239"/>
      <c r="M603" s="239"/>
      <c r="N603" s="240"/>
      <c r="O603" s="239"/>
      <c r="P603" s="239"/>
      <c r="Q603" s="239"/>
      <c r="R603" s="239"/>
      <c r="S603" s="239"/>
      <c r="T603" s="239"/>
      <c r="U603" s="239"/>
      <c r="V603" s="239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7"/>
    </row>
    <row r="604" spans="1:36" ht="15.75" customHeight="1">
      <c r="A604" s="177"/>
      <c r="B604" s="237"/>
      <c r="C604" s="205"/>
      <c r="D604" s="238"/>
      <c r="E604" s="205"/>
      <c r="F604" s="239"/>
      <c r="G604" s="239"/>
      <c r="H604" s="239"/>
      <c r="I604" s="239"/>
      <c r="J604" s="239"/>
      <c r="K604" s="239"/>
      <c r="L604" s="239"/>
      <c r="M604" s="239"/>
      <c r="N604" s="240"/>
      <c r="O604" s="239"/>
      <c r="P604" s="239"/>
      <c r="Q604" s="239"/>
      <c r="R604" s="239"/>
      <c r="S604" s="239"/>
      <c r="T604" s="239"/>
      <c r="U604" s="239"/>
      <c r="V604" s="239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7"/>
    </row>
    <row r="605" spans="1:36" ht="15.75" customHeight="1">
      <c r="A605" s="177"/>
      <c r="B605" s="237"/>
      <c r="C605" s="205"/>
      <c r="D605" s="238"/>
      <c r="E605" s="205"/>
      <c r="F605" s="239"/>
      <c r="G605" s="239"/>
      <c r="H605" s="239"/>
      <c r="I605" s="239"/>
      <c r="J605" s="239"/>
      <c r="K605" s="239"/>
      <c r="L605" s="239"/>
      <c r="M605" s="239"/>
      <c r="N605" s="240"/>
      <c r="O605" s="239"/>
      <c r="P605" s="239"/>
      <c r="Q605" s="239"/>
      <c r="R605" s="239"/>
      <c r="S605" s="239"/>
      <c r="T605" s="239"/>
      <c r="U605" s="239"/>
      <c r="V605" s="239"/>
      <c r="W605" s="205"/>
      <c r="X605" s="205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7"/>
    </row>
    <row r="606" spans="1:36" ht="15.75" customHeight="1">
      <c r="A606" s="177"/>
      <c r="B606" s="237"/>
      <c r="C606" s="205"/>
      <c r="D606" s="238"/>
      <c r="E606" s="205"/>
      <c r="F606" s="239"/>
      <c r="G606" s="239"/>
      <c r="H606" s="239"/>
      <c r="I606" s="239"/>
      <c r="J606" s="239"/>
      <c r="K606" s="239"/>
      <c r="L606" s="239"/>
      <c r="M606" s="239"/>
      <c r="N606" s="240"/>
      <c r="O606" s="239"/>
      <c r="P606" s="239"/>
      <c r="Q606" s="239"/>
      <c r="R606" s="239"/>
      <c r="S606" s="239"/>
      <c r="T606" s="239"/>
      <c r="U606" s="239"/>
      <c r="V606" s="239"/>
      <c r="W606" s="205"/>
      <c r="X606" s="205"/>
      <c r="Y606" s="205"/>
      <c r="Z606" s="205"/>
      <c r="AA606" s="205"/>
      <c r="AB606" s="205"/>
      <c r="AC606" s="205"/>
      <c r="AD606" s="205"/>
      <c r="AE606" s="205"/>
      <c r="AF606" s="205"/>
      <c r="AG606" s="205"/>
      <c r="AH606" s="205"/>
      <c r="AI606" s="205"/>
      <c r="AJ606" s="7"/>
    </row>
    <row r="607" spans="1:36" ht="15.75" customHeight="1">
      <c r="A607" s="177"/>
      <c r="B607" s="237"/>
      <c r="C607" s="205"/>
      <c r="D607" s="238"/>
      <c r="E607" s="205"/>
      <c r="F607" s="239"/>
      <c r="G607" s="239"/>
      <c r="H607" s="239"/>
      <c r="I607" s="239"/>
      <c r="J607" s="239"/>
      <c r="K607" s="239"/>
      <c r="L607" s="239"/>
      <c r="M607" s="239"/>
      <c r="N607" s="240"/>
      <c r="O607" s="239"/>
      <c r="P607" s="239"/>
      <c r="Q607" s="239"/>
      <c r="R607" s="239"/>
      <c r="S607" s="239"/>
      <c r="T607" s="239"/>
      <c r="U607" s="239"/>
      <c r="V607" s="239"/>
      <c r="W607" s="205"/>
      <c r="X607" s="205"/>
      <c r="Y607" s="205"/>
      <c r="Z607" s="205"/>
      <c r="AA607" s="205"/>
      <c r="AB607" s="205"/>
      <c r="AC607" s="205"/>
      <c r="AD607" s="205"/>
      <c r="AE607" s="205"/>
      <c r="AF607" s="205"/>
      <c r="AG607" s="205"/>
      <c r="AH607" s="205"/>
      <c r="AI607" s="205"/>
      <c r="AJ607" s="7"/>
    </row>
    <row r="608" spans="1:36" ht="15.75" customHeight="1">
      <c r="A608" s="177"/>
      <c r="B608" s="237"/>
      <c r="C608" s="205"/>
      <c r="D608" s="238"/>
      <c r="E608" s="205"/>
      <c r="F608" s="239"/>
      <c r="G608" s="239"/>
      <c r="H608" s="239"/>
      <c r="I608" s="239"/>
      <c r="J608" s="239"/>
      <c r="K608" s="239"/>
      <c r="L608" s="239"/>
      <c r="M608" s="239"/>
      <c r="N608" s="240"/>
      <c r="O608" s="239"/>
      <c r="P608" s="239"/>
      <c r="Q608" s="239"/>
      <c r="R608" s="239"/>
      <c r="S608" s="239"/>
      <c r="T608" s="239"/>
      <c r="U608" s="239"/>
      <c r="V608" s="239"/>
      <c r="W608" s="205"/>
      <c r="X608" s="205"/>
      <c r="Y608" s="205"/>
      <c r="Z608" s="205"/>
      <c r="AA608" s="205"/>
      <c r="AB608" s="205"/>
      <c r="AC608" s="205"/>
      <c r="AD608" s="205"/>
      <c r="AE608" s="205"/>
      <c r="AF608" s="205"/>
      <c r="AG608" s="205"/>
      <c r="AH608" s="205"/>
      <c r="AI608" s="205"/>
      <c r="AJ608" s="7"/>
    </row>
    <row r="609" spans="1:36" ht="15.75" customHeight="1">
      <c r="A609" s="177"/>
      <c r="B609" s="237"/>
      <c r="C609" s="205"/>
      <c r="D609" s="238"/>
      <c r="E609" s="205"/>
      <c r="F609" s="239"/>
      <c r="G609" s="239"/>
      <c r="H609" s="239"/>
      <c r="I609" s="239"/>
      <c r="J609" s="239"/>
      <c r="K609" s="239"/>
      <c r="L609" s="239"/>
      <c r="M609" s="239"/>
      <c r="N609" s="240"/>
      <c r="O609" s="239"/>
      <c r="P609" s="239"/>
      <c r="Q609" s="239"/>
      <c r="R609" s="239"/>
      <c r="S609" s="239"/>
      <c r="T609" s="239"/>
      <c r="U609" s="239"/>
      <c r="V609" s="239"/>
      <c r="W609" s="205"/>
      <c r="X609" s="205"/>
      <c r="Y609" s="205"/>
      <c r="Z609" s="205"/>
      <c r="AA609" s="205"/>
      <c r="AB609" s="205"/>
      <c r="AC609" s="205"/>
      <c r="AD609" s="205"/>
      <c r="AE609" s="205"/>
      <c r="AF609" s="205"/>
      <c r="AG609" s="205"/>
      <c r="AH609" s="205"/>
      <c r="AI609" s="205"/>
      <c r="AJ609" s="7"/>
    </row>
    <row r="610" spans="1:36" ht="15.75" customHeight="1">
      <c r="A610" s="177"/>
      <c r="B610" s="237"/>
      <c r="C610" s="205"/>
      <c r="D610" s="238"/>
      <c r="E610" s="205"/>
      <c r="F610" s="239"/>
      <c r="G610" s="239"/>
      <c r="H610" s="239"/>
      <c r="I610" s="239"/>
      <c r="J610" s="239"/>
      <c r="K610" s="239"/>
      <c r="L610" s="239"/>
      <c r="M610" s="239"/>
      <c r="N610" s="240"/>
      <c r="O610" s="239"/>
      <c r="P610" s="239"/>
      <c r="Q610" s="239"/>
      <c r="R610" s="239"/>
      <c r="S610" s="239"/>
      <c r="T610" s="239"/>
      <c r="U610" s="239"/>
      <c r="V610" s="239"/>
      <c r="W610" s="205"/>
      <c r="X610" s="205"/>
      <c r="Y610" s="205"/>
      <c r="Z610" s="205"/>
      <c r="AA610" s="205"/>
      <c r="AB610" s="205"/>
      <c r="AC610" s="205"/>
      <c r="AD610" s="205"/>
      <c r="AE610" s="205"/>
      <c r="AF610" s="205"/>
      <c r="AG610" s="205"/>
      <c r="AH610" s="205"/>
      <c r="AI610" s="205"/>
      <c r="AJ610" s="7"/>
    </row>
    <row r="611" spans="1:36" ht="15.75" customHeight="1">
      <c r="A611" s="177"/>
      <c r="B611" s="237"/>
      <c r="C611" s="205"/>
      <c r="D611" s="238"/>
      <c r="E611" s="205"/>
      <c r="F611" s="239"/>
      <c r="G611" s="239"/>
      <c r="H611" s="239"/>
      <c r="I611" s="239"/>
      <c r="J611" s="239"/>
      <c r="K611" s="239"/>
      <c r="L611" s="239"/>
      <c r="M611" s="239"/>
      <c r="N611" s="240"/>
      <c r="O611" s="239"/>
      <c r="P611" s="239"/>
      <c r="Q611" s="239"/>
      <c r="R611" s="239"/>
      <c r="S611" s="239"/>
      <c r="T611" s="239"/>
      <c r="U611" s="239"/>
      <c r="V611" s="239"/>
      <c r="W611" s="205"/>
      <c r="X611" s="205"/>
      <c r="Y611" s="205"/>
      <c r="Z611" s="205"/>
      <c r="AA611" s="205"/>
      <c r="AB611" s="205"/>
      <c r="AC611" s="205"/>
      <c r="AD611" s="205"/>
      <c r="AE611" s="205"/>
      <c r="AF611" s="205"/>
      <c r="AG611" s="205"/>
      <c r="AH611" s="205"/>
      <c r="AI611" s="205"/>
      <c r="AJ611" s="7"/>
    </row>
    <row r="612" spans="1:36" ht="15.75" customHeight="1">
      <c r="A612" s="177"/>
      <c r="B612" s="237"/>
      <c r="C612" s="205"/>
      <c r="D612" s="238"/>
      <c r="E612" s="205"/>
      <c r="F612" s="239"/>
      <c r="G612" s="239"/>
      <c r="H612" s="239"/>
      <c r="I612" s="239"/>
      <c r="J612" s="239"/>
      <c r="K612" s="239"/>
      <c r="L612" s="239"/>
      <c r="M612" s="239"/>
      <c r="N612" s="240"/>
      <c r="O612" s="239"/>
      <c r="P612" s="239"/>
      <c r="Q612" s="239"/>
      <c r="R612" s="239"/>
      <c r="S612" s="239"/>
      <c r="T612" s="239"/>
      <c r="U612" s="239"/>
      <c r="V612" s="239"/>
      <c r="W612" s="205"/>
      <c r="X612" s="205"/>
      <c r="Y612" s="205"/>
      <c r="Z612" s="205"/>
      <c r="AA612" s="205"/>
      <c r="AB612" s="205"/>
      <c r="AC612" s="205"/>
      <c r="AD612" s="205"/>
      <c r="AE612" s="205"/>
      <c r="AF612" s="205"/>
      <c r="AG612" s="205"/>
      <c r="AH612" s="205"/>
      <c r="AI612" s="205"/>
      <c r="AJ612" s="7"/>
    </row>
    <row r="613" spans="1:36" ht="15.75" customHeight="1">
      <c r="A613" s="177"/>
      <c r="B613" s="237"/>
      <c r="C613" s="205"/>
      <c r="D613" s="238"/>
      <c r="E613" s="205"/>
      <c r="F613" s="239"/>
      <c r="G613" s="239"/>
      <c r="H613" s="239"/>
      <c r="I613" s="239"/>
      <c r="J613" s="239"/>
      <c r="K613" s="239"/>
      <c r="L613" s="239"/>
      <c r="M613" s="239"/>
      <c r="N613" s="240"/>
      <c r="O613" s="239"/>
      <c r="P613" s="239"/>
      <c r="Q613" s="239"/>
      <c r="R613" s="239"/>
      <c r="S613" s="239"/>
      <c r="T613" s="239"/>
      <c r="U613" s="239"/>
      <c r="V613" s="239"/>
      <c r="W613" s="205"/>
      <c r="X613" s="205"/>
      <c r="Y613" s="205"/>
      <c r="Z613" s="205"/>
      <c r="AA613" s="205"/>
      <c r="AB613" s="205"/>
      <c r="AC613" s="205"/>
      <c r="AD613" s="205"/>
      <c r="AE613" s="205"/>
      <c r="AF613" s="205"/>
      <c r="AG613" s="205"/>
      <c r="AH613" s="205"/>
      <c r="AI613" s="205"/>
      <c r="AJ613" s="7"/>
    </row>
    <row r="614" spans="1:36" ht="15.75" customHeight="1">
      <c r="A614" s="177"/>
      <c r="B614" s="237"/>
      <c r="C614" s="205"/>
      <c r="D614" s="238"/>
      <c r="E614" s="205"/>
      <c r="F614" s="239"/>
      <c r="G614" s="239"/>
      <c r="H614" s="239"/>
      <c r="I614" s="239"/>
      <c r="J614" s="239"/>
      <c r="K614" s="239"/>
      <c r="L614" s="239"/>
      <c r="M614" s="239"/>
      <c r="N614" s="240"/>
      <c r="O614" s="239"/>
      <c r="P614" s="239"/>
      <c r="Q614" s="239"/>
      <c r="R614" s="239"/>
      <c r="S614" s="239"/>
      <c r="T614" s="239"/>
      <c r="U614" s="239"/>
      <c r="V614" s="239"/>
      <c r="W614" s="205"/>
      <c r="X614" s="205"/>
      <c r="Y614" s="205"/>
      <c r="Z614" s="205"/>
      <c r="AA614" s="205"/>
      <c r="AB614" s="205"/>
      <c r="AC614" s="205"/>
      <c r="AD614" s="205"/>
      <c r="AE614" s="205"/>
      <c r="AF614" s="205"/>
      <c r="AG614" s="205"/>
      <c r="AH614" s="205"/>
      <c r="AI614" s="205"/>
      <c r="AJ614" s="7"/>
    </row>
    <row r="615" spans="1:36" ht="15.75" customHeight="1">
      <c r="A615" s="177"/>
      <c r="B615" s="237"/>
      <c r="C615" s="205"/>
      <c r="D615" s="238"/>
      <c r="E615" s="205"/>
      <c r="F615" s="239"/>
      <c r="G615" s="239"/>
      <c r="H615" s="239"/>
      <c r="I615" s="239"/>
      <c r="J615" s="239"/>
      <c r="K615" s="239"/>
      <c r="L615" s="239"/>
      <c r="M615" s="239"/>
      <c r="N615" s="240"/>
      <c r="O615" s="239"/>
      <c r="P615" s="239"/>
      <c r="Q615" s="239"/>
      <c r="R615" s="239"/>
      <c r="S615" s="239"/>
      <c r="T615" s="239"/>
      <c r="U615" s="239"/>
      <c r="V615" s="239"/>
      <c r="W615" s="205"/>
      <c r="X615" s="205"/>
      <c r="Y615" s="205"/>
      <c r="Z615" s="205"/>
      <c r="AA615" s="205"/>
      <c r="AB615" s="205"/>
      <c r="AC615" s="205"/>
      <c r="AD615" s="205"/>
      <c r="AE615" s="205"/>
      <c r="AF615" s="205"/>
      <c r="AG615" s="205"/>
      <c r="AH615" s="205"/>
      <c r="AI615" s="205"/>
      <c r="AJ615" s="7"/>
    </row>
    <row r="616" spans="1:36" ht="15.75" customHeight="1">
      <c r="A616" s="177"/>
      <c r="B616" s="237"/>
      <c r="C616" s="205"/>
      <c r="D616" s="238"/>
      <c r="E616" s="205"/>
      <c r="F616" s="239"/>
      <c r="G616" s="239"/>
      <c r="H616" s="239"/>
      <c r="I616" s="239"/>
      <c r="J616" s="239"/>
      <c r="K616" s="239"/>
      <c r="L616" s="239"/>
      <c r="M616" s="239"/>
      <c r="N616" s="240"/>
      <c r="O616" s="239"/>
      <c r="P616" s="239"/>
      <c r="Q616" s="239"/>
      <c r="R616" s="239"/>
      <c r="S616" s="239"/>
      <c r="T616" s="239"/>
      <c r="U616" s="239"/>
      <c r="V616" s="239"/>
      <c r="W616" s="205"/>
      <c r="X616" s="205"/>
      <c r="Y616" s="205"/>
      <c r="Z616" s="205"/>
      <c r="AA616" s="205"/>
      <c r="AB616" s="205"/>
      <c r="AC616" s="205"/>
      <c r="AD616" s="205"/>
      <c r="AE616" s="205"/>
      <c r="AF616" s="205"/>
      <c r="AG616" s="205"/>
      <c r="AH616" s="205"/>
      <c r="AI616" s="205"/>
      <c r="AJ616" s="7"/>
    </row>
    <row r="617" spans="1:36" ht="15.75" customHeight="1">
      <c r="A617" s="177"/>
      <c r="B617" s="237"/>
      <c r="C617" s="205"/>
      <c r="D617" s="238"/>
      <c r="E617" s="205"/>
      <c r="F617" s="239"/>
      <c r="G617" s="239"/>
      <c r="H617" s="239"/>
      <c r="I617" s="239"/>
      <c r="J617" s="239"/>
      <c r="K617" s="239"/>
      <c r="L617" s="239"/>
      <c r="M617" s="239"/>
      <c r="N617" s="240"/>
      <c r="O617" s="239"/>
      <c r="P617" s="239"/>
      <c r="Q617" s="239"/>
      <c r="R617" s="239"/>
      <c r="S617" s="239"/>
      <c r="T617" s="239"/>
      <c r="U617" s="239"/>
      <c r="V617" s="239"/>
      <c r="W617" s="205"/>
      <c r="X617" s="205"/>
      <c r="Y617" s="205"/>
      <c r="Z617" s="205"/>
      <c r="AA617" s="205"/>
      <c r="AB617" s="205"/>
      <c r="AC617" s="205"/>
      <c r="AD617" s="205"/>
      <c r="AE617" s="205"/>
      <c r="AF617" s="205"/>
      <c r="AG617" s="205"/>
      <c r="AH617" s="205"/>
      <c r="AI617" s="205"/>
      <c r="AJ617" s="7"/>
    </row>
    <row r="618" spans="1:36" ht="15.75" customHeight="1">
      <c r="A618" s="177"/>
      <c r="B618" s="237"/>
      <c r="C618" s="205"/>
      <c r="D618" s="238"/>
      <c r="E618" s="205"/>
      <c r="F618" s="239"/>
      <c r="G618" s="239"/>
      <c r="H618" s="239"/>
      <c r="I618" s="239"/>
      <c r="J618" s="239"/>
      <c r="K618" s="239"/>
      <c r="L618" s="239"/>
      <c r="M618" s="239"/>
      <c r="N618" s="240"/>
      <c r="O618" s="239"/>
      <c r="P618" s="239"/>
      <c r="Q618" s="239"/>
      <c r="R618" s="239"/>
      <c r="S618" s="239"/>
      <c r="T618" s="239"/>
      <c r="U618" s="239"/>
      <c r="V618" s="239"/>
      <c r="W618" s="205"/>
      <c r="X618" s="205"/>
      <c r="Y618" s="205"/>
      <c r="Z618" s="205"/>
      <c r="AA618" s="205"/>
      <c r="AB618" s="205"/>
      <c r="AC618" s="205"/>
      <c r="AD618" s="205"/>
      <c r="AE618" s="205"/>
      <c r="AF618" s="205"/>
      <c r="AG618" s="205"/>
      <c r="AH618" s="205"/>
      <c r="AI618" s="205"/>
      <c r="AJ618" s="7"/>
    </row>
    <row r="619" spans="1:36" ht="15.75" customHeight="1">
      <c r="A619" s="177"/>
      <c r="B619" s="237"/>
      <c r="C619" s="205"/>
      <c r="D619" s="238"/>
      <c r="E619" s="205"/>
      <c r="F619" s="239"/>
      <c r="G619" s="239"/>
      <c r="H619" s="239"/>
      <c r="I619" s="239"/>
      <c r="J619" s="239"/>
      <c r="K619" s="239"/>
      <c r="L619" s="239"/>
      <c r="M619" s="239"/>
      <c r="N619" s="240"/>
      <c r="O619" s="239"/>
      <c r="P619" s="239"/>
      <c r="Q619" s="239"/>
      <c r="R619" s="239"/>
      <c r="S619" s="239"/>
      <c r="T619" s="239"/>
      <c r="U619" s="239"/>
      <c r="V619" s="239"/>
      <c r="W619" s="205"/>
      <c r="X619" s="205"/>
      <c r="Y619" s="205"/>
      <c r="Z619" s="205"/>
      <c r="AA619" s="205"/>
      <c r="AB619" s="205"/>
      <c r="AC619" s="205"/>
      <c r="AD619" s="205"/>
      <c r="AE619" s="205"/>
      <c r="AF619" s="205"/>
      <c r="AG619" s="205"/>
      <c r="AH619" s="205"/>
      <c r="AI619" s="205"/>
      <c r="AJ619" s="7"/>
    </row>
    <row r="620" spans="1:36" ht="15.75" customHeight="1">
      <c r="A620" s="177"/>
      <c r="B620" s="237"/>
      <c r="C620" s="205"/>
      <c r="D620" s="238"/>
      <c r="E620" s="205"/>
      <c r="F620" s="239"/>
      <c r="G620" s="239"/>
      <c r="H620" s="239"/>
      <c r="I620" s="239"/>
      <c r="J620" s="239"/>
      <c r="K620" s="239"/>
      <c r="L620" s="239"/>
      <c r="M620" s="239"/>
      <c r="N620" s="240"/>
      <c r="O620" s="239"/>
      <c r="P620" s="239"/>
      <c r="Q620" s="239"/>
      <c r="R620" s="239"/>
      <c r="S620" s="239"/>
      <c r="T620" s="239"/>
      <c r="U620" s="239"/>
      <c r="V620" s="239"/>
      <c r="W620" s="205"/>
      <c r="X620" s="205"/>
      <c r="Y620" s="205"/>
      <c r="Z620" s="205"/>
      <c r="AA620" s="205"/>
      <c r="AB620" s="205"/>
      <c r="AC620" s="205"/>
      <c r="AD620" s="205"/>
      <c r="AE620" s="205"/>
      <c r="AF620" s="205"/>
      <c r="AG620" s="205"/>
      <c r="AH620" s="205"/>
      <c r="AI620" s="205"/>
      <c r="AJ620" s="7"/>
    </row>
    <row r="621" spans="1:36" ht="15.75" customHeight="1">
      <c r="A621" s="177"/>
      <c r="B621" s="237"/>
      <c r="C621" s="205"/>
      <c r="D621" s="238"/>
      <c r="E621" s="205"/>
      <c r="F621" s="239"/>
      <c r="G621" s="239"/>
      <c r="H621" s="239"/>
      <c r="I621" s="239"/>
      <c r="J621" s="239"/>
      <c r="K621" s="239"/>
      <c r="L621" s="239"/>
      <c r="M621" s="239"/>
      <c r="N621" s="240"/>
      <c r="O621" s="239"/>
      <c r="P621" s="239"/>
      <c r="Q621" s="239"/>
      <c r="R621" s="239"/>
      <c r="S621" s="239"/>
      <c r="T621" s="239"/>
      <c r="U621" s="239"/>
      <c r="V621" s="239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7"/>
    </row>
    <row r="622" spans="1:36" ht="15.75" customHeight="1">
      <c r="A622" s="177"/>
      <c r="B622" s="237"/>
      <c r="C622" s="205"/>
      <c r="D622" s="238"/>
      <c r="E622" s="205"/>
      <c r="F622" s="239"/>
      <c r="G622" s="239"/>
      <c r="H622" s="239"/>
      <c r="I622" s="239"/>
      <c r="J622" s="239"/>
      <c r="K622" s="239"/>
      <c r="L622" s="239"/>
      <c r="M622" s="239"/>
      <c r="N622" s="240"/>
      <c r="O622" s="239"/>
      <c r="P622" s="239"/>
      <c r="Q622" s="239"/>
      <c r="R622" s="239"/>
      <c r="S622" s="239"/>
      <c r="T622" s="239"/>
      <c r="U622" s="239"/>
      <c r="V622" s="239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7"/>
    </row>
    <row r="623" spans="1:36" ht="15.75" customHeight="1">
      <c r="A623" s="177"/>
      <c r="B623" s="237"/>
      <c r="C623" s="205"/>
      <c r="D623" s="238"/>
      <c r="E623" s="205"/>
      <c r="F623" s="239"/>
      <c r="G623" s="239"/>
      <c r="H623" s="239"/>
      <c r="I623" s="239"/>
      <c r="J623" s="239"/>
      <c r="K623" s="239"/>
      <c r="L623" s="239"/>
      <c r="M623" s="239"/>
      <c r="N623" s="240"/>
      <c r="O623" s="239"/>
      <c r="P623" s="239"/>
      <c r="Q623" s="239"/>
      <c r="R623" s="239"/>
      <c r="S623" s="239"/>
      <c r="T623" s="239"/>
      <c r="U623" s="239"/>
      <c r="V623" s="239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7"/>
    </row>
    <row r="624" spans="1:36" ht="15.75" customHeight="1">
      <c r="A624" s="177"/>
      <c r="B624" s="237"/>
      <c r="C624" s="205"/>
      <c r="D624" s="238"/>
      <c r="E624" s="205"/>
      <c r="F624" s="239"/>
      <c r="G624" s="239"/>
      <c r="H624" s="239"/>
      <c r="I624" s="239"/>
      <c r="J624" s="239"/>
      <c r="K624" s="239"/>
      <c r="L624" s="239"/>
      <c r="M624" s="239"/>
      <c r="N624" s="240"/>
      <c r="O624" s="239"/>
      <c r="P624" s="239"/>
      <c r="Q624" s="239"/>
      <c r="R624" s="239"/>
      <c r="S624" s="239"/>
      <c r="T624" s="239"/>
      <c r="U624" s="239"/>
      <c r="V624" s="239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7"/>
    </row>
    <row r="625" spans="1:36" ht="15.75" customHeight="1">
      <c r="A625" s="177"/>
      <c r="B625" s="237"/>
      <c r="C625" s="205"/>
      <c r="D625" s="238"/>
      <c r="E625" s="205"/>
      <c r="F625" s="239"/>
      <c r="G625" s="239"/>
      <c r="H625" s="239"/>
      <c r="I625" s="239"/>
      <c r="J625" s="239"/>
      <c r="K625" s="239"/>
      <c r="L625" s="239"/>
      <c r="M625" s="239"/>
      <c r="N625" s="240"/>
      <c r="O625" s="239"/>
      <c r="P625" s="239"/>
      <c r="Q625" s="239"/>
      <c r="R625" s="239"/>
      <c r="S625" s="239"/>
      <c r="T625" s="239"/>
      <c r="U625" s="239"/>
      <c r="V625" s="239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7"/>
    </row>
    <row r="626" spans="1:36" ht="15.75" customHeight="1">
      <c r="A626" s="177"/>
      <c r="B626" s="237"/>
      <c r="C626" s="205"/>
      <c r="D626" s="238"/>
      <c r="E626" s="205"/>
      <c r="F626" s="239"/>
      <c r="G626" s="239"/>
      <c r="H626" s="239"/>
      <c r="I626" s="239"/>
      <c r="J626" s="239"/>
      <c r="K626" s="239"/>
      <c r="L626" s="239"/>
      <c r="M626" s="239"/>
      <c r="N626" s="240"/>
      <c r="O626" s="239"/>
      <c r="P626" s="239"/>
      <c r="Q626" s="239"/>
      <c r="R626" s="239"/>
      <c r="S626" s="239"/>
      <c r="T626" s="239"/>
      <c r="U626" s="239"/>
      <c r="V626" s="239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7"/>
    </row>
    <row r="627" spans="1:36" ht="15.75" customHeight="1">
      <c r="A627" s="177"/>
      <c r="B627" s="237"/>
      <c r="C627" s="205"/>
      <c r="D627" s="238"/>
      <c r="E627" s="205"/>
      <c r="F627" s="239"/>
      <c r="G627" s="239"/>
      <c r="H627" s="239"/>
      <c r="I627" s="239"/>
      <c r="J627" s="239"/>
      <c r="K627" s="239"/>
      <c r="L627" s="239"/>
      <c r="M627" s="239"/>
      <c r="N627" s="240"/>
      <c r="O627" s="239"/>
      <c r="P627" s="239"/>
      <c r="Q627" s="239"/>
      <c r="R627" s="239"/>
      <c r="S627" s="239"/>
      <c r="T627" s="239"/>
      <c r="U627" s="239"/>
      <c r="V627" s="239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7"/>
    </row>
    <row r="628" spans="1:36" ht="15.75" customHeight="1">
      <c r="A628" s="177"/>
      <c r="B628" s="237"/>
      <c r="C628" s="205"/>
      <c r="D628" s="238"/>
      <c r="E628" s="205"/>
      <c r="F628" s="239"/>
      <c r="G628" s="239"/>
      <c r="H628" s="239"/>
      <c r="I628" s="239"/>
      <c r="J628" s="239"/>
      <c r="K628" s="239"/>
      <c r="L628" s="239"/>
      <c r="M628" s="239"/>
      <c r="N628" s="240"/>
      <c r="O628" s="239"/>
      <c r="P628" s="239"/>
      <c r="Q628" s="239"/>
      <c r="R628" s="239"/>
      <c r="S628" s="239"/>
      <c r="T628" s="239"/>
      <c r="U628" s="239"/>
      <c r="V628" s="239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7"/>
    </row>
    <row r="629" spans="1:36" ht="15.75" customHeight="1">
      <c r="A629" s="177"/>
      <c r="B629" s="237"/>
      <c r="C629" s="205"/>
      <c r="D629" s="238"/>
      <c r="E629" s="205"/>
      <c r="F629" s="239"/>
      <c r="G629" s="239"/>
      <c r="H629" s="239"/>
      <c r="I629" s="239"/>
      <c r="J629" s="239"/>
      <c r="K629" s="239"/>
      <c r="L629" s="239"/>
      <c r="M629" s="239"/>
      <c r="N629" s="240"/>
      <c r="O629" s="239"/>
      <c r="P629" s="239"/>
      <c r="Q629" s="239"/>
      <c r="R629" s="239"/>
      <c r="S629" s="239"/>
      <c r="T629" s="239"/>
      <c r="U629" s="239"/>
      <c r="V629" s="239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7"/>
    </row>
    <row r="630" spans="1:36" ht="15.75" customHeight="1">
      <c r="A630" s="177"/>
      <c r="B630" s="237"/>
      <c r="C630" s="205"/>
      <c r="D630" s="238"/>
      <c r="E630" s="205"/>
      <c r="F630" s="239"/>
      <c r="G630" s="239"/>
      <c r="H630" s="239"/>
      <c r="I630" s="239"/>
      <c r="J630" s="239"/>
      <c r="K630" s="239"/>
      <c r="L630" s="239"/>
      <c r="M630" s="239"/>
      <c r="N630" s="240"/>
      <c r="O630" s="239"/>
      <c r="P630" s="239"/>
      <c r="Q630" s="239"/>
      <c r="R630" s="239"/>
      <c r="S630" s="239"/>
      <c r="T630" s="239"/>
      <c r="U630" s="239"/>
      <c r="V630" s="239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7"/>
    </row>
    <row r="631" spans="1:36" ht="15.75" customHeight="1">
      <c r="A631" s="177"/>
      <c r="B631" s="237"/>
      <c r="C631" s="205"/>
      <c r="D631" s="238"/>
      <c r="E631" s="205"/>
      <c r="F631" s="239"/>
      <c r="G631" s="239"/>
      <c r="H631" s="239"/>
      <c r="I631" s="239"/>
      <c r="J631" s="239"/>
      <c r="K631" s="239"/>
      <c r="L631" s="239"/>
      <c r="M631" s="239"/>
      <c r="N631" s="240"/>
      <c r="O631" s="239"/>
      <c r="P631" s="239"/>
      <c r="Q631" s="239"/>
      <c r="R631" s="239"/>
      <c r="S631" s="239"/>
      <c r="T631" s="239"/>
      <c r="U631" s="239"/>
      <c r="V631" s="239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7"/>
    </row>
    <row r="632" spans="1:36" ht="15.75" customHeight="1">
      <c r="A632" s="177"/>
      <c r="B632" s="237"/>
      <c r="C632" s="205"/>
      <c r="D632" s="238"/>
      <c r="E632" s="205"/>
      <c r="F632" s="239"/>
      <c r="G632" s="239"/>
      <c r="H632" s="239"/>
      <c r="I632" s="239"/>
      <c r="J632" s="239"/>
      <c r="K632" s="239"/>
      <c r="L632" s="239"/>
      <c r="M632" s="239"/>
      <c r="N632" s="240"/>
      <c r="O632" s="239"/>
      <c r="P632" s="239"/>
      <c r="Q632" s="239"/>
      <c r="R632" s="239"/>
      <c r="S632" s="239"/>
      <c r="T632" s="239"/>
      <c r="U632" s="239"/>
      <c r="V632" s="239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7"/>
    </row>
    <row r="633" spans="1:36" ht="15.75" customHeight="1">
      <c r="A633" s="177"/>
      <c r="B633" s="237"/>
      <c r="C633" s="205"/>
      <c r="D633" s="238"/>
      <c r="E633" s="205"/>
      <c r="F633" s="239"/>
      <c r="G633" s="239"/>
      <c r="H633" s="239"/>
      <c r="I633" s="239"/>
      <c r="J633" s="239"/>
      <c r="K633" s="239"/>
      <c r="L633" s="239"/>
      <c r="M633" s="239"/>
      <c r="N633" s="240"/>
      <c r="O633" s="239"/>
      <c r="P633" s="239"/>
      <c r="Q633" s="239"/>
      <c r="R633" s="239"/>
      <c r="S633" s="239"/>
      <c r="T633" s="239"/>
      <c r="U633" s="239"/>
      <c r="V633" s="239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7"/>
    </row>
    <row r="634" spans="1:36" ht="15.75" customHeight="1">
      <c r="A634" s="177"/>
      <c r="B634" s="237"/>
      <c r="C634" s="205"/>
      <c r="D634" s="238"/>
      <c r="E634" s="205"/>
      <c r="F634" s="239"/>
      <c r="G634" s="239"/>
      <c r="H634" s="239"/>
      <c r="I634" s="239"/>
      <c r="J634" s="239"/>
      <c r="K634" s="239"/>
      <c r="L634" s="239"/>
      <c r="M634" s="239"/>
      <c r="N634" s="240"/>
      <c r="O634" s="239"/>
      <c r="P634" s="239"/>
      <c r="Q634" s="239"/>
      <c r="R634" s="239"/>
      <c r="S634" s="239"/>
      <c r="T634" s="239"/>
      <c r="U634" s="239"/>
      <c r="V634" s="239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7"/>
    </row>
    <row r="635" spans="1:36" ht="15.75" customHeight="1">
      <c r="A635" s="177"/>
      <c r="B635" s="237"/>
      <c r="C635" s="205"/>
      <c r="D635" s="238"/>
      <c r="E635" s="205"/>
      <c r="F635" s="239"/>
      <c r="G635" s="239"/>
      <c r="H635" s="239"/>
      <c r="I635" s="239"/>
      <c r="J635" s="239"/>
      <c r="K635" s="239"/>
      <c r="L635" s="239"/>
      <c r="M635" s="239"/>
      <c r="N635" s="240"/>
      <c r="O635" s="239"/>
      <c r="P635" s="239"/>
      <c r="Q635" s="239"/>
      <c r="R635" s="239"/>
      <c r="S635" s="239"/>
      <c r="T635" s="239"/>
      <c r="U635" s="239"/>
      <c r="V635" s="239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7"/>
    </row>
    <row r="636" spans="1:36" ht="15.75" customHeight="1">
      <c r="A636" s="177"/>
      <c r="B636" s="237"/>
      <c r="C636" s="205"/>
      <c r="D636" s="238"/>
      <c r="E636" s="205"/>
      <c r="F636" s="239"/>
      <c r="G636" s="239"/>
      <c r="H636" s="239"/>
      <c r="I636" s="239"/>
      <c r="J636" s="239"/>
      <c r="K636" s="239"/>
      <c r="L636" s="239"/>
      <c r="M636" s="239"/>
      <c r="N636" s="240"/>
      <c r="O636" s="239"/>
      <c r="P636" s="239"/>
      <c r="Q636" s="239"/>
      <c r="R636" s="239"/>
      <c r="S636" s="239"/>
      <c r="T636" s="239"/>
      <c r="U636" s="239"/>
      <c r="V636" s="239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7"/>
    </row>
    <row r="637" spans="1:36" ht="15.75" customHeight="1">
      <c r="A637" s="177"/>
      <c r="B637" s="237"/>
      <c r="C637" s="205"/>
      <c r="D637" s="238"/>
      <c r="E637" s="205"/>
      <c r="F637" s="239"/>
      <c r="G637" s="239"/>
      <c r="H637" s="239"/>
      <c r="I637" s="239"/>
      <c r="J637" s="239"/>
      <c r="K637" s="239"/>
      <c r="L637" s="239"/>
      <c r="M637" s="239"/>
      <c r="N637" s="240"/>
      <c r="O637" s="239"/>
      <c r="P637" s="239"/>
      <c r="Q637" s="239"/>
      <c r="R637" s="239"/>
      <c r="S637" s="239"/>
      <c r="T637" s="239"/>
      <c r="U637" s="239"/>
      <c r="V637" s="239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7"/>
    </row>
    <row r="638" spans="1:36" ht="15.75" customHeight="1">
      <c r="A638" s="177"/>
      <c r="B638" s="237"/>
      <c r="C638" s="205"/>
      <c r="D638" s="238"/>
      <c r="E638" s="205"/>
      <c r="F638" s="239"/>
      <c r="G638" s="239"/>
      <c r="H638" s="239"/>
      <c r="I638" s="239"/>
      <c r="J638" s="239"/>
      <c r="K638" s="239"/>
      <c r="L638" s="239"/>
      <c r="M638" s="239"/>
      <c r="N638" s="240"/>
      <c r="O638" s="239"/>
      <c r="P638" s="239"/>
      <c r="Q638" s="239"/>
      <c r="R638" s="239"/>
      <c r="S638" s="239"/>
      <c r="T638" s="239"/>
      <c r="U638" s="239"/>
      <c r="V638" s="239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7"/>
    </row>
    <row r="639" spans="1:36" ht="15.75" customHeight="1">
      <c r="A639" s="177"/>
      <c r="B639" s="237"/>
      <c r="C639" s="205"/>
      <c r="D639" s="238"/>
      <c r="E639" s="205"/>
      <c r="F639" s="239"/>
      <c r="G639" s="239"/>
      <c r="H639" s="239"/>
      <c r="I639" s="239"/>
      <c r="J639" s="239"/>
      <c r="K639" s="239"/>
      <c r="L639" s="239"/>
      <c r="M639" s="239"/>
      <c r="N639" s="240"/>
      <c r="O639" s="239"/>
      <c r="P639" s="239"/>
      <c r="Q639" s="239"/>
      <c r="R639" s="239"/>
      <c r="S639" s="239"/>
      <c r="T639" s="239"/>
      <c r="U639" s="239"/>
      <c r="V639" s="239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7"/>
    </row>
    <row r="640" spans="1:36" ht="15.75" customHeight="1">
      <c r="A640" s="177"/>
      <c r="B640" s="237"/>
      <c r="C640" s="205"/>
      <c r="D640" s="238"/>
      <c r="E640" s="205"/>
      <c r="F640" s="239"/>
      <c r="G640" s="239"/>
      <c r="H640" s="239"/>
      <c r="I640" s="239"/>
      <c r="J640" s="239"/>
      <c r="K640" s="239"/>
      <c r="L640" s="239"/>
      <c r="M640" s="239"/>
      <c r="N640" s="240"/>
      <c r="O640" s="239"/>
      <c r="P640" s="239"/>
      <c r="Q640" s="239"/>
      <c r="R640" s="239"/>
      <c r="S640" s="239"/>
      <c r="T640" s="239"/>
      <c r="U640" s="239"/>
      <c r="V640" s="239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7"/>
    </row>
    <row r="641" spans="1:36" ht="15.75" customHeight="1">
      <c r="A641" s="177"/>
      <c r="B641" s="237"/>
      <c r="C641" s="205"/>
      <c r="D641" s="238"/>
      <c r="E641" s="205"/>
      <c r="F641" s="239"/>
      <c r="G641" s="239"/>
      <c r="H641" s="239"/>
      <c r="I641" s="239"/>
      <c r="J641" s="239"/>
      <c r="K641" s="239"/>
      <c r="L641" s="239"/>
      <c r="M641" s="239"/>
      <c r="N641" s="240"/>
      <c r="O641" s="239"/>
      <c r="P641" s="239"/>
      <c r="Q641" s="239"/>
      <c r="R641" s="239"/>
      <c r="S641" s="239"/>
      <c r="T641" s="239"/>
      <c r="U641" s="239"/>
      <c r="V641" s="239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7"/>
    </row>
    <row r="642" spans="1:36" ht="15.75" customHeight="1">
      <c r="A642" s="177"/>
      <c r="B642" s="237"/>
      <c r="C642" s="205"/>
      <c r="D642" s="238"/>
      <c r="E642" s="205"/>
      <c r="F642" s="239"/>
      <c r="G642" s="239"/>
      <c r="H642" s="239"/>
      <c r="I642" s="239"/>
      <c r="J642" s="239"/>
      <c r="K642" s="239"/>
      <c r="L642" s="239"/>
      <c r="M642" s="239"/>
      <c r="N642" s="240"/>
      <c r="O642" s="239"/>
      <c r="P642" s="239"/>
      <c r="Q642" s="239"/>
      <c r="R642" s="239"/>
      <c r="S642" s="239"/>
      <c r="T642" s="239"/>
      <c r="U642" s="239"/>
      <c r="V642" s="239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7"/>
    </row>
    <row r="643" spans="1:36" ht="15.75" customHeight="1">
      <c r="A643" s="177"/>
      <c r="B643" s="237"/>
      <c r="C643" s="205"/>
      <c r="D643" s="238"/>
      <c r="E643" s="205"/>
      <c r="F643" s="239"/>
      <c r="G643" s="239"/>
      <c r="H643" s="239"/>
      <c r="I643" s="239"/>
      <c r="J643" s="239"/>
      <c r="K643" s="239"/>
      <c r="L643" s="239"/>
      <c r="M643" s="239"/>
      <c r="N643" s="240"/>
      <c r="O643" s="239"/>
      <c r="P643" s="239"/>
      <c r="Q643" s="239"/>
      <c r="R643" s="239"/>
      <c r="S643" s="239"/>
      <c r="T643" s="239"/>
      <c r="U643" s="239"/>
      <c r="V643" s="239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7"/>
    </row>
    <row r="644" spans="1:36" ht="15.75" customHeight="1">
      <c r="A644" s="177"/>
      <c r="B644" s="237"/>
      <c r="C644" s="205"/>
      <c r="D644" s="238"/>
      <c r="E644" s="205"/>
      <c r="F644" s="239"/>
      <c r="G644" s="239"/>
      <c r="H644" s="239"/>
      <c r="I644" s="239"/>
      <c r="J644" s="239"/>
      <c r="K644" s="239"/>
      <c r="L644" s="239"/>
      <c r="M644" s="239"/>
      <c r="N644" s="240"/>
      <c r="O644" s="239"/>
      <c r="P644" s="239"/>
      <c r="Q644" s="239"/>
      <c r="R644" s="239"/>
      <c r="S644" s="239"/>
      <c r="T644" s="239"/>
      <c r="U644" s="239"/>
      <c r="V644" s="239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7"/>
    </row>
    <row r="645" spans="1:36" ht="15.75" customHeight="1">
      <c r="A645" s="177"/>
      <c r="B645" s="237"/>
      <c r="C645" s="205"/>
      <c r="D645" s="238"/>
      <c r="E645" s="205"/>
      <c r="F645" s="239"/>
      <c r="G645" s="239"/>
      <c r="H645" s="239"/>
      <c r="I645" s="239"/>
      <c r="J645" s="239"/>
      <c r="K645" s="239"/>
      <c r="L645" s="239"/>
      <c r="M645" s="239"/>
      <c r="N645" s="240"/>
      <c r="O645" s="239"/>
      <c r="P645" s="239"/>
      <c r="Q645" s="239"/>
      <c r="R645" s="239"/>
      <c r="S645" s="239"/>
      <c r="T645" s="239"/>
      <c r="U645" s="239"/>
      <c r="V645" s="239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7"/>
    </row>
    <row r="646" spans="1:36" ht="15.75" customHeight="1">
      <c r="A646" s="177"/>
      <c r="B646" s="237"/>
      <c r="C646" s="205"/>
      <c r="D646" s="238"/>
      <c r="E646" s="205"/>
      <c r="F646" s="239"/>
      <c r="G646" s="239"/>
      <c r="H646" s="239"/>
      <c r="I646" s="239"/>
      <c r="J646" s="239"/>
      <c r="K646" s="239"/>
      <c r="L646" s="239"/>
      <c r="M646" s="239"/>
      <c r="N646" s="240"/>
      <c r="O646" s="239"/>
      <c r="P646" s="239"/>
      <c r="Q646" s="239"/>
      <c r="R646" s="239"/>
      <c r="S646" s="239"/>
      <c r="T646" s="239"/>
      <c r="U646" s="239"/>
      <c r="V646" s="239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7"/>
    </row>
    <row r="647" spans="1:36" ht="15.75" customHeight="1">
      <c r="A647" s="177"/>
      <c r="B647" s="237"/>
      <c r="C647" s="205"/>
      <c r="D647" s="238"/>
      <c r="E647" s="205"/>
      <c r="F647" s="239"/>
      <c r="G647" s="239"/>
      <c r="H647" s="239"/>
      <c r="I647" s="239"/>
      <c r="J647" s="239"/>
      <c r="K647" s="239"/>
      <c r="L647" s="239"/>
      <c r="M647" s="239"/>
      <c r="N647" s="240"/>
      <c r="O647" s="239"/>
      <c r="P647" s="239"/>
      <c r="Q647" s="239"/>
      <c r="R647" s="239"/>
      <c r="S647" s="239"/>
      <c r="T647" s="239"/>
      <c r="U647" s="239"/>
      <c r="V647" s="239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7"/>
    </row>
    <row r="648" spans="1:36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1:36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1:36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</row>
    <row r="651" spans="1:36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</row>
    <row r="652" spans="1:36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</row>
    <row r="653" spans="1:36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</row>
    <row r="654" spans="1:36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</row>
    <row r="655" spans="1:36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</row>
    <row r="656" spans="1:3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</row>
    <row r="657" spans="1:36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</row>
    <row r="658" spans="1:36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1:36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</row>
    <row r="660" spans="1:36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</row>
    <row r="661" spans="1:36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1:36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</row>
    <row r="663" spans="1:36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</row>
    <row r="664" spans="1:36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</row>
    <row r="665" spans="1:36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</row>
    <row r="666" spans="1:3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</row>
    <row r="667" spans="1:36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</row>
    <row r="668" spans="1:36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</row>
    <row r="669" spans="1:36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1:36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1:36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</row>
    <row r="672" spans="1:36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</row>
    <row r="673" spans="1:36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</row>
    <row r="674" spans="1:36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</row>
    <row r="675" spans="1:36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1:3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1:36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1:36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</row>
    <row r="679" spans="1:36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</row>
    <row r="680" spans="1:36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</row>
    <row r="681" spans="1:36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</row>
    <row r="682" spans="1:36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</row>
    <row r="683" spans="1:36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</row>
    <row r="684" spans="1:36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</row>
    <row r="685" spans="1:36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</row>
    <row r="686" spans="1:3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</row>
    <row r="687" spans="1:36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</row>
    <row r="688" spans="1:36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</row>
    <row r="689" spans="1:36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</row>
    <row r="690" spans="1:36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</row>
    <row r="691" spans="1:36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1:36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</row>
    <row r="693" spans="1:36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</row>
    <row r="694" spans="1:36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</row>
    <row r="695" spans="1:36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</row>
    <row r="696" spans="1:3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</row>
    <row r="697" spans="1:36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</row>
    <row r="698" spans="1:36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</row>
    <row r="699" spans="1:36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</row>
    <row r="700" spans="1:36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</row>
    <row r="701" spans="1:36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</row>
    <row r="702" spans="1:36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</row>
    <row r="703" spans="1:36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</row>
    <row r="704" spans="1:36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</row>
    <row r="706" spans="1:3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</row>
    <row r="707" spans="1:36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1:36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</row>
    <row r="709" spans="1:36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</row>
    <row r="710" spans="1:36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</row>
    <row r="711" spans="1:36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</row>
    <row r="712" spans="1:36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</row>
    <row r="713" spans="1:36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</row>
    <row r="714" spans="1:36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</row>
    <row r="715" spans="1:36" ht="15.75" customHeight="1"/>
    <row r="716" spans="1:36" ht="15.75" customHeight="1"/>
    <row r="717" spans="1:36" ht="15.75" customHeight="1"/>
    <row r="718" spans="1:36" ht="15.75" customHeight="1"/>
    <row r="719" spans="1:36" ht="15.75" customHeight="1"/>
    <row r="720" spans="1:36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V7"/>
    <mergeCell ref="A8:V8"/>
    <mergeCell ref="A10:A17"/>
    <mergeCell ref="C10:C11"/>
    <mergeCell ref="D10:D17"/>
    <mergeCell ref="E10:E17"/>
    <mergeCell ref="F10:W10"/>
  </mergeCells>
  <conditionalFormatting sqref="F11:I11 O11:W11">
    <cfRule type="containsText" dxfId="77" priority="1" operator="containsText" text="&quot;quảng ngãi&quot;">
      <formula>NOT(ISERROR(SEARCH(("""quảng ngãi"""),(F11))))</formula>
    </cfRule>
  </conditionalFormatting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66699"/>
  </sheetPr>
  <dimension ref="A1:AD1000"/>
  <sheetViews>
    <sheetView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F16" sqref="F16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19" width="13.7265625" customWidth="1"/>
    <col min="20" max="24" width="9.08984375" customWidth="1"/>
    <col min="25" max="29" width="8" customWidth="1"/>
  </cols>
  <sheetData>
    <row r="1" spans="1:30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67"/>
    </row>
    <row r="2" spans="1:30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67"/>
    </row>
    <row r="3" spans="1:30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6"/>
      <c r="U3" s="176"/>
      <c r="V3" s="176"/>
      <c r="W3" s="176"/>
      <c r="X3" s="176"/>
      <c r="Y3" s="176"/>
      <c r="Z3" s="176"/>
      <c r="AA3" s="176"/>
      <c r="AB3" s="176"/>
      <c r="AC3" s="176"/>
      <c r="AD3" s="167"/>
    </row>
    <row r="4" spans="1:30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67"/>
    </row>
    <row r="5" spans="1:30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67"/>
    </row>
    <row r="6" spans="1:30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67"/>
    </row>
    <row r="7" spans="1:30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760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67"/>
    </row>
    <row r="8" spans="1:30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67"/>
    </row>
    <row r="9" spans="1:30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67"/>
    </row>
    <row r="10" spans="1:30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3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9"/>
      <c r="T10" s="771"/>
      <c r="U10" s="176"/>
      <c r="V10" s="176"/>
      <c r="W10" s="176"/>
      <c r="X10" s="176"/>
      <c r="Y10" s="176"/>
      <c r="Z10" s="176"/>
      <c r="AA10" s="176"/>
      <c r="AB10" s="176"/>
      <c r="AC10" s="176"/>
      <c r="AD10" s="167"/>
    </row>
    <row r="11" spans="1:30" ht="18.75" customHeight="1">
      <c r="A11" s="767"/>
      <c r="B11" s="767"/>
      <c r="C11" s="768"/>
      <c r="D11" s="767"/>
      <c r="E11" s="781"/>
      <c r="F11" s="22"/>
      <c r="G11" s="246"/>
      <c r="H11" s="22"/>
      <c r="I11" s="22"/>
      <c r="J11" s="22"/>
      <c r="K11" s="22"/>
      <c r="L11" s="22"/>
      <c r="M11" s="22"/>
      <c r="N11" s="22"/>
      <c r="O11" s="22"/>
      <c r="P11" s="22"/>
      <c r="Q11" s="201"/>
      <c r="R11" s="22"/>
      <c r="S11" s="22"/>
      <c r="T11" s="201"/>
      <c r="U11" s="184"/>
      <c r="V11" s="184"/>
      <c r="W11" s="184">
        <f>COUNTA(F11:T11)</f>
        <v>0</v>
      </c>
      <c r="X11" s="184"/>
      <c r="Y11" s="184"/>
      <c r="Z11" s="184"/>
      <c r="AA11" s="184"/>
      <c r="AB11" s="184"/>
      <c r="AC11" s="184"/>
      <c r="AD11" s="184"/>
    </row>
    <row r="12" spans="1:30" ht="18.75" customHeight="1">
      <c r="A12" s="767"/>
      <c r="B12" s="767"/>
      <c r="C12" s="25" t="s">
        <v>39</v>
      </c>
      <c r="D12" s="767"/>
      <c r="E12" s="781"/>
      <c r="F12" s="247"/>
      <c r="G12" s="248"/>
      <c r="H12" s="247"/>
      <c r="I12" s="247"/>
      <c r="J12" s="247"/>
      <c r="K12" s="247"/>
      <c r="L12" s="247"/>
      <c r="M12" s="247"/>
      <c r="N12" s="247"/>
      <c r="O12" s="247"/>
      <c r="P12" s="247"/>
      <c r="Q12" s="249"/>
      <c r="R12" s="247"/>
      <c r="S12" s="247"/>
      <c r="T12" s="249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</row>
    <row r="13" spans="1:30" ht="47.25" customHeight="1">
      <c r="A13" s="767"/>
      <c r="B13" s="767"/>
      <c r="C13" s="25" t="s">
        <v>40</v>
      </c>
      <c r="D13" s="767"/>
      <c r="E13" s="781"/>
      <c r="F13" s="250"/>
      <c r="G13" s="251"/>
      <c r="H13" s="250"/>
      <c r="I13" s="250"/>
      <c r="J13" s="192"/>
      <c r="K13" s="192"/>
      <c r="L13" s="252"/>
      <c r="M13" s="192"/>
      <c r="N13" s="250"/>
      <c r="O13" s="250"/>
      <c r="P13" s="192"/>
      <c r="Q13" s="192"/>
      <c r="R13" s="192"/>
      <c r="S13" s="250"/>
      <c r="T13" s="250"/>
      <c r="U13" s="188"/>
      <c r="V13" s="188"/>
      <c r="W13" s="188"/>
      <c r="X13" s="188"/>
      <c r="Y13" s="188"/>
      <c r="Z13" s="188"/>
      <c r="AA13" s="188"/>
      <c r="AB13" s="188"/>
      <c r="AC13" s="188"/>
      <c r="AD13" s="188"/>
    </row>
    <row r="14" spans="1:30" ht="38.25" hidden="1" customHeight="1">
      <c r="A14" s="767"/>
      <c r="B14" s="767"/>
      <c r="C14" s="25" t="s">
        <v>41</v>
      </c>
      <c r="D14" s="767"/>
      <c r="E14" s="781"/>
      <c r="F14" s="247"/>
      <c r="G14" s="248"/>
      <c r="H14" s="247"/>
      <c r="I14" s="247"/>
      <c r="J14" s="247"/>
      <c r="K14" s="247"/>
      <c r="L14" s="247"/>
      <c r="M14" s="247"/>
      <c r="N14" s="247"/>
      <c r="O14" s="247"/>
      <c r="P14" s="247"/>
      <c r="Q14" s="249"/>
      <c r="R14" s="247"/>
      <c r="S14" s="247"/>
      <c r="T14" s="249"/>
      <c r="U14" s="184"/>
      <c r="V14" s="184"/>
      <c r="W14" s="184"/>
      <c r="X14" s="184"/>
      <c r="Y14" s="184"/>
      <c r="Z14" s="184"/>
      <c r="AA14" s="184"/>
      <c r="AB14" s="184"/>
      <c r="AC14" s="184"/>
      <c r="AD14" s="184"/>
    </row>
    <row r="15" spans="1:30" ht="33" customHeight="1">
      <c r="A15" s="767"/>
      <c r="B15" s="767"/>
      <c r="C15" s="24" t="s">
        <v>42</v>
      </c>
      <c r="D15" s="767"/>
      <c r="E15" s="781"/>
      <c r="F15" s="247"/>
      <c r="G15" s="248"/>
      <c r="H15" s="247"/>
      <c r="I15" s="247"/>
      <c r="J15" s="247"/>
      <c r="K15" s="247"/>
      <c r="L15" s="247"/>
      <c r="M15" s="247"/>
      <c r="N15" s="192"/>
      <c r="O15" s="247"/>
      <c r="P15" s="192"/>
      <c r="Q15" s="247"/>
      <c r="R15" s="247"/>
      <c r="S15" s="247"/>
      <c r="T15" s="249"/>
      <c r="U15" s="184"/>
      <c r="V15" s="184"/>
      <c r="W15" s="184"/>
      <c r="X15" s="184"/>
      <c r="Y15" s="184"/>
      <c r="Z15" s="184"/>
      <c r="AA15" s="184"/>
      <c r="AB15" s="184"/>
      <c r="AC15" s="184"/>
      <c r="AD15" s="184"/>
    </row>
    <row r="16" spans="1:30" ht="30.75" customHeight="1">
      <c r="A16" s="767"/>
      <c r="B16" s="767"/>
      <c r="C16" s="25" t="s">
        <v>977</v>
      </c>
      <c r="D16" s="767"/>
      <c r="E16" s="781"/>
      <c r="F16" s="247"/>
      <c r="G16" s="248"/>
      <c r="H16" s="247"/>
      <c r="I16" s="247"/>
      <c r="J16" s="247"/>
      <c r="K16" s="247"/>
      <c r="L16" s="247"/>
      <c r="M16" s="247"/>
      <c r="N16" s="247"/>
      <c r="O16" s="247"/>
      <c r="P16" s="247"/>
      <c r="Q16" s="253"/>
      <c r="R16" s="247"/>
      <c r="S16" s="247"/>
      <c r="T16" s="249"/>
      <c r="U16" s="184"/>
      <c r="V16" s="184"/>
      <c r="W16" s="184"/>
      <c r="X16" s="184"/>
      <c r="Y16" s="184"/>
      <c r="Z16" s="184"/>
      <c r="AA16" s="184"/>
      <c r="AB16" s="184"/>
      <c r="AC16" s="184"/>
      <c r="AD16" s="184"/>
    </row>
    <row r="17" spans="1:30" ht="36" customHeight="1">
      <c r="A17" s="768"/>
      <c r="B17" s="768"/>
      <c r="C17" s="25" t="s">
        <v>70</v>
      </c>
      <c r="D17" s="768"/>
      <c r="E17" s="782"/>
      <c r="F17" s="32"/>
      <c r="G17" s="251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254"/>
      <c r="U17" s="184"/>
      <c r="V17" s="184"/>
      <c r="W17" s="184"/>
      <c r="X17" s="184"/>
      <c r="Y17" s="184"/>
      <c r="Z17" s="184"/>
      <c r="AA17" s="184"/>
      <c r="AB17" s="184"/>
      <c r="AC17" s="184"/>
      <c r="AD17" s="184"/>
    </row>
    <row r="18" spans="1:30" ht="16.5" customHeight="1">
      <c r="A18" s="41"/>
      <c r="B18" s="42" t="s">
        <v>85</v>
      </c>
      <c r="C18" s="42"/>
      <c r="D18" s="42"/>
      <c r="E18" s="195"/>
      <c r="F18" s="255"/>
      <c r="G18" s="256"/>
      <c r="H18" s="255"/>
      <c r="I18" s="255"/>
      <c r="J18" s="255"/>
      <c r="K18" s="255"/>
      <c r="L18" s="255"/>
      <c r="M18" s="255"/>
      <c r="N18" s="255"/>
      <c r="O18" s="255"/>
      <c r="P18" s="255"/>
      <c r="Q18" s="257"/>
      <c r="R18" s="255"/>
      <c r="S18" s="255"/>
      <c r="T18" s="257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</row>
    <row r="19" spans="1:30" ht="26.25" customHeight="1">
      <c r="A19" s="46">
        <v>1</v>
      </c>
      <c r="B19" s="47" t="s">
        <v>87</v>
      </c>
      <c r="C19" s="47" t="s">
        <v>88</v>
      </c>
      <c r="D19" s="46"/>
      <c r="E19" s="200"/>
      <c r="F19" s="258"/>
      <c r="G19" s="259"/>
      <c r="H19" s="258"/>
      <c r="I19" s="258"/>
      <c r="J19" s="258"/>
      <c r="K19" s="258"/>
      <c r="L19" s="258"/>
      <c r="M19" s="258"/>
      <c r="N19" s="258"/>
      <c r="O19" s="258"/>
      <c r="P19" s="258"/>
      <c r="Q19" s="258"/>
      <c r="R19" s="258"/>
      <c r="S19" s="258"/>
      <c r="T19" s="258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</row>
    <row r="20" spans="1:30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SUM(F20:S20)</f>
        <v>0</v>
      </c>
      <c r="F20" s="261"/>
      <c r="G20" s="259"/>
      <c r="H20" s="261"/>
      <c r="I20" s="261"/>
      <c r="J20" s="261"/>
      <c r="K20" s="261"/>
      <c r="L20" s="261"/>
      <c r="M20" s="262"/>
      <c r="N20" s="262"/>
      <c r="O20" s="262"/>
      <c r="P20" s="262"/>
      <c r="Q20" s="261"/>
      <c r="R20" s="261"/>
      <c r="S20" s="261"/>
      <c r="T20" s="261"/>
      <c r="U20" s="263"/>
      <c r="V20" s="263"/>
      <c r="W20" s="263"/>
      <c r="X20" s="263"/>
      <c r="Y20" s="263"/>
      <c r="Z20" s="263"/>
      <c r="AA20" s="263"/>
      <c r="AB20" s="263"/>
      <c r="AC20" s="263"/>
      <c r="AD20" s="263"/>
    </row>
    <row r="21" spans="1:30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262"/>
      <c r="G21" s="259"/>
      <c r="H21" s="262"/>
      <c r="I21" s="262"/>
      <c r="J21" s="262"/>
      <c r="K21" s="262"/>
      <c r="L21" s="262"/>
      <c r="M21" s="262"/>
      <c r="N21" s="262"/>
      <c r="O21" s="262"/>
      <c r="P21" s="262"/>
      <c r="Q21" s="262"/>
      <c r="R21" s="262"/>
      <c r="S21" s="262"/>
      <c r="T21" s="262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</row>
    <row r="22" spans="1:30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262"/>
      <c r="G22" s="259"/>
      <c r="H22" s="262"/>
      <c r="I22" s="262"/>
      <c r="J22" s="262"/>
      <c r="K22" s="262"/>
      <c r="L22" s="262"/>
      <c r="M22" s="262"/>
      <c r="N22" s="262"/>
      <c r="O22" s="262"/>
      <c r="P22" s="262"/>
      <c r="Q22" s="262"/>
      <c r="R22" s="262"/>
      <c r="S22" s="262"/>
      <c r="T22" s="262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</row>
    <row r="23" spans="1:30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262"/>
      <c r="G23" s="259"/>
      <c r="H23" s="262"/>
      <c r="I23" s="262"/>
      <c r="J23" s="262"/>
      <c r="K23" s="262"/>
      <c r="L23" s="262"/>
      <c r="M23" s="262"/>
      <c r="N23" s="262"/>
      <c r="O23" s="262"/>
      <c r="P23" s="262"/>
      <c r="Q23" s="262"/>
      <c r="R23" s="262"/>
      <c r="S23" s="262"/>
      <c r="T23" s="262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</row>
    <row r="24" spans="1:30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262"/>
      <c r="G24" s="259"/>
      <c r="H24" s="262"/>
      <c r="I24" s="262"/>
      <c r="J24" s="262"/>
      <c r="K24" s="262"/>
      <c r="L24" s="262"/>
      <c r="M24" s="262"/>
      <c r="N24" s="262"/>
      <c r="O24" s="262"/>
      <c r="P24" s="262"/>
      <c r="Q24" s="262"/>
      <c r="R24" s="262"/>
      <c r="S24" s="262"/>
      <c r="T24" s="262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</row>
    <row r="25" spans="1:30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262"/>
      <c r="G25" s="259"/>
      <c r="H25" s="262"/>
      <c r="I25" s="262"/>
      <c r="J25" s="262"/>
      <c r="K25" s="262"/>
      <c r="L25" s="262"/>
      <c r="M25" s="262"/>
      <c r="N25" s="262"/>
      <c r="O25" s="262"/>
      <c r="P25" s="262"/>
      <c r="Q25" s="262"/>
      <c r="R25" s="262"/>
      <c r="S25" s="262"/>
      <c r="T25" s="262"/>
      <c r="U25" s="263"/>
      <c r="V25" s="263"/>
      <c r="W25" s="263"/>
      <c r="X25" s="263"/>
      <c r="Y25" s="263"/>
      <c r="Z25" s="263"/>
      <c r="AA25" s="263"/>
      <c r="AB25" s="263"/>
      <c r="AC25" s="263"/>
      <c r="AD25" s="263"/>
    </row>
    <row r="26" spans="1:30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262"/>
      <c r="G26" s="259"/>
      <c r="H26" s="262"/>
      <c r="I26" s="262"/>
      <c r="J26" s="262"/>
      <c r="K26" s="262"/>
      <c r="L26" s="262"/>
      <c r="M26" s="262"/>
      <c r="N26" s="262"/>
      <c r="O26" s="262"/>
      <c r="P26" s="262"/>
      <c r="Q26" s="262"/>
      <c r="R26" s="262"/>
      <c r="S26" s="262"/>
      <c r="T26" s="262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</row>
    <row r="27" spans="1:30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262"/>
      <c r="G27" s="259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</row>
    <row r="28" spans="1:30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262"/>
      <c r="G28" s="259"/>
      <c r="H28" s="262"/>
      <c r="I28" s="262"/>
      <c r="J28" s="262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</row>
    <row r="29" spans="1:30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262"/>
      <c r="G29" s="259"/>
      <c r="H29" s="262"/>
      <c r="I29" s="262"/>
      <c r="J29" s="262"/>
      <c r="K29" s="262"/>
      <c r="L29" s="262"/>
      <c r="M29" s="262"/>
      <c r="N29" s="262"/>
      <c r="O29" s="262"/>
      <c r="P29" s="262"/>
      <c r="Q29" s="262"/>
      <c r="R29" s="262"/>
      <c r="S29" s="262"/>
      <c r="T29" s="262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</row>
    <row r="30" spans="1:30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262"/>
      <c r="G30" s="259"/>
      <c r="H30" s="262"/>
      <c r="I30" s="262"/>
      <c r="J30" s="262"/>
      <c r="K30" s="262"/>
      <c r="L30" s="262"/>
      <c r="M30" s="262"/>
      <c r="N30" s="262"/>
      <c r="O30" s="262"/>
      <c r="P30" s="262"/>
      <c r="Q30" s="262"/>
      <c r="R30" s="262"/>
      <c r="S30" s="262"/>
      <c r="T30" s="262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</row>
    <row r="31" spans="1:30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262"/>
      <c r="G31" s="259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</row>
    <row r="32" spans="1:30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262"/>
      <c r="G32" s="259"/>
      <c r="H32" s="262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2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</row>
    <row r="33" spans="1:30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262"/>
      <c r="G33" s="259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</row>
    <row r="34" spans="1:30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262"/>
      <c r="G34" s="259"/>
      <c r="H34" s="262"/>
      <c r="I34" s="262"/>
      <c r="J34" s="262"/>
      <c r="K34" s="262"/>
      <c r="L34" s="262"/>
      <c r="M34" s="262"/>
      <c r="N34" s="262"/>
      <c r="O34" s="262"/>
      <c r="P34" s="262"/>
      <c r="Q34" s="262"/>
      <c r="R34" s="262"/>
      <c r="S34" s="262"/>
      <c r="T34" s="262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</row>
    <row r="35" spans="1:30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262"/>
      <c r="G35" s="259"/>
      <c r="H35" s="262"/>
      <c r="I35" s="262"/>
      <c r="J35" s="262"/>
      <c r="K35" s="262"/>
      <c r="L35" s="262"/>
      <c r="M35" s="262"/>
      <c r="N35" s="262"/>
      <c r="O35" s="262"/>
      <c r="P35" s="262"/>
      <c r="Q35" s="262"/>
      <c r="R35" s="262"/>
      <c r="S35" s="262"/>
      <c r="T35" s="262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</row>
    <row r="36" spans="1:30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262"/>
      <c r="G36" s="259"/>
      <c r="H36" s="262"/>
      <c r="I36" s="262"/>
      <c r="J36" s="262"/>
      <c r="K36" s="262"/>
      <c r="L36" s="262"/>
      <c r="M36" s="262"/>
      <c r="N36" s="262"/>
      <c r="O36" s="262"/>
      <c r="P36" s="262"/>
      <c r="Q36" s="262"/>
      <c r="R36" s="262"/>
      <c r="S36" s="262"/>
      <c r="T36" s="262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</row>
    <row r="37" spans="1:30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261"/>
      <c r="G37" s="259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</row>
    <row r="38" spans="1:30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261"/>
      <c r="G38" s="259"/>
      <c r="H38" s="261"/>
      <c r="I38" s="261"/>
      <c r="J38" s="261"/>
      <c r="K38" s="261"/>
      <c r="L38" s="261"/>
      <c r="M38" s="262"/>
      <c r="N38" s="262"/>
      <c r="O38" s="262"/>
      <c r="P38" s="262"/>
      <c r="Q38" s="261"/>
      <c r="R38" s="261"/>
      <c r="S38" s="261"/>
      <c r="T38" s="261"/>
      <c r="U38" s="263"/>
      <c r="V38" s="263"/>
      <c r="W38" s="263"/>
      <c r="X38" s="263"/>
      <c r="Y38" s="263"/>
      <c r="Z38" s="263"/>
      <c r="AA38" s="263"/>
      <c r="AB38" s="263"/>
      <c r="AC38" s="263"/>
      <c r="AD38" s="263"/>
    </row>
    <row r="39" spans="1:30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262"/>
      <c r="G39" s="259"/>
      <c r="H39" s="262"/>
      <c r="I39" s="262"/>
      <c r="J39" s="262"/>
      <c r="K39" s="262"/>
      <c r="L39" s="262"/>
      <c r="M39" s="262"/>
      <c r="N39" s="262"/>
      <c r="O39" s="262"/>
      <c r="P39" s="262"/>
      <c r="Q39" s="262"/>
      <c r="R39" s="262"/>
      <c r="S39" s="262"/>
      <c r="T39" s="262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</row>
    <row r="40" spans="1:30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262"/>
      <c r="G40" s="259"/>
      <c r="H40" s="262"/>
      <c r="I40" s="262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</row>
    <row r="41" spans="1:30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262"/>
      <c r="G41" s="259"/>
      <c r="H41" s="262"/>
      <c r="I41" s="262"/>
      <c r="J41" s="262"/>
      <c r="K41" s="262"/>
      <c r="L41" s="262"/>
      <c r="M41" s="262"/>
      <c r="N41" s="262"/>
      <c r="O41" s="262"/>
      <c r="P41" s="262"/>
      <c r="Q41" s="262"/>
      <c r="R41" s="262"/>
      <c r="S41" s="262"/>
      <c r="T41" s="262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</row>
    <row r="42" spans="1:30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262"/>
      <c r="G42" s="259"/>
      <c r="H42" s="262"/>
      <c r="I42" s="262"/>
      <c r="J42" s="262"/>
      <c r="K42" s="262"/>
      <c r="L42" s="262"/>
      <c r="M42" s="262"/>
      <c r="N42" s="262"/>
      <c r="O42" s="262"/>
      <c r="P42" s="262"/>
      <c r="Q42" s="262"/>
      <c r="R42" s="262"/>
      <c r="S42" s="262"/>
      <c r="T42" s="262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</row>
    <row r="43" spans="1:30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261"/>
      <c r="G43" s="259"/>
      <c r="H43" s="261"/>
      <c r="I43" s="261"/>
      <c r="J43" s="261"/>
      <c r="K43" s="261"/>
      <c r="L43" s="261"/>
      <c r="M43" s="262"/>
      <c r="N43" s="261"/>
      <c r="O43" s="262"/>
      <c r="P43" s="262"/>
      <c r="Q43" s="261"/>
      <c r="R43" s="261"/>
      <c r="S43" s="261"/>
      <c r="T43" s="261"/>
      <c r="U43" s="264"/>
      <c r="V43" s="264"/>
      <c r="W43" s="264"/>
      <c r="X43" s="264"/>
      <c r="Y43" s="264"/>
      <c r="Z43" s="264"/>
      <c r="AA43" s="264"/>
      <c r="AB43" s="264"/>
      <c r="AC43" s="264"/>
      <c r="AD43" s="264"/>
    </row>
    <row r="44" spans="1:30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262"/>
      <c r="G44" s="259"/>
      <c r="H44" s="262"/>
      <c r="I44" s="262"/>
      <c r="J44" s="262"/>
      <c r="K44" s="262"/>
      <c r="L44" s="262"/>
      <c r="M44" s="262"/>
      <c r="N44" s="262"/>
      <c r="O44" s="262"/>
      <c r="P44" s="262"/>
      <c r="Q44" s="262"/>
      <c r="R44" s="262"/>
      <c r="S44" s="262"/>
      <c r="T44" s="262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</row>
    <row r="45" spans="1:30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262"/>
      <c r="G45" s="259"/>
      <c r="H45" s="262"/>
      <c r="I45" s="262"/>
      <c r="J45" s="262"/>
      <c r="K45" s="262"/>
      <c r="L45" s="262"/>
      <c r="M45" s="262"/>
      <c r="N45" s="262"/>
      <c r="O45" s="262"/>
      <c r="P45" s="262"/>
      <c r="Q45" s="262"/>
      <c r="R45" s="262"/>
      <c r="S45" s="262"/>
      <c r="T45" s="262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</row>
    <row r="46" spans="1:30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262"/>
      <c r="G46" s="259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</row>
    <row r="47" spans="1:30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262"/>
      <c r="G47" s="259"/>
      <c r="H47" s="262"/>
      <c r="I47" s="262"/>
      <c r="J47" s="262"/>
      <c r="K47" s="262"/>
      <c r="L47" s="262"/>
      <c r="M47" s="262"/>
      <c r="N47" s="262"/>
      <c r="O47" s="262"/>
      <c r="P47" s="262"/>
      <c r="Q47" s="262"/>
      <c r="R47" s="262"/>
      <c r="S47" s="262"/>
      <c r="T47" s="262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</row>
    <row r="48" spans="1:30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261"/>
      <c r="G48" s="265"/>
      <c r="H48" s="261"/>
      <c r="I48" s="261"/>
      <c r="J48" s="261"/>
      <c r="K48" s="261"/>
      <c r="L48" s="261"/>
      <c r="M48" s="262"/>
      <c r="N48" s="262"/>
      <c r="O48" s="262"/>
      <c r="P48" s="262"/>
      <c r="Q48" s="261"/>
      <c r="R48" s="261"/>
      <c r="S48" s="261"/>
      <c r="T48" s="261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</row>
    <row r="49" spans="1:30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262"/>
      <c r="G49" s="259"/>
      <c r="H49" s="262"/>
      <c r="I49" s="262"/>
      <c r="J49" s="262"/>
      <c r="K49" s="262"/>
      <c r="L49" s="262"/>
      <c r="M49" s="262"/>
      <c r="N49" s="262"/>
      <c r="O49" s="262"/>
      <c r="P49" s="262"/>
      <c r="Q49" s="262"/>
      <c r="R49" s="262"/>
      <c r="S49" s="262"/>
      <c r="T49" s="262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</row>
    <row r="50" spans="1:30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262"/>
      <c r="G50" s="259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</row>
    <row r="51" spans="1:30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262"/>
      <c r="G51" s="259"/>
      <c r="H51" s="262"/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</row>
    <row r="52" spans="1:30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262"/>
      <c r="G52" s="259"/>
      <c r="H52" s="262"/>
      <c r="I52" s="262"/>
      <c r="J52" s="262"/>
      <c r="K52" s="262"/>
      <c r="L52" s="262"/>
      <c r="M52" s="262"/>
      <c r="N52" s="262"/>
      <c r="O52" s="262"/>
      <c r="P52" s="262"/>
      <c r="Q52" s="262"/>
      <c r="R52" s="262"/>
      <c r="S52" s="262"/>
      <c r="T52" s="262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</row>
    <row r="53" spans="1:30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266"/>
      <c r="G53" s="259"/>
      <c r="H53" s="266"/>
      <c r="I53" s="266"/>
      <c r="J53" s="266"/>
      <c r="K53" s="266"/>
      <c r="L53" s="261"/>
      <c r="M53" s="266"/>
      <c r="N53" s="262"/>
      <c r="O53" s="262"/>
      <c r="P53" s="262"/>
      <c r="Q53" s="261"/>
      <c r="R53" s="261"/>
      <c r="S53" s="261"/>
      <c r="T53" s="261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</row>
    <row r="54" spans="1:30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262"/>
      <c r="G54" s="259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</row>
    <row r="55" spans="1:30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262"/>
      <c r="G55" s="259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</row>
    <row r="56" spans="1:30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262"/>
      <c r="G56" s="259"/>
      <c r="H56" s="262"/>
      <c r="I56" s="262"/>
      <c r="J56" s="262"/>
      <c r="K56" s="262"/>
      <c r="L56" s="262"/>
      <c r="M56" s="262"/>
      <c r="N56" s="262"/>
      <c r="O56" s="262"/>
      <c r="P56" s="262"/>
      <c r="Q56" s="262"/>
      <c r="R56" s="262"/>
      <c r="S56" s="262"/>
      <c r="T56" s="262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</row>
    <row r="57" spans="1:30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262"/>
      <c r="G57" s="259"/>
      <c r="H57" s="262"/>
      <c r="I57" s="262"/>
      <c r="J57" s="262"/>
      <c r="K57" s="262"/>
      <c r="L57" s="262"/>
      <c r="M57" s="262"/>
      <c r="N57" s="262"/>
      <c r="O57" s="262"/>
      <c r="P57" s="262"/>
      <c r="Q57" s="262"/>
      <c r="R57" s="262"/>
      <c r="S57" s="262"/>
      <c r="T57" s="262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</row>
    <row r="58" spans="1:30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261"/>
      <c r="G58" s="259"/>
      <c r="H58" s="261"/>
      <c r="I58" s="261"/>
      <c r="J58" s="261"/>
      <c r="K58" s="261"/>
      <c r="L58" s="261"/>
      <c r="M58" s="262"/>
      <c r="N58" s="262"/>
      <c r="O58" s="262"/>
      <c r="P58" s="262"/>
      <c r="Q58" s="261"/>
      <c r="R58" s="261"/>
      <c r="S58" s="261"/>
      <c r="T58" s="262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</row>
    <row r="59" spans="1:30" ht="18.75" hidden="1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262"/>
      <c r="G59" s="259"/>
      <c r="H59" s="262"/>
      <c r="I59" s="262"/>
      <c r="J59" s="262"/>
      <c r="K59" s="262"/>
      <c r="L59" s="262"/>
      <c r="M59" s="262"/>
      <c r="N59" s="262"/>
      <c r="O59" s="262"/>
      <c r="P59" s="262"/>
      <c r="Q59" s="262"/>
      <c r="R59" s="262"/>
      <c r="S59" s="262"/>
      <c r="T59" s="262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</row>
    <row r="60" spans="1:30" ht="18.75" hidden="1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262"/>
      <c r="G60" s="259"/>
      <c r="H60" s="262"/>
      <c r="I60" s="262"/>
      <c r="J60" s="262"/>
      <c r="K60" s="262"/>
      <c r="L60" s="262"/>
      <c r="M60" s="262"/>
      <c r="N60" s="262"/>
      <c r="O60" s="262"/>
      <c r="P60" s="262"/>
      <c r="Q60" s="262"/>
      <c r="R60" s="262"/>
      <c r="S60" s="262"/>
      <c r="T60" s="262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</row>
    <row r="61" spans="1:30" ht="18.75" hidden="1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262"/>
      <c r="G61" s="259"/>
      <c r="H61" s="262"/>
      <c r="I61" s="262"/>
      <c r="J61" s="262"/>
      <c r="K61" s="262"/>
      <c r="L61" s="262"/>
      <c r="M61" s="262"/>
      <c r="N61" s="262"/>
      <c r="O61" s="262"/>
      <c r="P61" s="262"/>
      <c r="Q61" s="262"/>
      <c r="R61" s="262"/>
      <c r="S61" s="262"/>
      <c r="T61" s="262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</row>
    <row r="62" spans="1:30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261"/>
      <c r="G62" s="259"/>
      <c r="H62" s="261"/>
      <c r="I62" s="261"/>
      <c r="J62" s="261"/>
      <c r="K62" s="261"/>
      <c r="L62" s="261"/>
      <c r="M62" s="262"/>
      <c r="N62" s="262"/>
      <c r="O62" s="262"/>
      <c r="P62" s="262"/>
      <c r="Q62" s="261"/>
      <c r="R62" s="261"/>
      <c r="S62" s="261"/>
      <c r="T62" s="261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</row>
    <row r="63" spans="1:30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261"/>
      <c r="G63" s="259"/>
      <c r="H63" s="261"/>
      <c r="I63" s="261"/>
      <c r="J63" s="261"/>
      <c r="K63" s="261"/>
      <c r="L63" s="261"/>
      <c r="M63" s="262"/>
      <c r="N63" s="262"/>
      <c r="O63" s="262"/>
      <c r="P63" s="262"/>
      <c r="Q63" s="261"/>
      <c r="R63" s="261"/>
      <c r="S63" s="261"/>
      <c r="T63" s="261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</row>
    <row r="64" spans="1:30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261"/>
      <c r="G64" s="259"/>
      <c r="H64" s="261"/>
      <c r="I64" s="261"/>
      <c r="J64" s="261"/>
      <c r="K64" s="261"/>
      <c r="L64" s="261"/>
      <c r="M64" s="262"/>
      <c r="N64" s="262"/>
      <c r="O64" s="262"/>
      <c r="P64" s="262"/>
      <c r="Q64" s="261"/>
      <c r="R64" s="261"/>
      <c r="S64" s="261"/>
      <c r="T64" s="261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</row>
    <row r="65" spans="1:30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261"/>
      <c r="G65" s="259"/>
      <c r="H65" s="261"/>
      <c r="I65" s="261"/>
      <c r="J65" s="261"/>
      <c r="K65" s="261"/>
      <c r="L65" s="261"/>
      <c r="M65" s="262"/>
      <c r="N65" s="262"/>
      <c r="O65" s="262"/>
      <c r="P65" s="262"/>
      <c r="Q65" s="261"/>
      <c r="R65" s="261"/>
      <c r="S65" s="261"/>
      <c r="T65" s="261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</row>
    <row r="66" spans="1:30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261"/>
      <c r="G66" s="259"/>
      <c r="H66" s="261"/>
      <c r="I66" s="261"/>
      <c r="J66" s="261"/>
      <c r="K66" s="261"/>
      <c r="L66" s="261"/>
      <c r="M66" s="262"/>
      <c r="N66" s="262"/>
      <c r="O66" s="262"/>
      <c r="P66" s="262"/>
      <c r="Q66" s="261"/>
      <c r="R66" s="261"/>
      <c r="S66" s="261"/>
      <c r="T66" s="261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</row>
    <row r="67" spans="1:30" ht="18.75" hidden="1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262"/>
      <c r="G67" s="259"/>
      <c r="H67" s="262"/>
      <c r="I67" s="262"/>
      <c r="J67" s="262"/>
      <c r="K67" s="262"/>
      <c r="L67" s="262"/>
      <c r="M67" s="262"/>
      <c r="N67" s="262"/>
      <c r="O67" s="262"/>
      <c r="P67" s="262"/>
      <c r="Q67" s="262"/>
      <c r="R67" s="262"/>
      <c r="S67" s="262"/>
      <c r="T67" s="262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</row>
    <row r="68" spans="1:30" ht="18.75" hidden="1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262"/>
      <c r="G68" s="259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262"/>
      <c r="T68" s="262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</row>
    <row r="69" spans="1:30" ht="18.75" hidden="1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262"/>
      <c r="G69" s="259"/>
      <c r="H69" s="262"/>
      <c r="I69" s="262"/>
      <c r="J69" s="262"/>
      <c r="K69" s="262"/>
      <c r="L69" s="262"/>
      <c r="M69" s="262"/>
      <c r="N69" s="262"/>
      <c r="O69" s="262"/>
      <c r="P69" s="262"/>
      <c r="Q69" s="262"/>
      <c r="R69" s="262"/>
      <c r="S69" s="262"/>
      <c r="T69" s="262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</row>
    <row r="70" spans="1:30" ht="18.75" hidden="1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262"/>
      <c r="G70" s="259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262"/>
      <c r="T70" s="262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</row>
    <row r="71" spans="1:30" ht="63" hidden="1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262"/>
      <c r="G71" s="259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262"/>
      <c r="T71" s="262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</row>
    <row r="72" spans="1:30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262"/>
      <c r="G72" s="259"/>
      <c r="H72" s="262"/>
      <c r="I72" s="262"/>
      <c r="J72" s="262"/>
      <c r="K72" s="262"/>
      <c r="L72" s="262"/>
      <c r="M72" s="262"/>
      <c r="N72" s="262"/>
      <c r="O72" s="262"/>
      <c r="P72" s="262"/>
      <c r="Q72" s="262"/>
      <c r="R72" s="262"/>
      <c r="S72" s="262"/>
      <c r="T72" s="262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</row>
    <row r="73" spans="1:30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262"/>
      <c r="G73" s="259"/>
      <c r="H73" s="262"/>
      <c r="I73" s="262"/>
      <c r="J73" s="262"/>
      <c r="K73" s="262"/>
      <c r="L73" s="262"/>
      <c r="M73" s="262"/>
      <c r="N73" s="262"/>
      <c r="O73" s="262"/>
      <c r="P73" s="262"/>
      <c r="Q73" s="262"/>
      <c r="R73" s="262"/>
      <c r="S73" s="262"/>
      <c r="T73" s="262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</row>
    <row r="74" spans="1:30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262"/>
      <c r="G74" s="259"/>
      <c r="H74" s="262"/>
      <c r="I74" s="262"/>
      <c r="J74" s="262"/>
      <c r="K74" s="262"/>
      <c r="L74" s="262"/>
      <c r="M74" s="262"/>
      <c r="N74" s="262"/>
      <c r="O74" s="262"/>
      <c r="P74" s="262"/>
      <c r="Q74" s="262"/>
      <c r="R74" s="262"/>
      <c r="S74" s="262"/>
      <c r="T74" s="262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</row>
    <row r="75" spans="1:30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262"/>
      <c r="G75" s="259"/>
      <c r="H75" s="262"/>
      <c r="I75" s="262"/>
      <c r="J75" s="262"/>
      <c r="K75" s="262"/>
      <c r="L75" s="262"/>
      <c r="M75" s="262"/>
      <c r="N75" s="262"/>
      <c r="O75" s="262"/>
      <c r="P75" s="262"/>
      <c r="Q75" s="262"/>
      <c r="R75" s="262"/>
      <c r="S75" s="262"/>
      <c r="T75" s="262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</row>
    <row r="76" spans="1:30" ht="18.7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261"/>
      <c r="G76" s="259"/>
      <c r="H76" s="261"/>
      <c r="I76" s="261"/>
      <c r="J76" s="261"/>
      <c r="K76" s="261"/>
      <c r="L76" s="261"/>
      <c r="M76" s="262"/>
      <c r="N76" s="262"/>
      <c r="O76" s="262"/>
      <c r="P76" s="262"/>
      <c r="Q76" s="261"/>
      <c r="R76" s="261"/>
      <c r="S76" s="261"/>
      <c r="T76" s="261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</row>
    <row r="77" spans="1:30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261"/>
      <c r="G77" s="259"/>
      <c r="H77" s="261"/>
      <c r="I77" s="261"/>
      <c r="J77" s="261"/>
      <c r="K77" s="261"/>
      <c r="L77" s="261"/>
      <c r="M77" s="262"/>
      <c r="N77" s="262"/>
      <c r="O77" s="262"/>
      <c r="P77" s="262"/>
      <c r="Q77" s="261"/>
      <c r="R77" s="261"/>
      <c r="S77" s="261"/>
      <c r="T77" s="261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</row>
    <row r="78" spans="1:30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261"/>
      <c r="G78" s="259"/>
      <c r="H78" s="261"/>
      <c r="I78" s="261"/>
      <c r="J78" s="261"/>
      <c r="K78" s="261"/>
      <c r="L78" s="261"/>
      <c r="M78" s="262"/>
      <c r="N78" s="262"/>
      <c r="O78" s="262"/>
      <c r="P78" s="262"/>
      <c r="Q78" s="261"/>
      <c r="R78" s="261"/>
      <c r="S78" s="261"/>
      <c r="T78" s="261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</row>
    <row r="79" spans="1:30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261"/>
      <c r="G79" s="259"/>
      <c r="H79" s="261"/>
      <c r="I79" s="261"/>
      <c r="J79" s="261"/>
      <c r="K79" s="261"/>
      <c r="L79" s="261"/>
      <c r="M79" s="262"/>
      <c r="N79" s="262"/>
      <c r="O79" s="262"/>
      <c r="P79" s="262"/>
      <c r="Q79" s="261"/>
      <c r="R79" s="261"/>
      <c r="S79" s="261"/>
      <c r="T79" s="261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</row>
    <row r="80" spans="1:30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261"/>
      <c r="G80" s="259"/>
      <c r="H80" s="261"/>
      <c r="I80" s="261"/>
      <c r="J80" s="261"/>
      <c r="K80" s="261"/>
      <c r="L80" s="261"/>
      <c r="M80" s="262"/>
      <c r="N80" s="262"/>
      <c r="O80" s="262"/>
      <c r="P80" s="262"/>
      <c r="Q80" s="261"/>
      <c r="R80" s="261"/>
      <c r="S80" s="261"/>
      <c r="T80" s="261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</row>
    <row r="81" spans="1:30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261"/>
      <c r="G81" s="259"/>
      <c r="H81" s="261"/>
      <c r="I81" s="261"/>
      <c r="J81" s="261"/>
      <c r="K81" s="261"/>
      <c r="L81" s="261"/>
      <c r="M81" s="262"/>
      <c r="N81" s="262"/>
      <c r="O81" s="262"/>
      <c r="P81" s="262"/>
      <c r="Q81" s="261"/>
      <c r="R81" s="261"/>
      <c r="S81" s="261"/>
      <c r="T81" s="261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</row>
    <row r="82" spans="1:30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261"/>
      <c r="G82" s="259"/>
      <c r="H82" s="261"/>
      <c r="I82" s="261"/>
      <c r="J82" s="261"/>
      <c r="K82" s="261"/>
      <c r="L82" s="261"/>
      <c r="M82" s="262"/>
      <c r="N82" s="262"/>
      <c r="O82" s="262"/>
      <c r="P82" s="262"/>
      <c r="Q82" s="261"/>
      <c r="R82" s="261"/>
      <c r="S82" s="261"/>
      <c r="T82" s="261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</row>
    <row r="83" spans="1:30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261"/>
      <c r="G83" s="259"/>
      <c r="H83" s="261"/>
      <c r="I83" s="261"/>
      <c r="J83" s="261"/>
      <c r="K83" s="261"/>
      <c r="L83" s="261"/>
      <c r="M83" s="262"/>
      <c r="N83" s="262"/>
      <c r="O83" s="262"/>
      <c r="P83" s="262"/>
      <c r="Q83" s="261"/>
      <c r="R83" s="261"/>
      <c r="S83" s="261"/>
      <c r="T83" s="261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</row>
    <row r="84" spans="1:30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261"/>
      <c r="G84" s="259"/>
      <c r="H84" s="261"/>
      <c r="I84" s="261"/>
      <c r="J84" s="261"/>
      <c r="K84" s="261"/>
      <c r="L84" s="261"/>
      <c r="M84" s="262"/>
      <c r="N84" s="262"/>
      <c r="O84" s="262"/>
      <c r="P84" s="262"/>
      <c r="Q84" s="261"/>
      <c r="R84" s="261"/>
      <c r="S84" s="261"/>
      <c r="T84" s="261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</row>
    <row r="85" spans="1:30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261"/>
      <c r="G85" s="259"/>
      <c r="H85" s="261"/>
      <c r="I85" s="261"/>
      <c r="J85" s="261"/>
      <c r="K85" s="261"/>
      <c r="L85" s="261"/>
      <c r="M85" s="262"/>
      <c r="N85" s="262"/>
      <c r="O85" s="262"/>
      <c r="P85" s="262"/>
      <c r="Q85" s="261"/>
      <c r="R85" s="261"/>
      <c r="S85" s="261"/>
      <c r="T85" s="261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</row>
    <row r="86" spans="1:30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261"/>
      <c r="G86" s="259"/>
      <c r="H86" s="261"/>
      <c r="I86" s="261"/>
      <c r="J86" s="261"/>
      <c r="K86" s="261"/>
      <c r="L86" s="261"/>
      <c r="M86" s="262"/>
      <c r="N86" s="262"/>
      <c r="O86" s="262"/>
      <c r="P86" s="262"/>
      <c r="Q86" s="261"/>
      <c r="R86" s="261"/>
      <c r="S86" s="261"/>
      <c r="T86" s="261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</row>
    <row r="87" spans="1:30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262"/>
      <c r="G87" s="259"/>
      <c r="H87" s="262"/>
      <c r="I87" s="262"/>
      <c r="J87" s="262"/>
      <c r="K87" s="262"/>
      <c r="L87" s="262"/>
      <c r="M87" s="262"/>
      <c r="N87" s="262"/>
      <c r="O87" s="262"/>
      <c r="P87" s="262"/>
      <c r="Q87" s="262"/>
      <c r="R87" s="262"/>
      <c r="S87" s="262"/>
      <c r="T87" s="262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</row>
    <row r="88" spans="1:30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262"/>
      <c r="G88" s="259"/>
      <c r="H88" s="262"/>
      <c r="I88" s="262"/>
      <c r="J88" s="262"/>
      <c r="K88" s="262"/>
      <c r="L88" s="262"/>
      <c r="M88" s="262"/>
      <c r="N88" s="262"/>
      <c r="O88" s="262"/>
      <c r="P88" s="262"/>
      <c r="Q88" s="262"/>
      <c r="R88" s="262"/>
      <c r="S88" s="262"/>
      <c r="T88" s="262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</row>
    <row r="89" spans="1:30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261"/>
      <c r="G89" s="259"/>
      <c r="H89" s="261"/>
      <c r="I89" s="261"/>
      <c r="J89" s="261"/>
      <c r="K89" s="261"/>
      <c r="L89" s="261"/>
      <c r="M89" s="262"/>
      <c r="N89" s="262"/>
      <c r="O89" s="262"/>
      <c r="P89" s="262"/>
      <c r="Q89" s="261"/>
      <c r="R89" s="261"/>
      <c r="S89" s="261"/>
      <c r="T89" s="261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</row>
    <row r="90" spans="1:30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261"/>
      <c r="G90" s="259"/>
      <c r="H90" s="261"/>
      <c r="I90" s="261"/>
      <c r="J90" s="261"/>
      <c r="K90" s="261"/>
      <c r="L90" s="261"/>
      <c r="M90" s="262"/>
      <c r="N90" s="262"/>
      <c r="O90" s="262"/>
      <c r="P90" s="262"/>
      <c r="Q90" s="261"/>
      <c r="R90" s="261"/>
      <c r="S90" s="261"/>
      <c r="T90" s="261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</row>
    <row r="91" spans="1:30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261"/>
      <c r="G91" s="259"/>
      <c r="H91" s="261"/>
      <c r="I91" s="261"/>
      <c r="J91" s="261"/>
      <c r="K91" s="261"/>
      <c r="L91" s="261"/>
      <c r="M91" s="262"/>
      <c r="N91" s="262"/>
      <c r="O91" s="262"/>
      <c r="P91" s="262"/>
      <c r="Q91" s="261"/>
      <c r="R91" s="261"/>
      <c r="S91" s="261"/>
      <c r="T91" s="261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</row>
    <row r="92" spans="1:30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261"/>
      <c r="G92" s="259"/>
      <c r="H92" s="261"/>
      <c r="I92" s="261"/>
      <c r="J92" s="261"/>
      <c r="K92" s="261"/>
      <c r="L92" s="261"/>
      <c r="M92" s="262"/>
      <c r="N92" s="262"/>
      <c r="O92" s="262"/>
      <c r="P92" s="262"/>
      <c r="Q92" s="261"/>
      <c r="R92" s="261"/>
      <c r="S92" s="261"/>
      <c r="T92" s="261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</row>
    <row r="93" spans="1:30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261"/>
      <c r="G93" s="259"/>
      <c r="H93" s="261"/>
      <c r="I93" s="261"/>
      <c r="J93" s="261"/>
      <c r="K93" s="261"/>
      <c r="L93" s="261"/>
      <c r="M93" s="262"/>
      <c r="N93" s="262"/>
      <c r="O93" s="262"/>
      <c r="P93" s="262"/>
      <c r="Q93" s="261"/>
      <c r="R93" s="261"/>
      <c r="S93" s="261"/>
      <c r="T93" s="261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</row>
    <row r="94" spans="1:30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261"/>
      <c r="G94" s="259"/>
      <c r="H94" s="261"/>
      <c r="I94" s="261"/>
      <c r="J94" s="261"/>
      <c r="K94" s="261"/>
      <c r="L94" s="261"/>
      <c r="M94" s="262"/>
      <c r="N94" s="262"/>
      <c r="O94" s="262"/>
      <c r="P94" s="262"/>
      <c r="Q94" s="261"/>
      <c r="R94" s="261"/>
      <c r="S94" s="261"/>
      <c r="T94" s="261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</row>
    <row r="95" spans="1:30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261"/>
      <c r="G95" s="259"/>
      <c r="H95" s="261"/>
      <c r="I95" s="261"/>
      <c r="J95" s="261"/>
      <c r="K95" s="261"/>
      <c r="L95" s="261"/>
      <c r="M95" s="262"/>
      <c r="N95" s="262"/>
      <c r="O95" s="262"/>
      <c r="P95" s="262"/>
      <c r="Q95" s="261"/>
      <c r="R95" s="261"/>
      <c r="S95" s="261"/>
      <c r="T95" s="261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</row>
    <row r="96" spans="1:30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261"/>
      <c r="G96" s="259"/>
      <c r="H96" s="261"/>
      <c r="I96" s="261"/>
      <c r="J96" s="261"/>
      <c r="K96" s="261"/>
      <c r="L96" s="261"/>
      <c r="M96" s="262"/>
      <c r="N96" s="262"/>
      <c r="O96" s="262"/>
      <c r="P96" s="262"/>
      <c r="Q96" s="261"/>
      <c r="R96" s="261"/>
      <c r="S96" s="261"/>
      <c r="T96" s="261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</row>
    <row r="97" spans="1:30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261"/>
      <c r="G97" s="259"/>
      <c r="H97" s="261"/>
      <c r="I97" s="261"/>
      <c r="J97" s="261"/>
      <c r="K97" s="261"/>
      <c r="L97" s="261"/>
      <c r="M97" s="262"/>
      <c r="N97" s="262"/>
      <c r="O97" s="262"/>
      <c r="P97" s="262"/>
      <c r="Q97" s="261"/>
      <c r="R97" s="261"/>
      <c r="S97" s="261"/>
      <c r="T97" s="261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</row>
    <row r="98" spans="1:30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261"/>
      <c r="G98" s="259"/>
      <c r="H98" s="261"/>
      <c r="I98" s="261"/>
      <c r="J98" s="261"/>
      <c r="K98" s="261"/>
      <c r="L98" s="261"/>
      <c r="M98" s="262"/>
      <c r="N98" s="262"/>
      <c r="O98" s="262"/>
      <c r="P98" s="262"/>
      <c r="Q98" s="261"/>
      <c r="R98" s="261"/>
      <c r="S98" s="261"/>
      <c r="T98" s="261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</row>
    <row r="99" spans="1:30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261"/>
      <c r="G99" s="259"/>
      <c r="H99" s="261"/>
      <c r="I99" s="261"/>
      <c r="J99" s="261"/>
      <c r="K99" s="261"/>
      <c r="L99" s="261"/>
      <c r="M99" s="262"/>
      <c r="N99" s="262"/>
      <c r="O99" s="262"/>
      <c r="P99" s="262"/>
      <c r="Q99" s="261"/>
      <c r="R99" s="261"/>
      <c r="S99" s="261"/>
      <c r="T99" s="261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</row>
    <row r="100" spans="1:30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261"/>
      <c r="G100" s="259"/>
      <c r="H100" s="261"/>
      <c r="I100" s="261"/>
      <c r="J100" s="261"/>
      <c r="K100" s="261"/>
      <c r="L100" s="261"/>
      <c r="M100" s="262"/>
      <c r="N100" s="262"/>
      <c r="O100" s="262"/>
      <c r="P100" s="262"/>
      <c r="Q100" s="261"/>
      <c r="R100" s="261"/>
      <c r="S100" s="261"/>
      <c r="T100" s="261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</row>
    <row r="101" spans="1:30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261"/>
      <c r="G101" s="259"/>
      <c r="H101" s="261"/>
      <c r="I101" s="261"/>
      <c r="J101" s="261"/>
      <c r="K101" s="261"/>
      <c r="L101" s="261"/>
      <c r="M101" s="262"/>
      <c r="N101" s="262"/>
      <c r="O101" s="262"/>
      <c r="P101" s="262"/>
      <c r="Q101" s="261"/>
      <c r="R101" s="261"/>
      <c r="S101" s="261"/>
      <c r="T101" s="261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</row>
    <row r="102" spans="1:30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261"/>
      <c r="G102" s="259"/>
      <c r="H102" s="261"/>
      <c r="I102" s="261"/>
      <c r="J102" s="261"/>
      <c r="K102" s="261"/>
      <c r="L102" s="261"/>
      <c r="M102" s="262"/>
      <c r="N102" s="262"/>
      <c r="O102" s="262"/>
      <c r="P102" s="262"/>
      <c r="Q102" s="261"/>
      <c r="R102" s="261"/>
      <c r="S102" s="261"/>
      <c r="T102" s="261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</row>
    <row r="103" spans="1:30" ht="18.75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261"/>
      <c r="G103" s="259"/>
      <c r="H103" s="261"/>
      <c r="I103" s="261"/>
      <c r="J103" s="261"/>
      <c r="K103" s="261"/>
      <c r="L103" s="261"/>
      <c r="M103" s="262"/>
      <c r="N103" s="266"/>
      <c r="O103" s="262"/>
      <c r="P103" s="262"/>
      <c r="Q103" s="261"/>
      <c r="R103" s="261"/>
      <c r="S103" s="261"/>
      <c r="T103" s="261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</row>
    <row r="104" spans="1:30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261"/>
      <c r="G104" s="268"/>
      <c r="H104" s="269"/>
      <c r="I104" s="269"/>
      <c r="J104" s="269"/>
      <c r="K104" s="269"/>
      <c r="L104" s="269"/>
      <c r="M104" s="269"/>
      <c r="N104" s="262"/>
      <c r="O104" s="269"/>
      <c r="P104" s="269"/>
      <c r="Q104" s="261"/>
      <c r="R104" s="261"/>
      <c r="S104" s="261"/>
      <c r="T104" s="261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</row>
    <row r="105" spans="1:30" ht="18.75" hidden="1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262"/>
      <c r="G105" s="259"/>
      <c r="H105" s="270"/>
      <c r="I105" s="270"/>
      <c r="J105" s="270"/>
      <c r="K105" s="270"/>
      <c r="L105" s="262"/>
      <c r="M105" s="262"/>
      <c r="N105" s="262"/>
      <c r="O105" s="270"/>
      <c r="P105" s="270"/>
      <c r="Q105" s="262"/>
      <c r="R105" s="262"/>
      <c r="S105" s="262"/>
      <c r="T105" s="262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</row>
    <row r="106" spans="1:30" ht="18.75" hidden="1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262"/>
      <c r="G106" s="259"/>
      <c r="H106" s="270"/>
      <c r="I106" s="270"/>
      <c r="J106" s="270"/>
      <c r="K106" s="270"/>
      <c r="L106" s="262"/>
      <c r="M106" s="262"/>
      <c r="N106" s="262"/>
      <c r="O106" s="270"/>
      <c r="P106" s="270"/>
      <c r="Q106" s="262"/>
      <c r="R106" s="262"/>
      <c r="S106" s="262"/>
      <c r="T106" s="262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</row>
    <row r="107" spans="1:30" ht="18.75" hidden="1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262"/>
      <c r="G107" s="259"/>
      <c r="H107" s="270"/>
      <c r="I107" s="270"/>
      <c r="J107" s="270"/>
      <c r="K107" s="270"/>
      <c r="L107" s="262"/>
      <c r="M107" s="262"/>
      <c r="N107" s="262"/>
      <c r="O107" s="270"/>
      <c r="P107" s="270"/>
      <c r="Q107" s="262"/>
      <c r="R107" s="262"/>
      <c r="S107" s="262"/>
      <c r="T107" s="262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</row>
    <row r="108" spans="1:30" ht="18.75" hidden="1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262"/>
      <c r="G108" s="259"/>
      <c r="H108" s="270"/>
      <c r="I108" s="270"/>
      <c r="J108" s="270"/>
      <c r="K108" s="270"/>
      <c r="L108" s="262"/>
      <c r="M108" s="262"/>
      <c r="N108" s="262"/>
      <c r="O108" s="270"/>
      <c r="P108" s="270"/>
      <c r="Q108" s="262"/>
      <c r="R108" s="262"/>
      <c r="S108" s="262"/>
      <c r="T108" s="262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</row>
    <row r="109" spans="1:30" ht="18.75" hidden="1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262"/>
      <c r="G109" s="259"/>
      <c r="H109" s="270"/>
      <c r="I109" s="270"/>
      <c r="J109" s="270"/>
      <c r="K109" s="270"/>
      <c r="L109" s="262"/>
      <c r="M109" s="262"/>
      <c r="N109" s="262"/>
      <c r="O109" s="270"/>
      <c r="P109" s="270"/>
      <c r="Q109" s="262"/>
      <c r="R109" s="262"/>
      <c r="S109" s="262"/>
      <c r="T109" s="262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</row>
    <row r="110" spans="1:30" ht="18.75" hidden="1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262"/>
      <c r="G110" s="259"/>
      <c r="H110" s="270"/>
      <c r="I110" s="270"/>
      <c r="J110" s="270"/>
      <c r="K110" s="270"/>
      <c r="L110" s="262"/>
      <c r="M110" s="262"/>
      <c r="N110" s="262"/>
      <c r="O110" s="270"/>
      <c r="P110" s="270"/>
      <c r="Q110" s="262"/>
      <c r="R110" s="262"/>
      <c r="S110" s="262"/>
      <c r="T110" s="262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</row>
    <row r="111" spans="1:30" ht="18.75" hidden="1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262"/>
      <c r="G111" s="259"/>
      <c r="H111" s="270"/>
      <c r="I111" s="270"/>
      <c r="J111" s="270"/>
      <c r="K111" s="270"/>
      <c r="L111" s="262"/>
      <c r="M111" s="262"/>
      <c r="N111" s="262"/>
      <c r="O111" s="270"/>
      <c r="P111" s="270"/>
      <c r="Q111" s="262"/>
      <c r="R111" s="262"/>
      <c r="S111" s="262"/>
      <c r="T111" s="262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</row>
    <row r="112" spans="1:30" ht="18.75" hidden="1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262"/>
      <c r="G112" s="259"/>
      <c r="H112" s="270"/>
      <c r="I112" s="270"/>
      <c r="J112" s="270"/>
      <c r="K112" s="270"/>
      <c r="L112" s="262"/>
      <c r="M112" s="262"/>
      <c r="N112" s="262"/>
      <c r="O112" s="270"/>
      <c r="P112" s="270"/>
      <c r="Q112" s="262"/>
      <c r="R112" s="262"/>
      <c r="S112" s="262"/>
      <c r="T112" s="262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</row>
    <row r="113" spans="1:30" ht="18.75" hidden="1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262"/>
      <c r="G113" s="259"/>
      <c r="H113" s="270"/>
      <c r="I113" s="270"/>
      <c r="J113" s="270"/>
      <c r="K113" s="270"/>
      <c r="L113" s="262"/>
      <c r="M113" s="262"/>
      <c r="N113" s="262"/>
      <c r="O113" s="270"/>
      <c r="P113" s="270"/>
      <c r="Q113" s="262"/>
      <c r="R113" s="262"/>
      <c r="S113" s="262"/>
      <c r="T113" s="262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</row>
    <row r="114" spans="1:30" ht="18.75" hidden="1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262"/>
      <c r="G114" s="259"/>
      <c r="H114" s="270"/>
      <c r="I114" s="270"/>
      <c r="J114" s="270"/>
      <c r="K114" s="270"/>
      <c r="L114" s="262"/>
      <c r="M114" s="262"/>
      <c r="N114" s="262"/>
      <c r="O114" s="270"/>
      <c r="P114" s="270"/>
      <c r="Q114" s="262"/>
      <c r="R114" s="262"/>
      <c r="S114" s="262"/>
      <c r="T114" s="262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</row>
    <row r="115" spans="1:30" ht="18.75" hidden="1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262"/>
      <c r="G115" s="259"/>
      <c r="H115" s="270"/>
      <c r="I115" s="270"/>
      <c r="J115" s="270"/>
      <c r="K115" s="270"/>
      <c r="L115" s="262"/>
      <c r="M115" s="262"/>
      <c r="N115" s="262"/>
      <c r="O115" s="270"/>
      <c r="P115" s="270"/>
      <c r="Q115" s="262"/>
      <c r="R115" s="262"/>
      <c r="S115" s="262"/>
      <c r="T115" s="262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</row>
    <row r="116" spans="1:30" ht="18.75" hidden="1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262"/>
      <c r="G116" s="259"/>
      <c r="H116" s="270"/>
      <c r="I116" s="270"/>
      <c r="J116" s="270"/>
      <c r="K116" s="270"/>
      <c r="L116" s="262"/>
      <c r="M116" s="262"/>
      <c r="N116" s="262"/>
      <c r="O116" s="270"/>
      <c r="P116" s="270"/>
      <c r="Q116" s="262"/>
      <c r="R116" s="262"/>
      <c r="S116" s="262"/>
      <c r="T116" s="262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</row>
    <row r="117" spans="1:30" ht="18.75" hidden="1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262"/>
      <c r="G117" s="259"/>
      <c r="H117" s="270"/>
      <c r="I117" s="270"/>
      <c r="J117" s="270"/>
      <c r="K117" s="270"/>
      <c r="L117" s="262"/>
      <c r="M117" s="262"/>
      <c r="N117" s="262"/>
      <c r="O117" s="270"/>
      <c r="P117" s="270"/>
      <c r="Q117" s="262"/>
      <c r="R117" s="262"/>
      <c r="S117" s="262"/>
      <c r="T117" s="262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</row>
    <row r="118" spans="1:30" ht="18.75" hidden="1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262"/>
      <c r="G118" s="259"/>
      <c r="H118" s="270"/>
      <c r="I118" s="270"/>
      <c r="J118" s="270"/>
      <c r="K118" s="270"/>
      <c r="L118" s="262"/>
      <c r="M118" s="262"/>
      <c r="N118" s="262"/>
      <c r="O118" s="270"/>
      <c r="P118" s="270"/>
      <c r="Q118" s="262"/>
      <c r="R118" s="262"/>
      <c r="S118" s="262"/>
      <c r="T118" s="262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</row>
    <row r="119" spans="1:30" ht="18.75" hidden="1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262"/>
      <c r="G119" s="259"/>
      <c r="H119" s="270"/>
      <c r="I119" s="270"/>
      <c r="J119" s="270"/>
      <c r="K119" s="270"/>
      <c r="L119" s="262"/>
      <c r="M119" s="262"/>
      <c r="N119" s="262"/>
      <c r="O119" s="270"/>
      <c r="P119" s="270"/>
      <c r="Q119" s="262"/>
      <c r="R119" s="262"/>
      <c r="S119" s="262"/>
      <c r="T119" s="262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</row>
    <row r="120" spans="1:30" ht="18.75" hidden="1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262"/>
      <c r="G120" s="259"/>
      <c r="H120" s="270"/>
      <c r="I120" s="270"/>
      <c r="J120" s="270"/>
      <c r="K120" s="270"/>
      <c r="L120" s="262"/>
      <c r="M120" s="262"/>
      <c r="N120" s="262"/>
      <c r="O120" s="270"/>
      <c r="P120" s="270"/>
      <c r="Q120" s="262"/>
      <c r="R120" s="262"/>
      <c r="S120" s="262"/>
      <c r="T120" s="262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</row>
    <row r="121" spans="1:30" ht="18.75" hidden="1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262"/>
      <c r="G121" s="259"/>
      <c r="H121" s="270"/>
      <c r="I121" s="270"/>
      <c r="J121" s="270"/>
      <c r="K121" s="270"/>
      <c r="L121" s="262"/>
      <c r="M121" s="262"/>
      <c r="N121" s="262"/>
      <c r="O121" s="270"/>
      <c r="P121" s="270"/>
      <c r="Q121" s="262"/>
      <c r="R121" s="262"/>
      <c r="S121" s="262"/>
      <c r="T121" s="262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</row>
    <row r="122" spans="1:30" ht="18.75" hidden="1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262"/>
      <c r="G122" s="259"/>
      <c r="H122" s="270"/>
      <c r="I122" s="270"/>
      <c r="J122" s="270"/>
      <c r="K122" s="270"/>
      <c r="L122" s="262"/>
      <c r="M122" s="262"/>
      <c r="N122" s="262"/>
      <c r="O122" s="270"/>
      <c r="P122" s="270"/>
      <c r="Q122" s="262"/>
      <c r="R122" s="262"/>
      <c r="S122" s="262"/>
      <c r="T122" s="262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</row>
    <row r="123" spans="1:30" ht="18.75" hidden="1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262"/>
      <c r="G123" s="259"/>
      <c r="H123" s="270"/>
      <c r="I123" s="270"/>
      <c r="J123" s="270"/>
      <c r="K123" s="270"/>
      <c r="L123" s="262"/>
      <c r="M123" s="262"/>
      <c r="N123" s="262"/>
      <c r="O123" s="270"/>
      <c r="P123" s="270"/>
      <c r="Q123" s="262"/>
      <c r="R123" s="262"/>
      <c r="S123" s="262"/>
      <c r="T123" s="262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</row>
    <row r="124" spans="1:30" ht="18.75" hidden="1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262"/>
      <c r="G124" s="259"/>
      <c r="H124" s="270"/>
      <c r="I124" s="270"/>
      <c r="J124" s="270"/>
      <c r="K124" s="270"/>
      <c r="L124" s="262"/>
      <c r="M124" s="262"/>
      <c r="N124" s="262"/>
      <c r="O124" s="270"/>
      <c r="P124" s="270"/>
      <c r="Q124" s="262"/>
      <c r="R124" s="262"/>
      <c r="S124" s="262"/>
      <c r="T124" s="262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</row>
    <row r="125" spans="1:30" ht="18.75" hidden="1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262"/>
      <c r="G125" s="259"/>
      <c r="H125" s="270"/>
      <c r="I125" s="270"/>
      <c r="J125" s="270"/>
      <c r="K125" s="270"/>
      <c r="L125" s="262"/>
      <c r="M125" s="262"/>
      <c r="N125" s="262"/>
      <c r="O125" s="270"/>
      <c r="P125" s="270"/>
      <c r="Q125" s="262"/>
      <c r="R125" s="262"/>
      <c r="S125" s="262"/>
      <c r="T125" s="262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</row>
    <row r="126" spans="1:30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261"/>
      <c r="G126" s="268"/>
      <c r="H126" s="269"/>
      <c r="I126" s="270"/>
      <c r="J126" s="269"/>
      <c r="K126" s="270"/>
      <c r="L126" s="261"/>
      <c r="M126" s="262"/>
      <c r="N126" s="262"/>
      <c r="O126" s="269"/>
      <c r="P126" s="269"/>
      <c r="Q126" s="266"/>
      <c r="R126" s="261"/>
      <c r="S126" s="261"/>
      <c r="T126" s="261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</row>
    <row r="127" spans="1:30" ht="18.75" hidden="1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262"/>
      <c r="G127" s="259"/>
      <c r="H127" s="262"/>
      <c r="I127" s="270"/>
      <c r="J127" s="262"/>
      <c r="K127" s="270"/>
      <c r="L127" s="262"/>
      <c r="M127" s="262"/>
      <c r="N127" s="262"/>
      <c r="O127" s="262"/>
      <c r="P127" s="262"/>
      <c r="Q127" s="262"/>
      <c r="R127" s="262"/>
      <c r="S127" s="262"/>
      <c r="T127" s="262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</row>
    <row r="128" spans="1:30" ht="18.75" hidden="1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262"/>
      <c r="G128" s="259"/>
      <c r="H128" s="262"/>
      <c r="I128" s="270"/>
      <c r="J128" s="262"/>
      <c r="K128" s="270"/>
      <c r="L128" s="262"/>
      <c r="M128" s="262"/>
      <c r="N128" s="262"/>
      <c r="O128" s="262"/>
      <c r="P128" s="262"/>
      <c r="Q128" s="262"/>
      <c r="R128" s="262"/>
      <c r="S128" s="262"/>
      <c r="T128" s="262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</row>
    <row r="129" spans="1:30" ht="18.75" hidden="1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262"/>
      <c r="G129" s="259"/>
      <c r="H129" s="262"/>
      <c r="I129" s="270"/>
      <c r="J129" s="262"/>
      <c r="K129" s="270"/>
      <c r="L129" s="262"/>
      <c r="M129" s="262"/>
      <c r="N129" s="262"/>
      <c r="O129" s="262"/>
      <c r="P129" s="262"/>
      <c r="Q129" s="262"/>
      <c r="R129" s="262"/>
      <c r="S129" s="262"/>
      <c r="T129" s="262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</row>
    <row r="130" spans="1:30" ht="18.75" hidden="1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262"/>
      <c r="G130" s="259"/>
      <c r="H130" s="262"/>
      <c r="I130" s="270"/>
      <c r="J130" s="262"/>
      <c r="K130" s="270"/>
      <c r="L130" s="262"/>
      <c r="M130" s="262"/>
      <c r="N130" s="262"/>
      <c r="O130" s="262"/>
      <c r="P130" s="262"/>
      <c r="Q130" s="262"/>
      <c r="R130" s="262"/>
      <c r="S130" s="262"/>
      <c r="T130" s="262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</row>
    <row r="131" spans="1:30" ht="18.75" hidden="1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262"/>
      <c r="G131" s="259"/>
      <c r="H131" s="262"/>
      <c r="I131" s="270"/>
      <c r="J131" s="262"/>
      <c r="K131" s="270"/>
      <c r="L131" s="262"/>
      <c r="M131" s="262"/>
      <c r="N131" s="262"/>
      <c r="O131" s="262"/>
      <c r="P131" s="262"/>
      <c r="Q131" s="262"/>
      <c r="R131" s="262"/>
      <c r="S131" s="262"/>
      <c r="T131" s="262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</row>
    <row r="132" spans="1:30" ht="18.75" hidden="1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262"/>
      <c r="G132" s="259"/>
      <c r="H132" s="262"/>
      <c r="I132" s="270"/>
      <c r="J132" s="262"/>
      <c r="K132" s="270"/>
      <c r="L132" s="262"/>
      <c r="M132" s="262"/>
      <c r="N132" s="262"/>
      <c r="O132" s="262"/>
      <c r="P132" s="262"/>
      <c r="Q132" s="262"/>
      <c r="R132" s="262"/>
      <c r="S132" s="262"/>
      <c r="T132" s="262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</row>
    <row r="133" spans="1:30" ht="18.75" hidden="1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262"/>
      <c r="G133" s="259"/>
      <c r="H133" s="262"/>
      <c r="I133" s="270"/>
      <c r="J133" s="262"/>
      <c r="K133" s="270"/>
      <c r="L133" s="262"/>
      <c r="M133" s="262"/>
      <c r="N133" s="262"/>
      <c r="O133" s="262"/>
      <c r="P133" s="262"/>
      <c r="Q133" s="262"/>
      <c r="R133" s="262"/>
      <c r="S133" s="262"/>
      <c r="T133" s="262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</row>
    <row r="134" spans="1:30" ht="18.75" hidden="1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262"/>
      <c r="G134" s="259"/>
      <c r="H134" s="262"/>
      <c r="I134" s="270"/>
      <c r="J134" s="262"/>
      <c r="K134" s="270"/>
      <c r="L134" s="262"/>
      <c r="M134" s="262"/>
      <c r="N134" s="262"/>
      <c r="O134" s="262"/>
      <c r="P134" s="262"/>
      <c r="Q134" s="262"/>
      <c r="R134" s="262"/>
      <c r="S134" s="262"/>
      <c r="T134" s="262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</row>
    <row r="135" spans="1:30" ht="18.75" hidden="1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262"/>
      <c r="G135" s="259"/>
      <c r="H135" s="262"/>
      <c r="I135" s="270"/>
      <c r="J135" s="262"/>
      <c r="K135" s="270"/>
      <c r="L135" s="262"/>
      <c r="M135" s="262"/>
      <c r="N135" s="262"/>
      <c r="O135" s="262"/>
      <c r="P135" s="262"/>
      <c r="Q135" s="262"/>
      <c r="R135" s="262"/>
      <c r="S135" s="262"/>
      <c r="T135" s="262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</row>
    <row r="136" spans="1:30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261"/>
      <c r="G136" s="259"/>
      <c r="H136" s="261"/>
      <c r="I136" s="270"/>
      <c r="J136" s="261"/>
      <c r="K136" s="269"/>
      <c r="L136" s="261"/>
      <c r="M136" s="262"/>
      <c r="N136" s="262"/>
      <c r="O136" s="262"/>
      <c r="P136" s="262"/>
      <c r="Q136" s="261"/>
      <c r="R136" s="261"/>
      <c r="S136" s="261"/>
      <c r="T136" s="261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</row>
    <row r="137" spans="1:30" ht="18.75" hidden="1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262"/>
      <c r="G137" s="259"/>
      <c r="H137" s="262"/>
      <c r="I137" s="270"/>
      <c r="J137" s="262"/>
      <c r="K137" s="270"/>
      <c r="L137" s="262"/>
      <c r="M137" s="262"/>
      <c r="N137" s="262"/>
      <c r="O137" s="262"/>
      <c r="P137" s="262"/>
      <c r="Q137" s="262"/>
      <c r="R137" s="262"/>
      <c r="S137" s="262"/>
      <c r="T137" s="262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</row>
    <row r="138" spans="1:30" ht="18.75" hidden="1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262"/>
      <c r="G138" s="259"/>
      <c r="H138" s="262"/>
      <c r="I138" s="270"/>
      <c r="J138" s="262"/>
      <c r="K138" s="270"/>
      <c r="L138" s="262"/>
      <c r="M138" s="262"/>
      <c r="N138" s="262"/>
      <c r="O138" s="262"/>
      <c r="P138" s="262"/>
      <c r="Q138" s="262"/>
      <c r="R138" s="262"/>
      <c r="S138" s="262"/>
      <c r="T138" s="262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</row>
    <row r="139" spans="1:30" ht="18.75" hidden="1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262"/>
      <c r="G139" s="259"/>
      <c r="H139" s="262"/>
      <c r="I139" s="270"/>
      <c r="J139" s="262"/>
      <c r="K139" s="270"/>
      <c r="L139" s="262"/>
      <c r="M139" s="262"/>
      <c r="N139" s="262"/>
      <c r="O139" s="262"/>
      <c r="P139" s="262"/>
      <c r="Q139" s="262"/>
      <c r="R139" s="262"/>
      <c r="S139" s="262"/>
      <c r="T139" s="262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</row>
    <row r="140" spans="1:30" ht="18.75" hidden="1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262"/>
      <c r="G140" s="259"/>
      <c r="H140" s="262"/>
      <c r="I140" s="270"/>
      <c r="J140" s="262"/>
      <c r="K140" s="270"/>
      <c r="L140" s="262"/>
      <c r="M140" s="262"/>
      <c r="N140" s="262"/>
      <c r="O140" s="262"/>
      <c r="P140" s="262"/>
      <c r="Q140" s="262"/>
      <c r="R140" s="262"/>
      <c r="S140" s="262"/>
      <c r="T140" s="262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</row>
    <row r="141" spans="1:30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261"/>
      <c r="G141" s="259"/>
      <c r="H141" s="271"/>
      <c r="I141" s="270"/>
      <c r="J141" s="261"/>
      <c r="K141" s="270"/>
      <c r="L141" s="261"/>
      <c r="M141" s="262"/>
      <c r="N141" s="262"/>
      <c r="O141" s="262"/>
      <c r="P141" s="262"/>
      <c r="Q141" s="261"/>
      <c r="R141" s="261"/>
      <c r="S141" s="261"/>
      <c r="T141" s="261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</row>
    <row r="142" spans="1:30" ht="18.75" hidden="1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262"/>
      <c r="G142" s="259"/>
      <c r="H142" s="262"/>
      <c r="I142" s="270"/>
      <c r="J142" s="262"/>
      <c r="K142" s="262"/>
      <c r="L142" s="262"/>
      <c r="M142" s="262"/>
      <c r="N142" s="262"/>
      <c r="O142" s="262"/>
      <c r="P142" s="262"/>
      <c r="Q142" s="262"/>
      <c r="R142" s="262"/>
      <c r="S142" s="262"/>
      <c r="T142" s="262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</row>
    <row r="143" spans="1:30" ht="18.75" hidden="1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262"/>
      <c r="G143" s="259"/>
      <c r="H143" s="262"/>
      <c r="I143" s="270"/>
      <c r="J143" s="262"/>
      <c r="K143" s="262"/>
      <c r="L143" s="262"/>
      <c r="M143" s="262"/>
      <c r="N143" s="262"/>
      <c r="O143" s="262"/>
      <c r="P143" s="262"/>
      <c r="Q143" s="262"/>
      <c r="R143" s="262"/>
      <c r="S143" s="262"/>
      <c r="T143" s="262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</row>
    <row r="144" spans="1:30" ht="18.75" hidden="1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262"/>
      <c r="G144" s="259"/>
      <c r="H144" s="262"/>
      <c r="I144" s="270"/>
      <c r="J144" s="262"/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</row>
    <row r="145" spans="1:30" ht="18.75" hidden="1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262"/>
      <c r="G145" s="259"/>
      <c r="H145" s="262"/>
      <c r="I145" s="270"/>
      <c r="J145" s="262"/>
      <c r="K145" s="262"/>
      <c r="L145" s="262"/>
      <c r="M145" s="262"/>
      <c r="N145" s="262"/>
      <c r="O145" s="262"/>
      <c r="P145" s="262"/>
      <c r="Q145" s="262"/>
      <c r="R145" s="262"/>
      <c r="S145" s="262"/>
      <c r="T145" s="262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</row>
    <row r="146" spans="1:30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261"/>
      <c r="G146" s="259"/>
      <c r="H146" s="261"/>
      <c r="I146" s="270"/>
      <c r="J146" s="261"/>
      <c r="K146" s="261"/>
      <c r="L146" s="261"/>
      <c r="M146" s="262"/>
      <c r="N146" s="262"/>
      <c r="O146" s="262"/>
      <c r="P146" s="262"/>
      <c r="Q146" s="261"/>
      <c r="R146" s="261"/>
      <c r="S146" s="261"/>
      <c r="T146" s="261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</row>
    <row r="147" spans="1:30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261"/>
      <c r="G147" s="259"/>
      <c r="H147" s="261"/>
      <c r="I147" s="261"/>
      <c r="J147" s="261"/>
      <c r="K147" s="261"/>
      <c r="L147" s="261"/>
      <c r="M147" s="262"/>
      <c r="N147" s="262"/>
      <c r="O147" s="262"/>
      <c r="P147" s="262"/>
      <c r="Q147" s="261"/>
      <c r="R147" s="261"/>
      <c r="S147" s="261"/>
      <c r="T147" s="261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</row>
    <row r="148" spans="1:30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261"/>
      <c r="G148" s="259"/>
      <c r="H148" s="261"/>
      <c r="I148" s="261"/>
      <c r="J148" s="261"/>
      <c r="K148" s="261"/>
      <c r="L148" s="261"/>
      <c r="M148" s="262"/>
      <c r="N148" s="262"/>
      <c r="O148" s="262"/>
      <c r="P148" s="262"/>
      <c r="Q148" s="261"/>
      <c r="R148" s="261"/>
      <c r="S148" s="261"/>
      <c r="T148" s="261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</row>
    <row r="149" spans="1:30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261"/>
      <c r="G149" s="259"/>
      <c r="H149" s="261"/>
      <c r="I149" s="261"/>
      <c r="J149" s="261"/>
      <c r="K149" s="261"/>
      <c r="L149" s="261"/>
      <c r="M149" s="262"/>
      <c r="N149" s="262"/>
      <c r="O149" s="262"/>
      <c r="P149" s="262"/>
      <c r="Q149" s="261"/>
      <c r="R149" s="261"/>
      <c r="S149" s="261"/>
      <c r="T149" s="261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</row>
    <row r="150" spans="1:30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261"/>
      <c r="G150" s="259"/>
      <c r="H150" s="261"/>
      <c r="I150" s="261"/>
      <c r="J150" s="261"/>
      <c r="K150" s="261"/>
      <c r="L150" s="261"/>
      <c r="M150" s="262"/>
      <c r="N150" s="262"/>
      <c r="O150" s="262"/>
      <c r="P150" s="262"/>
      <c r="Q150" s="261"/>
      <c r="R150" s="261"/>
      <c r="S150" s="261"/>
      <c r="T150" s="261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</row>
    <row r="151" spans="1:30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261"/>
      <c r="G151" s="259"/>
      <c r="H151" s="261"/>
      <c r="I151" s="261"/>
      <c r="J151" s="261"/>
      <c r="K151" s="261"/>
      <c r="L151" s="261"/>
      <c r="M151" s="262"/>
      <c r="N151" s="262"/>
      <c r="O151" s="262"/>
      <c r="P151" s="262"/>
      <c r="Q151" s="261"/>
      <c r="R151" s="261"/>
      <c r="S151" s="261"/>
      <c r="T151" s="261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</row>
    <row r="152" spans="1:30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261"/>
      <c r="G152" s="259"/>
      <c r="H152" s="261"/>
      <c r="I152" s="261"/>
      <c r="J152" s="261"/>
      <c r="K152" s="261"/>
      <c r="L152" s="261"/>
      <c r="M152" s="262"/>
      <c r="N152" s="262"/>
      <c r="O152" s="262"/>
      <c r="P152" s="262"/>
      <c r="Q152" s="261"/>
      <c r="R152" s="261"/>
      <c r="S152" s="261"/>
      <c r="T152" s="261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</row>
    <row r="153" spans="1:30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261"/>
      <c r="G153" s="259"/>
      <c r="H153" s="261"/>
      <c r="I153" s="261"/>
      <c r="J153" s="261"/>
      <c r="K153" s="261"/>
      <c r="L153" s="261"/>
      <c r="M153" s="262"/>
      <c r="N153" s="262"/>
      <c r="O153" s="262"/>
      <c r="P153" s="262"/>
      <c r="Q153" s="261"/>
      <c r="R153" s="261"/>
      <c r="S153" s="261"/>
      <c r="T153" s="261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</row>
    <row r="154" spans="1:30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261"/>
      <c r="G154" s="259"/>
      <c r="H154" s="261"/>
      <c r="I154" s="261"/>
      <c r="J154" s="261"/>
      <c r="K154" s="261"/>
      <c r="L154" s="261"/>
      <c r="M154" s="262"/>
      <c r="N154" s="262"/>
      <c r="O154" s="262"/>
      <c r="P154" s="262"/>
      <c r="Q154" s="261"/>
      <c r="R154" s="261"/>
      <c r="S154" s="261"/>
      <c r="T154" s="261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</row>
    <row r="155" spans="1:30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261"/>
      <c r="G155" s="259"/>
      <c r="H155" s="261"/>
      <c r="I155" s="261"/>
      <c r="J155" s="261"/>
      <c r="K155" s="261"/>
      <c r="L155" s="261"/>
      <c r="M155" s="262"/>
      <c r="N155" s="262"/>
      <c r="O155" s="262"/>
      <c r="P155" s="262"/>
      <c r="Q155" s="261"/>
      <c r="R155" s="261"/>
      <c r="S155" s="261"/>
      <c r="T155" s="261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</row>
    <row r="156" spans="1:30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261"/>
      <c r="G156" s="259"/>
      <c r="H156" s="261"/>
      <c r="I156" s="261"/>
      <c r="J156" s="261"/>
      <c r="K156" s="261"/>
      <c r="L156" s="261"/>
      <c r="M156" s="262"/>
      <c r="N156" s="262"/>
      <c r="O156" s="262"/>
      <c r="P156" s="262"/>
      <c r="Q156" s="261"/>
      <c r="R156" s="261"/>
      <c r="S156" s="261"/>
      <c r="T156" s="261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</row>
    <row r="157" spans="1:30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261"/>
      <c r="G157" s="259"/>
      <c r="H157" s="261"/>
      <c r="I157" s="261"/>
      <c r="J157" s="261"/>
      <c r="K157" s="261"/>
      <c r="L157" s="261"/>
      <c r="M157" s="262"/>
      <c r="N157" s="262"/>
      <c r="O157" s="262"/>
      <c r="P157" s="262"/>
      <c r="Q157" s="261"/>
      <c r="R157" s="261"/>
      <c r="S157" s="261"/>
      <c r="T157" s="261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</row>
    <row r="158" spans="1:30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261"/>
      <c r="G158" s="259"/>
      <c r="H158" s="261"/>
      <c r="I158" s="261"/>
      <c r="J158" s="261"/>
      <c r="K158" s="261"/>
      <c r="L158" s="261"/>
      <c r="M158" s="262"/>
      <c r="N158" s="262"/>
      <c r="O158" s="262"/>
      <c r="P158" s="262"/>
      <c r="Q158" s="261"/>
      <c r="R158" s="261"/>
      <c r="S158" s="261"/>
      <c r="T158" s="261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</row>
    <row r="159" spans="1:30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261"/>
      <c r="G159" s="259"/>
      <c r="H159" s="261"/>
      <c r="I159" s="261"/>
      <c r="J159" s="261"/>
      <c r="K159" s="261"/>
      <c r="L159" s="261"/>
      <c r="M159" s="262"/>
      <c r="N159" s="262"/>
      <c r="O159" s="262"/>
      <c r="P159" s="262"/>
      <c r="Q159" s="261"/>
      <c r="R159" s="261"/>
      <c r="S159" s="261"/>
      <c r="T159" s="261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</row>
    <row r="160" spans="1:30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261"/>
      <c r="G160" s="259"/>
      <c r="H160" s="261"/>
      <c r="I160" s="261"/>
      <c r="J160" s="261"/>
      <c r="K160" s="261"/>
      <c r="L160" s="261"/>
      <c r="M160" s="262"/>
      <c r="N160" s="262"/>
      <c r="O160" s="262"/>
      <c r="P160" s="262"/>
      <c r="Q160" s="261"/>
      <c r="R160" s="261"/>
      <c r="S160" s="261"/>
      <c r="T160" s="261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</row>
    <row r="161" spans="1:30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261"/>
      <c r="G161" s="259"/>
      <c r="H161" s="261"/>
      <c r="I161" s="261"/>
      <c r="J161" s="261"/>
      <c r="K161" s="261"/>
      <c r="L161" s="261"/>
      <c r="M161" s="262"/>
      <c r="N161" s="262"/>
      <c r="O161" s="262"/>
      <c r="P161" s="262"/>
      <c r="Q161" s="261"/>
      <c r="R161" s="261"/>
      <c r="S161" s="261"/>
      <c r="T161" s="261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</row>
    <row r="162" spans="1:30" ht="18.75" hidden="1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262"/>
      <c r="G162" s="259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</row>
    <row r="163" spans="1:30" ht="18.75" hidden="1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262"/>
      <c r="G163" s="259"/>
      <c r="H163" s="262"/>
      <c r="I163" s="262"/>
      <c r="J163" s="262"/>
      <c r="K163" s="262"/>
      <c r="L163" s="262"/>
      <c r="M163" s="262"/>
      <c r="N163" s="262"/>
      <c r="O163" s="262"/>
      <c r="P163" s="262"/>
      <c r="Q163" s="262"/>
      <c r="R163" s="262"/>
      <c r="S163" s="262"/>
      <c r="T163" s="262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</row>
    <row r="164" spans="1:30" ht="31.5" hidden="1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262"/>
      <c r="G164" s="259"/>
      <c r="H164" s="262"/>
      <c r="I164" s="262"/>
      <c r="J164" s="262"/>
      <c r="K164" s="262"/>
      <c r="L164" s="262"/>
      <c r="M164" s="262"/>
      <c r="N164" s="262"/>
      <c r="O164" s="262"/>
      <c r="P164" s="262"/>
      <c r="Q164" s="262"/>
      <c r="R164" s="262"/>
      <c r="S164" s="262"/>
      <c r="T164" s="262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</row>
    <row r="165" spans="1:30" ht="18.75" hidden="1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262"/>
      <c r="G165" s="259"/>
      <c r="H165" s="262"/>
      <c r="I165" s="262"/>
      <c r="J165" s="262"/>
      <c r="K165" s="262"/>
      <c r="L165" s="262"/>
      <c r="M165" s="262"/>
      <c r="N165" s="262"/>
      <c r="O165" s="262"/>
      <c r="P165" s="262"/>
      <c r="Q165" s="262"/>
      <c r="R165" s="262"/>
      <c r="S165" s="262"/>
      <c r="T165" s="262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</row>
    <row r="166" spans="1:30" ht="31.5" hidden="1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262"/>
      <c r="G166" s="259"/>
      <c r="H166" s="262"/>
      <c r="I166" s="262"/>
      <c r="J166" s="262"/>
      <c r="K166" s="262"/>
      <c r="L166" s="262"/>
      <c r="M166" s="262"/>
      <c r="N166" s="262"/>
      <c r="O166" s="262"/>
      <c r="P166" s="262"/>
      <c r="Q166" s="262"/>
      <c r="R166" s="262"/>
      <c r="S166" s="262"/>
      <c r="T166" s="262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</row>
    <row r="167" spans="1:30" ht="18.75" hidden="1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262"/>
      <c r="G167" s="259"/>
      <c r="H167" s="262"/>
      <c r="I167" s="262"/>
      <c r="J167" s="262"/>
      <c r="K167" s="262"/>
      <c r="L167" s="262"/>
      <c r="M167" s="262"/>
      <c r="N167" s="262"/>
      <c r="O167" s="262"/>
      <c r="P167" s="262"/>
      <c r="Q167" s="262"/>
      <c r="R167" s="262"/>
      <c r="S167" s="262"/>
      <c r="T167" s="262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</row>
    <row r="168" spans="1:30" ht="18.75" hidden="1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262"/>
      <c r="G168" s="259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</row>
    <row r="169" spans="1:30" ht="15.75" hidden="1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262"/>
      <c r="G169" s="259"/>
      <c r="H169" s="262"/>
      <c r="I169" s="262"/>
      <c r="J169" s="262"/>
      <c r="K169" s="262"/>
      <c r="L169" s="262"/>
      <c r="M169" s="262"/>
      <c r="N169" s="262"/>
      <c r="O169" s="262"/>
      <c r="P169" s="262"/>
      <c r="Q169" s="262"/>
      <c r="R169" s="262"/>
      <c r="S169" s="262"/>
      <c r="T169" s="262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</row>
    <row r="170" spans="1:30" ht="31.5" hidden="1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262"/>
      <c r="G170" s="259"/>
      <c r="H170" s="262"/>
      <c r="I170" s="262"/>
      <c r="J170" s="262"/>
      <c r="K170" s="262"/>
      <c r="L170" s="262"/>
      <c r="M170" s="262"/>
      <c r="N170" s="262"/>
      <c r="O170" s="262"/>
      <c r="P170" s="262"/>
      <c r="Q170" s="262"/>
      <c r="R170" s="262"/>
      <c r="S170" s="262"/>
      <c r="T170" s="262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</row>
    <row r="171" spans="1:30" ht="31.5" hidden="1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262"/>
      <c r="G171" s="259"/>
      <c r="H171" s="262"/>
      <c r="I171" s="262"/>
      <c r="J171" s="262"/>
      <c r="K171" s="262"/>
      <c r="L171" s="262"/>
      <c r="M171" s="262"/>
      <c r="N171" s="262"/>
      <c r="O171" s="262"/>
      <c r="P171" s="262"/>
      <c r="Q171" s="262"/>
      <c r="R171" s="262"/>
      <c r="S171" s="262"/>
      <c r="T171" s="262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</row>
    <row r="172" spans="1:30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261"/>
      <c r="G172" s="259"/>
      <c r="H172" s="261"/>
      <c r="I172" s="261"/>
      <c r="J172" s="261"/>
      <c r="K172" s="261"/>
      <c r="L172" s="261"/>
      <c r="M172" s="262"/>
      <c r="N172" s="262"/>
      <c r="O172" s="262"/>
      <c r="P172" s="262"/>
      <c r="Q172" s="261"/>
      <c r="R172" s="261"/>
      <c r="S172" s="261"/>
      <c r="T172" s="261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</row>
    <row r="173" spans="1:30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261"/>
      <c r="G173" s="259"/>
      <c r="H173" s="261"/>
      <c r="I173" s="261"/>
      <c r="J173" s="261"/>
      <c r="K173" s="261"/>
      <c r="L173" s="261"/>
      <c r="M173" s="262"/>
      <c r="N173" s="262"/>
      <c r="O173" s="262"/>
      <c r="P173" s="262"/>
      <c r="Q173" s="261"/>
      <c r="R173" s="261"/>
      <c r="S173" s="261"/>
      <c r="T173" s="261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</row>
    <row r="174" spans="1:30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261"/>
      <c r="G174" s="259"/>
      <c r="H174" s="261"/>
      <c r="I174" s="261"/>
      <c r="J174" s="261"/>
      <c r="K174" s="261"/>
      <c r="L174" s="261"/>
      <c r="M174" s="262"/>
      <c r="N174" s="262"/>
      <c r="O174" s="262"/>
      <c r="P174" s="262"/>
      <c r="Q174" s="261"/>
      <c r="R174" s="261"/>
      <c r="S174" s="261"/>
      <c r="T174" s="261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</row>
    <row r="175" spans="1:30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261"/>
      <c r="G175" s="259"/>
      <c r="H175" s="261"/>
      <c r="I175" s="261"/>
      <c r="J175" s="261"/>
      <c r="K175" s="261"/>
      <c r="L175" s="261"/>
      <c r="M175" s="262"/>
      <c r="N175" s="262"/>
      <c r="O175" s="262"/>
      <c r="P175" s="262"/>
      <c r="Q175" s="261"/>
      <c r="R175" s="261"/>
      <c r="S175" s="261"/>
      <c r="T175" s="261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</row>
    <row r="176" spans="1:30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261"/>
      <c r="G176" s="259"/>
      <c r="H176" s="261"/>
      <c r="I176" s="261"/>
      <c r="J176" s="261"/>
      <c r="K176" s="261"/>
      <c r="L176" s="261"/>
      <c r="M176" s="262"/>
      <c r="N176" s="262"/>
      <c r="O176" s="262"/>
      <c r="P176" s="262"/>
      <c r="Q176" s="261"/>
      <c r="R176" s="261"/>
      <c r="S176" s="261"/>
      <c r="T176" s="261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</row>
    <row r="177" spans="1:30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261"/>
      <c r="G177" s="259"/>
      <c r="H177" s="261"/>
      <c r="I177" s="261"/>
      <c r="J177" s="261"/>
      <c r="K177" s="261"/>
      <c r="L177" s="261"/>
      <c r="M177" s="262"/>
      <c r="N177" s="262"/>
      <c r="O177" s="262"/>
      <c r="P177" s="262"/>
      <c r="Q177" s="261"/>
      <c r="R177" s="261"/>
      <c r="S177" s="261"/>
      <c r="T177" s="261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</row>
    <row r="178" spans="1:30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261"/>
      <c r="G178" s="259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</row>
    <row r="179" spans="1:30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261"/>
      <c r="G179" s="259"/>
      <c r="H179" s="261"/>
      <c r="I179" s="261"/>
      <c r="J179" s="261"/>
      <c r="K179" s="261"/>
      <c r="L179" s="261"/>
      <c r="M179" s="262"/>
      <c r="N179" s="262"/>
      <c r="O179" s="262"/>
      <c r="P179" s="262"/>
      <c r="Q179" s="261"/>
      <c r="R179" s="261"/>
      <c r="S179" s="261"/>
      <c r="T179" s="261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</row>
    <row r="180" spans="1:30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261"/>
      <c r="G180" s="259"/>
      <c r="H180" s="261"/>
      <c r="I180" s="261"/>
      <c r="J180" s="261"/>
      <c r="K180" s="261"/>
      <c r="L180" s="261"/>
      <c r="M180" s="262"/>
      <c r="N180" s="262"/>
      <c r="O180" s="262"/>
      <c r="P180" s="262"/>
      <c r="Q180" s="261"/>
      <c r="R180" s="261"/>
      <c r="S180" s="261"/>
      <c r="T180" s="261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</row>
    <row r="181" spans="1:30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261"/>
      <c r="G181" s="259"/>
      <c r="H181" s="261"/>
      <c r="I181" s="261"/>
      <c r="J181" s="261"/>
      <c r="K181" s="261"/>
      <c r="L181" s="261"/>
      <c r="M181" s="262"/>
      <c r="N181" s="262"/>
      <c r="O181" s="262"/>
      <c r="P181" s="262"/>
      <c r="Q181" s="261"/>
      <c r="R181" s="261"/>
      <c r="S181" s="261"/>
      <c r="T181" s="261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</row>
    <row r="182" spans="1:30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261"/>
      <c r="G182" s="259"/>
      <c r="H182" s="261"/>
      <c r="I182" s="261"/>
      <c r="J182" s="261"/>
      <c r="K182" s="261"/>
      <c r="L182" s="261"/>
      <c r="M182" s="262"/>
      <c r="N182" s="262"/>
      <c r="O182" s="262"/>
      <c r="P182" s="262"/>
      <c r="Q182" s="261"/>
      <c r="R182" s="261"/>
      <c r="S182" s="261"/>
      <c r="T182" s="261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</row>
    <row r="183" spans="1:30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261"/>
      <c r="G183" s="259"/>
      <c r="H183" s="261"/>
      <c r="I183" s="261"/>
      <c r="J183" s="261"/>
      <c r="K183" s="261"/>
      <c r="L183" s="261"/>
      <c r="M183" s="262"/>
      <c r="N183" s="262"/>
      <c r="O183" s="262"/>
      <c r="P183" s="262"/>
      <c r="Q183" s="261"/>
      <c r="R183" s="261"/>
      <c r="S183" s="261"/>
      <c r="T183" s="261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</row>
    <row r="184" spans="1:30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261"/>
      <c r="G184" s="259"/>
      <c r="H184" s="261"/>
      <c r="I184" s="261"/>
      <c r="J184" s="261"/>
      <c r="K184" s="261"/>
      <c r="L184" s="261"/>
      <c r="M184" s="262"/>
      <c r="N184" s="262"/>
      <c r="O184" s="262"/>
      <c r="P184" s="262"/>
      <c r="Q184" s="261"/>
      <c r="R184" s="261"/>
      <c r="S184" s="261"/>
      <c r="T184" s="261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</row>
    <row r="185" spans="1:30" ht="31.5" customHeight="1">
      <c r="A185" s="101">
        <v>7.7</v>
      </c>
      <c r="B185" s="53" t="s">
        <v>412</v>
      </c>
      <c r="C185" s="87" t="s">
        <v>413</v>
      </c>
      <c r="D185" s="61" t="s">
        <v>1132</v>
      </c>
      <c r="E185" s="200">
        <f t="shared" si="0"/>
        <v>0</v>
      </c>
      <c r="F185" s="261"/>
      <c r="G185" s="259"/>
      <c r="H185" s="261"/>
      <c r="I185" s="261"/>
      <c r="J185" s="261"/>
      <c r="K185" s="261"/>
      <c r="L185" s="261"/>
      <c r="M185" s="262"/>
      <c r="N185" s="262"/>
      <c r="O185" s="262"/>
      <c r="P185" s="262"/>
      <c r="Q185" s="261"/>
      <c r="R185" s="261"/>
      <c r="S185" s="261"/>
      <c r="T185" s="261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</row>
    <row r="186" spans="1:30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261"/>
      <c r="G186" s="259"/>
      <c r="H186" s="261"/>
      <c r="I186" s="261"/>
      <c r="J186" s="261"/>
      <c r="K186" s="261"/>
      <c r="L186" s="261"/>
      <c r="M186" s="262"/>
      <c r="N186" s="262"/>
      <c r="O186" s="262"/>
      <c r="P186" s="262"/>
      <c r="Q186" s="261"/>
      <c r="R186" s="261"/>
      <c r="S186" s="261"/>
      <c r="T186" s="261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</row>
    <row r="187" spans="1:30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261"/>
      <c r="G187" s="259"/>
      <c r="H187" s="261"/>
      <c r="I187" s="261"/>
      <c r="J187" s="261"/>
      <c r="K187" s="261"/>
      <c r="L187" s="261"/>
      <c r="M187" s="262"/>
      <c r="N187" s="262"/>
      <c r="O187" s="262"/>
      <c r="P187" s="262"/>
      <c r="Q187" s="261"/>
      <c r="R187" s="261"/>
      <c r="S187" s="261"/>
      <c r="T187" s="261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</row>
    <row r="188" spans="1:30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261"/>
      <c r="G188" s="259"/>
      <c r="H188" s="261"/>
      <c r="I188" s="261"/>
      <c r="J188" s="261"/>
      <c r="K188" s="261"/>
      <c r="L188" s="261"/>
      <c r="M188" s="262"/>
      <c r="N188" s="262"/>
      <c r="O188" s="262"/>
      <c r="P188" s="262"/>
      <c r="Q188" s="261"/>
      <c r="R188" s="261"/>
      <c r="S188" s="261"/>
      <c r="T188" s="261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</row>
    <row r="189" spans="1:30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261"/>
      <c r="G189" s="259"/>
      <c r="H189" s="261"/>
      <c r="I189" s="261"/>
      <c r="J189" s="261"/>
      <c r="K189" s="261"/>
      <c r="L189" s="261"/>
      <c r="M189" s="262"/>
      <c r="N189" s="262"/>
      <c r="O189" s="262"/>
      <c r="P189" s="262"/>
      <c r="Q189" s="174"/>
      <c r="R189" s="261"/>
      <c r="S189" s="261"/>
      <c r="T189" s="261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</row>
    <row r="190" spans="1:30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261"/>
      <c r="G190" s="259"/>
      <c r="H190" s="261"/>
      <c r="I190" s="261"/>
      <c r="J190" s="261"/>
      <c r="K190" s="261"/>
      <c r="L190" s="261"/>
      <c r="M190" s="262"/>
      <c r="N190" s="262"/>
      <c r="O190" s="262"/>
      <c r="P190" s="262"/>
      <c r="Q190" s="261"/>
      <c r="R190" s="261"/>
      <c r="S190" s="261"/>
      <c r="T190" s="261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</row>
    <row r="191" spans="1:30" ht="18.75" customHeight="1">
      <c r="A191" s="42" t="s">
        <v>991</v>
      </c>
      <c r="B191" s="59" t="s">
        <v>428</v>
      </c>
      <c r="C191" s="111" t="s">
        <v>429</v>
      </c>
      <c r="D191" s="61" t="s">
        <v>1133</v>
      </c>
      <c r="E191" s="200">
        <f t="shared" si="0"/>
        <v>0</v>
      </c>
      <c r="F191" s="261"/>
      <c r="G191" s="259"/>
      <c r="H191" s="261"/>
      <c r="I191" s="261"/>
      <c r="J191" s="261"/>
      <c r="K191" s="261"/>
      <c r="L191" s="261"/>
      <c r="M191" s="262"/>
      <c r="N191" s="262"/>
      <c r="O191" s="262"/>
      <c r="P191" s="262"/>
      <c r="Q191" s="261"/>
      <c r="R191" s="261"/>
      <c r="S191" s="261"/>
      <c r="T191" s="261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</row>
    <row r="192" spans="1:30" ht="18.75" customHeight="1">
      <c r="A192" s="42" t="s">
        <v>990</v>
      </c>
      <c r="B192" s="59" t="s">
        <v>426</v>
      </c>
      <c r="C192" s="111" t="s">
        <v>431</v>
      </c>
      <c r="D192" s="61" t="s">
        <v>1134</v>
      </c>
      <c r="E192" s="200">
        <f t="shared" si="0"/>
        <v>0</v>
      </c>
      <c r="F192" s="261"/>
      <c r="G192" s="259"/>
      <c r="H192" s="261"/>
      <c r="I192" s="261"/>
      <c r="J192" s="261"/>
      <c r="K192" s="261"/>
      <c r="L192" s="261"/>
      <c r="M192" s="262"/>
      <c r="N192" s="262"/>
      <c r="O192" s="262"/>
      <c r="P192" s="262"/>
      <c r="Q192" s="261"/>
      <c r="R192" s="261"/>
      <c r="S192" s="261"/>
      <c r="T192" s="261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</row>
    <row r="193" spans="1:30" ht="18.75" customHeight="1">
      <c r="A193" s="42" t="s">
        <v>991</v>
      </c>
      <c r="B193" s="59" t="s">
        <v>428</v>
      </c>
      <c r="C193" s="111" t="s">
        <v>433</v>
      </c>
      <c r="D193" s="61" t="s">
        <v>1135</v>
      </c>
      <c r="E193" s="200">
        <f t="shared" si="0"/>
        <v>0</v>
      </c>
      <c r="F193" s="261"/>
      <c r="G193" s="259"/>
      <c r="H193" s="261"/>
      <c r="I193" s="261"/>
      <c r="J193" s="261"/>
      <c r="K193" s="261"/>
      <c r="L193" s="261"/>
      <c r="M193" s="262"/>
      <c r="N193" s="262"/>
      <c r="O193" s="262"/>
      <c r="P193" s="262"/>
      <c r="Q193" s="261"/>
      <c r="R193" s="261"/>
      <c r="S193" s="261"/>
      <c r="T193" s="261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</row>
    <row r="194" spans="1:30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261"/>
      <c r="G194" s="259"/>
      <c r="H194" s="261"/>
      <c r="I194" s="261"/>
      <c r="J194" s="261"/>
      <c r="K194" s="261"/>
      <c r="L194" s="261"/>
      <c r="M194" s="262"/>
      <c r="N194" s="262"/>
      <c r="O194" s="262"/>
      <c r="P194" s="262"/>
      <c r="Q194" s="261"/>
      <c r="R194" s="261"/>
      <c r="S194" s="261"/>
      <c r="T194" s="261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</row>
    <row r="195" spans="1:30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261"/>
      <c r="G195" s="259"/>
      <c r="H195" s="261"/>
      <c r="I195" s="261"/>
      <c r="J195" s="261"/>
      <c r="K195" s="261"/>
      <c r="L195" s="261"/>
      <c r="M195" s="262"/>
      <c r="N195" s="262"/>
      <c r="O195" s="262"/>
      <c r="P195" s="261"/>
      <c r="Q195" s="272"/>
      <c r="R195" s="261"/>
      <c r="S195" s="261"/>
      <c r="T195" s="261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</row>
    <row r="196" spans="1:30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261"/>
      <c r="G196" s="259"/>
      <c r="H196" s="261"/>
      <c r="I196" s="261"/>
      <c r="J196" s="261"/>
      <c r="K196" s="261"/>
      <c r="L196" s="261"/>
      <c r="M196" s="262"/>
      <c r="N196" s="262"/>
      <c r="O196" s="262"/>
      <c r="P196" s="262"/>
      <c r="Q196" s="261"/>
      <c r="R196" s="261"/>
      <c r="S196" s="261"/>
      <c r="T196" s="261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</row>
    <row r="197" spans="1:30" ht="18.75" customHeight="1">
      <c r="A197" s="42" t="s">
        <v>997</v>
      </c>
      <c r="B197" s="59" t="s">
        <v>440</v>
      </c>
      <c r="C197" s="111" t="s">
        <v>429</v>
      </c>
      <c r="D197" s="61" t="s">
        <v>1136</v>
      </c>
      <c r="E197" s="200">
        <f t="shared" si="0"/>
        <v>0</v>
      </c>
      <c r="F197" s="261"/>
      <c r="G197" s="259"/>
      <c r="H197" s="261"/>
      <c r="I197" s="261"/>
      <c r="J197" s="261"/>
      <c r="K197" s="261"/>
      <c r="L197" s="261"/>
      <c r="M197" s="262"/>
      <c r="N197" s="262"/>
      <c r="O197" s="262"/>
      <c r="P197" s="262"/>
      <c r="Q197" s="261"/>
      <c r="R197" s="261"/>
      <c r="S197" s="261"/>
      <c r="T197" s="261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</row>
    <row r="198" spans="1:30" ht="18.75" customHeight="1">
      <c r="A198" s="42" t="s">
        <v>996</v>
      </c>
      <c r="B198" s="59" t="s">
        <v>439</v>
      </c>
      <c r="C198" s="111" t="s">
        <v>431</v>
      </c>
      <c r="D198" s="61" t="s">
        <v>1137</v>
      </c>
      <c r="E198" s="200">
        <f t="shared" si="0"/>
        <v>0</v>
      </c>
      <c r="F198" s="261"/>
      <c r="G198" s="259"/>
      <c r="H198" s="261"/>
      <c r="I198" s="261"/>
      <c r="J198" s="261"/>
      <c r="K198" s="261"/>
      <c r="L198" s="261"/>
      <c r="M198" s="262"/>
      <c r="N198" s="262"/>
      <c r="O198" s="262"/>
      <c r="P198" s="262"/>
      <c r="Q198" s="261"/>
      <c r="R198" s="261"/>
      <c r="S198" s="261"/>
      <c r="T198" s="261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</row>
    <row r="199" spans="1:30" ht="18.75" customHeight="1">
      <c r="A199" s="42" t="s">
        <v>997</v>
      </c>
      <c r="B199" s="59" t="s">
        <v>440</v>
      </c>
      <c r="C199" s="111" t="s">
        <v>433</v>
      </c>
      <c r="D199" s="61" t="s">
        <v>1138</v>
      </c>
      <c r="E199" s="200">
        <f t="shared" si="0"/>
        <v>0</v>
      </c>
      <c r="F199" s="261"/>
      <c r="G199" s="259"/>
      <c r="H199" s="261"/>
      <c r="I199" s="261"/>
      <c r="J199" s="261"/>
      <c r="K199" s="261"/>
      <c r="L199" s="261"/>
      <c r="M199" s="262"/>
      <c r="N199" s="262"/>
      <c r="O199" s="262"/>
      <c r="P199" s="262"/>
      <c r="Q199" s="261"/>
      <c r="R199" s="261"/>
      <c r="S199" s="261"/>
      <c r="T199" s="261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</row>
    <row r="200" spans="1:30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261"/>
      <c r="G200" s="259"/>
      <c r="H200" s="261"/>
      <c r="I200" s="261"/>
      <c r="J200" s="261"/>
      <c r="K200" s="261"/>
      <c r="L200" s="261"/>
      <c r="M200" s="262"/>
      <c r="N200" s="262"/>
      <c r="O200" s="262"/>
      <c r="P200" s="262"/>
      <c r="Q200" s="261"/>
      <c r="R200" s="261"/>
      <c r="S200" s="261"/>
      <c r="T200" s="261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</row>
    <row r="201" spans="1:30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261"/>
      <c r="G201" s="259"/>
      <c r="H201" s="261"/>
      <c r="I201" s="261"/>
      <c r="J201" s="261"/>
      <c r="K201" s="261"/>
      <c r="L201" s="261"/>
      <c r="M201" s="262"/>
      <c r="N201" s="262"/>
      <c r="O201" s="262"/>
      <c r="P201" s="262"/>
      <c r="Q201" s="261"/>
      <c r="R201" s="261"/>
      <c r="S201" s="261"/>
      <c r="T201" s="261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</row>
    <row r="202" spans="1:30" ht="18.75" customHeight="1">
      <c r="A202" s="42"/>
      <c r="B202" s="59" t="s">
        <v>449</v>
      </c>
      <c r="C202" s="111" t="s">
        <v>450</v>
      </c>
      <c r="D202" s="61" t="s">
        <v>1139</v>
      </c>
      <c r="E202" s="200">
        <f t="shared" si="0"/>
        <v>0</v>
      </c>
      <c r="F202" s="261"/>
      <c r="G202" s="259"/>
      <c r="H202" s="261"/>
      <c r="I202" s="261"/>
      <c r="J202" s="261"/>
      <c r="K202" s="261"/>
      <c r="L202" s="261"/>
      <c r="M202" s="262"/>
      <c r="N202" s="262"/>
      <c r="O202" s="262"/>
      <c r="P202" s="262"/>
      <c r="Q202" s="261"/>
      <c r="R202" s="261"/>
      <c r="S202" s="261"/>
      <c r="T202" s="261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</row>
    <row r="203" spans="1:30" ht="18.75" customHeight="1">
      <c r="A203" s="42"/>
      <c r="B203" s="59" t="s">
        <v>449</v>
      </c>
      <c r="C203" s="111" t="s">
        <v>431</v>
      </c>
      <c r="D203" s="61" t="s">
        <v>1140</v>
      </c>
      <c r="E203" s="200">
        <f t="shared" si="0"/>
        <v>0</v>
      </c>
      <c r="F203" s="261"/>
      <c r="G203" s="259"/>
      <c r="H203" s="261"/>
      <c r="I203" s="261"/>
      <c r="J203" s="261"/>
      <c r="K203" s="261"/>
      <c r="L203" s="261"/>
      <c r="M203" s="262"/>
      <c r="N203" s="262"/>
      <c r="O203" s="262"/>
      <c r="P203" s="262"/>
      <c r="Q203" s="261"/>
      <c r="R203" s="261"/>
      <c r="S203" s="261"/>
      <c r="T203" s="261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</row>
    <row r="204" spans="1:30" ht="18.75" customHeight="1">
      <c r="A204" s="42"/>
      <c r="B204" s="59" t="s">
        <v>453</v>
      </c>
      <c r="C204" s="111" t="s">
        <v>433</v>
      </c>
      <c r="D204" s="61" t="s">
        <v>1141</v>
      </c>
      <c r="E204" s="200">
        <f t="shared" si="0"/>
        <v>0</v>
      </c>
      <c r="F204" s="261"/>
      <c r="G204" s="259"/>
      <c r="H204" s="261"/>
      <c r="I204" s="261"/>
      <c r="J204" s="261"/>
      <c r="K204" s="261"/>
      <c r="L204" s="261"/>
      <c r="M204" s="262"/>
      <c r="N204" s="262"/>
      <c r="O204" s="262"/>
      <c r="P204" s="262"/>
      <c r="Q204" s="261"/>
      <c r="R204" s="261"/>
      <c r="S204" s="261"/>
      <c r="T204" s="261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</row>
    <row r="205" spans="1:30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261"/>
      <c r="G205" s="259"/>
      <c r="H205" s="261"/>
      <c r="I205" s="261"/>
      <c r="J205" s="261"/>
      <c r="K205" s="261"/>
      <c r="L205" s="261"/>
      <c r="M205" s="262"/>
      <c r="N205" s="262"/>
      <c r="O205" s="262"/>
      <c r="P205" s="262"/>
      <c r="Q205" s="261"/>
      <c r="R205" s="261"/>
      <c r="S205" s="261"/>
      <c r="T205" s="261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</row>
    <row r="206" spans="1:30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261"/>
      <c r="G206" s="259"/>
      <c r="H206" s="261"/>
      <c r="I206" s="261"/>
      <c r="J206" s="261"/>
      <c r="K206" s="261"/>
      <c r="L206" s="261"/>
      <c r="M206" s="262"/>
      <c r="N206" s="262"/>
      <c r="O206" s="262"/>
      <c r="P206" s="262"/>
      <c r="Q206" s="261"/>
      <c r="R206" s="261"/>
      <c r="S206" s="261"/>
      <c r="T206" s="261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</row>
    <row r="207" spans="1:30" ht="18.75" customHeight="1">
      <c r="A207" s="42"/>
      <c r="B207" s="59" t="s">
        <v>461</v>
      </c>
      <c r="C207" s="111" t="s">
        <v>431</v>
      </c>
      <c r="D207" s="61" t="s">
        <v>1142</v>
      </c>
      <c r="E207" s="200">
        <f t="shared" si="0"/>
        <v>0</v>
      </c>
      <c r="F207" s="261"/>
      <c r="G207" s="259"/>
      <c r="H207" s="261"/>
      <c r="I207" s="261"/>
      <c r="J207" s="261"/>
      <c r="K207" s="261"/>
      <c r="L207" s="261"/>
      <c r="M207" s="262"/>
      <c r="N207" s="262"/>
      <c r="O207" s="262"/>
      <c r="P207" s="262"/>
      <c r="Q207" s="261"/>
      <c r="R207" s="261"/>
      <c r="S207" s="261"/>
      <c r="T207" s="261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</row>
    <row r="208" spans="1:30" ht="18.75" customHeight="1">
      <c r="A208" s="42"/>
      <c r="B208" s="59" t="s">
        <v>464</v>
      </c>
      <c r="C208" s="111" t="s">
        <v>433</v>
      </c>
      <c r="D208" s="61" t="s">
        <v>1143</v>
      </c>
      <c r="E208" s="200">
        <f t="shared" si="0"/>
        <v>0</v>
      </c>
      <c r="F208" s="261"/>
      <c r="G208" s="259"/>
      <c r="H208" s="261"/>
      <c r="I208" s="261"/>
      <c r="J208" s="261"/>
      <c r="K208" s="261"/>
      <c r="L208" s="261"/>
      <c r="M208" s="262"/>
      <c r="N208" s="262"/>
      <c r="O208" s="262"/>
      <c r="P208" s="262"/>
      <c r="Q208" s="261"/>
      <c r="R208" s="261"/>
      <c r="S208" s="261"/>
      <c r="T208" s="261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</row>
    <row r="209" spans="1:30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261"/>
      <c r="G209" s="259"/>
      <c r="H209" s="261"/>
      <c r="I209" s="261"/>
      <c r="J209" s="261"/>
      <c r="K209" s="261"/>
      <c r="L209" s="261"/>
      <c r="M209" s="262"/>
      <c r="N209" s="262"/>
      <c r="O209" s="262"/>
      <c r="P209" s="262"/>
      <c r="Q209" s="261"/>
      <c r="R209" s="261"/>
      <c r="S209" s="261"/>
      <c r="T209" s="261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</row>
    <row r="210" spans="1:30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261"/>
      <c r="G210" s="259"/>
      <c r="H210" s="261"/>
      <c r="I210" s="261"/>
      <c r="J210" s="261"/>
      <c r="K210" s="261"/>
      <c r="L210" s="261"/>
      <c r="M210" s="262"/>
      <c r="N210" s="262"/>
      <c r="O210" s="262"/>
      <c r="P210" s="262"/>
      <c r="Q210" s="261"/>
      <c r="R210" s="261"/>
      <c r="S210" s="261"/>
      <c r="T210" s="261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</row>
    <row r="211" spans="1:30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261"/>
      <c r="G211" s="259"/>
      <c r="H211" s="261"/>
      <c r="I211" s="261"/>
      <c r="J211" s="261"/>
      <c r="K211" s="261"/>
      <c r="L211" s="261"/>
      <c r="M211" s="262"/>
      <c r="N211" s="262"/>
      <c r="O211" s="262"/>
      <c r="P211" s="262"/>
      <c r="Q211" s="261"/>
      <c r="R211" s="261"/>
      <c r="S211" s="261"/>
      <c r="T211" s="261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</row>
    <row r="212" spans="1:30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261"/>
      <c r="G212" s="259"/>
      <c r="H212" s="261"/>
      <c r="I212" s="261"/>
      <c r="J212" s="261"/>
      <c r="K212" s="261"/>
      <c r="L212" s="261"/>
      <c r="M212" s="262"/>
      <c r="N212" s="262"/>
      <c r="O212" s="262"/>
      <c r="P212" s="262"/>
      <c r="Q212" s="261"/>
      <c r="R212" s="261"/>
      <c r="S212" s="261"/>
      <c r="T212" s="261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</row>
    <row r="213" spans="1:30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261"/>
      <c r="G213" s="259"/>
      <c r="H213" s="261"/>
      <c r="I213" s="261"/>
      <c r="J213" s="261"/>
      <c r="K213" s="261"/>
      <c r="L213" s="261"/>
      <c r="M213" s="262"/>
      <c r="N213" s="262"/>
      <c r="O213" s="262"/>
      <c r="P213" s="262"/>
      <c r="Q213" s="261"/>
      <c r="R213" s="261"/>
      <c r="S213" s="261"/>
      <c r="T213" s="261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</row>
    <row r="214" spans="1:30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261"/>
      <c r="G214" s="259"/>
      <c r="H214" s="261"/>
      <c r="I214" s="261"/>
      <c r="J214" s="261"/>
      <c r="K214" s="261"/>
      <c r="L214" s="261"/>
      <c r="M214" s="262"/>
      <c r="N214" s="262"/>
      <c r="O214" s="262"/>
      <c r="P214" s="262"/>
      <c r="Q214" s="261"/>
      <c r="R214" s="261"/>
      <c r="S214" s="261"/>
      <c r="T214" s="261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</row>
    <row r="215" spans="1:30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261"/>
      <c r="G215" s="259"/>
      <c r="H215" s="261"/>
      <c r="I215" s="261"/>
      <c r="J215" s="261"/>
      <c r="K215" s="261"/>
      <c r="L215" s="261"/>
      <c r="M215" s="262"/>
      <c r="N215" s="262"/>
      <c r="O215" s="262"/>
      <c r="P215" s="262"/>
      <c r="Q215" s="261"/>
      <c r="R215" s="261"/>
      <c r="S215" s="261"/>
      <c r="T215" s="261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</row>
    <row r="216" spans="1:30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261"/>
      <c r="G216" s="259"/>
      <c r="H216" s="261"/>
      <c r="I216" s="261"/>
      <c r="J216" s="261"/>
      <c r="K216" s="261"/>
      <c r="L216" s="261"/>
      <c r="M216" s="262"/>
      <c r="N216" s="262"/>
      <c r="O216" s="262"/>
      <c r="P216" s="262"/>
      <c r="Q216" s="261"/>
      <c r="R216" s="261"/>
      <c r="S216" s="261"/>
      <c r="T216" s="261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</row>
    <row r="217" spans="1:30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261"/>
      <c r="G217" s="259"/>
      <c r="H217" s="261"/>
      <c r="I217" s="261"/>
      <c r="J217" s="261"/>
      <c r="K217" s="261"/>
      <c r="L217" s="261"/>
      <c r="M217" s="262"/>
      <c r="N217" s="262"/>
      <c r="O217" s="262"/>
      <c r="P217" s="262"/>
      <c r="Q217" s="261"/>
      <c r="R217" s="261"/>
      <c r="S217" s="261"/>
      <c r="T217" s="261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</row>
    <row r="218" spans="1:30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261"/>
      <c r="G218" s="259"/>
      <c r="H218" s="261"/>
      <c r="I218" s="261"/>
      <c r="J218" s="261"/>
      <c r="K218" s="261"/>
      <c r="L218" s="261"/>
      <c r="M218" s="262"/>
      <c r="N218" s="262"/>
      <c r="O218" s="262"/>
      <c r="P218" s="262"/>
      <c r="Q218" s="261"/>
      <c r="R218" s="261"/>
      <c r="S218" s="261"/>
      <c r="T218" s="261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</row>
    <row r="219" spans="1:30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261"/>
      <c r="G219" s="259"/>
      <c r="H219" s="261"/>
      <c r="I219" s="261"/>
      <c r="J219" s="261"/>
      <c r="K219" s="261"/>
      <c r="L219" s="261"/>
      <c r="M219" s="262"/>
      <c r="N219" s="262"/>
      <c r="O219" s="262"/>
      <c r="P219" s="262"/>
      <c r="Q219" s="261"/>
      <c r="R219" s="261"/>
      <c r="S219" s="261"/>
      <c r="T219" s="261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</row>
    <row r="220" spans="1:30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261"/>
      <c r="G220" s="259"/>
      <c r="H220" s="261"/>
      <c r="I220" s="261"/>
      <c r="J220" s="261"/>
      <c r="K220" s="261"/>
      <c r="L220" s="261"/>
      <c r="M220" s="262"/>
      <c r="N220" s="262"/>
      <c r="O220" s="262"/>
      <c r="P220" s="262"/>
      <c r="Q220" s="261"/>
      <c r="R220" s="261"/>
      <c r="S220" s="261"/>
      <c r="T220" s="261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</row>
    <row r="221" spans="1:30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261"/>
      <c r="G221" s="259"/>
      <c r="H221" s="261"/>
      <c r="I221" s="261"/>
      <c r="J221" s="261"/>
      <c r="K221" s="261"/>
      <c r="L221" s="261"/>
      <c r="M221" s="262"/>
      <c r="N221" s="262"/>
      <c r="O221" s="262"/>
      <c r="P221" s="262"/>
      <c r="Q221" s="261"/>
      <c r="R221" s="261"/>
      <c r="S221" s="261"/>
      <c r="T221" s="261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</row>
    <row r="222" spans="1:30" ht="18.75" customHeight="1">
      <c r="A222" s="118" t="s">
        <v>1007</v>
      </c>
      <c r="B222" s="59" t="s">
        <v>502</v>
      </c>
      <c r="C222" s="113" t="s">
        <v>503</v>
      </c>
      <c r="D222" s="61" t="s">
        <v>1144</v>
      </c>
      <c r="E222" s="200">
        <f t="shared" si="0"/>
        <v>0</v>
      </c>
      <c r="F222" s="261"/>
      <c r="G222" s="259"/>
      <c r="H222" s="261"/>
      <c r="I222" s="261"/>
      <c r="J222" s="261"/>
      <c r="K222" s="261"/>
      <c r="L222" s="261"/>
      <c r="M222" s="262"/>
      <c r="N222" s="262"/>
      <c r="O222" s="262"/>
      <c r="P222" s="262"/>
      <c r="Q222" s="261"/>
      <c r="R222" s="261"/>
      <c r="S222" s="261"/>
      <c r="T222" s="261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</row>
    <row r="223" spans="1:30" ht="18.75" customHeight="1">
      <c r="A223" s="118" t="s">
        <v>1009</v>
      </c>
      <c r="B223" s="59" t="s">
        <v>506</v>
      </c>
      <c r="C223" s="113" t="s">
        <v>507</v>
      </c>
      <c r="D223" s="61" t="s">
        <v>1145</v>
      </c>
      <c r="E223" s="200">
        <f t="shared" si="0"/>
        <v>0</v>
      </c>
      <c r="F223" s="261"/>
      <c r="G223" s="259"/>
      <c r="H223" s="261"/>
      <c r="I223" s="261"/>
      <c r="J223" s="261"/>
      <c r="K223" s="261"/>
      <c r="L223" s="261"/>
      <c r="M223" s="262"/>
      <c r="N223" s="262"/>
      <c r="O223" s="262"/>
      <c r="P223" s="262"/>
      <c r="Q223" s="261"/>
      <c r="R223" s="261"/>
      <c r="S223" s="261"/>
      <c r="T223" s="261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</row>
    <row r="224" spans="1:30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261"/>
      <c r="G224" s="259"/>
      <c r="H224" s="261"/>
      <c r="I224" s="261"/>
      <c r="J224" s="261"/>
      <c r="K224" s="261"/>
      <c r="L224" s="261"/>
      <c r="M224" s="262"/>
      <c r="N224" s="262"/>
      <c r="O224" s="262"/>
      <c r="P224" s="262"/>
      <c r="Q224" s="261"/>
      <c r="R224" s="261"/>
      <c r="S224" s="261"/>
      <c r="T224" s="261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</row>
    <row r="225" spans="1:30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261"/>
      <c r="G225" s="259"/>
      <c r="H225" s="261"/>
      <c r="I225" s="261"/>
      <c r="J225" s="261"/>
      <c r="K225" s="261"/>
      <c r="L225" s="261"/>
      <c r="M225" s="262"/>
      <c r="N225" s="262"/>
      <c r="O225" s="262"/>
      <c r="P225" s="262"/>
      <c r="Q225" s="261"/>
      <c r="R225" s="261"/>
      <c r="S225" s="261"/>
      <c r="T225" s="261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</row>
    <row r="226" spans="1:30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261"/>
      <c r="G226" s="259"/>
      <c r="H226" s="261"/>
      <c r="I226" s="261"/>
      <c r="J226" s="261"/>
      <c r="K226" s="261"/>
      <c r="L226" s="261"/>
      <c r="M226" s="262"/>
      <c r="N226" s="262"/>
      <c r="O226" s="262"/>
      <c r="P226" s="262"/>
      <c r="Q226" s="261"/>
      <c r="R226" s="261"/>
      <c r="S226" s="261"/>
      <c r="T226" s="261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</row>
    <row r="227" spans="1:30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261"/>
      <c r="G227" s="259"/>
      <c r="H227" s="261"/>
      <c r="I227" s="261"/>
      <c r="J227" s="261"/>
      <c r="K227" s="261"/>
      <c r="L227" s="261"/>
      <c r="M227" s="262"/>
      <c r="N227" s="262"/>
      <c r="O227" s="262"/>
      <c r="P227" s="262"/>
      <c r="Q227" s="261"/>
      <c r="R227" s="261"/>
      <c r="S227" s="261"/>
      <c r="T227" s="261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</row>
    <row r="228" spans="1:30" ht="18.75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261"/>
      <c r="G228" s="259"/>
      <c r="H228" s="261"/>
      <c r="I228" s="261"/>
      <c r="J228" s="261"/>
      <c r="K228" s="261"/>
      <c r="L228" s="261"/>
      <c r="M228" s="262"/>
      <c r="N228" s="262"/>
      <c r="O228" s="262"/>
      <c r="P228" s="262"/>
      <c r="Q228" s="261"/>
      <c r="R228" s="261"/>
      <c r="S228" s="261"/>
      <c r="T228" s="261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</row>
    <row r="229" spans="1:30" ht="18.75" customHeight="1">
      <c r="A229" s="42"/>
      <c r="B229" s="59" t="s">
        <v>523</v>
      </c>
      <c r="C229" s="113" t="s">
        <v>524</v>
      </c>
      <c r="D229" s="61" t="s">
        <v>1146</v>
      </c>
      <c r="E229" s="200">
        <f t="shared" si="0"/>
        <v>0</v>
      </c>
      <c r="F229" s="261"/>
      <c r="G229" s="259"/>
      <c r="H229" s="261"/>
      <c r="I229" s="261"/>
      <c r="J229" s="261"/>
      <c r="K229" s="261"/>
      <c r="L229" s="261"/>
      <c r="M229" s="262"/>
      <c r="N229" s="262"/>
      <c r="O229" s="262"/>
      <c r="P229" s="262"/>
      <c r="Q229" s="261"/>
      <c r="R229" s="261"/>
      <c r="S229" s="261"/>
      <c r="T229" s="261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</row>
    <row r="230" spans="1:30" ht="18.75" customHeight="1">
      <c r="A230" s="42"/>
      <c r="B230" s="59" t="s">
        <v>526</v>
      </c>
      <c r="C230" s="113" t="s">
        <v>527</v>
      </c>
      <c r="D230" s="61" t="s">
        <v>1147</v>
      </c>
      <c r="E230" s="200">
        <f t="shared" si="0"/>
        <v>0</v>
      </c>
      <c r="F230" s="261"/>
      <c r="G230" s="259"/>
      <c r="H230" s="261"/>
      <c r="I230" s="261"/>
      <c r="J230" s="261"/>
      <c r="K230" s="261"/>
      <c r="L230" s="261"/>
      <c r="M230" s="262"/>
      <c r="N230" s="262"/>
      <c r="O230" s="262"/>
      <c r="P230" s="262"/>
      <c r="Q230" s="261"/>
      <c r="R230" s="261"/>
      <c r="S230" s="261"/>
      <c r="T230" s="261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</row>
    <row r="231" spans="1:30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261"/>
      <c r="G231" s="259"/>
      <c r="H231" s="261"/>
      <c r="I231" s="261"/>
      <c r="J231" s="261"/>
      <c r="K231" s="261"/>
      <c r="L231" s="261"/>
      <c r="M231" s="262"/>
      <c r="N231" s="262"/>
      <c r="O231" s="262"/>
      <c r="P231" s="262"/>
      <c r="Q231" s="261"/>
      <c r="R231" s="261"/>
      <c r="S231" s="261"/>
      <c r="T231" s="261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</row>
    <row r="232" spans="1:30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261"/>
      <c r="G232" s="259"/>
      <c r="H232" s="261"/>
      <c r="I232" s="261"/>
      <c r="J232" s="261"/>
      <c r="K232" s="261"/>
      <c r="L232" s="261"/>
      <c r="M232" s="262"/>
      <c r="N232" s="262"/>
      <c r="O232" s="262"/>
      <c r="P232" s="262"/>
      <c r="Q232" s="261"/>
      <c r="R232" s="261"/>
      <c r="S232" s="261"/>
      <c r="T232" s="261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</row>
    <row r="233" spans="1:30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261"/>
      <c r="G233" s="259"/>
      <c r="H233" s="261"/>
      <c r="I233" s="261"/>
      <c r="J233" s="261"/>
      <c r="K233" s="261"/>
      <c r="L233" s="261"/>
      <c r="M233" s="262"/>
      <c r="N233" s="262"/>
      <c r="O233" s="262"/>
      <c r="P233" s="262"/>
      <c r="Q233" s="261"/>
      <c r="R233" s="261"/>
      <c r="S233" s="261"/>
      <c r="T233" s="261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</row>
    <row r="234" spans="1:30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261"/>
      <c r="G234" s="259"/>
      <c r="H234" s="261"/>
      <c r="I234" s="261"/>
      <c r="J234" s="261"/>
      <c r="K234" s="261"/>
      <c r="L234" s="261"/>
      <c r="M234" s="262"/>
      <c r="N234" s="262"/>
      <c r="O234" s="262"/>
      <c r="P234" s="262"/>
      <c r="Q234" s="261"/>
      <c r="R234" s="261"/>
      <c r="S234" s="261"/>
      <c r="T234" s="261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</row>
    <row r="235" spans="1:30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261"/>
      <c r="G235" s="259"/>
      <c r="H235" s="261"/>
      <c r="I235" s="261"/>
      <c r="J235" s="261"/>
      <c r="K235" s="261"/>
      <c r="L235" s="261"/>
      <c r="M235" s="262"/>
      <c r="N235" s="262"/>
      <c r="O235" s="262"/>
      <c r="P235" s="262"/>
      <c r="Q235" s="261"/>
      <c r="R235" s="261"/>
      <c r="S235" s="261"/>
      <c r="T235" s="261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</row>
    <row r="236" spans="1:30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261"/>
      <c r="G236" s="259"/>
      <c r="H236" s="261"/>
      <c r="I236" s="261"/>
      <c r="J236" s="261"/>
      <c r="K236" s="261"/>
      <c r="L236" s="261"/>
      <c r="M236" s="262"/>
      <c r="N236" s="262"/>
      <c r="O236" s="262"/>
      <c r="P236" s="262"/>
      <c r="Q236" s="261"/>
      <c r="R236" s="261"/>
      <c r="S236" s="261"/>
      <c r="T236" s="261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</row>
    <row r="237" spans="1:30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261"/>
      <c r="G237" s="259"/>
      <c r="H237" s="261"/>
      <c r="I237" s="261"/>
      <c r="J237" s="261"/>
      <c r="K237" s="261"/>
      <c r="L237" s="261"/>
      <c r="M237" s="262"/>
      <c r="N237" s="262"/>
      <c r="O237" s="262"/>
      <c r="P237" s="262"/>
      <c r="Q237" s="261"/>
      <c r="R237" s="261"/>
      <c r="S237" s="261"/>
      <c r="T237" s="261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</row>
    <row r="238" spans="1:30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261"/>
      <c r="G238" s="259"/>
      <c r="H238" s="261"/>
      <c r="I238" s="261"/>
      <c r="J238" s="261"/>
      <c r="K238" s="261"/>
      <c r="L238" s="261"/>
      <c r="M238" s="262"/>
      <c r="N238" s="262"/>
      <c r="O238" s="262"/>
      <c r="P238" s="262"/>
      <c r="Q238" s="261"/>
      <c r="R238" s="261"/>
      <c r="S238" s="261"/>
      <c r="T238" s="261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</row>
    <row r="239" spans="1:30" ht="18.75" customHeight="1">
      <c r="A239" s="42"/>
      <c r="B239" s="59" t="s">
        <v>551</v>
      </c>
      <c r="C239" s="113" t="s">
        <v>524</v>
      </c>
      <c r="D239" s="61" t="s">
        <v>1148</v>
      </c>
      <c r="E239" s="200">
        <f t="shared" si="0"/>
        <v>0</v>
      </c>
      <c r="F239" s="261"/>
      <c r="G239" s="259"/>
      <c r="H239" s="261"/>
      <c r="I239" s="261"/>
      <c r="J239" s="273"/>
      <c r="K239" s="261"/>
      <c r="L239" s="261"/>
      <c r="M239" s="262"/>
      <c r="N239" s="262"/>
      <c r="O239" s="262"/>
      <c r="P239" s="262"/>
      <c r="Q239" s="261"/>
      <c r="R239" s="261"/>
      <c r="S239" s="261"/>
      <c r="T239" s="261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</row>
    <row r="240" spans="1:30" ht="18.75" customHeight="1">
      <c r="A240" s="42"/>
      <c r="B240" s="59" t="s">
        <v>553</v>
      </c>
      <c r="C240" s="113" t="s">
        <v>527</v>
      </c>
      <c r="D240" s="61" t="s">
        <v>1149</v>
      </c>
      <c r="E240" s="200">
        <f t="shared" si="0"/>
        <v>0</v>
      </c>
      <c r="F240" s="261"/>
      <c r="G240" s="259"/>
      <c r="H240" s="261"/>
      <c r="I240" s="261"/>
      <c r="J240" s="261"/>
      <c r="K240" s="261"/>
      <c r="L240" s="261"/>
      <c r="M240" s="262"/>
      <c r="N240" s="262"/>
      <c r="O240" s="262"/>
      <c r="P240" s="262"/>
      <c r="Q240" s="261"/>
      <c r="R240" s="261"/>
      <c r="S240" s="261"/>
      <c r="T240" s="261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</row>
    <row r="241" spans="1:30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261"/>
      <c r="G241" s="259"/>
      <c r="H241" s="261"/>
      <c r="I241" s="261"/>
      <c r="J241" s="261"/>
      <c r="K241" s="261"/>
      <c r="L241" s="261"/>
      <c r="M241" s="262"/>
      <c r="N241" s="262"/>
      <c r="O241" s="262"/>
      <c r="P241" s="262"/>
      <c r="Q241" s="261"/>
      <c r="R241" s="261"/>
      <c r="S241" s="261"/>
      <c r="T241" s="261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</row>
    <row r="242" spans="1:30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261"/>
      <c r="G242" s="259"/>
      <c r="H242" s="261"/>
      <c r="I242" s="261"/>
      <c r="J242" s="261"/>
      <c r="K242" s="261"/>
      <c r="L242" s="261"/>
      <c r="M242" s="262"/>
      <c r="N242" s="262"/>
      <c r="O242" s="262"/>
      <c r="P242" s="262"/>
      <c r="Q242" s="261"/>
      <c r="R242" s="261"/>
      <c r="S242" s="261"/>
      <c r="T242" s="261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</row>
    <row r="243" spans="1:30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261"/>
      <c r="G243" s="259"/>
      <c r="H243" s="261"/>
      <c r="I243" s="261"/>
      <c r="J243" s="261"/>
      <c r="K243" s="261"/>
      <c r="L243" s="261"/>
      <c r="M243" s="262"/>
      <c r="N243" s="262"/>
      <c r="O243" s="262"/>
      <c r="P243" s="262"/>
      <c r="Q243" s="261"/>
      <c r="R243" s="261"/>
      <c r="S243" s="261"/>
      <c r="T243" s="261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</row>
    <row r="244" spans="1:30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261"/>
      <c r="G244" s="259"/>
      <c r="H244" s="261"/>
      <c r="I244" s="261"/>
      <c r="J244" s="261"/>
      <c r="K244" s="261"/>
      <c r="L244" s="261"/>
      <c r="M244" s="262"/>
      <c r="N244" s="262"/>
      <c r="O244" s="262"/>
      <c r="P244" s="262"/>
      <c r="Q244" s="261"/>
      <c r="R244" s="261"/>
      <c r="S244" s="261"/>
      <c r="T244" s="261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</row>
    <row r="245" spans="1:30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261"/>
      <c r="G245" s="259"/>
      <c r="H245" s="261"/>
      <c r="I245" s="261"/>
      <c r="J245" s="261"/>
      <c r="K245" s="261"/>
      <c r="L245" s="261"/>
      <c r="M245" s="262"/>
      <c r="N245" s="262"/>
      <c r="O245" s="262"/>
      <c r="P245" s="262"/>
      <c r="Q245" s="261"/>
      <c r="R245" s="261"/>
      <c r="S245" s="261"/>
      <c r="T245" s="261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</row>
    <row r="246" spans="1:30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261"/>
      <c r="G246" s="259"/>
      <c r="H246" s="261"/>
      <c r="I246" s="261"/>
      <c r="J246" s="261"/>
      <c r="K246" s="261"/>
      <c r="L246" s="261"/>
      <c r="M246" s="262"/>
      <c r="N246" s="262"/>
      <c r="O246" s="262"/>
      <c r="P246" s="262"/>
      <c r="Q246" s="261"/>
      <c r="R246" s="261"/>
      <c r="S246" s="261"/>
      <c r="T246" s="261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</row>
    <row r="247" spans="1:30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261"/>
      <c r="G247" s="259"/>
      <c r="H247" s="261"/>
      <c r="I247" s="261"/>
      <c r="J247" s="261"/>
      <c r="K247" s="261"/>
      <c r="L247" s="261"/>
      <c r="M247" s="262"/>
      <c r="N247" s="262"/>
      <c r="O247" s="262"/>
      <c r="P247" s="262"/>
      <c r="Q247" s="261"/>
      <c r="R247" s="261"/>
      <c r="S247" s="261"/>
      <c r="T247" s="261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</row>
    <row r="248" spans="1:30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261"/>
      <c r="G248" s="259"/>
      <c r="H248" s="261"/>
      <c r="I248" s="261"/>
      <c r="J248" s="261"/>
      <c r="K248" s="261"/>
      <c r="L248" s="261"/>
      <c r="M248" s="262"/>
      <c r="N248" s="262"/>
      <c r="O248" s="262"/>
      <c r="P248" s="262"/>
      <c r="Q248" s="261"/>
      <c r="R248" s="261"/>
      <c r="S248" s="261"/>
      <c r="T248" s="261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</row>
    <row r="249" spans="1:30" ht="18.75" customHeight="1">
      <c r="A249" s="42" t="s">
        <v>1020</v>
      </c>
      <c r="B249" s="59" t="s">
        <v>566</v>
      </c>
      <c r="C249" s="113" t="s">
        <v>567</v>
      </c>
      <c r="D249" s="61" t="s">
        <v>1150</v>
      </c>
      <c r="E249" s="200">
        <f t="shared" si="0"/>
        <v>0</v>
      </c>
      <c r="F249" s="261"/>
      <c r="G249" s="259"/>
      <c r="H249" s="261"/>
      <c r="I249" s="261"/>
      <c r="J249" s="261"/>
      <c r="K249" s="261"/>
      <c r="L249" s="261"/>
      <c r="M249" s="262"/>
      <c r="N249" s="262"/>
      <c r="O249" s="262"/>
      <c r="P249" s="262"/>
      <c r="Q249" s="261"/>
      <c r="R249" s="261"/>
      <c r="S249" s="261"/>
      <c r="T249" s="261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</row>
    <row r="250" spans="1:30" ht="18.75" customHeight="1">
      <c r="A250" s="42" t="s">
        <v>1022</v>
      </c>
      <c r="B250" s="59" t="s">
        <v>569</v>
      </c>
      <c r="C250" s="113" t="s">
        <v>570</v>
      </c>
      <c r="D250" s="61" t="s">
        <v>1151</v>
      </c>
      <c r="E250" s="200">
        <f t="shared" si="0"/>
        <v>0</v>
      </c>
      <c r="F250" s="261"/>
      <c r="G250" s="259"/>
      <c r="H250" s="261"/>
      <c r="I250" s="261"/>
      <c r="J250" s="261"/>
      <c r="K250" s="261"/>
      <c r="L250" s="261"/>
      <c r="M250" s="262"/>
      <c r="N250" s="262"/>
      <c r="O250" s="262"/>
      <c r="P250" s="262"/>
      <c r="Q250" s="261"/>
      <c r="R250" s="261"/>
      <c r="S250" s="261"/>
      <c r="T250" s="261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</row>
    <row r="251" spans="1:30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261"/>
      <c r="G251" s="259"/>
      <c r="H251" s="261"/>
      <c r="I251" s="261"/>
      <c r="J251" s="261"/>
      <c r="K251" s="261"/>
      <c r="L251" s="261"/>
      <c r="M251" s="262"/>
      <c r="N251" s="262"/>
      <c r="O251" s="262"/>
      <c r="P251" s="262"/>
      <c r="Q251" s="261"/>
      <c r="R251" s="261"/>
      <c r="S251" s="261"/>
      <c r="T251" s="261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</row>
    <row r="252" spans="1:30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261"/>
      <c r="G252" s="259"/>
      <c r="H252" s="261"/>
      <c r="I252" s="261"/>
      <c r="J252" s="261"/>
      <c r="K252" s="261"/>
      <c r="L252" s="261"/>
      <c r="M252" s="262"/>
      <c r="N252" s="262"/>
      <c r="O252" s="262"/>
      <c r="P252" s="262"/>
      <c r="Q252" s="261"/>
      <c r="R252" s="261"/>
      <c r="S252" s="261"/>
      <c r="T252" s="261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</row>
    <row r="253" spans="1:30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261"/>
      <c r="G253" s="259"/>
      <c r="H253" s="261"/>
      <c r="I253" s="261"/>
      <c r="J253" s="261"/>
      <c r="K253" s="261"/>
      <c r="L253" s="261"/>
      <c r="M253" s="262"/>
      <c r="N253" s="262"/>
      <c r="O253" s="262"/>
      <c r="P253" s="262"/>
      <c r="Q253" s="261"/>
      <c r="R253" s="261"/>
      <c r="S253" s="261"/>
      <c r="T253" s="261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</row>
    <row r="254" spans="1:30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261"/>
      <c r="G254" s="259"/>
      <c r="H254" s="261"/>
      <c r="I254" s="261"/>
      <c r="J254" s="261"/>
      <c r="K254" s="261"/>
      <c r="L254" s="261"/>
      <c r="M254" s="262"/>
      <c r="N254" s="262"/>
      <c r="O254" s="262"/>
      <c r="P254" s="262"/>
      <c r="Q254" s="261"/>
      <c r="R254" s="261"/>
      <c r="S254" s="261"/>
      <c r="T254" s="261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</row>
    <row r="255" spans="1:30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261"/>
      <c r="G255" s="259"/>
      <c r="H255" s="261"/>
      <c r="I255" s="261"/>
      <c r="J255" s="261"/>
      <c r="K255" s="261"/>
      <c r="L255" s="261"/>
      <c r="M255" s="262"/>
      <c r="N255" s="262"/>
      <c r="O255" s="262"/>
      <c r="P255" s="262"/>
      <c r="Q255" s="261"/>
      <c r="R255" s="261"/>
      <c r="S255" s="261"/>
      <c r="T255" s="261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</row>
    <row r="256" spans="1:30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261"/>
      <c r="G256" s="259"/>
      <c r="H256" s="261"/>
      <c r="I256" s="261"/>
      <c r="J256" s="261"/>
      <c r="K256" s="261"/>
      <c r="L256" s="261"/>
      <c r="M256" s="262"/>
      <c r="N256" s="262"/>
      <c r="O256" s="262"/>
      <c r="P256" s="262"/>
      <c r="Q256" s="261"/>
      <c r="R256" s="261"/>
      <c r="S256" s="261"/>
      <c r="T256" s="261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</row>
    <row r="257" spans="1:30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261"/>
      <c r="G257" s="259"/>
      <c r="H257" s="261"/>
      <c r="I257" s="261"/>
      <c r="J257" s="261"/>
      <c r="K257" s="261"/>
      <c r="L257" s="261"/>
      <c r="M257" s="262"/>
      <c r="N257" s="262"/>
      <c r="O257" s="262"/>
      <c r="P257" s="262"/>
      <c r="Q257" s="261"/>
      <c r="R257" s="261"/>
      <c r="S257" s="261"/>
      <c r="T257" s="261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</row>
    <row r="258" spans="1:30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261"/>
      <c r="G258" s="259"/>
      <c r="H258" s="261"/>
      <c r="I258" s="261"/>
      <c r="J258" s="261"/>
      <c r="K258" s="261"/>
      <c r="L258" s="261"/>
      <c r="M258" s="262"/>
      <c r="N258" s="262"/>
      <c r="O258" s="262"/>
      <c r="P258" s="262"/>
      <c r="Q258" s="261"/>
      <c r="R258" s="261"/>
      <c r="S258" s="261"/>
      <c r="T258" s="261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</row>
    <row r="259" spans="1:30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261"/>
      <c r="G259" s="259"/>
      <c r="H259" s="261"/>
      <c r="I259" s="261"/>
      <c r="J259" s="261"/>
      <c r="K259" s="261"/>
      <c r="L259" s="261"/>
      <c r="M259" s="262"/>
      <c r="N259" s="262"/>
      <c r="O259" s="262"/>
      <c r="P259" s="262"/>
      <c r="Q259" s="261"/>
      <c r="R259" s="261"/>
      <c r="S259" s="261"/>
      <c r="T259" s="261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</row>
    <row r="260" spans="1:30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261"/>
      <c r="G260" s="259"/>
      <c r="H260" s="261"/>
      <c r="I260" s="261"/>
      <c r="J260" s="261"/>
      <c r="K260" s="261"/>
      <c r="L260" s="261"/>
      <c r="M260" s="262"/>
      <c r="N260" s="262"/>
      <c r="O260" s="262"/>
      <c r="P260" s="262"/>
      <c r="Q260" s="261"/>
      <c r="R260" s="261"/>
      <c r="S260" s="261"/>
      <c r="T260" s="261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</row>
    <row r="261" spans="1:30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261"/>
      <c r="G261" s="259"/>
      <c r="H261" s="261"/>
      <c r="I261" s="261"/>
      <c r="J261" s="261"/>
      <c r="K261" s="261"/>
      <c r="L261" s="261"/>
      <c r="M261" s="262"/>
      <c r="N261" s="262"/>
      <c r="O261" s="262"/>
      <c r="P261" s="262"/>
      <c r="Q261" s="261"/>
      <c r="R261" s="261"/>
      <c r="S261" s="261"/>
      <c r="T261" s="261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</row>
    <row r="262" spans="1:30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261"/>
      <c r="G262" s="259"/>
      <c r="H262" s="261"/>
      <c r="I262" s="261"/>
      <c r="J262" s="261"/>
      <c r="K262" s="261"/>
      <c r="L262" s="261"/>
      <c r="M262" s="262"/>
      <c r="N262" s="262"/>
      <c r="O262" s="262"/>
      <c r="P262" s="262"/>
      <c r="Q262" s="261"/>
      <c r="R262" s="261"/>
      <c r="S262" s="261"/>
      <c r="T262" s="261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</row>
    <row r="263" spans="1:30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261"/>
      <c r="G263" s="259"/>
      <c r="H263" s="261"/>
      <c r="I263" s="261"/>
      <c r="J263" s="261"/>
      <c r="K263" s="261"/>
      <c r="L263" s="261"/>
      <c r="M263" s="262"/>
      <c r="N263" s="262"/>
      <c r="O263" s="262"/>
      <c r="P263" s="262"/>
      <c r="Q263" s="261"/>
      <c r="R263" s="261"/>
      <c r="S263" s="261"/>
      <c r="T263" s="261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</row>
    <row r="264" spans="1:30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261"/>
      <c r="G264" s="259"/>
      <c r="H264" s="261"/>
      <c r="I264" s="261"/>
      <c r="J264" s="261"/>
      <c r="K264" s="261"/>
      <c r="L264" s="261"/>
      <c r="M264" s="262"/>
      <c r="N264" s="262"/>
      <c r="O264" s="262"/>
      <c r="P264" s="262"/>
      <c r="Q264" s="261"/>
      <c r="R264" s="261"/>
      <c r="S264" s="261"/>
      <c r="T264" s="261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</row>
    <row r="265" spans="1:30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261"/>
      <c r="G265" s="259"/>
      <c r="H265" s="261"/>
      <c r="I265" s="261"/>
      <c r="J265" s="261"/>
      <c r="K265" s="261"/>
      <c r="L265" s="261"/>
      <c r="M265" s="262"/>
      <c r="N265" s="262"/>
      <c r="O265" s="262"/>
      <c r="P265" s="262"/>
      <c r="Q265" s="261"/>
      <c r="R265" s="261"/>
      <c r="S265" s="261"/>
      <c r="T265" s="261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</row>
    <row r="266" spans="1:30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261"/>
      <c r="G266" s="259"/>
      <c r="H266" s="261"/>
      <c r="I266" s="261"/>
      <c r="J266" s="261"/>
      <c r="K266" s="261"/>
      <c r="L266" s="261"/>
      <c r="M266" s="262"/>
      <c r="N266" s="262"/>
      <c r="O266" s="262"/>
      <c r="P266" s="262"/>
      <c r="Q266" s="261"/>
      <c r="R266" s="261"/>
      <c r="S266" s="261"/>
      <c r="T266" s="261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</row>
    <row r="267" spans="1:30" ht="18.75" customHeight="1">
      <c r="A267" s="42" t="s">
        <v>605</v>
      </c>
      <c r="B267" s="59" t="s">
        <v>606</v>
      </c>
      <c r="C267" s="113" t="s">
        <v>593</v>
      </c>
      <c r="D267" s="61" t="s">
        <v>1152</v>
      </c>
      <c r="E267" s="200">
        <f t="shared" si="0"/>
        <v>0</v>
      </c>
      <c r="F267" s="261"/>
      <c r="G267" s="259"/>
      <c r="H267" s="261"/>
      <c r="I267" s="261"/>
      <c r="J267" s="261"/>
      <c r="K267" s="261"/>
      <c r="L267" s="261"/>
      <c r="M267" s="262"/>
      <c r="N267" s="262"/>
      <c r="O267" s="262"/>
      <c r="P267" s="262"/>
      <c r="Q267" s="261"/>
      <c r="R267" s="261"/>
      <c r="S267" s="261"/>
      <c r="T267" s="261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</row>
    <row r="268" spans="1:30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261"/>
      <c r="G268" s="259"/>
      <c r="H268" s="261"/>
      <c r="I268" s="261"/>
      <c r="J268" s="261"/>
      <c r="K268" s="261"/>
      <c r="L268" s="261"/>
      <c r="M268" s="262"/>
      <c r="N268" s="262"/>
      <c r="O268" s="262"/>
      <c r="P268" s="262"/>
      <c r="Q268" s="261"/>
      <c r="R268" s="261"/>
      <c r="S268" s="261"/>
      <c r="T268" s="261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</row>
    <row r="269" spans="1:30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261"/>
      <c r="G269" s="259"/>
      <c r="H269" s="261"/>
      <c r="I269" s="261"/>
      <c r="J269" s="261"/>
      <c r="K269" s="261"/>
      <c r="L269" s="261"/>
      <c r="M269" s="262"/>
      <c r="N269" s="262"/>
      <c r="O269" s="262"/>
      <c r="P269" s="262"/>
      <c r="Q269" s="261"/>
      <c r="R269" s="261"/>
      <c r="S269" s="261"/>
      <c r="T269" s="261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</row>
    <row r="270" spans="1:30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261"/>
      <c r="G270" s="259"/>
      <c r="H270" s="261"/>
      <c r="I270" s="261"/>
      <c r="J270" s="261"/>
      <c r="K270" s="261"/>
      <c r="L270" s="261"/>
      <c r="M270" s="262"/>
      <c r="N270" s="262"/>
      <c r="O270" s="262"/>
      <c r="P270" s="262"/>
      <c r="Q270" s="261"/>
      <c r="R270" s="261"/>
      <c r="S270" s="261"/>
      <c r="T270" s="261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</row>
    <row r="271" spans="1:30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261"/>
      <c r="G271" s="259"/>
      <c r="H271" s="261"/>
      <c r="I271" s="261"/>
      <c r="J271" s="261"/>
      <c r="K271" s="261"/>
      <c r="L271" s="261"/>
      <c r="M271" s="262"/>
      <c r="N271" s="262"/>
      <c r="O271" s="262"/>
      <c r="P271" s="262"/>
      <c r="Q271" s="261"/>
      <c r="R271" s="261"/>
      <c r="S271" s="261"/>
      <c r="T271" s="261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</row>
    <row r="272" spans="1:30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261"/>
      <c r="G272" s="259"/>
      <c r="H272" s="261"/>
      <c r="I272" s="261"/>
      <c r="J272" s="261"/>
      <c r="K272" s="261"/>
      <c r="L272" s="261"/>
      <c r="M272" s="262"/>
      <c r="N272" s="262"/>
      <c r="O272" s="262"/>
      <c r="P272" s="262"/>
      <c r="Q272" s="261"/>
      <c r="R272" s="261"/>
      <c r="S272" s="261"/>
      <c r="T272" s="261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</row>
    <row r="273" spans="1:30" ht="18.75" customHeight="1">
      <c r="A273" s="42" t="s">
        <v>620</v>
      </c>
      <c r="B273" s="59" t="s">
        <v>621</v>
      </c>
      <c r="C273" s="113" t="s">
        <v>622</v>
      </c>
      <c r="D273" s="61" t="s">
        <v>1153</v>
      </c>
      <c r="E273" s="200">
        <f t="shared" si="0"/>
        <v>0</v>
      </c>
      <c r="F273" s="261"/>
      <c r="G273" s="259"/>
      <c r="H273" s="261"/>
      <c r="I273" s="261"/>
      <c r="J273" s="261"/>
      <c r="K273" s="261"/>
      <c r="L273" s="261"/>
      <c r="M273" s="262"/>
      <c r="N273" s="262"/>
      <c r="O273" s="262"/>
      <c r="P273" s="262"/>
      <c r="Q273" s="261"/>
      <c r="R273" s="261"/>
      <c r="S273" s="261"/>
      <c r="T273" s="261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</row>
    <row r="274" spans="1:30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261"/>
      <c r="G274" s="259"/>
      <c r="H274" s="261"/>
      <c r="I274" s="261"/>
      <c r="J274" s="261"/>
      <c r="K274" s="261"/>
      <c r="L274" s="261"/>
      <c r="M274" s="262"/>
      <c r="N274" s="262"/>
      <c r="O274" s="262"/>
      <c r="P274" s="262"/>
      <c r="Q274" s="261"/>
      <c r="R274" s="261"/>
      <c r="S274" s="261"/>
      <c r="T274" s="261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</row>
    <row r="275" spans="1:30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SUM(F275:S275)</f>
        <v>0</v>
      </c>
      <c r="F275" s="261"/>
      <c r="G275" s="259"/>
      <c r="H275" s="261"/>
      <c r="I275" s="261"/>
      <c r="J275" s="261"/>
      <c r="K275" s="261"/>
      <c r="L275" s="261"/>
      <c r="M275" s="262"/>
      <c r="N275" s="262"/>
      <c r="O275" s="262"/>
      <c r="P275" s="262"/>
      <c r="Q275" s="261"/>
      <c r="R275" s="261"/>
      <c r="S275" s="261"/>
      <c r="T275" s="261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</row>
    <row r="276" spans="1:30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261"/>
      <c r="G276" s="259"/>
      <c r="H276" s="261"/>
      <c r="I276" s="261"/>
      <c r="J276" s="261"/>
      <c r="K276" s="261"/>
      <c r="L276" s="261"/>
      <c r="M276" s="262"/>
      <c r="N276" s="262"/>
      <c r="O276" s="262"/>
      <c r="P276" s="262"/>
      <c r="Q276" s="261"/>
      <c r="R276" s="261"/>
      <c r="S276" s="261"/>
      <c r="T276" s="261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</row>
    <row r="277" spans="1:30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261"/>
      <c r="G277" s="259"/>
      <c r="H277" s="261"/>
      <c r="I277" s="261"/>
      <c r="J277" s="261"/>
      <c r="K277" s="261"/>
      <c r="L277" s="261"/>
      <c r="M277" s="262"/>
      <c r="N277" s="262"/>
      <c r="O277" s="262"/>
      <c r="P277" s="262"/>
      <c r="Q277" s="261"/>
      <c r="R277" s="261"/>
      <c r="S277" s="261"/>
      <c r="T277" s="261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</row>
    <row r="278" spans="1:30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261"/>
      <c r="G278" s="259"/>
      <c r="H278" s="261"/>
      <c r="I278" s="261"/>
      <c r="J278" s="261"/>
      <c r="K278" s="261"/>
      <c r="L278" s="261"/>
      <c r="M278" s="262"/>
      <c r="N278" s="262"/>
      <c r="O278" s="262"/>
      <c r="P278" s="262"/>
      <c r="Q278" s="261"/>
      <c r="R278" s="261"/>
      <c r="S278" s="261"/>
      <c r="T278" s="261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</row>
    <row r="279" spans="1:30" ht="18.75" customHeight="1">
      <c r="A279" s="42" t="s">
        <v>636</v>
      </c>
      <c r="B279" s="59" t="s">
        <v>637</v>
      </c>
      <c r="C279" s="113" t="s">
        <v>638</v>
      </c>
      <c r="D279" s="61" t="s">
        <v>1154</v>
      </c>
      <c r="E279" s="200">
        <f t="shared" si="1"/>
        <v>0</v>
      </c>
      <c r="F279" s="261"/>
      <c r="G279" s="259"/>
      <c r="H279" s="261"/>
      <c r="I279" s="261"/>
      <c r="J279" s="261"/>
      <c r="K279" s="261"/>
      <c r="L279" s="261"/>
      <c r="M279" s="262"/>
      <c r="N279" s="262"/>
      <c r="O279" s="262"/>
      <c r="P279" s="262"/>
      <c r="Q279" s="261"/>
      <c r="R279" s="261"/>
      <c r="S279" s="261"/>
      <c r="T279" s="261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</row>
    <row r="280" spans="1:30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261"/>
      <c r="G280" s="259"/>
      <c r="H280" s="261"/>
      <c r="I280" s="261"/>
      <c r="J280" s="261"/>
      <c r="K280" s="261"/>
      <c r="L280" s="261"/>
      <c r="M280" s="262"/>
      <c r="N280" s="262"/>
      <c r="O280" s="262"/>
      <c r="P280" s="262"/>
      <c r="Q280" s="261"/>
      <c r="R280" s="261"/>
      <c r="S280" s="261"/>
      <c r="T280" s="261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</row>
    <row r="281" spans="1:30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261"/>
      <c r="G281" s="259"/>
      <c r="H281" s="261"/>
      <c r="I281" s="261"/>
      <c r="J281" s="261"/>
      <c r="K281" s="261"/>
      <c r="L281" s="261"/>
      <c r="M281" s="262"/>
      <c r="N281" s="262"/>
      <c r="O281" s="262"/>
      <c r="P281" s="262"/>
      <c r="Q281" s="261"/>
      <c r="R281" s="261"/>
      <c r="S281" s="261"/>
      <c r="T281" s="261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</row>
    <row r="282" spans="1:30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261"/>
      <c r="G282" s="259"/>
      <c r="H282" s="261"/>
      <c r="I282" s="261"/>
      <c r="J282" s="261"/>
      <c r="K282" s="261"/>
      <c r="L282" s="261"/>
      <c r="M282" s="262"/>
      <c r="N282" s="262"/>
      <c r="O282" s="262"/>
      <c r="P282" s="262"/>
      <c r="Q282" s="274"/>
      <c r="R282" s="261"/>
      <c r="S282" s="261"/>
      <c r="T282" s="261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</row>
    <row r="283" spans="1:30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261"/>
      <c r="G283" s="259"/>
      <c r="H283" s="261"/>
      <c r="I283" s="270"/>
      <c r="J283" s="270"/>
      <c r="K283" s="270"/>
      <c r="L283" s="270"/>
      <c r="M283" s="270"/>
      <c r="N283" s="270"/>
      <c r="O283" s="270"/>
      <c r="P283" s="270"/>
      <c r="Q283" s="270"/>
      <c r="R283" s="261"/>
      <c r="S283" s="261"/>
      <c r="T283" s="261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</row>
    <row r="284" spans="1:30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261"/>
      <c r="G284" s="259"/>
      <c r="H284" s="261"/>
      <c r="I284" s="261"/>
      <c r="J284" s="261"/>
      <c r="K284" s="261"/>
      <c r="L284" s="261"/>
      <c r="M284" s="262"/>
      <c r="N284" s="262"/>
      <c r="O284" s="262"/>
      <c r="P284" s="262"/>
      <c r="Q284" s="261"/>
      <c r="R284" s="261"/>
      <c r="S284" s="261"/>
      <c r="T284" s="261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</row>
    <row r="285" spans="1:30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261"/>
      <c r="G285" s="259"/>
      <c r="H285" s="261"/>
      <c r="I285" s="261"/>
      <c r="J285" s="261"/>
      <c r="K285" s="261"/>
      <c r="L285" s="261"/>
      <c r="M285" s="262"/>
      <c r="N285" s="262"/>
      <c r="O285" s="262"/>
      <c r="P285" s="262"/>
      <c r="Q285" s="261"/>
      <c r="R285" s="261"/>
      <c r="S285" s="261"/>
      <c r="T285" s="261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</row>
    <row r="286" spans="1:30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261"/>
      <c r="G286" s="259"/>
      <c r="H286" s="261"/>
      <c r="I286" s="261"/>
      <c r="J286" s="261"/>
      <c r="K286" s="261"/>
      <c r="L286" s="261"/>
      <c r="M286" s="262"/>
      <c r="N286" s="262"/>
      <c r="O286" s="262"/>
      <c r="P286" s="262"/>
      <c r="Q286" s="261"/>
      <c r="R286" s="261"/>
      <c r="S286" s="261"/>
      <c r="T286" s="261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</row>
    <row r="287" spans="1:30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261"/>
      <c r="G287" s="259"/>
      <c r="H287" s="261"/>
      <c r="I287" s="261"/>
      <c r="J287" s="261"/>
      <c r="K287" s="261"/>
      <c r="L287" s="261"/>
      <c r="M287" s="262"/>
      <c r="N287" s="262"/>
      <c r="O287" s="262"/>
      <c r="P287" s="262"/>
      <c r="Q287" s="261"/>
      <c r="R287" s="261"/>
      <c r="S287" s="261"/>
      <c r="T287" s="261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</row>
    <row r="288" spans="1:30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261"/>
      <c r="G288" s="259"/>
      <c r="H288" s="261"/>
      <c r="I288" s="261"/>
      <c r="J288" s="261"/>
      <c r="K288" s="261"/>
      <c r="L288" s="261"/>
      <c r="M288" s="262"/>
      <c r="N288" s="262"/>
      <c r="O288" s="262"/>
      <c r="P288" s="262"/>
      <c r="Q288" s="261"/>
      <c r="R288" s="261"/>
      <c r="S288" s="261"/>
      <c r="T288" s="261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</row>
    <row r="289" spans="1:30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261"/>
      <c r="G289" s="259"/>
      <c r="H289" s="261"/>
      <c r="I289" s="261"/>
      <c r="J289" s="261"/>
      <c r="K289" s="261"/>
      <c r="L289" s="261"/>
      <c r="M289" s="262"/>
      <c r="N289" s="262"/>
      <c r="O289" s="262"/>
      <c r="P289" s="262"/>
      <c r="Q289" s="261"/>
      <c r="R289" s="261"/>
      <c r="S289" s="261"/>
      <c r="T289" s="261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</row>
    <row r="290" spans="1:30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261"/>
      <c r="G290" s="259"/>
      <c r="H290" s="261"/>
      <c r="I290" s="261"/>
      <c r="J290" s="261"/>
      <c r="K290" s="261"/>
      <c r="L290" s="261"/>
      <c r="M290" s="262"/>
      <c r="N290" s="262"/>
      <c r="O290" s="262"/>
      <c r="P290" s="262"/>
      <c r="Q290" s="261"/>
      <c r="R290" s="261"/>
      <c r="S290" s="261"/>
      <c r="T290" s="261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</row>
    <row r="291" spans="1:30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261"/>
      <c r="G291" s="259"/>
      <c r="H291" s="261"/>
      <c r="I291" s="261"/>
      <c r="J291" s="261"/>
      <c r="K291" s="261"/>
      <c r="L291" s="261"/>
      <c r="M291" s="262"/>
      <c r="N291" s="262"/>
      <c r="O291" s="262"/>
      <c r="P291" s="262"/>
      <c r="Q291" s="261"/>
      <c r="R291" s="261"/>
      <c r="S291" s="261"/>
      <c r="T291" s="261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</row>
    <row r="292" spans="1:30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261"/>
      <c r="G292" s="259"/>
      <c r="H292" s="261"/>
      <c r="I292" s="261"/>
      <c r="J292" s="261"/>
      <c r="K292" s="261"/>
      <c r="L292" s="261"/>
      <c r="M292" s="262"/>
      <c r="N292" s="262"/>
      <c r="O292" s="262"/>
      <c r="P292" s="262"/>
      <c r="Q292" s="261"/>
      <c r="R292" s="261"/>
      <c r="S292" s="261"/>
      <c r="T292" s="261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</row>
    <row r="293" spans="1:30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261"/>
      <c r="G293" s="259"/>
      <c r="H293" s="261"/>
      <c r="I293" s="261"/>
      <c r="J293" s="261"/>
      <c r="K293" s="261"/>
      <c r="L293" s="261"/>
      <c r="M293" s="262"/>
      <c r="N293" s="262"/>
      <c r="O293" s="262"/>
      <c r="P293" s="262"/>
      <c r="Q293" s="261"/>
      <c r="R293" s="261"/>
      <c r="S293" s="261"/>
      <c r="T293" s="261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</row>
    <row r="294" spans="1:30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261"/>
      <c r="G294" s="259"/>
      <c r="H294" s="261"/>
      <c r="I294" s="261"/>
      <c r="J294" s="261"/>
      <c r="K294" s="261"/>
      <c r="L294" s="261"/>
      <c r="M294" s="262"/>
      <c r="N294" s="262"/>
      <c r="O294" s="262"/>
      <c r="P294" s="262"/>
      <c r="Q294" s="274"/>
      <c r="R294" s="261"/>
      <c r="S294" s="261"/>
      <c r="T294" s="261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</row>
    <row r="295" spans="1:30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261"/>
      <c r="G295" s="259"/>
      <c r="H295" s="261"/>
      <c r="I295" s="261"/>
      <c r="J295" s="261"/>
      <c r="K295" s="261"/>
      <c r="L295" s="261"/>
      <c r="M295" s="262"/>
      <c r="N295" s="262"/>
      <c r="O295" s="262"/>
      <c r="P295" s="262"/>
      <c r="Q295" s="261"/>
      <c r="R295" s="261"/>
      <c r="S295" s="261"/>
      <c r="T295" s="261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</row>
    <row r="296" spans="1:30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261"/>
      <c r="G296" s="259"/>
      <c r="H296" s="261"/>
      <c r="I296" s="261"/>
      <c r="J296" s="261"/>
      <c r="K296" s="261"/>
      <c r="L296" s="261"/>
      <c r="M296" s="262"/>
      <c r="N296" s="262"/>
      <c r="O296" s="262"/>
      <c r="P296" s="262"/>
      <c r="Q296" s="261"/>
      <c r="R296" s="261"/>
      <c r="S296" s="261"/>
      <c r="T296" s="261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</row>
    <row r="297" spans="1:30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261"/>
      <c r="G297" s="259"/>
      <c r="H297" s="261"/>
      <c r="I297" s="261"/>
      <c r="J297" s="261"/>
      <c r="K297" s="261"/>
      <c r="L297" s="261"/>
      <c r="M297" s="262"/>
      <c r="N297" s="262"/>
      <c r="O297" s="262"/>
      <c r="P297" s="262"/>
      <c r="Q297" s="261"/>
      <c r="R297" s="261"/>
      <c r="S297" s="261"/>
      <c r="T297" s="261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</row>
    <row r="298" spans="1:30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261"/>
      <c r="G298" s="259"/>
      <c r="H298" s="261"/>
      <c r="I298" s="261"/>
      <c r="J298" s="261"/>
      <c r="K298" s="261"/>
      <c r="L298" s="261"/>
      <c r="M298" s="262"/>
      <c r="N298" s="262"/>
      <c r="O298" s="262"/>
      <c r="P298" s="262"/>
      <c r="Q298" s="261"/>
      <c r="R298" s="261"/>
      <c r="S298" s="261"/>
      <c r="T298" s="261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</row>
    <row r="299" spans="1:30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261"/>
      <c r="G299" s="259"/>
      <c r="H299" s="261"/>
      <c r="I299" s="261"/>
      <c r="J299" s="261"/>
      <c r="K299" s="261"/>
      <c r="L299" s="261"/>
      <c r="M299" s="262"/>
      <c r="N299" s="262"/>
      <c r="O299" s="262"/>
      <c r="P299" s="262"/>
      <c r="Q299" s="261"/>
      <c r="R299" s="261"/>
      <c r="S299" s="261"/>
      <c r="T299" s="261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</row>
    <row r="300" spans="1:30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261"/>
      <c r="G300" s="259"/>
      <c r="H300" s="261"/>
      <c r="I300" s="261"/>
      <c r="J300" s="261"/>
      <c r="K300" s="261"/>
      <c r="L300" s="261"/>
      <c r="M300" s="262"/>
      <c r="N300" s="262"/>
      <c r="O300" s="262"/>
      <c r="P300" s="262"/>
      <c r="Q300" s="261"/>
      <c r="R300" s="261"/>
      <c r="S300" s="261"/>
      <c r="T300" s="261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</row>
    <row r="301" spans="1:30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261"/>
      <c r="G301" s="259"/>
      <c r="H301" s="261"/>
      <c r="I301" s="261"/>
      <c r="J301" s="261"/>
      <c r="K301" s="261"/>
      <c r="L301" s="261"/>
      <c r="M301" s="262"/>
      <c r="N301" s="262"/>
      <c r="O301" s="262"/>
      <c r="P301" s="262"/>
      <c r="Q301" s="261"/>
      <c r="R301" s="261"/>
      <c r="S301" s="261"/>
      <c r="T301" s="261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</row>
    <row r="302" spans="1:30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261"/>
      <c r="G302" s="259"/>
      <c r="H302" s="261"/>
      <c r="I302" s="261"/>
      <c r="J302" s="261"/>
      <c r="K302" s="261"/>
      <c r="L302" s="261"/>
      <c r="M302" s="262"/>
      <c r="N302" s="262"/>
      <c r="O302" s="262"/>
      <c r="P302" s="262"/>
      <c r="Q302" s="261"/>
      <c r="R302" s="261"/>
      <c r="S302" s="261"/>
      <c r="T302" s="261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</row>
    <row r="303" spans="1:30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261"/>
      <c r="G303" s="259"/>
      <c r="H303" s="261"/>
      <c r="I303" s="261"/>
      <c r="J303" s="261"/>
      <c r="K303" s="261"/>
      <c r="L303" s="261"/>
      <c r="M303" s="262"/>
      <c r="N303" s="262"/>
      <c r="O303" s="262"/>
      <c r="P303" s="262"/>
      <c r="Q303" s="261"/>
      <c r="R303" s="261"/>
      <c r="S303" s="261"/>
      <c r="T303" s="261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</row>
    <row r="304" spans="1:30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261"/>
      <c r="G304" s="259"/>
      <c r="H304" s="261"/>
      <c r="I304" s="261"/>
      <c r="J304" s="261"/>
      <c r="K304" s="261"/>
      <c r="L304" s="261"/>
      <c r="M304" s="262"/>
      <c r="N304" s="262"/>
      <c r="O304" s="262"/>
      <c r="P304" s="262"/>
      <c r="Q304" s="261"/>
      <c r="R304" s="261"/>
      <c r="S304" s="261"/>
      <c r="T304" s="261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</row>
    <row r="305" spans="1:30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261"/>
      <c r="G305" s="259"/>
      <c r="H305" s="261"/>
      <c r="I305" s="261"/>
      <c r="J305" s="261"/>
      <c r="K305" s="261"/>
      <c r="L305" s="261"/>
      <c r="M305" s="262"/>
      <c r="N305" s="262"/>
      <c r="O305" s="262"/>
      <c r="P305" s="262"/>
      <c r="Q305" s="261"/>
      <c r="R305" s="261"/>
      <c r="S305" s="261"/>
      <c r="T305" s="261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</row>
    <row r="306" spans="1:30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261"/>
      <c r="G306" s="259"/>
      <c r="H306" s="261"/>
      <c r="I306" s="261"/>
      <c r="J306" s="261"/>
      <c r="K306" s="261"/>
      <c r="L306" s="261"/>
      <c r="M306" s="262"/>
      <c r="N306" s="262"/>
      <c r="O306" s="262"/>
      <c r="P306" s="262"/>
      <c r="Q306" s="261"/>
      <c r="R306" s="261"/>
      <c r="S306" s="261"/>
      <c r="T306" s="261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</row>
    <row r="307" spans="1:30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261"/>
      <c r="G307" s="259"/>
      <c r="H307" s="261"/>
      <c r="I307" s="261"/>
      <c r="J307" s="261"/>
      <c r="K307" s="261"/>
      <c r="L307" s="261"/>
      <c r="M307" s="262"/>
      <c r="N307" s="262"/>
      <c r="O307" s="262"/>
      <c r="P307" s="262"/>
      <c r="Q307" s="274"/>
      <c r="R307" s="261"/>
      <c r="S307" s="261"/>
      <c r="T307" s="261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</row>
    <row r="308" spans="1:30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261"/>
      <c r="G308" s="259"/>
      <c r="H308" s="261"/>
      <c r="I308" s="261"/>
      <c r="J308" s="261"/>
      <c r="K308" s="261"/>
      <c r="L308" s="261"/>
      <c r="M308" s="262"/>
      <c r="N308" s="262"/>
      <c r="O308" s="262"/>
      <c r="P308" s="262"/>
      <c r="Q308" s="261"/>
      <c r="R308" s="261"/>
      <c r="S308" s="261"/>
      <c r="T308" s="261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</row>
    <row r="309" spans="1:30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261"/>
      <c r="G309" s="259"/>
      <c r="H309" s="261"/>
      <c r="I309" s="261"/>
      <c r="J309" s="261"/>
      <c r="K309" s="261"/>
      <c r="L309" s="261"/>
      <c r="M309" s="262"/>
      <c r="N309" s="262"/>
      <c r="O309" s="262"/>
      <c r="P309" s="262"/>
      <c r="Q309" s="261"/>
      <c r="R309" s="261"/>
      <c r="S309" s="261"/>
      <c r="T309" s="261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</row>
    <row r="310" spans="1:30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261"/>
      <c r="G310" s="259"/>
      <c r="H310" s="261"/>
      <c r="I310" s="261"/>
      <c r="J310" s="261"/>
      <c r="K310" s="261"/>
      <c r="L310" s="261"/>
      <c r="M310" s="262"/>
      <c r="N310" s="262"/>
      <c r="O310" s="262"/>
      <c r="P310" s="262"/>
      <c r="Q310" s="261"/>
      <c r="R310" s="261"/>
      <c r="S310" s="261"/>
      <c r="T310" s="261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</row>
    <row r="311" spans="1:30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261"/>
      <c r="G311" s="259"/>
      <c r="H311" s="261"/>
      <c r="I311" s="261"/>
      <c r="J311" s="261"/>
      <c r="K311" s="261"/>
      <c r="L311" s="261"/>
      <c r="M311" s="262"/>
      <c r="N311" s="262"/>
      <c r="O311" s="262"/>
      <c r="P311" s="262"/>
      <c r="Q311" s="261"/>
      <c r="R311" s="261"/>
      <c r="S311" s="261"/>
      <c r="T311" s="261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</row>
    <row r="312" spans="1:30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261"/>
      <c r="G312" s="259"/>
      <c r="H312" s="261"/>
      <c r="I312" s="261"/>
      <c r="J312" s="261"/>
      <c r="K312" s="261"/>
      <c r="L312" s="261"/>
      <c r="M312" s="262"/>
      <c r="N312" s="262"/>
      <c r="O312" s="262"/>
      <c r="P312" s="262"/>
      <c r="Q312" s="261"/>
      <c r="R312" s="261"/>
      <c r="S312" s="261"/>
      <c r="T312" s="261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</row>
    <row r="313" spans="1:30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261"/>
      <c r="G313" s="259"/>
      <c r="H313" s="261"/>
      <c r="I313" s="261"/>
      <c r="J313" s="261"/>
      <c r="K313" s="261"/>
      <c r="L313" s="261"/>
      <c r="M313" s="262"/>
      <c r="N313" s="262"/>
      <c r="O313" s="262"/>
      <c r="P313" s="262"/>
      <c r="Q313" s="261"/>
      <c r="R313" s="261"/>
      <c r="S313" s="261"/>
      <c r="T313" s="261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</row>
    <row r="314" spans="1:30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261"/>
      <c r="G314" s="259"/>
      <c r="H314" s="261"/>
      <c r="I314" s="261"/>
      <c r="J314" s="261"/>
      <c r="K314" s="261"/>
      <c r="L314" s="261"/>
      <c r="M314" s="262"/>
      <c r="N314" s="262"/>
      <c r="O314" s="262"/>
      <c r="P314" s="262"/>
      <c r="Q314" s="261"/>
      <c r="R314" s="261"/>
      <c r="S314" s="261"/>
      <c r="T314" s="261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</row>
    <row r="315" spans="1:30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261"/>
      <c r="G315" s="259"/>
      <c r="H315" s="261"/>
      <c r="I315" s="261"/>
      <c r="J315" s="261"/>
      <c r="K315" s="261"/>
      <c r="L315" s="261"/>
      <c r="M315" s="262"/>
      <c r="N315" s="262"/>
      <c r="O315" s="262"/>
      <c r="P315" s="262"/>
      <c r="Q315" s="261"/>
      <c r="R315" s="261"/>
      <c r="S315" s="261"/>
      <c r="T315" s="261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</row>
    <row r="316" spans="1:30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261"/>
      <c r="G316" s="259"/>
      <c r="H316" s="261"/>
      <c r="I316" s="261"/>
      <c r="J316" s="261"/>
      <c r="K316" s="261"/>
      <c r="L316" s="261"/>
      <c r="M316" s="262"/>
      <c r="N316" s="262"/>
      <c r="O316" s="262"/>
      <c r="P316" s="262"/>
      <c r="Q316" s="261"/>
      <c r="R316" s="261"/>
      <c r="S316" s="261"/>
      <c r="T316" s="261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</row>
    <row r="317" spans="1:30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261"/>
      <c r="G317" s="259"/>
      <c r="H317" s="261"/>
      <c r="I317" s="261"/>
      <c r="J317" s="261"/>
      <c r="K317" s="261"/>
      <c r="L317" s="261"/>
      <c r="M317" s="262"/>
      <c r="N317" s="262"/>
      <c r="O317" s="262"/>
      <c r="P317" s="262"/>
      <c r="Q317" s="261"/>
      <c r="R317" s="261"/>
      <c r="S317" s="261"/>
      <c r="T317" s="261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</row>
    <row r="318" spans="1:30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261"/>
      <c r="G318" s="259"/>
      <c r="H318" s="261"/>
      <c r="I318" s="261"/>
      <c r="J318" s="261"/>
      <c r="K318" s="261"/>
      <c r="L318" s="261"/>
      <c r="M318" s="262"/>
      <c r="N318" s="262"/>
      <c r="O318" s="262"/>
      <c r="P318" s="262"/>
      <c r="Q318" s="261"/>
      <c r="R318" s="261"/>
      <c r="S318" s="261"/>
      <c r="T318" s="261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</row>
    <row r="319" spans="1:30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261"/>
      <c r="G319" s="259"/>
      <c r="H319" s="261"/>
      <c r="I319" s="261"/>
      <c r="J319" s="261"/>
      <c r="K319" s="261"/>
      <c r="L319" s="261"/>
      <c r="M319" s="262"/>
      <c r="N319" s="262"/>
      <c r="O319" s="262"/>
      <c r="P319" s="262"/>
      <c r="Q319" s="261"/>
      <c r="R319" s="261"/>
      <c r="S319" s="261"/>
      <c r="T319" s="261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</row>
    <row r="320" spans="1:30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261"/>
      <c r="G320" s="259"/>
      <c r="H320" s="261"/>
      <c r="I320" s="261"/>
      <c r="J320" s="261"/>
      <c r="K320" s="261"/>
      <c r="L320" s="261"/>
      <c r="M320" s="262"/>
      <c r="N320" s="262"/>
      <c r="O320" s="262"/>
      <c r="P320" s="262"/>
      <c r="Q320" s="274"/>
      <c r="R320" s="261"/>
      <c r="S320" s="261"/>
      <c r="T320" s="261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</row>
    <row r="321" spans="1:30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261"/>
      <c r="G321" s="259"/>
      <c r="H321" s="261"/>
      <c r="I321" s="261"/>
      <c r="J321" s="261"/>
      <c r="K321" s="261"/>
      <c r="L321" s="261"/>
      <c r="M321" s="262"/>
      <c r="N321" s="262"/>
      <c r="O321" s="262"/>
      <c r="P321" s="262"/>
      <c r="Q321" s="261"/>
      <c r="R321" s="261"/>
      <c r="S321" s="261"/>
      <c r="T321" s="261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</row>
    <row r="322" spans="1:30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261"/>
      <c r="G322" s="259"/>
      <c r="H322" s="261"/>
      <c r="I322" s="261"/>
      <c r="J322" s="261"/>
      <c r="K322" s="261"/>
      <c r="L322" s="261"/>
      <c r="M322" s="262"/>
      <c r="N322" s="262"/>
      <c r="O322" s="262"/>
      <c r="P322" s="262"/>
      <c r="Q322" s="261"/>
      <c r="R322" s="261"/>
      <c r="S322" s="261"/>
      <c r="T322" s="261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</row>
    <row r="323" spans="1:30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261"/>
      <c r="G323" s="259"/>
      <c r="H323" s="261"/>
      <c r="I323" s="261"/>
      <c r="J323" s="261"/>
      <c r="K323" s="261"/>
      <c r="L323" s="261"/>
      <c r="M323" s="262"/>
      <c r="N323" s="262"/>
      <c r="O323" s="262"/>
      <c r="P323" s="262"/>
      <c r="Q323" s="261"/>
      <c r="R323" s="261"/>
      <c r="S323" s="261"/>
      <c r="T323" s="261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</row>
    <row r="324" spans="1:30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261"/>
      <c r="G324" s="259"/>
      <c r="H324" s="261"/>
      <c r="I324" s="261"/>
      <c r="J324" s="261"/>
      <c r="K324" s="261"/>
      <c r="L324" s="261"/>
      <c r="M324" s="262"/>
      <c r="N324" s="262"/>
      <c r="O324" s="262"/>
      <c r="P324" s="262"/>
      <c r="Q324" s="261"/>
      <c r="R324" s="261"/>
      <c r="S324" s="261"/>
      <c r="T324" s="261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</row>
    <row r="325" spans="1:30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261"/>
      <c r="G325" s="259"/>
      <c r="H325" s="261"/>
      <c r="I325" s="261"/>
      <c r="J325" s="261"/>
      <c r="K325" s="261"/>
      <c r="L325" s="261"/>
      <c r="M325" s="262"/>
      <c r="N325" s="262"/>
      <c r="O325" s="262"/>
      <c r="P325" s="262"/>
      <c r="Q325" s="261"/>
      <c r="R325" s="261"/>
      <c r="S325" s="261"/>
      <c r="T325" s="261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</row>
    <row r="326" spans="1:30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261"/>
      <c r="G326" s="259"/>
      <c r="H326" s="261"/>
      <c r="I326" s="261"/>
      <c r="J326" s="261"/>
      <c r="K326" s="261"/>
      <c r="L326" s="261"/>
      <c r="M326" s="262"/>
      <c r="N326" s="262"/>
      <c r="O326" s="262"/>
      <c r="P326" s="262"/>
      <c r="Q326" s="261"/>
      <c r="R326" s="261"/>
      <c r="S326" s="261"/>
      <c r="T326" s="261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</row>
    <row r="327" spans="1:30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261"/>
      <c r="G327" s="259"/>
      <c r="H327" s="261"/>
      <c r="I327" s="261"/>
      <c r="J327" s="261"/>
      <c r="K327" s="261"/>
      <c r="L327" s="261"/>
      <c r="M327" s="262"/>
      <c r="N327" s="262"/>
      <c r="O327" s="262"/>
      <c r="P327" s="262"/>
      <c r="Q327" s="261"/>
      <c r="R327" s="261"/>
      <c r="S327" s="261"/>
      <c r="T327" s="261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</row>
    <row r="328" spans="1:30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261"/>
      <c r="G328" s="259"/>
      <c r="H328" s="261"/>
      <c r="I328" s="261"/>
      <c r="J328" s="261"/>
      <c r="K328" s="261"/>
      <c r="L328" s="261"/>
      <c r="M328" s="262"/>
      <c r="N328" s="262"/>
      <c r="O328" s="262"/>
      <c r="P328" s="262"/>
      <c r="Q328" s="261"/>
      <c r="R328" s="261"/>
      <c r="S328" s="261"/>
      <c r="T328" s="261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</row>
    <row r="329" spans="1:30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261"/>
      <c r="G329" s="259"/>
      <c r="H329" s="261"/>
      <c r="I329" s="261"/>
      <c r="J329" s="261"/>
      <c r="K329" s="261"/>
      <c r="L329" s="261"/>
      <c r="M329" s="262"/>
      <c r="N329" s="262"/>
      <c r="O329" s="262"/>
      <c r="P329" s="262"/>
      <c r="Q329" s="261"/>
      <c r="R329" s="261"/>
      <c r="S329" s="261"/>
      <c r="T329" s="261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</row>
    <row r="330" spans="1:30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261"/>
      <c r="G330" s="259"/>
      <c r="H330" s="261"/>
      <c r="I330" s="261"/>
      <c r="J330" s="261"/>
      <c r="K330" s="261"/>
      <c r="L330" s="261"/>
      <c r="M330" s="262"/>
      <c r="N330" s="262"/>
      <c r="O330" s="262"/>
      <c r="P330" s="262"/>
      <c r="Q330" s="261"/>
      <c r="R330" s="261"/>
      <c r="S330" s="261"/>
      <c r="T330" s="261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</row>
    <row r="331" spans="1:30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261"/>
      <c r="G331" s="259"/>
      <c r="H331" s="261"/>
      <c r="I331" s="261"/>
      <c r="J331" s="261"/>
      <c r="K331" s="261"/>
      <c r="L331" s="261"/>
      <c r="M331" s="262"/>
      <c r="N331" s="262"/>
      <c r="O331" s="262"/>
      <c r="P331" s="262"/>
      <c r="Q331" s="261"/>
      <c r="R331" s="261"/>
      <c r="S331" s="261"/>
      <c r="T331" s="261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</row>
    <row r="332" spans="1:30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261"/>
      <c r="G332" s="259"/>
      <c r="H332" s="261"/>
      <c r="I332" s="261"/>
      <c r="J332" s="261"/>
      <c r="K332" s="261"/>
      <c r="L332" s="261"/>
      <c r="M332" s="262"/>
      <c r="N332" s="262"/>
      <c r="O332" s="262"/>
      <c r="P332" s="262"/>
      <c r="Q332" s="261"/>
      <c r="R332" s="261"/>
      <c r="S332" s="261"/>
      <c r="T332" s="261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</row>
    <row r="333" spans="1:30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261"/>
      <c r="G333" s="259"/>
      <c r="H333" s="261"/>
      <c r="I333" s="261"/>
      <c r="J333" s="261"/>
      <c r="K333" s="261"/>
      <c r="L333" s="261"/>
      <c r="M333" s="262"/>
      <c r="N333" s="262"/>
      <c r="O333" s="262"/>
      <c r="P333" s="262"/>
      <c r="Q333" s="261"/>
      <c r="R333" s="261"/>
      <c r="S333" s="261"/>
      <c r="T333" s="261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</row>
    <row r="334" spans="1:30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261"/>
      <c r="G334" s="259"/>
      <c r="H334" s="261"/>
      <c r="I334" s="261"/>
      <c r="J334" s="261"/>
      <c r="K334" s="261"/>
      <c r="L334" s="261"/>
      <c r="M334" s="262"/>
      <c r="N334" s="262"/>
      <c r="O334" s="262"/>
      <c r="P334" s="262"/>
      <c r="Q334" s="261"/>
      <c r="R334" s="261"/>
      <c r="S334" s="261"/>
      <c r="T334" s="261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</row>
    <row r="335" spans="1:30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261"/>
      <c r="G335" s="259"/>
      <c r="H335" s="261"/>
      <c r="I335" s="261"/>
      <c r="J335" s="261"/>
      <c r="K335" s="261"/>
      <c r="L335" s="261"/>
      <c r="M335" s="262"/>
      <c r="N335" s="262"/>
      <c r="O335" s="262"/>
      <c r="P335" s="262"/>
      <c r="Q335" s="261"/>
      <c r="R335" s="261"/>
      <c r="S335" s="261"/>
      <c r="T335" s="261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</row>
    <row r="336" spans="1:30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261"/>
      <c r="G336" s="259"/>
      <c r="H336" s="261"/>
      <c r="I336" s="261"/>
      <c r="J336" s="261"/>
      <c r="K336" s="261"/>
      <c r="L336" s="261"/>
      <c r="M336" s="262"/>
      <c r="N336" s="262"/>
      <c r="O336" s="262"/>
      <c r="P336" s="262"/>
      <c r="Q336" s="261"/>
      <c r="R336" s="261"/>
      <c r="S336" s="261"/>
      <c r="T336" s="261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</row>
    <row r="337" spans="1:30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261"/>
      <c r="G337" s="259"/>
      <c r="H337" s="261"/>
      <c r="I337" s="261"/>
      <c r="J337" s="261"/>
      <c r="K337" s="261"/>
      <c r="L337" s="261"/>
      <c r="M337" s="262"/>
      <c r="N337" s="262"/>
      <c r="O337" s="262"/>
      <c r="P337" s="262"/>
      <c r="Q337" s="261"/>
      <c r="R337" s="261"/>
      <c r="S337" s="261"/>
      <c r="T337" s="261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</row>
    <row r="338" spans="1:30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261"/>
      <c r="G338" s="259"/>
      <c r="H338" s="261"/>
      <c r="I338" s="261"/>
      <c r="J338" s="261"/>
      <c r="K338" s="261"/>
      <c r="L338" s="261"/>
      <c r="M338" s="262"/>
      <c r="N338" s="262"/>
      <c r="O338" s="262"/>
      <c r="P338" s="262"/>
      <c r="Q338" s="261"/>
      <c r="R338" s="261"/>
      <c r="S338" s="261"/>
      <c r="T338" s="261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</row>
    <row r="339" spans="1:30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261"/>
      <c r="G339" s="259"/>
      <c r="H339" s="261"/>
      <c r="I339" s="261"/>
      <c r="J339" s="261"/>
      <c r="K339" s="261"/>
      <c r="L339" s="261"/>
      <c r="M339" s="262"/>
      <c r="N339" s="262"/>
      <c r="O339" s="262"/>
      <c r="P339" s="262"/>
      <c r="Q339" s="261"/>
      <c r="R339" s="261"/>
      <c r="S339" s="261"/>
      <c r="T339" s="261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</row>
    <row r="340" spans="1:30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261"/>
      <c r="G340" s="259"/>
      <c r="H340" s="261"/>
      <c r="I340" s="261"/>
      <c r="J340" s="261"/>
      <c r="K340" s="261"/>
      <c r="L340" s="261"/>
      <c r="M340" s="262"/>
      <c r="N340" s="262"/>
      <c r="O340" s="262"/>
      <c r="P340" s="262"/>
      <c r="Q340" s="261"/>
      <c r="R340" s="261"/>
      <c r="S340" s="261"/>
      <c r="T340" s="261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</row>
    <row r="341" spans="1:30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261"/>
      <c r="G341" s="259"/>
      <c r="H341" s="261"/>
      <c r="I341" s="261"/>
      <c r="J341" s="261"/>
      <c r="K341" s="261"/>
      <c r="L341" s="261"/>
      <c r="M341" s="262"/>
      <c r="N341" s="262"/>
      <c r="O341" s="262"/>
      <c r="P341" s="262"/>
      <c r="Q341" s="261"/>
      <c r="R341" s="261"/>
      <c r="S341" s="261"/>
      <c r="T341" s="261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</row>
    <row r="342" spans="1:30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261"/>
      <c r="G342" s="259"/>
      <c r="H342" s="261"/>
      <c r="I342" s="261"/>
      <c r="J342" s="261"/>
      <c r="K342" s="261"/>
      <c r="L342" s="261"/>
      <c r="M342" s="262"/>
      <c r="N342" s="262"/>
      <c r="O342" s="262"/>
      <c r="P342" s="262"/>
      <c r="Q342" s="261"/>
      <c r="R342" s="261"/>
      <c r="S342" s="261"/>
      <c r="T342" s="261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</row>
    <row r="343" spans="1:30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261"/>
      <c r="G343" s="259"/>
      <c r="H343" s="261"/>
      <c r="I343" s="261"/>
      <c r="J343" s="261"/>
      <c r="K343" s="261"/>
      <c r="L343" s="261"/>
      <c r="M343" s="262"/>
      <c r="N343" s="262"/>
      <c r="O343" s="262"/>
      <c r="P343" s="262"/>
      <c r="Q343" s="261"/>
      <c r="R343" s="261"/>
      <c r="S343" s="261"/>
      <c r="T343" s="261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</row>
    <row r="344" spans="1:30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261"/>
      <c r="G344" s="259"/>
      <c r="H344" s="261"/>
      <c r="I344" s="261"/>
      <c r="J344" s="261"/>
      <c r="K344" s="261"/>
      <c r="L344" s="261"/>
      <c r="M344" s="262"/>
      <c r="N344" s="262"/>
      <c r="O344" s="262"/>
      <c r="P344" s="262"/>
      <c r="Q344" s="261"/>
      <c r="R344" s="261"/>
      <c r="S344" s="261"/>
      <c r="T344" s="261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</row>
    <row r="345" spans="1:30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261"/>
      <c r="G345" s="259"/>
      <c r="H345" s="261"/>
      <c r="I345" s="261"/>
      <c r="J345" s="261"/>
      <c r="K345" s="261"/>
      <c r="L345" s="261"/>
      <c r="M345" s="262"/>
      <c r="N345" s="262"/>
      <c r="O345" s="262"/>
      <c r="P345" s="262"/>
      <c r="Q345" s="261"/>
      <c r="R345" s="261"/>
      <c r="S345" s="261"/>
      <c r="T345" s="261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</row>
    <row r="346" spans="1:30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261"/>
      <c r="G346" s="259"/>
      <c r="H346" s="261"/>
      <c r="I346" s="261"/>
      <c r="J346" s="261"/>
      <c r="K346" s="261"/>
      <c r="L346" s="261"/>
      <c r="M346" s="262"/>
      <c r="N346" s="262"/>
      <c r="O346" s="262"/>
      <c r="P346" s="262"/>
      <c r="Q346" s="261"/>
      <c r="R346" s="261"/>
      <c r="S346" s="261"/>
      <c r="T346" s="261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</row>
    <row r="347" spans="1:30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261"/>
      <c r="G347" s="259"/>
      <c r="H347" s="261"/>
      <c r="I347" s="261"/>
      <c r="J347" s="261"/>
      <c r="K347" s="261"/>
      <c r="L347" s="261"/>
      <c r="M347" s="262"/>
      <c r="N347" s="262"/>
      <c r="O347" s="262"/>
      <c r="P347" s="262"/>
      <c r="Q347" s="261"/>
      <c r="R347" s="261"/>
      <c r="S347" s="261"/>
      <c r="T347" s="261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</row>
    <row r="348" spans="1:30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261"/>
      <c r="G348" s="259"/>
      <c r="H348" s="261"/>
      <c r="I348" s="261"/>
      <c r="J348" s="261"/>
      <c r="K348" s="261"/>
      <c r="L348" s="261"/>
      <c r="M348" s="262"/>
      <c r="N348" s="262"/>
      <c r="O348" s="262"/>
      <c r="P348" s="262"/>
      <c r="Q348" s="261"/>
      <c r="R348" s="261"/>
      <c r="S348" s="261"/>
      <c r="T348" s="261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</row>
    <row r="349" spans="1:30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261"/>
      <c r="G349" s="259"/>
      <c r="H349" s="261"/>
      <c r="I349" s="261"/>
      <c r="J349" s="261"/>
      <c r="K349" s="261"/>
      <c r="L349" s="261"/>
      <c r="M349" s="262"/>
      <c r="N349" s="262"/>
      <c r="O349" s="262"/>
      <c r="P349" s="262"/>
      <c r="Q349" s="261"/>
      <c r="R349" s="261"/>
      <c r="S349" s="261"/>
      <c r="T349" s="261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</row>
    <row r="350" spans="1:30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261"/>
      <c r="G350" s="259"/>
      <c r="H350" s="261"/>
      <c r="I350" s="261"/>
      <c r="J350" s="261"/>
      <c r="K350" s="261"/>
      <c r="L350" s="261"/>
      <c r="M350" s="262"/>
      <c r="N350" s="262"/>
      <c r="O350" s="262"/>
      <c r="P350" s="262"/>
      <c r="Q350" s="261"/>
      <c r="R350" s="261"/>
      <c r="S350" s="261"/>
      <c r="T350" s="261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</row>
    <row r="351" spans="1:30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261"/>
      <c r="G351" s="259"/>
      <c r="H351" s="261"/>
      <c r="I351" s="261"/>
      <c r="J351" s="261"/>
      <c r="K351" s="261"/>
      <c r="L351" s="261"/>
      <c r="M351" s="262"/>
      <c r="N351" s="262"/>
      <c r="O351" s="262"/>
      <c r="P351" s="262"/>
      <c r="Q351" s="261"/>
      <c r="R351" s="261"/>
      <c r="S351" s="261"/>
      <c r="T351" s="261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</row>
    <row r="352" spans="1:30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261"/>
      <c r="G352" s="259"/>
      <c r="H352" s="261"/>
      <c r="I352" s="261"/>
      <c r="J352" s="261"/>
      <c r="K352" s="261"/>
      <c r="L352" s="261"/>
      <c r="M352" s="262"/>
      <c r="N352" s="262"/>
      <c r="O352" s="262"/>
      <c r="P352" s="262"/>
      <c r="Q352" s="261"/>
      <c r="R352" s="261"/>
      <c r="S352" s="261"/>
      <c r="T352" s="261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</row>
    <row r="353" spans="1:30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261"/>
      <c r="G353" s="259"/>
      <c r="H353" s="261"/>
      <c r="I353" s="261"/>
      <c r="J353" s="261"/>
      <c r="K353" s="261"/>
      <c r="L353" s="261"/>
      <c r="M353" s="262"/>
      <c r="N353" s="262"/>
      <c r="O353" s="262"/>
      <c r="P353" s="262"/>
      <c r="Q353" s="261"/>
      <c r="R353" s="261"/>
      <c r="S353" s="261"/>
      <c r="T353" s="261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</row>
    <row r="354" spans="1:30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261"/>
      <c r="G354" s="259"/>
      <c r="H354" s="261"/>
      <c r="I354" s="261"/>
      <c r="J354" s="261"/>
      <c r="K354" s="261"/>
      <c r="L354" s="261"/>
      <c r="M354" s="262"/>
      <c r="N354" s="262"/>
      <c r="O354" s="262"/>
      <c r="P354" s="262"/>
      <c r="Q354" s="261"/>
      <c r="R354" s="261"/>
      <c r="S354" s="261"/>
      <c r="T354" s="261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</row>
    <row r="355" spans="1:30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261"/>
      <c r="G355" s="259"/>
      <c r="H355" s="261"/>
      <c r="I355" s="261"/>
      <c r="J355" s="261"/>
      <c r="K355" s="261"/>
      <c r="L355" s="261"/>
      <c r="M355" s="262"/>
      <c r="N355" s="262"/>
      <c r="O355" s="262"/>
      <c r="P355" s="262"/>
      <c r="Q355" s="261"/>
      <c r="R355" s="261"/>
      <c r="S355" s="261"/>
      <c r="T355" s="261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</row>
    <row r="356" spans="1:30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261"/>
      <c r="G356" s="259"/>
      <c r="H356" s="261"/>
      <c r="I356" s="261"/>
      <c r="J356" s="261"/>
      <c r="K356" s="261"/>
      <c r="L356" s="261"/>
      <c r="M356" s="262"/>
      <c r="N356" s="262"/>
      <c r="O356" s="262"/>
      <c r="P356" s="262"/>
      <c r="Q356" s="261"/>
      <c r="R356" s="261"/>
      <c r="S356" s="261"/>
      <c r="T356" s="261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</row>
    <row r="357" spans="1:30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261"/>
      <c r="G357" s="259"/>
      <c r="H357" s="261"/>
      <c r="I357" s="261"/>
      <c r="J357" s="261"/>
      <c r="K357" s="261"/>
      <c r="L357" s="261"/>
      <c r="M357" s="262"/>
      <c r="N357" s="262"/>
      <c r="O357" s="262"/>
      <c r="P357" s="262"/>
      <c r="Q357" s="261"/>
      <c r="R357" s="261"/>
      <c r="S357" s="261"/>
      <c r="T357" s="261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</row>
    <row r="358" spans="1:30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261"/>
      <c r="G358" s="259"/>
      <c r="H358" s="261"/>
      <c r="I358" s="261"/>
      <c r="J358" s="261"/>
      <c r="K358" s="261"/>
      <c r="L358" s="261"/>
      <c r="M358" s="262"/>
      <c r="N358" s="262"/>
      <c r="O358" s="262"/>
      <c r="P358" s="262"/>
      <c r="Q358" s="261"/>
      <c r="R358" s="261"/>
      <c r="S358" s="261"/>
      <c r="T358" s="261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</row>
    <row r="359" spans="1:30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261"/>
      <c r="G359" s="259"/>
      <c r="H359" s="261"/>
      <c r="I359" s="261"/>
      <c r="J359" s="261"/>
      <c r="K359" s="261"/>
      <c r="L359" s="261"/>
      <c r="M359" s="262"/>
      <c r="N359" s="262"/>
      <c r="O359" s="262"/>
      <c r="P359" s="262"/>
      <c r="Q359" s="261"/>
      <c r="R359" s="261"/>
      <c r="S359" s="261"/>
      <c r="T359" s="261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</row>
    <row r="360" spans="1:30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261"/>
      <c r="G360" s="259"/>
      <c r="H360" s="261"/>
      <c r="I360" s="261"/>
      <c r="J360" s="261"/>
      <c r="K360" s="261"/>
      <c r="L360" s="261"/>
      <c r="M360" s="262"/>
      <c r="N360" s="262"/>
      <c r="O360" s="262"/>
      <c r="P360" s="262"/>
      <c r="Q360" s="261"/>
      <c r="R360" s="261"/>
      <c r="S360" s="261"/>
      <c r="T360" s="261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</row>
    <row r="361" spans="1:30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261"/>
      <c r="G361" s="259"/>
      <c r="H361" s="261"/>
      <c r="I361" s="261"/>
      <c r="J361" s="261"/>
      <c r="K361" s="261"/>
      <c r="L361" s="261"/>
      <c r="M361" s="262"/>
      <c r="N361" s="262"/>
      <c r="O361" s="262"/>
      <c r="P361" s="262"/>
      <c r="Q361" s="261"/>
      <c r="R361" s="261"/>
      <c r="S361" s="261"/>
      <c r="T361" s="261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</row>
    <row r="362" spans="1:30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261"/>
      <c r="G362" s="259"/>
      <c r="H362" s="261"/>
      <c r="I362" s="261"/>
      <c r="J362" s="261"/>
      <c r="K362" s="261"/>
      <c r="L362" s="261"/>
      <c r="M362" s="262"/>
      <c r="N362" s="262"/>
      <c r="O362" s="262"/>
      <c r="P362" s="262"/>
      <c r="Q362" s="261"/>
      <c r="R362" s="261"/>
      <c r="S362" s="261"/>
      <c r="T362" s="261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</row>
    <row r="363" spans="1:30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261"/>
      <c r="G363" s="259"/>
      <c r="H363" s="261"/>
      <c r="I363" s="261"/>
      <c r="J363" s="261"/>
      <c r="K363" s="261"/>
      <c r="L363" s="261"/>
      <c r="M363" s="262"/>
      <c r="N363" s="262"/>
      <c r="O363" s="262"/>
      <c r="P363" s="262"/>
      <c r="Q363" s="261"/>
      <c r="R363" s="261"/>
      <c r="S363" s="261"/>
      <c r="T363" s="261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</row>
    <row r="364" spans="1:30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261"/>
      <c r="G364" s="259"/>
      <c r="H364" s="261"/>
      <c r="I364" s="261"/>
      <c r="J364" s="261"/>
      <c r="K364" s="261"/>
      <c r="L364" s="261"/>
      <c r="M364" s="262"/>
      <c r="N364" s="262"/>
      <c r="O364" s="262"/>
      <c r="P364" s="262"/>
      <c r="Q364" s="261"/>
      <c r="R364" s="261"/>
      <c r="S364" s="261"/>
      <c r="T364" s="261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</row>
    <row r="365" spans="1:30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261"/>
      <c r="G365" s="259"/>
      <c r="H365" s="261"/>
      <c r="I365" s="261"/>
      <c r="J365" s="261"/>
      <c r="K365" s="261"/>
      <c r="L365" s="261"/>
      <c r="M365" s="262"/>
      <c r="N365" s="262"/>
      <c r="O365" s="262"/>
      <c r="P365" s="262"/>
      <c r="Q365" s="261"/>
      <c r="R365" s="261"/>
      <c r="S365" s="261"/>
      <c r="T365" s="261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</row>
    <row r="366" spans="1:30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261"/>
      <c r="G366" s="259"/>
      <c r="H366" s="261"/>
      <c r="I366" s="261"/>
      <c r="J366" s="261"/>
      <c r="K366" s="261"/>
      <c r="L366" s="261"/>
      <c r="M366" s="262"/>
      <c r="N366" s="262"/>
      <c r="O366" s="262"/>
      <c r="P366" s="262"/>
      <c r="Q366" s="261"/>
      <c r="R366" s="261"/>
      <c r="S366" s="261"/>
      <c r="T366" s="261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</row>
    <row r="367" spans="1:30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261"/>
      <c r="G367" s="259"/>
      <c r="H367" s="261"/>
      <c r="I367" s="261"/>
      <c r="J367" s="261"/>
      <c r="K367" s="261"/>
      <c r="L367" s="261"/>
      <c r="M367" s="262"/>
      <c r="N367" s="262"/>
      <c r="O367" s="262"/>
      <c r="P367" s="262"/>
      <c r="Q367" s="261"/>
      <c r="R367" s="261"/>
      <c r="S367" s="261"/>
      <c r="T367" s="261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</row>
    <row r="368" spans="1:30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261"/>
      <c r="G368" s="259"/>
      <c r="H368" s="261"/>
      <c r="I368" s="261"/>
      <c r="J368" s="261"/>
      <c r="K368" s="261"/>
      <c r="L368" s="261"/>
      <c r="M368" s="262"/>
      <c r="N368" s="262"/>
      <c r="O368" s="262"/>
      <c r="P368" s="262"/>
      <c r="Q368" s="261"/>
      <c r="R368" s="261"/>
      <c r="S368" s="261"/>
      <c r="T368" s="261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</row>
    <row r="369" spans="1:30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261"/>
      <c r="G369" s="259"/>
      <c r="H369" s="261"/>
      <c r="I369" s="261"/>
      <c r="J369" s="261"/>
      <c r="K369" s="261"/>
      <c r="L369" s="261"/>
      <c r="M369" s="262"/>
      <c r="N369" s="262"/>
      <c r="O369" s="262"/>
      <c r="P369" s="262"/>
      <c r="Q369" s="261"/>
      <c r="R369" s="261"/>
      <c r="S369" s="261"/>
      <c r="T369" s="261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</row>
    <row r="370" spans="1:30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261"/>
      <c r="G370" s="259"/>
      <c r="H370" s="261"/>
      <c r="I370" s="261"/>
      <c r="J370" s="261"/>
      <c r="K370" s="261"/>
      <c r="L370" s="261"/>
      <c r="M370" s="262"/>
      <c r="N370" s="262"/>
      <c r="O370" s="262"/>
      <c r="P370" s="262"/>
      <c r="Q370" s="261"/>
      <c r="R370" s="261"/>
      <c r="S370" s="261"/>
      <c r="T370" s="261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</row>
    <row r="371" spans="1:30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261"/>
      <c r="G371" s="259"/>
      <c r="H371" s="261"/>
      <c r="I371" s="261"/>
      <c r="J371" s="261"/>
      <c r="K371" s="261"/>
      <c r="L371" s="261"/>
      <c r="M371" s="262"/>
      <c r="N371" s="262"/>
      <c r="O371" s="262"/>
      <c r="P371" s="262"/>
      <c r="Q371" s="261"/>
      <c r="R371" s="261"/>
      <c r="S371" s="261"/>
      <c r="T371" s="261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</row>
    <row r="372" spans="1:30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261"/>
      <c r="G372" s="259"/>
      <c r="H372" s="261"/>
      <c r="I372" s="261"/>
      <c r="J372" s="261"/>
      <c r="K372" s="261"/>
      <c r="L372" s="261"/>
      <c r="M372" s="262"/>
      <c r="N372" s="262"/>
      <c r="O372" s="262"/>
      <c r="P372" s="262"/>
      <c r="Q372" s="261"/>
      <c r="R372" s="261"/>
      <c r="S372" s="261"/>
      <c r="T372" s="261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</row>
    <row r="373" spans="1:30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261"/>
      <c r="G373" s="259"/>
      <c r="H373" s="261"/>
      <c r="I373" s="261"/>
      <c r="J373" s="261"/>
      <c r="K373" s="261"/>
      <c r="L373" s="261"/>
      <c r="M373" s="262"/>
      <c r="N373" s="262"/>
      <c r="O373" s="262"/>
      <c r="P373" s="262"/>
      <c r="Q373" s="261"/>
      <c r="R373" s="261"/>
      <c r="S373" s="261"/>
      <c r="T373" s="261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</row>
    <row r="374" spans="1:30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261"/>
      <c r="G374" s="259"/>
      <c r="H374" s="261"/>
      <c r="I374" s="261"/>
      <c r="J374" s="261"/>
      <c r="K374" s="261"/>
      <c r="L374" s="261"/>
      <c r="M374" s="262"/>
      <c r="N374" s="262"/>
      <c r="O374" s="262"/>
      <c r="P374" s="262"/>
      <c r="Q374" s="261"/>
      <c r="R374" s="261"/>
      <c r="S374" s="261"/>
      <c r="T374" s="261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</row>
    <row r="375" spans="1:30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261"/>
      <c r="G375" s="259"/>
      <c r="H375" s="261"/>
      <c r="I375" s="261"/>
      <c r="J375" s="261"/>
      <c r="K375" s="261"/>
      <c r="L375" s="261"/>
      <c r="M375" s="262"/>
      <c r="N375" s="262"/>
      <c r="O375" s="262"/>
      <c r="P375" s="262"/>
      <c r="Q375" s="261"/>
      <c r="R375" s="261"/>
      <c r="S375" s="261"/>
      <c r="T375" s="261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</row>
    <row r="376" spans="1:30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261"/>
      <c r="G376" s="259"/>
      <c r="H376" s="261"/>
      <c r="I376" s="261"/>
      <c r="J376" s="261"/>
      <c r="K376" s="261"/>
      <c r="L376" s="261"/>
      <c r="M376" s="262"/>
      <c r="N376" s="262"/>
      <c r="O376" s="262"/>
      <c r="P376" s="262"/>
      <c r="Q376" s="261"/>
      <c r="R376" s="261"/>
      <c r="S376" s="261"/>
      <c r="T376" s="261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</row>
    <row r="377" spans="1:30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261"/>
      <c r="G377" s="259"/>
      <c r="H377" s="261"/>
      <c r="I377" s="261"/>
      <c r="J377" s="261"/>
      <c r="K377" s="261"/>
      <c r="L377" s="261"/>
      <c r="M377" s="262"/>
      <c r="N377" s="262"/>
      <c r="O377" s="262"/>
      <c r="P377" s="262"/>
      <c r="Q377" s="261"/>
      <c r="R377" s="261"/>
      <c r="S377" s="261"/>
      <c r="T377" s="261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</row>
    <row r="378" spans="1:30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261"/>
      <c r="G378" s="259"/>
      <c r="H378" s="261"/>
      <c r="I378" s="261"/>
      <c r="J378" s="261"/>
      <c r="K378" s="261"/>
      <c r="L378" s="261"/>
      <c r="M378" s="262"/>
      <c r="N378" s="262"/>
      <c r="O378" s="262"/>
      <c r="P378" s="262"/>
      <c r="Q378" s="261"/>
      <c r="R378" s="261"/>
      <c r="S378" s="261"/>
      <c r="T378" s="261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</row>
    <row r="379" spans="1:30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261"/>
      <c r="G379" s="259"/>
      <c r="H379" s="261"/>
      <c r="I379" s="261"/>
      <c r="J379" s="261"/>
      <c r="K379" s="261"/>
      <c r="L379" s="261"/>
      <c r="M379" s="262"/>
      <c r="N379" s="262"/>
      <c r="O379" s="262"/>
      <c r="P379" s="262"/>
      <c r="Q379" s="261"/>
      <c r="R379" s="261"/>
      <c r="S379" s="261"/>
      <c r="T379" s="261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</row>
    <row r="380" spans="1:30" ht="18.75" customHeight="1">
      <c r="A380" s="42"/>
      <c r="B380" s="59" t="s">
        <v>828</v>
      </c>
      <c r="C380" s="111" t="s">
        <v>829</v>
      </c>
      <c r="D380" s="61" t="s">
        <v>1155</v>
      </c>
      <c r="E380" s="200">
        <f t="shared" si="1"/>
        <v>0</v>
      </c>
      <c r="F380" s="261"/>
      <c r="G380" s="259"/>
      <c r="H380" s="261"/>
      <c r="I380" s="261"/>
      <c r="J380" s="261"/>
      <c r="K380" s="261"/>
      <c r="L380" s="261"/>
      <c r="M380" s="262"/>
      <c r="N380" s="262"/>
      <c r="O380" s="262"/>
      <c r="P380" s="262"/>
      <c r="Q380" s="261"/>
      <c r="R380" s="261"/>
      <c r="S380" s="261"/>
      <c r="T380" s="261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</row>
    <row r="381" spans="1:30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261"/>
      <c r="G381" s="259"/>
      <c r="H381" s="261"/>
      <c r="I381" s="261"/>
      <c r="J381" s="261"/>
      <c r="K381" s="261"/>
      <c r="L381" s="261"/>
      <c r="M381" s="262"/>
      <c r="N381" s="262"/>
      <c r="O381" s="262"/>
      <c r="P381" s="262"/>
      <c r="Q381" s="261"/>
      <c r="R381" s="261"/>
      <c r="S381" s="261"/>
      <c r="T381" s="261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</row>
    <row r="382" spans="1:30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261"/>
      <c r="G382" s="259"/>
      <c r="H382" s="261"/>
      <c r="I382" s="261"/>
      <c r="J382" s="261"/>
      <c r="K382" s="261"/>
      <c r="L382" s="261"/>
      <c r="M382" s="262"/>
      <c r="N382" s="262"/>
      <c r="O382" s="262"/>
      <c r="P382" s="262"/>
      <c r="Q382" s="261"/>
      <c r="R382" s="261"/>
      <c r="S382" s="261"/>
      <c r="T382" s="261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</row>
    <row r="383" spans="1:30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261"/>
      <c r="G383" s="259"/>
      <c r="H383" s="261"/>
      <c r="I383" s="261"/>
      <c r="J383" s="261"/>
      <c r="K383" s="261"/>
      <c r="L383" s="261"/>
      <c r="M383" s="262"/>
      <c r="N383" s="262"/>
      <c r="O383" s="262"/>
      <c r="P383" s="262"/>
      <c r="Q383" s="261"/>
      <c r="R383" s="261"/>
      <c r="S383" s="261"/>
      <c r="T383" s="261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</row>
    <row r="384" spans="1:30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261"/>
      <c r="G384" s="259"/>
      <c r="H384" s="261"/>
      <c r="I384" s="261"/>
      <c r="J384" s="261"/>
      <c r="K384" s="261"/>
      <c r="L384" s="261"/>
      <c r="M384" s="262"/>
      <c r="N384" s="262"/>
      <c r="O384" s="262"/>
      <c r="P384" s="262"/>
      <c r="Q384" s="261"/>
      <c r="R384" s="261"/>
      <c r="S384" s="261"/>
      <c r="T384" s="261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</row>
    <row r="385" spans="1:30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261"/>
      <c r="G385" s="259"/>
      <c r="H385" s="261"/>
      <c r="I385" s="261"/>
      <c r="J385" s="261"/>
      <c r="K385" s="261"/>
      <c r="L385" s="261"/>
      <c r="M385" s="262"/>
      <c r="N385" s="262"/>
      <c r="O385" s="262"/>
      <c r="P385" s="262"/>
      <c r="Q385" s="261"/>
      <c r="R385" s="261"/>
      <c r="S385" s="261"/>
      <c r="T385" s="261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</row>
    <row r="386" spans="1:30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261"/>
      <c r="G386" s="259"/>
      <c r="H386" s="261"/>
      <c r="I386" s="261"/>
      <c r="J386" s="261"/>
      <c r="K386" s="261"/>
      <c r="L386" s="261"/>
      <c r="M386" s="262"/>
      <c r="N386" s="262"/>
      <c r="O386" s="262"/>
      <c r="P386" s="262"/>
      <c r="Q386" s="261"/>
      <c r="R386" s="261"/>
      <c r="S386" s="261"/>
      <c r="T386" s="261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</row>
    <row r="387" spans="1:30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261"/>
      <c r="G387" s="259"/>
      <c r="H387" s="261"/>
      <c r="I387" s="261"/>
      <c r="J387" s="261"/>
      <c r="K387" s="261"/>
      <c r="L387" s="261"/>
      <c r="M387" s="262"/>
      <c r="N387" s="262"/>
      <c r="O387" s="262"/>
      <c r="P387" s="262"/>
      <c r="Q387" s="261"/>
      <c r="R387" s="261"/>
      <c r="S387" s="261"/>
      <c r="T387" s="261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</row>
    <row r="388" spans="1:30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261"/>
      <c r="G388" s="259"/>
      <c r="H388" s="261"/>
      <c r="I388" s="261"/>
      <c r="J388" s="261"/>
      <c r="K388" s="261"/>
      <c r="L388" s="261"/>
      <c r="M388" s="262"/>
      <c r="N388" s="262"/>
      <c r="O388" s="262"/>
      <c r="P388" s="262"/>
      <c r="Q388" s="261"/>
      <c r="R388" s="261"/>
      <c r="S388" s="261"/>
      <c r="T388" s="261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</row>
    <row r="389" spans="1:30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261"/>
      <c r="G389" s="259"/>
      <c r="H389" s="261"/>
      <c r="I389" s="261"/>
      <c r="J389" s="261"/>
      <c r="K389" s="261"/>
      <c r="L389" s="261"/>
      <c r="M389" s="262"/>
      <c r="N389" s="262"/>
      <c r="O389" s="262"/>
      <c r="P389" s="262"/>
      <c r="Q389" s="261"/>
      <c r="R389" s="261"/>
      <c r="S389" s="261"/>
      <c r="T389" s="261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</row>
    <row r="390" spans="1:30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261"/>
      <c r="G390" s="259"/>
      <c r="H390" s="261"/>
      <c r="I390" s="261"/>
      <c r="J390" s="261"/>
      <c r="K390" s="261"/>
      <c r="L390" s="261"/>
      <c r="M390" s="262"/>
      <c r="N390" s="262"/>
      <c r="O390" s="262"/>
      <c r="P390" s="262"/>
      <c r="Q390" s="261"/>
      <c r="R390" s="261"/>
      <c r="S390" s="261"/>
      <c r="T390" s="261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</row>
    <row r="391" spans="1:30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261"/>
      <c r="G391" s="259"/>
      <c r="H391" s="261"/>
      <c r="I391" s="261"/>
      <c r="J391" s="261"/>
      <c r="K391" s="261"/>
      <c r="L391" s="261"/>
      <c r="M391" s="262"/>
      <c r="N391" s="262"/>
      <c r="O391" s="262"/>
      <c r="P391" s="262"/>
      <c r="Q391" s="261"/>
      <c r="R391" s="261"/>
      <c r="S391" s="261"/>
      <c r="T391" s="261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</row>
    <row r="392" spans="1:30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261"/>
      <c r="G392" s="259"/>
      <c r="H392" s="261"/>
      <c r="I392" s="261"/>
      <c r="J392" s="261"/>
      <c r="K392" s="261"/>
      <c r="L392" s="261"/>
      <c r="M392" s="262"/>
      <c r="N392" s="262"/>
      <c r="O392" s="262"/>
      <c r="P392" s="262"/>
      <c r="Q392" s="261"/>
      <c r="R392" s="261"/>
      <c r="S392" s="261"/>
      <c r="T392" s="261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</row>
    <row r="393" spans="1:30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261"/>
      <c r="G393" s="259"/>
      <c r="H393" s="261"/>
      <c r="I393" s="261"/>
      <c r="J393" s="261"/>
      <c r="K393" s="261"/>
      <c r="L393" s="261"/>
      <c r="M393" s="262"/>
      <c r="N393" s="262"/>
      <c r="O393" s="262"/>
      <c r="P393" s="262"/>
      <c r="Q393" s="261"/>
      <c r="R393" s="261"/>
      <c r="S393" s="261"/>
      <c r="T393" s="261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</row>
    <row r="394" spans="1:30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261"/>
      <c r="G394" s="259"/>
      <c r="H394" s="261"/>
      <c r="I394" s="261"/>
      <c r="J394" s="261"/>
      <c r="K394" s="261"/>
      <c r="L394" s="261"/>
      <c r="M394" s="262"/>
      <c r="N394" s="262"/>
      <c r="O394" s="262"/>
      <c r="P394" s="262"/>
      <c r="Q394" s="261"/>
      <c r="R394" s="261"/>
      <c r="S394" s="261"/>
      <c r="T394" s="261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</row>
    <row r="395" spans="1:30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261"/>
      <c r="G395" s="259"/>
      <c r="H395" s="261"/>
      <c r="I395" s="261"/>
      <c r="J395" s="261"/>
      <c r="K395" s="261"/>
      <c r="L395" s="261"/>
      <c r="M395" s="262"/>
      <c r="N395" s="262"/>
      <c r="O395" s="262"/>
      <c r="P395" s="262"/>
      <c r="Q395" s="261"/>
      <c r="R395" s="261"/>
      <c r="S395" s="261"/>
      <c r="T395" s="261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</row>
    <row r="396" spans="1:30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261"/>
      <c r="G396" s="259"/>
      <c r="H396" s="261"/>
      <c r="I396" s="261"/>
      <c r="J396" s="261"/>
      <c r="K396" s="261"/>
      <c r="L396" s="261"/>
      <c r="M396" s="262"/>
      <c r="N396" s="262"/>
      <c r="O396" s="262"/>
      <c r="P396" s="262"/>
      <c r="Q396" s="261"/>
      <c r="R396" s="261"/>
      <c r="S396" s="261"/>
      <c r="T396" s="261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</row>
    <row r="397" spans="1:30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261"/>
      <c r="G397" s="259"/>
      <c r="H397" s="261"/>
      <c r="I397" s="261"/>
      <c r="J397" s="261"/>
      <c r="K397" s="261"/>
      <c r="L397" s="261"/>
      <c r="M397" s="262"/>
      <c r="N397" s="262"/>
      <c r="O397" s="262"/>
      <c r="P397" s="262"/>
      <c r="Q397" s="261"/>
      <c r="R397" s="261"/>
      <c r="S397" s="261"/>
      <c r="T397" s="261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</row>
    <row r="398" spans="1:30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261"/>
      <c r="G398" s="259"/>
      <c r="H398" s="261"/>
      <c r="I398" s="261"/>
      <c r="J398" s="261"/>
      <c r="K398" s="261"/>
      <c r="L398" s="261"/>
      <c r="M398" s="262"/>
      <c r="N398" s="262"/>
      <c r="O398" s="262"/>
      <c r="P398" s="262"/>
      <c r="Q398" s="261"/>
      <c r="R398" s="261"/>
      <c r="S398" s="261"/>
      <c r="T398" s="261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</row>
    <row r="399" spans="1:30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261"/>
      <c r="G399" s="259"/>
      <c r="H399" s="261"/>
      <c r="I399" s="261"/>
      <c r="J399" s="261"/>
      <c r="K399" s="261"/>
      <c r="L399" s="261"/>
      <c r="M399" s="262"/>
      <c r="N399" s="262"/>
      <c r="O399" s="262"/>
      <c r="P399" s="262"/>
      <c r="Q399" s="261"/>
      <c r="R399" s="261"/>
      <c r="S399" s="261"/>
      <c r="T399" s="261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</row>
    <row r="400" spans="1:30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261"/>
      <c r="G400" s="259"/>
      <c r="H400" s="261"/>
      <c r="I400" s="261"/>
      <c r="J400" s="261"/>
      <c r="K400" s="261"/>
      <c r="L400" s="261"/>
      <c r="M400" s="262"/>
      <c r="N400" s="262"/>
      <c r="O400" s="262"/>
      <c r="P400" s="262"/>
      <c r="Q400" s="261"/>
      <c r="R400" s="261"/>
      <c r="S400" s="261"/>
      <c r="T400" s="261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</row>
    <row r="401" spans="1:30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261"/>
      <c r="G401" s="259"/>
      <c r="H401" s="261"/>
      <c r="I401" s="261"/>
      <c r="J401" s="261"/>
      <c r="K401" s="261"/>
      <c r="L401" s="261"/>
      <c r="M401" s="262"/>
      <c r="N401" s="262"/>
      <c r="O401" s="262"/>
      <c r="P401" s="262"/>
      <c r="Q401" s="261"/>
      <c r="R401" s="261"/>
      <c r="S401" s="261"/>
      <c r="T401" s="261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</row>
    <row r="402" spans="1:30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261"/>
      <c r="G402" s="259"/>
      <c r="H402" s="261"/>
      <c r="I402" s="261"/>
      <c r="J402" s="261"/>
      <c r="K402" s="261"/>
      <c r="L402" s="261"/>
      <c r="M402" s="262"/>
      <c r="N402" s="262"/>
      <c r="O402" s="262"/>
      <c r="P402" s="262"/>
      <c r="Q402" s="261"/>
      <c r="R402" s="261"/>
      <c r="S402" s="261"/>
      <c r="T402" s="261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</row>
    <row r="403" spans="1:30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261"/>
      <c r="G403" s="259"/>
      <c r="H403" s="261"/>
      <c r="I403" s="261"/>
      <c r="J403" s="261"/>
      <c r="K403" s="261"/>
      <c r="L403" s="261"/>
      <c r="M403" s="262"/>
      <c r="N403" s="262"/>
      <c r="O403" s="262"/>
      <c r="P403" s="262"/>
      <c r="Q403" s="261"/>
      <c r="R403" s="261"/>
      <c r="S403" s="261"/>
      <c r="T403" s="261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</row>
    <row r="404" spans="1:30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261"/>
      <c r="G404" s="259"/>
      <c r="H404" s="261"/>
      <c r="I404" s="261"/>
      <c r="J404" s="261"/>
      <c r="K404" s="261"/>
      <c r="L404" s="261"/>
      <c r="M404" s="262"/>
      <c r="N404" s="262"/>
      <c r="O404" s="262"/>
      <c r="P404" s="262"/>
      <c r="Q404" s="261"/>
      <c r="R404" s="261"/>
      <c r="S404" s="261"/>
      <c r="T404" s="261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</row>
    <row r="405" spans="1:30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261"/>
      <c r="G405" s="259"/>
      <c r="H405" s="261"/>
      <c r="I405" s="261"/>
      <c r="J405" s="261"/>
      <c r="K405" s="261"/>
      <c r="L405" s="261"/>
      <c r="M405" s="262"/>
      <c r="N405" s="262"/>
      <c r="O405" s="262"/>
      <c r="P405" s="262"/>
      <c r="Q405" s="261"/>
      <c r="R405" s="261"/>
      <c r="S405" s="261"/>
      <c r="T405" s="261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</row>
    <row r="406" spans="1:30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261"/>
      <c r="G406" s="259"/>
      <c r="H406" s="261"/>
      <c r="I406" s="261"/>
      <c r="J406" s="261"/>
      <c r="K406" s="261"/>
      <c r="L406" s="261"/>
      <c r="M406" s="262"/>
      <c r="N406" s="262"/>
      <c r="O406" s="262"/>
      <c r="P406" s="262"/>
      <c r="Q406" s="261"/>
      <c r="R406" s="261"/>
      <c r="S406" s="261"/>
      <c r="T406" s="261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</row>
    <row r="407" spans="1:30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261"/>
      <c r="G407" s="259"/>
      <c r="H407" s="261"/>
      <c r="I407" s="261"/>
      <c r="J407" s="261"/>
      <c r="K407" s="261"/>
      <c r="L407" s="261"/>
      <c r="M407" s="262"/>
      <c r="N407" s="262"/>
      <c r="O407" s="262"/>
      <c r="P407" s="262"/>
      <c r="Q407" s="261"/>
      <c r="R407" s="261"/>
      <c r="S407" s="261"/>
      <c r="T407" s="261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</row>
    <row r="408" spans="1:30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261"/>
      <c r="G408" s="259"/>
      <c r="H408" s="261"/>
      <c r="I408" s="261"/>
      <c r="J408" s="261"/>
      <c r="K408" s="261"/>
      <c r="L408" s="261"/>
      <c r="M408" s="262"/>
      <c r="N408" s="262"/>
      <c r="O408" s="262"/>
      <c r="P408" s="262"/>
      <c r="Q408" s="261"/>
      <c r="R408" s="261"/>
      <c r="S408" s="261"/>
      <c r="T408" s="261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</row>
    <row r="409" spans="1:30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261"/>
      <c r="G409" s="259"/>
      <c r="H409" s="261"/>
      <c r="I409" s="261"/>
      <c r="J409" s="261"/>
      <c r="K409" s="261"/>
      <c r="L409" s="261"/>
      <c r="M409" s="262"/>
      <c r="N409" s="262"/>
      <c r="O409" s="262"/>
      <c r="P409" s="262"/>
      <c r="Q409" s="261"/>
      <c r="R409" s="261"/>
      <c r="S409" s="261"/>
      <c r="T409" s="261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</row>
    <row r="410" spans="1:30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261"/>
      <c r="G410" s="259"/>
      <c r="H410" s="261"/>
      <c r="I410" s="261"/>
      <c r="J410" s="261"/>
      <c r="K410" s="261"/>
      <c r="L410" s="261"/>
      <c r="M410" s="262"/>
      <c r="N410" s="262"/>
      <c r="O410" s="262"/>
      <c r="P410" s="262"/>
      <c r="Q410" s="261"/>
      <c r="R410" s="261"/>
      <c r="S410" s="261"/>
      <c r="T410" s="261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</row>
    <row r="411" spans="1:30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261"/>
      <c r="G411" s="259"/>
      <c r="H411" s="261"/>
      <c r="I411" s="261"/>
      <c r="J411" s="261"/>
      <c r="K411" s="261"/>
      <c r="L411" s="261"/>
      <c r="M411" s="262"/>
      <c r="N411" s="262"/>
      <c r="O411" s="262"/>
      <c r="P411" s="262"/>
      <c r="Q411" s="261"/>
      <c r="R411" s="261"/>
      <c r="S411" s="261"/>
      <c r="T411" s="261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</row>
    <row r="412" spans="1:30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261"/>
      <c r="G412" s="259"/>
      <c r="H412" s="261"/>
      <c r="I412" s="261"/>
      <c r="J412" s="261"/>
      <c r="K412" s="261"/>
      <c r="L412" s="261"/>
      <c r="M412" s="262"/>
      <c r="N412" s="262"/>
      <c r="O412" s="262"/>
      <c r="P412" s="262"/>
      <c r="Q412" s="261"/>
      <c r="R412" s="261"/>
      <c r="S412" s="261"/>
      <c r="T412" s="261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</row>
    <row r="413" spans="1:30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261"/>
      <c r="G413" s="259"/>
      <c r="H413" s="261"/>
      <c r="I413" s="261"/>
      <c r="J413" s="261"/>
      <c r="K413" s="261"/>
      <c r="L413" s="261"/>
      <c r="M413" s="262"/>
      <c r="N413" s="262"/>
      <c r="O413" s="262"/>
      <c r="P413" s="262"/>
      <c r="Q413" s="261"/>
      <c r="R413" s="261"/>
      <c r="S413" s="261"/>
      <c r="T413" s="261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</row>
    <row r="414" spans="1:30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261"/>
      <c r="G414" s="259"/>
      <c r="H414" s="261"/>
      <c r="I414" s="261"/>
      <c r="J414" s="261"/>
      <c r="K414" s="261"/>
      <c r="L414" s="261"/>
      <c r="M414" s="262"/>
      <c r="N414" s="262"/>
      <c r="O414" s="262"/>
      <c r="P414" s="262"/>
      <c r="Q414" s="261"/>
      <c r="R414" s="261"/>
      <c r="S414" s="261"/>
      <c r="T414" s="261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</row>
    <row r="415" spans="1:30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261"/>
      <c r="G415" s="259"/>
      <c r="H415" s="261"/>
      <c r="I415" s="261"/>
      <c r="J415" s="261"/>
      <c r="K415" s="261"/>
      <c r="L415" s="261"/>
      <c r="M415" s="262"/>
      <c r="N415" s="262"/>
      <c r="O415" s="262"/>
      <c r="P415" s="262"/>
      <c r="Q415" s="261"/>
      <c r="R415" s="261"/>
      <c r="S415" s="261"/>
      <c r="T415" s="261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</row>
    <row r="416" spans="1:30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261"/>
      <c r="G416" s="259"/>
      <c r="H416" s="261"/>
      <c r="I416" s="261"/>
      <c r="J416" s="261"/>
      <c r="K416" s="261"/>
      <c r="L416" s="261"/>
      <c r="M416" s="262"/>
      <c r="N416" s="262"/>
      <c r="O416" s="262"/>
      <c r="P416" s="262"/>
      <c r="Q416" s="261"/>
      <c r="R416" s="261"/>
      <c r="S416" s="261"/>
      <c r="T416" s="261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</row>
    <row r="417" spans="1:30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261"/>
      <c r="G417" s="259"/>
      <c r="H417" s="261"/>
      <c r="I417" s="261"/>
      <c r="J417" s="261"/>
      <c r="K417" s="261"/>
      <c r="L417" s="261"/>
      <c r="M417" s="262"/>
      <c r="N417" s="262"/>
      <c r="O417" s="262"/>
      <c r="P417" s="262"/>
      <c r="Q417" s="261"/>
      <c r="R417" s="261"/>
      <c r="S417" s="261"/>
      <c r="T417" s="261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</row>
    <row r="418" spans="1:30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261"/>
      <c r="G418" s="259"/>
      <c r="H418" s="261"/>
      <c r="I418" s="261"/>
      <c r="J418" s="261"/>
      <c r="K418" s="261"/>
      <c r="L418" s="261"/>
      <c r="M418" s="262"/>
      <c r="N418" s="262"/>
      <c r="O418" s="262"/>
      <c r="P418" s="262"/>
      <c r="Q418" s="261"/>
      <c r="R418" s="261"/>
      <c r="S418" s="261"/>
      <c r="T418" s="261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</row>
    <row r="419" spans="1:30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261"/>
      <c r="G419" s="259"/>
      <c r="H419" s="261"/>
      <c r="I419" s="261"/>
      <c r="J419" s="261"/>
      <c r="K419" s="261"/>
      <c r="L419" s="261"/>
      <c r="M419" s="262"/>
      <c r="N419" s="262"/>
      <c r="O419" s="262"/>
      <c r="P419" s="262"/>
      <c r="Q419" s="261"/>
      <c r="R419" s="261"/>
      <c r="S419" s="261"/>
      <c r="T419" s="261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</row>
    <row r="420" spans="1:30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261"/>
      <c r="G420" s="259"/>
      <c r="H420" s="261"/>
      <c r="I420" s="261"/>
      <c r="J420" s="261"/>
      <c r="K420" s="261"/>
      <c r="L420" s="261"/>
      <c r="M420" s="262"/>
      <c r="N420" s="262"/>
      <c r="O420" s="262"/>
      <c r="P420" s="262"/>
      <c r="Q420" s="261"/>
      <c r="R420" s="261"/>
      <c r="S420" s="261"/>
      <c r="T420" s="261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</row>
    <row r="421" spans="1:30" ht="18.75" hidden="1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262"/>
      <c r="G421" s="259"/>
      <c r="H421" s="262"/>
      <c r="I421" s="262"/>
      <c r="J421" s="262"/>
      <c r="K421" s="262"/>
      <c r="L421" s="262"/>
      <c r="M421" s="262"/>
      <c r="N421" s="262"/>
      <c r="O421" s="262"/>
      <c r="P421" s="262"/>
      <c r="Q421" s="262"/>
      <c r="R421" s="262"/>
      <c r="S421" s="262"/>
      <c r="T421" s="262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</row>
    <row r="422" spans="1:30" ht="31.5" hidden="1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262"/>
      <c r="G422" s="259"/>
      <c r="H422" s="262"/>
      <c r="I422" s="262"/>
      <c r="J422" s="262"/>
      <c r="K422" s="262"/>
      <c r="L422" s="262"/>
      <c r="M422" s="262"/>
      <c r="N422" s="262"/>
      <c r="O422" s="262"/>
      <c r="P422" s="262"/>
      <c r="Q422" s="262"/>
      <c r="R422" s="262"/>
      <c r="S422" s="262"/>
      <c r="T422" s="262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</row>
    <row r="423" spans="1:30" ht="18.75" hidden="1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262"/>
      <c r="G423" s="259"/>
      <c r="H423" s="262"/>
      <c r="I423" s="262"/>
      <c r="J423" s="262"/>
      <c r="K423" s="262"/>
      <c r="L423" s="262"/>
      <c r="M423" s="262"/>
      <c r="N423" s="262"/>
      <c r="O423" s="262"/>
      <c r="P423" s="262"/>
      <c r="Q423" s="262"/>
      <c r="R423" s="262"/>
      <c r="S423" s="262"/>
      <c r="T423" s="262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</row>
    <row r="424" spans="1:30" ht="18.75" hidden="1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262"/>
      <c r="G424" s="259"/>
      <c r="H424" s="262"/>
      <c r="I424" s="262"/>
      <c r="J424" s="262"/>
      <c r="K424" s="262"/>
      <c r="L424" s="262"/>
      <c r="M424" s="262"/>
      <c r="N424" s="262"/>
      <c r="O424" s="262"/>
      <c r="P424" s="262"/>
      <c r="Q424" s="262"/>
      <c r="R424" s="262"/>
      <c r="S424" s="262"/>
      <c r="T424" s="262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</row>
    <row r="425" spans="1:30" ht="18.75" hidden="1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262"/>
      <c r="G425" s="259"/>
      <c r="H425" s="262"/>
      <c r="I425" s="262"/>
      <c r="J425" s="262"/>
      <c r="K425" s="262"/>
      <c r="L425" s="262"/>
      <c r="M425" s="262"/>
      <c r="N425" s="262"/>
      <c r="O425" s="262"/>
      <c r="P425" s="262"/>
      <c r="Q425" s="262"/>
      <c r="R425" s="262"/>
      <c r="S425" s="262"/>
      <c r="T425" s="262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</row>
    <row r="426" spans="1:30" ht="31.5" hidden="1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262"/>
      <c r="G426" s="259"/>
      <c r="H426" s="262"/>
      <c r="I426" s="262"/>
      <c r="J426" s="262"/>
      <c r="K426" s="262"/>
      <c r="L426" s="262"/>
      <c r="M426" s="262"/>
      <c r="N426" s="262"/>
      <c r="O426" s="262"/>
      <c r="P426" s="262"/>
      <c r="Q426" s="262"/>
      <c r="R426" s="262"/>
      <c r="S426" s="262"/>
      <c r="T426" s="262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</row>
    <row r="427" spans="1:30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261"/>
      <c r="G427" s="259"/>
      <c r="H427" s="261"/>
      <c r="I427" s="261"/>
      <c r="J427" s="261"/>
      <c r="K427" s="261"/>
      <c r="L427" s="261"/>
      <c r="M427" s="262"/>
      <c r="N427" s="262"/>
      <c r="O427" s="262"/>
      <c r="P427" s="262"/>
      <c r="Q427" s="261"/>
      <c r="R427" s="261"/>
      <c r="S427" s="261"/>
      <c r="T427" s="261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</row>
    <row r="428" spans="1:30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261"/>
      <c r="G428" s="259"/>
      <c r="H428" s="261"/>
      <c r="I428" s="261"/>
      <c r="J428" s="261"/>
      <c r="K428" s="261"/>
      <c r="L428" s="261"/>
      <c r="M428" s="262"/>
      <c r="N428" s="262"/>
      <c r="O428" s="262"/>
      <c r="P428" s="262"/>
      <c r="Q428" s="261"/>
      <c r="R428" s="261"/>
      <c r="S428" s="261"/>
      <c r="T428" s="261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</row>
    <row r="429" spans="1:30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261"/>
      <c r="G429" s="259"/>
      <c r="H429" s="261"/>
      <c r="I429" s="261"/>
      <c r="J429" s="261"/>
      <c r="K429" s="261"/>
      <c r="L429" s="261"/>
      <c r="M429" s="262"/>
      <c r="N429" s="262"/>
      <c r="O429" s="262"/>
      <c r="P429" s="262"/>
      <c r="Q429" s="261"/>
      <c r="R429" s="261"/>
      <c r="S429" s="261"/>
      <c r="T429" s="261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</row>
    <row r="430" spans="1:30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261"/>
      <c r="G430" s="259"/>
      <c r="H430" s="261"/>
      <c r="I430" s="261"/>
      <c r="J430" s="261"/>
      <c r="K430" s="261"/>
      <c r="L430" s="261"/>
      <c r="M430" s="262"/>
      <c r="N430" s="262"/>
      <c r="O430" s="262"/>
      <c r="P430" s="262"/>
      <c r="Q430" s="261"/>
      <c r="R430" s="261"/>
      <c r="S430" s="261"/>
      <c r="T430" s="261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</row>
    <row r="431" spans="1:30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261"/>
      <c r="G431" s="259"/>
      <c r="H431" s="261"/>
      <c r="I431" s="261"/>
      <c r="J431" s="261"/>
      <c r="K431" s="261"/>
      <c r="L431" s="261"/>
      <c r="M431" s="262"/>
      <c r="N431" s="262"/>
      <c r="O431" s="262"/>
      <c r="P431" s="262"/>
      <c r="Q431" s="261"/>
      <c r="R431" s="261"/>
      <c r="S431" s="261"/>
      <c r="T431" s="261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</row>
    <row r="432" spans="1:30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261"/>
      <c r="G432" s="259"/>
      <c r="H432" s="261"/>
      <c r="I432" s="261"/>
      <c r="J432" s="261"/>
      <c r="K432" s="261"/>
      <c r="L432" s="261"/>
      <c r="M432" s="262"/>
      <c r="N432" s="262"/>
      <c r="O432" s="262"/>
      <c r="P432" s="262"/>
      <c r="Q432" s="261"/>
      <c r="R432" s="261"/>
      <c r="S432" s="261"/>
      <c r="T432" s="261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</row>
    <row r="433" spans="1:30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261"/>
      <c r="G433" s="259"/>
      <c r="H433" s="261"/>
      <c r="I433" s="261"/>
      <c r="J433" s="261"/>
      <c r="K433" s="261"/>
      <c r="L433" s="261"/>
      <c r="M433" s="262"/>
      <c r="N433" s="262"/>
      <c r="O433" s="262"/>
      <c r="P433" s="262"/>
      <c r="Q433" s="261"/>
      <c r="R433" s="261"/>
      <c r="S433" s="261"/>
      <c r="T433" s="261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</row>
    <row r="434" spans="1:30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261"/>
      <c r="G434" s="259"/>
      <c r="H434" s="261"/>
      <c r="I434" s="261"/>
      <c r="J434" s="261"/>
      <c r="K434" s="261"/>
      <c r="L434" s="261"/>
      <c r="M434" s="262"/>
      <c r="N434" s="262"/>
      <c r="O434" s="262"/>
      <c r="P434" s="262"/>
      <c r="Q434" s="261"/>
      <c r="R434" s="261"/>
      <c r="S434" s="261"/>
      <c r="T434" s="261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</row>
    <row r="435" spans="1:30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261"/>
      <c r="G435" s="259"/>
      <c r="H435" s="261"/>
      <c r="I435" s="261"/>
      <c r="J435" s="261"/>
      <c r="K435" s="261"/>
      <c r="L435" s="261"/>
      <c r="M435" s="262"/>
      <c r="N435" s="262"/>
      <c r="O435" s="262"/>
      <c r="P435" s="262"/>
      <c r="Q435" s="261"/>
      <c r="R435" s="261"/>
      <c r="S435" s="261"/>
      <c r="T435" s="261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</row>
    <row r="436" spans="1:30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261"/>
      <c r="G436" s="259"/>
      <c r="H436" s="261"/>
      <c r="I436" s="261"/>
      <c r="J436" s="261"/>
      <c r="K436" s="261"/>
      <c r="L436" s="261"/>
      <c r="M436" s="262"/>
      <c r="N436" s="262"/>
      <c r="O436" s="262"/>
      <c r="P436" s="262"/>
      <c r="Q436" s="261"/>
      <c r="R436" s="261"/>
      <c r="S436" s="261"/>
      <c r="T436" s="261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</row>
    <row r="437" spans="1:30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261"/>
      <c r="G437" s="259"/>
      <c r="H437" s="261"/>
      <c r="I437" s="261"/>
      <c r="J437" s="261"/>
      <c r="K437" s="261"/>
      <c r="L437" s="261"/>
      <c r="M437" s="262"/>
      <c r="N437" s="262"/>
      <c r="O437" s="262"/>
      <c r="P437" s="262"/>
      <c r="Q437" s="261"/>
      <c r="R437" s="261"/>
      <c r="S437" s="261"/>
      <c r="T437" s="261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</row>
    <row r="438" spans="1:30" ht="18.75" customHeight="1">
      <c r="A438" s="101"/>
      <c r="B438" s="53" t="s">
        <v>947</v>
      </c>
      <c r="C438" s="87" t="s">
        <v>948</v>
      </c>
      <c r="D438" s="61" t="s">
        <v>1156</v>
      </c>
      <c r="E438" s="200">
        <f t="shared" si="1"/>
        <v>0</v>
      </c>
      <c r="F438" s="261"/>
      <c r="G438" s="259"/>
      <c r="H438" s="261"/>
      <c r="I438" s="261"/>
      <c r="J438" s="261"/>
      <c r="K438" s="261"/>
      <c r="L438" s="261"/>
      <c r="M438" s="262"/>
      <c r="N438" s="262"/>
      <c r="O438" s="262"/>
      <c r="P438" s="262"/>
      <c r="Q438" s="261"/>
      <c r="R438" s="261"/>
      <c r="S438" s="261"/>
      <c r="T438" s="261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</row>
    <row r="439" spans="1:30" ht="18.75" customHeight="1">
      <c r="A439" s="42"/>
      <c r="B439" s="59" t="s">
        <v>951</v>
      </c>
      <c r="C439" s="113" t="s">
        <v>131</v>
      </c>
      <c r="D439" s="61" t="s">
        <v>1157</v>
      </c>
      <c r="E439" s="200">
        <f t="shared" si="1"/>
        <v>0</v>
      </c>
      <c r="F439" s="261"/>
      <c r="G439" s="259"/>
      <c r="H439" s="261"/>
      <c r="I439" s="261"/>
      <c r="J439" s="261"/>
      <c r="K439" s="261"/>
      <c r="L439" s="261"/>
      <c r="M439" s="262"/>
      <c r="N439" s="262"/>
      <c r="O439" s="262"/>
      <c r="P439" s="262"/>
      <c r="Q439" s="261"/>
      <c r="R439" s="261"/>
      <c r="S439" s="261"/>
      <c r="T439" s="261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</row>
    <row r="440" spans="1:30" ht="18.75" customHeight="1">
      <c r="A440" s="42"/>
      <c r="B440" s="59" t="s">
        <v>953</v>
      </c>
      <c r="C440" s="113" t="s">
        <v>200</v>
      </c>
      <c r="D440" s="61" t="s">
        <v>1158</v>
      </c>
      <c r="E440" s="200">
        <f t="shared" si="1"/>
        <v>0</v>
      </c>
      <c r="F440" s="261"/>
      <c r="G440" s="259"/>
      <c r="H440" s="261"/>
      <c r="I440" s="261"/>
      <c r="J440" s="261"/>
      <c r="K440" s="261"/>
      <c r="L440" s="261"/>
      <c r="M440" s="262"/>
      <c r="N440" s="262"/>
      <c r="O440" s="262"/>
      <c r="P440" s="262"/>
      <c r="Q440" s="261"/>
      <c r="R440" s="261"/>
      <c r="S440" s="261"/>
      <c r="T440" s="261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</row>
    <row r="441" spans="1:30" ht="18.75" customHeight="1">
      <c r="A441" s="42"/>
      <c r="B441" s="59" t="s">
        <v>955</v>
      </c>
      <c r="C441" s="113" t="s">
        <v>203</v>
      </c>
      <c r="D441" s="61" t="s">
        <v>1159</v>
      </c>
      <c r="E441" s="200">
        <f t="shared" si="1"/>
        <v>0</v>
      </c>
      <c r="F441" s="261"/>
      <c r="G441" s="259"/>
      <c r="H441" s="261"/>
      <c r="I441" s="261"/>
      <c r="J441" s="261"/>
      <c r="K441" s="261"/>
      <c r="L441" s="261"/>
      <c r="M441" s="262"/>
      <c r="N441" s="262"/>
      <c r="O441" s="262"/>
      <c r="P441" s="262"/>
      <c r="Q441" s="261"/>
      <c r="R441" s="261"/>
      <c r="S441" s="261"/>
      <c r="T441" s="261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</row>
    <row r="442" spans="1:30" ht="18.75" customHeight="1">
      <c r="A442" s="42"/>
      <c r="B442" s="59" t="s">
        <v>957</v>
      </c>
      <c r="C442" s="113" t="s">
        <v>159</v>
      </c>
      <c r="D442" s="61" t="s">
        <v>1160</v>
      </c>
      <c r="E442" s="200">
        <f t="shared" si="1"/>
        <v>0</v>
      </c>
      <c r="F442" s="261"/>
      <c r="G442" s="259"/>
      <c r="H442" s="261"/>
      <c r="I442" s="261"/>
      <c r="J442" s="261"/>
      <c r="K442" s="261"/>
      <c r="L442" s="261"/>
      <c r="M442" s="262"/>
      <c r="N442" s="262"/>
      <c r="O442" s="262"/>
      <c r="P442" s="262"/>
      <c r="Q442" s="261"/>
      <c r="R442" s="261"/>
      <c r="S442" s="261"/>
      <c r="T442" s="261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</row>
    <row r="443" spans="1:30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261"/>
      <c r="G443" s="259"/>
      <c r="H443" s="261"/>
      <c r="I443" s="261"/>
      <c r="J443" s="261"/>
      <c r="K443" s="261"/>
      <c r="L443" s="261"/>
      <c r="M443" s="262"/>
      <c r="N443" s="262"/>
      <c r="O443" s="262"/>
      <c r="P443" s="262"/>
      <c r="Q443" s="261"/>
      <c r="R443" s="261"/>
      <c r="S443" s="261"/>
      <c r="T443" s="261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</row>
    <row r="444" spans="1:30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261"/>
      <c r="G444" s="259"/>
      <c r="H444" s="261"/>
      <c r="I444" s="261"/>
      <c r="J444" s="261"/>
      <c r="K444" s="261"/>
      <c r="L444" s="261"/>
      <c r="M444" s="262"/>
      <c r="N444" s="262"/>
      <c r="O444" s="262"/>
      <c r="P444" s="262"/>
      <c r="Q444" s="261"/>
      <c r="R444" s="261"/>
      <c r="S444" s="261"/>
      <c r="T444" s="261"/>
      <c r="U444" s="260"/>
      <c r="V444" s="260"/>
      <c r="W444" s="260"/>
      <c r="X444" s="275"/>
      <c r="Y444" s="260"/>
      <c r="Z444" s="260"/>
      <c r="AA444" s="260"/>
      <c r="AB444" s="260"/>
      <c r="AC444" s="260"/>
      <c r="AD444" s="260"/>
    </row>
    <row r="445" spans="1:30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261"/>
      <c r="G445" s="259"/>
      <c r="H445" s="261"/>
      <c r="I445" s="261"/>
      <c r="J445" s="261"/>
      <c r="K445" s="261"/>
      <c r="L445" s="261"/>
      <c r="M445" s="262"/>
      <c r="N445" s="262"/>
      <c r="O445" s="262"/>
      <c r="P445" s="262"/>
      <c r="Q445" s="261"/>
      <c r="R445" s="261"/>
      <c r="S445" s="261"/>
      <c r="T445" s="261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</row>
    <row r="446" spans="1:30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261"/>
      <c r="G446" s="259"/>
      <c r="H446" s="261"/>
      <c r="I446" s="261"/>
      <c r="J446" s="261"/>
      <c r="K446" s="261"/>
      <c r="L446" s="261"/>
      <c r="M446" s="262"/>
      <c r="N446" s="262"/>
      <c r="O446" s="262"/>
      <c r="P446" s="262"/>
      <c r="Q446" s="261"/>
      <c r="R446" s="261"/>
      <c r="S446" s="261"/>
      <c r="T446" s="261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</row>
    <row r="447" spans="1:30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276"/>
      <c r="G447" s="259"/>
      <c r="H447" s="276"/>
      <c r="I447" s="276"/>
      <c r="J447" s="276"/>
      <c r="K447" s="276"/>
      <c r="L447" s="276"/>
      <c r="M447" s="262"/>
      <c r="N447" s="262"/>
      <c r="O447" s="262"/>
      <c r="P447" s="262"/>
      <c r="Q447" s="276"/>
      <c r="R447" s="276"/>
      <c r="S447" s="276"/>
      <c r="T447" s="276"/>
      <c r="U447" s="277"/>
      <c r="V447" s="277"/>
      <c r="W447" s="277"/>
      <c r="X447" s="277"/>
      <c r="Y447" s="277"/>
      <c r="Z447" s="277"/>
      <c r="AA447" s="277"/>
      <c r="AB447" s="277"/>
      <c r="AC447" s="277"/>
      <c r="AD447" s="277"/>
    </row>
    <row r="448" spans="1:30" ht="15.75" customHeight="1">
      <c r="A448" s="177"/>
      <c r="B448" s="239"/>
      <c r="C448" s="260"/>
      <c r="D448" s="278"/>
      <c r="E448" s="260"/>
      <c r="F448" s="239"/>
      <c r="G448" s="239"/>
      <c r="H448" s="239"/>
      <c r="I448" s="239"/>
      <c r="J448" s="239"/>
      <c r="K448" s="239"/>
      <c r="L448" s="239"/>
      <c r="M448" s="240"/>
      <c r="N448" s="239"/>
      <c r="O448" s="239"/>
      <c r="P448" s="239"/>
      <c r="Q448" s="239"/>
      <c r="R448" s="239"/>
      <c r="S448" s="239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167"/>
    </row>
    <row r="449" spans="1:30" ht="15.75" customHeight="1">
      <c r="A449" s="177"/>
      <c r="B449" s="239"/>
      <c r="C449" s="260"/>
      <c r="D449" s="278"/>
      <c r="E449" s="260"/>
      <c r="F449" s="239"/>
      <c r="G449" s="239"/>
      <c r="H449" s="239"/>
      <c r="I449" s="239"/>
      <c r="J449" s="239"/>
      <c r="K449" s="239"/>
      <c r="L449" s="239"/>
      <c r="M449" s="240"/>
      <c r="N449" s="239"/>
      <c r="O449" s="239"/>
      <c r="P449" s="239"/>
      <c r="Q449" s="239"/>
      <c r="R449" s="239"/>
      <c r="S449" s="239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167"/>
    </row>
    <row r="450" spans="1:30" ht="15.75" customHeight="1">
      <c r="A450" s="177"/>
      <c r="B450" s="239"/>
      <c r="C450" s="241" t="s">
        <v>12</v>
      </c>
      <c r="D450" s="242">
        <f>COUNTIF($D$11:$FM$11,"Hà Giang")</f>
        <v>0</v>
      </c>
      <c r="E450" s="260"/>
      <c r="F450" s="239"/>
      <c r="G450" s="239"/>
      <c r="H450" s="239"/>
      <c r="I450" s="239"/>
      <c r="J450" s="239"/>
      <c r="K450" s="239"/>
      <c r="L450" s="239"/>
      <c r="M450" s="240"/>
      <c r="N450" s="239"/>
      <c r="O450" s="239"/>
      <c r="P450" s="239"/>
      <c r="Q450" s="239"/>
      <c r="R450" s="239"/>
      <c r="S450" s="239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167"/>
    </row>
    <row r="451" spans="1:30" ht="15.75" customHeight="1">
      <c r="A451" s="177"/>
      <c r="B451" s="239"/>
      <c r="C451" s="241" t="s">
        <v>14</v>
      </c>
      <c r="D451" s="242">
        <f>COUNTIF($D$11:$FM$11,"Lào Cai")</f>
        <v>0</v>
      </c>
      <c r="E451" s="260"/>
      <c r="F451" s="239"/>
      <c r="G451" s="239"/>
      <c r="H451" s="239"/>
      <c r="I451" s="239"/>
      <c r="J451" s="239"/>
      <c r="K451" s="239"/>
      <c r="L451" s="239"/>
      <c r="M451" s="240"/>
      <c r="N451" s="239"/>
      <c r="O451" s="239"/>
      <c r="P451" s="239"/>
      <c r="Q451" s="239"/>
      <c r="R451" s="239"/>
      <c r="S451" s="239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167"/>
    </row>
    <row r="452" spans="1:30" ht="15.75" customHeight="1">
      <c r="A452" s="177"/>
      <c r="B452" s="239"/>
      <c r="C452" s="241" t="s">
        <v>23</v>
      </c>
      <c r="D452" s="242">
        <f>COUNTIF($D$11:$FM$11,"Lai Châu")</f>
        <v>0</v>
      </c>
      <c r="E452" s="260"/>
      <c r="F452" s="239"/>
      <c r="G452" s="239"/>
      <c r="H452" s="239"/>
      <c r="I452" s="239"/>
      <c r="J452" s="239"/>
      <c r="K452" s="239"/>
      <c r="L452" s="239"/>
      <c r="M452" s="240"/>
      <c r="N452" s="239"/>
      <c r="O452" s="239"/>
      <c r="P452" s="239"/>
      <c r="Q452" s="239"/>
      <c r="R452" s="239"/>
      <c r="S452" s="239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167"/>
    </row>
    <row r="453" spans="1:30" ht="15.75" customHeight="1">
      <c r="A453" s="177"/>
      <c r="B453" s="239"/>
      <c r="C453" s="243" t="s">
        <v>17</v>
      </c>
      <c r="D453" s="242">
        <f>COUNTIF($D$11:$FM$11,"Điện Biên")</f>
        <v>0</v>
      </c>
      <c r="E453" s="260"/>
      <c r="F453" s="239"/>
      <c r="G453" s="239"/>
      <c r="H453" s="239"/>
      <c r="I453" s="239"/>
      <c r="J453" s="239"/>
      <c r="K453" s="239"/>
      <c r="L453" s="239"/>
      <c r="M453" s="240"/>
      <c r="N453" s="239"/>
      <c r="O453" s="239"/>
      <c r="P453" s="239"/>
      <c r="Q453" s="239"/>
      <c r="R453" s="239"/>
      <c r="S453" s="239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167"/>
    </row>
    <row r="454" spans="1:30" ht="15.75" customHeight="1">
      <c r="A454" s="177"/>
      <c r="B454" s="239"/>
      <c r="C454" s="243" t="s">
        <v>16</v>
      </c>
      <c r="D454" s="242">
        <f>COUNTIF($D$11:$FM$11,"Lạng Sơn")</f>
        <v>0</v>
      </c>
      <c r="E454" s="260"/>
      <c r="F454" s="239"/>
      <c r="G454" s="239"/>
      <c r="H454" s="239"/>
      <c r="I454" s="239"/>
      <c r="J454" s="239"/>
      <c r="K454" s="239"/>
      <c r="L454" s="239"/>
      <c r="M454" s="240"/>
      <c r="N454" s="239"/>
      <c r="O454" s="239"/>
      <c r="P454" s="239"/>
      <c r="Q454" s="239"/>
      <c r="R454" s="239"/>
      <c r="S454" s="239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167"/>
    </row>
    <row r="455" spans="1:30" ht="15.75" customHeight="1">
      <c r="A455" s="177"/>
      <c r="B455" s="239"/>
      <c r="C455" s="243" t="s">
        <v>13</v>
      </c>
      <c r="D455" s="242">
        <f>COUNTIF($D$11:$FM$11,"Cao Bằng")</f>
        <v>0</v>
      </c>
      <c r="E455" s="260"/>
      <c r="F455" s="239"/>
      <c r="G455" s="239"/>
      <c r="H455" s="239"/>
      <c r="I455" s="239"/>
      <c r="J455" s="239"/>
      <c r="K455" s="239"/>
      <c r="L455" s="239"/>
      <c r="M455" s="240"/>
      <c r="N455" s="239"/>
      <c r="O455" s="239"/>
      <c r="P455" s="239"/>
      <c r="Q455" s="239"/>
      <c r="R455" s="239"/>
      <c r="S455" s="239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167"/>
    </row>
    <row r="456" spans="1:30" ht="15.75" customHeight="1">
      <c r="A456" s="177"/>
      <c r="B456" s="239"/>
      <c r="C456" s="243" t="s">
        <v>1090</v>
      </c>
      <c r="D456" s="242">
        <f>COUNTIF($D$11:$FM$11,"Sơn La")</f>
        <v>0</v>
      </c>
      <c r="E456" s="260"/>
      <c r="F456" s="239"/>
      <c r="G456" s="239"/>
      <c r="H456" s="239"/>
      <c r="I456" s="239"/>
      <c r="J456" s="239"/>
      <c r="K456" s="239"/>
      <c r="L456" s="239"/>
      <c r="M456" s="240"/>
      <c r="N456" s="239"/>
      <c r="O456" s="239"/>
      <c r="P456" s="239"/>
      <c r="Q456" s="239"/>
      <c r="R456" s="239"/>
      <c r="S456" s="239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167"/>
    </row>
    <row r="457" spans="1:30" ht="15.75" customHeight="1">
      <c r="A457" s="177"/>
      <c r="B457" s="239"/>
      <c r="C457" s="243" t="s">
        <v>19</v>
      </c>
      <c r="D457" s="242">
        <f>COUNTIF($D$11:$FM$11,"Yên Bái")</f>
        <v>0</v>
      </c>
      <c r="E457" s="260"/>
      <c r="F457" s="239"/>
      <c r="G457" s="239"/>
      <c r="H457" s="239"/>
      <c r="I457" s="239"/>
      <c r="J457" s="239"/>
      <c r="K457" s="239"/>
      <c r="L457" s="239"/>
      <c r="M457" s="240"/>
      <c r="N457" s="239"/>
      <c r="O457" s="239"/>
      <c r="P457" s="239"/>
      <c r="Q457" s="239"/>
      <c r="R457" s="239"/>
      <c r="S457" s="239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167"/>
    </row>
    <row r="458" spans="1:30" ht="15.75" customHeight="1">
      <c r="A458" s="177"/>
      <c r="B458" s="239"/>
      <c r="C458" s="243" t="s">
        <v>18</v>
      </c>
      <c r="D458" s="242">
        <f>COUNTIF($D$11:$FM$11,"Tuyên Quang")</f>
        <v>0</v>
      </c>
      <c r="E458" s="260"/>
      <c r="F458" s="239"/>
      <c r="G458" s="239"/>
      <c r="H458" s="239"/>
      <c r="I458" s="239"/>
      <c r="J458" s="239"/>
      <c r="K458" s="239"/>
      <c r="L458" s="239"/>
      <c r="M458" s="240"/>
      <c r="N458" s="239"/>
      <c r="O458" s="239"/>
      <c r="P458" s="239"/>
      <c r="Q458" s="239"/>
      <c r="R458" s="239"/>
      <c r="S458" s="239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167"/>
    </row>
    <row r="459" spans="1:30" ht="15.75" customHeight="1">
      <c r="A459" s="177"/>
      <c r="B459" s="239"/>
      <c r="C459" s="243" t="s">
        <v>1091</v>
      </c>
      <c r="D459" s="242">
        <f>COUNTIF($D$11:$FM$11,"Thái Nguyên")</f>
        <v>0</v>
      </c>
      <c r="E459" s="260"/>
      <c r="F459" s="239"/>
      <c r="G459" s="239"/>
      <c r="H459" s="239"/>
      <c r="I459" s="239"/>
      <c r="J459" s="239"/>
      <c r="K459" s="239"/>
      <c r="L459" s="239"/>
      <c r="M459" s="240"/>
      <c r="N459" s="239"/>
      <c r="O459" s="239"/>
      <c r="P459" s="239"/>
      <c r="Q459" s="239"/>
      <c r="R459" s="239"/>
      <c r="S459" s="239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167"/>
    </row>
    <row r="460" spans="1:30" ht="15.75" customHeight="1">
      <c r="A460" s="177"/>
      <c r="B460" s="239"/>
      <c r="C460" s="243" t="s">
        <v>15</v>
      </c>
      <c r="D460" s="242">
        <f>COUNTIF($D$11:$FM$11,"Bắc Kạn")</f>
        <v>0</v>
      </c>
      <c r="E460" s="260"/>
      <c r="F460" s="239"/>
      <c r="G460" s="239"/>
      <c r="H460" s="239"/>
      <c r="I460" s="239"/>
      <c r="J460" s="239"/>
      <c r="K460" s="239"/>
      <c r="L460" s="239"/>
      <c r="M460" s="240"/>
      <c r="N460" s="239"/>
      <c r="O460" s="239"/>
      <c r="P460" s="239"/>
      <c r="Q460" s="239"/>
      <c r="R460" s="239"/>
      <c r="S460" s="239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167"/>
    </row>
    <row r="461" spans="1:30" ht="15.75" customHeight="1">
      <c r="A461" s="177"/>
      <c r="B461" s="239"/>
      <c r="C461" s="243" t="s">
        <v>25</v>
      </c>
      <c r="D461" s="242">
        <f>COUNTIF($D$11:$FM$11,"Hoà Bình")</f>
        <v>0</v>
      </c>
      <c r="E461" s="260"/>
      <c r="F461" s="239"/>
      <c r="G461" s="239"/>
      <c r="H461" s="239"/>
      <c r="I461" s="239"/>
      <c r="J461" s="239"/>
      <c r="K461" s="239"/>
      <c r="L461" s="239"/>
      <c r="M461" s="240"/>
      <c r="N461" s="239"/>
      <c r="O461" s="239"/>
      <c r="P461" s="239"/>
      <c r="Q461" s="239"/>
      <c r="R461" s="239"/>
      <c r="S461" s="239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167"/>
    </row>
    <row r="462" spans="1:30" ht="15.75" customHeight="1">
      <c r="A462" s="177"/>
      <c r="B462" s="239"/>
      <c r="C462" s="243" t="s">
        <v>1092</v>
      </c>
      <c r="D462" s="242">
        <f>COUNTIF($D$11:$FM$11,"Bắc Giang")</f>
        <v>0</v>
      </c>
      <c r="E462" s="260"/>
      <c r="F462" s="239"/>
      <c r="G462" s="239"/>
      <c r="H462" s="239"/>
      <c r="I462" s="239"/>
      <c r="J462" s="239"/>
      <c r="K462" s="239"/>
      <c r="L462" s="239"/>
      <c r="M462" s="240"/>
      <c r="N462" s="239"/>
      <c r="O462" s="239"/>
      <c r="P462" s="239"/>
      <c r="Q462" s="239"/>
      <c r="R462" s="239"/>
      <c r="S462" s="239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167"/>
    </row>
    <row r="463" spans="1:30" ht="15.75" customHeight="1">
      <c r="A463" s="177"/>
      <c r="B463" s="239"/>
      <c r="C463" s="243" t="s">
        <v>28</v>
      </c>
      <c r="D463" s="242">
        <f>COUNTIF($D$11:$FM$11,"Quảng Ninh")</f>
        <v>0</v>
      </c>
      <c r="E463" s="260"/>
      <c r="F463" s="239"/>
      <c r="G463" s="239"/>
      <c r="H463" s="239"/>
      <c r="I463" s="239"/>
      <c r="J463" s="239"/>
      <c r="K463" s="239"/>
      <c r="L463" s="239"/>
      <c r="M463" s="240"/>
      <c r="N463" s="239"/>
      <c r="O463" s="239"/>
      <c r="P463" s="239"/>
      <c r="Q463" s="239"/>
      <c r="R463" s="239"/>
      <c r="S463" s="239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167"/>
    </row>
    <row r="464" spans="1:30" ht="15.75" customHeight="1">
      <c r="A464" s="177"/>
      <c r="B464" s="239"/>
      <c r="C464" s="243" t="s">
        <v>26</v>
      </c>
      <c r="D464" s="242">
        <f>COUNTIF($D$11:$FM$11,"Hà Nội")</f>
        <v>0</v>
      </c>
      <c r="E464" s="260"/>
      <c r="F464" s="239"/>
      <c r="G464" s="239"/>
      <c r="H464" s="239"/>
      <c r="I464" s="239"/>
      <c r="J464" s="239"/>
      <c r="K464" s="239"/>
      <c r="L464" s="239"/>
      <c r="M464" s="240"/>
      <c r="N464" s="239"/>
      <c r="O464" s="239"/>
      <c r="P464" s="239"/>
      <c r="Q464" s="239"/>
      <c r="R464" s="239"/>
      <c r="S464" s="239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167"/>
    </row>
    <row r="465" spans="1:30" ht="15.75" customHeight="1">
      <c r="A465" s="177"/>
      <c r="B465" s="239"/>
      <c r="C465" s="243" t="s">
        <v>21</v>
      </c>
      <c r="D465" s="242">
        <f>COUNTIF($D$11:$FM$11,"Phú Thọ")</f>
        <v>0</v>
      </c>
      <c r="E465" s="260"/>
      <c r="F465" s="239"/>
      <c r="G465" s="239"/>
      <c r="H465" s="239"/>
      <c r="I465" s="239"/>
      <c r="J465" s="239"/>
      <c r="K465" s="239"/>
      <c r="L465" s="239"/>
      <c r="M465" s="240"/>
      <c r="N465" s="239"/>
      <c r="O465" s="239"/>
      <c r="P465" s="239"/>
      <c r="Q465" s="239"/>
      <c r="R465" s="239"/>
      <c r="S465" s="239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167"/>
    </row>
    <row r="466" spans="1:30" ht="15.75" customHeight="1">
      <c r="A466" s="177"/>
      <c r="B466" s="239"/>
      <c r="C466" s="243" t="s">
        <v>1093</v>
      </c>
      <c r="D466" s="242">
        <f>COUNTIF($D$11:$FM$11,"Vĩnh Phúc")</f>
        <v>0</v>
      </c>
      <c r="E466" s="260"/>
      <c r="F466" s="239"/>
      <c r="G466" s="239"/>
      <c r="H466" s="239"/>
      <c r="I466" s="239"/>
      <c r="J466" s="239"/>
      <c r="K466" s="239"/>
      <c r="L466" s="239"/>
      <c r="M466" s="240"/>
      <c r="N466" s="239"/>
      <c r="O466" s="239"/>
      <c r="P466" s="239"/>
      <c r="Q466" s="239"/>
      <c r="R466" s="239"/>
      <c r="S466" s="239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167"/>
    </row>
    <row r="467" spans="1:30" ht="15.75" customHeight="1">
      <c r="A467" s="177"/>
      <c r="B467" s="239"/>
      <c r="C467" s="243" t="s">
        <v>32</v>
      </c>
      <c r="D467" s="242">
        <f>COUNTIF($D$11:$FM$11,"Bắc Ninh")</f>
        <v>0</v>
      </c>
      <c r="E467" s="260"/>
      <c r="F467" s="239"/>
      <c r="G467" s="239"/>
      <c r="H467" s="239"/>
      <c r="I467" s="239"/>
      <c r="J467" s="239"/>
      <c r="K467" s="239"/>
      <c r="L467" s="239"/>
      <c r="M467" s="240"/>
      <c r="N467" s="239"/>
      <c r="O467" s="239"/>
      <c r="P467" s="239"/>
      <c r="Q467" s="239"/>
      <c r="R467" s="239"/>
      <c r="S467" s="239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167"/>
    </row>
    <row r="468" spans="1:30" ht="15.75" customHeight="1">
      <c r="A468" s="177"/>
      <c r="B468" s="239"/>
      <c r="C468" s="243" t="s">
        <v>29</v>
      </c>
      <c r="D468" s="242">
        <f>COUNTIF($D$11:$FM$11,"Hải Dương")</f>
        <v>0</v>
      </c>
      <c r="E468" s="260"/>
      <c r="F468" s="239"/>
      <c r="G468" s="239"/>
      <c r="H468" s="239"/>
      <c r="I468" s="239"/>
      <c r="J468" s="239"/>
      <c r="K468" s="239"/>
      <c r="L468" s="239"/>
      <c r="M468" s="240"/>
      <c r="N468" s="239"/>
      <c r="O468" s="239"/>
      <c r="P468" s="239"/>
      <c r="Q468" s="239"/>
      <c r="R468" s="239"/>
      <c r="S468" s="239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167"/>
    </row>
    <row r="469" spans="1:30" ht="15.75" customHeight="1">
      <c r="A469" s="177"/>
      <c r="B469" s="239"/>
      <c r="C469" s="243" t="s">
        <v>30</v>
      </c>
      <c r="D469" s="242">
        <f>COUNTIF($D$11:$FM$11,"Hưng Yên")</f>
        <v>0</v>
      </c>
      <c r="E469" s="260"/>
      <c r="F469" s="239"/>
      <c r="G469" s="239"/>
      <c r="H469" s="239"/>
      <c r="I469" s="239"/>
      <c r="J469" s="239"/>
      <c r="K469" s="239"/>
      <c r="L469" s="239"/>
      <c r="M469" s="240"/>
      <c r="N469" s="239"/>
      <c r="O469" s="239"/>
      <c r="P469" s="239"/>
      <c r="Q469" s="239"/>
      <c r="R469" s="239"/>
      <c r="S469" s="239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167"/>
    </row>
    <row r="470" spans="1:30" ht="15.75" customHeight="1">
      <c r="A470" s="177"/>
      <c r="B470" s="239"/>
      <c r="C470" s="243" t="s">
        <v>27</v>
      </c>
      <c r="D470" s="242">
        <f>COUNTIF($D$11:$FM$11,"Hải Phòng")</f>
        <v>0</v>
      </c>
      <c r="E470" s="260"/>
      <c r="F470" s="239"/>
      <c r="G470" s="239"/>
      <c r="H470" s="239"/>
      <c r="I470" s="239"/>
      <c r="J470" s="239"/>
      <c r="K470" s="239"/>
      <c r="L470" s="239"/>
      <c r="M470" s="240"/>
      <c r="N470" s="239"/>
      <c r="O470" s="239"/>
      <c r="P470" s="239"/>
      <c r="Q470" s="239"/>
      <c r="R470" s="239"/>
      <c r="S470" s="239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167"/>
    </row>
    <row r="471" spans="1:30" ht="15.75" customHeight="1">
      <c r="A471" s="177"/>
      <c r="B471" s="239"/>
      <c r="C471" s="243" t="s">
        <v>33</v>
      </c>
      <c r="D471" s="242">
        <f>COUNTIF($D$11:$FM$11,"Hà Nam")</f>
        <v>0</v>
      </c>
      <c r="E471" s="260"/>
      <c r="F471" s="239"/>
      <c r="G471" s="239"/>
      <c r="H471" s="239"/>
      <c r="I471" s="239"/>
      <c r="J471" s="239"/>
      <c r="K471" s="239"/>
      <c r="L471" s="239"/>
      <c r="M471" s="240"/>
      <c r="N471" s="239"/>
      <c r="O471" s="239"/>
      <c r="P471" s="239"/>
      <c r="Q471" s="239"/>
      <c r="R471" s="239"/>
      <c r="S471" s="239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167"/>
    </row>
    <row r="472" spans="1:30" ht="15.75" customHeight="1">
      <c r="A472" s="177"/>
      <c r="B472" s="239"/>
      <c r="C472" s="243" t="s">
        <v>36</v>
      </c>
      <c r="D472" s="242">
        <f>COUNTIF($D$11:$FM$11,"Nam Định")</f>
        <v>0</v>
      </c>
      <c r="E472" s="260"/>
      <c r="F472" s="239"/>
      <c r="G472" s="239"/>
      <c r="H472" s="239"/>
      <c r="I472" s="239"/>
      <c r="J472" s="239"/>
      <c r="K472" s="239"/>
      <c r="L472" s="239"/>
      <c r="M472" s="240"/>
      <c r="N472" s="239"/>
      <c r="O472" s="239"/>
      <c r="P472" s="239"/>
      <c r="Q472" s="239"/>
      <c r="R472" s="239"/>
      <c r="S472" s="239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167"/>
    </row>
    <row r="473" spans="1:30" ht="15.75" customHeight="1">
      <c r="A473" s="177"/>
      <c r="B473" s="239"/>
      <c r="C473" s="243" t="s">
        <v>1094</v>
      </c>
      <c r="D473" s="242">
        <f>COUNTIF($D$11:$FM$11,"Thái Bình")</f>
        <v>0</v>
      </c>
      <c r="E473" s="260"/>
      <c r="F473" s="239"/>
      <c r="G473" s="239"/>
      <c r="H473" s="239"/>
      <c r="I473" s="239"/>
      <c r="J473" s="239"/>
      <c r="K473" s="239"/>
      <c r="L473" s="239"/>
      <c r="M473" s="240"/>
      <c r="N473" s="239"/>
      <c r="O473" s="239"/>
      <c r="P473" s="239"/>
      <c r="Q473" s="239"/>
      <c r="R473" s="239"/>
      <c r="S473" s="239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167"/>
    </row>
    <row r="474" spans="1:30" ht="15.75" customHeight="1">
      <c r="A474" s="177"/>
      <c r="B474" s="239"/>
      <c r="C474" s="243" t="s">
        <v>34</v>
      </c>
      <c r="D474" s="242">
        <f>COUNTIF($D$11:$FM$11,"Ninh Bình")</f>
        <v>0</v>
      </c>
      <c r="E474" s="260"/>
      <c r="F474" s="239"/>
      <c r="G474" s="239"/>
      <c r="H474" s="239"/>
      <c r="I474" s="239"/>
      <c r="J474" s="239"/>
      <c r="K474" s="239"/>
      <c r="L474" s="239"/>
      <c r="M474" s="240"/>
      <c r="N474" s="239"/>
      <c r="O474" s="239"/>
      <c r="P474" s="239"/>
      <c r="Q474" s="239"/>
      <c r="R474" s="239"/>
      <c r="S474" s="239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167"/>
    </row>
    <row r="475" spans="1:30" ht="15.75" customHeight="1">
      <c r="A475" s="177"/>
      <c r="B475" s="239"/>
      <c r="C475" s="243" t="s">
        <v>37</v>
      </c>
      <c r="D475" s="242">
        <f>COUNTIF($D$11:$FM$11,"Thanh Hoá")</f>
        <v>0</v>
      </c>
      <c r="E475" s="260"/>
      <c r="F475" s="239"/>
      <c r="G475" s="239"/>
      <c r="H475" s="239"/>
      <c r="I475" s="239"/>
      <c r="J475" s="239"/>
      <c r="K475" s="239"/>
      <c r="L475" s="239"/>
      <c r="M475" s="240"/>
      <c r="N475" s="239"/>
      <c r="O475" s="239"/>
      <c r="P475" s="239"/>
      <c r="Q475" s="239"/>
      <c r="R475" s="239"/>
      <c r="S475" s="239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167"/>
    </row>
    <row r="476" spans="1:30" ht="15.75" customHeight="1">
      <c r="A476" s="177"/>
      <c r="B476" s="239"/>
      <c r="C476" s="243" t="s">
        <v>1095</v>
      </c>
      <c r="D476" s="242">
        <f>COUNTIF($D$11:$FM$11,"Nghệ An")</f>
        <v>0</v>
      </c>
      <c r="E476" s="260"/>
      <c r="F476" s="239"/>
      <c r="G476" s="239"/>
      <c r="H476" s="239"/>
      <c r="I476" s="239"/>
      <c r="J476" s="239"/>
      <c r="K476" s="239"/>
      <c r="L476" s="239"/>
      <c r="M476" s="240"/>
      <c r="N476" s="239"/>
      <c r="O476" s="239"/>
      <c r="P476" s="239"/>
      <c r="Q476" s="239"/>
      <c r="R476" s="239"/>
      <c r="S476" s="239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167"/>
    </row>
    <row r="477" spans="1:30" ht="15.75" customHeight="1">
      <c r="A477" s="177"/>
      <c r="B477" s="239"/>
      <c r="C477" s="243" t="s">
        <v>1096</v>
      </c>
      <c r="D477" s="242">
        <f>COUNTIF($D$11:$FM$11,"Hà Tĩnh")</f>
        <v>0</v>
      </c>
      <c r="E477" s="260"/>
      <c r="F477" s="239"/>
      <c r="G477" s="239"/>
      <c r="H477" s="239"/>
      <c r="I477" s="239"/>
      <c r="J477" s="239"/>
      <c r="K477" s="239"/>
      <c r="L477" s="239"/>
      <c r="M477" s="240"/>
      <c r="N477" s="239"/>
      <c r="O477" s="239"/>
      <c r="P477" s="239"/>
      <c r="Q477" s="239"/>
      <c r="R477" s="239"/>
      <c r="S477" s="239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167"/>
    </row>
    <row r="478" spans="1:30" ht="15.75" customHeight="1">
      <c r="A478" s="177"/>
      <c r="B478" s="239"/>
      <c r="C478" s="243" t="s">
        <v>1097</v>
      </c>
      <c r="D478" s="242">
        <f>COUNTIF($D$11:$FM$11,"Quảng Bình")</f>
        <v>0</v>
      </c>
      <c r="E478" s="260"/>
      <c r="F478" s="239"/>
      <c r="G478" s="239"/>
      <c r="H478" s="239"/>
      <c r="I478" s="239"/>
      <c r="J478" s="239"/>
      <c r="K478" s="239"/>
      <c r="L478" s="239"/>
      <c r="M478" s="240"/>
      <c r="N478" s="239"/>
      <c r="O478" s="239"/>
      <c r="P478" s="239"/>
      <c r="Q478" s="239"/>
      <c r="R478" s="239"/>
      <c r="S478" s="239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167"/>
    </row>
    <row r="479" spans="1:30" ht="15.75" customHeight="1">
      <c r="A479" s="177"/>
      <c r="B479" s="239"/>
      <c r="C479" s="243" t="s">
        <v>1098</v>
      </c>
      <c r="D479" s="242">
        <f>COUNTIF($D$11:$FM$11,"Quảng Trị")</f>
        <v>0</v>
      </c>
      <c r="E479" s="260"/>
      <c r="F479" s="239"/>
      <c r="G479" s="239"/>
      <c r="H479" s="239"/>
      <c r="I479" s="239"/>
      <c r="J479" s="239"/>
      <c r="K479" s="239"/>
      <c r="L479" s="239"/>
      <c r="M479" s="240"/>
      <c r="N479" s="239"/>
      <c r="O479" s="239"/>
      <c r="P479" s="239"/>
      <c r="Q479" s="239"/>
      <c r="R479" s="239"/>
      <c r="S479" s="239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167"/>
    </row>
    <row r="480" spans="1:30" ht="15.75" customHeight="1">
      <c r="A480" s="177"/>
      <c r="B480" s="239"/>
      <c r="C480" s="243" t="s">
        <v>1099</v>
      </c>
      <c r="D480" s="242">
        <f>COUNTIF($D$11:$FM$11,"Thừa Thiên Huế")</f>
        <v>0</v>
      </c>
      <c r="E480" s="260"/>
      <c r="F480" s="239"/>
      <c r="G480" s="239"/>
      <c r="H480" s="239"/>
      <c r="I480" s="239"/>
      <c r="J480" s="239"/>
      <c r="K480" s="239"/>
      <c r="L480" s="239"/>
      <c r="M480" s="240"/>
      <c r="N480" s="239"/>
      <c r="O480" s="239"/>
      <c r="P480" s="239"/>
      <c r="Q480" s="239"/>
      <c r="R480" s="239"/>
      <c r="S480" s="239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167"/>
    </row>
    <row r="481" spans="1:30" ht="15.75" customHeight="1">
      <c r="A481" s="177"/>
      <c r="B481" s="239"/>
      <c r="C481" s="243" t="s">
        <v>1100</v>
      </c>
      <c r="D481" s="242">
        <f>COUNTIF($D$11:$FM$11,"Đà Nẵng")</f>
        <v>0</v>
      </c>
      <c r="E481" s="260"/>
      <c r="F481" s="239"/>
      <c r="G481" s="239"/>
      <c r="H481" s="239"/>
      <c r="I481" s="239"/>
      <c r="J481" s="239"/>
      <c r="K481" s="239"/>
      <c r="L481" s="239"/>
      <c r="M481" s="240"/>
      <c r="N481" s="239"/>
      <c r="O481" s="239"/>
      <c r="P481" s="239"/>
      <c r="Q481" s="239"/>
      <c r="R481" s="239"/>
      <c r="S481" s="239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167"/>
    </row>
    <row r="482" spans="1:30" ht="15.75" customHeight="1">
      <c r="A482" s="177"/>
      <c r="B482" s="239"/>
      <c r="C482" s="243" t="s">
        <v>1101</v>
      </c>
      <c r="D482" s="242">
        <f>COUNTIF($D$11:$FM$11,"Quảng Nam")</f>
        <v>0</v>
      </c>
      <c r="E482" s="260"/>
      <c r="F482" s="239"/>
      <c r="G482" s="239"/>
      <c r="H482" s="239"/>
      <c r="I482" s="239"/>
      <c r="J482" s="239"/>
      <c r="K482" s="239"/>
      <c r="L482" s="239"/>
      <c r="M482" s="240"/>
      <c r="N482" s="239"/>
      <c r="O482" s="239"/>
      <c r="P482" s="239"/>
      <c r="Q482" s="239"/>
      <c r="R482" s="239"/>
      <c r="S482" s="239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167"/>
    </row>
    <row r="483" spans="1:30" ht="15.75" customHeight="1">
      <c r="A483" s="177"/>
      <c r="B483" s="239"/>
      <c r="C483" s="243" t="s">
        <v>1102</v>
      </c>
      <c r="D483" s="242">
        <f>COUNTIF($D$11:$FM$11,"Quảng Ngãi")</f>
        <v>0</v>
      </c>
      <c r="E483" s="260"/>
      <c r="F483" s="239"/>
      <c r="G483" s="239"/>
      <c r="H483" s="239"/>
      <c r="I483" s="239"/>
      <c r="J483" s="239"/>
      <c r="K483" s="239"/>
      <c r="L483" s="239"/>
      <c r="M483" s="240"/>
      <c r="N483" s="239"/>
      <c r="O483" s="239"/>
      <c r="P483" s="239"/>
      <c r="Q483" s="239"/>
      <c r="R483" s="239"/>
      <c r="S483" s="239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167"/>
    </row>
    <row r="484" spans="1:30" ht="15.75" customHeight="1">
      <c r="A484" s="177"/>
      <c r="B484" s="239"/>
      <c r="C484" s="243" t="s">
        <v>1103</v>
      </c>
      <c r="D484" s="242">
        <f>COUNTIF($D$11:$FM$11,"Bình Định")</f>
        <v>0</v>
      </c>
      <c r="E484" s="260"/>
      <c r="F484" s="239"/>
      <c r="G484" s="239"/>
      <c r="H484" s="239"/>
      <c r="I484" s="239"/>
      <c r="J484" s="239"/>
      <c r="K484" s="239"/>
      <c r="L484" s="239"/>
      <c r="M484" s="240"/>
      <c r="N484" s="239"/>
      <c r="O484" s="239"/>
      <c r="P484" s="239"/>
      <c r="Q484" s="239"/>
      <c r="R484" s="239"/>
      <c r="S484" s="239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167"/>
    </row>
    <row r="485" spans="1:30" ht="15.75" customHeight="1">
      <c r="A485" s="177"/>
      <c r="B485" s="239"/>
      <c r="C485" s="243" t="s">
        <v>1104</v>
      </c>
      <c r="D485" s="242">
        <f>COUNTIF($D$11:$FM$11,"Phú Yên")</f>
        <v>0</v>
      </c>
      <c r="E485" s="260"/>
      <c r="F485" s="239"/>
      <c r="G485" s="239"/>
      <c r="H485" s="239"/>
      <c r="I485" s="239"/>
      <c r="J485" s="239"/>
      <c r="K485" s="239"/>
      <c r="L485" s="239"/>
      <c r="M485" s="240"/>
      <c r="N485" s="239"/>
      <c r="O485" s="239"/>
      <c r="P485" s="239"/>
      <c r="Q485" s="239"/>
      <c r="R485" s="239"/>
      <c r="S485" s="239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167"/>
    </row>
    <row r="486" spans="1:30" ht="15.75" customHeight="1">
      <c r="A486" s="177"/>
      <c r="B486" s="239"/>
      <c r="C486" s="243" t="s">
        <v>1105</v>
      </c>
      <c r="D486" s="242">
        <f>COUNTIF($D$11:$FM$11,"Khánh Hoà")</f>
        <v>0</v>
      </c>
      <c r="E486" s="260"/>
      <c r="F486" s="239"/>
      <c r="G486" s="239"/>
      <c r="H486" s="239"/>
      <c r="I486" s="239"/>
      <c r="J486" s="239"/>
      <c r="K486" s="239"/>
      <c r="L486" s="239"/>
      <c r="M486" s="240"/>
      <c r="N486" s="239"/>
      <c r="O486" s="239"/>
      <c r="P486" s="239"/>
      <c r="Q486" s="239"/>
      <c r="R486" s="239"/>
      <c r="S486" s="239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167"/>
    </row>
    <row r="487" spans="1:30" ht="15.75" customHeight="1">
      <c r="A487" s="177"/>
      <c r="B487" s="239"/>
      <c r="C487" s="243" t="s">
        <v>1106</v>
      </c>
      <c r="D487" s="242">
        <f>COUNTIF($D$11:$FM$11,"Ninh Thuận")</f>
        <v>0</v>
      </c>
      <c r="E487" s="260"/>
      <c r="F487" s="239"/>
      <c r="G487" s="239"/>
      <c r="H487" s="239"/>
      <c r="I487" s="239"/>
      <c r="J487" s="239"/>
      <c r="K487" s="239"/>
      <c r="L487" s="239"/>
      <c r="M487" s="240"/>
      <c r="N487" s="239"/>
      <c r="O487" s="239"/>
      <c r="P487" s="239"/>
      <c r="Q487" s="239"/>
      <c r="R487" s="239"/>
      <c r="S487" s="239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167"/>
    </row>
    <row r="488" spans="1:30" ht="15.75" customHeight="1">
      <c r="A488" s="177"/>
      <c r="B488" s="239"/>
      <c r="C488" s="243" t="s">
        <v>1107</v>
      </c>
      <c r="D488" s="242">
        <f>COUNTIF($D$11:$FM$11,"Bình Thuận")</f>
        <v>0</v>
      </c>
      <c r="E488" s="260"/>
      <c r="F488" s="239"/>
      <c r="G488" s="239"/>
      <c r="H488" s="239"/>
      <c r="I488" s="239"/>
      <c r="J488" s="239"/>
      <c r="K488" s="239"/>
      <c r="L488" s="239"/>
      <c r="M488" s="240"/>
      <c r="N488" s="239"/>
      <c r="O488" s="239"/>
      <c r="P488" s="239"/>
      <c r="Q488" s="239"/>
      <c r="R488" s="239"/>
      <c r="S488" s="239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167"/>
    </row>
    <row r="489" spans="1:30" ht="15.75" customHeight="1">
      <c r="A489" s="177"/>
      <c r="B489" s="239"/>
      <c r="C489" s="243" t="s">
        <v>1108</v>
      </c>
      <c r="D489" s="242">
        <f>COUNTIF($D$11:$FM$11,"Kon Tum")</f>
        <v>0</v>
      </c>
      <c r="E489" s="260"/>
      <c r="F489" s="239"/>
      <c r="G489" s="239"/>
      <c r="H489" s="239"/>
      <c r="I489" s="239"/>
      <c r="J489" s="239"/>
      <c r="K489" s="239"/>
      <c r="L489" s="239"/>
      <c r="M489" s="240"/>
      <c r="N489" s="239"/>
      <c r="O489" s="239"/>
      <c r="P489" s="239"/>
      <c r="Q489" s="239"/>
      <c r="R489" s="239"/>
      <c r="S489" s="239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167"/>
    </row>
    <row r="490" spans="1:30" ht="15.75" customHeight="1">
      <c r="A490" s="177"/>
      <c r="B490" s="239"/>
      <c r="C490" s="243" t="s">
        <v>1109</v>
      </c>
      <c r="D490" s="242">
        <f>COUNTIF($D$11:$FM$11,"Gia Lai")</f>
        <v>0</v>
      </c>
      <c r="E490" s="260"/>
      <c r="F490" s="239"/>
      <c r="G490" s="239"/>
      <c r="H490" s="239"/>
      <c r="I490" s="239"/>
      <c r="J490" s="239"/>
      <c r="K490" s="239"/>
      <c r="L490" s="239"/>
      <c r="M490" s="240"/>
      <c r="N490" s="239"/>
      <c r="O490" s="239"/>
      <c r="P490" s="239"/>
      <c r="Q490" s="239"/>
      <c r="R490" s="239"/>
      <c r="S490" s="239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167"/>
    </row>
    <row r="491" spans="1:30" ht="15.75" customHeight="1">
      <c r="A491" s="177"/>
      <c r="B491" s="239"/>
      <c r="C491" s="243" t="s">
        <v>1110</v>
      </c>
      <c r="D491" s="242">
        <f>COUNTIF($D$11:$FM$11,"Đắk Lắk")</f>
        <v>0</v>
      </c>
      <c r="E491" s="260"/>
      <c r="F491" s="239"/>
      <c r="G491" s="239"/>
      <c r="H491" s="239"/>
      <c r="I491" s="239"/>
      <c r="J491" s="239"/>
      <c r="K491" s="239"/>
      <c r="L491" s="239"/>
      <c r="M491" s="240"/>
      <c r="N491" s="239"/>
      <c r="O491" s="239"/>
      <c r="P491" s="239"/>
      <c r="Q491" s="239"/>
      <c r="R491" s="239"/>
      <c r="S491" s="239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167"/>
    </row>
    <row r="492" spans="1:30" ht="15.75" customHeight="1">
      <c r="A492" s="177"/>
      <c r="B492" s="239"/>
      <c r="C492" s="243" t="s">
        <v>1111</v>
      </c>
      <c r="D492" s="242">
        <f>COUNTIF($D$11:$FM$11,"Đắk Nông")</f>
        <v>0</v>
      </c>
      <c r="E492" s="260"/>
      <c r="F492" s="239"/>
      <c r="G492" s="239"/>
      <c r="H492" s="239"/>
      <c r="I492" s="239"/>
      <c r="J492" s="239"/>
      <c r="K492" s="239"/>
      <c r="L492" s="239"/>
      <c r="M492" s="240"/>
      <c r="N492" s="239"/>
      <c r="O492" s="239"/>
      <c r="P492" s="239"/>
      <c r="Q492" s="239"/>
      <c r="R492" s="239"/>
      <c r="S492" s="239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167"/>
    </row>
    <row r="493" spans="1:30" ht="15.75" customHeight="1">
      <c r="A493" s="177"/>
      <c r="B493" s="239"/>
      <c r="C493" s="243" t="s">
        <v>1112</v>
      </c>
      <c r="D493" s="242">
        <f>COUNTIF($D$11:$FM$11,"Lâm Đồng")</f>
        <v>0</v>
      </c>
      <c r="E493" s="260"/>
      <c r="F493" s="239"/>
      <c r="G493" s="239"/>
      <c r="H493" s="239"/>
      <c r="I493" s="239"/>
      <c r="J493" s="239"/>
      <c r="K493" s="239"/>
      <c r="L493" s="239"/>
      <c r="M493" s="240"/>
      <c r="N493" s="239"/>
      <c r="O493" s="239"/>
      <c r="P493" s="239"/>
      <c r="Q493" s="239"/>
      <c r="R493" s="239"/>
      <c r="S493" s="239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167"/>
    </row>
    <row r="494" spans="1:30" ht="15.75" customHeight="1">
      <c r="A494" s="177"/>
      <c r="B494" s="239"/>
      <c r="C494" s="243" t="s">
        <v>1113</v>
      </c>
      <c r="D494" s="242">
        <f>COUNTIF($D$11:$FM$11,"Tây Ninh")</f>
        <v>0</v>
      </c>
      <c r="E494" s="260"/>
      <c r="F494" s="239"/>
      <c r="G494" s="239"/>
      <c r="H494" s="239"/>
      <c r="I494" s="239"/>
      <c r="J494" s="239"/>
      <c r="K494" s="239"/>
      <c r="L494" s="239"/>
      <c r="M494" s="240"/>
      <c r="N494" s="239"/>
      <c r="O494" s="239"/>
      <c r="P494" s="239"/>
      <c r="Q494" s="239"/>
      <c r="R494" s="239"/>
      <c r="S494" s="239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167"/>
    </row>
    <row r="495" spans="1:30" ht="15.75" customHeight="1">
      <c r="A495" s="177"/>
      <c r="B495" s="239"/>
      <c r="C495" s="243" t="s">
        <v>1114</v>
      </c>
      <c r="D495" s="242">
        <f>COUNTIF($D$11:$FM$11,"Bình Phước")</f>
        <v>0</v>
      </c>
      <c r="E495" s="260"/>
      <c r="F495" s="239"/>
      <c r="G495" s="239"/>
      <c r="H495" s="239"/>
      <c r="I495" s="239"/>
      <c r="J495" s="239"/>
      <c r="K495" s="239"/>
      <c r="L495" s="239"/>
      <c r="M495" s="240"/>
      <c r="N495" s="239"/>
      <c r="O495" s="239"/>
      <c r="P495" s="239"/>
      <c r="Q495" s="239"/>
      <c r="R495" s="239"/>
      <c r="S495" s="239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167"/>
    </row>
    <row r="496" spans="1:30" ht="15.75" customHeight="1">
      <c r="A496" s="177"/>
      <c r="B496" s="239"/>
      <c r="C496" s="243" t="s">
        <v>1115</v>
      </c>
      <c r="D496" s="242">
        <f>COUNTIF($D$11:$FM$11,"Bình Dương")</f>
        <v>0</v>
      </c>
      <c r="E496" s="260"/>
      <c r="F496" s="239"/>
      <c r="G496" s="239"/>
      <c r="H496" s="239"/>
      <c r="I496" s="239"/>
      <c r="J496" s="239"/>
      <c r="K496" s="239"/>
      <c r="L496" s="239"/>
      <c r="M496" s="240"/>
      <c r="N496" s="239"/>
      <c r="O496" s="239"/>
      <c r="P496" s="239"/>
      <c r="Q496" s="239"/>
      <c r="R496" s="239"/>
      <c r="S496" s="239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167"/>
    </row>
    <row r="497" spans="1:30" ht="15.75" customHeight="1">
      <c r="A497" s="177"/>
      <c r="B497" s="239"/>
      <c r="C497" s="243" t="s">
        <v>1116</v>
      </c>
      <c r="D497" s="242">
        <f>COUNTIF($D$11:$FM$11,"Bà Rịa - Vũng Tàu")</f>
        <v>0</v>
      </c>
      <c r="E497" s="260"/>
      <c r="F497" s="239"/>
      <c r="G497" s="239"/>
      <c r="H497" s="239"/>
      <c r="I497" s="239"/>
      <c r="J497" s="239"/>
      <c r="K497" s="239"/>
      <c r="L497" s="239"/>
      <c r="M497" s="240"/>
      <c r="N497" s="239"/>
      <c r="O497" s="239"/>
      <c r="P497" s="239"/>
      <c r="Q497" s="239"/>
      <c r="R497" s="239"/>
      <c r="S497" s="239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167"/>
    </row>
    <row r="498" spans="1:30" ht="15.75" customHeight="1">
      <c r="A498" s="177"/>
      <c r="B498" s="239"/>
      <c r="C498" s="243" t="s">
        <v>1117</v>
      </c>
      <c r="D498" s="242">
        <f>COUNTIF($D$11:$FM$11,"Bến Tre")</f>
        <v>0</v>
      </c>
      <c r="E498" s="260"/>
      <c r="F498" s="239"/>
      <c r="G498" s="239"/>
      <c r="H498" s="239"/>
      <c r="I498" s="239"/>
      <c r="J498" s="239"/>
      <c r="K498" s="239"/>
      <c r="L498" s="239"/>
      <c r="M498" s="240"/>
      <c r="N498" s="239"/>
      <c r="O498" s="239"/>
      <c r="P498" s="239"/>
      <c r="Q498" s="239"/>
      <c r="R498" s="239"/>
      <c r="S498" s="239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167"/>
    </row>
    <row r="499" spans="1:30" ht="15.75" customHeight="1">
      <c r="A499" s="177"/>
      <c r="B499" s="239"/>
      <c r="C499" s="243" t="s">
        <v>1118</v>
      </c>
      <c r="D499" s="242">
        <f>COUNTIF($D$11:$FM$11,"An Giang")</f>
        <v>0</v>
      </c>
      <c r="E499" s="260"/>
      <c r="F499" s="239"/>
      <c r="G499" s="239"/>
      <c r="H499" s="239"/>
      <c r="I499" s="239"/>
      <c r="J499" s="239"/>
      <c r="K499" s="239"/>
      <c r="L499" s="239"/>
      <c r="M499" s="240"/>
      <c r="N499" s="239"/>
      <c r="O499" s="239"/>
      <c r="P499" s="239"/>
      <c r="Q499" s="239"/>
      <c r="R499" s="239"/>
      <c r="S499" s="239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167"/>
    </row>
    <row r="500" spans="1:30" ht="15.75" customHeight="1">
      <c r="A500" s="177"/>
      <c r="B500" s="239"/>
      <c r="C500" s="243" t="s">
        <v>1119</v>
      </c>
      <c r="D500" s="242">
        <f>COUNTIF($D$11:$FM$11,"Vĩnh Long")</f>
        <v>0</v>
      </c>
      <c r="E500" s="260"/>
      <c r="F500" s="239"/>
      <c r="G500" s="239"/>
      <c r="H500" s="239"/>
      <c r="I500" s="239"/>
      <c r="J500" s="239"/>
      <c r="K500" s="239"/>
      <c r="L500" s="239"/>
      <c r="M500" s="240"/>
      <c r="N500" s="239"/>
      <c r="O500" s="239"/>
      <c r="P500" s="239"/>
      <c r="Q500" s="239"/>
      <c r="R500" s="239"/>
      <c r="S500" s="239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167"/>
    </row>
    <row r="501" spans="1:30" ht="15.75" customHeight="1">
      <c r="A501" s="177"/>
      <c r="B501" s="239"/>
      <c r="C501" s="243" t="s">
        <v>1120</v>
      </c>
      <c r="D501" s="242">
        <f>COUNTIF($D$11:$FM$11,"Cần Thơ")</f>
        <v>0</v>
      </c>
      <c r="E501" s="260"/>
      <c r="F501" s="239"/>
      <c r="G501" s="239"/>
      <c r="H501" s="239"/>
      <c r="I501" s="239"/>
      <c r="J501" s="239"/>
      <c r="K501" s="239"/>
      <c r="L501" s="239"/>
      <c r="M501" s="240"/>
      <c r="N501" s="239"/>
      <c r="O501" s="239"/>
      <c r="P501" s="239"/>
      <c r="Q501" s="239"/>
      <c r="R501" s="239"/>
      <c r="S501" s="239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167"/>
    </row>
    <row r="502" spans="1:30" ht="15.75" customHeight="1">
      <c r="A502" s="177"/>
      <c r="B502" s="239"/>
      <c r="C502" s="243" t="s">
        <v>1121</v>
      </c>
      <c r="D502" s="242">
        <f>COUNTIF($D$11:$FM$11,"Hậu Giang")</f>
        <v>0</v>
      </c>
      <c r="E502" s="260"/>
      <c r="F502" s="239"/>
      <c r="G502" s="239"/>
      <c r="H502" s="239"/>
      <c r="I502" s="239"/>
      <c r="J502" s="239"/>
      <c r="K502" s="239"/>
      <c r="L502" s="239"/>
      <c r="M502" s="240"/>
      <c r="N502" s="239"/>
      <c r="O502" s="239"/>
      <c r="P502" s="239"/>
      <c r="Q502" s="239"/>
      <c r="R502" s="239"/>
      <c r="S502" s="239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167"/>
    </row>
    <row r="503" spans="1:30" ht="15.75" customHeight="1">
      <c r="A503" s="177"/>
      <c r="B503" s="239"/>
      <c r="C503" s="243" t="s">
        <v>1122</v>
      </c>
      <c r="D503" s="242">
        <f>COUNTIF($D$11:$FM$11,"Sóc Trăng")</f>
        <v>0</v>
      </c>
      <c r="E503" s="260"/>
      <c r="F503" s="239"/>
      <c r="G503" s="239"/>
      <c r="H503" s="239"/>
      <c r="I503" s="239"/>
      <c r="J503" s="239"/>
      <c r="K503" s="239"/>
      <c r="L503" s="239"/>
      <c r="M503" s="240"/>
      <c r="N503" s="239"/>
      <c r="O503" s="239"/>
      <c r="P503" s="239"/>
      <c r="Q503" s="239"/>
      <c r="R503" s="239"/>
      <c r="S503" s="239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167"/>
    </row>
    <row r="504" spans="1:30" ht="15.75" customHeight="1">
      <c r="A504" s="177"/>
      <c r="B504" s="239"/>
      <c r="C504" s="243" t="s">
        <v>1123</v>
      </c>
      <c r="D504" s="242">
        <f>COUNTIF($D$11:$FM$11,"Bạc Liêu")</f>
        <v>0</v>
      </c>
      <c r="E504" s="260"/>
      <c r="F504" s="239"/>
      <c r="G504" s="239"/>
      <c r="H504" s="239"/>
      <c r="I504" s="239"/>
      <c r="J504" s="239"/>
      <c r="K504" s="239"/>
      <c r="L504" s="239"/>
      <c r="M504" s="240"/>
      <c r="N504" s="239"/>
      <c r="O504" s="239"/>
      <c r="P504" s="239"/>
      <c r="Q504" s="239"/>
      <c r="R504" s="239"/>
      <c r="S504" s="239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167"/>
    </row>
    <row r="505" spans="1:30" ht="15.75" customHeight="1">
      <c r="A505" s="177"/>
      <c r="B505" s="239"/>
      <c r="C505" s="243" t="s">
        <v>1124</v>
      </c>
      <c r="D505" s="242">
        <f>COUNTIF($D$11:$FM$11,"Cà Mau")</f>
        <v>0</v>
      </c>
      <c r="E505" s="260"/>
      <c r="F505" s="239"/>
      <c r="G505" s="239"/>
      <c r="H505" s="239"/>
      <c r="I505" s="239"/>
      <c r="J505" s="239"/>
      <c r="K505" s="239"/>
      <c r="L505" s="239"/>
      <c r="M505" s="240"/>
      <c r="N505" s="239"/>
      <c r="O505" s="239"/>
      <c r="P505" s="239"/>
      <c r="Q505" s="239"/>
      <c r="R505" s="239"/>
      <c r="S505" s="239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167"/>
    </row>
    <row r="506" spans="1:30" ht="15.75" customHeight="1">
      <c r="A506" s="177"/>
      <c r="B506" s="239"/>
      <c r="C506" s="243" t="s">
        <v>1125</v>
      </c>
      <c r="D506" s="242">
        <f>COUNTIF($D$11:$FM$11,"Kiên Giang")</f>
        <v>0</v>
      </c>
      <c r="E506" s="260"/>
      <c r="F506" s="239"/>
      <c r="G506" s="239"/>
      <c r="H506" s="239"/>
      <c r="I506" s="239"/>
      <c r="J506" s="239"/>
      <c r="K506" s="239"/>
      <c r="L506" s="239"/>
      <c r="M506" s="240"/>
      <c r="N506" s="239"/>
      <c r="O506" s="239"/>
      <c r="P506" s="239"/>
      <c r="Q506" s="239"/>
      <c r="R506" s="239"/>
      <c r="S506" s="239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167"/>
    </row>
    <row r="507" spans="1:30" ht="15.75" customHeight="1">
      <c r="A507" s="177"/>
      <c r="B507" s="239"/>
      <c r="C507" s="243" t="s">
        <v>1126</v>
      </c>
      <c r="D507" s="242">
        <f>COUNTIF($D$11:$FM$11,"Đồng Tháp")</f>
        <v>0</v>
      </c>
      <c r="E507" s="260"/>
      <c r="F507" s="239"/>
      <c r="G507" s="239"/>
      <c r="H507" s="239"/>
      <c r="I507" s="239"/>
      <c r="J507" s="239"/>
      <c r="K507" s="239"/>
      <c r="L507" s="239"/>
      <c r="M507" s="240"/>
      <c r="N507" s="239"/>
      <c r="O507" s="239"/>
      <c r="P507" s="239"/>
      <c r="Q507" s="239"/>
      <c r="R507" s="239"/>
      <c r="S507" s="239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167"/>
    </row>
    <row r="508" spans="1:30" ht="15.75" customHeight="1">
      <c r="A508" s="177"/>
      <c r="B508" s="239"/>
      <c r="C508" s="243" t="s">
        <v>1127</v>
      </c>
      <c r="D508" s="242">
        <f>COUNTIF($D$11:$FM$11,"Trà Vinh")</f>
        <v>0</v>
      </c>
      <c r="E508" s="260"/>
      <c r="F508" s="239"/>
      <c r="G508" s="239"/>
      <c r="H508" s="239"/>
      <c r="I508" s="239"/>
      <c r="J508" s="239"/>
      <c r="K508" s="239"/>
      <c r="L508" s="239"/>
      <c r="M508" s="240"/>
      <c r="N508" s="239"/>
      <c r="O508" s="239"/>
      <c r="P508" s="239"/>
      <c r="Q508" s="239"/>
      <c r="R508" s="239"/>
      <c r="S508" s="239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167"/>
    </row>
    <row r="509" spans="1:30" ht="15.75" customHeight="1">
      <c r="A509" s="177"/>
      <c r="B509" s="239"/>
      <c r="C509" s="243" t="s">
        <v>1128</v>
      </c>
      <c r="D509" s="242">
        <f>COUNTIF($D$11:$FM$11,"Tiền Giang")</f>
        <v>0</v>
      </c>
      <c r="E509" s="260"/>
      <c r="F509" s="239"/>
      <c r="G509" s="239"/>
      <c r="H509" s="239"/>
      <c r="I509" s="239"/>
      <c r="J509" s="239"/>
      <c r="K509" s="239"/>
      <c r="L509" s="239"/>
      <c r="M509" s="240"/>
      <c r="N509" s="239"/>
      <c r="O509" s="239"/>
      <c r="P509" s="239"/>
      <c r="Q509" s="239"/>
      <c r="R509" s="239"/>
      <c r="S509" s="239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167"/>
    </row>
    <row r="510" spans="1:30" ht="15.75" customHeight="1">
      <c r="A510" s="177"/>
      <c r="B510" s="239"/>
      <c r="C510" s="243" t="s">
        <v>1129</v>
      </c>
      <c r="D510" s="242">
        <f>COUNTIF($D$11:$FM$11,"Long An")</f>
        <v>0</v>
      </c>
      <c r="E510" s="260"/>
      <c r="F510" s="239"/>
      <c r="G510" s="239"/>
      <c r="H510" s="239"/>
      <c r="I510" s="239"/>
      <c r="J510" s="239"/>
      <c r="K510" s="239"/>
      <c r="L510" s="239"/>
      <c r="M510" s="240"/>
      <c r="N510" s="239"/>
      <c r="O510" s="239"/>
      <c r="P510" s="239"/>
      <c r="Q510" s="239"/>
      <c r="R510" s="239"/>
      <c r="S510" s="239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167"/>
    </row>
    <row r="511" spans="1:30" ht="15.75" customHeight="1">
      <c r="A511" s="177"/>
      <c r="B511" s="239"/>
      <c r="C511" s="243" t="s">
        <v>1130</v>
      </c>
      <c r="D511" s="242">
        <f>COUNTIF($D$11:$FM$11,"Đồng Nai")</f>
        <v>0</v>
      </c>
      <c r="E511" s="260"/>
      <c r="F511" s="239"/>
      <c r="G511" s="239"/>
      <c r="H511" s="239"/>
      <c r="I511" s="239"/>
      <c r="J511" s="239"/>
      <c r="K511" s="239"/>
      <c r="L511" s="239"/>
      <c r="M511" s="240"/>
      <c r="N511" s="239"/>
      <c r="O511" s="239"/>
      <c r="P511" s="239"/>
      <c r="Q511" s="239"/>
      <c r="R511" s="239"/>
      <c r="S511" s="239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167"/>
    </row>
    <row r="512" spans="1:30" ht="15.75" customHeight="1">
      <c r="A512" s="177"/>
      <c r="B512" s="239"/>
      <c r="C512" s="243" t="s">
        <v>1131</v>
      </c>
      <c r="D512" s="242">
        <f>COUNTIF($D$11:$FM$11,"TP Hồ Chí Minh")</f>
        <v>0</v>
      </c>
      <c r="E512" s="260"/>
      <c r="F512" s="239"/>
      <c r="G512" s="239"/>
      <c r="H512" s="239"/>
      <c r="I512" s="239"/>
      <c r="J512" s="239"/>
      <c r="K512" s="239"/>
      <c r="L512" s="239"/>
      <c r="M512" s="240"/>
      <c r="N512" s="239"/>
      <c r="O512" s="239"/>
      <c r="P512" s="239"/>
      <c r="Q512" s="239"/>
      <c r="R512" s="239"/>
      <c r="S512" s="239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167"/>
    </row>
    <row r="513" spans="1:30" ht="15.75" customHeight="1">
      <c r="A513" s="177"/>
      <c r="B513" s="239"/>
      <c r="C513" s="243"/>
      <c r="D513" s="244"/>
      <c r="E513" s="260"/>
      <c r="F513" s="239"/>
      <c r="G513" s="239"/>
      <c r="H513" s="239"/>
      <c r="I513" s="239"/>
      <c r="J513" s="239"/>
      <c r="K513" s="239"/>
      <c r="L513" s="239"/>
      <c r="M513" s="240"/>
      <c r="N513" s="239"/>
      <c r="O513" s="239"/>
      <c r="P513" s="239"/>
      <c r="Q513" s="239"/>
      <c r="R513" s="239"/>
      <c r="S513" s="239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167"/>
    </row>
    <row r="514" spans="1:30" ht="15.75" customHeight="1">
      <c r="A514" s="177"/>
      <c r="B514" s="239"/>
      <c r="C514" s="243"/>
      <c r="D514" s="245">
        <f>SUM(D450:D512)</f>
        <v>0</v>
      </c>
      <c r="E514" s="260"/>
      <c r="F514" s="239"/>
      <c r="G514" s="239"/>
      <c r="H514" s="239"/>
      <c r="I514" s="239"/>
      <c r="J514" s="239"/>
      <c r="K514" s="239"/>
      <c r="L514" s="239"/>
      <c r="M514" s="240"/>
      <c r="N514" s="239"/>
      <c r="O514" s="239"/>
      <c r="P514" s="239"/>
      <c r="Q514" s="239"/>
      <c r="R514" s="239"/>
      <c r="S514" s="239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167"/>
    </row>
    <row r="515" spans="1:30" ht="15.75" customHeight="1">
      <c r="A515" s="177"/>
      <c r="B515" s="239"/>
      <c r="C515" s="260"/>
      <c r="D515" s="278"/>
      <c r="E515" s="260"/>
      <c r="F515" s="239"/>
      <c r="G515" s="239"/>
      <c r="H515" s="239"/>
      <c r="I515" s="239"/>
      <c r="J515" s="239"/>
      <c r="K515" s="239"/>
      <c r="L515" s="239"/>
      <c r="M515" s="240"/>
      <c r="N515" s="239"/>
      <c r="O515" s="239"/>
      <c r="P515" s="239"/>
      <c r="Q515" s="239"/>
      <c r="R515" s="239"/>
      <c r="S515" s="239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167"/>
    </row>
    <row r="516" spans="1:30" ht="15.75" customHeight="1">
      <c r="A516" s="177"/>
      <c r="B516" s="239"/>
      <c r="C516" s="260"/>
      <c r="D516" s="278"/>
      <c r="E516" s="260"/>
      <c r="F516" s="239"/>
      <c r="G516" s="239"/>
      <c r="H516" s="239"/>
      <c r="I516" s="239"/>
      <c r="J516" s="239"/>
      <c r="K516" s="239"/>
      <c r="L516" s="239"/>
      <c r="M516" s="240"/>
      <c r="N516" s="239"/>
      <c r="O516" s="239"/>
      <c r="P516" s="239"/>
      <c r="Q516" s="239"/>
      <c r="R516" s="239"/>
      <c r="S516" s="239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167"/>
    </row>
    <row r="517" spans="1:30" ht="15.75" customHeight="1">
      <c r="A517" s="177"/>
      <c r="B517" s="239"/>
      <c r="C517" s="260"/>
      <c r="D517" s="278"/>
      <c r="E517" s="260"/>
      <c r="F517" s="239"/>
      <c r="G517" s="239"/>
      <c r="H517" s="239"/>
      <c r="I517" s="239"/>
      <c r="J517" s="239"/>
      <c r="K517" s="239"/>
      <c r="L517" s="239"/>
      <c r="M517" s="240"/>
      <c r="N517" s="239"/>
      <c r="O517" s="239"/>
      <c r="P517" s="239"/>
      <c r="Q517" s="239"/>
      <c r="R517" s="239"/>
      <c r="S517" s="239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167"/>
    </row>
    <row r="518" spans="1:30" ht="15.75" customHeight="1">
      <c r="A518" s="177"/>
      <c r="B518" s="239"/>
      <c r="C518" s="260"/>
      <c r="D518" s="278"/>
      <c r="E518" s="260"/>
      <c r="F518" s="239"/>
      <c r="G518" s="239"/>
      <c r="H518" s="239"/>
      <c r="I518" s="239"/>
      <c r="J518" s="239"/>
      <c r="K518" s="239"/>
      <c r="L518" s="239"/>
      <c r="M518" s="240"/>
      <c r="N518" s="239"/>
      <c r="O518" s="239"/>
      <c r="P518" s="239"/>
      <c r="Q518" s="239"/>
      <c r="R518" s="239"/>
      <c r="S518" s="239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167"/>
    </row>
    <row r="519" spans="1:30" ht="15.75" customHeight="1">
      <c r="A519" s="177"/>
      <c r="B519" s="239"/>
      <c r="C519" s="260"/>
      <c r="D519" s="278"/>
      <c r="E519" s="260"/>
      <c r="F519" s="239"/>
      <c r="G519" s="239"/>
      <c r="H519" s="239"/>
      <c r="I519" s="239"/>
      <c r="J519" s="239"/>
      <c r="K519" s="239"/>
      <c r="L519" s="239"/>
      <c r="M519" s="240"/>
      <c r="N519" s="239"/>
      <c r="O519" s="239"/>
      <c r="P519" s="239"/>
      <c r="Q519" s="239"/>
      <c r="R519" s="239"/>
      <c r="S519" s="239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167"/>
    </row>
    <row r="520" spans="1:30" ht="15.75" customHeight="1">
      <c r="A520" s="177"/>
      <c r="B520" s="239"/>
      <c r="C520" s="260"/>
      <c r="D520" s="278"/>
      <c r="E520" s="260"/>
      <c r="F520" s="239"/>
      <c r="G520" s="239"/>
      <c r="H520" s="239"/>
      <c r="I520" s="239"/>
      <c r="J520" s="239"/>
      <c r="K520" s="239"/>
      <c r="L520" s="239"/>
      <c r="M520" s="240"/>
      <c r="N520" s="239"/>
      <c r="O520" s="239"/>
      <c r="P520" s="239"/>
      <c r="Q520" s="239"/>
      <c r="R520" s="239"/>
      <c r="S520" s="239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167"/>
    </row>
    <row r="521" spans="1:30" ht="15.75" customHeight="1">
      <c r="A521" s="177"/>
      <c r="B521" s="239"/>
      <c r="C521" s="260"/>
      <c r="D521" s="278"/>
      <c r="E521" s="260"/>
      <c r="F521" s="239"/>
      <c r="G521" s="239"/>
      <c r="H521" s="239"/>
      <c r="I521" s="239"/>
      <c r="J521" s="239"/>
      <c r="K521" s="239"/>
      <c r="L521" s="239"/>
      <c r="M521" s="240"/>
      <c r="N521" s="239"/>
      <c r="O521" s="239"/>
      <c r="P521" s="239"/>
      <c r="Q521" s="239"/>
      <c r="R521" s="239"/>
      <c r="S521" s="239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167"/>
    </row>
    <row r="522" spans="1:30" ht="15.75" customHeight="1">
      <c r="A522" s="177"/>
      <c r="B522" s="239"/>
      <c r="C522" s="260"/>
      <c r="D522" s="278"/>
      <c r="E522" s="260"/>
      <c r="F522" s="239"/>
      <c r="G522" s="239"/>
      <c r="H522" s="239"/>
      <c r="I522" s="239"/>
      <c r="J522" s="239"/>
      <c r="K522" s="239"/>
      <c r="L522" s="239"/>
      <c r="M522" s="240"/>
      <c r="N522" s="239"/>
      <c r="O522" s="239"/>
      <c r="P522" s="239"/>
      <c r="Q522" s="239"/>
      <c r="R522" s="239"/>
      <c r="S522" s="239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167"/>
    </row>
    <row r="523" spans="1:30" ht="15.75" customHeight="1">
      <c r="A523" s="177"/>
      <c r="B523" s="239"/>
      <c r="C523" s="260"/>
      <c r="D523" s="278"/>
      <c r="E523" s="260"/>
      <c r="F523" s="239"/>
      <c r="G523" s="239"/>
      <c r="H523" s="239"/>
      <c r="I523" s="239"/>
      <c r="J523" s="239"/>
      <c r="K523" s="239"/>
      <c r="L523" s="239"/>
      <c r="M523" s="240"/>
      <c r="N523" s="239"/>
      <c r="O523" s="239"/>
      <c r="P523" s="239"/>
      <c r="Q523" s="239"/>
      <c r="R523" s="239"/>
      <c r="S523" s="239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167"/>
    </row>
    <row r="524" spans="1:30" ht="15.75" customHeight="1">
      <c r="A524" s="177"/>
      <c r="B524" s="239"/>
      <c r="C524" s="260"/>
      <c r="D524" s="278"/>
      <c r="E524" s="260"/>
      <c r="F524" s="239"/>
      <c r="G524" s="239"/>
      <c r="H524" s="239"/>
      <c r="I524" s="239"/>
      <c r="J524" s="239"/>
      <c r="K524" s="239"/>
      <c r="L524" s="239"/>
      <c r="M524" s="240"/>
      <c r="N524" s="239"/>
      <c r="O524" s="239"/>
      <c r="P524" s="239"/>
      <c r="Q524" s="239"/>
      <c r="R524" s="239"/>
      <c r="S524" s="239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167"/>
    </row>
    <row r="525" spans="1:30" ht="15.75" customHeight="1">
      <c r="A525" s="177"/>
      <c r="B525" s="239"/>
      <c r="C525" s="260"/>
      <c r="D525" s="278"/>
      <c r="E525" s="260"/>
      <c r="F525" s="239"/>
      <c r="G525" s="239"/>
      <c r="H525" s="239"/>
      <c r="I525" s="239"/>
      <c r="J525" s="239"/>
      <c r="K525" s="239"/>
      <c r="L525" s="239"/>
      <c r="M525" s="240"/>
      <c r="N525" s="239"/>
      <c r="O525" s="239"/>
      <c r="P525" s="239"/>
      <c r="Q525" s="239"/>
      <c r="R525" s="239"/>
      <c r="S525" s="239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167"/>
    </row>
    <row r="526" spans="1:30" ht="15.75" customHeight="1">
      <c r="A526" s="177"/>
      <c r="B526" s="239"/>
      <c r="C526" s="260"/>
      <c r="D526" s="278"/>
      <c r="E526" s="260"/>
      <c r="F526" s="239"/>
      <c r="G526" s="239"/>
      <c r="H526" s="239"/>
      <c r="I526" s="239"/>
      <c r="J526" s="239"/>
      <c r="K526" s="239"/>
      <c r="L526" s="239"/>
      <c r="M526" s="240"/>
      <c r="N526" s="239"/>
      <c r="O526" s="239"/>
      <c r="P526" s="239"/>
      <c r="Q526" s="239"/>
      <c r="R526" s="239"/>
      <c r="S526" s="239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167"/>
    </row>
    <row r="527" spans="1:30" ht="15.75" customHeight="1">
      <c r="A527" s="177"/>
      <c r="B527" s="239"/>
      <c r="C527" s="260"/>
      <c r="D527" s="278"/>
      <c r="E527" s="260"/>
      <c r="F527" s="239"/>
      <c r="G527" s="239"/>
      <c r="H527" s="239"/>
      <c r="I527" s="239"/>
      <c r="J527" s="239"/>
      <c r="K527" s="239"/>
      <c r="L527" s="239"/>
      <c r="M527" s="240"/>
      <c r="N527" s="239"/>
      <c r="O527" s="239"/>
      <c r="P527" s="239"/>
      <c r="Q527" s="239"/>
      <c r="R527" s="239"/>
      <c r="S527" s="239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167"/>
    </row>
    <row r="528" spans="1:30" ht="15.75" customHeight="1">
      <c r="A528" s="177"/>
      <c r="B528" s="239"/>
      <c r="C528" s="260"/>
      <c r="D528" s="278"/>
      <c r="E528" s="260"/>
      <c r="F528" s="239"/>
      <c r="G528" s="239"/>
      <c r="H528" s="239"/>
      <c r="I528" s="239"/>
      <c r="J528" s="239"/>
      <c r="K528" s="239"/>
      <c r="L528" s="239"/>
      <c r="M528" s="240"/>
      <c r="N528" s="239"/>
      <c r="O528" s="239"/>
      <c r="P528" s="239"/>
      <c r="Q528" s="239"/>
      <c r="R528" s="239"/>
      <c r="S528" s="239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167"/>
    </row>
    <row r="529" spans="1:30" ht="15.75" customHeight="1">
      <c r="A529" s="177"/>
      <c r="B529" s="239"/>
      <c r="C529" s="260"/>
      <c r="D529" s="278"/>
      <c r="E529" s="260"/>
      <c r="F529" s="239"/>
      <c r="G529" s="239"/>
      <c r="H529" s="239"/>
      <c r="I529" s="239"/>
      <c r="J529" s="239"/>
      <c r="K529" s="239"/>
      <c r="L529" s="239"/>
      <c r="M529" s="240"/>
      <c r="N529" s="239"/>
      <c r="O529" s="239"/>
      <c r="P529" s="239"/>
      <c r="Q529" s="239"/>
      <c r="R529" s="239"/>
      <c r="S529" s="239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167"/>
    </row>
    <row r="530" spans="1:30" ht="15.75" customHeight="1">
      <c r="A530" s="177"/>
      <c r="B530" s="239"/>
      <c r="C530" s="260"/>
      <c r="D530" s="278"/>
      <c r="E530" s="260"/>
      <c r="F530" s="239"/>
      <c r="G530" s="239"/>
      <c r="H530" s="239"/>
      <c r="I530" s="239"/>
      <c r="J530" s="239"/>
      <c r="K530" s="239"/>
      <c r="L530" s="239"/>
      <c r="M530" s="240"/>
      <c r="N530" s="239"/>
      <c r="O530" s="239"/>
      <c r="P530" s="239"/>
      <c r="Q530" s="239"/>
      <c r="R530" s="239"/>
      <c r="S530" s="239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167"/>
    </row>
    <row r="531" spans="1:30" ht="15.75" customHeight="1">
      <c r="A531" s="177"/>
      <c r="B531" s="239"/>
      <c r="C531" s="260"/>
      <c r="D531" s="278"/>
      <c r="E531" s="260"/>
      <c r="F531" s="239"/>
      <c r="G531" s="239"/>
      <c r="H531" s="239"/>
      <c r="I531" s="239"/>
      <c r="J531" s="239"/>
      <c r="K531" s="239"/>
      <c r="L531" s="239"/>
      <c r="M531" s="240"/>
      <c r="N531" s="239"/>
      <c r="O531" s="239"/>
      <c r="P531" s="239"/>
      <c r="Q531" s="239"/>
      <c r="R531" s="239"/>
      <c r="S531" s="239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167"/>
    </row>
    <row r="532" spans="1:30" ht="15.75" customHeight="1">
      <c r="A532" s="177"/>
      <c r="B532" s="239"/>
      <c r="C532" s="260"/>
      <c r="D532" s="278"/>
      <c r="E532" s="260"/>
      <c r="F532" s="239"/>
      <c r="G532" s="239"/>
      <c r="H532" s="239"/>
      <c r="I532" s="239"/>
      <c r="J532" s="239"/>
      <c r="K532" s="239"/>
      <c r="L532" s="239"/>
      <c r="M532" s="240"/>
      <c r="N532" s="239"/>
      <c r="O532" s="239"/>
      <c r="P532" s="239"/>
      <c r="Q532" s="239"/>
      <c r="R532" s="239"/>
      <c r="S532" s="239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167"/>
    </row>
    <row r="533" spans="1:30" ht="15.75" customHeight="1">
      <c r="A533" s="177"/>
      <c r="B533" s="239"/>
      <c r="C533" s="260"/>
      <c r="D533" s="278"/>
      <c r="E533" s="260"/>
      <c r="F533" s="239"/>
      <c r="G533" s="239"/>
      <c r="H533" s="239"/>
      <c r="I533" s="239"/>
      <c r="J533" s="239"/>
      <c r="K533" s="239"/>
      <c r="L533" s="239"/>
      <c r="M533" s="240"/>
      <c r="N533" s="239"/>
      <c r="O533" s="239"/>
      <c r="P533" s="239"/>
      <c r="Q533" s="239"/>
      <c r="R533" s="239"/>
      <c r="S533" s="239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167"/>
    </row>
    <row r="534" spans="1:30" ht="15.75" customHeight="1">
      <c r="A534" s="177"/>
      <c r="B534" s="239"/>
      <c r="C534" s="260"/>
      <c r="D534" s="278"/>
      <c r="E534" s="260"/>
      <c r="F534" s="239"/>
      <c r="G534" s="239"/>
      <c r="H534" s="239"/>
      <c r="I534" s="239"/>
      <c r="J534" s="239"/>
      <c r="K534" s="239"/>
      <c r="L534" s="239"/>
      <c r="M534" s="240"/>
      <c r="N534" s="239"/>
      <c r="O534" s="239"/>
      <c r="P534" s="239"/>
      <c r="Q534" s="239"/>
      <c r="R534" s="239"/>
      <c r="S534" s="239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167"/>
    </row>
    <row r="535" spans="1:30" ht="15.75" customHeight="1">
      <c r="A535" s="177"/>
      <c r="B535" s="239"/>
      <c r="C535" s="260"/>
      <c r="D535" s="278"/>
      <c r="E535" s="260"/>
      <c r="F535" s="239"/>
      <c r="G535" s="239"/>
      <c r="H535" s="239"/>
      <c r="I535" s="239"/>
      <c r="J535" s="239"/>
      <c r="K535" s="239"/>
      <c r="L535" s="239"/>
      <c r="M535" s="240"/>
      <c r="N535" s="239"/>
      <c r="O535" s="239"/>
      <c r="P535" s="239"/>
      <c r="Q535" s="239"/>
      <c r="R535" s="239"/>
      <c r="S535" s="239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167"/>
    </row>
    <row r="536" spans="1:30" ht="15.75" customHeight="1">
      <c r="A536" s="177"/>
      <c r="B536" s="239"/>
      <c r="C536" s="260"/>
      <c r="D536" s="278"/>
      <c r="E536" s="260"/>
      <c r="F536" s="239"/>
      <c r="G536" s="239"/>
      <c r="H536" s="239"/>
      <c r="I536" s="239"/>
      <c r="J536" s="239"/>
      <c r="K536" s="239"/>
      <c r="L536" s="239"/>
      <c r="M536" s="240"/>
      <c r="N536" s="239"/>
      <c r="O536" s="239"/>
      <c r="P536" s="239"/>
      <c r="Q536" s="239"/>
      <c r="R536" s="239"/>
      <c r="S536" s="239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167"/>
    </row>
    <row r="537" spans="1:30" ht="15.75" customHeight="1">
      <c r="A537" s="177"/>
      <c r="B537" s="239"/>
      <c r="C537" s="260"/>
      <c r="D537" s="278"/>
      <c r="E537" s="260"/>
      <c r="F537" s="239"/>
      <c r="G537" s="239"/>
      <c r="H537" s="239"/>
      <c r="I537" s="239"/>
      <c r="J537" s="239"/>
      <c r="K537" s="239"/>
      <c r="L537" s="239"/>
      <c r="M537" s="240"/>
      <c r="N537" s="239"/>
      <c r="O537" s="239"/>
      <c r="P537" s="239"/>
      <c r="Q537" s="239"/>
      <c r="R537" s="239"/>
      <c r="S537" s="239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167"/>
    </row>
    <row r="538" spans="1:30" ht="15.75" customHeight="1">
      <c r="A538" s="177"/>
      <c r="B538" s="239"/>
      <c r="C538" s="260"/>
      <c r="D538" s="278"/>
      <c r="E538" s="260"/>
      <c r="F538" s="239"/>
      <c r="G538" s="239"/>
      <c r="H538" s="239"/>
      <c r="I538" s="239"/>
      <c r="J538" s="239"/>
      <c r="K538" s="239"/>
      <c r="L538" s="239"/>
      <c r="M538" s="240"/>
      <c r="N538" s="239"/>
      <c r="O538" s="239"/>
      <c r="P538" s="239"/>
      <c r="Q538" s="239"/>
      <c r="R538" s="239"/>
      <c r="S538" s="239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167"/>
    </row>
    <row r="539" spans="1:30" ht="15.75" customHeight="1">
      <c r="A539" s="177"/>
      <c r="B539" s="239"/>
      <c r="C539" s="260"/>
      <c r="D539" s="278"/>
      <c r="E539" s="260"/>
      <c r="F539" s="239"/>
      <c r="G539" s="239"/>
      <c r="H539" s="239"/>
      <c r="I539" s="239"/>
      <c r="J539" s="239"/>
      <c r="K539" s="239"/>
      <c r="L539" s="239"/>
      <c r="M539" s="240"/>
      <c r="N539" s="239"/>
      <c r="O539" s="239"/>
      <c r="P539" s="239"/>
      <c r="Q539" s="239"/>
      <c r="R539" s="239"/>
      <c r="S539" s="239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167"/>
    </row>
    <row r="540" spans="1:30" ht="15.75" customHeight="1">
      <c r="A540" s="177"/>
      <c r="B540" s="239"/>
      <c r="C540" s="260"/>
      <c r="D540" s="278"/>
      <c r="E540" s="260"/>
      <c r="F540" s="239"/>
      <c r="G540" s="239"/>
      <c r="H540" s="239"/>
      <c r="I540" s="239"/>
      <c r="J540" s="239"/>
      <c r="K540" s="239"/>
      <c r="L540" s="239"/>
      <c r="M540" s="240"/>
      <c r="N540" s="239"/>
      <c r="O540" s="239"/>
      <c r="P540" s="239"/>
      <c r="Q540" s="239"/>
      <c r="R540" s="239"/>
      <c r="S540" s="239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167"/>
    </row>
    <row r="541" spans="1:30" ht="15.75" customHeight="1">
      <c r="A541" s="177"/>
      <c r="B541" s="239"/>
      <c r="C541" s="260"/>
      <c r="D541" s="278"/>
      <c r="E541" s="260"/>
      <c r="F541" s="239"/>
      <c r="G541" s="239"/>
      <c r="H541" s="239"/>
      <c r="I541" s="239"/>
      <c r="J541" s="239"/>
      <c r="K541" s="239"/>
      <c r="L541" s="239"/>
      <c r="M541" s="240"/>
      <c r="N541" s="239"/>
      <c r="O541" s="239"/>
      <c r="P541" s="239"/>
      <c r="Q541" s="239"/>
      <c r="R541" s="239"/>
      <c r="S541" s="239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167"/>
    </row>
    <row r="542" spans="1:30" ht="15.75" customHeight="1">
      <c r="A542" s="177"/>
      <c r="B542" s="239"/>
      <c r="C542" s="260"/>
      <c r="D542" s="278"/>
      <c r="E542" s="260"/>
      <c r="F542" s="239"/>
      <c r="G542" s="239"/>
      <c r="H542" s="239"/>
      <c r="I542" s="239"/>
      <c r="J542" s="239"/>
      <c r="K542" s="239"/>
      <c r="L542" s="239"/>
      <c r="M542" s="240"/>
      <c r="N542" s="239"/>
      <c r="O542" s="239"/>
      <c r="P542" s="239"/>
      <c r="Q542" s="239"/>
      <c r="R542" s="239"/>
      <c r="S542" s="239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167"/>
    </row>
    <row r="543" spans="1:30" ht="15.75" customHeight="1">
      <c r="A543" s="177"/>
      <c r="B543" s="239"/>
      <c r="C543" s="260"/>
      <c r="D543" s="278"/>
      <c r="E543" s="260"/>
      <c r="F543" s="239"/>
      <c r="G543" s="239"/>
      <c r="H543" s="239"/>
      <c r="I543" s="239"/>
      <c r="J543" s="239"/>
      <c r="K543" s="239"/>
      <c r="L543" s="239"/>
      <c r="M543" s="240"/>
      <c r="N543" s="239"/>
      <c r="O543" s="239"/>
      <c r="P543" s="239"/>
      <c r="Q543" s="239"/>
      <c r="R543" s="239"/>
      <c r="S543" s="239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167"/>
    </row>
    <row r="544" spans="1:30" ht="15.75" customHeight="1">
      <c r="A544" s="177"/>
      <c r="B544" s="239"/>
      <c r="C544" s="260"/>
      <c r="D544" s="278"/>
      <c r="E544" s="260"/>
      <c r="F544" s="239"/>
      <c r="G544" s="239"/>
      <c r="H544" s="239"/>
      <c r="I544" s="239"/>
      <c r="J544" s="239"/>
      <c r="K544" s="239"/>
      <c r="L544" s="239"/>
      <c r="M544" s="240"/>
      <c r="N544" s="239"/>
      <c r="O544" s="239"/>
      <c r="P544" s="239"/>
      <c r="Q544" s="239"/>
      <c r="R544" s="239"/>
      <c r="S544" s="239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167"/>
    </row>
    <row r="545" spans="1:30" ht="15.75" customHeight="1">
      <c r="A545" s="177"/>
      <c r="B545" s="239"/>
      <c r="C545" s="260"/>
      <c r="D545" s="278"/>
      <c r="E545" s="260"/>
      <c r="F545" s="239"/>
      <c r="G545" s="239"/>
      <c r="H545" s="239"/>
      <c r="I545" s="239"/>
      <c r="J545" s="239"/>
      <c r="K545" s="239"/>
      <c r="L545" s="239"/>
      <c r="M545" s="240"/>
      <c r="N545" s="239"/>
      <c r="O545" s="239"/>
      <c r="P545" s="239"/>
      <c r="Q545" s="239"/>
      <c r="R545" s="239"/>
      <c r="S545" s="239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167"/>
    </row>
    <row r="546" spans="1:30" ht="15.75" customHeight="1">
      <c r="A546" s="177"/>
      <c r="B546" s="239"/>
      <c r="C546" s="260"/>
      <c r="D546" s="278"/>
      <c r="E546" s="260"/>
      <c r="F546" s="239"/>
      <c r="G546" s="239"/>
      <c r="H546" s="239"/>
      <c r="I546" s="239"/>
      <c r="J546" s="239"/>
      <c r="K546" s="239"/>
      <c r="L546" s="239"/>
      <c r="M546" s="240"/>
      <c r="N546" s="239"/>
      <c r="O546" s="239"/>
      <c r="P546" s="239"/>
      <c r="Q546" s="239"/>
      <c r="R546" s="239"/>
      <c r="S546" s="239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167"/>
    </row>
    <row r="547" spans="1:30" ht="15.75" customHeight="1">
      <c r="A547" s="177"/>
      <c r="B547" s="239"/>
      <c r="C547" s="260"/>
      <c r="D547" s="278"/>
      <c r="E547" s="260"/>
      <c r="F547" s="239"/>
      <c r="G547" s="239"/>
      <c r="H547" s="239"/>
      <c r="I547" s="239"/>
      <c r="J547" s="239"/>
      <c r="K547" s="239"/>
      <c r="L547" s="239"/>
      <c r="M547" s="240"/>
      <c r="N547" s="239"/>
      <c r="O547" s="239"/>
      <c r="P547" s="239"/>
      <c r="Q547" s="239"/>
      <c r="R547" s="239"/>
      <c r="S547" s="239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167"/>
    </row>
    <row r="548" spans="1:30" ht="15.75" customHeight="1">
      <c r="A548" s="177"/>
      <c r="B548" s="239"/>
      <c r="C548" s="260"/>
      <c r="D548" s="278"/>
      <c r="E548" s="260"/>
      <c r="F548" s="239"/>
      <c r="G548" s="239"/>
      <c r="H548" s="239"/>
      <c r="I548" s="239"/>
      <c r="J548" s="239"/>
      <c r="K548" s="239"/>
      <c r="L548" s="239"/>
      <c r="M548" s="240"/>
      <c r="N548" s="239"/>
      <c r="O548" s="239"/>
      <c r="P548" s="239"/>
      <c r="Q548" s="239"/>
      <c r="R548" s="239"/>
      <c r="S548" s="239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167"/>
    </row>
    <row r="549" spans="1:30" ht="15.75" customHeight="1">
      <c r="A549" s="177"/>
      <c r="B549" s="239"/>
      <c r="C549" s="260"/>
      <c r="D549" s="278"/>
      <c r="E549" s="260"/>
      <c r="F549" s="239"/>
      <c r="G549" s="239"/>
      <c r="H549" s="239"/>
      <c r="I549" s="239"/>
      <c r="J549" s="239"/>
      <c r="K549" s="239"/>
      <c r="L549" s="239"/>
      <c r="M549" s="240"/>
      <c r="N549" s="239"/>
      <c r="O549" s="239"/>
      <c r="P549" s="239"/>
      <c r="Q549" s="239"/>
      <c r="R549" s="239"/>
      <c r="S549" s="239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167"/>
    </row>
    <row r="550" spans="1:30" ht="15.75" customHeight="1">
      <c r="A550" s="177"/>
      <c r="B550" s="239"/>
      <c r="C550" s="260"/>
      <c r="D550" s="278"/>
      <c r="E550" s="260"/>
      <c r="F550" s="239"/>
      <c r="G550" s="239"/>
      <c r="H550" s="239"/>
      <c r="I550" s="239"/>
      <c r="J550" s="239"/>
      <c r="K550" s="239"/>
      <c r="L550" s="239"/>
      <c r="M550" s="240"/>
      <c r="N550" s="239"/>
      <c r="O550" s="239"/>
      <c r="P550" s="239"/>
      <c r="Q550" s="239"/>
      <c r="R550" s="239"/>
      <c r="S550" s="239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167"/>
    </row>
    <row r="551" spans="1:30" ht="15.75" customHeight="1">
      <c r="A551" s="177"/>
      <c r="B551" s="239"/>
      <c r="C551" s="260"/>
      <c r="D551" s="278"/>
      <c r="E551" s="260"/>
      <c r="F551" s="239"/>
      <c r="G551" s="239"/>
      <c r="H551" s="239"/>
      <c r="I551" s="239"/>
      <c r="J551" s="239"/>
      <c r="K551" s="239"/>
      <c r="L551" s="239"/>
      <c r="M551" s="240"/>
      <c r="N551" s="239"/>
      <c r="O551" s="239"/>
      <c r="P551" s="239"/>
      <c r="Q551" s="239"/>
      <c r="R551" s="239"/>
      <c r="S551" s="239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167"/>
    </row>
    <row r="552" spans="1:30" ht="15.75" customHeight="1">
      <c r="A552" s="177"/>
      <c r="B552" s="239"/>
      <c r="C552" s="260"/>
      <c r="D552" s="278"/>
      <c r="E552" s="260"/>
      <c r="F552" s="239"/>
      <c r="G552" s="239"/>
      <c r="H552" s="239"/>
      <c r="I552" s="239"/>
      <c r="J552" s="239"/>
      <c r="K552" s="239"/>
      <c r="L552" s="239"/>
      <c r="M552" s="240"/>
      <c r="N552" s="239"/>
      <c r="O552" s="239"/>
      <c r="P552" s="239"/>
      <c r="Q552" s="239"/>
      <c r="R552" s="239"/>
      <c r="S552" s="239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167"/>
    </row>
    <row r="553" spans="1:30" ht="15.75" customHeight="1">
      <c r="A553" s="177"/>
      <c r="B553" s="239"/>
      <c r="C553" s="260"/>
      <c r="D553" s="278"/>
      <c r="E553" s="260"/>
      <c r="F553" s="239"/>
      <c r="G553" s="239"/>
      <c r="H553" s="239"/>
      <c r="I553" s="239"/>
      <c r="J553" s="239"/>
      <c r="K553" s="239"/>
      <c r="L553" s="239"/>
      <c r="M553" s="240"/>
      <c r="N553" s="239"/>
      <c r="O553" s="239"/>
      <c r="P553" s="239"/>
      <c r="Q553" s="239"/>
      <c r="R553" s="239"/>
      <c r="S553" s="239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167"/>
    </row>
    <row r="554" spans="1:30" ht="15.75" customHeight="1">
      <c r="A554" s="177"/>
      <c r="B554" s="239"/>
      <c r="C554" s="260"/>
      <c r="D554" s="278"/>
      <c r="E554" s="260"/>
      <c r="F554" s="239"/>
      <c r="G554" s="239"/>
      <c r="H554" s="239"/>
      <c r="I554" s="239"/>
      <c r="J554" s="239"/>
      <c r="K554" s="239"/>
      <c r="L554" s="239"/>
      <c r="M554" s="240"/>
      <c r="N554" s="239"/>
      <c r="O554" s="239"/>
      <c r="P554" s="239"/>
      <c r="Q554" s="239"/>
      <c r="R554" s="239"/>
      <c r="S554" s="239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167"/>
    </row>
    <row r="555" spans="1:30" ht="15.75" customHeight="1">
      <c r="A555" s="177"/>
      <c r="B555" s="239"/>
      <c r="C555" s="260"/>
      <c r="D555" s="278"/>
      <c r="E555" s="260"/>
      <c r="F555" s="239"/>
      <c r="G555" s="239"/>
      <c r="H555" s="239"/>
      <c r="I555" s="239"/>
      <c r="J555" s="239"/>
      <c r="K555" s="239"/>
      <c r="L555" s="239"/>
      <c r="M555" s="240"/>
      <c r="N555" s="239"/>
      <c r="O555" s="239"/>
      <c r="P555" s="239"/>
      <c r="Q555" s="239"/>
      <c r="R555" s="239"/>
      <c r="S555" s="239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167"/>
    </row>
    <row r="556" spans="1:30" ht="15.75" customHeight="1">
      <c r="A556" s="177"/>
      <c r="B556" s="239"/>
      <c r="C556" s="260"/>
      <c r="D556" s="278"/>
      <c r="E556" s="260"/>
      <c r="F556" s="239"/>
      <c r="G556" s="239"/>
      <c r="H556" s="239"/>
      <c r="I556" s="239"/>
      <c r="J556" s="239"/>
      <c r="K556" s="239"/>
      <c r="L556" s="239"/>
      <c r="M556" s="240"/>
      <c r="N556" s="239"/>
      <c r="O556" s="239"/>
      <c r="P556" s="239"/>
      <c r="Q556" s="239"/>
      <c r="R556" s="239"/>
      <c r="S556" s="239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167"/>
    </row>
    <row r="557" spans="1:30" ht="15.75" customHeight="1">
      <c r="A557" s="177"/>
      <c r="B557" s="239"/>
      <c r="C557" s="260"/>
      <c r="D557" s="278"/>
      <c r="E557" s="260"/>
      <c r="F557" s="239"/>
      <c r="G557" s="239"/>
      <c r="H557" s="239"/>
      <c r="I557" s="239"/>
      <c r="J557" s="239"/>
      <c r="K557" s="239"/>
      <c r="L557" s="239"/>
      <c r="M557" s="240"/>
      <c r="N557" s="239"/>
      <c r="O557" s="239"/>
      <c r="P557" s="239"/>
      <c r="Q557" s="239"/>
      <c r="R557" s="239"/>
      <c r="S557" s="239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167"/>
    </row>
    <row r="558" spans="1:30" ht="15.75" customHeight="1">
      <c r="A558" s="177"/>
      <c r="B558" s="239"/>
      <c r="C558" s="260"/>
      <c r="D558" s="278"/>
      <c r="E558" s="260"/>
      <c r="F558" s="239"/>
      <c r="G558" s="239"/>
      <c r="H558" s="239"/>
      <c r="I558" s="239"/>
      <c r="J558" s="239"/>
      <c r="K558" s="239"/>
      <c r="L558" s="239"/>
      <c r="M558" s="240"/>
      <c r="N558" s="239"/>
      <c r="O558" s="239"/>
      <c r="P558" s="239"/>
      <c r="Q558" s="239"/>
      <c r="R558" s="239"/>
      <c r="S558" s="239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167"/>
    </row>
    <row r="559" spans="1:30" ht="15.75" customHeight="1">
      <c r="A559" s="177"/>
      <c r="B559" s="239"/>
      <c r="C559" s="260"/>
      <c r="D559" s="278"/>
      <c r="E559" s="260"/>
      <c r="F559" s="239"/>
      <c r="G559" s="239"/>
      <c r="H559" s="239"/>
      <c r="I559" s="239"/>
      <c r="J559" s="239"/>
      <c r="K559" s="239"/>
      <c r="L559" s="239"/>
      <c r="M559" s="240"/>
      <c r="N559" s="239"/>
      <c r="O559" s="239"/>
      <c r="P559" s="239"/>
      <c r="Q559" s="239"/>
      <c r="R559" s="239"/>
      <c r="S559" s="239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167"/>
    </row>
    <row r="560" spans="1:30" ht="15.75" customHeight="1">
      <c r="A560" s="177"/>
      <c r="B560" s="239"/>
      <c r="C560" s="260"/>
      <c r="D560" s="278"/>
      <c r="E560" s="260"/>
      <c r="F560" s="239"/>
      <c r="G560" s="239"/>
      <c r="H560" s="239"/>
      <c r="I560" s="239"/>
      <c r="J560" s="239"/>
      <c r="K560" s="239"/>
      <c r="L560" s="239"/>
      <c r="M560" s="240"/>
      <c r="N560" s="239"/>
      <c r="O560" s="239"/>
      <c r="P560" s="239"/>
      <c r="Q560" s="239"/>
      <c r="R560" s="239"/>
      <c r="S560" s="239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167"/>
    </row>
    <row r="561" spans="1:30" ht="15.75" customHeight="1">
      <c r="A561" s="177"/>
      <c r="B561" s="239"/>
      <c r="C561" s="260"/>
      <c r="D561" s="278"/>
      <c r="E561" s="260"/>
      <c r="F561" s="239"/>
      <c r="G561" s="239"/>
      <c r="H561" s="239"/>
      <c r="I561" s="239"/>
      <c r="J561" s="239"/>
      <c r="K561" s="239"/>
      <c r="L561" s="239"/>
      <c r="M561" s="240"/>
      <c r="N561" s="239"/>
      <c r="O561" s="239"/>
      <c r="P561" s="239"/>
      <c r="Q561" s="239"/>
      <c r="R561" s="239"/>
      <c r="S561" s="239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167"/>
    </row>
    <row r="562" spans="1:30" ht="15.75" customHeight="1">
      <c r="A562" s="177"/>
      <c r="B562" s="239"/>
      <c r="C562" s="260"/>
      <c r="D562" s="278"/>
      <c r="E562" s="260"/>
      <c r="F562" s="239"/>
      <c r="G562" s="239"/>
      <c r="H562" s="239"/>
      <c r="I562" s="239"/>
      <c r="J562" s="239"/>
      <c r="K562" s="239"/>
      <c r="L562" s="239"/>
      <c r="M562" s="240"/>
      <c r="N562" s="239"/>
      <c r="O562" s="239"/>
      <c r="P562" s="239"/>
      <c r="Q562" s="239"/>
      <c r="R562" s="239"/>
      <c r="S562" s="239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167"/>
    </row>
    <row r="563" spans="1:30" ht="15.75" customHeight="1">
      <c r="A563" s="177"/>
      <c r="B563" s="239"/>
      <c r="C563" s="260"/>
      <c r="D563" s="278"/>
      <c r="E563" s="260"/>
      <c r="F563" s="239"/>
      <c r="G563" s="239"/>
      <c r="H563" s="239"/>
      <c r="I563" s="239"/>
      <c r="J563" s="239"/>
      <c r="K563" s="239"/>
      <c r="L563" s="239"/>
      <c r="M563" s="240"/>
      <c r="N563" s="239"/>
      <c r="O563" s="239"/>
      <c r="P563" s="239"/>
      <c r="Q563" s="239"/>
      <c r="R563" s="239"/>
      <c r="S563" s="239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167"/>
    </row>
    <row r="564" spans="1:30" ht="15.75" customHeight="1">
      <c r="A564" s="177"/>
      <c r="B564" s="239"/>
      <c r="C564" s="260"/>
      <c r="D564" s="278"/>
      <c r="E564" s="260"/>
      <c r="F564" s="239"/>
      <c r="G564" s="239"/>
      <c r="H564" s="239"/>
      <c r="I564" s="239"/>
      <c r="J564" s="239"/>
      <c r="K564" s="239"/>
      <c r="L564" s="239"/>
      <c r="M564" s="240"/>
      <c r="N564" s="239"/>
      <c r="O564" s="239"/>
      <c r="P564" s="239"/>
      <c r="Q564" s="239"/>
      <c r="R564" s="239"/>
      <c r="S564" s="239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167"/>
    </row>
    <row r="565" spans="1:30" ht="15.75" customHeight="1">
      <c r="A565" s="177"/>
      <c r="B565" s="239"/>
      <c r="C565" s="260"/>
      <c r="D565" s="278"/>
      <c r="E565" s="260"/>
      <c r="F565" s="239"/>
      <c r="G565" s="239"/>
      <c r="H565" s="239"/>
      <c r="I565" s="239"/>
      <c r="J565" s="239"/>
      <c r="K565" s="239"/>
      <c r="L565" s="239"/>
      <c r="M565" s="240"/>
      <c r="N565" s="239"/>
      <c r="O565" s="239"/>
      <c r="P565" s="239"/>
      <c r="Q565" s="239"/>
      <c r="R565" s="239"/>
      <c r="S565" s="239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167"/>
    </row>
    <row r="566" spans="1:30" ht="15.75" customHeight="1">
      <c r="A566" s="177"/>
      <c r="B566" s="239"/>
      <c r="C566" s="260"/>
      <c r="D566" s="278"/>
      <c r="E566" s="260"/>
      <c r="F566" s="239"/>
      <c r="G566" s="239"/>
      <c r="H566" s="239"/>
      <c r="I566" s="239"/>
      <c r="J566" s="239"/>
      <c r="K566" s="239"/>
      <c r="L566" s="239"/>
      <c r="M566" s="240"/>
      <c r="N566" s="239"/>
      <c r="O566" s="239"/>
      <c r="P566" s="239"/>
      <c r="Q566" s="239"/>
      <c r="R566" s="239"/>
      <c r="S566" s="239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167"/>
    </row>
    <row r="567" spans="1:30" ht="15.75" customHeight="1">
      <c r="A567" s="177"/>
      <c r="B567" s="239"/>
      <c r="C567" s="260"/>
      <c r="D567" s="278"/>
      <c r="E567" s="260"/>
      <c r="F567" s="239"/>
      <c r="G567" s="239"/>
      <c r="H567" s="239"/>
      <c r="I567" s="239"/>
      <c r="J567" s="239"/>
      <c r="K567" s="239"/>
      <c r="L567" s="239"/>
      <c r="M567" s="240"/>
      <c r="N567" s="239"/>
      <c r="O567" s="239"/>
      <c r="P567" s="239"/>
      <c r="Q567" s="239"/>
      <c r="R567" s="239"/>
      <c r="S567" s="239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167"/>
    </row>
    <row r="568" spans="1:30" ht="15.75" customHeight="1">
      <c r="A568" s="177"/>
      <c r="B568" s="239"/>
      <c r="C568" s="260"/>
      <c r="D568" s="278"/>
      <c r="E568" s="260"/>
      <c r="F568" s="239"/>
      <c r="G568" s="239"/>
      <c r="H568" s="239"/>
      <c r="I568" s="239"/>
      <c r="J568" s="239"/>
      <c r="K568" s="239"/>
      <c r="L568" s="239"/>
      <c r="M568" s="240"/>
      <c r="N568" s="239"/>
      <c r="O568" s="239"/>
      <c r="P568" s="239"/>
      <c r="Q568" s="239"/>
      <c r="R568" s="239"/>
      <c r="S568" s="239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167"/>
    </row>
    <row r="569" spans="1:30" ht="15.75" customHeight="1">
      <c r="A569" s="177"/>
      <c r="B569" s="239"/>
      <c r="C569" s="260"/>
      <c r="D569" s="278"/>
      <c r="E569" s="260"/>
      <c r="F569" s="239"/>
      <c r="G569" s="239"/>
      <c r="H569" s="239"/>
      <c r="I569" s="239"/>
      <c r="J569" s="239"/>
      <c r="K569" s="239"/>
      <c r="L569" s="239"/>
      <c r="M569" s="240"/>
      <c r="N569" s="239"/>
      <c r="O569" s="239"/>
      <c r="P569" s="239"/>
      <c r="Q569" s="239"/>
      <c r="R569" s="239"/>
      <c r="S569" s="239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167"/>
    </row>
    <row r="570" spans="1:30" ht="15.75" customHeight="1">
      <c r="A570" s="177"/>
      <c r="B570" s="239"/>
      <c r="C570" s="260"/>
      <c r="D570" s="278"/>
      <c r="E570" s="260"/>
      <c r="F570" s="239"/>
      <c r="G570" s="239"/>
      <c r="H570" s="239"/>
      <c r="I570" s="239"/>
      <c r="J570" s="239"/>
      <c r="K570" s="239"/>
      <c r="L570" s="239"/>
      <c r="M570" s="240"/>
      <c r="N570" s="239"/>
      <c r="O570" s="239"/>
      <c r="P570" s="239"/>
      <c r="Q570" s="239"/>
      <c r="R570" s="239"/>
      <c r="S570" s="239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167"/>
    </row>
    <row r="571" spans="1:30" ht="15.75" customHeight="1">
      <c r="A571" s="177"/>
      <c r="B571" s="239"/>
      <c r="C571" s="260"/>
      <c r="D571" s="278"/>
      <c r="E571" s="260"/>
      <c r="F571" s="239"/>
      <c r="G571" s="239"/>
      <c r="H571" s="239"/>
      <c r="I571" s="239"/>
      <c r="J571" s="239"/>
      <c r="K571" s="239"/>
      <c r="L571" s="239"/>
      <c r="M571" s="240"/>
      <c r="N571" s="239"/>
      <c r="O571" s="239"/>
      <c r="P571" s="239"/>
      <c r="Q571" s="239"/>
      <c r="R571" s="239"/>
      <c r="S571" s="239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167"/>
    </row>
    <row r="572" spans="1:30" ht="15.75" customHeight="1">
      <c r="A572" s="177"/>
      <c r="B572" s="239"/>
      <c r="C572" s="260"/>
      <c r="D572" s="278"/>
      <c r="E572" s="260"/>
      <c r="F572" s="239"/>
      <c r="G572" s="239"/>
      <c r="H572" s="239"/>
      <c r="I572" s="239"/>
      <c r="J572" s="239"/>
      <c r="K572" s="239"/>
      <c r="L572" s="239"/>
      <c r="M572" s="240"/>
      <c r="N572" s="239"/>
      <c r="O572" s="239"/>
      <c r="P572" s="239"/>
      <c r="Q572" s="239"/>
      <c r="R572" s="239"/>
      <c r="S572" s="239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167"/>
    </row>
    <row r="573" spans="1:30" ht="15.75" customHeight="1">
      <c r="A573" s="177"/>
      <c r="B573" s="239"/>
      <c r="C573" s="260"/>
      <c r="D573" s="278"/>
      <c r="E573" s="260"/>
      <c r="F573" s="239"/>
      <c r="G573" s="239"/>
      <c r="H573" s="239"/>
      <c r="I573" s="239"/>
      <c r="J573" s="239"/>
      <c r="K573" s="239"/>
      <c r="L573" s="239"/>
      <c r="M573" s="240"/>
      <c r="N573" s="239"/>
      <c r="O573" s="239"/>
      <c r="P573" s="239"/>
      <c r="Q573" s="239"/>
      <c r="R573" s="239"/>
      <c r="S573" s="239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167"/>
    </row>
    <row r="574" spans="1:30" ht="15.75" customHeight="1">
      <c r="A574" s="177"/>
      <c r="B574" s="239"/>
      <c r="C574" s="260"/>
      <c r="D574" s="278"/>
      <c r="E574" s="260"/>
      <c r="F574" s="239"/>
      <c r="G574" s="239"/>
      <c r="H574" s="239"/>
      <c r="I574" s="239"/>
      <c r="J574" s="239"/>
      <c r="K574" s="239"/>
      <c r="L574" s="239"/>
      <c r="M574" s="240"/>
      <c r="N574" s="239"/>
      <c r="O574" s="239"/>
      <c r="P574" s="239"/>
      <c r="Q574" s="239"/>
      <c r="R574" s="239"/>
      <c r="S574" s="239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167"/>
    </row>
    <row r="575" spans="1:30" ht="15.75" customHeight="1">
      <c r="A575" s="177"/>
      <c r="B575" s="239"/>
      <c r="C575" s="260"/>
      <c r="D575" s="278"/>
      <c r="E575" s="260"/>
      <c r="F575" s="239"/>
      <c r="G575" s="239"/>
      <c r="H575" s="239"/>
      <c r="I575" s="239"/>
      <c r="J575" s="239"/>
      <c r="K575" s="239"/>
      <c r="L575" s="239"/>
      <c r="M575" s="240"/>
      <c r="N575" s="239"/>
      <c r="O575" s="239"/>
      <c r="P575" s="239"/>
      <c r="Q575" s="239"/>
      <c r="R575" s="239"/>
      <c r="S575" s="239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167"/>
    </row>
    <row r="576" spans="1:30" ht="15.75" customHeight="1">
      <c r="A576" s="177"/>
      <c r="B576" s="239"/>
      <c r="C576" s="260"/>
      <c r="D576" s="278"/>
      <c r="E576" s="260"/>
      <c r="F576" s="239"/>
      <c r="G576" s="239"/>
      <c r="H576" s="239"/>
      <c r="I576" s="239"/>
      <c r="J576" s="239"/>
      <c r="K576" s="239"/>
      <c r="L576" s="239"/>
      <c r="M576" s="240"/>
      <c r="N576" s="239"/>
      <c r="O576" s="239"/>
      <c r="P576" s="239"/>
      <c r="Q576" s="239"/>
      <c r="R576" s="239"/>
      <c r="S576" s="239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167"/>
    </row>
    <row r="577" spans="1:30" ht="15.75" customHeight="1">
      <c r="A577" s="177"/>
      <c r="B577" s="239"/>
      <c r="C577" s="260"/>
      <c r="D577" s="278"/>
      <c r="E577" s="260"/>
      <c r="F577" s="239"/>
      <c r="G577" s="239"/>
      <c r="H577" s="239"/>
      <c r="I577" s="239"/>
      <c r="J577" s="239"/>
      <c r="K577" s="239"/>
      <c r="L577" s="239"/>
      <c r="M577" s="240"/>
      <c r="N577" s="239"/>
      <c r="O577" s="239"/>
      <c r="P577" s="239"/>
      <c r="Q577" s="239"/>
      <c r="R577" s="239"/>
      <c r="S577" s="239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167"/>
    </row>
    <row r="578" spans="1:30" ht="15.75" customHeight="1">
      <c r="A578" s="177"/>
      <c r="B578" s="239"/>
      <c r="C578" s="260"/>
      <c r="D578" s="278"/>
      <c r="E578" s="260"/>
      <c r="F578" s="239"/>
      <c r="G578" s="239"/>
      <c r="H578" s="239"/>
      <c r="I578" s="239"/>
      <c r="J578" s="239"/>
      <c r="K578" s="239"/>
      <c r="L578" s="239"/>
      <c r="M578" s="240"/>
      <c r="N578" s="239"/>
      <c r="O578" s="239"/>
      <c r="P578" s="239"/>
      <c r="Q578" s="239"/>
      <c r="R578" s="239"/>
      <c r="S578" s="239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167"/>
    </row>
    <row r="579" spans="1:30" ht="15.75" customHeight="1">
      <c r="A579" s="177"/>
      <c r="B579" s="239"/>
      <c r="C579" s="260"/>
      <c r="D579" s="278"/>
      <c r="E579" s="260"/>
      <c r="F579" s="239"/>
      <c r="G579" s="239"/>
      <c r="H579" s="239"/>
      <c r="I579" s="239"/>
      <c r="J579" s="239"/>
      <c r="K579" s="239"/>
      <c r="L579" s="239"/>
      <c r="M579" s="240"/>
      <c r="N579" s="239"/>
      <c r="O579" s="239"/>
      <c r="P579" s="239"/>
      <c r="Q579" s="239"/>
      <c r="R579" s="239"/>
      <c r="S579" s="239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167"/>
    </row>
    <row r="580" spans="1:30" ht="15.75" customHeight="1">
      <c r="A580" s="177"/>
      <c r="B580" s="239"/>
      <c r="C580" s="260"/>
      <c r="D580" s="278"/>
      <c r="E580" s="260"/>
      <c r="F580" s="239"/>
      <c r="G580" s="239"/>
      <c r="H580" s="239"/>
      <c r="I580" s="239"/>
      <c r="J580" s="239"/>
      <c r="K580" s="239"/>
      <c r="L580" s="239"/>
      <c r="M580" s="240"/>
      <c r="N580" s="239"/>
      <c r="O580" s="239"/>
      <c r="P580" s="239"/>
      <c r="Q580" s="239"/>
      <c r="R580" s="239"/>
      <c r="S580" s="239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167"/>
    </row>
    <row r="581" spans="1:30" ht="15.75" customHeight="1">
      <c r="A581" s="177"/>
      <c r="B581" s="239"/>
      <c r="C581" s="260"/>
      <c r="D581" s="278"/>
      <c r="E581" s="260"/>
      <c r="F581" s="239"/>
      <c r="G581" s="239"/>
      <c r="H581" s="239"/>
      <c r="I581" s="239"/>
      <c r="J581" s="239"/>
      <c r="K581" s="239"/>
      <c r="L581" s="239"/>
      <c r="M581" s="240"/>
      <c r="N581" s="239"/>
      <c r="O581" s="239"/>
      <c r="P581" s="239"/>
      <c r="Q581" s="239"/>
      <c r="R581" s="239"/>
      <c r="S581" s="239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167"/>
    </row>
    <row r="582" spans="1:30" ht="15.75" customHeight="1">
      <c r="A582" s="177"/>
      <c r="B582" s="239"/>
      <c r="C582" s="260"/>
      <c r="D582" s="278"/>
      <c r="E582" s="260"/>
      <c r="F582" s="239"/>
      <c r="G582" s="239"/>
      <c r="H582" s="239"/>
      <c r="I582" s="239"/>
      <c r="J582" s="239"/>
      <c r="K582" s="239"/>
      <c r="L582" s="239"/>
      <c r="M582" s="240"/>
      <c r="N582" s="239"/>
      <c r="O582" s="239"/>
      <c r="P582" s="239"/>
      <c r="Q582" s="239"/>
      <c r="R582" s="239"/>
      <c r="S582" s="239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167"/>
    </row>
    <row r="583" spans="1:30" ht="15.75" customHeight="1">
      <c r="A583" s="177"/>
      <c r="B583" s="239"/>
      <c r="C583" s="260"/>
      <c r="D583" s="278"/>
      <c r="E583" s="260"/>
      <c r="F583" s="239"/>
      <c r="G583" s="239"/>
      <c r="H583" s="239"/>
      <c r="I583" s="239"/>
      <c r="J583" s="239"/>
      <c r="K583" s="239"/>
      <c r="L583" s="239"/>
      <c r="M583" s="240"/>
      <c r="N583" s="239"/>
      <c r="O583" s="239"/>
      <c r="P583" s="239"/>
      <c r="Q583" s="239"/>
      <c r="R583" s="239"/>
      <c r="S583" s="239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167"/>
    </row>
    <row r="584" spans="1:30" ht="15.75" customHeight="1">
      <c r="A584" s="177"/>
      <c r="B584" s="239"/>
      <c r="C584" s="260"/>
      <c r="D584" s="278"/>
      <c r="E584" s="260"/>
      <c r="F584" s="239"/>
      <c r="G584" s="239"/>
      <c r="H584" s="239"/>
      <c r="I584" s="239"/>
      <c r="J584" s="239"/>
      <c r="K584" s="239"/>
      <c r="L584" s="239"/>
      <c r="M584" s="240"/>
      <c r="N584" s="239"/>
      <c r="O584" s="239"/>
      <c r="P584" s="239"/>
      <c r="Q584" s="239"/>
      <c r="R584" s="239"/>
      <c r="S584" s="239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167"/>
    </row>
    <row r="585" spans="1:30" ht="15.75" customHeight="1">
      <c r="A585" s="177"/>
      <c r="B585" s="239"/>
      <c r="C585" s="260"/>
      <c r="D585" s="278"/>
      <c r="E585" s="260"/>
      <c r="F585" s="239"/>
      <c r="G585" s="239"/>
      <c r="H585" s="239"/>
      <c r="I585" s="239"/>
      <c r="J585" s="239"/>
      <c r="K585" s="239"/>
      <c r="L585" s="239"/>
      <c r="M585" s="240"/>
      <c r="N585" s="239"/>
      <c r="O585" s="239"/>
      <c r="P585" s="239"/>
      <c r="Q585" s="239"/>
      <c r="R585" s="239"/>
      <c r="S585" s="239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167"/>
    </row>
    <row r="586" spans="1:30" ht="15.75" customHeight="1">
      <c r="A586" s="177"/>
      <c r="B586" s="239"/>
      <c r="C586" s="260"/>
      <c r="D586" s="278"/>
      <c r="E586" s="260"/>
      <c r="F586" s="239"/>
      <c r="G586" s="239"/>
      <c r="H586" s="239"/>
      <c r="I586" s="239"/>
      <c r="J586" s="239"/>
      <c r="K586" s="239"/>
      <c r="L586" s="239"/>
      <c r="M586" s="240"/>
      <c r="N586" s="239"/>
      <c r="O586" s="239"/>
      <c r="P586" s="239"/>
      <c r="Q586" s="239"/>
      <c r="R586" s="239"/>
      <c r="S586" s="239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167"/>
    </row>
    <row r="587" spans="1:30" ht="15.75" customHeight="1">
      <c r="A587" s="177"/>
      <c r="B587" s="239"/>
      <c r="C587" s="260"/>
      <c r="D587" s="278"/>
      <c r="E587" s="260"/>
      <c r="F587" s="239"/>
      <c r="G587" s="239"/>
      <c r="H587" s="239"/>
      <c r="I587" s="239"/>
      <c r="J587" s="239"/>
      <c r="K587" s="239"/>
      <c r="L587" s="239"/>
      <c r="M587" s="240"/>
      <c r="N587" s="239"/>
      <c r="O587" s="239"/>
      <c r="P587" s="239"/>
      <c r="Q587" s="239"/>
      <c r="R587" s="239"/>
      <c r="S587" s="239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167"/>
    </row>
    <row r="588" spans="1:30" ht="15.75" customHeight="1">
      <c r="A588" s="177"/>
      <c r="B588" s="239"/>
      <c r="C588" s="260"/>
      <c r="D588" s="278"/>
      <c r="E588" s="260"/>
      <c r="F588" s="239"/>
      <c r="G588" s="239"/>
      <c r="H588" s="239"/>
      <c r="I588" s="239"/>
      <c r="J588" s="239"/>
      <c r="K588" s="239"/>
      <c r="L588" s="239"/>
      <c r="M588" s="240"/>
      <c r="N588" s="239"/>
      <c r="O588" s="239"/>
      <c r="P588" s="239"/>
      <c r="Q588" s="239"/>
      <c r="R588" s="239"/>
      <c r="S588" s="239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167"/>
    </row>
    <row r="589" spans="1:30" ht="15.75" customHeight="1">
      <c r="A589" s="177"/>
      <c r="B589" s="239"/>
      <c r="C589" s="260"/>
      <c r="D589" s="278"/>
      <c r="E589" s="260"/>
      <c r="F589" s="239"/>
      <c r="G589" s="239"/>
      <c r="H589" s="239"/>
      <c r="I589" s="239"/>
      <c r="J589" s="239"/>
      <c r="K589" s="239"/>
      <c r="L589" s="239"/>
      <c r="M589" s="240"/>
      <c r="N589" s="239"/>
      <c r="O589" s="239"/>
      <c r="P589" s="239"/>
      <c r="Q589" s="239"/>
      <c r="R589" s="239"/>
      <c r="S589" s="239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167"/>
    </row>
    <row r="590" spans="1:30" ht="15.75" customHeight="1">
      <c r="A590" s="177"/>
      <c r="B590" s="239"/>
      <c r="C590" s="260"/>
      <c r="D590" s="278"/>
      <c r="E590" s="260"/>
      <c r="F590" s="239"/>
      <c r="G590" s="239"/>
      <c r="H590" s="239"/>
      <c r="I590" s="239"/>
      <c r="J590" s="239"/>
      <c r="K590" s="239"/>
      <c r="L590" s="239"/>
      <c r="M590" s="240"/>
      <c r="N590" s="239"/>
      <c r="O590" s="239"/>
      <c r="P590" s="239"/>
      <c r="Q590" s="239"/>
      <c r="R590" s="239"/>
      <c r="S590" s="239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167"/>
    </row>
    <row r="591" spans="1:30" ht="15.75" customHeight="1">
      <c r="A591" s="177"/>
      <c r="B591" s="239"/>
      <c r="C591" s="260"/>
      <c r="D591" s="278"/>
      <c r="E591" s="260"/>
      <c r="F591" s="239"/>
      <c r="G591" s="239"/>
      <c r="H591" s="239"/>
      <c r="I591" s="239"/>
      <c r="J591" s="239"/>
      <c r="K591" s="239"/>
      <c r="L591" s="239"/>
      <c r="M591" s="240"/>
      <c r="N591" s="239"/>
      <c r="O591" s="239"/>
      <c r="P591" s="239"/>
      <c r="Q591" s="239"/>
      <c r="R591" s="239"/>
      <c r="S591" s="239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167"/>
    </row>
    <row r="592" spans="1:30" ht="15.75" customHeight="1">
      <c r="A592" s="177"/>
      <c r="B592" s="239"/>
      <c r="C592" s="260"/>
      <c r="D592" s="278"/>
      <c r="E592" s="260"/>
      <c r="F592" s="239"/>
      <c r="G592" s="239"/>
      <c r="H592" s="239"/>
      <c r="I592" s="239"/>
      <c r="J592" s="239"/>
      <c r="K592" s="239"/>
      <c r="L592" s="239"/>
      <c r="M592" s="240"/>
      <c r="N592" s="239"/>
      <c r="O592" s="239"/>
      <c r="P592" s="239"/>
      <c r="Q592" s="239"/>
      <c r="R592" s="239"/>
      <c r="S592" s="239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167"/>
    </row>
    <row r="593" spans="1:30" ht="15.75" customHeight="1">
      <c r="A593" s="177"/>
      <c r="B593" s="239"/>
      <c r="C593" s="260"/>
      <c r="D593" s="278"/>
      <c r="E593" s="260"/>
      <c r="F593" s="239"/>
      <c r="G593" s="239"/>
      <c r="H593" s="239"/>
      <c r="I593" s="239"/>
      <c r="J593" s="239"/>
      <c r="K593" s="239"/>
      <c r="L593" s="239"/>
      <c r="M593" s="240"/>
      <c r="N593" s="239"/>
      <c r="O593" s="239"/>
      <c r="P593" s="239"/>
      <c r="Q593" s="239"/>
      <c r="R593" s="239"/>
      <c r="S593" s="239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167"/>
    </row>
    <row r="594" spans="1:30" ht="15.75" customHeight="1">
      <c r="A594" s="177"/>
      <c r="B594" s="239"/>
      <c r="C594" s="260"/>
      <c r="D594" s="278"/>
      <c r="E594" s="260"/>
      <c r="F594" s="239"/>
      <c r="G594" s="239"/>
      <c r="H594" s="239"/>
      <c r="I594" s="239"/>
      <c r="J594" s="239"/>
      <c r="K594" s="239"/>
      <c r="L594" s="239"/>
      <c r="M594" s="240"/>
      <c r="N594" s="239"/>
      <c r="O594" s="239"/>
      <c r="P594" s="239"/>
      <c r="Q594" s="239"/>
      <c r="R594" s="239"/>
      <c r="S594" s="239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167"/>
    </row>
    <row r="595" spans="1:30" ht="15.75" customHeight="1">
      <c r="A595" s="177"/>
      <c r="B595" s="239"/>
      <c r="C595" s="260"/>
      <c r="D595" s="278"/>
      <c r="E595" s="260"/>
      <c r="F595" s="239"/>
      <c r="G595" s="239"/>
      <c r="H595" s="239"/>
      <c r="I595" s="239"/>
      <c r="J595" s="239"/>
      <c r="K595" s="239"/>
      <c r="L595" s="239"/>
      <c r="M595" s="240"/>
      <c r="N595" s="239"/>
      <c r="O595" s="239"/>
      <c r="P595" s="239"/>
      <c r="Q595" s="239"/>
      <c r="R595" s="239"/>
      <c r="S595" s="239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167"/>
    </row>
    <row r="596" spans="1:30" ht="15.75" customHeight="1">
      <c r="A596" s="177"/>
      <c r="B596" s="239"/>
      <c r="C596" s="260"/>
      <c r="D596" s="278"/>
      <c r="E596" s="260"/>
      <c r="F596" s="239"/>
      <c r="G596" s="239"/>
      <c r="H596" s="239"/>
      <c r="I596" s="239"/>
      <c r="J596" s="239"/>
      <c r="K596" s="239"/>
      <c r="L596" s="239"/>
      <c r="M596" s="240"/>
      <c r="N596" s="239"/>
      <c r="O596" s="239"/>
      <c r="P596" s="239"/>
      <c r="Q596" s="239"/>
      <c r="R596" s="239"/>
      <c r="S596" s="239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167"/>
    </row>
    <row r="597" spans="1:30" ht="15.75" customHeight="1">
      <c r="A597" s="177"/>
      <c r="B597" s="239"/>
      <c r="C597" s="260"/>
      <c r="D597" s="278"/>
      <c r="E597" s="260"/>
      <c r="F597" s="239"/>
      <c r="G597" s="239"/>
      <c r="H597" s="239"/>
      <c r="I597" s="239"/>
      <c r="J597" s="239"/>
      <c r="K597" s="239"/>
      <c r="L597" s="239"/>
      <c r="M597" s="240"/>
      <c r="N597" s="239"/>
      <c r="O597" s="239"/>
      <c r="P597" s="239"/>
      <c r="Q597" s="239"/>
      <c r="R597" s="239"/>
      <c r="S597" s="239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167"/>
    </row>
    <row r="598" spans="1:30" ht="15.75" customHeight="1">
      <c r="A598" s="177"/>
      <c r="B598" s="239"/>
      <c r="C598" s="260"/>
      <c r="D598" s="278"/>
      <c r="E598" s="260"/>
      <c r="F598" s="239"/>
      <c r="G598" s="239"/>
      <c r="H598" s="239"/>
      <c r="I598" s="239"/>
      <c r="J598" s="239"/>
      <c r="K598" s="239"/>
      <c r="L598" s="239"/>
      <c r="M598" s="240"/>
      <c r="N598" s="239"/>
      <c r="O598" s="239"/>
      <c r="P598" s="239"/>
      <c r="Q598" s="239"/>
      <c r="R598" s="239"/>
      <c r="S598" s="239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167"/>
    </row>
    <row r="599" spans="1:30" ht="15.75" customHeight="1">
      <c r="A599" s="177"/>
      <c r="B599" s="239"/>
      <c r="C599" s="260"/>
      <c r="D599" s="278"/>
      <c r="E599" s="260"/>
      <c r="F599" s="239"/>
      <c r="G599" s="239"/>
      <c r="H599" s="239"/>
      <c r="I599" s="239"/>
      <c r="J599" s="239"/>
      <c r="K599" s="239"/>
      <c r="L599" s="239"/>
      <c r="M599" s="240"/>
      <c r="N599" s="239"/>
      <c r="O599" s="239"/>
      <c r="P599" s="239"/>
      <c r="Q599" s="239"/>
      <c r="R599" s="239"/>
      <c r="S599" s="239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167"/>
    </row>
    <row r="600" spans="1:30" ht="15.75" customHeight="1">
      <c r="A600" s="177"/>
      <c r="B600" s="239"/>
      <c r="C600" s="260"/>
      <c r="D600" s="278"/>
      <c r="E600" s="260"/>
      <c r="F600" s="239"/>
      <c r="G600" s="239"/>
      <c r="H600" s="239"/>
      <c r="I600" s="239"/>
      <c r="J600" s="239"/>
      <c r="K600" s="239"/>
      <c r="L600" s="239"/>
      <c r="M600" s="240"/>
      <c r="N600" s="239"/>
      <c r="O600" s="239"/>
      <c r="P600" s="239"/>
      <c r="Q600" s="239"/>
      <c r="R600" s="239"/>
      <c r="S600" s="239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167"/>
    </row>
    <row r="601" spans="1:30" ht="15.75" customHeight="1">
      <c r="A601" s="177"/>
      <c r="B601" s="239"/>
      <c r="C601" s="260"/>
      <c r="D601" s="278"/>
      <c r="E601" s="260"/>
      <c r="F601" s="239"/>
      <c r="G601" s="239"/>
      <c r="H601" s="239"/>
      <c r="I601" s="239"/>
      <c r="J601" s="239"/>
      <c r="K601" s="239"/>
      <c r="L601" s="239"/>
      <c r="M601" s="240"/>
      <c r="N601" s="239"/>
      <c r="O601" s="239"/>
      <c r="P601" s="239"/>
      <c r="Q601" s="239"/>
      <c r="R601" s="239"/>
      <c r="S601" s="239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167"/>
    </row>
    <row r="602" spans="1:30" ht="15.75" customHeight="1">
      <c r="A602" s="177"/>
      <c r="B602" s="239"/>
      <c r="C602" s="260"/>
      <c r="D602" s="278"/>
      <c r="E602" s="260"/>
      <c r="F602" s="239"/>
      <c r="G602" s="239"/>
      <c r="H602" s="239"/>
      <c r="I602" s="239"/>
      <c r="J602" s="239"/>
      <c r="K602" s="239"/>
      <c r="L602" s="239"/>
      <c r="M602" s="240"/>
      <c r="N602" s="239"/>
      <c r="O602" s="239"/>
      <c r="P602" s="239"/>
      <c r="Q602" s="239"/>
      <c r="R602" s="239"/>
      <c r="S602" s="239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167"/>
    </row>
    <row r="603" spans="1:30" ht="15.75" customHeight="1">
      <c r="A603" s="177"/>
      <c r="B603" s="239"/>
      <c r="C603" s="260"/>
      <c r="D603" s="278"/>
      <c r="E603" s="260"/>
      <c r="F603" s="239"/>
      <c r="G603" s="239"/>
      <c r="H603" s="239"/>
      <c r="I603" s="239"/>
      <c r="J603" s="239"/>
      <c r="K603" s="239"/>
      <c r="L603" s="239"/>
      <c r="M603" s="240"/>
      <c r="N603" s="239"/>
      <c r="O603" s="239"/>
      <c r="P603" s="239"/>
      <c r="Q603" s="239"/>
      <c r="R603" s="239"/>
      <c r="S603" s="239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167"/>
    </row>
    <row r="604" spans="1:30" ht="15.75" customHeight="1">
      <c r="A604" s="177"/>
      <c r="B604" s="239"/>
      <c r="C604" s="260"/>
      <c r="D604" s="278"/>
      <c r="E604" s="260"/>
      <c r="F604" s="239"/>
      <c r="G604" s="239"/>
      <c r="H604" s="239"/>
      <c r="I604" s="239"/>
      <c r="J604" s="239"/>
      <c r="K604" s="239"/>
      <c r="L604" s="239"/>
      <c r="M604" s="240"/>
      <c r="N604" s="239"/>
      <c r="O604" s="239"/>
      <c r="P604" s="239"/>
      <c r="Q604" s="239"/>
      <c r="R604" s="239"/>
      <c r="S604" s="239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167"/>
    </row>
    <row r="605" spans="1:30" ht="15.75" customHeight="1">
      <c r="A605" s="177"/>
      <c r="B605" s="239"/>
      <c r="C605" s="260"/>
      <c r="D605" s="278"/>
      <c r="E605" s="260"/>
      <c r="F605" s="239"/>
      <c r="G605" s="239"/>
      <c r="H605" s="239"/>
      <c r="I605" s="239"/>
      <c r="J605" s="239"/>
      <c r="K605" s="239"/>
      <c r="L605" s="239"/>
      <c r="M605" s="240"/>
      <c r="N605" s="239"/>
      <c r="O605" s="239"/>
      <c r="P605" s="239"/>
      <c r="Q605" s="239"/>
      <c r="R605" s="239"/>
      <c r="S605" s="239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167"/>
    </row>
    <row r="606" spans="1:30" ht="15.75" customHeight="1">
      <c r="A606" s="177"/>
      <c r="B606" s="239"/>
      <c r="C606" s="260"/>
      <c r="D606" s="278"/>
      <c r="E606" s="260"/>
      <c r="F606" s="239"/>
      <c r="G606" s="239"/>
      <c r="H606" s="239"/>
      <c r="I606" s="239"/>
      <c r="J606" s="239"/>
      <c r="K606" s="239"/>
      <c r="L606" s="239"/>
      <c r="M606" s="240"/>
      <c r="N606" s="239"/>
      <c r="O606" s="239"/>
      <c r="P606" s="239"/>
      <c r="Q606" s="239"/>
      <c r="R606" s="239"/>
      <c r="S606" s="239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167"/>
    </row>
    <row r="607" spans="1:30" ht="15.75" customHeight="1">
      <c r="A607" s="177"/>
      <c r="B607" s="239"/>
      <c r="C607" s="260"/>
      <c r="D607" s="278"/>
      <c r="E607" s="260"/>
      <c r="F607" s="239"/>
      <c r="G607" s="239"/>
      <c r="H607" s="239"/>
      <c r="I607" s="239"/>
      <c r="J607" s="239"/>
      <c r="K607" s="239"/>
      <c r="L607" s="239"/>
      <c r="M607" s="240"/>
      <c r="N607" s="239"/>
      <c r="O607" s="239"/>
      <c r="P607" s="239"/>
      <c r="Q607" s="239"/>
      <c r="R607" s="239"/>
      <c r="S607" s="239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167"/>
    </row>
    <row r="608" spans="1:30" ht="15.75" customHeight="1">
      <c r="A608" s="177"/>
      <c r="B608" s="239"/>
      <c r="C608" s="260"/>
      <c r="D608" s="278"/>
      <c r="E608" s="260"/>
      <c r="F608" s="239"/>
      <c r="G608" s="239"/>
      <c r="H608" s="239"/>
      <c r="I608" s="239"/>
      <c r="J608" s="239"/>
      <c r="K608" s="239"/>
      <c r="L608" s="239"/>
      <c r="M608" s="240"/>
      <c r="N608" s="239"/>
      <c r="O608" s="239"/>
      <c r="P608" s="239"/>
      <c r="Q608" s="239"/>
      <c r="R608" s="239"/>
      <c r="S608" s="239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167"/>
    </row>
    <row r="609" spans="1:30" ht="15.75" customHeight="1">
      <c r="A609" s="177"/>
      <c r="B609" s="239"/>
      <c r="C609" s="260"/>
      <c r="D609" s="278"/>
      <c r="E609" s="260"/>
      <c r="F609" s="239"/>
      <c r="G609" s="239"/>
      <c r="H609" s="239"/>
      <c r="I609" s="239"/>
      <c r="J609" s="239"/>
      <c r="K609" s="239"/>
      <c r="L609" s="239"/>
      <c r="M609" s="240"/>
      <c r="N609" s="239"/>
      <c r="O609" s="239"/>
      <c r="P609" s="239"/>
      <c r="Q609" s="239"/>
      <c r="R609" s="239"/>
      <c r="S609" s="239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167"/>
    </row>
    <row r="610" spans="1:30" ht="15.75" customHeight="1">
      <c r="A610" s="177"/>
      <c r="B610" s="239"/>
      <c r="C610" s="260"/>
      <c r="D610" s="278"/>
      <c r="E610" s="260"/>
      <c r="F610" s="239"/>
      <c r="G610" s="239"/>
      <c r="H610" s="239"/>
      <c r="I610" s="239"/>
      <c r="J610" s="239"/>
      <c r="K610" s="239"/>
      <c r="L610" s="239"/>
      <c r="M610" s="240"/>
      <c r="N610" s="239"/>
      <c r="O610" s="239"/>
      <c r="P610" s="239"/>
      <c r="Q610" s="239"/>
      <c r="R610" s="239"/>
      <c r="S610" s="239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167"/>
    </row>
    <row r="611" spans="1:30" ht="15.75" customHeight="1">
      <c r="A611" s="177"/>
      <c r="B611" s="239"/>
      <c r="C611" s="260"/>
      <c r="D611" s="278"/>
      <c r="E611" s="260"/>
      <c r="F611" s="239"/>
      <c r="G611" s="239"/>
      <c r="H611" s="239"/>
      <c r="I611" s="239"/>
      <c r="J611" s="239"/>
      <c r="K611" s="239"/>
      <c r="L611" s="239"/>
      <c r="M611" s="240"/>
      <c r="N611" s="239"/>
      <c r="O611" s="239"/>
      <c r="P611" s="239"/>
      <c r="Q611" s="239"/>
      <c r="R611" s="239"/>
      <c r="S611" s="239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167"/>
    </row>
    <row r="612" spans="1:30" ht="15.75" customHeight="1">
      <c r="A612" s="177"/>
      <c r="B612" s="239"/>
      <c r="C612" s="260"/>
      <c r="D612" s="278"/>
      <c r="E612" s="260"/>
      <c r="F612" s="239"/>
      <c r="G612" s="239"/>
      <c r="H612" s="239"/>
      <c r="I612" s="239"/>
      <c r="J612" s="239"/>
      <c r="K612" s="239"/>
      <c r="L612" s="239"/>
      <c r="M612" s="240"/>
      <c r="N612" s="239"/>
      <c r="O612" s="239"/>
      <c r="P612" s="239"/>
      <c r="Q612" s="239"/>
      <c r="R612" s="239"/>
      <c r="S612" s="239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167"/>
    </row>
    <row r="613" spans="1:30" ht="15.75" customHeight="1">
      <c r="A613" s="177"/>
      <c r="B613" s="239"/>
      <c r="C613" s="260"/>
      <c r="D613" s="278"/>
      <c r="E613" s="260"/>
      <c r="F613" s="239"/>
      <c r="G613" s="239"/>
      <c r="H613" s="239"/>
      <c r="I613" s="239"/>
      <c r="J613" s="239"/>
      <c r="K613" s="239"/>
      <c r="L613" s="239"/>
      <c r="M613" s="240"/>
      <c r="N613" s="239"/>
      <c r="O613" s="239"/>
      <c r="P613" s="239"/>
      <c r="Q613" s="239"/>
      <c r="R613" s="239"/>
      <c r="S613" s="239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167"/>
    </row>
    <row r="614" spans="1:30" ht="15.75" customHeight="1">
      <c r="A614" s="177"/>
      <c r="B614" s="239"/>
      <c r="C614" s="260"/>
      <c r="D614" s="278"/>
      <c r="E614" s="260"/>
      <c r="F614" s="239"/>
      <c r="G614" s="239"/>
      <c r="H614" s="239"/>
      <c r="I614" s="239"/>
      <c r="J614" s="239"/>
      <c r="K614" s="239"/>
      <c r="L614" s="239"/>
      <c r="M614" s="240"/>
      <c r="N614" s="239"/>
      <c r="O614" s="239"/>
      <c r="P614" s="239"/>
      <c r="Q614" s="239"/>
      <c r="R614" s="239"/>
      <c r="S614" s="239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167"/>
    </row>
    <row r="615" spans="1:30" ht="15.75" customHeight="1">
      <c r="A615" s="177"/>
      <c r="B615" s="239"/>
      <c r="C615" s="260"/>
      <c r="D615" s="278"/>
      <c r="E615" s="260"/>
      <c r="F615" s="239"/>
      <c r="G615" s="239"/>
      <c r="H615" s="239"/>
      <c r="I615" s="239"/>
      <c r="J615" s="239"/>
      <c r="K615" s="239"/>
      <c r="L615" s="239"/>
      <c r="M615" s="240"/>
      <c r="N615" s="239"/>
      <c r="O615" s="239"/>
      <c r="P615" s="239"/>
      <c r="Q615" s="239"/>
      <c r="R615" s="239"/>
      <c r="S615" s="239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167"/>
    </row>
    <row r="616" spans="1:30" ht="15.75" customHeight="1">
      <c r="A616" s="177"/>
      <c r="B616" s="239"/>
      <c r="C616" s="260"/>
      <c r="D616" s="278"/>
      <c r="E616" s="260"/>
      <c r="F616" s="239"/>
      <c r="G616" s="239"/>
      <c r="H616" s="239"/>
      <c r="I616" s="239"/>
      <c r="J616" s="239"/>
      <c r="K616" s="239"/>
      <c r="L616" s="239"/>
      <c r="M616" s="240"/>
      <c r="N616" s="239"/>
      <c r="O616" s="239"/>
      <c r="P616" s="239"/>
      <c r="Q616" s="239"/>
      <c r="R616" s="239"/>
      <c r="S616" s="239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167"/>
    </row>
    <row r="617" spans="1:30" ht="15.75" customHeight="1">
      <c r="A617" s="177"/>
      <c r="B617" s="239"/>
      <c r="C617" s="260"/>
      <c r="D617" s="278"/>
      <c r="E617" s="260"/>
      <c r="F617" s="239"/>
      <c r="G617" s="239"/>
      <c r="H617" s="239"/>
      <c r="I617" s="239"/>
      <c r="J617" s="239"/>
      <c r="K617" s="239"/>
      <c r="L617" s="239"/>
      <c r="M617" s="240"/>
      <c r="N617" s="239"/>
      <c r="O617" s="239"/>
      <c r="P617" s="239"/>
      <c r="Q617" s="239"/>
      <c r="R617" s="239"/>
      <c r="S617" s="239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167"/>
    </row>
    <row r="618" spans="1:30" ht="15.75" customHeight="1">
      <c r="A618" s="177"/>
      <c r="B618" s="239"/>
      <c r="C618" s="260"/>
      <c r="D618" s="278"/>
      <c r="E618" s="260"/>
      <c r="F618" s="239"/>
      <c r="G618" s="239"/>
      <c r="H618" s="239"/>
      <c r="I618" s="239"/>
      <c r="J618" s="239"/>
      <c r="K618" s="239"/>
      <c r="L618" s="239"/>
      <c r="M618" s="240"/>
      <c r="N618" s="239"/>
      <c r="O618" s="239"/>
      <c r="P618" s="239"/>
      <c r="Q618" s="239"/>
      <c r="R618" s="239"/>
      <c r="S618" s="239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167"/>
    </row>
    <row r="619" spans="1:30" ht="15.75" customHeight="1">
      <c r="A619" s="177"/>
      <c r="B619" s="239"/>
      <c r="C619" s="260"/>
      <c r="D619" s="278"/>
      <c r="E619" s="260"/>
      <c r="F619" s="239"/>
      <c r="G619" s="239"/>
      <c r="H619" s="239"/>
      <c r="I619" s="239"/>
      <c r="J619" s="239"/>
      <c r="K619" s="239"/>
      <c r="L619" s="239"/>
      <c r="M619" s="240"/>
      <c r="N619" s="239"/>
      <c r="O619" s="239"/>
      <c r="P619" s="239"/>
      <c r="Q619" s="239"/>
      <c r="R619" s="239"/>
      <c r="S619" s="239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167"/>
    </row>
    <row r="620" spans="1:30" ht="15.75" customHeight="1">
      <c r="A620" s="177"/>
      <c r="B620" s="239"/>
      <c r="C620" s="260"/>
      <c r="D620" s="278"/>
      <c r="E620" s="260"/>
      <c r="F620" s="239"/>
      <c r="G620" s="239"/>
      <c r="H620" s="239"/>
      <c r="I620" s="239"/>
      <c r="J620" s="239"/>
      <c r="K620" s="239"/>
      <c r="L620" s="239"/>
      <c r="M620" s="240"/>
      <c r="N620" s="239"/>
      <c r="O620" s="239"/>
      <c r="P620" s="239"/>
      <c r="Q620" s="239"/>
      <c r="R620" s="239"/>
      <c r="S620" s="239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167"/>
    </row>
    <row r="621" spans="1:30" ht="15.75" customHeight="1">
      <c r="A621" s="177"/>
      <c r="B621" s="239"/>
      <c r="C621" s="260"/>
      <c r="D621" s="278"/>
      <c r="E621" s="260"/>
      <c r="F621" s="239"/>
      <c r="G621" s="239"/>
      <c r="H621" s="239"/>
      <c r="I621" s="239"/>
      <c r="J621" s="239"/>
      <c r="K621" s="239"/>
      <c r="L621" s="239"/>
      <c r="M621" s="240"/>
      <c r="N621" s="239"/>
      <c r="O621" s="239"/>
      <c r="P621" s="239"/>
      <c r="Q621" s="239"/>
      <c r="R621" s="239"/>
      <c r="S621" s="239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167"/>
    </row>
    <row r="622" spans="1:30" ht="15.75" customHeight="1">
      <c r="A622" s="177"/>
      <c r="B622" s="239"/>
      <c r="C622" s="260"/>
      <c r="D622" s="278"/>
      <c r="E622" s="260"/>
      <c r="F622" s="239"/>
      <c r="G622" s="239"/>
      <c r="H622" s="239"/>
      <c r="I622" s="239"/>
      <c r="J622" s="239"/>
      <c r="K622" s="239"/>
      <c r="L622" s="239"/>
      <c r="M622" s="240"/>
      <c r="N622" s="239"/>
      <c r="O622" s="239"/>
      <c r="P622" s="239"/>
      <c r="Q622" s="239"/>
      <c r="R622" s="239"/>
      <c r="S622" s="239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167"/>
    </row>
    <row r="623" spans="1:30" ht="15.75" customHeight="1">
      <c r="A623" s="177"/>
      <c r="B623" s="239"/>
      <c r="C623" s="260"/>
      <c r="D623" s="278"/>
      <c r="E623" s="260"/>
      <c r="F623" s="239"/>
      <c r="G623" s="239"/>
      <c r="H623" s="239"/>
      <c r="I623" s="239"/>
      <c r="J623" s="239"/>
      <c r="K623" s="239"/>
      <c r="L623" s="239"/>
      <c r="M623" s="240"/>
      <c r="N623" s="239"/>
      <c r="O623" s="239"/>
      <c r="P623" s="239"/>
      <c r="Q623" s="239"/>
      <c r="R623" s="239"/>
      <c r="S623" s="239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167"/>
    </row>
    <row r="624" spans="1:30" ht="15.75" customHeight="1">
      <c r="A624" s="177"/>
      <c r="B624" s="239"/>
      <c r="C624" s="260"/>
      <c r="D624" s="278"/>
      <c r="E624" s="260"/>
      <c r="F624" s="239"/>
      <c r="G624" s="239"/>
      <c r="H624" s="239"/>
      <c r="I624" s="239"/>
      <c r="J624" s="239"/>
      <c r="K624" s="239"/>
      <c r="L624" s="239"/>
      <c r="M624" s="240"/>
      <c r="N624" s="239"/>
      <c r="O624" s="239"/>
      <c r="P624" s="239"/>
      <c r="Q624" s="239"/>
      <c r="R624" s="239"/>
      <c r="S624" s="239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167"/>
    </row>
    <row r="625" spans="1:30" ht="15.75" customHeight="1">
      <c r="A625" s="177"/>
      <c r="B625" s="239"/>
      <c r="C625" s="260"/>
      <c r="D625" s="278"/>
      <c r="E625" s="260"/>
      <c r="F625" s="239"/>
      <c r="G625" s="239"/>
      <c r="H625" s="239"/>
      <c r="I625" s="239"/>
      <c r="J625" s="239"/>
      <c r="K625" s="239"/>
      <c r="L625" s="239"/>
      <c r="M625" s="240"/>
      <c r="N625" s="239"/>
      <c r="O625" s="239"/>
      <c r="P625" s="239"/>
      <c r="Q625" s="239"/>
      <c r="R625" s="239"/>
      <c r="S625" s="239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167"/>
    </row>
    <row r="626" spans="1:30" ht="15.75" customHeight="1">
      <c r="A626" s="177"/>
      <c r="B626" s="239"/>
      <c r="C626" s="260"/>
      <c r="D626" s="278"/>
      <c r="E626" s="260"/>
      <c r="F626" s="239"/>
      <c r="G626" s="239"/>
      <c r="H626" s="239"/>
      <c r="I626" s="239"/>
      <c r="J626" s="239"/>
      <c r="K626" s="239"/>
      <c r="L626" s="239"/>
      <c r="M626" s="240"/>
      <c r="N626" s="239"/>
      <c r="O626" s="239"/>
      <c r="P626" s="239"/>
      <c r="Q626" s="239"/>
      <c r="R626" s="239"/>
      <c r="S626" s="239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167"/>
    </row>
    <row r="627" spans="1:30" ht="15.75" customHeight="1">
      <c r="A627" s="177"/>
      <c r="B627" s="239"/>
      <c r="C627" s="260"/>
      <c r="D627" s="278"/>
      <c r="E627" s="260"/>
      <c r="F627" s="239"/>
      <c r="G627" s="239"/>
      <c r="H627" s="239"/>
      <c r="I627" s="239"/>
      <c r="J627" s="239"/>
      <c r="K627" s="239"/>
      <c r="L627" s="239"/>
      <c r="M627" s="240"/>
      <c r="N627" s="239"/>
      <c r="O627" s="239"/>
      <c r="P627" s="239"/>
      <c r="Q627" s="239"/>
      <c r="R627" s="239"/>
      <c r="S627" s="239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167"/>
    </row>
    <row r="628" spans="1:30" ht="15.75" customHeight="1">
      <c r="A628" s="177"/>
      <c r="B628" s="239"/>
      <c r="C628" s="260"/>
      <c r="D628" s="278"/>
      <c r="E628" s="260"/>
      <c r="F628" s="239"/>
      <c r="G628" s="239"/>
      <c r="H628" s="239"/>
      <c r="I628" s="239"/>
      <c r="J628" s="239"/>
      <c r="K628" s="239"/>
      <c r="L628" s="239"/>
      <c r="M628" s="240"/>
      <c r="N628" s="239"/>
      <c r="O628" s="239"/>
      <c r="P628" s="239"/>
      <c r="Q628" s="239"/>
      <c r="R628" s="239"/>
      <c r="S628" s="239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167"/>
    </row>
    <row r="629" spans="1:30" ht="15.75" customHeight="1">
      <c r="A629" s="177"/>
      <c r="B629" s="239"/>
      <c r="C629" s="260"/>
      <c r="D629" s="278"/>
      <c r="E629" s="260"/>
      <c r="F629" s="239"/>
      <c r="G629" s="239"/>
      <c r="H629" s="239"/>
      <c r="I629" s="239"/>
      <c r="J629" s="239"/>
      <c r="K629" s="239"/>
      <c r="L629" s="239"/>
      <c r="M629" s="240"/>
      <c r="N629" s="239"/>
      <c r="O629" s="239"/>
      <c r="P629" s="239"/>
      <c r="Q629" s="239"/>
      <c r="R629" s="239"/>
      <c r="S629" s="239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167"/>
    </row>
    <row r="630" spans="1:30" ht="15.75" customHeight="1">
      <c r="A630" s="177"/>
      <c r="B630" s="239"/>
      <c r="C630" s="260"/>
      <c r="D630" s="278"/>
      <c r="E630" s="260"/>
      <c r="F630" s="239"/>
      <c r="G630" s="239"/>
      <c r="H630" s="239"/>
      <c r="I630" s="239"/>
      <c r="J630" s="239"/>
      <c r="K630" s="239"/>
      <c r="L630" s="239"/>
      <c r="M630" s="240"/>
      <c r="N630" s="239"/>
      <c r="O630" s="239"/>
      <c r="P630" s="239"/>
      <c r="Q630" s="239"/>
      <c r="R630" s="239"/>
      <c r="S630" s="239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167"/>
    </row>
    <row r="631" spans="1:30" ht="15.75" customHeight="1">
      <c r="A631" s="177"/>
      <c r="B631" s="239"/>
      <c r="C631" s="260"/>
      <c r="D631" s="278"/>
      <c r="E631" s="260"/>
      <c r="F631" s="239"/>
      <c r="G631" s="239"/>
      <c r="H631" s="239"/>
      <c r="I631" s="239"/>
      <c r="J631" s="239"/>
      <c r="K631" s="239"/>
      <c r="L631" s="239"/>
      <c r="M631" s="240"/>
      <c r="N631" s="239"/>
      <c r="O631" s="239"/>
      <c r="P631" s="239"/>
      <c r="Q631" s="239"/>
      <c r="R631" s="239"/>
      <c r="S631" s="239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167"/>
    </row>
    <row r="632" spans="1:30" ht="15.75" customHeight="1">
      <c r="A632" s="177"/>
      <c r="B632" s="239"/>
      <c r="C632" s="260"/>
      <c r="D632" s="278"/>
      <c r="E632" s="260"/>
      <c r="F632" s="239"/>
      <c r="G632" s="239"/>
      <c r="H632" s="239"/>
      <c r="I632" s="239"/>
      <c r="J632" s="239"/>
      <c r="K632" s="239"/>
      <c r="L632" s="239"/>
      <c r="M632" s="240"/>
      <c r="N632" s="239"/>
      <c r="O632" s="239"/>
      <c r="P632" s="239"/>
      <c r="Q632" s="239"/>
      <c r="R632" s="239"/>
      <c r="S632" s="239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167"/>
    </row>
    <row r="633" spans="1:30" ht="15.75" customHeight="1">
      <c r="A633" s="177"/>
      <c r="B633" s="239"/>
      <c r="C633" s="260"/>
      <c r="D633" s="278"/>
      <c r="E633" s="260"/>
      <c r="F633" s="239"/>
      <c r="G633" s="239"/>
      <c r="H633" s="239"/>
      <c r="I633" s="239"/>
      <c r="J633" s="239"/>
      <c r="K633" s="239"/>
      <c r="L633" s="239"/>
      <c r="M633" s="240"/>
      <c r="N633" s="239"/>
      <c r="O633" s="239"/>
      <c r="P633" s="239"/>
      <c r="Q633" s="239"/>
      <c r="R633" s="239"/>
      <c r="S633" s="239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167"/>
    </row>
    <row r="634" spans="1:30" ht="15.75" customHeight="1">
      <c r="A634" s="177"/>
      <c r="B634" s="239"/>
      <c r="C634" s="260"/>
      <c r="D634" s="278"/>
      <c r="E634" s="260"/>
      <c r="F634" s="239"/>
      <c r="G634" s="239"/>
      <c r="H634" s="239"/>
      <c r="I634" s="239"/>
      <c r="J634" s="239"/>
      <c r="K634" s="239"/>
      <c r="L634" s="239"/>
      <c r="M634" s="240"/>
      <c r="N634" s="239"/>
      <c r="O634" s="239"/>
      <c r="P634" s="239"/>
      <c r="Q634" s="239"/>
      <c r="R634" s="239"/>
      <c r="S634" s="239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167"/>
    </row>
    <row r="635" spans="1:30" ht="15.75" customHeight="1">
      <c r="A635" s="177"/>
      <c r="B635" s="239"/>
      <c r="C635" s="260"/>
      <c r="D635" s="278"/>
      <c r="E635" s="260"/>
      <c r="F635" s="239"/>
      <c r="G635" s="239"/>
      <c r="H635" s="239"/>
      <c r="I635" s="239"/>
      <c r="J635" s="239"/>
      <c r="K635" s="239"/>
      <c r="L635" s="239"/>
      <c r="M635" s="240"/>
      <c r="N635" s="239"/>
      <c r="O635" s="239"/>
      <c r="P635" s="239"/>
      <c r="Q635" s="239"/>
      <c r="R635" s="239"/>
      <c r="S635" s="239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167"/>
    </row>
    <row r="636" spans="1:30" ht="15.75" customHeight="1">
      <c r="A636" s="177"/>
      <c r="B636" s="239"/>
      <c r="C636" s="260"/>
      <c r="D636" s="278"/>
      <c r="E636" s="260"/>
      <c r="F636" s="239"/>
      <c r="G636" s="239"/>
      <c r="H636" s="239"/>
      <c r="I636" s="239"/>
      <c r="J636" s="239"/>
      <c r="K636" s="239"/>
      <c r="L636" s="239"/>
      <c r="M636" s="240"/>
      <c r="N636" s="239"/>
      <c r="O636" s="239"/>
      <c r="P636" s="239"/>
      <c r="Q636" s="239"/>
      <c r="R636" s="239"/>
      <c r="S636" s="239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167"/>
    </row>
    <row r="637" spans="1:30" ht="15.75" customHeight="1">
      <c r="A637" s="177"/>
      <c r="B637" s="239"/>
      <c r="C637" s="260"/>
      <c r="D637" s="278"/>
      <c r="E637" s="260"/>
      <c r="F637" s="239"/>
      <c r="G637" s="239"/>
      <c r="H637" s="239"/>
      <c r="I637" s="239"/>
      <c r="J637" s="239"/>
      <c r="K637" s="239"/>
      <c r="L637" s="239"/>
      <c r="M637" s="240"/>
      <c r="N637" s="239"/>
      <c r="O637" s="239"/>
      <c r="P637" s="239"/>
      <c r="Q637" s="239"/>
      <c r="R637" s="239"/>
      <c r="S637" s="239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167"/>
    </row>
    <row r="638" spans="1:30" ht="15.75" customHeight="1">
      <c r="A638" s="167"/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  <c r="AD638" s="167"/>
    </row>
    <row r="639" spans="1:30" ht="15.75" customHeight="1">
      <c r="A639" s="167"/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  <c r="AD639" s="167"/>
    </row>
    <row r="640" spans="1:30" ht="15.75" customHeight="1">
      <c r="A640" s="167"/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  <c r="AD640" s="167"/>
    </row>
    <row r="641" spans="1:30" ht="15.75" customHeight="1">
      <c r="A641" s="167"/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  <c r="AD641" s="167"/>
    </row>
    <row r="642" spans="1:30" ht="15.75" customHeight="1">
      <c r="A642" s="167"/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  <c r="AD642" s="167"/>
    </row>
    <row r="643" spans="1:30" ht="15.75" customHeight="1">
      <c r="A643" s="167"/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  <c r="AD643" s="167"/>
    </row>
    <row r="644" spans="1:30" ht="15.75" customHeight="1">
      <c r="A644" s="167"/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  <c r="AD644" s="167"/>
    </row>
    <row r="645" spans="1:30" ht="15.75" customHeight="1">
      <c r="A645" s="167"/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  <c r="AD645" s="167"/>
    </row>
    <row r="646" spans="1:30" ht="15.75" customHeight="1">
      <c r="A646" s="167"/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  <c r="AD646" s="167"/>
    </row>
    <row r="647" spans="1:30" ht="15.75" customHeight="1">
      <c r="A647" s="167"/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  <c r="AD647" s="167"/>
    </row>
    <row r="648" spans="1:30" ht="15.75" customHeight="1">
      <c r="A648" s="167"/>
      <c r="B648" s="167"/>
      <c r="C648" s="167"/>
      <c r="D648" s="167"/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  <c r="AD648" s="167"/>
    </row>
    <row r="649" spans="1:30" ht="15.75" customHeight="1">
      <c r="A649" s="167"/>
      <c r="B649" s="167"/>
      <c r="C649" s="167"/>
      <c r="D649" s="167"/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  <c r="AD649" s="167"/>
    </row>
    <row r="650" spans="1:30" ht="15.75" customHeight="1">
      <c r="A650" s="167"/>
      <c r="B650" s="167"/>
      <c r="C650" s="167"/>
      <c r="D650" s="167"/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  <c r="AD650" s="167"/>
    </row>
    <row r="651" spans="1:30" ht="15.75" customHeight="1">
      <c r="A651" s="167"/>
      <c r="B651" s="167"/>
      <c r="C651" s="167"/>
      <c r="D651" s="167"/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  <c r="AD651" s="167"/>
    </row>
    <row r="652" spans="1:30" ht="15.75" customHeight="1">
      <c r="A652" s="167"/>
      <c r="B652" s="167"/>
      <c r="C652" s="167"/>
      <c r="D652" s="167"/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  <c r="AD652" s="167"/>
    </row>
    <row r="653" spans="1:30" ht="15.75" customHeight="1">
      <c r="A653" s="167"/>
      <c r="B653" s="167"/>
      <c r="C653" s="167"/>
      <c r="D653" s="167"/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  <c r="AD653" s="167"/>
    </row>
    <row r="654" spans="1:30" ht="15.75" customHeight="1">
      <c r="A654" s="167"/>
      <c r="B654" s="167"/>
      <c r="C654" s="167"/>
      <c r="D654" s="167"/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  <c r="AD654" s="167"/>
    </row>
    <row r="655" spans="1:30" ht="15.75" customHeight="1">
      <c r="A655" s="167"/>
      <c r="B655" s="167"/>
      <c r="C655" s="167"/>
      <c r="D655" s="167"/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  <c r="AD655" s="167"/>
    </row>
    <row r="656" spans="1:30" ht="15.75" customHeight="1">
      <c r="A656" s="167"/>
      <c r="B656" s="167"/>
      <c r="C656" s="167"/>
      <c r="D656" s="167"/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  <c r="AD656" s="167"/>
    </row>
    <row r="657" spans="1:30" ht="15.75" customHeight="1">
      <c r="A657" s="167"/>
      <c r="B657" s="167"/>
      <c r="C657" s="167"/>
      <c r="D657" s="167"/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  <c r="AD657" s="167"/>
    </row>
    <row r="658" spans="1:30" ht="15.75" customHeight="1">
      <c r="A658" s="167"/>
      <c r="B658" s="167"/>
      <c r="C658" s="167"/>
      <c r="D658" s="167"/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  <c r="AD658" s="167"/>
    </row>
    <row r="659" spans="1:30" ht="15.75" customHeight="1">
      <c r="A659" s="167"/>
      <c r="B659" s="167"/>
      <c r="C659" s="167"/>
      <c r="D659" s="167"/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  <c r="AD659" s="167"/>
    </row>
    <row r="660" spans="1:30" ht="15.75" customHeight="1">
      <c r="A660" s="167"/>
      <c r="B660" s="167"/>
      <c r="C660" s="167"/>
      <c r="D660" s="167"/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  <c r="AD660" s="167"/>
    </row>
    <row r="661" spans="1:30" ht="15.75" customHeight="1">
      <c r="A661" s="167"/>
      <c r="B661" s="167"/>
      <c r="C661" s="167"/>
      <c r="D661" s="167"/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  <c r="AD661" s="167"/>
    </row>
    <row r="662" spans="1:30" ht="15.75" customHeight="1">
      <c r="A662" s="167"/>
      <c r="B662" s="167"/>
      <c r="C662" s="167"/>
      <c r="D662" s="167"/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  <c r="AD662" s="167"/>
    </row>
    <row r="663" spans="1:30" ht="15.75" customHeight="1">
      <c r="A663" s="167"/>
      <c r="B663" s="167"/>
      <c r="C663" s="167"/>
      <c r="D663" s="167"/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  <c r="AD663" s="167"/>
    </row>
    <row r="664" spans="1:30" ht="15.75" customHeight="1">
      <c r="A664" s="167"/>
      <c r="B664" s="167"/>
      <c r="C664" s="167"/>
      <c r="D664" s="167"/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  <c r="AD664" s="167"/>
    </row>
    <row r="665" spans="1:30" ht="15.75" customHeight="1">
      <c r="A665" s="167"/>
      <c r="B665" s="167"/>
      <c r="C665" s="167"/>
      <c r="D665" s="167"/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  <c r="AD665" s="167"/>
    </row>
    <row r="666" spans="1:30" ht="15.75" customHeight="1">
      <c r="A666" s="167"/>
      <c r="B666" s="167"/>
      <c r="C666" s="167"/>
      <c r="D666" s="167"/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  <c r="AD666" s="167"/>
    </row>
    <row r="667" spans="1:30" ht="15.75" customHeight="1">
      <c r="A667" s="167"/>
      <c r="B667" s="167"/>
      <c r="C667" s="167"/>
      <c r="D667" s="167"/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  <c r="AD667" s="167"/>
    </row>
    <row r="668" spans="1:30" ht="15.75" customHeight="1">
      <c r="A668" s="167"/>
      <c r="B668" s="167"/>
      <c r="C668" s="167"/>
      <c r="D668" s="167"/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  <c r="AD668" s="167"/>
    </row>
    <row r="669" spans="1:30" ht="15.75" customHeight="1">
      <c r="A669" s="167"/>
      <c r="B669" s="167"/>
      <c r="C669" s="167"/>
      <c r="D669" s="167"/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  <c r="AD669" s="167"/>
    </row>
    <row r="670" spans="1:30" ht="15.75" customHeight="1">
      <c r="A670" s="167"/>
      <c r="B670" s="167"/>
      <c r="C670" s="167"/>
      <c r="D670" s="167"/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  <c r="AD670" s="167"/>
    </row>
    <row r="671" spans="1:30" ht="15.75" customHeight="1">
      <c r="A671" s="167"/>
      <c r="B671" s="167"/>
      <c r="C671" s="167"/>
      <c r="D671" s="167"/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  <c r="AD671" s="167"/>
    </row>
    <row r="672" spans="1:30" ht="15.75" customHeight="1">
      <c r="A672" s="167"/>
      <c r="B672" s="167"/>
      <c r="C672" s="167"/>
      <c r="D672" s="167"/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  <c r="AD672" s="167"/>
    </row>
    <row r="673" spans="1:30" ht="15.75" customHeight="1">
      <c r="A673" s="167"/>
      <c r="B673" s="167"/>
      <c r="C673" s="167"/>
      <c r="D673" s="167"/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  <c r="AD673" s="167"/>
    </row>
    <row r="674" spans="1:30" ht="15.75" customHeight="1">
      <c r="A674" s="167"/>
      <c r="B674" s="167"/>
      <c r="C674" s="167"/>
      <c r="D674" s="167"/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  <c r="AD674" s="167"/>
    </row>
    <row r="675" spans="1:30" ht="15.75" customHeight="1">
      <c r="A675" s="167"/>
      <c r="B675" s="167"/>
      <c r="C675" s="167"/>
      <c r="D675" s="167"/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  <c r="AD675" s="167"/>
    </row>
    <row r="676" spans="1:30" ht="15.75" customHeight="1">
      <c r="A676" s="167"/>
      <c r="B676" s="167"/>
      <c r="C676" s="167"/>
      <c r="D676" s="167"/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  <c r="AD676" s="167"/>
    </row>
    <row r="677" spans="1:30" ht="15.75" customHeight="1">
      <c r="A677" s="167"/>
      <c r="B677" s="167"/>
      <c r="C677" s="167"/>
      <c r="D677" s="167"/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  <c r="AD677" s="167"/>
    </row>
    <row r="678" spans="1:30" ht="15.75" customHeight="1">
      <c r="A678" s="167"/>
      <c r="B678" s="167"/>
      <c r="C678" s="167"/>
      <c r="D678" s="167"/>
      <c r="E678" s="167"/>
      <c r="F678" s="167"/>
      <c r="G678" s="167"/>
      <c r="H678" s="167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  <c r="AD678" s="167"/>
    </row>
    <row r="679" spans="1:30" ht="15.75" customHeight="1">
      <c r="A679" s="167"/>
      <c r="B679" s="167"/>
      <c r="C679" s="167"/>
      <c r="D679" s="167"/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  <c r="AD679" s="167"/>
    </row>
    <row r="680" spans="1:30" ht="15.75" customHeight="1">
      <c r="A680" s="167"/>
      <c r="B680" s="167"/>
      <c r="C680" s="167"/>
      <c r="D680" s="167"/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  <c r="AD680" s="167"/>
    </row>
    <row r="681" spans="1:30" ht="15.75" customHeight="1">
      <c r="A681" s="167"/>
      <c r="B681" s="167"/>
      <c r="C681" s="167"/>
      <c r="D681" s="167"/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  <c r="AD681" s="167"/>
    </row>
    <row r="682" spans="1:30" ht="15.75" customHeight="1">
      <c r="A682" s="167"/>
      <c r="B682" s="167"/>
      <c r="C682" s="167"/>
      <c r="D682" s="167"/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  <c r="AD682" s="167"/>
    </row>
    <row r="683" spans="1:30" ht="15.75" customHeight="1">
      <c r="A683" s="167"/>
      <c r="B683" s="167"/>
      <c r="C683" s="167"/>
      <c r="D683" s="167"/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  <c r="AD683" s="167"/>
    </row>
    <row r="684" spans="1:30" ht="15.75" customHeight="1">
      <c r="A684" s="167"/>
      <c r="B684" s="167"/>
      <c r="C684" s="167"/>
      <c r="D684" s="167"/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  <c r="AD684" s="167"/>
    </row>
    <row r="685" spans="1:30" ht="15.75" customHeight="1">
      <c r="A685" s="167"/>
      <c r="B685" s="167"/>
      <c r="C685" s="167"/>
      <c r="D685" s="167"/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  <c r="AD685" s="167"/>
    </row>
    <row r="686" spans="1:30" ht="15.75" customHeight="1">
      <c r="A686" s="167"/>
      <c r="B686" s="167"/>
      <c r="C686" s="167"/>
      <c r="D686" s="167"/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  <c r="AD686" s="167"/>
    </row>
    <row r="687" spans="1:30" ht="15.75" customHeight="1">
      <c r="A687" s="167"/>
      <c r="B687" s="167"/>
      <c r="C687" s="167"/>
      <c r="D687" s="167"/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  <c r="AD687" s="167"/>
    </row>
    <row r="688" spans="1:30" ht="15.75" customHeight="1">
      <c r="A688" s="167"/>
      <c r="B688" s="167"/>
      <c r="C688" s="167"/>
      <c r="D688" s="167"/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  <c r="AD688" s="167"/>
    </row>
    <row r="689" spans="1:30" ht="15.75" customHeight="1">
      <c r="A689" s="167"/>
      <c r="B689" s="167"/>
      <c r="C689" s="167"/>
      <c r="D689" s="167"/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  <c r="AD689" s="167"/>
    </row>
    <row r="690" spans="1:30" ht="15.75" customHeight="1">
      <c r="A690" s="167"/>
      <c r="B690" s="167"/>
      <c r="C690" s="167"/>
      <c r="D690" s="167"/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  <c r="AD690" s="167"/>
    </row>
    <row r="691" spans="1:30" ht="15.75" customHeight="1">
      <c r="A691" s="167"/>
      <c r="B691" s="167"/>
      <c r="C691" s="167"/>
      <c r="D691" s="167"/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  <c r="AD691" s="167"/>
    </row>
    <row r="692" spans="1:30" ht="15.75" customHeight="1">
      <c r="A692" s="167"/>
      <c r="B692" s="167"/>
      <c r="C692" s="167"/>
      <c r="D692" s="167"/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  <c r="AD692" s="167"/>
    </row>
    <row r="693" spans="1:30" ht="15.75" customHeight="1">
      <c r="A693" s="167"/>
      <c r="B693" s="167"/>
      <c r="C693" s="167"/>
      <c r="D693" s="167"/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  <c r="AD693" s="167"/>
    </row>
    <row r="694" spans="1:30" ht="15.75" customHeight="1">
      <c r="A694" s="167"/>
      <c r="B694" s="167"/>
      <c r="C694" s="167"/>
      <c r="D694" s="167"/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  <c r="AD694" s="167"/>
    </row>
    <row r="695" spans="1:30" ht="15.75" customHeight="1">
      <c r="A695" s="167"/>
      <c r="B695" s="167"/>
      <c r="C695" s="167"/>
      <c r="D695" s="167"/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  <c r="AD695" s="167"/>
    </row>
    <row r="696" spans="1:30" ht="15.75" customHeight="1">
      <c r="A696" s="167"/>
      <c r="B696" s="167"/>
      <c r="C696" s="167"/>
      <c r="D696" s="167"/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  <c r="AD696" s="167"/>
    </row>
    <row r="697" spans="1:30" ht="15.75" customHeight="1">
      <c r="A697" s="167"/>
      <c r="B697" s="167"/>
      <c r="C697" s="167"/>
      <c r="D697" s="167"/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  <c r="AD697" s="167"/>
    </row>
    <row r="698" spans="1:30" ht="15.75" customHeight="1">
      <c r="A698" s="167"/>
      <c r="B698" s="167"/>
      <c r="C698" s="167"/>
      <c r="D698" s="167"/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  <c r="AD698" s="167"/>
    </row>
    <row r="699" spans="1:30" ht="15.75" customHeight="1">
      <c r="A699" s="167"/>
      <c r="B699" s="167"/>
      <c r="C699" s="167"/>
      <c r="D699" s="167"/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  <c r="AD699" s="167"/>
    </row>
    <row r="700" spans="1:30" ht="15.75" customHeight="1">
      <c r="A700" s="167"/>
      <c r="B700" s="167"/>
      <c r="C700" s="167"/>
      <c r="D700" s="167"/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  <c r="AD700" s="167"/>
    </row>
    <row r="701" spans="1:30" ht="15.75" customHeight="1">
      <c r="A701" s="167"/>
      <c r="B701" s="167"/>
      <c r="C701" s="167"/>
      <c r="D701" s="167"/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  <c r="AD701" s="167"/>
    </row>
    <row r="702" spans="1:30" ht="15.75" customHeight="1">
      <c r="A702" s="167"/>
      <c r="B702" s="167"/>
      <c r="C702" s="167"/>
      <c r="D702" s="167"/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  <c r="AD702" s="167"/>
    </row>
    <row r="703" spans="1:30" ht="15.75" customHeight="1">
      <c r="A703" s="167"/>
      <c r="B703" s="167"/>
      <c r="C703" s="167"/>
      <c r="D703" s="167"/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  <c r="AD703" s="167"/>
    </row>
    <row r="704" spans="1:30" ht="15.75" customHeight="1">
      <c r="A704" s="167"/>
      <c r="B704" s="167"/>
      <c r="C704" s="167"/>
      <c r="D704" s="167"/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  <c r="AD704" s="167"/>
    </row>
    <row r="705" spans="1:30" ht="15.75" customHeight="1">
      <c r="A705" s="167"/>
      <c r="B705" s="167"/>
      <c r="C705" s="167"/>
      <c r="D705" s="167"/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  <c r="AD705" s="167"/>
    </row>
    <row r="706" spans="1:30" ht="15.75" customHeight="1">
      <c r="A706" s="167"/>
      <c r="B706" s="167"/>
      <c r="C706" s="167"/>
      <c r="D706" s="167"/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  <c r="AD706" s="167"/>
    </row>
    <row r="707" spans="1:30" ht="15.75" customHeight="1">
      <c r="A707" s="167"/>
      <c r="B707" s="167"/>
      <c r="C707" s="167"/>
      <c r="D707" s="167"/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  <c r="AD707" s="167"/>
    </row>
    <row r="708" spans="1:30" ht="15.75" customHeight="1">
      <c r="A708" s="167"/>
      <c r="B708" s="167"/>
      <c r="C708" s="167"/>
      <c r="D708" s="167"/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  <c r="AD708" s="167"/>
    </row>
    <row r="709" spans="1:30" ht="15.75" customHeight="1">
      <c r="A709" s="167"/>
      <c r="B709" s="167"/>
      <c r="C709" s="167"/>
      <c r="D709" s="167"/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  <c r="AD709" s="167"/>
    </row>
    <row r="710" spans="1:30" ht="15.75" customHeight="1">
      <c r="A710" s="167"/>
      <c r="B710" s="167"/>
      <c r="C710" s="167"/>
      <c r="D710" s="167"/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  <c r="AD710" s="167"/>
    </row>
    <row r="711" spans="1:30" ht="15.75" customHeight="1">
      <c r="A711" s="167"/>
      <c r="B711" s="167"/>
      <c r="C711" s="167"/>
      <c r="D711" s="167"/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  <c r="AD711" s="167"/>
    </row>
    <row r="712" spans="1:30" ht="15.75" customHeight="1">
      <c r="A712" s="167"/>
      <c r="B712" s="167"/>
      <c r="C712" s="167"/>
      <c r="D712" s="167"/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  <c r="AD712" s="167"/>
    </row>
    <row r="713" spans="1:30" ht="15.75" customHeight="1">
      <c r="A713" s="167"/>
      <c r="B713" s="167"/>
      <c r="C713" s="167"/>
      <c r="D713" s="167"/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  <c r="AD713" s="167"/>
    </row>
    <row r="714" spans="1:30" ht="15.75" customHeight="1">
      <c r="A714" s="167"/>
      <c r="B714" s="167"/>
      <c r="C714" s="167"/>
      <c r="D714" s="167"/>
      <c r="E714" s="167"/>
      <c r="F714" s="167"/>
      <c r="G714" s="167"/>
      <c r="H714" s="167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  <c r="AD714" s="167"/>
    </row>
    <row r="715" spans="1:30" ht="15.75" customHeight="1"/>
    <row r="716" spans="1:30" ht="15.75" customHeight="1"/>
    <row r="717" spans="1:30" ht="15.75" customHeight="1"/>
    <row r="718" spans="1:30" ht="15.75" customHeight="1"/>
    <row r="719" spans="1:30" ht="15.75" customHeight="1"/>
    <row r="720" spans="1:3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S7"/>
    <mergeCell ref="A8:S8"/>
    <mergeCell ref="A10:A17"/>
    <mergeCell ref="C10:C11"/>
    <mergeCell ref="D10:D17"/>
    <mergeCell ref="E10:E17"/>
    <mergeCell ref="F10:T10"/>
  </mergeCells>
  <conditionalFormatting sqref="F11:I11 N11:S11">
    <cfRule type="containsText" dxfId="76" priority="1" operator="containsText" text="&quot;quảng ngãi&quot;">
      <formula>NOT(ISERROR(SEARCH(("""quảng ngãi"""),(F11))))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66699"/>
  </sheetPr>
  <dimension ref="A1:Z1000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 activeCell="F15" sqref="F15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15" width="13.7265625" customWidth="1"/>
    <col min="16" max="19" width="9.08984375" customWidth="1"/>
    <col min="20" max="24" width="8" customWidth="1"/>
  </cols>
  <sheetData>
    <row r="1" spans="1:26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6"/>
      <c r="Q1" s="176"/>
      <c r="R1" s="176"/>
      <c r="S1" s="176"/>
      <c r="T1" s="176"/>
      <c r="U1" s="176"/>
      <c r="V1" s="176"/>
      <c r="W1" s="176"/>
      <c r="X1" s="176"/>
      <c r="Y1" s="167"/>
      <c r="Z1" s="7"/>
    </row>
    <row r="2" spans="1:26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6"/>
      <c r="Q2" s="176"/>
      <c r="R2" s="176"/>
      <c r="S2" s="176"/>
      <c r="T2" s="176"/>
      <c r="U2" s="176"/>
      <c r="V2" s="176"/>
      <c r="W2" s="176"/>
      <c r="X2" s="176"/>
      <c r="Y2" s="167"/>
      <c r="Z2" s="7"/>
    </row>
    <row r="3" spans="1:26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6"/>
      <c r="Q3" s="176"/>
      <c r="R3" s="176"/>
      <c r="S3" s="176"/>
      <c r="T3" s="176"/>
      <c r="U3" s="176"/>
      <c r="V3" s="176"/>
      <c r="W3" s="176"/>
      <c r="X3" s="176"/>
      <c r="Y3" s="167"/>
      <c r="Z3" s="7"/>
    </row>
    <row r="4" spans="1:26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6"/>
      <c r="Q4" s="176"/>
      <c r="R4" s="176"/>
      <c r="S4" s="176"/>
      <c r="T4" s="176"/>
      <c r="U4" s="176"/>
      <c r="V4" s="176"/>
      <c r="W4" s="176"/>
      <c r="X4" s="176"/>
      <c r="Y4" s="167"/>
      <c r="Z4" s="7"/>
    </row>
    <row r="5" spans="1:26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6"/>
      <c r="Q5" s="176"/>
      <c r="R5" s="176"/>
      <c r="S5" s="176"/>
      <c r="T5" s="176"/>
      <c r="U5" s="176"/>
      <c r="V5" s="176"/>
      <c r="W5" s="176"/>
      <c r="X5" s="176"/>
      <c r="Y5" s="167"/>
      <c r="Z5" s="7"/>
    </row>
    <row r="6" spans="1:26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6"/>
      <c r="Q6" s="176"/>
      <c r="R6" s="176"/>
      <c r="S6" s="176"/>
      <c r="T6" s="176"/>
      <c r="U6" s="176"/>
      <c r="V6" s="176"/>
      <c r="W6" s="176"/>
      <c r="X6" s="176"/>
      <c r="Y6" s="167"/>
      <c r="Z6" s="7"/>
    </row>
    <row r="7" spans="1:26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176"/>
      <c r="Q7" s="176"/>
      <c r="R7" s="176"/>
      <c r="S7" s="176"/>
      <c r="T7" s="176"/>
      <c r="U7" s="176"/>
      <c r="V7" s="176"/>
      <c r="W7" s="176"/>
      <c r="X7" s="176"/>
      <c r="Y7" s="167"/>
      <c r="Z7" s="7"/>
    </row>
    <row r="8" spans="1:26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176"/>
      <c r="Q8" s="176"/>
      <c r="R8" s="176"/>
      <c r="S8" s="176"/>
      <c r="T8" s="176"/>
      <c r="U8" s="176"/>
      <c r="V8" s="176"/>
      <c r="W8" s="176"/>
      <c r="X8" s="176"/>
      <c r="Y8" s="167"/>
      <c r="Z8" s="7"/>
    </row>
    <row r="9" spans="1:26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67"/>
      <c r="Z9" s="7"/>
    </row>
    <row r="10" spans="1:26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3"/>
      <c r="G10" s="779"/>
      <c r="H10" s="779"/>
      <c r="I10" s="779"/>
      <c r="J10" s="779"/>
      <c r="K10" s="779"/>
      <c r="L10" s="779"/>
      <c r="M10" s="779"/>
      <c r="N10" s="779"/>
      <c r="O10" s="771"/>
      <c r="P10" s="176"/>
      <c r="Q10" s="176"/>
      <c r="R10" s="176"/>
      <c r="S10" s="176"/>
      <c r="T10" s="176"/>
      <c r="U10" s="176"/>
      <c r="V10" s="176"/>
      <c r="W10" s="176"/>
      <c r="X10" s="176"/>
      <c r="Y10" s="167"/>
      <c r="Z10" s="7"/>
    </row>
    <row r="11" spans="1:26" ht="18.75" customHeight="1">
      <c r="A11" s="767"/>
      <c r="B11" s="767"/>
      <c r="C11" s="768"/>
      <c r="D11" s="767"/>
      <c r="E11" s="781"/>
      <c r="F11" s="279"/>
      <c r="G11" s="280"/>
      <c r="H11" s="279"/>
      <c r="I11" s="279"/>
      <c r="J11" s="280"/>
      <c r="K11" s="279"/>
      <c r="L11" s="279"/>
      <c r="M11" s="279"/>
      <c r="N11" s="279"/>
      <c r="O11" s="280"/>
      <c r="P11" s="184"/>
      <c r="Q11" s="184"/>
      <c r="R11" s="184">
        <f>COUNTA(F11:O11)</f>
        <v>0</v>
      </c>
      <c r="S11" s="184"/>
      <c r="T11" s="184"/>
      <c r="U11" s="184"/>
      <c r="V11" s="184"/>
      <c r="W11" s="184"/>
      <c r="X11" s="184"/>
      <c r="Y11" s="184"/>
      <c r="Z11" s="7"/>
    </row>
    <row r="12" spans="1:26" ht="18.75" customHeight="1">
      <c r="A12" s="767"/>
      <c r="B12" s="767"/>
      <c r="C12" s="25" t="s">
        <v>39</v>
      </c>
      <c r="D12" s="767"/>
      <c r="E12" s="781"/>
      <c r="F12" s="247"/>
      <c r="G12" s="248"/>
      <c r="H12" s="247"/>
      <c r="I12" s="247"/>
      <c r="J12" s="248"/>
      <c r="K12" s="247"/>
      <c r="L12" s="247"/>
      <c r="M12" s="247"/>
      <c r="N12" s="247"/>
      <c r="O12" s="248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7"/>
    </row>
    <row r="13" spans="1:26" ht="47.25" customHeight="1">
      <c r="A13" s="767"/>
      <c r="B13" s="767"/>
      <c r="C13" s="25" t="s">
        <v>40</v>
      </c>
      <c r="D13" s="767"/>
      <c r="E13" s="781"/>
      <c r="F13" s="250"/>
      <c r="G13" s="251"/>
      <c r="H13" s="250"/>
      <c r="I13" s="248"/>
      <c r="J13" s="248"/>
      <c r="K13" s="192"/>
      <c r="L13" s="192"/>
      <c r="M13" s="192"/>
      <c r="N13" s="192"/>
      <c r="O13" s="251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7"/>
    </row>
    <row r="14" spans="1:26" ht="38.25" hidden="1" customHeight="1">
      <c r="A14" s="767"/>
      <c r="B14" s="767"/>
      <c r="C14" s="25" t="s">
        <v>41</v>
      </c>
      <c r="D14" s="767"/>
      <c r="E14" s="781"/>
      <c r="F14" s="247"/>
      <c r="G14" s="248"/>
      <c r="H14" s="247"/>
      <c r="I14" s="247"/>
      <c r="J14" s="248"/>
      <c r="K14" s="247"/>
      <c r="L14" s="247"/>
      <c r="M14" s="247"/>
      <c r="N14" s="247"/>
      <c r="O14" s="248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7"/>
    </row>
    <row r="15" spans="1:26" ht="33" customHeight="1">
      <c r="A15" s="767"/>
      <c r="B15" s="767"/>
      <c r="C15" s="24" t="s">
        <v>42</v>
      </c>
      <c r="D15" s="767"/>
      <c r="E15" s="781"/>
      <c r="F15" s="247"/>
      <c r="G15" s="248"/>
      <c r="H15" s="247"/>
      <c r="I15" s="247"/>
      <c r="J15" s="248"/>
      <c r="K15" s="247"/>
      <c r="L15" s="247"/>
      <c r="M15" s="247"/>
      <c r="N15" s="247"/>
      <c r="O15" s="248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7"/>
    </row>
    <row r="16" spans="1:26" ht="30.75" customHeight="1">
      <c r="A16" s="767"/>
      <c r="B16" s="767"/>
      <c r="C16" s="25" t="s">
        <v>977</v>
      </c>
      <c r="D16" s="767"/>
      <c r="E16" s="781"/>
      <c r="F16" s="247"/>
      <c r="G16" s="248"/>
      <c r="H16" s="247"/>
      <c r="I16" s="192"/>
      <c r="J16" s="281"/>
      <c r="K16" s="247"/>
      <c r="L16" s="192"/>
      <c r="M16" s="247"/>
      <c r="N16" s="247"/>
      <c r="O16" s="248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7"/>
    </row>
    <row r="17" spans="1:26" ht="36" customHeight="1">
      <c r="A17" s="768"/>
      <c r="B17" s="768"/>
      <c r="C17" s="25" t="s">
        <v>70</v>
      </c>
      <c r="D17" s="768"/>
      <c r="E17" s="782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7"/>
    </row>
    <row r="18" spans="1:26" ht="16.5" customHeight="1">
      <c r="A18" s="41"/>
      <c r="B18" s="42" t="s">
        <v>85</v>
      </c>
      <c r="C18" s="42"/>
      <c r="D18" s="42"/>
      <c r="E18" s="195"/>
      <c r="F18" s="255"/>
      <c r="G18" s="256"/>
      <c r="H18" s="255"/>
      <c r="I18" s="255"/>
      <c r="J18" s="256"/>
      <c r="K18" s="255"/>
      <c r="L18" s="255"/>
      <c r="M18" s="255"/>
      <c r="N18" s="255"/>
      <c r="O18" s="256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7"/>
    </row>
    <row r="19" spans="1:26" ht="26.25" customHeight="1">
      <c r="A19" s="46">
        <v>1</v>
      </c>
      <c r="B19" s="47" t="s">
        <v>87</v>
      </c>
      <c r="C19" s="47" t="s">
        <v>88</v>
      </c>
      <c r="D19" s="46"/>
      <c r="E19" s="200"/>
      <c r="F19" s="258"/>
      <c r="G19" s="259"/>
      <c r="H19" s="258"/>
      <c r="I19" s="258"/>
      <c r="J19" s="259"/>
      <c r="K19" s="258"/>
      <c r="L19" s="258"/>
      <c r="M19" s="258"/>
      <c r="N19" s="258"/>
      <c r="O19" s="259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7"/>
    </row>
    <row r="20" spans="1:26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SUM(F20:O20)</f>
        <v>0</v>
      </c>
      <c r="F20" s="282"/>
      <c r="G20" s="283"/>
      <c r="H20" s="284"/>
      <c r="I20" s="284"/>
      <c r="J20" s="282"/>
      <c r="K20" s="284"/>
      <c r="L20" s="284"/>
      <c r="M20" s="284"/>
      <c r="N20" s="284"/>
      <c r="O20" s="283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85"/>
    </row>
    <row r="21" spans="1:26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262"/>
      <c r="G21" s="259"/>
      <c r="H21" s="262"/>
      <c r="I21" s="262"/>
      <c r="J21" s="259"/>
      <c r="K21" s="262"/>
      <c r="L21" s="262"/>
      <c r="M21" s="262"/>
      <c r="N21" s="262"/>
      <c r="O21" s="259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7"/>
    </row>
    <row r="22" spans="1:26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262"/>
      <c r="G22" s="259"/>
      <c r="H22" s="262"/>
      <c r="I22" s="262"/>
      <c r="J22" s="259"/>
      <c r="K22" s="262"/>
      <c r="L22" s="262"/>
      <c r="M22" s="262"/>
      <c r="N22" s="262"/>
      <c r="O22" s="259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7"/>
    </row>
    <row r="23" spans="1:26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262"/>
      <c r="G23" s="259"/>
      <c r="H23" s="262"/>
      <c r="I23" s="262"/>
      <c r="J23" s="259"/>
      <c r="K23" s="262"/>
      <c r="L23" s="262"/>
      <c r="M23" s="262"/>
      <c r="N23" s="262"/>
      <c r="O23" s="259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7"/>
    </row>
    <row r="24" spans="1:26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262"/>
      <c r="G24" s="259"/>
      <c r="H24" s="262"/>
      <c r="I24" s="262"/>
      <c r="J24" s="259"/>
      <c r="K24" s="262"/>
      <c r="L24" s="262"/>
      <c r="M24" s="262"/>
      <c r="N24" s="262"/>
      <c r="O24" s="259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7"/>
    </row>
    <row r="25" spans="1:26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286"/>
      <c r="G25" s="283"/>
      <c r="H25" s="286"/>
      <c r="I25" s="286"/>
      <c r="J25" s="283"/>
      <c r="K25" s="286"/>
      <c r="L25" s="286"/>
      <c r="M25" s="286"/>
      <c r="N25" s="286"/>
      <c r="O25" s="28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85"/>
    </row>
    <row r="26" spans="1:26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262"/>
      <c r="G26" s="259"/>
      <c r="H26" s="262"/>
      <c r="I26" s="262"/>
      <c r="J26" s="262"/>
      <c r="K26" s="262"/>
      <c r="L26" s="262"/>
      <c r="M26" s="262"/>
      <c r="N26" s="262"/>
      <c r="O26" s="259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7"/>
    </row>
    <row r="27" spans="1:26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262"/>
      <c r="G27" s="259"/>
      <c r="H27" s="262"/>
      <c r="I27" s="262"/>
      <c r="J27" s="262"/>
      <c r="K27" s="262"/>
      <c r="L27" s="262"/>
      <c r="M27" s="262"/>
      <c r="N27" s="262"/>
      <c r="O27" s="259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7"/>
    </row>
    <row r="28" spans="1:26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262"/>
      <c r="G28" s="259"/>
      <c r="H28" s="262"/>
      <c r="I28" s="262"/>
      <c r="J28" s="262"/>
      <c r="K28" s="262"/>
      <c r="L28" s="262"/>
      <c r="M28" s="262"/>
      <c r="N28" s="262"/>
      <c r="O28" s="259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7"/>
    </row>
    <row r="29" spans="1:26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262"/>
      <c r="G29" s="259"/>
      <c r="H29" s="262"/>
      <c r="I29" s="262"/>
      <c r="J29" s="262"/>
      <c r="K29" s="262"/>
      <c r="L29" s="262"/>
      <c r="M29" s="262"/>
      <c r="N29" s="262"/>
      <c r="O29" s="259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7"/>
    </row>
    <row r="30" spans="1:26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286"/>
      <c r="G30" s="283"/>
      <c r="H30" s="286"/>
      <c r="I30" s="286"/>
      <c r="J30" s="286"/>
      <c r="K30" s="286"/>
      <c r="L30" s="286"/>
      <c r="M30" s="286"/>
      <c r="N30" s="286"/>
      <c r="O30" s="28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85"/>
    </row>
    <row r="31" spans="1:26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262"/>
      <c r="G31" s="259"/>
      <c r="H31" s="262"/>
      <c r="I31" s="262"/>
      <c r="J31" s="262"/>
      <c r="K31" s="262"/>
      <c r="L31" s="262"/>
      <c r="M31" s="262"/>
      <c r="N31" s="262"/>
      <c r="O31" s="259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7"/>
    </row>
    <row r="32" spans="1:26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262"/>
      <c r="G32" s="259"/>
      <c r="H32" s="262"/>
      <c r="I32" s="262"/>
      <c r="J32" s="262"/>
      <c r="K32" s="262"/>
      <c r="L32" s="262"/>
      <c r="M32" s="262"/>
      <c r="N32" s="262"/>
      <c r="O32" s="259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7"/>
    </row>
    <row r="33" spans="1:26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262"/>
      <c r="G33" s="259"/>
      <c r="H33" s="262"/>
      <c r="I33" s="262"/>
      <c r="J33" s="262"/>
      <c r="K33" s="262"/>
      <c r="L33" s="262"/>
      <c r="M33" s="262"/>
      <c r="N33" s="262"/>
      <c r="O33" s="259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7"/>
    </row>
    <row r="34" spans="1:26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262"/>
      <c r="G34" s="259"/>
      <c r="H34" s="262"/>
      <c r="I34" s="262"/>
      <c r="J34" s="262"/>
      <c r="K34" s="262"/>
      <c r="L34" s="262"/>
      <c r="M34" s="262"/>
      <c r="N34" s="262"/>
      <c r="O34" s="259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7"/>
    </row>
    <row r="35" spans="1:26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262"/>
      <c r="G35" s="259"/>
      <c r="H35" s="262"/>
      <c r="I35" s="262"/>
      <c r="J35" s="262"/>
      <c r="K35" s="262"/>
      <c r="L35" s="262"/>
      <c r="M35" s="262"/>
      <c r="N35" s="262"/>
      <c r="O35" s="259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7"/>
    </row>
    <row r="36" spans="1:26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262"/>
      <c r="G36" s="259"/>
      <c r="H36" s="262"/>
      <c r="I36" s="262"/>
      <c r="J36" s="262"/>
      <c r="K36" s="262"/>
      <c r="L36" s="262"/>
      <c r="M36" s="262"/>
      <c r="N36" s="262"/>
      <c r="O36" s="259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7"/>
    </row>
    <row r="37" spans="1:26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261"/>
      <c r="G37" s="259"/>
      <c r="H37" s="261"/>
      <c r="I37" s="261"/>
      <c r="J37" s="261"/>
      <c r="K37" s="261"/>
      <c r="L37" s="261"/>
      <c r="M37" s="261"/>
      <c r="N37" s="261"/>
      <c r="O37" s="259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7"/>
    </row>
    <row r="38" spans="1:26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284"/>
      <c r="G38" s="283"/>
      <c r="H38" s="284"/>
      <c r="I38" s="284"/>
      <c r="J38" s="284"/>
      <c r="K38" s="284"/>
      <c r="L38" s="284"/>
      <c r="M38" s="284"/>
      <c r="N38" s="284"/>
      <c r="O38" s="283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85"/>
    </row>
    <row r="39" spans="1:26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262"/>
      <c r="G39" s="259"/>
      <c r="H39" s="262"/>
      <c r="I39" s="262"/>
      <c r="J39" s="262"/>
      <c r="K39" s="262"/>
      <c r="L39" s="262"/>
      <c r="M39" s="262"/>
      <c r="N39" s="262"/>
      <c r="O39" s="262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7"/>
    </row>
    <row r="40" spans="1:26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262"/>
      <c r="G40" s="259"/>
      <c r="H40" s="262"/>
      <c r="I40" s="262"/>
      <c r="J40" s="262"/>
      <c r="K40" s="262"/>
      <c r="L40" s="262"/>
      <c r="M40" s="262"/>
      <c r="N40" s="262"/>
      <c r="O40" s="262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7"/>
    </row>
    <row r="41" spans="1:26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262"/>
      <c r="G41" s="259"/>
      <c r="H41" s="262"/>
      <c r="I41" s="262"/>
      <c r="J41" s="262"/>
      <c r="K41" s="262"/>
      <c r="L41" s="262"/>
      <c r="M41" s="262"/>
      <c r="N41" s="262"/>
      <c r="O41" s="262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7"/>
    </row>
    <row r="42" spans="1:26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262"/>
      <c r="G42" s="259"/>
      <c r="H42" s="262"/>
      <c r="I42" s="262"/>
      <c r="J42" s="262"/>
      <c r="K42" s="262"/>
      <c r="L42" s="262"/>
      <c r="M42" s="262"/>
      <c r="N42" s="262"/>
      <c r="O42" s="262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7"/>
    </row>
    <row r="43" spans="1:26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261"/>
      <c r="G43" s="259"/>
      <c r="H43" s="261"/>
      <c r="I43" s="261"/>
      <c r="J43" s="261"/>
      <c r="K43" s="261"/>
      <c r="L43" s="261"/>
      <c r="M43" s="261"/>
      <c r="N43" s="261"/>
      <c r="O43" s="261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7"/>
    </row>
    <row r="44" spans="1:26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262"/>
      <c r="G44" s="259"/>
      <c r="H44" s="262"/>
      <c r="I44" s="262"/>
      <c r="J44" s="262"/>
      <c r="K44" s="262"/>
      <c r="L44" s="262"/>
      <c r="M44" s="262"/>
      <c r="N44" s="262"/>
      <c r="O44" s="262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7"/>
    </row>
    <row r="45" spans="1:26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262"/>
      <c r="G45" s="259"/>
      <c r="H45" s="262"/>
      <c r="I45" s="262"/>
      <c r="J45" s="262"/>
      <c r="K45" s="262"/>
      <c r="L45" s="262"/>
      <c r="M45" s="262"/>
      <c r="N45" s="262"/>
      <c r="O45" s="262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7"/>
    </row>
    <row r="46" spans="1:26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262"/>
      <c r="G46" s="259"/>
      <c r="H46" s="262"/>
      <c r="I46" s="262"/>
      <c r="J46" s="262"/>
      <c r="K46" s="262"/>
      <c r="L46" s="262"/>
      <c r="M46" s="262"/>
      <c r="N46" s="262"/>
      <c r="O46" s="262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7"/>
    </row>
    <row r="47" spans="1:26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262"/>
      <c r="G47" s="259"/>
      <c r="H47" s="262"/>
      <c r="I47" s="262"/>
      <c r="J47" s="262"/>
      <c r="K47" s="262"/>
      <c r="L47" s="262"/>
      <c r="M47" s="262"/>
      <c r="N47" s="262"/>
      <c r="O47" s="262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7"/>
    </row>
    <row r="48" spans="1:26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261"/>
      <c r="G48" s="265"/>
      <c r="H48" s="261"/>
      <c r="I48" s="261"/>
      <c r="J48" s="261"/>
      <c r="K48" s="261"/>
      <c r="L48" s="261"/>
      <c r="M48" s="261"/>
      <c r="N48" s="261"/>
      <c r="O48" s="261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7"/>
    </row>
    <row r="49" spans="1:26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262"/>
      <c r="G49" s="259"/>
      <c r="H49" s="262"/>
      <c r="I49" s="262"/>
      <c r="J49" s="262"/>
      <c r="K49" s="262"/>
      <c r="L49" s="262"/>
      <c r="M49" s="262"/>
      <c r="N49" s="262"/>
      <c r="O49" s="262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7"/>
    </row>
    <row r="50" spans="1:26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262"/>
      <c r="G50" s="259"/>
      <c r="H50" s="262"/>
      <c r="I50" s="262"/>
      <c r="J50" s="262"/>
      <c r="K50" s="262"/>
      <c r="L50" s="262"/>
      <c r="M50" s="262"/>
      <c r="N50" s="262"/>
      <c r="O50" s="262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7"/>
    </row>
    <row r="51" spans="1:26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262"/>
      <c r="G51" s="259"/>
      <c r="H51" s="262"/>
      <c r="I51" s="262"/>
      <c r="J51" s="262"/>
      <c r="K51" s="262"/>
      <c r="L51" s="262"/>
      <c r="M51" s="262"/>
      <c r="N51" s="262"/>
      <c r="O51" s="262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7"/>
    </row>
    <row r="52" spans="1:26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262"/>
      <c r="G52" s="259"/>
      <c r="H52" s="262"/>
      <c r="I52" s="262"/>
      <c r="J52" s="262"/>
      <c r="K52" s="262"/>
      <c r="L52" s="262"/>
      <c r="M52" s="262"/>
      <c r="N52" s="262"/>
      <c r="O52" s="262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7"/>
    </row>
    <row r="53" spans="1:26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261"/>
      <c r="G53" s="259"/>
      <c r="H53" s="266"/>
      <c r="I53" s="261"/>
      <c r="J53" s="261"/>
      <c r="K53" s="266"/>
      <c r="L53" s="266"/>
      <c r="M53" s="266"/>
      <c r="N53" s="266"/>
      <c r="O53" s="261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7"/>
    </row>
    <row r="54" spans="1:26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262"/>
      <c r="G54" s="259"/>
      <c r="H54" s="262"/>
      <c r="I54" s="262"/>
      <c r="J54" s="262"/>
      <c r="K54" s="262"/>
      <c r="L54" s="262"/>
      <c r="M54" s="262"/>
      <c r="N54" s="262"/>
      <c r="O54" s="262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7"/>
    </row>
    <row r="55" spans="1:26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262"/>
      <c r="G55" s="259"/>
      <c r="H55" s="262"/>
      <c r="I55" s="262"/>
      <c r="J55" s="262"/>
      <c r="K55" s="262"/>
      <c r="L55" s="262"/>
      <c r="M55" s="262"/>
      <c r="N55" s="262"/>
      <c r="O55" s="262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7"/>
    </row>
    <row r="56" spans="1:26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262"/>
      <c r="G56" s="259"/>
      <c r="H56" s="262"/>
      <c r="I56" s="262"/>
      <c r="J56" s="262"/>
      <c r="K56" s="262"/>
      <c r="L56" s="262"/>
      <c r="M56" s="262"/>
      <c r="N56" s="262"/>
      <c r="O56" s="262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7"/>
    </row>
    <row r="57" spans="1:26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262"/>
      <c r="G57" s="259"/>
      <c r="H57" s="262"/>
      <c r="I57" s="262"/>
      <c r="J57" s="262"/>
      <c r="K57" s="262"/>
      <c r="L57" s="262"/>
      <c r="M57" s="262"/>
      <c r="N57" s="262"/>
      <c r="O57" s="262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7"/>
    </row>
    <row r="58" spans="1:26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261"/>
      <c r="G58" s="259"/>
      <c r="H58" s="261"/>
      <c r="I58" s="261"/>
      <c r="J58" s="261"/>
      <c r="K58" s="261"/>
      <c r="L58" s="261"/>
      <c r="M58" s="261"/>
      <c r="N58" s="261"/>
      <c r="O58" s="261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7"/>
    </row>
    <row r="59" spans="1:26" ht="18.75" hidden="1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262"/>
      <c r="G59" s="259"/>
      <c r="H59" s="262"/>
      <c r="I59" s="262"/>
      <c r="J59" s="262"/>
      <c r="K59" s="262"/>
      <c r="L59" s="262"/>
      <c r="M59" s="262"/>
      <c r="N59" s="262"/>
      <c r="O59" s="262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7"/>
    </row>
    <row r="60" spans="1:26" ht="18.75" hidden="1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262"/>
      <c r="G60" s="259"/>
      <c r="H60" s="262"/>
      <c r="I60" s="262"/>
      <c r="J60" s="262"/>
      <c r="K60" s="262"/>
      <c r="L60" s="262"/>
      <c r="M60" s="262"/>
      <c r="N60" s="262"/>
      <c r="O60" s="262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7"/>
    </row>
    <row r="61" spans="1:26" ht="18.75" hidden="1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262"/>
      <c r="G61" s="259"/>
      <c r="H61" s="262"/>
      <c r="I61" s="262"/>
      <c r="J61" s="262"/>
      <c r="K61" s="262"/>
      <c r="L61" s="262"/>
      <c r="M61" s="262"/>
      <c r="N61" s="262"/>
      <c r="O61" s="262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7"/>
    </row>
    <row r="62" spans="1:26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261"/>
      <c r="G62" s="259"/>
      <c r="H62" s="261"/>
      <c r="I62" s="261"/>
      <c r="J62" s="261"/>
      <c r="K62" s="261"/>
      <c r="L62" s="261"/>
      <c r="M62" s="261"/>
      <c r="N62" s="261"/>
      <c r="O62" s="261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7"/>
    </row>
    <row r="63" spans="1:26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261"/>
      <c r="G63" s="259"/>
      <c r="H63" s="261"/>
      <c r="I63" s="261"/>
      <c r="J63" s="261"/>
      <c r="K63" s="261"/>
      <c r="L63" s="261"/>
      <c r="M63" s="261"/>
      <c r="N63" s="261"/>
      <c r="O63" s="261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7"/>
    </row>
    <row r="64" spans="1:26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261"/>
      <c r="G64" s="259"/>
      <c r="H64" s="261"/>
      <c r="I64" s="261"/>
      <c r="J64" s="261"/>
      <c r="K64" s="261"/>
      <c r="L64" s="261"/>
      <c r="M64" s="261"/>
      <c r="N64" s="261"/>
      <c r="O64" s="261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7"/>
    </row>
    <row r="65" spans="1:26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261"/>
      <c r="G65" s="259"/>
      <c r="H65" s="261"/>
      <c r="I65" s="261"/>
      <c r="J65" s="261"/>
      <c r="K65" s="261"/>
      <c r="L65" s="261"/>
      <c r="M65" s="261"/>
      <c r="N65" s="261"/>
      <c r="O65" s="261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7"/>
    </row>
    <row r="66" spans="1:26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261"/>
      <c r="G66" s="259"/>
      <c r="H66" s="261"/>
      <c r="I66" s="261"/>
      <c r="J66" s="261"/>
      <c r="K66" s="261"/>
      <c r="L66" s="261"/>
      <c r="M66" s="261"/>
      <c r="N66" s="261"/>
      <c r="O66" s="261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7"/>
    </row>
    <row r="67" spans="1:26" ht="18.75" hidden="1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262"/>
      <c r="G67" s="259"/>
      <c r="H67" s="262"/>
      <c r="I67" s="262"/>
      <c r="J67" s="262"/>
      <c r="K67" s="262"/>
      <c r="L67" s="262"/>
      <c r="M67" s="262"/>
      <c r="N67" s="262"/>
      <c r="O67" s="262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7"/>
    </row>
    <row r="68" spans="1:26" ht="18.75" hidden="1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262"/>
      <c r="G68" s="259"/>
      <c r="H68" s="262"/>
      <c r="I68" s="262"/>
      <c r="J68" s="262"/>
      <c r="K68" s="262"/>
      <c r="L68" s="262"/>
      <c r="M68" s="262"/>
      <c r="N68" s="262"/>
      <c r="O68" s="262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7"/>
    </row>
    <row r="69" spans="1:26" ht="18.75" hidden="1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262"/>
      <c r="G69" s="259"/>
      <c r="H69" s="262"/>
      <c r="I69" s="262"/>
      <c r="J69" s="262"/>
      <c r="K69" s="262"/>
      <c r="L69" s="262"/>
      <c r="M69" s="262"/>
      <c r="N69" s="262"/>
      <c r="O69" s="262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7"/>
    </row>
    <row r="70" spans="1:26" ht="18.75" hidden="1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262"/>
      <c r="G70" s="259"/>
      <c r="H70" s="262"/>
      <c r="I70" s="262"/>
      <c r="J70" s="262"/>
      <c r="K70" s="262"/>
      <c r="L70" s="262"/>
      <c r="M70" s="262"/>
      <c r="N70" s="262"/>
      <c r="O70" s="262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7"/>
    </row>
    <row r="71" spans="1:26" ht="63" hidden="1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262"/>
      <c r="G71" s="259"/>
      <c r="H71" s="262"/>
      <c r="I71" s="262"/>
      <c r="J71" s="262"/>
      <c r="K71" s="262"/>
      <c r="L71" s="262"/>
      <c r="M71" s="262"/>
      <c r="N71" s="262"/>
      <c r="O71" s="262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7"/>
    </row>
    <row r="72" spans="1:26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262"/>
      <c r="G72" s="259"/>
      <c r="H72" s="262"/>
      <c r="I72" s="262"/>
      <c r="J72" s="262"/>
      <c r="K72" s="262"/>
      <c r="L72" s="262"/>
      <c r="M72" s="262"/>
      <c r="N72" s="262"/>
      <c r="O72" s="262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7"/>
    </row>
    <row r="73" spans="1:26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262"/>
      <c r="G73" s="259"/>
      <c r="H73" s="262"/>
      <c r="I73" s="262"/>
      <c r="J73" s="262"/>
      <c r="K73" s="262"/>
      <c r="L73" s="262"/>
      <c r="M73" s="262"/>
      <c r="N73" s="262"/>
      <c r="O73" s="262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7"/>
    </row>
    <row r="74" spans="1:26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262"/>
      <c r="G74" s="259"/>
      <c r="H74" s="262"/>
      <c r="I74" s="262"/>
      <c r="J74" s="262"/>
      <c r="K74" s="262"/>
      <c r="L74" s="262"/>
      <c r="M74" s="262"/>
      <c r="N74" s="262"/>
      <c r="O74" s="262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7"/>
    </row>
    <row r="75" spans="1:26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262"/>
      <c r="G75" s="259"/>
      <c r="H75" s="262"/>
      <c r="I75" s="262"/>
      <c r="J75" s="262"/>
      <c r="K75" s="262"/>
      <c r="L75" s="262"/>
      <c r="M75" s="262"/>
      <c r="N75" s="262"/>
      <c r="O75" s="262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7"/>
    </row>
    <row r="76" spans="1:26" ht="18.7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261"/>
      <c r="G76" s="259"/>
      <c r="H76" s="261"/>
      <c r="I76" s="261"/>
      <c r="J76" s="261"/>
      <c r="K76" s="261"/>
      <c r="L76" s="261"/>
      <c r="M76" s="261"/>
      <c r="N76" s="261"/>
      <c r="O76" s="261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7"/>
    </row>
    <row r="77" spans="1:26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261"/>
      <c r="G77" s="259"/>
      <c r="H77" s="261"/>
      <c r="I77" s="261"/>
      <c r="J77" s="261"/>
      <c r="K77" s="261"/>
      <c r="L77" s="261"/>
      <c r="M77" s="261"/>
      <c r="N77" s="261"/>
      <c r="O77" s="261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7"/>
    </row>
    <row r="78" spans="1:26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261"/>
      <c r="G78" s="259"/>
      <c r="H78" s="261"/>
      <c r="I78" s="261"/>
      <c r="J78" s="261"/>
      <c r="K78" s="261"/>
      <c r="L78" s="261"/>
      <c r="M78" s="261"/>
      <c r="N78" s="261"/>
      <c r="O78" s="261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7"/>
    </row>
    <row r="79" spans="1:26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261"/>
      <c r="G79" s="259"/>
      <c r="H79" s="261"/>
      <c r="I79" s="261"/>
      <c r="J79" s="261"/>
      <c r="K79" s="261"/>
      <c r="L79" s="261"/>
      <c r="M79" s="261"/>
      <c r="N79" s="261"/>
      <c r="O79" s="261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7"/>
    </row>
    <row r="80" spans="1:26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261"/>
      <c r="G80" s="259"/>
      <c r="H80" s="261"/>
      <c r="I80" s="261"/>
      <c r="J80" s="261"/>
      <c r="K80" s="261"/>
      <c r="L80" s="261"/>
      <c r="M80" s="261"/>
      <c r="N80" s="261"/>
      <c r="O80" s="261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7"/>
    </row>
    <row r="81" spans="1:26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261"/>
      <c r="G81" s="259"/>
      <c r="H81" s="261"/>
      <c r="I81" s="261"/>
      <c r="J81" s="261"/>
      <c r="K81" s="261"/>
      <c r="L81" s="261"/>
      <c r="M81" s="261"/>
      <c r="N81" s="261"/>
      <c r="O81" s="261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7"/>
    </row>
    <row r="82" spans="1:26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261"/>
      <c r="G82" s="259"/>
      <c r="H82" s="261"/>
      <c r="I82" s="261"/>
      <c r="J82" s="261"/>
      <c r="K82" s="261"/>
      <c r="L82" s="261"/>
      <c r="M82" s="261"/>
      <c r="N82" s="261"/>
      <c r="O82" s="261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7"/>
    </row>
    <row r="83" spans="1:26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261"/>
      <c r="G83" s="259"/>
      <c r="H83" s="261"/>
      <c r="I83" s="261"/>
      <c r="J83" s="261"/>
      <c r="K83" s="261"/>
      <c r="L83" s="261"/>
      <c r="M83" s="261"/>
      <c r="N83" s="261"/>
      <c r="O83" s="261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7"/>
    </row>
    <row r="84" spans="1:26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261"/>
      <c r="G84" s="259"/>
      <c r="H84" s="261"/>
      <c r="I84" s="261"/>
      <c r="J84" s="261"/>
      <c r="K84" s="261"/>
      <c r="L84" s="261"/>
      <c r="M84" s="261"/>
      <c r="N84" s="261"/>
      <c r="O84" s="261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7"/>
    </row>
    <row r="85" spans="1:26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261"/>
      <c r="G85" s="259"/>
      <c r="H85" s="261"/>
      <c r="I85" s="261"/>
      <c r="J85" s="261"/>
      <c r="K85" s="261"/>
      <c r="L85" s="261"/>
      <c r="M85" s="261"/>
      <c r="N85" s="261"/>
      <c r="O85" s="261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7"/>
    </row>
    <row r="86" spans="1:26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261"/>
      <c r="G86" s="259"/>
      <c r="H86" s="261"/>
      <c r="I86" s="261"/>
      <c r="J86" s="261"/>
      <c r="K86" s="261"/>
      <c r="L86" s="261"/>
      <c r="M86" s="261"/>
      <c r="N86" s="261"/>
      <c r="O86" s="261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7"/>
    </row>
    <row r="87" spans="1:26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262"/>
      <c r="G87" s="259"/>
      <c r="H87" s="262"/>
      <c r="I87" s="262"/>
      <c r="J87" s="262"/>
      <c r="K87" s="262"/>
      <c r="L87" s="262"/>
      <c r="M87" s="262"/>
      <c r="N87" s="262"/>
      <c r="O87" s="262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7"/>
    </row>
    <row r="88" spans="1:26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262"/>
      <c r="G88" s="259"/>
      <c r="H88" s="262"/>
      <c r="I88" s="262"/>
      <c r="J88" s="262"/>
      <c r="K88" s="262"/>
      <c r="L88" s="262"/>
      <c r="M88" s="262"/>
      <c r="N88" s="262"/>
      <c r="O88" s="262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7"/>
    </row>
    <row r="89" spans="1:26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261"/>
      <c r="G89" s="259"/>
      <c r="H89" s="261"/>
      <c r="I89" s="261"/>
      <c r="J89" s="261"/>
      <c r="K89" s="261"/>
      <c r="L89" s="261"/>
      <c r="M89" s="261"/>
      <c r="N89" s="261"/>
      <c r="O89" s="261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7"/>
    </row>
    <row r="90" spans="1:26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261"/>
      <c r="G90" s="259"/>
      <c r="H90" s="261"/>
      <c r="I90" s="261"/>
      <c r="J90" s="261"/>
      <c r="K90" s="261"/>
      <c r="L90" s="261"/>
      <c r="M90" s="261"/>
      <c r="N90" s="261"/>
      <c r="O90" s="261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7"/>
    </row>
    <row r="91" spans="1:26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261"/>
      <c r="G91" s="259"/>
      <c r="H91" s="261"/>
      <c r="I91" s="261"/>
      <c r="J91" s="261"/>
      <c r="K91" s="261"/>
      <c r="L91" s="261"/>
      <c r="M91" s="261"/>
      <c r="N91" s="261"/>
      <c r="O91" s="261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7"/>
    </row>
    <row r="92" spans="1:26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261"/>
      <c r="G92" s="259"/>
      <c r="H92" s="261"/>
      <c r="I92" s="261"/>
      <c r="J92" s="261"/>
      <c r="K92" s="261"/>
      <c r="L92" s="261"/>
      <c r="M92" s="261"/>
      <c r="N92" s="261"/>
      <c r="O92" s="261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7"/>
    </row>
    <row r="93" spans="1:26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261"/>
      <c r="G93" s="259"/>
      <c r="H93" s="261"/>
      <c r="I93" s="261"/>
      <c r="J93" s="261"/>
      <c r="K93" s="261"/>
      <c r="L93" s="261"/>
      <c r="M93" s="261"/>
      <c r="N93" s="261"/>
      <c r="O93" s="261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7"/>
    </row>
    <row r="94" spans="1:26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261"/>
      <c r="G94" s="259"/>
      <c r="H94" s="261"/>
      <c r="I94" s="261"/>
      <c r="J94" s="261"/>
      <c r="K94" s="261"/>
      <c r="L94" s="261"/>
      <c r="M94" s="261"/>
      <c r="N94" s="261"/>
      <c r="O94" s="261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7"/>
    </row>
    <row r="95" spans="1:26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261"/>
      <c r="G95" s="259"/>
      <c r="H95" s="261"/>
      <c r="I95" s="261"/>
      <c r="J95" s="261"/>
      <c r="K95" s="261"/>
      <c r="L95" s="261"/>
      <c r="M95" s="261"/>
      <c r="N95" s="261"/>
      <c r="O95" s="261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7"/>
    </row>
    <row r="96" spans="1:26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261"/>
      <c r="G96" s="259"/>
      <c r="H96" s="261"/>
      <c r="I96" s="261"/>
      <c r="J96" s="261"/>
      <c r="K96" s="261"/>
      <c r="L96" s="261"/>
      <c r="M96" s="261"/>
      <c r="N96" s="261"/>
      <c r="O96" s="261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7"/>
    </row>
    <row r="97" spans="1:26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261"/>
      <c r="G97" s="259"/>
      <c r="H97" s="261"/>
      <c r="I97" s="261"/>
      <c r="J97" s="261"/>
      <c r="K97" s="261"/>
      <c r="L97" s="261"/>
      <c r="M97" s="261"/>
      <c r="N97" s="261"/>
      <c r="O97" s="261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7"/>
    </row>
    <row r="98" spans="1:26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261"/>
      <c r="G98" s="259"/>
      <c r="H98" s="261"/>
      <c r="I98" s="261"/>
      <c r="J98" s="261"/>
      <c r="K98" s="261"/>
      <c r="L98" s="261"/>
      <c r="M98" s="261"/>
      <c r="N98" s="261"/>
      <c r="O98" s="261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7"/>
    </row>
    <row r="99" spans="1:26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261"/>
      <c r="G99" s="259"/>
      <c r="H99" s="261"/>
      <c r="I99" s="261"/>
      <c r="J99" s="261"/>
      <c r="K99" s="261"/>
      <c r="L99" s="261"/>
      <c r="M99" s="261"/>
      <c r="N99" s="261"/>
      <c r="O99" s="261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7"/>
    </row>
    <row r="100" spans="1:26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261"/>
      <c r="G100" s="259"/>
      <c r="H100" s="261"/>
      <c r="I100" s="261"/>
      <c r="J100" s="261"/>
      <c r="K100" s="261"/>
      <c r="L100" s="261"/>
      <c r="M100" s="261"/>
      <c r="N100" s="261"/>
      <c r="O100" s="261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7"/>
    </row>
    <row r="101" spans="1:26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261"/>
      <c r="G101" s="259"/>
      <c r="H101" s="261"/>
      <c r="I101" s="261"/>
      <c r="J101" s="261"/>
      <c r="K101" s="261"/>
      <c r="L101" s="261"/>
      <c r="M101" s="261"/>
      <c r="N101" s="261"/>
      <c r="O101" s="261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7"/>
    </row>
    <row r="102" spans="1:26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261"/>
      <c r="G102" s="259"/>
      <c r="H102" s="261"/>
      <c r="I102" s="261"/>
      <c r="J102" s="261"/>
      <c r="K102" s="261"/>
      <c r="L102" s="261"/>
      <c r="M102" s="261"/>
      <c r="N102" s="261"/>
      <c r="O102" s="261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7"/>
    </row>
    <row r="103" spans="1:26" ht="18.75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261"/>
      <c r="G103" s="259"/>
      <c r="H103" s="261"/>
      <c r="I103" s="261"/>
      <c r="J103" s="261"/>
      <c r="K103" s="261"/>
      <c r="L103" s="261"/>
      <c r="M103" s="261"/>
      <c r="N103" s="261"/>
      <c r="O103" s="261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7"/>
    </row>
    <row r="104" spans="1:26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261"/>
      <c r="G104" s="261"/>
      <c r="H104" s="273"/>
      <c r="I104" s="216"/>
      <c r="J104" s="273"/>
      <c r="K104" s="269"/>
      <c r="L104" s="269"/>
      <c r="M104" s="269"/>
      <c r="N104" s="269"/>
      <c r="O104" s="269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7"/>
    </row>
    <row r="105" spans="1:26" ht="18.75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262"/>
      <c r="G105" s="259"/>
      <c r="H105" s="270"/>
      <c r="I105" s="270"/>
      <c r="J105" s="273"/>
      <c r="K105" s="270"/>
      <c r="L105" s="270"/>
      <c r="M105" s="270"/>
      <c r="N105" s="270"/>
      <c r="O105" s="262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7"/>
    </row>
    <row r="106" spans="1:26" ht="18.75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262"/>
      <c r="G106" s="259"/>
      <c r="H106" s="270"/>
      <c r="I106" s="270"/>
      <c r="J106" s="270"/>
      <c r="K106" s="270"/>
      <c r="L106" s="270"/>
      <c r="M106" s="270"/>
      <c r="N106" s="270"/>
      <c r="O106" s="262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7"/>
    </row>
    <row r="107" spans="1:26" ht="18.75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262"/>
      <c r="G107" s="259"/>
      <c r="H107" s="270"/>
      <c r="I107" s="270"/>
      <c r="J107" s="270"/>
      <c r="K107" s="270"/>
      <c r="L107" s="270"/>
      <c r="M107" s="270"/>
      <c r="N107" s="270"/>
      <c r="O107" s="262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7"/>
    </row>
    <row r="108" spans="1:26" ht="18.75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262"/>
      <c r="G108" s="259"/>
      <c r="H108" s="270"/>
      <c r="I108" s="270"/>
      <c r="J108" s="270"/>
      <c r="K108" s="270"/>
      <c r="L108" s="270"/>
      <c r="M108" s="270"/>
      <c r="N108" s="270"/>
      <c r="O108" s="262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7"/>
    </row>
    <row r="109" spans="1:26" ht="18.75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262"/>
      <c r="G109" s="259"/>
      <c r="H109" s="270"/>
      <c r="I109" s="270"/>
      <c r="J109" s="270"/>
      <c r="K109" s="270"/>
      <c r="L109" s="270"/>
      <c r="M109" s="270"/>
      <c r="N109" s="270"/>
      <c r="O109" s="262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7"/>
    </row>
    <row r="110" spans="1:26" ht="18.75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262"/>
      <c r="G110" s="259"/>
      <c r="H110" s="270"/>
      <c r="I110" s="270"/>
      <c r="J110" s="270"/>
      <c r="K110" s="270"/>
      <c r="L110" s="270"/>
      <c r="M110" s="270"/>
      <c r="N110" s="270"/>
      <c r="O110" s="262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7"/>
    </row>
    <row r="111" spans="1:26" ht="18.75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262"/>
      <c r="G111" s="259"/>
      <c r="H111" s="270"/>
      <c r="I111" s="270"/>
      <c r="J111" s="270"/>
      <c r="K111" s="270"/>
      <c r="L111" s="270"/>
      <c r="M111" s="270"/>
      <c r="N111" s="270"/>
      <c r="O111" s="262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7"/>
    </row>
    <row r="112" spans="1:26" ht="18.75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262"/>
      <c r="G112" s="259"/>
      <c r="H112" s="270"/>
      <c r="I112" s="270"/>
      <c r="J112" s="270"/>
      <c r="K112" s="270"/>
      <c r="L112" s="270"/>
      <c r="M112" s="270"/>
      <c r="N112" s="270"/>
      <c r="O112" s="262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7"/>
    </row>
    <row r="113" spans="1:26" ht="18.75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262"/>
      <c r="G113" s="259"/>
      <c r="H113" s="270"/>
      <c r="I113" s="270"/>
      <c r="J113" s="270"/>
      <c r="K113" s="270"/>
      <c r="L113" s="270"/>
      <c r="M113" s="270"/>
      <c r="N113" s="270"/>
      <c r="O113" s="262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7"/>
    </row>
    <row r="114" spans="1:26" ht="18.75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262"/>
      <c r="G114" s="259"/>
      <c r="H114" s="270"/>
      <c r="I114" s="270"/>
      <c r="J114" s="270"/>
      <c r="K114" s="270"/>
      <c r="L114" s="270"/>
      <c r="M114" s="270"/>
      <c r="N114" s="270"/>
      <c r="O114" s="262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7"/>
    </row>
    <row r="115" spans="1:26" ht="18.75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262"/>
      <c r="G115" s="259"/>
      <c r="H115" s="270"/>
      <c r="I115" s="270"/>
      <c r="J115" s="270"/>
      <c r="K115" s="270"/>
      <c r="L115" s="270"/>
      <c r="M115" s="270"/>
      <c r="N115" s="270"/>
      <c r="O115" s="262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7"/>
    </row>
    <row r="116" spans="1:26" ht="18.75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262"/>
      <c r="G116" s="259"/>
      <c r="H116" s="270"/>
      <c r="I116" s="270"/>
      <c r="J116" s="270"/>
      <c r="K116" s="270"/>
      <c r="L116" s="270"/>
      <c r="M116" s="270"/>
      <c r="N116" s="270"/>
      <c r="O116" s="262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7"/>
    </row>
    <row r="117" spans="1:26" ht="18.75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262"/>
      <c r="G117" s="259"/>
      <c r="H117" s="270"/>
      <c r="I117" s="270"/>
      <c r="J117" s="270"/>
      <c r="K117" s="270"/>
      <c r="L117" s="270"/>
      <c r="M117" s="270"/>
      <c r="N117" s="270"/>
      <c r="O117" s="262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7"/>
    </row>
    <row r="118" spans="1:26" ht="18.75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262"/>
      <c r="G118" s="259"/>
      <c r="H118" s="270"/>
      <c r="I118" s="270"/>
      <c r="J118" s="270"/>
      <c r="K118" s="270"/>
      <c r="L118" s="270"/>
      <c r="M118" s="270"/>
      <c r="N118" s="270"/>
      <c r="O118" s="262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7"/>
    </row>
    <row r="119" spans="1:26" ht="18.75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262"/>
      <c r="G119" s="259"/>
      <c r="H119" s="270"/>
      <c r="I119" s="270"/>
      <c r="J119" s="270"/>
      <c r="K119" s="270"/>
      <c r="L119" s="270"/>
      <c r="M119" s="270"/>
      <c r="N119" s="270"/>
      <c r="O119" s="262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7"/>
    </row>
    <row r="120" spans="1:26" ht="18.75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262"/>
      <c r="G120" s="259"/>
      <c r="H120" s="270"/>
      <c r="I120" s="270"/>
      <c r="J120" s="270"/>
      <c r="K120" s="270"/>
      <c r="L120" s="270"/>
      <c r="M120" s="270"/>
      <c r="N120" s="270"/>
      <c r="O120" s="262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7"/>
    </row>
    <row r="121" spans="1:26" ht="18.75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262"/>
      <c r="G121" s="259"/>
      <c r="H121" s="270"/>
      <c r="I121" s="270"/>
      <c r="J121" s="270"/>
      <c r="K121" s="270"/>
      <c r="L121" s="270"/>
      <c r="M121" s="270"/>
      <c r="N121" s="270"/>
      <c r="O121" s="262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7"/>
    </row>
    <row r="122" spans="1:26" ht="18.75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262"/>
      <c r="G122" s="259"/>
      <c r="H122" s="270"/>
      <c r="I122" s="270"/>
      <c r="J122" s="270"/>
      <c r="K122" s="270"/>
      <c r="L122" s="270"/>
      <c r="M122" s="270"/>
      <c r="N122" s="270"/>
      <c r="O122" s="262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7"/>
    </row>
    <row r="123" spans="1:26" ht="18.75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262"/>
      <c r="G123" s="259"/>
      <c r="H123" s="270"/>
      <c r="I123" s="270"/>
      <c r="J123" s="270"/>
      <c r="K123" s="270"/>
      <c r="L123" s="270"/>
      <c r="M123" s="270"/>
      <c r="N123" s="270"/>
      <c r="O123" s="262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7"/>
    </row>
    <row r="124" spans="1:26" ht="18.75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262"/>
      <c r="G124" s="259"/>
      <c r="H124" s="270"/>
      <c r="I124" s="270"/>
      <c r="J124" s="270"/>
      <c r="K124" s="270"/>
      <c r="L124" s="270"/>
      <c r="M124" s="270"/>
      <c r="N124" s="270"/>
      <c r="O124" s="262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7"/>
    </row>
    <row r="125" spans="1:26" ht="18.75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262"/>
      <c r="G125" s="259"/>
      <c r="H125" s="270"/>
      <c r="I125" s="270"/>
      <c r="J125" s="270"/>
      <c r="K125" s="270"/>
      <c r="L125" s="270"/>
      <c r="M125" s="270"/>
      <c r="N125" s="270"/>
      <c r="O125" s="262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7"/>
    </row>
    <row r="126" spans="1:26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261"/>
      <c r="G126" s="216"/>
      <c r="H126" s="269"/>
      <c r="I126" s="216"/>
      <c r="J126" s="273"/>
      <c r="K126" s="270"/>
      <c r="L126" s="270"/>
      <c r="M126" s="270"/>
      <c r="N126" s="270"/>
      <c r="O126" s="261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7"/>
    </row>
    <row r="127" spans="1:26" ht="18.75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262"/>
      <c r="G127" s="259"/>
      <c r="H127" s="262"/>
      <c r="I127" s="270"/>
      <c r="J127" s="262"/>
      <c r="K127" s="270"/>
      <c r="L127" s="270"/>
      <c r="M127" s="270"/>
      <c r="N127" s="270"/>
      <c r="O127" s="262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7"/>
    </row>
    <row r="128" spans="1:26" ht="18.75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262"/>
      <c r="G128" s="259"/>
      <c r="H128" s="262"/>
      <c r="I128" s="270"/>
      <c r="J128" s="262"/>
      <c r="K128" s="270"/>
      <c r="L128" s="270"/>
      <c r="M128" s="270"/>
      <c r="N128" s="270"/>
      <c r="O128" s="262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7"/>
    </row>
    <row r="129" spans="1:26" ht="18.75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262"/>
      <c r="G129" s="259"/>
      <c r="H129" s="262"/>
      <c r="I129" s="270"/>
      <c r="J129" s="262"/>
      <c r="K129" s="270"/>
      <c r="L129" s="270"/>
      <c r="M129" s="270"/>
      <c r="N129" s="270"/>
      <c r="O129" s="262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7"/>
    </row>
    <row r="130" spans="1:26" ht="18.75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262"/>
      <c r="G130" s="259"/>
      <c r="H130" s="262"/>
      <c r="I130" s="270"/>
      <c r="J130" s="262"/>
      <c r="K130" s="270"/>
      <c r="L130" s="270"/>
      <c r="M130" s="270"/>
      <c r="N130" s="270"/>
      <c r="O130" s="262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7"/>
    </row>
    <row r="131" spans="1:26" ht="18.75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262"/>
      <c r="G131" s="259"/>
      <c r="H131" s="262"/>
      <c r="I131" s="270"/>
      <c r="J131" s="262"/>
      <c r="K131" s="270"/>
      <c r="L131" s="270"/>
      <c r="M131" s="270"/>
      <c r="N131" s="270"/>
      <c r="O131" s="262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7"/>
    </row>
    <row r="132" spans="1:26" ht="18.75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262"/>
      <c r="G132" s="259"/>
      <c r="H132" s="262"/>
      <c r="I132" s="270"/>
      <c r="J132" s="262"/>
      <c r="K132" s="270"/>
      <c r="L132" s="270"/>
      <c r="M132" s="270"/>
      <c r="N132" s="270"/>
      <c r="O132" s="262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7"/>
    </row>
    <row r="133" spans="1:26" ht="18.75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262"/>
      <c r="G133" s="259"/>
      <c r="H133" s="262"/>
      <c r="I133" s="270"/>
      <c r="J133" s="262"/>
      <c r="K133" s="270"/>
      <c r="L133" s="270"/>
      <c r="M133" s="270"/>
      <c r="N133" s="270"/>
      <c r="O133" s="262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7"/>
    </row>
    <row r="134" spans="1:26" ht="18.75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262"/>
      <c r="G134" s="259"/>
      <c r="H134" s="262"/>
      <c r="I134" s="270"/>
      <c r="J134" s="262"/>
      <c r="K134" s="270"/>
      <c r="L134" s="270"/>
      <c r="M134" s="270"/>
      <c r="N134" s="270"/>
      <c r="O134" s="262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7"/>
    </row>
    <row r="135" spans="1:26" ht="18.75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262"/>
      <c r="G135" s="259"/>
      <c r="H135" s="262"/>
      <c r="I135" s="270"/>
      <c r="J135" s="262"/>
      <c r="K135" s="270"/>
      <c r="L135" s="270"/>
      <c r="M135" s="270"/>
      <c r="N135" s="270"/>
      <c r="O135" s="262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7"/>
    </row>
    <row r="136" spans="1:26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261"/>
      <c r="G136" s="259"/>
      <c r="H136" s="261"/>
      <c r="I136" s="216"/>
      <c r="J136" s="261"/>
      <c r="K136" s="269"/>
      <c r="L136" s="269"/>
      <c r="M136" s="269"/>
      <c r="N136" s="269"/>
      <c r="O136" s="261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7"/>
    </row>
    <row r="137" spans="1:26" ht="18.75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262"/>
      <c r="G137" s="259"/>
      <c r="H137" s="262"/>
      <c r="I137" s="270"/>
      <c r="J137" s="262"/>
      <c r="K137" s="270"/>
      <c r="L137" s="270"/>
      <c r="M137" s="270"/>
      <c r="N137" s="270"/>
      <c r="O137" s="262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7"/>
    </row>
    <row r="138" spans="1:26" ht="18.75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262"/>
      <c r="G138" s="259"/>
      <c r="H138" s="262"/>
      <c r="I138" s="270"/>
      <c r="J138" s="262"/>
      <c r="K138" s="270"/>
      <c r="L138" s="270"/>
      <c r="M138" s="270"/>
      <c r="N138" s="270"/>
      <c r="O138" s="262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7"/>
    </row>
    <row r="139" spans="1:26" ht="18.75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262"/>
      <c r="G139" s="259"/>
      <c r="H139" s="262"/>
      <c r="I139" s="270"/>
      <c r="J139" s="262"/>
      <c r="K139" s="270"/>
      <c r="L139" s="270"/>
      <c r="M139" s="270"/>
      <c r="N139" s="270"/>
      <c r="O139" s="262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7"/>
    </row>
    <row r="140" spans="1:26" ht="18.75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262"/>
      <c r="G140" s="259"/>
      <c r="H140" s="262"/>
      <c r="I140" s="270"/>
      <c r="J140" s="262"/>
      <c r="K140" s="270"/>
      <c r="L140" s="270"/>
      <c r="M140" s="270"/>
      <c r="N140" s="270"/>
      <c r="O140" s="262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7"/>
    </row>
    <row r="141" spans="1:26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261"/>
      <c r="G141" s="259"/>
      <c r="H141" s="271"/>
      <c r="I141" s="270"/>
      <c r="J141" s="261"/>
      <c r="K141" s="270"/>
      <c r="L141" s="270"/>
      <c r="M141" s="270"/>
      <c r="N141" s="270"/>
      <c r="O141" s="261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7"/>
    </row>
    <row r="142" spans="1:26" ht="18.75" hidden="1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262"/>
      <c r="G142" s="259"/>
      <c r="H142" s="262"/>
      <c r="I142" s="270"/>
      <c r="J142" s="262"/>
      <c r="K142" s="262"/>
      <c r="L142" s="262"/>
      <c r="M142" s="262"/>
      <c r="N142" s="262"/>
      <c r="O142" s="262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7"/>
    </row>
    <row r="143" spans="1:26" ht="18.75" hidden="1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262"/>
      <c r="G143" s="259"/>
      <c r="H143" s="262"/>
      <c r="I143" s="270"/>
      <c r="J143" s="262"/>
      <c r="K143" s="262"/>
      <c r="L143" s="262"/>
      <c r="M143" s="262"/>
      <c r="N143" s="262"/>
      <c r="O143" s="262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7"/>
    </row>
    <row r="144" spans="1:26" ht="18.75" hidden="1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262"/>
      <c r="G144" s="259"/>
      <c r="H144" s="262"/>
      <c r="I144" s="270"/>
      <c r="J144" s="262"/>
      <c r="K144" s="262"/>
      <c r="L144" s="262"/>
      <c r="M144" s="262"/>
      <c r="N144" s="262"/>
      <c r="O144" s="262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7"/>
    </row>
    <row r="145" spans="1:26" ht="18.75" hidden="1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262"/>
      <c r="G145" s="259"/>
      <c r="H145" s="262"/>
      <c r="I145" s="270"/>
      <c r="J145" s="262"/>
      <c r="K145" s="262"/>
      <c r="L145" s="262"/>
      <c r="M145" s="262"/>
      <c r="N145" s="262"/>
      <c r="O145" s="262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7"/>
    </row>
    <row r="146" spans="1:26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261"/>
      <c r="G146" s="259"/>
      <c r="H146" s="261"/>
      <c r="I146" s="270"/>
      <c r="J146" s="261"/>
      <c r="K146" s="261"/>
      <c r="L146" s="261"/>
      <c r="M146" s="261"/>
      <c r="N146" s="261"/>
      <c r="O146" s="261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7"/>
    </row>
    <row r="147" spans="1:26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261"/>
      <c r="G147" s="259"/>
      <c r="H147" s="261"/>
      <c r="I147" s="261"/>
      <c r="J147" s="261"/>
      <c r="K147" s="261"/>
      <c r="L147" s="261"/>
      <c r="M147" s="261"/>
      <c r="N147" s="261"/>
      <c r="O147" s="261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7"/>
    </row>
    <row r="148" spans="1:26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261"/>
      <c r="G148" s="259"/>
      <c r="H148" s="261"/>
      <c r="I148" s="261"/>
      <c r="J148" s="261"/>
      <c r="K148" s="261"/>
      <c r="L148" s="261"/>
      <c r="M148" s="261"/>
      <c r="N148" s="261"/>
      <c r="O148" s="261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7"/>
    </row>
    <row r="149" spans="1:26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261"/>
      <c r="G149" s="259"/>
      <c r="H149" s="261"/>
      <c r="I149" s="261"/>
      <c r="J149" s="261"/>
      <c r="K149" s="261"/>
      <c r="L149" s="261"/>
      <c r="M149" s="261"/>
      <c r="N149" s="261"/>
      <c r="O149" s="261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7"/>
    </row>
    <row r="150" spans="1:26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261"/>
      <c r="G150" s="259"/>
      <c r="H150" s="261"/>
      <c r="I150" s="261"/>
      <c r="J150" s="261"/>
      <c r="K150" s="261"/>
      <c r="L150" s="261"/>
      <c r="M150" s="261"/>
      <c r="N150" s="261"/>
      <c r="O150" s="261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7"/>
    </row>
    <row r="151" spans="1:26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261"/>
      <c r="G151" s="259"/>
      <c r="H151" s="261"/>
      <c r="I151" s="261"/>
      <c r="J151" s="261"/>
      <c r="K151" s="261"/>
      <c r="L151" s="261"/>
      <c r="M151" s="261"/>
      <c r="N151" s="261"/>
      <c r="O151" s="261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7"/>
    </row>
    <row r="152" spans="1:26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261"/>
      <c r="G152" s="259"/>
      <c r="H152" s="261"/>
      <c r="I152" s="261"/>
      <c r="J152" s="261"/>
      <c r="K152" s="261"/>
      <c r="L152" s="261"/>
      <c r="M152" s="261"/>
      <c r="N152" s="261"/>
      <c r="O152" s="261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7"/>
    </row>
    <row r="153" spans="1:26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261"/>
      <c r="G153" s="259"/>
      <c r="H153" s="261"/>
      <c r="I153" s="261"/>
      <c r="J153" s="261"/>
      <c r="K153" s="261"/>
      <c r="L153" s="261"/>
      <c r="M153" s="261"/>
      <c r="N153" s="261"/>
      <c r="O153" s="261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7"/>
    </row>
    <row r="154" spans="1:26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261"/>
      <c r="G154" s="259"/>
      <c r="H154" s="261"/>
      <c r="I154" s="261"/>
      <c r="J154" s="261"/>
      <c r="K154" s="261"/>
      <c r="L154" s="261"/>
      <c r="M154" s="261"/>
      <c r="N154" s="261"/>
      <c r="O154" s="261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7"/>
    </row>
    <row r="155" spans="1:26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261"/>
      <c r="G155" s="259"/>
      <c r="H155" s="261"/>
      <c r="I155" s="261"/>
      <c r="J155" s="261"/>
      <c r="K155" s="261"/>
      <c r="L155" s="261"/>
      <c r="M155" s="261"/>
      <c r="N155" s="261"/>
      <c r="O155" s="261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7"/>
    </row>
    <row r="156" spans="1:26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261"/>
      <c r="G156" s="259"/>
      <c r="H156" s="261"/>
      <c r="I156" s="261"/>
      <c r="J156" s="261"/>
      <c r="K156" s="261"/>
      <c r="L156" s="261"/>
      <c r="M156" s="261"/>
      <c r="N156" s="261"/>
      <c r="O156" s="261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7"/>
    </row>
    <row r="157" spans="1:26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261"/>
      <c r="G157" s="259"/>
      <c r="H157" s="261"/>
      <c r="I157" s="261"/>
      <c r="J157" s="261"/>
      <c r="K157" s="261"/>
      <c r="L157" s="261"/>
      <c r="M157" s="261"/>
      <c r="N157" s="261"/>
      <c r="O157" s="261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7"/>
    </row>
    <row r="158" spans="1:26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261"/>
      <c r="G158" s="259"/>
      <c r="H158" s="261"/>
      <c r="I158" s="261"/>
      <c r="J158" s="261"/>
      <c r="K158" s="261"/>
      <c r="L158" s="261"/>
      <c r="M158" s="261"/>
      <c r="N158" s="261"/>
      <c r="O158" s="261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7"/>
    </row>
    <row r="159" spans="1:26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261"/>
      <c r="G159" s="259"/>
      <c r="H159" s="261"/>
      <c r="I159" s="261"/>
      <c r="J159" s="261"/>
      <c r="K159" s="261"/>
      <c r="L159" s="261"/>
      <c r="M159" s="261"/>
      <c r="N159" s="261"/>
      <c r="O159" s="261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7"/>
    </row>
    <row r="160" spans="1:26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261"/>
      <c r="G160" s="259"/>
      <c r="H160" s="261"/>
      <c r="I160" s="261"/>
      <c r="J160" s="261"/>
      <c r="K160" s="261"/>
      <c r="L160" s="261"/>
      <c r="M160" s="261"/>
      <c r="N160" s="261"/>
      <c r="O160" s="261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7"/>
    </row>
    <row r="161" spans="1:26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261"/>
      <c r="G161" s="259"/>
      <c r="H161" s="261"/>
      <c r="I161" s="261"/>
      <c r="J161" s="261"/>
      <c r="K161" s="261"/>
      <c r="L161" s="261"/>
      <c r="M161" s="261"/>
      <c r="N161" s="261"/>
      <c r="O161" s="261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7"/>
    </row>
    <row r="162" spans="1:26" ht="18.75" hidden="1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262"/>
      <c r="G162" s="259"/>
      <c r="H162" s="262"/>
      <c r="I162" s="262"/>
      <c r="J162" s="262"/>
      <c r="K162" s="262"/>
      <c r="L162" s="262"/>
      <c r="M162" s="262"/>
      <c r="N162" s="262"/>
      <c r="O162" s="262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7"/>
    </row>
    <row r="163" spans="1:26" ht="18.75" hidden="1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262"/>
      <c r="G163" s="259"/>
      <c r="H163" s="262"/>
      <c r="I163" s="262"/>
      <c r="J163" s="262"/>
      <c r="K163" s="262"/>
      <c r="L163" s="262"/>
      <c r="M163" s="262"/>
      <c r="N163" s="262"/>
      <c r="O163" s="262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7"/>
    </row>
    <row r="164" spans="1:26" ht="31.5" hidden="1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262"/>
      <c r="G164" s="259"/>
      <c r="H164" s="262"/>
      <c r="I164" s="262"/>
      <c r="J164" s="262"/>
      <c r="K164" s="262"/>
      <c r="L164" s="262"/>
      <c r="M164" s="262"/>
      <c r="N164" s="262"/>
      <c r="O164" s="262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7"/>
    </row>
    <row r="165" spans="1:26" ht="18.75" hidden="1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262"/>
      <c r="G165" s="259"/>
      <c r="H165" s="262"/>
      <c r="I165" s="262"/>
      <c r="J165" s="262"/>
      <c r="K165" s="262"/>
      <c r="L165" s="262"/>
      <c r="M165" s="262"/>
      <c r="N165" s="262"/>
      <c r="O165" s="262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7"/>
    </row>
    <row r="166" spans="1:26" ht="31.5" hidden="1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262"/>
      <c r="G166" s="259"/>
      <c r="H166" s="262"/>
      <c r="I166" s="262"/>
      <c r="J166" s="262"/>
      <c r="K166" s="262"/>
      <c r="L166" s="262"/>
      <c r="M166" s="262"/>
      <c r="N166" s="262"/>
      <c r="O166" s="262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7"/>
    </row>
    <row r="167" spans="1:26" ht="18.75" hidden="1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262"/>
      <c r="G167" s="259"/>
      <c r="H167" s="262"/>
      <c r="I167" s="262"/>
      <c r="J167" s="262"/>
      <c r="K167" s="262"/>
      <c r="L167" s="262"/>
      <c r="M167" s="262"/>
      <c r="N167" s="262"/>
      <c r="O167" s="262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7"/>
    </row>
    <row r="168" spans="1:26" ht="18.75" hidden="1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262"/>
      <c r="G168" s="259"/>
      <c r="H168" s="262"/>
      <c r="I168" s="262"/>
      <c r="J168" s="262"/>
      <c r="K168" s="262"/>
      <c r="L168" s="262"/>
      <c r="M168" s="262"/>
      <c r="N168" s="262"/>
      <c r="O168" s="262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7"/>
    </row>
    <row r="169" spans="1:26" ht="15.75" hidden="1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262"/>
      <c r="G169" s="259"/>
      <c r="H169" s="262"/>
      <c r="I169" s="262"/>
      <c r="J169" s="262"/>
      <c r="K169" s="262"/>
      <c r="L169" s="262"/>
      <c r="M169" s="262"/>
      <c r="N169" s="262"/>
      <c r="O169" s="262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7"/>
    </row>
    <row r="170" spans="1:26" ht="31.5" hidden="1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262"/>
      <c r="G170" s="259"/>
      <c r="H170" s="262"/>
      <c r="I170" s="262"/>
      <c r="J170" s="262"/>
      <c r="K170" s="262"/>
      <c r="L170" s="262"/>
      <c r="M170" s="262"/>
      <c r="N170" s="262"/>
      <c r="O170" s="262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7"/>
    </row>
    <row r="171" spans="1:26" ht="31.5" hidden="1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262"/>
      <c r="G171" s="259"/>
      <c r="H171" s="262"/>
      <c r="I171" s="262"/>
      <c r="J171" s="262"/>
      <c r="K171" s="262"/>
      <c r="L171" s="262"/>
      <c r="M171" s="262"/>
      <c r="N171" s="262"/>
      <c r="O171" s="262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7"/>
    </row>
    <row r="172" spans="1:26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261"/>
      <c r="G172" s="259"/>
      <c r="H172" s="261"/>
      <c r="I172" s="261"/>
      <c r="J172" s="261"/>
      <c r="K172" s="261"/>
      <c r="L172" s="261"/>
      <c r="M172" s="261"/>
      <c r="N172" s="261"/>
      <c r="O172" s="261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7"/>
    </row>
    <row r="173" spans="1:26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261"/>
      <c r="G173" s="259"/>
      <c r="H173" s="261"/>
      <c r="I173" s="261"/>
      <c r="J173" s="261"/>
      <c r="K173" s="261"/>
      <c r="L173" s="261"/>
      <c r="M173" s="261"/>
      <c r="N173" s="261"/>
      <c r="O173" s="261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7"/>
    </row>
    <row r="174" spans="1:26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261"/>
      <c r="G174" s="259"/>
      <c r="H174" s="261"/>
      <c r="I174" s="261"/>
      <c r="J174" s="261"/>
      <c r="K174" s="261"/>
      <c r="L174" s="261"/>
      <c r="M174" s="261"/>
      <c r="N174" s="261"/>
      <c r="O174" s="261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7"/>
    </row>
    <row r="175" spans="1:26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261"/>
      <c r="G175" s="259"/>
      <c r="H175" s="261"/>
      <c r="I175" s="261"/>
      <c r="J175" s="261"/>
      <c r="K175" s="261"/>
      <c r="L175" s="261"/>
      <c r="M175" s="261"/>
      <c r="N175" s="261"/>
      <c r="O175" s="261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7"/>
    </row>
    <row r="176" spans="1:26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261"/>
      <c r="G176" s="259"/>
      <c r="H176" s="261"/>
      <c r="I176" s="261"/>
      <c r="J176" s="261"/>
      <c r="K176" s="261"/>
      <c r="L176" s="261"/>
      <c r="M176" s="261"/>
      <c r="N176" s="261"/>
      <c r="O176" s="261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7"/>
    </row>
    <row r="177" spans="1:26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261"/>
      <c r="G177" s="259"/>
      <c r="H177" s="261"/>
      <c r="I177" s="261"/>
      <c r="J177" s="261"/>
      <c r="K177" s="261"/>
      <c r="L177" s="261"/>
      <c r="M177" s="261"/>
      <c r="N177" s="261"/>
      <c r="O177" s="261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7"/>
    </row>
    <row r="178" spans="1:26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261"/>
      <c r="G178" s="259"/>
      <c r="H178" s="261"/>
      <c r="I178" s="261"/>
      <c r="J178" s="261"/>
      <c r="K178" s="261"/>
      <c r="L178" s="261"/>
      <c r="M178" s="261"/>
      <c r="N178" s="261"/>
      <c r="O178" s="261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7"/>
    </row>
    <row r="179" spans="1:26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261"/>
      <c r="G179" s="259"/>
      <c r="H179" s="261"/>
      <c r="I179" s="261"/>
      <c r="J179" s="261"/>
      <c r="K179" s="261"/>
      <c r="L179" s="261"/>
      <c r="M179" s="261"/>
      <c r="N179" s="261"/>
      <c r="O179" s="261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7"/>
    </row>
    <row r="180" spans="1:26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261"/>
      <c r="G180" s="259"/>
      <c r="H180" s="261"/>
      <c r="I180" s="261"/>
      <c r="J180" s="261"/>
      <c r="K180" s="261"/>
      <c r="L180" s="261"/>
      <c r="M180" s="261"/>
      <c r="N180" s="261"/>
      <c r="O180" s="261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7"/>
    </row>
    <row r="181" spans="1:26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261"/>
      <c r="G181" s="259"/>
      <c r="H181" s="261"/>
      <c r="I181" s="261"/>
      <c r="J181" s="261"/>
      <c r="K181" s="261"/>
      <c r="L181" s="261"/>
      <c r="M181" s="261"/>
      <c r="N181" s="261"/>
      <c r="O181" s="261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7"/>
    </row>
    <row r="182" spans="1:26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261"/>
      <c r="G182" s="259"/>
      <c r="H182" s="261"/>
      <c r="I182" s="261"/>
      <c r="J182" s="261"/>
      <c r="K182" s="261"/>
      <c r="L182" s="261"/>
      <c r="M182" s="261"/>
      <c r="N182" s="261"/>
      <c r="O182" s="261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7"/>
    </row>
    <row r="183" spans="1:26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261"/>
      <c r="G183" s="259"/>
      <c r="H183" s="261"/>
      <c r="I183" s="261"/>
      <c r="J183" s="261"/>
      <c r="K183" s="261"/>
      <c r="L183" s="261"/>
      <c r="M183" s="261"/>
      <c r="N183" s="261"/>
      <c r="O183" s="261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7"/>
    </row>
    <row r="184" spans="1:26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261"/>
      <c r="G184" s="259"/>
      <c r="H184" s="261"/>
      <c r="I184" s="261"/>
      <c r="J184" s="261"/>
      <c r="K184" s="261"/>
      <c r="L184" s="261"/>
      <c r="M184" s="261"/>
      <c r="N184" s="261"/>
      <c r="O184" s="261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7"/>
    </row>
    <row r="185" spans="1:26" ht="31.5" customHeight="1">
      <c r="A185" s="101">
        <v>7.7</v>
      </c>
      <c r="B185" s="53" t="s">
        <v>412</v>
      </c>
      <c r="C185" s="87" t="s">
        <v>413</v>
      </c>
      <c r="D185" s="61" t="s">
        <v>1161</v>
      </c>
      <c r="E185" s="200">
        <f t="shared" si="0"/>
        <v>0</v>
      </c>
      <c r="F185" s="261"/>
      <c r="G185" s="259"/>
      <c r="H185" s="261"/>
      <c r="I185" s="261"/>
      <c r="J185" s="261"/>
      <c r="K185" s="261"/>
      <c r="L185" s="261"/>
      <c r="M185" s="261"/>
      <c r="N185" s="261"/>
      <c r="O185" s="261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7"/>
    </row>
    <row r="186" spans="1:26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261"/>
      <c r="G186" s="259"/>
      <c r="H186" s="261"/>
      <c r="I186" s="261"/>
      <c r="J186" s="261"/>
      <c r="K186" s="261"/>
      <c r="L186" s="261"/>
      <c r="M186" s="261"/>
      <c r="N186" s="261"/>
      <c r="O186" s="261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7"/>
    </row>
    <row r="187" spans="1:26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261"/>
      <c r="G187" s="259"/>
      <c r="H187" s="261"/>
      <c r="I187" s="261"/>
      <c r="J187" s="261"/>
      <c r="K187" s="261"/>
      <c r="L187" s="261"/>
      <c r="M187" s="261"/>
      <c r="N187" s="261"/>
      <c r="O187" s="261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7"/>
    </row>
    <row r="188" spans="1:26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261"/>
      <c r="G188" s="259"/>
      <c r="H188" s="261"/>
      <c r="I188" s="261"/>
      <c r="J188" s="261"/>
      <c r="K188" s="261"/>
      <c r="L188" s="261"/>
      <c r="M188" s="261"/>
      <c r="N188" s="261"/>
      <c r="O188" s="261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7"/>
    </row>
    <row r="189" spans="1:26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261"/>
      <c r="G189" s="259"/>
      <c r="H189" s="261"/>
      <c r="I189" s="261"/>
      <c r="J189" s="261"/>
      <c r="K189" s="261"/>
      <c r="L189" s="261"/>
      <c r="M189" s="261"/>
      <c r="N189" s="261"/>
      <c r="O189" s="261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7"/>
    </row>
    <row r="190" spans="1:26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261"/>
      <c r="G190" s="259"/>
      <c r="H190" s="261"/>
      <c r="I190" s="261"/>
      <c r="J190" s="261"/>
      <c r="K190" s="261"/>
      <c r="L190" s="261"/>
      <c r="M190" s="261"/>
      <c r="N190" s="261"/>
      <c r="O190" s="261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7"/>
    </row>
    <row r="191" spans="1:26" ht="18.75" customHeight="1">
      <c r="A191" s="42" t="s">
        <v>991</v>
      </c>
      <c r="B191" s="59" t="s">
        <v>428</v>
      </c>
      <c r="C191" s="111" t="s">
        <v>429</v>
      </c>
      <c r="D191" s="61" t="s">
        <v>1162</v>
      </c>
      <c r="E191" s="200">
        <f t="shared" si="0"/>
        <v>0</v>
      </c>
      <c r="F191" s="261"/>
      <c r="G191" s="259"/>
      <c r="H191" s="261"/>
      <c r="I191" s="261"/>
      <c r="J191" s="261"/>
      <c r="K191" s="261"/>
      <c r="L191" s="261"/>
      <c r="M191" s="261"/>
      <c r="N191" s="261"/>
      <c r="O191" s="261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7"/>
    </row>
    <row r="192" spans="1:26" ht="18.75" customHeight="1">
      <c r="A192" s="42" t="s">
        <v>990</v>
      </c>
      <c r="B192" s="59" t="s">
        <v>426</v>
      </c>
      <c r="C192" s="111" t="s">
        <v>431</v>
      </c>
      <c r="D192" s="61" t="s">
        <v>1163</v>
      </c>
      <c r="E192" s="200">
        <f t="shared" si="0"/>
        <v>0</v>
      </c>
      <c r="F192" s="261"/>
      <c r="G192" s="259"/>
      <c r="H192" s="261"/>
      <c r="I192" s="261"/>
      <c r="J192" s="261"/>
      <c r="K192" s="261"/>
      <c r="L192" s="261"/>
      <c r="M192" s="261"/>
      <c r="N192" s="261"/>
      <c r="O192" s="261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7"/>
    </row>
    <row r="193" spans="1:26" ht="18.75" customHeight="1">
      <c r="A193" s="42" t="s">
        <v>991</v>
      </c>
      <c r="B193" s="59" t="s">
        <v>428</v>
      </c>
      <c r="C193" s="111" t="s">
        <v>433</v>
      </c>
      <c r="D193" s="61" t="s">
        <v>1164</v>
      </c>
      <c r="E193" s="200">
        <f t="shared" si="0"/>
        <v>0</v>
      </c>
      <c r="F193" s="261"/>
      <c r="G193" s="259"/>
      <c r="H193" s="261"/>
      <c r="I193" s="261"/>
      <c r="J193" s="261"/>
      <c r="K193" s="261"/>
      <c r="L193" s="261"/>
      <c r="M193" s="261"/>
      <c r="N193" s="261"/>
      <c r="O193" s="261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7"/>
    </row>
    <row r="194" spans="1:26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261"/>
      <c r="G194" s="259"/>
      <c r="H194" s="261"/>
      <c r="I194" s="261"/>
      <c r="J194" s="261"/>
      <c r="K194" s="261"/>
      <c r="L194" s="261"/>
      <c r="M194" s="261"/>
      <c r="N194" s="261"/>
      <c r="O194" s="261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7"/>
    </row>
    <row r="195" spans="1:26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261"/>
      <c r="G195" s="259"/>
      <c r="H195" s="261"/>
      <c r="I195" s="261"/>
      <c r="J195" s="261"/>
      <c r="K195" s="261"/>
      <c r="L195" s="261"/>
      <c r="M195" s="261"/>
      <c r="N195" s="261"/>
      <c r="O195" s="261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7"/>
    </row>
    <row r="196" spans="1:26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261"/>
      <c r="G196" s="259"/>
      <c r="H196" s="261"/>
      <c r="I196" s="261"/>
      <c r="J196" s="261"/>
      <c r="K196" s="261"/>
      <c r="L196" s="261"/>
      <c r="M196" s="261"/>
      <c r="N196" s="261"/>
      <c r="O196" s="261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7"/>
    </row>
    <row r="197" spans="1:26" ht="18.75" customHeight="1">
      <c r="A197" s="42" t="s">
        <v>997</v>
      </c>
      <c r="B197" s="59" t="s">
        <v>440</v>
      </c>
      <c r="C197" s="111" t="s">
        <v>429</v>
      </c>
      <c r="D197" s="61" t="s">
        <v>1165</v>
      </c>
      <c r="E197" s="200">
        <f t="shared" si="0"/>
        <v>0</v>
      </c>
      <c r="F197" s="261"/>
      <c r="G197" s="259"/>
      <c r="H197" s="261"/>
      <c r="I197" s="261"/>
      <c r="J197" s="261"/>
      <c r="K197" s="261"/>
      <c r="L197" s="261"/>
      <c r="M197" s="261"/>
      <c r="N197" s="261"/>
      <c r="O197" s="261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7"/>
    </row>
    <row r="198" spans="1:26" ht="18.75" customHeight="1">
      <c r="A198" s="42" t="s">
        <v>996</v>
      </c>
      <c r="B198" s="59" t="s">
        <v>439</v>
      </c>
      <c r="C198" s="111" t="s">
        <v>431</v>
      </c>
      <c r="D198" s="61" t="s">
        <v>1166</v>
      </c>
      <c r="E198" s="200">
        <f t="shared" si="0"/>
        <v>0</v>
      </c>
      <c r="F198" s="261"/>
      <c r="G198" s="259"/>
      <c r="H198" s="261"/>
      <c r="I198" s="261"/>
      <c r="J198" s="261"/>
      <c r="K198" s="261"/>
      <c r="L198" s="261"/>
      <c r="M198" s="261"/>
      <c r="N198" s="261"/>
      <c r="O198" s="261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7"/>
    </row>
    <row r="199" spans="1:26" ht="18.75" customHeight="1">
      <c r="A199" s="42" t="s">
        <v>997</v>
      </c>
      <c r="B199" s="59" t="s">
        <v>440</v>
      </c>
      <c r="C199" s="111" t="s">
        <v>433</v>
      </c>
      <c r="D199" s="61" t="s">
        <v>1167</v>
      </c>
      <c r="E199" s="200">
        <f t="shared" si="0"/>
        <v>0</v>
      </c>
      <c r="F199" s="261"/>
      <c r="G199" s="259"/>
      <c r="H199" s="261"/>
      <c r="I199" s="261"/>
      <c r="J199" s="261"/>
      <c r="K199" s="261"/>
      <c r="L199" s="261"/>
      <c r="M199" s="261"/>
      <c r="N199" s="261"/>
      <c r="O199" s="261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7"/>
    </row>
    <row r="200" spans="1:26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261"/>
      <c r="G200" s="259"/>
      <c r="H200" s="261"/>
      <c r="I200" s="261"/>
      <c r="J200" s="261"/>
      <c r="K200" s="261"/>
      <c r="L200" s="261"/>
      <c r="M200" s="261"/>
      <c r="N200" s="261"/>
      <c r="O200" s="261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7"/>
    </row>
    <row r="201" spans="1:26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261"/>
      <c r="G201" s="259"/>
      <c r="H201" s="261"/>
      <c r="I201" s="261"/>
      <c r="J201" s="261"/>
      <c r="K201" s="261"/>
      <c r="L201" s="261"/>
      <c r="M201" s="261"/>
      <c r="N201" s="261"/>
      <c r="O201" s="261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7"/>
    </row>
    <row r="202" spans="1:26" ht="18.75" customHeight="1">
      <c r="A202" s="42"/>
      <c r="B202" s="59" t="s">
        <v>449</v>
      </c>
      <c r="C202" s="111" t="s">
        <v>450</v>
      </c>
      <c r="D202" s="61" t="s">
        <v>1168</v>
      </c>
      <c r="E202" s="200">
        <f t="shared" si="0"/>
        <v>0</v>
      </c>
      <c r="F202" s="261"/>
      <c r="G202" s="259"/>
      <c r="H202" s="261"/>
      <c r="I202" s="261"/>
      <c r="J202" s="261"/>
      <c r="K202" s="261"/>
      <c r="L202" s="261"/>
      <c r="M202" s="261"/>
      <c r="N202" s="261"/>
      <c r="O202" s="261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7"/>
    </row>
    <row r="203" spans="1:26" ht="18.75" customHeight="1">
      <c r="A203" s="42"/>
      <c r="B203" s="59" t="s">
        <v>449</v>
      </c>
      <c r="C203" s="111" t="s">
        <v>431</v>
      </c>
      <c r="D203" s="61" t="s">
        <v>1169</v>
      </c>
      <c r="E203" s="200">
        <f t="shared" si="0"/>
        <v>0</v>
      </c>
      <c r="F203" s="261"/>
      <c r="G203" s="259"/>
      <c r="H203" s="261"/>
      <c r="I203" s="261"/>
      <c r="J203" s="261"/>
      <c r="K203" s="261"/>
      <c r="L203" s="261"/>
      <c r="M203" s="261"/>
      <c r="N203" s="261"/>
      <c r="O203" s="261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7"/>
    </row>
    <row r="204" spans="1:26" ht="18.75" customHeight="1">
      <c r="A204" s="42"/>
      <c r="B204" s="59" t="s">
        <v>453</v>
      </c>
      <c r="C204" s="111" t="s">
        <v>433</v>
      </c>
      <c r="D204" s="61" t="s">
        <v>1170</v>
      </c>
      <c r="E204" s="200">
        <f t="shared" si="0"/>
        <v>0</v>
      </c>
      <c r="F204" s="261"/>
      <c r="G204" s="259"/>
      <c r="H204" s="261"/>
      <c r="I204" s="261"/>
      <c r="J204" s="261"/>
      <c r="K204" s="261"/>
      <c r="L204" s="261"/>
      <c r="M204" s="261"/>
      <c r="N204" s="261"/>
      <c r="O204" s="261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7"/>
    </row>
    <row r="205" spans="1:26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261"/>
      <c r="G205" s="259"/>
      <c r="H205" s="261"/>
      <c r="I205" s="261"/>
      <c r="J205" s="261"/>
      <c r="K205" s="261"/>
      <c r="L205" s="261"/>
      <c r="M205" s="261"/>
      <c r="N205" s="261"/>
      <c r="O205" s="261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7"/>
    </row>
    <row r="206" spans="1:26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261"/>
      <c r="G206" s="259"/>
      <c r="H206" s="261"/>
      <c r="I206" s="261"/>
      <c r="J206" s="261"/>
      <c r="K206" s="261"/>
      <c r="L206" s="261"/>
      <c r="M206" s="261"/>
      <c r="N206" s="261"/>
      <c r="O206" s="261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7"/>
    </row>
    <row r="207" spans="1:26" ht="18.75" customHeight="1">
      <c r="A207" s="42"/>
      <c r="B207" s="59" t="s">
        <v>461</v>
      </c>
      <c r="C207" s="111" t="s">
        <v>431</v>
      </c>
      <c r="D207" s="61" t="s">
        <v>1171</v>
      </c>
      <c r="E207" s="200">
        <f t="shared" si="0"/>
        <v>0</v>
      </c>
      <c r="F207" s="261"/>
      <c r="G207" s="259"/>
      <c r="H207" s="261"/>
      <c r="I207" s="261"/>
      <c r="J207" s="261"/>
      <c r="K207" s="261"/>
      <c r="L207" s="261"/>
      <c r="M207" s="261"/>
      <c r="N207" s="261"/>
      <c r="O207" s="261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7"/>
    </row>
    <row r="208" spans="1:26" ht="18.75" customHeight="1">
      <c r="A208" s="42"/>
      <c r="B208" s="59" t="s">
        <v>464</v>
      </c>
      <c r="C208" s="111" t="s">
        <v>433</v>
      </c>
      <c r="D208" s="61" t="s">
        <v>1172</v>
      </c>
      <c r="E208" s="200">
        <f t="shared" si="0"/>
        <v>0</v>
      </c>
      <c r="F208" s="261"/>
      <c r="G208" s="259"/>
      <c r="H208" s="261"/>
      <c r="I208" s="261"/>
      <c r="J208" s="261"/>
      <c r="K208" s="261"/>
      <c r="L208" s="261"/>
      <c r="M208" s="261"/>
      <c r="N208" s="261"/>
      <c r="O208" s="261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7"/>
    </row>
    <row r="209" spans="1:26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261"/>
      <c r="G209" s="259"/>
      <c r="H209" s="261"/>
      <c r="I209" s="261"/>
      <c r="J209" s="261"/>
      <c r="K209" s="261"/>
      <c r="L209" s="261"/>
      <c r="M209" s="261"/>
      <c r="N209" s="261"/>
      <c r="O209" s="261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7"/>
    </row>
    <row r="210" spans="1:26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261"/>
      <c r="G210" s="259"/>
      <c r="H210" s="261"/>
      <c r="I210" s="261"/>
      <c r="J210" s="261"/>
      <c r="K210" s="261"/>
      <c r="L210" s="261"/>
      <c r="M210" s="261"/>
      <c r="N210" s="261"/>
      <c r="O210" s="261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7"/>
    </row>
    <row r="211" spans="1:26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261"/>
      <c r="G211" s="259"/>
      <c r="H211" s="261"/>
      <c r="I211" s="261"/>
      <c r="J211" s="261"/>
      <c r="K211" s="261"/>
      <c r="L211" s="261"/>
      <c r="M211" s="261"/>
      <c r="N211" s="261"/>
      <c r="O211" s="261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7"/>
    </row>
    <row r="212" spans="1:26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261"/>
      <c r="G212" s="259"/>
      <c r="H212" s="261"/>
      <c r="I212" s="261"/>
      <c r="J212" s="261"/>
      <c r="K212" s="261"/>
      <c r="L212" s="261"/>
      <c r="M212" s="261"/>
      <c r="N212" s="261"/>
      <c r="O212" s="261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7"/>
    </row>
    <row r="213" spans="1:26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261"/>
      <c r="G213" s="259"/>
      <c r="H213" s="261"/>
      <c r="I213" s="261"/>
      <c r="J213" s="261"/>
      <c r="K213" s="261"/>
      <c r="L213" s="261"/>
      <c r="M213" s="261"/>
      <c r="N213" s="261"/>
      <c r="O213" s="261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7"/>
    </row>
    <row r="214" spans="1:26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261"/>
      <c r="G214" s="259"/>
      <c r="H214" s="261"/>
      <c r="I214" s="261"/>
      <c r="J214" s="261"/>
      <c r="K214" s="261"/>
      <c r="L214" s="261"/>
      <c r="M214" s="261"/>
      <c r="N214" s="261"/>
      <c r="O214" s="261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7"/>
    </row>
    <row r="215" spans="1:26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261"/>
      <c r="G215" s="259"/>
      <c r="H215" s="261"/>
      <c r="I215" s="261"/>
      <c r="J215" s="261"/>
      <c r="K215" s="261"/>
      <c r="L215" s="261"/>
      <c r="M215" s="261"/>
      <c r="N215" s="261"/>
      <c r="O215" s="261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7"/>
    </row>
    <row r="216" spans="1:26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261"/>
      <c r="G216" s="259"/>
      <c r="H216" s="261"/>
      <c r="I216" s="261"/>
      <c r="J216" s="261"/>
      <c r="K216" s="261"/>
      <c r="L216" s="261"/>
      <c r="M216" s="261"/>
      <c r="N216" s="261"/>
      <c r="O216" s="261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7"/>
    </row>
    <row r="217" spans="1:26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261"/>
      <c r="G217" s="259"/>
      <c r="H217" s="261"/>
      <c r="I217" s="261"/>
      <c r="J217" s="261"/>
      <c r="K217" s="261"/>
      <c r="L217" s="261"/>
      <c r="M217" s="261"/>
      <c r="N217" s="261"/>
      <c r="O217" s="261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7"/>
    </row>
    <row r="218" spans="1:26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261"/>
      <c r="G218" s="259"/>
      <c r="H218" s="261"/>
      <c r="I218" s="261"/>
      <c r="J218" s="261"/>
      <c r="K218" s="261"/>
      <c r="L218" s="261"/>
      <c r="M218" s="261"/>
      <c r="N218" s="261"/>
      <c r="O218" s="261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7"/>
    </row>
    <row r="219" spans="1:26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261"/>
      <c r="G219" s="259"/>
      <c r="H219" s="261"/>
      <c r="I219" s="261"/>
      <c r="J219" s="261"/>
      <c r="K219" s="261"/>
      <c r="L219" s="261"/>
      <c r="M219" s="261"/>
      <c r="N219" s="261"/>
      <c r="O219" s="261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7"/>
    </row>
    <row r="220" spans="1:26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261"/>
      <c r="G220" s="259"/>
      <c r="H220" s="261"/>
      <c r="I220" s="261"/>
      <c r="J220" s="261"/>
      <c r="K220" s="261"/>
      <c r="L220" s="261"/>
      <c r="M220" s="261"/>
      <c r="N220" s="261"/>
      <c r="O220" s="261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7"/>
    </row>
    <row r="221" spans="1:26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261"/>
      <c r="G221" s="259"/>
      <c r="H221" s="261"/>
      <c r="I221" s="261"/>
      <c r="J221" s="261"/>
      <c r="K221" s="261"/>
      <c r="L221" s="261"/>
      <c r="M221" s="261"/>
      <c r="N221" s="261"/>
      <c r="O221" s="261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7"/>
    </row>
    <row r="222" spans="1:26" ht="18.75" customHeight="1">
      <c r="A222" s="118" t="s">
        <v>1007</v>
      </c>
      <c r="B222" s="59" t="s">
        <v>502</v>
      </c>
      <c r="C222" s="113" t="s">
        <v>503</v>
      </c>
      <c r="D222" s="61" t="s">
        <v>1173</v>
      </c>
      <c r="E222" s="200">
        <f t="shared" si="0"/>
        <v>0</v>
      </c>
      <c r="F222" s="261"/>
      <c r="G222" s="259"/>
      <c r="H222" s="261"/>
      <c r="I222" s="261"/>
      <c r="J222" s="261"/>
      <c r="K222" s="261"/>
      <c r="L222" s="261"/>
      <c r="M222" s="261"/>
      <c r="N222" s="261"/>
      <c r="O222" s="261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7"/>
    </row>
    <row r="223" spans="1:26" ht="18.75" customHeight="1">
      <c r="A223" s="118" t="s">
        <v>1009</v>
      </c>
      <c r="B223" s="59" t="s">
        <v>506</v>
      </c>
      <c r="C223" s="113" t="s">
        <v>507</v>
      </c>
      <c r="D223" s="61" t="s">
        <v>1174</v>
      </c>
      <c r="E223" s="200">
        <f t="shared" si="0"/>
        <v>0</v>
      </c>
      <c r="F223" s="261"/>
      <c r="G223" s="259"/>
      <c r="H223" s="261"/>
      <c r="I223" s="261"/>
      <c r="J223" s="261"/>
      <c r="K223" s="261"/>
      <c r="L223" s="261"/>
      <c r="M223" s="261"/>
      <c r="N223" s="261"/>
      <c r="O223" s="261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7"/>
    </row>
    <row r="224" spans="1:26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261"/>
      <c r="G224" s="259"/>
      <c r="H224" s="261"/>
      <c r="I224" s="261"/>
      <c r="J224" s="261"/>
      <c r="K224" s="261"/>
      <c r="L224" s="261"/>
      <c r="M224" s="261"/>
      <c r="N224" s="261"/>
      <c r="O224" s="261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7"/>
    </row>
    <row r="225" spans="1:26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261"/>
      <c r="G225" s="259"/>
      <c r="H225" s="261"/>
      <c r="I225" s="261"/>
      <c r="J225" s="261"/>
      <c r="K225" s="261"/>
      <c r="L225" s="261"/>
      <c r="M225" s="261"/>
      <c r="N225" s="261"/>
      <c r="O225" s="261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7"/>
    </row>
    <row r="226" spans="1:26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261"/>
      <c r="G226" s="259"/>
      <c r="H226" s="261"/>
      <c r="I226" s="261"/>
      <c r="J226" s="261"/>
      <c r="K226" s="261"/>
      <c r="L226" s="261"/>
      <c r="M226" s="261"/>
      <c r="N226" s="261"/>
      <c r="O226" s="261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7"/>
    </row>
    <row r="227" spans="1:26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261"/>
      <c r="G227" s="259"/>
      <c r="H227" s="261"/>
      <c r="I227" s="261"/>
      <c r="J227" s="261"/>
      <c r="K227" s="261"/>
      <c r="L227" s="261"/>
      <c r="M227" s="261"/>
      <c r="N227" s="261"/>
      <c r="O227" s="261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7"/>
    </row>
    <row r="228" spans="1:26" ht="18.75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261"/>
      <c r="G228" s="259"/>
      <c r="H228" s="261"/>
      <c r="I228" s="261"/>
      <c r="J228" s="261"/>
      <c r="K228" s="261"/>
      <c r="L228" s="261"/>
      <c r="M228" s="261"/>
      <c r="N228" s="261"/>
      <c r="O228" s="261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7"/>
    </row>
    <row r="229" spans="1:26" ht="18.75" customHeight="1">
      <c r="A229" s="42"/>
      <c r="B229" s="59" t="s">
        <v>523</v>
      </c>
      <c r="C229" s="113" t="s">
        <v>524</v>
      </c>
      <c r="D229" s="61" t="s">
        <v>1175</v>
      </c>
      <c r="E229" s="200">
        <f t="shared" si="0"/>
        <v>0</v>
      </c>
      <c r="F229" s="261"/>
      <c r="G229" s="259"/>
      <c r="H229" s="261"/>
      <c r="I229" s="261"/>
      <c r="J229" s="261"/>
      <c r="K229" s="261"/>
      <c r="L229" s="261"/>
      <c r="M229" s="261"/>
      <c r="N229" s="261"/>
      <c r="O229" s="261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7"/>
    </row>
    <row r="230" spans="1:26" ht="18.75" customHeight="1">
      <c r="A230" s="42"/>
      <c r="B230" s="59" t="s">
        <v>526</v>
      </c>
      <c r="C230" s="113" t="s">
        <v>527</v>
      </c>
      <c r="D230" s="61" t="s">
        <v>1176</v>
      </c>
      <c r="E230" s="200">
        <f t="shared" si="0"/>
        <v>0</v>
      </c>
      <c r="F230" s="261"/>
      <c r="G230" s="259"/>
      <c r="H230" s="261"/>
      <c r="I230" s="261"/>
      <c r="J230" s="261"/>
      <c r="K230" s="261"/>
      <c r="L230" s="261"/>
      <c r="M230" s="261"/>
      <c r="N230" s="261"/>
      <c r="O230" s="261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7"/>
    </row>
    <row r="231" spans="1:26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261"/>
      <c r="G231" s="259"/>
      <c r="H231" s="261"/>
      <c r="I231" s="261"/>
      <c r="J231" s="261"/>
      <c r="K231" s="261"/>
      <c r="L231" s="261"/>
      <c r="M231" s="261"/>
      <c r="N231" s="261"/>
      <c r="O231" s="261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7"/>
    </row>
    <row r="232" spans="1:26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261"/>
      <c r="G232" s="259"/>
      <c r="H232" s="261"/>
      <c r="I232" s="261"/>
      <c r="J232" s="261"/>
      <c r="K232" s="261"/>
      <c r="L232" s="261"/>
      <c r="M232" s="261"/>
      <c r="N232" s="261"/>
      <c r="O232" s="261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7"/>
    </row>
    <row r="233" spans="1:26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261"/>
      <c r="G233" s="259"/>
      <c r="H233" s="261"/>
      <c r="I233" s="261"/>
      <c r="J233" s="261"/>
      <c r="K233" s="261"/>
      <c r="L233" s="261"/>
      <c r="M233" s="261"/>
      <c r="N233" s="261"/>
      <c r="O233" s="261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7"/>
    </row>
    <row r="234" spans="1:26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261"/>
      <c r="G234" s="259"/>
      <c r="H234" s="261"/>
      <c r="I234" s="261"/>
      <c r="J234" s="261"/>
      <c r="K234" s="261"/>
      <c r="L234" s="261"/>
      <c r="M234" s="261"/>
      <c r="N234" s="261"/>
      <c r="O234" s="261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7"/>
    </row>
    <row r="235" spans="1:26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261"/>
      <c r="G235" s="259"/>
      <c r="H235" s="261"/>
      <c r="I235" s="261"/>
      <c r="J235" s="261"/>
      <c r="K235" s="261"/>
      <c r="L235" s="261"/>
      <c r="M235" s="261"/>
      <c r="N235" s="261"/>
      <c r="O235" s="261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7"/>
    </row>
    <row r="236" spans="1:26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261"/>
      <c r="G236" s="259"/>
      <c r="H236" s="261"/>
      <c r="I236" s="261"/>
      <c r="J236" s="261"/>
      <c r="K236" s="261"/>
      <c r="L236" s="261"/>
      <c r="M236" s="261"/>
      <c r="N236" s="261"/>
      <c r="O236" s="261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7"/>
    </row>
    <row r="237" spans="1:26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261"/>
      <c r="G237" s="259"/>
      <c r="H237" s="261"/>
      <c r="I237" s="261"/>
      <c r="J237" s="261"/>
      <c r="K237" s="261"/>
      <c r="L237" s="261"/>
      <c r="M237" s="261"/>
      <c r="N237" s="261"/>
      <c r="O237" s="261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7"/>
    </row>
    <row r="238" spans="1:26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261"/>
      <c r="G238" s="259"/>
      <c r="H238" s="261"/>
      <c r="I238" s="261"/>
      <c r="J238" s="261"/>
      <c r="K238" s="261"/>
      <c r="L238" s="261"/>
      <c r="M238" s="261"/>
      <c r="N238" s="261"/>
      <c r="O238" s="261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7"/>
    </row>
    <row r="239" spans="1:26" ht="18.75" customHeight="1">
      <c r="A239" s="42"/>
      <c r="B239" s="59" t="s">
        <v>551</v>
      </c>
      <c r="C239" s="113" t="s">
        <v>524</v>
      </c>
      <c r="D239" s="61" t="s">
        <v>1177</v>
      </c>
      <c r="E239" s="200">
        <f t="shared" si="0"/>
        <v>0</v>
      </c>
      <c r="F239" s="261"/>
      <c r="G239" s="259"/>
      <c r="H239" s="261"/>
      <c r="I239" s="261"/>
      <c r="J239" s="273"/>
      <c r="K239" s="261"/>
      <c r="L239" s="261"/>
      <c r="M239" s="261"/>
      <c r="N239" s="261"/>
      <c r="O239" s="261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7"/>
    </row>
    <row r="240" spans="1:26" ht="18.75" customHeight="1">
      <c r="A240" s="42"/>
      <c r="B240" s="59" t="s">
        <v>553</v>
      </c>
      <c r="C240" s="113" t="s">
        <v>527</v>
      </c>
      <c r="D240" s="61" t="s">
        <v>1178</v>
      </c>
      <c r="E240" s="200">
        <f t="shared" si="0"/>
        <v>0</v>
      </c>
      <c r="F240" s="261"/>
      <c r="G240" s="259"/>
      <c r="H240" s="261"/>
      <c r="I240" s="261"/>
      <c r="J240" s="261"/>
      <c r="K240" s="261"/>
      <c r="L240" s="261"/>
      <c r="M240" s="261"/>
      <c r="N240" s="261"/>
      <c r="O240" s="261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7"/>
    </row>
    <row r="241" spans="1:26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261"/>
      <c r="G241" s="259"/>
      <c r="H241" s="261"/>
      <c r="I241" s="261"/>
      <c r="J241" s="261"/>
      <c r="K241" s="261"/>
      <c r="L241" s="261"/>
      <c r="M241" s="261"/>
      <c r="N241" s="261"/>
      <c r="O241" s="261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7"/>
    </row>
    <row r="242" spans="1:26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261"/>
      <c r="G242" s="259"/>
      <c r="H242" s="261"/>
      <c r="I242" s="261"/>
      <c r="J242" s="261"/>
      <c r="K242" s="261"/>
      <c r="L242" s="261"/>
      <c r="M242" s="261"/>
      <c r="N242" s="261"/>
      <c r="O242" s="261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7"/>
    </row>
    <row r="243" spans="1:26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261"/>
      <c r="G243" s="259"/>
      <c r="H243" s="261"/>
      <c r="I243" s="261"/>
      <c r="J243" s="261"/>
      <c r="K243" s="261"/>
      <c r="L243" s="261"/>
      <c r="M243" s="261"/>
      <c r="N243" s="261"/>
      <c r="O243" s="261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7"/>
    </row>
    <row r="244" spans="1:26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261"/>
      <c r="G244" s="259"/>
      <c r="H244" s="261"/>
      <c r="I244" s="261"/>
      <c r="J244" s="261"/>
      <c r="K244" s="261"/>
      <c r="L244" s="261"/>
      <c r="M244" s="261"/>
      <c r="N244" s="261"/>
      <c r="O244" s="261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7"/>
    </row>
    <row r="245" spans="1:26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261"/>
      <c r="G245" s="259"/>
      <c r="H245" s="261"/>
      <c r="I245" s="261"/>
      <c r="J245" s="261"/>
      <c r="K245" s="261"/>
      <c r="L245" s="261"/>
      <c r="M245" s="261"/>
      <c r="N245" s="261"/>
      <c r="O245" s="261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7"/>
    </row>
    <row r="246" spans="1:26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261"/>
      <c r="G246" s="259"/>
      <c r="H246" s="261"/>
      <c r="I246" s="261"/>
      <c r="J246" s="261"/>
      <c r="K246" s="261"/>
      <c r="L246" s="261"/>
      <c r="M246" s="261"/>
      <c r="N246" s="261"/>
      <c r="O246" s="261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7"/>
    </row>
    <row r="247" spans="1:26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261"/>
      <c r="G247" s="259"/>
      <c r="H247" s="261"/>
      <c r="I247" s="261"/>
      <c r="J247" s="261"/>
      <c r="K247" s="261"/>
      <c r="L247" s="261"/>
      <c r="M247" s="261"/>
      <c r="N247" s="261"/>
      <c r="O247" s="261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7"/>
    </row>
    <row r="248" spans="1:26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261"/>
      <c r="G248" s="259"/>
      <c r="H248" s="261"/>
      <c r="I248" s="261"/>
      <c r="J248" s="261"/>
      <c r="K248" s="261"/>
      <c r="L248" s="261"/>
      <c r="M248" s="261"/>
      <c r="N248" s="261"/>
      <c r="O248" s="261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7"/>
    </row>
    <row r="249" spans="1:26" ht="18.75" customHeight="1">
      <c r="A249" s="42" t="s">
        <v>1020</v>
      </c>
      <c r="B249" s="59" t="s">
        <v>566</v>
      </c>
      <c r="C249" s="113" t="s">
        <v>567</v>
      </c>
      <c r="D249" s="61" t="s">
        <v>1179</v>
      </c>
      <c r="E249" s="200">
        <f t="shared" si="0"/>
        <v>0</v>
      </c>
      <c r="F249" s="261"/>
      <c r="G249" s="259"/>
      <c r="H249" s="261"/>
      <c r="I249" s="261"/>
      <c r="J249" s="261"/>
      <c r="K249" s="261"/>
      <c r="L249" s="261"/>
      <c r="M249" s="261"/>
      <c r="N249" s="261"/>
      <c r="O249" s="261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7"/>
    </row>
    <row r="250" spans="1:26" ht="18.75" customHeight="1">
      <c r="A250" s="42" t="s">
        <v>1022</v>
      </c>
      <c r="B250" s="59" t="s">
        <v>569</v>
      </c>
      <c r="C250" s="113" t="s">
        <v>570</v>
      </c>
      <c r="D250" s="61" t="s">
        <v>1180</v>
      </c>
      <c r="E250" s="200">
        <f t="shared" si="0"/>
        <v>0</v>
      </c>
      <c r="F250" s="261"/>
      <c r="G250" s="259"/>
      <c r="H250" s="261"/>
      <c r="I250" s="261"/>
      <c r="J250" s="261"/>
      <c r="K250" s="261"/>
      <c r="L250" s="261"/>
      <c r="M250" s="261"/>
      <c r="N250" s="261"/>
      <c r="O250" s="261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7"/>
    </row>
    <row r="251" spans="1:26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261"/>
      <c r="G251" s="259"/>
      <c r="H251" s="261"/>
      <c r="I251" s="261"/>
      <c r="J251" s="261"/>
      <c r="K251" s="261"/>
      <c r="L251" s="261"/>
      <c r="M251" s="261"/>
      <c r="N251" s="261"/>
      <c r="O251" s="261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7"/>
    </row>
    <row r="252" spans="1:26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261"/>
      <c r="G252" s="259"/>
      <c r="H252" s="261"/>
      <c r="I252" s="261"/>
      <c r="J252" s="261"/>
      <c r="K252" s="261"/>
      <c r="L252" s="261"/>
      <c r="M252" s="261"/>
      <c r="N252" s="261"/>
      <c r="O252" s="261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7"/>
    </row>
    <row r="253" spans="1:26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261"/>
      <c r="G253" s="259"/>
      <c r="H253" s="261"/>
      <c r="I253" s="261"/>
      <c r="J253" s="261"/>
      <c r="K253" s="261"/>
      <c r="L253" s="261"/>
      <c r="M253" s="261"/>
      <c r="N253" s="261"/>
      <c r="O253" s="261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7"/>
    </row>
    <row r="254" spans="1:26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261"/>
      <c r="G254" s="259"/>
      <c r="H254" s="261"/>
      <c r="I254" s="261"/>
      <c r="J254" s="261"/>
      <c r="K254" s="261"/>
      <c r="L254" s="261"/>
      <c r="M254" s="261"/>
      <c r="N254" s="261"/>
      <c r="O254" s="261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7"/>
    </row>
    <row r="255" spans="1:26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261"/>
      <c r="G255" s="259"/>
      <c r="H255" s="261"/>
      <c r="I255" s="261"/>
      <c r="J255" s="261"/>
      <c r="K255" s="261"/>
      <c r="L255" s="261"/>
      <c r="M255" s="261"/>
      <c r="N255" s="261"/>
      <c r="O255" s="261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7"/>
    </row>
    <row r="256" spans="1:26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261"/>
      <c r="G256" s="259"/>
      <c r="H256" s="261"/>
      <c r="I256" s="261"/>
      <c r="J256" s="261"/>
      <c r="K256" s="261"/>
      <c r="L256" s="261"/>
      <c r="M256" s="261"/>
      <c r="N256" s="261"/>
      <c r="O256" s="261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7"/>
    </row>
    <row r="257" spans="1:26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261"/>
      <c r="G257" s="259"/>
      <c r="H257" s="261"/>
      <c r="I257" s="261"/>
      <c r="J257" s="261"/>
      <c r="K257" s="261"/>
      <c r="L257" s="261"/>
      <c r="M257" s="261"/>
      <c r="N257" s="261"/>
      <c r="O257" s="261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7"/>
    </row>
    <row r="258" spans="1:26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261"/>
      <c r="G258" s="259"/>
      <c r="H258" s="261"/>
      <c r="I258" s="261"/>
      <c r="J258" s="261"/>
      <c r="K258" s="261"/>
      <c r="L258" s="261"/>
      <c r="M258" s="261"/>
      <c r="N258" s="261"/>
      <c r="O258" s="261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7"/>
    </row>
    <row r="259" spans="1:26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261"/>
      <c r="G259" s="259"/>
      <c r="H259" s="261"/>
      <c r="I259" s="261"/>
      <c r="J259" s="261"/>
      <c r="K259" s="261"/>
      <c r="L259" s="261"/>
      <c r="M259" s="261"/>
      <c r="N259" s="261"/>
      <c r="O259" s="261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7"/>
    </row>
    <row r="260" spans="1:26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261"/>
      <c r="G260" s="259"/>
      <c r="H260" s="261"/>
      <c r="I260" s="261"/>
      <c r="J260" s="261"/>
      <c r="K260" s="261"/>
      <c r="L260" s="261"/>
      <c r="M260" s="261"/>
      <c r="N260" s="261"/>
      <c r="O260" s="261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7"/>
    </row>
    <row r="261" spans="1:26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261"/>
      <c r="G261" s="259"/>
      <c r="H261" s="261"/>
      <c r="I261" s="261"/>
      <c r="J261" s="261"/>
      <c r="K261" s="261"/>
      <c r="L261" s="261"/>
      <c r="M261" s="261"/>
      <c r="N261" s="261"/>
      <c r="O261" s="261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7"/>
    </row>
    <row r="262" spans="1:26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261"/>
      <c r="G262" s="259"/>
      <c r="H262" s="261"/>
      <c r="I262" s="261"/>
      <c r="J262" s="261"/>
      <c r="K262" s="261"/>
      <c r="L262" s="261"/>
      <c r="M262" s="261"/>
      <c r="N262" s="261"/>
      <c r="O262" s="261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7"/>
    </row>
    <row r="263" spans="1:26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261"/>
      <c r="G263" s="259"/>
      <c r="H263" s="261"/>
      <c r="I263" s="261"/>
      <c r="J263" s="261"/>
      <c r="K263" s="261"/>
      <c r="L263" s="261"/>
      <c r="M263" s="261"/>
      <c r="N263" s="261"/>
      <c r="O263" s="261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7"/>
    </row>
    <row r="264" spans="1:26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261"/>
      <c r="G264" s="259"/>
      <c r="H264" s="261"/>
      <c r="I264" s="261"/>
      <c r="J264" s="261"/>
      <c r="K264" s="261"/>
      <c r="L264" s="261"/>
      <c r="M264" s="261"/>
      <c r="N264" s="261"/>
      <c r="O264" s="261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7"/>
    </row>
    <row r="265" spans="1:26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261"/>
      <c r="G265" s="259"/>
      <c r="H265" s="261"/>
      <c r="I265" s="261"/>
      <c r="J265" s="261"/>
      <c r="K265" s="261"/>
      <c r="L265" s="261"/>
      <c r="M265" s="261"/>
      <c r="N265" s="261"/>
      <c r="O265" s="261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7"/>
    </row>
    <row r="266" spans="1:26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261"/>
      <c r="G266" s="259"/>
      <c r="H266" s="261"/>
      <c r="I266" s="261"/>
      <c r="J266" s="261"/>
      <c r="K266" s="261"/>
      <c r="L266" s="261"/>
      <c r="M266" s="261"/>
      <c r="N266" s="261"/>
      <c r="O266" s="261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7"/>
    </row>
    <row r="267" spans="1:26" ht="18.75" customHeight="1">
      <c r="A267" s="42" t="s">
        <v>605</v>
      </c>
      <c r="B267" s="59" t="s">
        <v>606</v>
      </c>
      <c r="C267" s="113" t="s">
        <v>593</v>
      </c>
      <c r="D267" s="61" t="s">
        <v>1181</v>
      </c>
      <c r="E267" s="200">
        <f t="shared" si="0"/>
        <v>0</v>
      </c>
      <c r="F267" s="261"/>
      <c r="G267" s="259"/>
      <c r="H267" s="261"/>
      <c r="I267" s="261"/>
      <c r="J267" s="261"/>
      <c r="K267" s="261"/>
      <c r="L267" s="261"/>
      <c r="M267" s="261"/>
      <c r="N267" s="261"/>
      <c r="O267" s="261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7"/>
    </row>
    <row r="268" spans="1:26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261"/>
      <c r="G268" s="259"/>
      <c r="H268" s="261"/>
      <c r="I268" s="261"/>
      <c r="J268" s="261"/>
      <c r="K268" s="261"/>
      <c r="L268" s="261"/>
      <c r="M268" s="261"/>
      <c r="N268" s="261"/>
      <c r="O268" s="261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7"/>
    </row>
    <row r="269" spans="1:26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261"/>
      <c r="G269" s="259"/>
      <c r="H269" s="261"/>
      <c r="I269" s="261"/>
      <c r="J269" s="261"/>
      <c r="K269" s="261"/>
      <c r="L269" s="261"/>
      <c r="M269" s="261"/>
      <c r="N269" s="261"/>
      <c r="O269" s="261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7"/>
    </row>
    <row r="270" spans="1:26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261"/>
      <c r="G270" s="259"/>
      <c r="H270" s="261"/>
      <c r="I270" s="261"/>
      <c r="J270" s="261"/>
      <c r="K270" s="261"/>
      <c r="L270" s="261"/>
      <c r="M270" s="261"/>
      <c r="N270" s="261"/>
      <c r="O270" s="261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7"/>
    </row>
    <row r="271" spans="1:26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261"/>
      <c r="G271" s="259"/>
      <c r="H271" s="261"/>
      <c r="I271" s="261"/>
      <c r="J271" s="261"/>
      <c r="K271" s="261"/>
      <c r="L271" s="261"/>
      <c r="M271" s="261"/>
      <c r="N271" s="261"/>
      <c r="O271" s="261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7"/>
    </row>
    <row r="272" spans="1:26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261"/>
      <c r="G272" s="259"/>
      <c r="H272" s="261"/>
      <c r="I272" s="261"/>
      <c r="J272" s="261"/>
      <c r="K272" s="261"/>
      <c r="L272" s="261"/>
      <c r="M272" s="261"/>
      <c r="N272" s="261"/>
      <c r="O272" s="261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7"/>
    </row>
    <row r="273" spans="1:26" ht="18.75" customHeight="1">
      <c r="A273" s="42" t="s">
        <v>620</v>
      </c>
      <c r="B273" s="59" t="s">
        <v>621</v>
      </c>
      <c r="C273" s="113" t="s">
        <v>622</v>
      </c>
      <c r="D273" s="61" t="s">
        <v>1182</v>
      </c>
      <c r="E273" s="200">
        <f t="shared" si="0"/>
        <v>0</v>
      </c>
      <c r="F273" s="261"/>
      <c r="G273" s="259"/>
      <c r="H273" s="261"/>
      <c r="I273" s="261"/>
      <c r="J273" s="261"/>
      <c r="K273" s="261"/>
      <c r="L273" s="261"/>
      <c r="M273" s="261"/>
      <c r="N273" s="261"/>
      <c r="O273" s="261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7"/>
    </row>
    <row r="274" spans="1:26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261"/>
      <c r="G274" s="259"/>
      <c r="H274" s="261"/>
      <c r="I274" s="261"/>
      <c r="J274" s="261"/>
      <c r="K274" s="261"/>
      <c r="L274" s="261"/>
      <c r="M274" s="261"/>
      <c r="N274" s="261"/>
      <c r="O274" s="261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7"/>
    </row>
    <row r="275" spans="1:26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SUM(F275:O275)</f>
        <v>0</v>
      </c>
      <c r="F275" s="261"/>
      <c r="G275" s="259"/>
      <c r="H275" s="261"/>
      <c r="I275" s="261"/>
      <c r="J275" s="261"/>
      <c r="K275" s="261"/>
      <c r="L275" s="261"/>
      <c r="M275" s="261"/>
      <c r="N275" s="261"/>
      <c r="O275" s="261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7"/>
    </row>
    <row r="276" spans="1:26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261"/>
      <c r="G276" s="259"/>
      <c r="H276" s="261"/>
      <c r="I276" s="261"/>
      <c r="J276" s="261"/>
      <c r="K276" s="261"/>
      <c r="L276" s="261"/>
      <c r="M276" s="261"/>
      <c r="N276" s="261"/>
      <c r="O276" s="261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7"/>
    </row>
    <row r="277" spans="1:26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261"/>
      <c r="G277" s="259"/>
      <c r="H277" s="261"/>
      <c r="I277" s="261"/>
      <c r="J277" s="261"/>
      <c r="K277" s="261"/>
      <c r="L277" s="261"/>
      <c r="M277" s="261"/>
      <c r="N277" s="261"/>
      <c r="O277" s="261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7"/>
    </row>
    <row r="278" spans="1:26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261"/>
      <c r="G278" s="259"/>
      <c r="H278" s="261"/>
      <c r="I278" s="261"/>
      <c r="J278" s="261"/>
      <c r="K278" s="261"/>
      <c r="L278" s="261"/>
      <c r="M278" s="261"/>
      <c r="N278" s="261"/>
      <c r="O278" s="261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7"/>
    </row>
    <row r="279" spans="1:26" ht="18.75" customHeight="1">
      <c r="A279" s="42" t="s">
        <v>636</v>
      </c>
      <c r="B279" s="59" t="s">
        <v>637</v>
      </c>
      <c r="C279" s="113" t="s">
        <v>638</v>
      </c>
      <c r="D279" s="61" t="s">
        <v>1183</v>
      </c>
      <c r="E279" s="200">
        <f t="shared" si="1"/>
        <v>0</v>
      </c>
      <c r="F279" s="261"/>
      <c r="G279" s="259"/>
      <c r="H279" s="261"/>
      <c r="I279" s="261"/>
      <c r="J279" s="261"/>
      <c r="K279" s="261"/>
      <c r="L279" s="261"/>
      <c r="M279" s="261"/>
      <c r="N279" s="261"/>
      <c r="O279" s="261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7"/>
    </row>
    <row r="280" spans="1:26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261"/>
      <c r="G280" s="259"/>
      <c r="H280" s="261"/>
      <c r="I280" s="261"/>
      <c r="J280" s="261"/>
      <c r="K280" s="261"/>
      <c r="L280" s="261"/>
      <c r="M280" s="261"/>
      <c r="N280" s="261"/>
      <c r="O280" s="261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7"/>
    </row>
    <row r="281" spans="1:26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261"/>
      <c r="G281" s="259"/>
      <c r="H281" s="261"/>
      <c r="I281" s="261"/>
      <c r="J281" s="261"/>
      <c r="K281" s="261"/>
      <c r="L281" s="261"/>
      <c r="M281" s="261"/>
      <c r="N281" s="261"/>
      <c r="O281" s="261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7"/>
    </row>
    <row r="282" spans="1:26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261"/>
      <c r="G282" s="259"/>
      <c r="H282" s="261"/>
      <c r="I282" s="261"/>
      <c r="J282" s="261"/>
      <c r="K282" s="261"/>
      <c r="L282" s="261"/>
      <c r="M282" s="261"/>
      <c r="N282" s="261"/>
      <c r="O282" s="261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7"/>
    </row>
    <row r="283" spans="1:26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261"/>
      <c r="G283" s="259"/>
      <c r="H283" s="216"/>
      <c r="I283" s="216"/>
      <c r="J283" s="270"/>
      <c r="K283" s="270"/>
      <c r="L283" s="270"/>
      <c r="M283" s="270"/>
      <c r="N283" s="270"/>
      <c r="O283" s="27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7"/>
    </row>
    <row r="284" spans="1:26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261"/>
      <c r="G284" s="259"/>
      <c r="H284" s="261"/>
      <c r="I284" s="261"/>
      <c r="J284" s="270"/>
      <c r="K284" s="261"/>
      <c r="L284" s="261"/>
      <c r="M284" s="261"/>
      <c r="N284" s="261"/>
      <c r="O284" s="261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7"/>
    </row>
    <row r="285" spans="1:26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261"/>
      <c r="G285" s="259"/>
      <c r="H285" s="261"/>
      <c r="I285" s="261"/>
      <c r="J285" s="261"/>
      <c r="K285" s="261"/>
      <c r="L285" s="261"/>
      <c r="M285" s="261"/>
      <c r="N285" s="261"/>
      <c r="O285" s="261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7"/>
    </row>
    <row r="286" spans="1:26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261"/>
      <c r="G286" s="259"/>
      <c r="H286" s="261"/>
      <c r="I286" s="261"/>
      <c r="J286" s="261"/>
      <c r="K286" s="261"/>
      <c r="L286" s="261"/>
      <c r="M286" s="261"/>
      <c r="N286" s="261"/>
      <c r="O286" s="261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7"/>
    </row>
    <row r="287" spans="1:26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261"/>
      <c r="G287" s="259"/>
      <c r="H287" s="261"/>
      <c r="I287" s="261"/>
      <c r="J287" s="261"/>
      <c r="K287" s="261"/>
      <c r="L287" s="261"/>
      <c r="M287" s="261"/>
      <c r="N287" s="261"/>
      <c r="O287" s="261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7"/>
    </row>
    <row r="288" spans="1:26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261"/>
      <c r="G288" s="259"/>
      <c r="H288" s="261"/>
      <c r="I288" s="261"/>
      <c r="J288" s="261"/>
      <c r="K288" s="261"/>
      <c r="L288" s="261"/>
      <c r="M288" s="261"/>
      <c r="N288" s="261"/>
      <c r="O288" s="261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7"/>
    </row>
    <row r="289" spans="1:26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261"/>
      <c r="G289" s="259"/>
      <c r="H289" s="261"/>
      <c r="I289" s="261"/>
      <c r="J289" s="261"/>
      <c r="K289" s="261"/>
      <c r="L289" s="261"/>
      <c r="M289" s="261"/>
      <c r="N289" s="261"/>
      <c r="O289" s="261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7"/>
    </row>
    <row r="290" spans="1:26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261"/>
      <c r="G290" s="259"/>
      <c r="H290" s="261"/>
      <c r="I290" s="261"/>
      <c r="J290" s="261"/>
      <c r="K290" s="261"/>
      <c r="L290" s="261"/>
      <c r="M290" s="261"/>
      <c r="N290" s="261"/>
      <c r="O290" s="261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7"/>
    </row>
    <row r="291" spans="1:26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261"/>
      <c r="G291" s="259"/>
      <c r="H291" s="261"/>
      <c r="I291" s="261"/>
      <c r="J291" s="261"/>
      <c r="K291" s="261"/>
      <c r="L291" s="261"/>
      <c r="M291" s="261"/>
      <c r="N291" s="261"/>
      <c r="O291" s="261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7"/>
    </row>
    <row r="292" spans="1:26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261"/>
      <c r="G292" s="259"/>
      <c r="H292" s="261"/>
      <c r="I292" s="261"/>
      <c r="J292" s="261"/>
      <c r="K292" s="261"/>
      <c r="L292" s="261"/>
      <c r="M292" s="261"/>
      <c r="N292" s="261"/>
      <c r="O292" s="261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7"/>
    </row>
    <row r="293" spans="1:26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261"/>
      <c r="G293" s="259"/>
      <c r="H293" s="261"/>
      <c r="I293" s="261"/>
      <c r="J293" s="261"/>
      <c r="K293" s="261"/>
      <c r="L293" s="261"/>
      <c r="M293" s="261"/>
      <c r="N293" s="261"/>
      <c r="O293" s="261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7"/>
    </row>
    <row r="294" spans="1:26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261"/>
      <c r="G294" s="259"/>
      <c r="H294" s="261"/>
      <c r="I294" s="261"/>
      <c r="J294" s="261"/>
      <c r="K294" s="261"/>
      <c r="L294" s="261"/>
      <c r="M294" s="261"/>
      <c r="N294" s="261"/>
      <c r="O294" s="261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7"/>
    </row>
    <row r="295" spans="1:26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261"/>
      <c r="G295" s="259"/>
      <c r="H295" s="261"/>
      <c r="I295" s="261"/>
      <c r="J295" s="261"/>
      <c r="K295" s="261"/>
      <c r="L295" s="261"/>
      <c r="M295" s="261"/>
      <c r="N295" s="261"/>
      <c r="O295" s="261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7"/>
    </row>
    <row r="296" spans="1:26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261"/>
      <c r="G296" s="259"/>
      <c r="H296" s="261"/>
      <c r="I296" s="261"/>
      <c r="J296" s="261"/>
      <c r="K296" s="261"/>
      <c r="L296" s="261"/>
      <c r="M296" s="261"/>
      <c r="N296" s="261"/>
      <c r="O296" s="261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7"/>
    </row>
    <row r="297" spans="1:26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261"/>
      <c r="G297" s="259"/>
      <c r="H297" s="261"/>
      <c r="I297" s="261"/>
      <c r="J297" s="261"/>
      <c r="K297" s="261"/>
      <c r="L297" s="261"/>
      <c r="M297" s="261"/>
      <c r="N297" s="261"/>
      <c r="O297" s="261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7"/>
    </row>
    <row r="298" spans="1:26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261"/>
      <c r="G298" s="259"/>
      <c r="H298" s="261"/>
      <c r="I298" s="261"/>
      <c r="J298" s="261"/>
      <c r="K298" s="261"/>
      <c r="L298" s="261"/>
      <c r="M298" s="261"/>
      <c r="N298" s="261"/>
      <c r="O298" s="261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7"/>
    </row>
    <row r="299" spans="1:26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261"/>
      <c r="G299" s="259"/>
      <c r="H299" s="261"/>
      <c r="I299" s="261"/>
      <c r="J299" s="261"/>
      <c r="K299" s="261"/>
      <c r="L299" s="261"/>
      <c r="M299" s="261"/>
      <c r="N299" s="261"/>
      <c r="O299" s="261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7"/>
    </row>
    <row r="300" spans="1:26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261"/>
      <c r="G300" s="259"/>
      <c r="H300" s="261"/>
      <c r="I300" s="261"/>
      <c r="J300" s="261"/>
      <c r="K300" s="261"/>
      <c r="L300" s="261"/>
      <c r="M300" s="261"/>
      <c r="N300" s="261"/>
      <c r="O300" s="261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7"/>
    </row>
    <row r="301" spans="1:26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261"/>
      <c r="G301" s="259"/>
      <c r="H301" s="261"/>
      <c r="I301" s="261"/>
      <c r="J301" s="261"/>
      <c r="K301" s="261"/>
      <c r="L301" s="261"/>
      <c r="M301" s="261"/>
      <c r="N301" s="261"/>
      <c r="O301" s="261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7"/>
    </row>
    <row r="302" spans="1:26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261"/>
      <c r="G302" s="259"/>
      <c r="H302" s="261"/>
      <c r="I302" s="261"/>
      <c r="J302" s="261"/>
      <c r="K302" s="261"/>
      <c r="L302" s="261"/>
      <c r="M302" s="261"/>
      <c r="N302" s="261"/>
      <c r="O302" s="261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7"/>
    </row>
    <row r="303" spans="1:26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261"/>
      <c r="G303" s="259"/>
      <c r="H303" s="261"/>
      <c r="I303" s="261"/>
      <c r="J303" s="261"/>
      <c r="K303" s="261"/>
      <c r="L303" s="261"/>
      <c r="M303" s="261"/>
      <c r="N303" s="261"/>
      <c r="O303" s="261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7"/>
    </row>
    <row r="304" spans="1:26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261"/>
      <c r="G304" s="259"/>
      <c r="H304" s="261"/>
      <c r="I304" s="261"/>
      <c r="J304" s="261"/>
      <c r="K304" s="261"/>
      <c r="L304" s="261"/>
      <c r="M304" s="261"/>
      <c r="N304" s="261"/>
      <c r="O304" s="261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7"/>
    </row>
    <row r="305" spans="1:26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261"/>
      <c r="G305" s="259"/>
      <c r="H305" s="261"/>
      <c r="I305" s="261"/>
      <c r="J305" s="261"/>
      <c r="K305" s="261"/>
      <c r="L305" s="261"/>
      <c r="M305" s="261"/>
      <c r="N305" s="261"/>
      <c r="O305" s="261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7"/>
    </row>
    <row r="306" spans="1:26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261"/>
      <c r="G306" s="259"/>
      <c r="H306" s="261"/>
      <c r="I306" s="261"/>
      <c r="J306" s="261"/>
      <c r="K306" s="261"/>
      <c r="L306" s="261"/>
      <c r="M306" s="261"/>
      <c r="N306" s="261"/>
      <c r="O306" s="261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7"/>
    </row>
    <row r="307" spans="1:26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261"/>
      <c r="G307" s="259"/>
      <c r="H307" s="261"/>
      <c r="I307" s="261"/>
      <c r="J307" s="261"/>
      <c r="K307" s="261"/>
      <c r="L307" s="261"/>
      <c r="M307" s="261"/>
      <c r="N307" s="261"/>
      <c r="O307" s="261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7"/>
    </row>
    <row r="308" spans="1:26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261"/>
      <c r="G308" s="259"/>
      <c r="H308" s="261"/>
      <c r="I308" s="261"/>
      <c r="J308" s="261"/>
      <c r="K308" s="261"/>
      <c r="L308" s="261"/>
      <c r="M308" s="261"/>
      <c r="N308" s="261"/>
      <c r="O308" s="261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7"/>
    </row>
    <row r="309" spans="1:26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261"/>
      <c r="G309" s="259"/>
      <c r="H309" s="261"/>
      <c r="I309" s="261"/>
      <c r="J309" s="261"/>
      <c r="K309" s="261"/>
      <c r="L309" s="261"/>
      <c r="M309" s="261"/>
      <c r="N309" s="261"/>
      <c r="O309" s="261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7"/>
    </row>
    <row r="310" spans="1:26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261"/>
      <c r="G310" s="259"/>
      <c r="H310" s="261"/>
      <c r="I310" s="261"/>
      <c r="J310" s="261"/>
      <c r="K310" s="261"/>
      <c r="L310" s="261"/>
      <c r="M310" s="261"/>
      <c r="N310" s="261"/>
      <c r="O310" s="261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7"/>
    </row>
    <row r="311" spans="1:26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261"/>
      <c r="G311" s="259"/>
      <c r="H311" s="261"/>
      <c r="I311" s="261"/>
      <c r="J311" s="261"/>
      <c r="K311" s="261"/>
      <c r="L311" s="261"/>
      <c r="M311" s="261"/>
      <c r="N311" s="261"/>
      <c r="O311" s="261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7"/>
    </row>
    <row r="312" spans="1:26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261"/>
      <c r="G312" s="259"/>
      <c r="H312" s="261"/>
      <c r="I312" s="261"/>
      <c r="J312" s="261"/>
      <c r="K312" s="261"/>
      <c r="L312" s="261"/>
      <c r="M312" s="261"/>
      <c r="N312" s="261"/>
      <c r="O312" s="261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7"/>
    </row>
    <row r="313" spans="1:26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261"/>
      <c r="G313" s="259"/>
      <c r="H313" s="261"/>
      <c r="I313" s="261"/>
      <c r="J313" s="261"/>
      <c r="K313" s="261"/>
      <c r="L313" s="261"/>
      <c r="M313" s="261"/>
      <c r="N313" s="261"/>
      <c r="O313" s="261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7"/>
    </row>
    <row r="314" spans="1:26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261"/>
      <c r="G314" s="259"/>
      <c r="H314" s="261"/>
      <c r="I314" s="261"/>
      <c r="J314" s="261"/>
      <c r="K314" s="261"/>
      <c r="L314" s="261"/>
      <c r="M314" s="261"/>
      <c r="N314" s="261"/>
      <c r="O314" s="261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7"/>
    </row>
    <row r="315" spans="1:26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261"/>
      <c r="G315" s="259"/>
      <c r="H315" s="261"/>
      <c r="I315" s="261"/>
      <c r="J315" s="261"/>
      <c r="K315" s="261"/>
      <c r="L315" s="261"/>
      <c r="M315" s="261"/>
      <c r="N315" s="261"/>
      <c r="O315" s="261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7"/>
    </row>
    <row r="316" spans="1:26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261"/>
      <c r="G316" s="259"/>
      <c r="H316" s="261"/>
      <c r="I316" s="261"/>
      <c r="J316" s="261"/>
      <c r="K316" s="261"/>
      <c r="L316" s="261"/>
      <c r="M316" s="261"/>
      <c r="N316" s="261"/>
      <c r="O316" s="261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7"/>
    </row>
    <row r="317" spans="1:26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261"/>
      <c r="G317" s="259"/>
      <c r="H317" s="261"/>
      <c r="I317" s="261"/>
      <c r="J317" s="261"/>
      <c r="K317" s="261"/>
      <c r="L317" s="261"/>
      <c r="M317" s="261"/>
      <c r="N317" s="261"/>
      <c r="O317" s="261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7"/>
    </row>
    <row r="318" spans="1:26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261"/>
      <c r="G318" s="259"/>
      <c r="H318" s="261"/>
      <c r="I318" s="261"/>
      <c r="J318" s="261"/>
      <c r="K318" s="261"/>
      <c r="L318" s="261"/>
      <c r="M318" s="261"/>
      <c r="N318" s="261"/>
      <c r="O318" s="261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7"/>
    </row>
    <row r="319" spans="1:26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261"/>
      <c r="G319" s="259"/>
      <c r="H319" s="261"/>
      <c r="I319" s="261"/>
      <c r="J319" s="261"/>
      <c r="K319" s="261"/>
      <c r="L319" s="261"/>
      <c r="M319" s="261"/>
      <c r="N319" s="261"/>
      <c r="O319" s="261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7"/>
    </row>
    <row r="320" spans="1:26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261"/>
      <c r="G320" s="259"/>
      <c r="H320" s="261"/>
      <c r="I320" s="261"/>
      <c r="J320" s="261"/>
      <c r="K320" s="261"/>
      <c r="L320" s="261"/>
      <c r="M320" s="261"/>
      <c r="N320" s="261"/>
      <c r="O320" s="261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7"/>
    </row>
    <row r="321" spans="1:26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261"/>
      <c r="G321" s="259"/>
      <c r="H321" s="261"/>
      <c r="I321" s="261"/>
      <c r="J321" s="261"/>
      <c r="K321" s="261"/>
      <c r="L321" s="261"/>
      <c r="M321" s="261"/>
      <c r="N321" s="261"/>
      <c r="O321" s="261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7"/>
    </row>
    <row r="322" spans="1:26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261"/>
      <c r="G322" s="259"/>
      <c r="H322" s="261"/>
      <c r="I322" s="261"/>
      <c r="J322" s="261"/>
      <c r="K322" s="261"/>
      <c r="L322" s="261"/>
      <c r="M322" s="261"/>
      <c r="N322" s="261"/>
      <c r="O322" s="261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7"/>
    </row>
    <row r="323" spans="1:26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261"/>
      <c r="G323" s="259"/>
      <c r="H323" s="261"/>
      <c r="I323" s="261"/>
      <c r="J323" s="261"/>
      <c r="K323" s="261"/>
      <c r="L323" s="261"/>
      <c r="M323" s="261"/>
      <c r="N323" s="261"/>
      <c r="O323" s="261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7"/>
    </row>
    <row r="324" spans="1:26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261"/>
      <c r="G324" s="259"/>
      <c r="H324" s="261"/>
      <c r="I324" s="261"/>
      <c r="J324" s="261"/>
      <c r="K324" s="261"/>
      <c r="L324" s="261"/>
      <c r="M324" s="261"/>
      <c r="N324" s="261"/>
      <c r="O324" s="261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7"/>
    </row>
    <row r="325" spans="1:26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261"/>
      <c r="G325" s="259"/>
      <c r="H325" s="261"/>
      <c r="I325" s="261"/>
      <c r="J325" s="261"/>
      <c r="K325" s="261"/>
      <c r="L325" s="261"/>
      <c r="M325" s="261"/>
      <c r="N325" s="261"/>
      <c r="O325" s="261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7"/>
    </row>
    <row r="326" spans="1:26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261"/>
      <c r="G326" s="259"/>
      <c r="H326" s="261"/>
      <c r="I326" s="261"/>
      <c r="J326" s="261"/>
      <c r="K326" s="261"/>
      <c r="L326" s="261"/>
      <c r="M326" s="261"/>
      <c r="N326" s="261"/>
      <c r="O326" s="261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7"/>
    </row>
    <row r="327" spans="1:26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261"/>
      <c r="G327" s="259"/>
      <c r="H327" s="261"/>
      <c r="I327" s="261"/>
      <c r="J327" s="261"/>
      <c r="K327" s="261"/>
      <c r="L327" s="261"/>
      <c r="M327" s="261"/>
      <c r="N327" s="261"/>
      <c r="O327" s="261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7"/>
    </row>
    <row r="328" spans="1:26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261"/>
      <c r="G328" s="259"/>
      <c r="H328" s="261"/>
      <c r="I328" s="261"/>
      <c r="J328" s="261"/>
      <c r="K328" s="261"/>
      <c r="L328" s="261"/>
      <c r="M328" s="261"/>
      <c r="N328" s="261"/>
      <c r="O328" s="261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7"/>
    </row>
    <row r="329" spans="1:26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261"/>
      <c r="G329" s="259"/>
      <c r="H329" s="261"/>
      <c r="I329" s="261"/>
      <c r="J329" s="261"/>
      <c r="K329" s="261"/>
      <c r="L329" s="261"/>
      <c r="M329" s="261"/>
      <c r="N329" s="261"/>
      <c r="O329" s="261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7"/>
    </row>
    <row r="330" spans="1:26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261"/>
      <c r="G330" s="259"/>
      <c r="H330" s="261"/>
      <c r="I330" s="261"/>
      <c r="J330" s="261"/>
      <c r="K330" s="261"/>
      <c r="L330" s="261"/>
      <c r="M330" s="261"/>
      <c r="N330" s="261"/>
      <c r="O330" s="261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7"/>
    </row>
    <row r="331" spans="1:26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261"/>
      <c r="G331" s="259"/>
      <c r="H331" s="261"/>
      <c r="I331" s="261"/>
      <c r="J331" s="261"/>
      <c r="K331" s="261"/>
      <c r="L331" s="261"/>
      <c r="M331" s="261"/>
      <c r="N331" s="261"/>
      <c r="O331" s="261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7"/>
    </row>
    <row r="332" spans="1:26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261"/>
      <c r="G332" s="259"/>
      <c r="H332" s="261"/>
      <c r="I332" s="261"/>
      <c r="J332" s="261"/>
      <c r="K332" s="261"/>
      <c r="L332" s="261"/>
      <c r="M332" s="261"/>
      <c r="N332" s="261"/>
      <c r="O332" s="261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7"/>
    </row>
    <row r="333" spans="1:26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261"/>
      <c r="G333" s="259"/>
      <c r="H333" s="261"/>
      <c r="I333" s="261"/>
      <c r="J333" s="261"/>
      <c r="K333" s="261"/>
      <c r="L333" s="261"/>
      <c r="M333" s="261"/>
      <c r="N333" s="261"/>
      <c r="O333" s="261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7"/>
    </row>
    <row r="334" spans="1:26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261"/>
      <c r="G334" s="259"/>
      <c r="H334" s="261"/>
      <c r="I334" s="261"/>
      <c r="J334" s="261"/>
      <c r="K334" s="261"/>
      <c r="L334" s="261"/>
      <c r="M334" s="261"/>
      <c r="N334" s="261"/>
      <c r="O334" s="261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7"/>
    </row>
    <row r="335" spans="1:26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261"/>
      <c r="G335" s="259"/>
      <c r="H335" s="261"/>
      <c r="I335" s="261"/>
      <c r="J335" s="261"/>
      <c r="K335" s="261"/>
      <c r="L335" s="261"/>
      <c r="M335" s="261"/>
      <c r="N335" s="261"/>
      <c r="O335" s="261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7"/>
    </row>
    <row r="336" spans="1:26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261"/>
      <c r="G336" s="259"/>
      <c r="H336" s="261"/>
      <c r="I336" s="261"/>
      <c r="J336" s="261"/>
      <c r="K336" s="261"/>
      <c r="L336" s="261"/>
      <c r="M336" s="261"/>
      <c r="N336" s="261"/>
      <c r="O336" s="261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7"/>
    </row>
    <row r="337" spans="1:26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261"/>
      <c r="G337" s="259"/>
      <c r="H337" s="261"/>
      <c r="I337" s="261"/>
      <c r="J337" s="261"/>
      <c r="K337" s="261"/>
      <c r="L337" s="261"/>
      <c r="M337" s="261"/>
      <c r="N337" s="261"/>
      <c r="O337" s="261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7"/>
    </row>
    <row r="338" spans="1:26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261"/>
      <c r="G338" s="259"/>
      <c r="H338" s="261"/>
      <c r="I338" s="261"/>
      <c r="J338" s="261"/>
      <c r="K338" s="261"/>
      <c r="L338" s="261"/>
      <c r="M338" s="261"/>
      <c r="N338" s="261"/>
      <c r="O338" s="261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7"/>
    </row>
    <row r="339" spans="1:26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261"/>
      <c r="G339" s="259"/>
      <c r="H339" s="261"/>
      <c r="I339" s="261"/>
      <c r="J339" s="261"/>
      <c r="K339" s="261"/>
      <c r="L339" s="261"/>
      <c r="M339" s="261"/>
      <c r="N339" s="261"/>
      <c r="O339" s="261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7"/>
    </row>
    <row r="340" spans="1:26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261"/>
      <c r="G340" s="259"/>
      <c r="H340" s="261"/>
      <c r="I340" s="261"/>
      <c r="J340" s="261"/>
      <c r="K340" s="261"/>
      <c r="L340" s="261"/>
      <c r="M340" s="261"/>
      <c r="N340" s="261"/>
      <c r="O340" s="261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7"/>
    </row>
    <row r="341" spans="1:26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261"/>
      <c r="G341" s="259"/>
      <c r="H341" s="261"/>
      <c r="I341" s="261"/>
      <c r="J341" s="261"/>
      <c r="K341" s="261"/>
      <c r="L341" s="261"/>
      <c r="M341" s="261"/>
      <c r="N341" s="261"/>
      <c r="O341" s="261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7"/>
    </row>
    <row r="342" spans="1:26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261"/>
      <c r="G342" s="259"/>
      <c r="H342" s="261"/>
      <c r="I342" s="261"/>
      <c r="J342" s="261"/>
      <c r="K342" s="261"/>
      <c r="L342" s="261"/>
      <c r="M342" s="261"/>
      <c r="N342" s="261"/>
      <c r="O342" s="261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7"/>
    </row>
    <row r="343" spans="1:26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261"/>
      <c r="G343" s="259"/>
      <c r="H343" s="261"/>
      <c r="I343" s="261"/>
      <c r="J343" s="261"/>
      <c r="K343" s="261"/>
      <c r="L343" s="261"/>
      <c r="M343" s="261"/>
      <c r="N343" s="261"/>
      <c r="O343" s="261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7"/>
    </row>
    <row r="344" spans="1:26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261"/>
      <c r="G344" s="259"/>
      <c r="H344" s="261"/>
      <c r="I344" s="261"/>
      <c r="J344" s="261"/>
      <c r="K344" s="261"/>
      <c r="L344" s="261"/>
      <c r="M344" s="261"/>
      <c r="N344" s="261"/>
      <c r="O344" s="261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7"/>
    </row>
    <row r="345" spans="1:26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261"/>
      <c r="G345" s="259"/>
      <c r="H345" s="261"/>
      <c r="I345" s="261"/>
      <c r="J345" s="261"/>
      <c r="K345" s="261"/>
      <c r="L345" s="261"/>
      <c r="M345" s="261"/>
      <c r="N345" s="261"/>
      <c r="O345" s="261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7"/>
    </row>
    <row r="346" spans="1:26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261"/>
      <c r="G346" s="259"/>
      <c r="H346" s="261"/>
      <c r="I346" s="261"/>
      <c r="J346" s="261"/>
      <c r="K346" s="261"/>
      <c r="L346" s="261"/>
      <c r="M346" s="261"/>
      <c r="N346" s="261"/>
      <c r="O346" s="261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7"/>
    </row>
    <row r="347" spans="1:26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261"/>
      <c r="G347" s="259"/>
      <c r="H347" s="261"/>
      <c r="I347" s="261"/>
      <c r="J347" s="261"/>
      <c r="K347" s="261"/>
      <c r="L347" s="261"/>
      <c r="M347" s="261"/>
      <c r="N347" s="261"/>
      <c r="O347" s="261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7"/>
    </row>
    <row r="348" spans="1:26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261"/>
      <c r="G348" s="259"/>
      <c r="H348" s="261"/>
      <c r="I348" s="261"/>
      <c r="J348" s="261"/>
      <c r="K348" s="261"/>
      <c r="L348" s="261"/>
      <c r="M348" s="261"/>
      <c r="N348" s="261"/>
      <c r="O348" s="261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7"/>
    </row>
    <row r="349" spans="1:26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261"/>
      <c r="G349" s="259"/>
      <c r="H349" s="261"/>
      <c r="I349" s="261"/>
      <c r="J349" s="261"/>
      <c r="K349" s="261"/>
      <c r="L349" s="261"/>
      <c r="M349" s="261"/>
      <c r="N349" s="261"/>
      <c r="O349" s="261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7"/>
    </row>
    <row r="350" spans="1:26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261"/>
      <c r="G350" s="259"/>
      <c r="H350" s="261"/>
      <c r="I350" s="261"/>
      <c r="J350" s="261"/>
      <c r="K350" s="261"/>
      <c r="L350" s="261"/>
      <c r="M350" s="261"/>
      <c r="N350" s="261"/>
      <c r="O350" s="261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7"/>
    </row>
    <row r="351" spans="1:26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261"/>
      <c r="G351" s="259"/>
      <c r="H351" s="261"/>
      <c r="I351" s="261"/>
      <c r="J351" s="261"/>
      <c r="K351" s="261"/>
      <c r="L351" s="261"/>
      <c r="M351" s="261"/>
      <c r="N351" s="261"/>
      <c r="O351" s="261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7"/>
    </row>
    <row r="352" spans="1:26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261"/>
      <c r="G352" s="259"/>
      <c r="H352" s="261"/>
      <c r="I352" s="261"/>
      <c r="J352" s="261"/>
      <c r="K352" s="261"/>
      <c r="L352" s="261"/>
      <c r="M352" s="261"/>
      <c r="N352" s="261"/>
      <c r="O352" s="261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7"/>
    </row>
    <row r="353" spans="1:26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261"/>
      <c r="G353" s="259"/>
      <c r="H353" s="261"/>
      <c r="I353" s="261"/>
      <c r="J353" s="261"/>
      <c r="K353" s="261"/>
      <c r="L353" s="261"/>
      <c r="M353" s="261"/>
      <c r="N353" s="261"/>
      <c r="O353" s="261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7"/>
    </row>
    <row r="354" spans="1:26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261"/>
      <c r="G354" s="259"/>
      <c r="H354" s="261"/>
      <c r="I354" s="261"/>
      <c r="J354" s="261"/>
      <c r="K354" s="261"/>
      <c r="L354" s="261"/>
      <c r="M354" s="261"/>
      <c r="N354" s="261"/>
      <c r="O354" s="261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7"/>
    </row>
    <row r="355" spans="1:26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261"/>
      <c r="G355" s="259"/>
      <c r="H355" s="261"/>
      <c r="I355" s="261"/>
      <c r="J355" s="261"/>
      <c r="K355" s="261"/>
      <c r="L355" s="261"/>
      <c r="M355" s="261"/>
      <c r="N355" s="261"/>
      <c r="O355" s="261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7"/>
    </row>
    <row r="356" spans="1:26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261"/>
      <c r="G356" s="259"/>
      <c r="H356" s="261"/>
      <c r="I356" s="261"/>
      <c r="J356" s="261"/>
      <c r="K356" s="261"/>
      <c r="L356" s="261"/>
      <c r="M356" s="261"/>
      <c r="N356" s="261"/>
      <c r="O356" s="261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7"/>
    </row>
    <row r="357" spans="1:26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261"/>
      <c r="G357" s="259"/>
      <c r="H357" s="261"/>
      <c r="I357" s="261"/>
      <c r="J357" s="261"/>
      <c r="K357" s="261"/>
      <c r="L357" s="261"/>
      <c r="M357" s="261"/>
      <c r="N357" s="261"/>
      <c r="O357" s="261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7"/>
    </row>
    <row r="358" spans="1:26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261"/>
      <c r="G358" s="259"/>
      <c r="H358" s="261"/>
      <c r="I358" s="261"/>
      <c r="J358" s="261"/>
      <c r="K358" s="261"/>
      <c r="L358" s="261"/>
      <c r="M358" s="261"/>
      <c r="N358" s="261"/>
      <c r="O358" s="261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7"/>
    </row>
    <row r="359" spans="1:26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261"/>
      <c r="G359" s="259"/>
      <c r="H359" s="261"/>
      <c r="I359" s="261"/>
      <c r="J359" s="261"/>
      <c r="K359" s="261"/>
      <c r="L359" s="261"/>
      <c r="M359" s="261"/>
      <c r="N359" s="261"/>
      <c r="O359" s="261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7"/>
    </row>
    <row r="360" spans="1:26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261"/>
      <c r="G360" s="259"/>
      <c r="H360" s="261"/>
      <c r="I360" s="261"/>
      <c r="J360" s="261"/>
      <c r="K360" s="261"/>
      <c r="L360" s="261"/>
      <c r="M360" s="261"/>
      <c r="N360" s="261"/>
      <c r="O360" s="261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7"/>
    </row>
    <row r="361" spans="1:26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261"/>
      <c r="G361" s="259"/>
      <c r="H361" s="261"/>
      <c r="I361" s="261"/>
      <c r="J361" s="261"/>
      <c r="K361" s="261"/>
      <c r="L361" s="261"/>
      <c r="M361" s="261"/>
      <c r="N361" s="261"/>
      <c r="O361" s="261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7"/>
    </row>
    <row r="362" spans="1:26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261"/>
      <c r="G362" s="259"/>
      <c r="H362" s="261"/>
      <c r="I362" s="261"/>
      <c r="J362" s="261"/>
      <c r="K362" s="261"/>
      <c r="L362" s="261"/>
      <c r="M362" s="261"/>
      <c r="N362" s="261"/>
      <c r="O362" s="261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7"/>
    </row>
    <row r="363" spans="1:26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261"/>
      <c r="G363" s="259"/>
      <c r="H363" s="261"/>
      <c r="I363" s="261"/>
      <c r="J363" s="261"/>
      <c r="K363" s="261"/>
      <c r="L363" s="261"/>
      <c r="M363" s="261"/>
      <c r="N363" s="261"/>
      <c r="O363" s="261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7"/>
    </row>
    <row r="364" spans="1:26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261"/>
      <c r="G364" s="259"/>
      <c r="H364" s="261"/>
      <c r="I364" s="261"/>
      <c r="J364" s="261"/>
      <c r="K364" s="261"/>
      <c r="L364" s="261"/>
      <c r="M364" s="261"/>
      <c r="N364" s="261"/>
      <c r="O364" s="261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7"/>
    </row>
    <row r="365" spans="1:26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261"/>
      <c r="G365" s="259"/>
      <c r="H365" s="261"/>
      <c r="I365" s="261"/>
      <c r="J365" s="261"/>
      <c r="K365" s="261"/>
      <c r="L365" s="261"/>
      <c r="M365" s="261"/>
      <c r="N365" s="261"/>
      <c r="O365" s="261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7"/>
    </row>
    <row r="366" spans="1:26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261"/>
      <c r="G366" s="259"/>
      <c r="H366" s="261"/>
      <c r="I366" s="261"/>
      <c r="J366" s="261"/>
      <c r="K366" s="261"/>
      <c r="L366" s="261"/>
      <c r="M366" s="261"/>
      <c r="N366" s="261"/>
      <c r="O366" s="261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7"/>
    </row>
    <row r="367" spans="1:26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261"/>
      <c r="G367" s="259"/>
      <c r="H367" s="261"/>
      <c r="I367" s="261"/>
      <c r="J367" s="261"/>
      <c r="K367" s="261"/>
      <c r="L367" s="261"/>
      <c r="M367" s="261"/>
      <c r="N367" s="261"/>
      <c r="O367" s="261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7"/>
    </row>
    <row r="368" spans="1:26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261"/>
      <c r="G368" s="259"/>
      <c r="H368" s="261"/>
      <c r="I368" s="261"/>
      <c r="J368" s="261"/>
      <c r="K368" s="261"/>
      <c r="L368" s="261"/>
      <c r="M368" s="261"/>
      <c r="N368" s="261"/>
      <c r="O368" s="261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7"/>
    </row>
    <row r="369" spans="1:26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261"/>
      <c r="G369" s="259"/>
      <c r="H369" s="261"/>
      <c r="I369" s="261"/>
      <c r="J369" s="261"/>
      <c r="K369" s="261"/>
      <c r="L369" s="261"/>
      <c r="M369" s="261"/>
      <c r="N369" s="261"/>
      <c r="O369" s="261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7"/>
    </row>
    <row r="370" spans="1:26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261"/>
      <c r="G370" s="259"/>
      <c r="H370" s="261"/>
      <c r="I370" s="261"/>
      <c r="J370" s="261"/>
      <c r="K370" s="261"/>
      <c r="L370" s="261"/>
      <c r="M370" s="261"/>
      <c r="N370" s="261"/>
      <c r="O370" s="261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7"/>
    </row>
    <row r="371" spans="1:26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261"/>
      <c r="G371" s="259"/>
      <c r="H371" s="261"/>
      <c r="I371" s="261"/>
      <c r="J371" s="261"/>
      <c r="K371" s="261"/>
      <c r="L371" s="261"/>
      <c r="M371" s="261"/>
      <c r="N371" s="261"/>
      <c r="O371" s="261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7"/>
    </row>
    <row r="372" spans="1:26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261"/>
      <c r="G372" s="259"/>
      <c r="H372" s="261"/>
      <c r="I372" s="261"/>
      <c r="J372" s="261"/>
      <c r="K372" s="261"/>
      <c r="L372" s="261"/>
      <c r="M372" s="261"/>
      <c r="N372" s="261"/>
      <c r="O372" s="261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7"/>
    </row>
    <row r="373" spans="1:26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261"/>
      <c r="G373" s="259"/>
      <c r="H373" s="261"/>
      <c r="I373" s="261"/>
      <c r="J373" s="261"/>
      <c r="K373" s="261"/>
      <c r="L373" s="261"/>
      <c r="M373" s="261"/>
      <c r="N373" s="261"/>
      <c r="O373" s="261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7"/>
    </row>
    <row r="374" spans="1:26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261"/>
      <c r="G374" s="259"/>
      <c r="H374" s="261"/>
      <c r="I374" s="261"/>
      <c r="J374" s="261"/>
      <c r="K374" s="261"/>
      <c r="L374" s="261"/>
      <c r="M374" s="261"/>
      <c r="N374" s="261"/>
      <c r="O374" s="261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7"/>
    </row>
    <row r="375" spans="1:26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261"/>
      <c r="G375" s="259"/>
      <c r="H375" s="261"/>
      <c r="I375" s="261"/>
      <c r="J375" s="261"/>
      <c r="K375" s="261"/>
      <c r="L375" s="261"/>
      <c r="M375" s="261"/>
      <c r="N375" s="261"/>
      <c r="O375" s="261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7"/>
    </row>
    <row r="376" spans="1:26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261"/>
      <c r="G376" s="259"/>
      <c r="H376" s="261"/>
      <c r="I376" s="261"/>
      <c r="J376" s="261"/>
      <c r="K376" s="261"/>
      <c r="L376" s="261"/>
      <c r="M376" s="261"/>
      <c r="N376" s="261"/>
      <c r="O376" s="261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7"/>
    </row>
    <row r="377" spans="1:26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261"/>
      <c r="G377" s="259"/>
      <c r="H377" s="261"/>
      <c r="I377" s="261"/>
      <c r="J377" s="261"/>
      <c r="K377" s="261"/>
      <c r="L377" s="261"/>
      <c r="M377" s="261"/>
      <c r="N377" s="261"/>
      <c r="O377" s="261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7"/>
    </row>
    <row r="378" spans="1:26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261"/>
      <c r="G378" s="259"/>
      <c r="H378" s="261"/>
      <c r="I378" s="261"/>
      <c r="J378" s="261"/>
      <c r="K378" s="261"/>
      <c r="L378" s="261"/>
      <c r="M378" s="261"/>
      <c r="N378" s="261"/>
      <c r="O378" s="261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7"/>
    </row>
    <row r="379" spans="1:26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261"/>
      <c r="G379" s="259"/>
      <c r="H379" s="261"/>
      <c r="I379" s="261"/>
      <c r="J379" s="261"/>
      <c r="K379" s="261"/>
      <c r="L379" s="261"/>
      <c r="M379" s="261"/>
      <c r="N379" s="261"/>
      <c r="O379" s="261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7"/>
    </row>
    <row r="380" spans="1:26" ht="18.75" customHeight="1">
      <c r="A380" s="42"/>
      <c r="B380" s="59" t="s">
        <v>828</v>
      </c>
      <c r="C380" s="111" t="s">
        <v>829</v>
      </c>
      <c r="D380" s="61" t="s">
        <v>1184</v>
      </c>
      <c r="E380" s="200">
        <f t="shared" si="1"/>
        <v>0</v>
      </c>
      <c r="F380" s="261"/>
      <c r="G380" s="259"/>
      <c r="H380" s="261"/>
      <c r="I380" s="261"/>
      <c r="J380" s="261"/>
      <c r="K380" s="261"/>
      <c r="L380" s="261"/>
      <c r="M380" s="261"/>
      <c r="N380" s="261"/>
      <c r="O380" s="261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7"/>
    </row>
    <row r="381" spans="1:26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261"/>
      <c r="G381" s="259"/>
      <c r="H381" s="261"/>
      <c r="I381" s="261"/>
      <c r="J381" s="261"/>
      <c r="K381" s="261"/>
      <c r="L381" s="261"/>
      <c r="M381" s="261"/>
      <c r="N381" s="261"/>
      <c r="O381" s="261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7"/>
    </row>
    <row r="382" spans="1:26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261"/>
      <c r="G382" s="259"/>
      <c r="H382" s="261"/>
      <c r="I382" s="261"/>
      <c r="J382" s="261"/>
      <c r="K382" s="261"/>
      <c r="L382" s="261"/>
      <c r="M382" s="261"/>
      <c r="N382" s="261"/>
      <c r="O382" s="261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7"/>
    </row>
    <row r="383" spans="1:26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261"/>
      <c r="G383" s="259"/>
      <c r="H383" s="261"/>
      <c r="I383" s="261"/>
      <c r="J383" s="261"/>
      <c r="K383" s="261"/>
      <c r="L383" s="261"/>
      <c r="M383" s="261"/>
      <c r="N383" s="261"/>
      <c r="O383" s="261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7"/>
    </row>
    <row r="384" spans="1:26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261"/>
      <c r="G384" s="259"/>
      <c r="H384" s="261"/>
      <c r="I384" s="261"/>
      <c r="J384" s="261"/>
      <c r="K384" s="261"/>
      <c r="L384" s="261"/>
      <c r="M384" s="261"/>
      <c r="N384" s="261"/>
      <c r="O384" s="261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7"/>
    </row>
    <row r="385" spans="1:26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261"/>
      <c r="G385" s="259"/>
      <c r="H385" s="261"/>
      <c r="I385" s="261"/>
      <c r="J385" s="261"/>
      <c r="K385" s="261"/>
      <c r="L385" s="261"/>
      <c r="M385" s="261"/>
      <c r="N385" s="261"/>
      <c r="O385" s="261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7"/>
    </row>
    <row r="386" spans="1:26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261"/>
      <c r="G386" s="259"/>
      <c r="H386" s="261"/>
      <c r="I386" s="261"/>
      <c r="J386" s="261"/>
      <c r="K386" s="261"/>
      <c r="L386" s="261"/>
      <c r="M386" s="261"/>
      <c r="N386" s="261"/>
      <c r="O386" s="261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7"/>
    </row>
    <row r="387" spans="1:26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261"/>
      <c r="G387" s="259"/>
      <c r="H387" s="261"/>
      <c r="I387" s="261"/>
      <c r="J387" s="261"/>
      <c r="K387" s="261"/>
      <c r="L387" s="261"/>
      <c r="M387" s="261"/>
      <c r="N387" s="261"/>
      <c r="O387" s="261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7"/>
    </row>
    <row r="388" spans="1:26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261"/>
      <c r="G388" s="259"/>
      <c r="H388" s="261"/>
      <c r="I388" s="261"/>
      <c r="J388" s="261"/>
      <c r="K388" s="261"/>
      <c r="L388" s="261"/>
      <c r="M388" s="261"/>
      <c r="N388" s="261"/>
      <c r="O388" s="261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7"/>
    </row>
    <row r="389" spans="1:26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261"/>
      <c r="G389" s="259"/>
      <c r="H389" s="261"/>
      <c r="I389" s="261"/>
      <c r="J389" s="261"/>
      <c r="K389" s="261"/>
      <c r="L389" s="261"/>
      <c r="M389" s="261"/>
      <c r="N389" s="261"/>
      <c r="O389" s="261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7"/>
    </row>
    <row r="390" spans="1:26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261"/>
      <c r="G390" s="259"/>
      <c r="H390" s="261"/>
      <c r="I390" s="261"/>
      <c r="J390" s="261"/>
      <c r="K390" s="261"/>
      <c r="L390" s="261"/>
      <c r="M390" s="261"/>
      <c r="N390" s="261"/>
      <c r="O390" s="261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7"/>
    </row>
    <row r="391" spans="1:26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261"/>
      <c r="G391" s="259"/>
      <c r="H391" s="261"/>
      <c r="I391" s="261"/>
      <c r="J391" s="261"/>
      <c r="K391" s="261"/>
      <c r="L391" s="261"/>
      <c r="M391" s="261"/>
      <c r="N391" s="261"/>
      <c r="O391" s="261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7"/>
    </row>
    <row r="392" spans="1:26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261"/>
      <c r="G392" s="259"/>
      <c r="H392" s="261"/>
      <c r="I392" s="261"/>
      <c r="J392" s="261"/>
      <c r="K392" s="261"/>
      <c r="L392" s="261"/>
      <c r="M392" s="261"/>
      <c r="N392" s="261"/>
      <c r="O392" s="261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7"/>
    </row>
    <row r="393" spans="1:26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261"/>
      <c r="G393" s="259"/>
      <c r="H393" s="261"/>
      <c r="I393" s="261"/>
      <c r="J393" s="261"/>
      <c r="K393" s="261"/>
      <c r="L393" s="261"/>
      <c r="M393" s="261"/>
      <c r="N393" s="261"/>
      <c r="O393" s="261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7"/>
    </row>
    <row r="394" spans="1:26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261"/>
      <c r="G394" s="259"/>
      <c r="H394" s="261"/>
      <c r="I394" s="261"/>
      <c r="J394" s="261"/>
      <c r="K394" s="261"/>
      <c r="L394" s="261"/>
      <c r="M394" s="261"/>
      <c r="N394" s="261"/>
      <c r="O394" s="261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7"/>
    </row>
    <row r="395" spans="1:26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261"/>
      <c r="G395" s="259"/>
      <c r="H395" s="261"/>
      <c r="I395" s="261"/>
      <c r="J395" s="261"/>
      <c r="K395" s="261"/>
      <c r="L395" s="261"/>
      <c r="M395" s="261"/>
      <c r="N395" s="261"/>
      <c r="O395" s="261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7"/>
    </row>
    <row r="396" spans="1:26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261"/>
      <c r="G396" s="259"/>
      <c r="H396" s="261"/>
      <c r="I396" s="261"/>
      <c r="J396" s="261"/>
      <c r="K396" s="261"/>
      <c r="L396" s="261"/>
      <c r="M396" s="261"/>
      <c r="N396" s="261"/>
      <c r="O396" s="261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7"/>
    </row>
    <row r="397" spans="1:26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261"/>
      <c r="G397" s="259"/>
      <c r="H397" s="261"/>
      <c r="I397" s="261"/>
      <c r="J397" s="261"/>
      <c r="K397" s="261"/>
      <c r="L397" s="261"/>
      <c r="M397" s="261"/>
      <c r="N397" s="261"/>
      <c r="O397" s="261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7"/>
    </row>
    <row r="398" spans="1:26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261"/>
      <c r="G398" s="259"/>
      <c r="H398" s="261"/>
      <c r="I398" s="261"/>
      <c r="J398" s="261"/>
      <c r="K398" s="261"/>
      <c r="L398" s="261"/>
      <c r="M398" s="261"/>
      <c r="N398" s="261"/>
      <c r="O398" s="261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7"/>
    </row>
    <row r="399" spans="1:26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261"/>
      <c r="G399" s="259"/>
      <c r="H399" s="261"/>
      <c r="I399" s="261"/>
      <c r="J399" s="261"/>
      <c r="K399" s="261"/>
      <c r="L399" s="261"/>
      <c r="M399" s="261"/>
      <c r="N399" s="261"/>
      <c r="O399" s="261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7"/>
    </row>
    <row r="400" spans="1:26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261"/>
      <c r="G400" s="259"/>
      <c r="H400" s="261"/>
      <c r="I400" s="261"/>
      <c r="J400" s="261"/>
      <c r="K400" s="261"/>
      <c r="L400" s="261"/>
      <c r="M400" s="261"/>
      <c r="N400" s="261"/>
      <c r="O400" s="261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7"/>
    </row>
    <row r="401" spans="1:26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261"/>
      <c r="G401" s="259"/>
      <c r="H401" s="261"/>
      <c r="I401" s="261"/>
      <c r="J401" s="261"/>
      <c r="K401" s="261"/>
      <c r="L401" s="261"/>
      <c r="M401" s="261"/>
      <c r="N401" s="261"/>
      <c r="O401" s="261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7"/>
    </row>
    <row r="402" spans="1:26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261"/>
      <c r="G402" s="259"/>
      <c r="H402" s="261"/>
      <c r="I402" s="261"/>
      <c r="J402" s="261"/>
      <c r="K402" s="261"/>
      <c r="L402" s="261"/>
      <c r="M402" s="261"/>
      <c r="N402" s="261"/>
      <c r="O402" s="261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7"/>
    </row>
    <row r="403" spans="1:26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261"/>
      <c r="G403" s="259"/>
      <c r="H403" s="261"/>
      <c r="I403" s="261"/>
      <c r="J403" s="261"/>
      <c r="K403" s="261"/>
      <c r="L403" s="261"/>
      <c r="M403" s="261"/>
      <c r="N403" s="261"/>
      <c r="O403" s="261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7"/>
    </row>
    <row r="404" spans="1:26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261"/>
      <c r="G404" s="259"/>
      <c r="H404" s="261"/>
      <c r="I404" s="261"/>
      <c r="J404" s="261"/>
      <c r="K404" s="261"/>
      <c r="L404" s="261"/>
      <c r="M404" s="261"/>
      <c r="N404" s="261"/>
      <c r="O404" s="261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7"/>
    </row>
    <row r="405" spans="1:26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261"/>
      <c r="G405" s="259"/>
      <c r="H405" s="261"/>
      <c r="I405" s="261"/>
      <c r="J405" s="261"/>
      <c r="K405" s="261"/>
      <c r="L405" s="261"/>
      <c r="M405" s="261"/>
      <c r="N405" s="261"/>
      <c r="O405" s="261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7"/>
    </row>
    <row r="406" spans="1:26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261"/>
      <c r="G406" s="259"/>
      <c r="H406" s="261"/>
      <c r="I406" s="261"/>
      <c r="J406" s="261"/>
      <c r="K406" s="261"/>
      <c r="L406" s="261"/>
      <c r="M406" s="261"/>
      <c r="N406" s="261"/>
      <c r="O406" s="261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7"/>
    </row>
    <row r="407" spans="1:26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261"/>
      <c r="G407" s="259"/>
      <c r="H407" s="261"/>
      <c r="I407" s="261"/>
      <c r="J407" s="261"/>
      <c r="K407" s="261"/>
      <c r="L407" s="261"/>
      <c r="M407" s="261"/>
      <c r="N407" s="261"/>
      <c r="O407" s="261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7"/>
    </row>
    <row r="408" spans="1:26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261"/>
      <c r="G408" s="259"/>
      <c r="H408" s="261"/>
      <c r="I408" s="261"/>
      <c r="J408" s="261"/>
      <c r="K408" s="261"/>
      <c r="L408" s="261"/>
      <c r="M408" s="261"/>
      <c r="N408" s="261"/>
      <c r="O408" s="261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7"/>
    </row>
    <row r="409" spans="1:26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261"/>
      <c r="G409" s="259"/>
      <c r="H409" s="261"/>
      <c r="I409" s="261"/>
      <c r="J409" s="261"/>
      <c r="K409" s="261"/>
      <c r="L409" s="261"/>
      <c r="M409" s="261"/>
      <c r="N409" s="261"/>
      <c r="O409" s="261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7"/>
    </row>
    <row r="410" spans="1:26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261"/>
      <c r="G410" s="259"/>
      <c r="H410" s="261"/>
      <c r="I410" s="261"/>
      <c r="J410" s="261"/>
      <c r="K410" s="261"/>
      <c r="L410" s="261"/>
      <c r="M410" s="261"/>
      <c r="N410" s="261"/>
      <c r="O410" s="261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7"/>
    </row>
    <row r="411" spans="1:26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261"/>
      <c r="G411" s="259"/>
      <c r="H411" s="261"/>
      <c r="I411" s="261"/>
      <c r="J411" s="261"/>
      <c r="K411" s="261"/>
      <c r="L411" s="261"/>
      <c r="M411" s="261"/>
      <c r="N411" s="261"/>
      <c r="O411" s="261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7"/>
    </row>
    <row r="412" spans="1:26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261"/>
      <c r="G412" s="259"/>
      <c r="H412" s="261"/>
      <c r="I412" s="261"/>
      <c r="J412" s="261"/>
      <c r="K412" s="261"/>
      <c r="L412" s="261"/>
      <c r="M412" s="261"/>
      <c r="N412" s="261"/>
      <c r="O412" s="261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7"/>
    </row>
    <row r="413" spans="1:26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261"/>
      <c r="G413" s="259"/>
      <c r="H413" s="261"/>
      <c r="I413" s="261"/>
      <c r="J413" s="261"/>
      <c r="K413" s="261"/>
      <c r="L413" s="261"/>
      <c r="M413" s="261"/>
      <c r="N413" s="261"/>
      <c r="O413" s="261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7"/>
    </row>
    <row r="414" spans="1:26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261"/>
      <c r="G414" s="259"/>
      <c r="H414" s="261"/>
      <c r="I414" s="261"/>
      <c r="J414" s="261"/>
      <c r="K414" s="261"/>
      <c r="L414" s="261"/>
      <c r="M414" s="261"/>
      <c r="N414" s="261"/>
      <c r="O414" s="261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7"/>
    </row>
    <row r="415" spans="1:26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261"/>
      <c r="G415" s="259"/>
      <c r="H415" s="261"/>
      <c r="I415" s="261"/>
      <c r="J415" s="261"/>
      <c r="K415" s="261"/>
      <c r="L415" s="261"/>
      <c r="M415" s="261"/>
      <c r="N415" s="261"/>
      <c r="O415" s="261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7"/>
    </row>
    <row r="416" spans="1:26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261"/>
      <c r="G416" s="259"/>
      <c r="H416" s="261"/>
      <c r="I416" s="261"/>
      <c r="J416" s="261"/>
      <c r="K416" s="261"/>
      <c r="L416" s="261"/>
      <c r="M416" s="261"/>
      <c r="N416" s="261"/>
      <c r="O416" s="261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7"/>
    </row>
    <row r="417" spans="1:26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261"/>
      <c r="G417" s="259"/>
      <c r="H417" s="261"/>
      <c r="I417" s="261"/>
      <c r="J417" s="261"/>
      <c r="K417" s="261"/>
      <c r="L417" s="261"/>
      <c r="M417" s="261"/>
      <c r="N417" s="261"/>
      <c r="O417" s="261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7"/>
    </row>
    <row r="418" spans="1:26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261"/>
      <c r="G418" s="259"/>
      <c r="H418" s="261"/>
      <c r="I418" s="261"/>
      <c r="J418" s="261"/>
      <c r="K418" s="261"/>
      <c r="L418" s="261"/>
      <c r="M418" s="261"/>
      <c r="N418" s="261"/>
      <c r="O418" s="261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7"/>
    </row>
    <row r="419" spans="1:26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261"/>
      <c r="G419" s="259"/>
      <c r="H419" s="261"/>
      <c r="I419" s="261"/>
      <c r="J419" s="261"/>
      <c r="K419" s="261"/>
      <c r="L419" s="261"/>
      <c r="M419" s="261"/>
      <c r="N419" s="261"/>
      <c r="O419" s="261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7"/>
    </row>
    <row r="420" spans="1:26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261"/>
      <c r="G420" s="259"/>
      <c r="H420" s="261"/>
      <c r="I420" s="261"/>
      <c r="J420" s="261"/>
      <c r="K420" s="261"/>
      <c r="L420" s="261"/>
      <c r="M420" s="261"/>
      <c r="N420" s="261"/>
      <c r="O420" s="261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7"/>
    </row>
    <row r="421" spans="1:26" ht="18.75" hidden="1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262"/>
      <c r="G421" s="259"/>
      <c r="H421" s="262"/>
      <c r="I421" s="262"/>
      <c r="J421" s="262"/>
      <c r="K421" s="262"/>
      <c r="L421" s="262"/>
      <c r="M421" s="262"/>
      <c r="N421" s="262"/>
      <c r="O421" s="262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7"/>
    </row>
    <row r="422" spans="1:26" ht="31.5" hidden="1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262"/>
      <c r="G422" s="259"/>
      <c r="H422" s="262"/>
      <c r="I422" s="262"/>
      <c r="J422" s="262"/>
      <c r="K422" s="262"/>
      <c r="L422" s="262"/>
      <c r="M422" s="262"/>
      <c r="N422" s="262"/>
      <c r="O422" s="262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7"/>
    </row>
    <row r="423" spans="1:26" ht="18.75" hidden="1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262"/>
      <c r="G423" s="259"/>
      <c r="H423" s="262"/>
      <c r="I423" s="262"/>
      <c r="J423" s="262"/>
      <c r="K423" s="262"/>
      <c r="L423" s="262"/>
      <c r="M423" s="262"/>
      <c r="N423" s="262"/>
      <c r="O423" s="262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7"/>
    </row>
    <row r="424" spans="1:26" ht="18.75" hidden="1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262"/>
      <c r="G424" s="259"/>
      <c r="H424" s="262"/>
      <c r="I424" s="262"/>
      <c r="J424" s="262"/>
      <c r="K424" s="262"/>
      <c r="L424" s="262"/>
      <c r="M424" s="262"/>
      <c r="N424" s="262"/>
      <c r="O424" s="262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7"/>
    </row>
    <row r="425" spans="1:26" ht="18.75" hidden="1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262"/>
      <c r="G425" s="259"/>
      <c r="H425" s="262"/>
      <c r="I425" s="262"/>
      <c r="J425" s="262"/>
      <c r="K425" s="262"/>
      <c r="L425" s="262"/>
      <c r="M425" s="262"/>
      <c r="N425" s="262"/>
      <c r="O425" s="262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7"/>
    </row>
    <row r="426" spans="1:26" ht="31.5" hidden="1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262"/>
      <c r="G426" s="259"/>
      <c r="H426" s="262"/>
      <c r="I426" s="262"/>
      <c r="J426" s="262"/>
      <c r="K426" s="262"/>
      <c r="L426" s="262"/>
      <c r="M426" s="262"/>
      <c r="N426" s="262"/>
      <c r="O426" s="262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7"/>
    </row>
    <row r="427" spans="1:26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261"/>
      <c r="G427" s="259"/>
      <c r="H427" s="261"/>
      <c r="I427" s="261"/>
      <c r="J427" s="261"/>
      <c r="K427" s="261"/>
      <c r="L427" s="261"/>
      <c r="M427" s="261"/>
      <c r="N427" s="261"/>
      <c r="O427" s="261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7"/>
    </row>
    <row r="428" spans="1:26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261"/>
      <c r="G428" s="259"/>
      <c r="H428" s="261"/>
      <c r="I428" s="261"/>
      <c r="J428" s="261"/>
      <c r="K428" s="261"/>
      <c r="L428" s="261"/>
      <c r="M428" s="261"/>
      <c r="N428" s="261"/>
      <c r="O428" s="261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7"/>
    </row>
    <row r="429" spans="1:26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261"/>
      <c r="G429" s="259"/>
      <c r="H429" s="261"/>
      <c r="I429" s="261"/>
      <c r="J429" s="261"/>
      <c r="K429" s="261"/>
      <c r="L429" s="261"/>
      <c r="M429" s="261"/>
      <c r="N429" s="261"/>
      <c r="O429" s="261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7"/>
    </row>
    <row r="430" spans="1:26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261"/>
      <c r="G430" s="259"/>
      <c r="H430" s="261"/>
      <c r="I430" s="261"/>
      <c r="J430" s="261"/>
      <c r="K430" s="261"/>
      <c r="L430" s="261"/>
      <c r="M430" s="261"/>
      <c r="N430" s="261"/>
      <c r="O430" s="261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7"/>
    </row>
    <row r="431" spans="1:26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261"/>
      <c r="G431" s="259"/>
      <c r="H431" s="261"/>
      <c r="I431" s="261"/>
      <c r="J431" s="261"/>
      <c r="K431" s="261"/>
      <c r="L431" s="261"/>
      <c r="M431" s="261"/>
      <c r="N431" s="261"/>
      <c r="O431" s="261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7"/>
    </row>
    <row r="432" spans="1:26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261"/>
      <c r="G432" s="259"/>
      <c r="H432" s="261"/>
      <c r="I432" s="261"/>
      <c r="J432" s="261"/>
      <c r="K432" s="261"/>
      <c r="L432" s="261"/>
      <c r="M432" s="261"/>
      <c r="N432" s="261"/>
      <c r="O432" s="261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7"/>
    </row>
    <row r="433" spans="1:26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261"/>
      <c r="G433" s="259"/>
      <c r="H433" s="261"/>
      <c r="I433" s="261"/>
      <c r="J433" s="261"/>
      <c r="K433" s="261"/>
      <c r="L433" s="261"/>
      <c r="M433" s="261"/>
      <c r="N433" s="261"/>
      <c r="O433" s="261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7"/>
    </row>
    <row r="434" spans="1:26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261"/>
      <c r="G434" s="259"/>
      <c r="H434" s="261"/>
      <c r="I434" s="261"/>
      <c r="J434" s="261"/>
      <c r="K434" s="261"/>
      <c r="L434" s="261"/>
      <c r="M434" s="261"/>
      <c r="N434" s="261"/>
      <c r="O434" s="261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7"/>
    </row>
    <row r="435" spans="1:26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261"/>
      <c r="G435" s="259"/>
      <c r="H435" s="261"/>
      <c r="I435" s="261"/>
      <c r="J435" s="261"/>
      <c r="K435" s="261"/>
      <c r="L435" s="261"/>
      <c r="M435" s="261"/>
      <c r="N435" s="261"/>
      <c r="O435" s="261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7"/>
    </row>
    <row r="436" spans="1:26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261"/>
      <c r="G436" s="259"/>
      <c r="H436" s="261"/>
      <c r="I436" s="261"/>
      <c r="J436" s="261"/>
      <c r="K436" s="261"/>
      <c r="L436" s="261"/>
      <c r="M436" s="261"/>
      <c r="N436" s="261"/>
      <c r="O436" s="261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7"/>
    </row>
    <row r="437" spans="1:26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261"/>
      <c r="G437" s="259"/>
      <c r="H437" s="261"/>
      <c r="I437" s="261"/>
      <c r="J437" s="261"/>
      <c r="K437" s="261"/>
      <c r="L437" s="261"/>
      <c r="M437" s="261"/>
      <c r="N437" s="261"/>
      <c r="O437" s="261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7"/>
    </row>
    <row r="438" spans="1:26" ht="18.75" customHeight="1">
      <c r="A438" s="101"/>
      <c r="B438" s="53" t="s">
        <v>947</v>
      </c>
      <c r="C438" s="87" t="s">
        <v>948</v>
      </c>
      <c r="D438" s="61" t="s">
        <v>1185</v>
      </c>
      <c r="E438" s="200">
        <f t="shared" si="1"/>
        <v>0</v>
      </c>
      <c r="F438" s="261"/>
      <c r="G438" s="259"/>
      <c r="H438" s="261"/>
      <c r="I438" s="261"/>
      <c r="J438" s="261"/>
      <c r="K438" s="261"/>
      <c r="L438" s="261"/>
      <c r="M438" s="261"/>
      <c r="N438" s="261"/>
      <c r="O438" s="261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7"/>
    </row>
    <row r="439" spans="1:26" ht="18.75" customHeight="1">
      <c r="A439" s="42"/>
      <c r="B439" s="59" t="s">
        <v>951</v>
      </c>
      <c r="C439" s="113" t="s">
        <v>131</v>
      </c>
      <c r="D439" s="61" t="s">
        <v>1186</v>
      </c>
      <c r="E439" s="200">
        <f t="shared" si="1"/>
        <v>0</v>
      </c>
      <c r="F439" s="261"/>
      <c r="G439" s="259"/>
      <c r="H439" s="261"/>
      <c r="I439" s="261"/>
      <c r="J439" s="261"/>
      <c r="K439" s="261"/>
      <c r="L439" s="261"/>
      <c r="M439" s="261"/>
      <c r="N439" s="261"/>
      <c r="O439" s="261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7"/>
    </row>
    <row r="440" spans="1:26" ht="18.75" customHeight="1">
      <c r="A440" s="42"/>
      <c r="B440" s="59" t="s">
        <v>953</v>
      </c>
      <c r="C440" s="113" t="s">
        <v>200</v>
      </c>
      <c r="D440" s="61" t="s">
        <v>1187</v>
      </c>
      <c r="E440" s="200">
        <f t="shared" si="1"/>
        <v>0</v>
      </c>
      <c r="F440" s="261"/>
      <c r="G440" s="259"/>
      <c r="H440" s="261"/>
      <c r="I440" s="261"/>
      <c r="J440" s="261"/>
      <c r="K440" s="261"/>
      <c r="L440" s="261"/>
      <c r="M440" s="261"/>
      <c r="N440" s="261"/>
      <c r="O440" s="261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7"/>
    </row>
    <row r="441" spans="1:26" ht="18.75" customHeight="1">
      <c r="A441" s="42"/>
      <c r="B441" s="59" t="s">
        <v>955</v>
      </c>
      <c r="C441" s="113" t="s">
        <v>203</v>
      </c>
      <c r="D441" s="61" t="s">
        <v>1188</v>
      </c>
      <c r="E441" s="200">
        <f t="shared" si="1"/>
        <v>0</v>
      </c>
      <c r="F441" s="261"/>
      <c r="G441" s="259"/>
      <c r="H441" s="261"/>
      <c r="I441" s="261"/>
      <c r="J441" s="261"/>
      <c r="K441" s="261"/>
      <c r="L441" s="261"/>
      <c r="M441" s="261"/>
      <c r="N441" s="261"/>
      <c r="O441" s="261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7"/>
    </row>
    <row r="442" spans="1:26" ht="18.75" customHeight="1">
      <c r="A442" s="42"/>
      <c r="B442" s="59" t="s">
        <v>957</v>
      </c>
      <c r="C442" s="113" t="s">
        <v>159</v>
      </c>
      <c r="D442" s="61" t="s">
        <v>1189</v>
      </c>
      <c r="E442" s="200">
        <f t="shared" si="1"/>
        <v>0</v>
      </c>
      <c r="F442" s="261"/>
      <c r="G442" s="259"/>
      <c r="H442" s="261"/>
      <c r="I442" s="261"/>
      <c r="J442" s="261"/>
      <c r="K442" s="261"/>
      <c r="L442" s="261"/>
      <c r="M442" s="261"/>
      <c r="N442" s="261"/>
      <c r="O442" s="261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7"/>
    </row>
    <row r="443" spans="1:26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261"/>
      <c r="G443" s="259"/>
      <c r="H443" s="261"/>
      <c r="I443" s="261"/>
      <c r="J443" s="261"/>
      <c r="K443" s="261"/>
      <c r="L443" s="261"/>
      <c r="M443" s="261"/>
      <c r="N443" s="261"/>
      <c r="O443" s="261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7"/>
    </row>
    <row r="444" spans="1:26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261"/>
      <c r="G444" s="259"/>
      <c r="H444" s="261"/>
      <c r="I444" s="261"/>
      <c r="J444" s="261"/>
      <c r="K444" s="261"/>
      <c r="L444" s="261"/>
      <c r="M444" s="261"/>
      <c r="N444" s="261"/>
      <c r="O444" s="261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7"/>
    </row>
    <row r="445" spans="1:26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261"/>
      <c r="G445" s="259"/>
      <c r="H445" s="261"/>
      <c r="I445" s="261"/>
      <c r="J445" s="261"/>
      <c r="K445" s="261"/>
      <c r="L445" s="261"/>
      <c r="M445" s="261"/>
      <c r="N445" s="261"/>
      <c r="O445" s="261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7"/>
    </row>
    <row r="446" spans="1:26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261"/>
      <c r="G446" s="259"/>
      <c r="H446" s="261"/>
      <c r="I446" s="261"/>
      <c r="J446" s="261"/>
      <c r="K446" s="261"/>
      <c r="L446" s="261"/>
      <c r="M446" s="261"/>
      <c r="N446" s="261"/>
      <c r="O446" s="261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7"/>
    </row>
    <row r="447" spans="1:26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276"/>
      <c r="G447" s="259"/>
      <c r="H447" s="276"/>
      <c r="I447" s="276"/>
      <c r="J447" s="276"/>
      <c r="K447" s="276"/>
      <c r="L447" s="276"/>
      <c r="M447" s="276"/>
      <c r="N447" s="276"/>
      <c r="O447" s="276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  <c r="Z447" s="7"/>
    </row>
    <row r="448" spans="1:26" ht="15.75" customHeight="1">
      <c r="A448" s="177"/>
      <c r="B448" s="239"/>
      <c r="C448" s="260"/>
      <c r="D448" s="278"/>
      <c r="E448" s="260"/>
      <c r="F448" s="239"/>
      <c r="G448" s="239"/>
      <c r="H448" s="239"/>
      <c r="I448" s="239"/>
      <c r="J448" s="239"/>
      <c r="K448" s="239"/>
      <c r="L448" s="239"/>
      <c r="M448" s="239"/>
      <c r="N448" s="239"/>
      <c r="O448" s="239"/>
      <c r="P448" s="260"/>
      <c r="Q448" s="260"/>
      <c r="R448" s="260"/>
      <c r="S448" s="260"/>
      <c r="T448" s="260"/>
      <c r="U448" s="260"/>
      <c r="V448" s="260"/>
      <c r="W448" s="260"/>
      <c r="X448" s="260"/>
      <c r="Y448" s="167"/>
      <c r="Z448" s="7"/>
    </row>
    <row r="449" spans="1:26" ht="15.75" customHeight="1">
      <c r="A449" s="177"/>
      <c r="B449" s="239"/>
      <c r="C449" s="241" t="s">
        <v>12</v>
      </c>
      <c r="D449" s="242">
        <f>COUNTIF($D$11:$FM$11,"Hà Giang")</f>
        <v>0</v>
      </c>
      <c r="E449" s="260"/>
      <c r="F449" s="239"/>
      <c r="G449" s="239"/>
      <c r="H449" s="239"/>
      <c r="I449" s="239"/>
      <c r="J449" s="239"/>
      <c r="K449" s="239"/>
      <c r="L449" s="239"/>
      <c r="M449" s="239"/>
      <c r="N449" s="239"/>
      <c r="O449" s="239"/>
      <c r="P449" s="260"/>
      <c r="Q449" s="260"/>
      <c r="R449" s="260"/>
      <c r="S449" s="260"/>
      <c r="T449" s="260"/>
      <c r="U449" s="260"/>
      <c r="V449" s="260"/>
      <c r="W449" s="260"/>
      <c r="X449" s="260"/>
      <c r="Y449" s="167"/>
      <c r="Z449" s="7"/>
    </row>
    <row r="450" spans="1:26" ht="15.75" customHeight="1">
      <c r="A450" s="177"/>
      <c r="B450" s="239"/>
      <c r="C450" s="241" t="s">
        <v>14</v>
      </c>
      <c r="D450" s="242">
        <f>COUNTIF($D$11:$FM$11,"Lào Cai")</f>
        <v>0</v>
      </c>
      <c r="E450" s="260"/>
      <c r="F450" s="239"/>
      <c r="G450" s="239"/>
      <c r="H450" s="239"/>
      <c r="I450" s="239"/>
      <c r="J450" s="239"/>
      <c r="K450" s="239"/>
      <c r="L450" s="239"/>
      <c r="M450" s="239"/>
      <c r="N450" s="239"/>
      <c r="O450" s="239"/>
      <c r="P450" s="260"/>
      <c r="Q450" s="260"/>
      <c r="R450" s="260"/>
      <c r="S450" s="260"/>
      <c r="T450" s="260"/>
      <c r="U450" s="260"/>
      <c r="V450" s="260"/>
      <c r="W450" s="260"/>
      <c r="X450" s="260"/>
      <c r="Y450" s="167"/>
      <c r="Z450" s="7"/>
    </row>
    <row r="451" spans="1:26" ht="15.75" customHeight="1">
      <c r="A451" s="177"/>
      <c r="B451" s="239"/>
      <c r="C451" s="241" t="s">
        <v>23</v>
      </c>
      <c r="D451" s="242">
        <f>COUNTIF($D$11:$FM$11,"Lai Châu")</f>
        <v>0</v>
      </c>
      <c r="E451" s="260"/>
      <c r="F451" s="239"/>
      <c r="G451" s="239"/>
      <c r="H451" s="239"/>
      <c r="I451" s="239"/>
      <c r="J451" s="239"/>
      <c r="K451" s="239"/>
      <c r="L451" s="239"/>
      <c r="M451" s="239"/>
      <c r="N451" s="239"/>
      <c r="O451" s="239"/>
      <c r="P451" s="260"/>
      <c r="Q451" s="260"/>
      <c r="R451" s="260"/>
      <c r="S451" s="260"/>
      <c r="T451" s="260"/>
      <c r="U451" s="260"/>
      <c r="V451" s="260"/>
      <c r="W451" s="260"/>
      <c r="X451" s="260"/>
      <c r="Y451" s="167"/>
      <c r="Z451" s="7"/>
    </row>
    <row r="452" spans="1:26" ht="15.75" customHeight="1">
      <c r="A452" s="177"/>
      <c r="B452" s="239"/>
      <c r="C452" s="243" t="s">
        <v>17</v>
      </c>
      <c r="D452" s="242">
        <f>COUNTIF($D$11:$FM$11,"Điện Biên")</f>
        <v>0</v>
      </c>
      <c r="E452" s="260"/>
      <c r="F452" s="239"/>
      <c r="G452" s="239"/>
      <c r="H452" s="239"/>
      <c r="I452" s="239"/>
      <c r="J452" s="239"/>
      <c r="K452" s="239"/>
      <c r="L452" s="239"/>
      <c r="M452" s="239"/>
      <c r="N452" s="239"/>
      <c r="O452" s="239"/>
      <c r="P452" s="260"/>
      <c r="Q452" s="260"/>
      <c r="R452" s="260"/>
      <c r="S452" s="260"/>
      <c r="T452" s="260"/>
      <c r="U452" s="260"/>
      <c r="V452" s="260"/>
      <c r="W452" s="260"/>
      <c r="X452" s="260"/>
      <c r="Y452" s="167"/>
      <c r="Z452" s="7"/>
    </row>
    <row r="453" spans="1:26" ht="15.75" customHeight="1">
      <c r="A453" s="177"/>
      <c r="B453" s="239"/>
      <c r="C453" s="243" t="s">
        <v>16</v>
      </c>
      <c r="D453" s="242">
        <f>COUNTIF($D$11:$FM$11,"Lạng Sơn")</f>
        <v>0</v>
      </c>
      <c r="E453" s="260"/>
      <c r="F453" s="239"/>
      <c r="G453" s="239"/>
      <c r="H453" s="239"/>
      <c r="I453" s="239"/>
      <c r="J453" s="239"/>
      <c r="K453" s="239"/>
      <c r="L453" s="239"/>
      <c r="M453" s="239"/>
      <c r="N453" s="239"/>
      <c r="O453" s="239"/>
      <c r="P453" s="260"/>
      <c r="Q453" s="260"/>
      <c r="R453" s="260"/>
      <c r="S453" s="260"/>
      <c r="T453" s="260"/>
      <c r="U453" s="260"/>
      <c r="V453" s="260"/>
      <c r="W453" s="260"/>
      <c r="X453" s="260"/>
      <c r="Y453" s="167"/>
      <c r="Z453" s="7"/>
    </row>
    <row r="454" spans="1:26" ht="15.75" customHeight="1">
      <c r="A454" s="177"/>
      <c r="B454" s="239"/>
      <c r="C454" s="243" t="s">
        <v>13</v>
      </c>
      <c r="D454" s="242">
        <f>COUNTIF($D$11:$FM$11,"Cao Bằng")</f>
        <v>0</v>
      </c>
      <c r="E454" s="260"/>
      <c r="F454" s="239"/>
      <c r="G454" s="239"/>
      <c r="H454" s="239"/>
      <c r="I454" s="239"/>
      <c r="J454" s="239"/>
      <c r="K454" s="239"/>
      <c r="L454" s="239"/>
      <c r="M454" s="239"/>
      <c r="N454" s="239"/>
      <c r="O454" s="239"/>
      <c r="P454" s="260"/>
      <c r="Q454" s="260"/>
      <c r="R454" s="260"/>
      <c r="S454" s="260"/>
      <c r="T454" s="260"/>
      <c r="U454" s="260"/>
      <c r="V454" s="260"/>
      <c r="W454" s="260"/>
      <c r="X454" s="260"/>
      <c r="Y454" s="167"/>
      <c r="Z454" s="7"/>
    </row>
    <row r="455" spans="1:26" ht="15.75" customHeight="1">
      <c r="A455" s="177"/>
      <c r="B455" s="239"/>
      <c r="C455" s="243" t="s">
        <v>1090</v>
      </c>
      <c r="D455" s="242">
        <f>COUNTIF($D$11:$FM$11,"Sơn La")</f>
        <v>0</v>
      </c>
      <c r="E455" s="260"/>
      <c r="F455" s="239"/>
      <c r="G455" s="239"/>
      <c r="H455" s="239"/>
      <c r="I455" s="239"/>
      <c r="J455" s="239"/>
      <c r="K455" s="239"/>
      <c r="L455" s="239"/>
      <c r="M455" s="239"/>
      <c r="N455" s="239"/>
      <c r="O455" s="239"/>
      <c r="P455" s="260"/>
      <c r="Q455" s="260"/>
      <c r="R455" s="260"/>
      <c r="S455" s="260"/>
      <c r="T455" s="260"/>
      <c r="U455" s="260"/>
      <c r="V455" s="260"/>
      <c r="W455" s="260"/>
      <c r="X455" s="260"/>
      <c r="Y455" s="167"/>
      <c r="Z455" s="7"/>
    </row>
    <row r="456" spans="1:26" ht="15.75" customHeight="1">
      <c r="A456" s="177"/>
      <c r="B456" s="239"/>
      <c r="C456" s="243" t="s">
        <v>19</v>
      </c>
      <c r="D456" s="242">
        <f>COUNTIF($D$11:$FM$11,"Yên Bái")</f>
        <v>0</v>
      </c>
      <c r="E456" s="260"/>
      <c r="F456" s="239"/>
      <c r="G456" s="239"/>
      <c r="H456" s="239"/>
      <c r="I456" s="239"/>
      <c r="J456" s="239"/>
      <c r="K456" s="239"/>
      <c r="L456" s="239"/>
      <c r="M456" s="239"/>
      <c r="N456" s="239"/>
      <c r="O456" s="239"/>
      <c r="P456" s="260"/>
      <c r="Q456" s="260"/>
      <c r="R456" s="260"/>
      <c r="S456" s="260"/>
      <c r="T456" s="260"/>
      <c r="U456" s="260"/>
      <c r="V456" s="260"/>
      <c r="W456" s="260"/>
      <c r="X456" s="260"/>
      <c r="Y456" s="167"/>
      <c r="Z456" s="7"/>
    </row>
    <row r="457" spans="1:26" ht="15.75" customHeight="1">
      <c r="A457" s="177"/>
      <c r="B457" s="239"/>
      <c r="C457" s="243" t="s">
        <v>18</v>
      </c>
      <c r="D457" s="242">
        <f>COUNTIF($D$11:$FM$11,"Tuyên Quang")</f>
        <v>0</v>
      </c>
      <c r="E457" s="260"/>
      <c r="F457" s="239"/>
      <c r="G457" s="239"/>
      <c r="H457" s="239"/>
      <c r="I457" s="239"/>
      <c r="J457" s="239"/>
      <c r="K457" s="239"/>
      <c r="L457" s="239"/>
      <c r="M457" s="239"/>
      <c r="N457" s="239"/>
      <c r="O457" s="239"/>
      <c r="P457" s="260"/>
      <c r="Q457" s="260"/>
      <c r="R457" s="260"/>
      <c r="S457" s="260"/>
      <c r="T457" s="260"/>
      <c r="U457" s="260"/>
      <c r="V457" s="260"/>
      <c r="W457" s="260"/>
      <c r="X457" s="260"/>
      <c r="Y457" s="167"/>
      <c r="Z457" s="7"/>
    </row>
    <row r="458" spans="1:26" ht="15.75" customHeight="1">
      <c r="A458" s="177"/>
      <c r="B458" s="239"/>
      <c r="C458" s="243" t="s">
        <v>1091</v>
      </c>
      <c r="D458" s="242">
        <f>COUNTIF($D$11:$FM$11,"Thái Nguyên")</f>
        <v>0</v>
      </c>
      <c r="E458" s="260"/>
      <c r="F458" s="239"/>
      <c r="G458" s="239"/>
      <c r="H458" s="239"/>
      <c r="I458" s="239"/>
      <c r="J458" s="239"/>
      <c r="K458" s="239"/>
      <c r="L458" s="239"/>
      <c r="M458" s="239"/>
      <c r="N458" s="239"/>
      <c r="O458" s="239"/>
      <c r="P458" s="260"/>
      <c r="Q458" s="260"/>
      <c r="R458" s="260"/>
      <c r="S458" s="260"/>
      <c r="T458" s="260"/>
      <c r="U458" s="260"/>
      <c r="V458" s="260"/>
      <c r="W458" s="260"/>
      <c r="X458" s="260"/>
      <c r="Y458" s="167"/>
      <c r="Z458" s="7"/>
    </row>
    <row r="459" spans="1:26" ht="15.75" customHeight="1">
      <c r="A459" s="177"/>
      <c r="B459" s="239"/>
      <c r="C459" s="243" t="s">
        <v>15</v>
      </c>
      <c r="D459" s="242">
        <f>COUNTIF($D$11:$FM$11,"Bắc Kạn")</f>
        <v>0</v>
      </c>
      <c r="E459" s="260"/>
      <c r="F459" s="239"/>
      <c r="G459" s="239"/>
      <c r="H459" s="239"/>
      <c r="I459" s="239"/>
      <c r="J459" s="239"/>
      <c r="K459" s="239"/>
      <c r="L459" s="239"/>
      <c r="M459" s="239"/>
      <c r="N459" s="239"/>
      <c r="O459" s="239"/>
      <c r="P459" s="260"/>
      <c r="Q459" s="260"/>
      <c r="R459" s="260"/>
      <c r="S459" s="260"/>
      <c r="T459" s="260"/>
      <c r="U459" s="260"/>
      <c r="V459" s="260"/>
      <c r="W459" s="260"/>
      <c r="X459" s="260"/>
      <c r="Y459" s="167"/>
      <c r="Z459" s="7"/>
    </row>
    <row r="460" spans="1:26" ht="15.75" customHeight="1">
      <c r="A460" s="177"/>
      <c r="B460" s="239"/>
      <c r="C460" s="243" t="s">
        <v>25</v>
      </c>
      <c r="D460" s="242">
        <f>COUNTIF($D$11:$FM$11,"Hoà Bình")</f>
        <v>0</v>
      </c>
      <c r="E460" s="260"/>
      <c r="F460" s="239"/>
      <c r="G460" s="239"/>
      <c r="H460" s="239"/>
      <c r="I460" s="239"/>
      <c r="J460" s="239"/>
      <c r="K460" s="239"/>
      <c r="L460" s="239"/>
      <c r="M460" s="239"/>
      <c r="N460" s="239"/>
      <c r="O460" s="239"/>
      <c r="P460" s="260"/>
      <c r="Q460" s="260"/>
      <c r="R460" s="260"/>
      <c r="S460" s="260"/>
      <c r="T460" s="260"/>
      <c r="U460" s="260"/>
      <c r="V460" s="260"/>
      <c r="W460" s="260"/>
      <c r="X460" s="260"/>
      <c r="Y460" s="167"/>
      <c r="Z460" s="7"/>
    </row>
    <row r="461" spans="1:26" ht="15.75" customHeight="1">
      <c r="A461" s="177"/>
      <c r="B461" s="239"/>
      <c r="C461" s="243" t="s">
        <v>1092</v>
      </c>
      <c r="D461" s="242">
        <f>COUNTIF($D$11:$FM$11,"Bắc Giang")</f>
        <v>0</v>
      </c>
      <c r="E461" s="260"/>
      <c r="F461" s="239"/>
      <c r="G461" s="239"/>
      <c r="H461" s="239"/>
      <c r="I461" s="239"/>
      <c r="J461" s="239"/>
      <c r="K461" s="239"/>
      <c r="L461" s="239"/>
      <c r="M461" s="239"/>
      <c r="N461" s="239"/>
      <c r="O461" s="239"/>
      <c r="P461" s="260"/>
      <c r="Q461" s="260"/>
      <c r="R461" s="260"/>
      <c r="S461" s="260"/>
      <c r="T461" s="260"/>
      <c r="U461" s="260"/>
      <c r="V461" s="260"/>
      <c r="W461" s="260"/>
      <c r="X461" s="260"/>
      <c r="Y461" s="167"/>
      <c r="Z461" s="7"/>
    </row>
    <row r="462" spans="1:26" ht="15.75" customHeight="1">
      <c r="A462" s="177"/>
      <c r="B462" s="239"/>
      <c r="C462" s="243" t="s">
        <v>28</v>
      </c>
      <c r="D462" s="242">
        <f>COUNTIF($D$11:$FM$11,"Quảng Ninh")</f>
        <v>0</v>
      </c>
      <c r="E462" s="260"/>
      <c r="F462" s="239"/>
      <c r="G462" s="239"/>
      <c r="H462" s="239"/>
      <c r="I462" s="239"/>
      <c r="J462" s="239"/>
      <c r="K462" s="239"/>
      <c r="L462" s="239"/>
      <c r="M462" s="239"/>
      <c r="N462" s="239"/>
      <c r="O462" s="239"/>
      <c r="P462" s="260"/>
      <c r="Q462" s="260"/>
      <c r="R462" s="260"/>
      <c r="S462" s="260"/>
      <c r="T462" s="260"/>
      <c r="U462" s="260"/>
      <c r="V462" s="260"/>
      <c r="W462" s="260"/>
      <c r="X462" s="260"/>
      <c r="Y462" s="167"/>
      <c r="Z462" s="7"/>
    </row>
    <row r="463" spans="1:26" ht="15.75" customHeight="1">
      <c r="A463" s="177"/>
      <c r="B463" s="239"/>
      <c r="C463" s="243" t="s">
        <v>26</v>
      </c>
      <c r="D463" s="242">
        <f>COUNTIF($D$11:$FM$11,"Hà Nội")</f>
        <v>0</v>
      </c>
      <c r="E463" s="260"/>
      <c r="F463" s="239"/>
      <c r="G463" s="239"/>
      <c r="H463" s="239"/>
      <c r="I463" s="239"/>
      <c r="J463" s="239"/>
      <c r="K463" s="239"/>
      <c r="L463" s="239"/>
      <c r="M463" s="239"/>
      <c r="N463" s="239"/>
      <c r="O463" s="239"/>
      <c r="P463" s="260"/>
      <c r="Q463" s="260"/>
      <c r="R463" s="260"/>
      <c r="S463" s="260"/>
      <c r="T463" s="260"/>
      <c r="U463" s="260"/>
      <c r="V463" s="260"/>
      <c r="W463" s="260"/>
      <c r="X463" s="260"/>
      <c r="Y463" s="167"/>
      <c r="Z463" s="7"/>
    </row>
    <row r="464" spans="1:26" ht="15.75" customHeight="1">
      <c r="A464" s="177"/>
      <c r="B464" s="239"/>
      <c r="C464" s="243" t="s">
        <v>21</v>
      </c>
      <c r="D464" s="242">
        <f>COUNTIF($D$11:$FM$11,"Phú Thọ")</f>
        <v>0</v>
      </c>
      <c r="E464" s="260"/>
      <c r="F464" s="239"/>
      <c r="G464" s="239"/>
      <c r="H464" s="239"/>
      <c r="I464" s="239"/>
      <c r="J464" s="239"/>
      <c r="K464" s="239"/>
      <c r="L464" s="239"/>
      <c r="M464" s="239"/>
      <c r="N464" s="239"/>
      <c r="O464" s="239"/>
      <c r="P464" s="260"/>
      <c r="Q464" s="260"/>
      <c r="R464" s="260"/>
      <c r="S464" s="260"/>
      <c r="T464" s="260"/>
      <c r="U464" s="260"/>
      <c r="V464" s="260"/>
      <c r="W464" s="260"/>
      <c r="X464" s="260"/>
      <c r="Y464" s="167"/>
      <c r="Z464" s="7"/>
    </row>
    <row r="465" spans="1:26" ht="15.75" customHeight="1">
      <c r="A465" s="177"/>
      <c r="B465" s="239"/>
      <c r="C465" s="243" t="s">
        <v>1093</v>
      </c>
      <c r="D465" s="242">
        <f>COUNTIF($D$11:$FM$11,"Vĩnh Phúc")</f>
        <v>0</v>
      </c>
      <c r="E465" s="260"/>
      <c r="F465" s="239"/>
      <c r="G465" s="239"/>
      <c r="H465" s="239"/>
      <c r="I465" s="239"/>
      <c r="J465" s="239"/>
      <c r="K465" s="239"/>
      <c r="L465" s="239"/>
      <c r="M465" s="239"/>
      <c r="N465" s="239"/>
      <c r="O465" s="239"/>
      <c r="P465" s="260"/>
      <c r="Q465" s="260"/>
      <c r="R465" s="260"/>
      <c r="S465" s="260"/>
      <c r="T465" s="260"/>
      <c r="U465" s="260"/>
      <c r="V465" s="260"/>
      <c r="W465" s="260"/>
      <c r="X465" s="260"/>
      <c r="Y465" s="167"/>
      <c r="Z465" s="7"/>
    </row>
    <row r="466" spans="1:26" ht="15.75" customHeight="1">
      <c r="A466" s="177"/>
      <c r="B466" s="239"/>
      <c r="C466" s="243" t="s">
        <v>32</v>
      </c>
      <c r="D466" s="242">
        <f>COUNTIF($D$11:$FM$11,"Bắc Ninh")</f>
        <v>0</v>
      </c>
      <c r="E466" s="260"/>
      <c r="F466" s="239"/>
      <c r="G466" s="239"/>
      <c r="H466" s="239"/>
      <c r="I466" s="239"/>
      <c r="J466" s="239"/>
      <c r="K466" s="239"/>
      <c r="L466" s="239"/>
      <c r="M466" s="239"/>
      <c r="N466" s="239"/>
      <c r="O466" s="239"/>
      <c r="P466" s="260"/>
      <c r="Q466" s="260"/>
      <c r="R466" s="260"/>
      <c r="S466" s="260"/>
      <c r="T466" s="260"/>
      <c r="U466" s="260"/>
      <c r="V466" s="260"/>
      <c r="W466" s="260"/>
      <c r="X466" s="260"/>
      <c r="Y466" s="167"/>
      <c r="Z466" s="7"/>
    </row>
    <row r="467" spans="1:26" ht="15.75" customHeight="1">
      <c r="A467" s="177"/>
      <c r="B467" s="239"/>
      <c r="C467" s="243" t="s">
        <v>29</v>
      </c>
      <c r="D467" s="242">
        <f>COUNTIF($D$11:$FM$11,"Hải Dương")</f>
        <v>0</v>
      </c>
      <c r="E467" s="260"/>
      <c r="F467" s="239"/>
      <c r="G467" s="239"/>
      <c r="H467" s="239"/>
      <c r="I467" s="239"/>
      <c r="J467" s="239"/>
      <c r="K467" s="239"/>
      <c r="L467" s="239"/>
      <c r="M467" s="239"/>
      <c r="N467" s="239"/>
      <c r="O467" s="239"/>
      <c r="P467" s="260"/>
      <c r="Q467" s="260"/>
      <c r="R467" s="260"/>
      <c r="S467" s="260"/>
      <c r="T467" s="260"/>
      <c r="U467" s="260"/>
      <c r="V467" s="260"/>
      <c r="W467" s="260"/>
      <c r="X467" s="260"/>
      <c r="Y467" s="167"/>
      <c r="Z467" s="7"/>
    </row>
    <row r="468" spans="1:26" ht="15.75" customHeight="1">
      <c r="A468" s="177"/>
      <c r="B468" s="239"/>
      <c r="C468" s="243" t="s">
        <v>30</v>
      </c>
      <c r="D468" s="242">
        <f>COUNTIF($D$11:$FM$11,"Hưng Yên")</f>
        <v>0</v>
      </c>
      <c r="E468" s="260"/>
      <c r="F468" s="239"/>
      <c r="G468" s="239"/>
      <c r="H468" s="239"/>
      <c r="I468" s="239"/>
      <c r="J468" s="239"/>
      <c r="K468" s="239"/>
      <c r="L468" s="239"/>
      <c r="M468" s="239"/>
      <c r="N468" s="239"/>
      <c r="O468" s="239"/>
      <c r="P468" s="260"/>
      <c r="Q468" s="260"/>
      <c r="R468" s="260"/>
      <c r="S468" s="260"/>
      <c r="T468" s="260"/>
      <c r="U468" s="260"/>
      <c r="V468" s="260"/>
      <c r="W468" s="260"/>
      <c r="X468" s="260"/>
      <c r="Y468" s="167"/>
      <c r="Z468" s="7"/>
    </row>
    <row r="469" spans="1:26" ht="15.75" customHeight="1">
      <c r="A469" s="177"/>
      <c r="B469" s="239"/>
      <c r="C469" s="243" t="s">
        <v>27</v>
      </c>
      <c r="D469" s="242">
        <f>COUNTIF($D$11:$FM$11,"Hải Phòng")</f>
        <v>0</v>
      </c>
      <c r="E469" s="260"/>
      <c r="F469" s="239"/>
      <c r="G469" s="239"/>
      <c r="H469" s="239"/>
      <c r="I469" s="239"/>
      <c r="J469" s="239"/>
      <c r="K469" s="239"/>
      <c r="L469" s="239"/>
      <c r="M469" s="239"/>
      <c r="N469" s="239"/>
      <c r="O469" s="239"/>
      <c r="P469" s="260"/>
      <c r="Q469" s="260"/>
      <c r="R469" s="260"/>
      <c r="S469" s="260"/>
      <c r="T469" s="260"/>
      <c r="U469" s="260"/>
      <c r="V469" s="260"/>
      <c r="W469" s="260"/>
      <c r="X469" s="260"/>
      <c r="Y469" s="167"/>
      <c r="Z469" s="7"/>
    </row>
    <row r="470" spans="1:26" ht="15.75" customHeight="1">
      <c r="A470" s="177"/>
      <c r="B470" s="239"/>
      <c r="C470" s="243" t="s">
        <v>33</v>
      </c>
      <c r="D470" s="242">
        <f>COUNTIF($D$11:$FM$11,"Hà Nam")</f>
        <v>0</v>
      </c>
      <c r="E470" s="260"/>
      <c r="F470" s="239"/>
      <c r="G470" s="239"/>
      <c r="H470" s="239"/>
      <c r="I470" s="239"/>
      <c r="J470" s="239"/>
      <c r="K470" s="239"/>
      <c r="L470" s="239"/>
      <c r="M470" s="239"/>
      <c r="N470" s="239"/>
      <c r="O470" s="239"/>
      <c r="P470" s="260"/>
      <c r="Q470" s="260"/>
      <c r="R470" s="260"/>
      <c r="S470" s="260"/>
      <c r="T470" s="260"/>
      <c r="U470" s="260"/>
      <c r="V470" s="260"/>
      <c r="W470" s="260"/>
      <c r="X470" s="260"/>
      <c r="Y470" s="167"/>
      <c r="Z470" s="7"/>
    </row>
    <row r="471" spans="1:26" ht="15.75" customHeight="1">
      <c r="A471" s="177"/>
      <c r="B471" s="239"/>
      <c r="C471" s="243" t="s">
        <v>36</v>
      </c>
      <c r="D471" s="242">
        <f>COUNTIF($D$11:$FM$11,"Nam Định")</f>
        <v>0</v>
      </c>
      <c r="E471" s="260"/>
      <c r="F471" s="239"/>
      <c r="G471" s="239"/>
      <c r="H471" s="239"/>
      <c r="I471" s="239"/>
      <c r="J471" s="239"/>
      <c r="K471" s="239"/>
      <c r="L471" s="239"/>
      <c r="M471" s="239"/>
      <c r="N471" s="239"/>
      <c r="O471" s="239"/>
      <c r="P471" s="260"/>
      <c r="Q471" s="260"/>
      <c r="R471" s="260"/>
      <c r="S471" s="260"/>
      <c r="T471" s="260"/>
      <c r="U471" s="260"/>
      <c r="V471" s="260"/>
      <c r="W471" s="260"/>
      <c r="X471" s="260"/>
      <c r="Y471" s="167"/>
      <c r="Z471" s="7"/>
    </row>
    <row r="472" spans="1:26" ht="15.75" customHeight="1">
      <c r="A472" s="177"/>
      <c r="B472" s="239"/>
      <c r="C472" s="243" t="s">
        <v>1094</v>
      </c>
      <c r="D472" s="242">
        <f>COUNTIF($D$11:$FM$11,"Thái Bình")</f>
        <v>0</v>
      </c>
      <c r="E472" s="260"/>
      <c r="F472" s="239"/>
      <c r="G472" s="239"/>
      <c r="H472" s="239"/>
      <c r="I472" s="239"/>
      <c r="J472" s="239"/>
      <c r="K472" s="239"/>
      <c r="L472" s="239"/>
      <c r="M472" s="239"/>
      <c r="N472" s="239"/>
      <c r="O472" s="239"/>
      <c r="P472" s="260"/>
      <c r="Q472" s="260"/>
      <c r="R472" s="260"/>
      <c r="S472" s="260"/>
      <c r="T472" s="260"/>
      <c r="U472" s="260"/>
      <c r="V472" s="260"/>
      <c r="W472" s="260"/>
      <c r="X472" s="260"/>
      <c r="Y472" s="167"/>
      <c r="Z472" s="7"/>
    </row>
    <row r="473" spans="1:26" ht="15.75" customHeight="1">
      <c r="A473" s="177"/>
      <c r="B473" s="239"/>
      <c r="C473" s="243" t="s">
        <v>34</v>
      </c>
      <c r="D473" s="242">
        <f>COUNTIF($D$11:$FM$11,"Ninh Bình")</f>
        <v>0</v>
      </c>
      <c r="E473" s="260"/>
      <c r="F473" s="239"/>
      <c r="G473" s="239"/>
      <c r="H473" s="239"/>
      <c r="I473" s="239"/>
      <c r="J473" s="239"/>
      <c r="K473" s="239"/>
      <c r="L473" s="239"/>
      <c r="M473" s="239"/>
      <c r="N473" s="239"/>
      <c r="O473" s="239"/>
      <c r="P473" s="260"/>
      <c r="Q473" s="260"/>
      <c r="R473" s="260"/>
      <c r="S473" s="260"/>
      <c r="T473" s="260"/>
      <c r="U473" s="260"/>
      <c r="V473" s="260"/>
      <c r="W473" s="260"/>
      <c r="X473" s="260"/>
      <c r="Y473" s="167"/>
      <c r="Z473" s="7"/>
    </row>
    <row r="474" spans="1:26" ht="15.75" customHeight="1">
      <c r="A474" s="177"/>
      <c r="B474" s="239"/>
      <c r="C474" s="243" t="s">
        <v>37</v>
      </c>
      <c r="D474" s="242">
        <f>COUNTIF($D$11:$FM$11,"Thanh Hoá")</f>
        <v>0</v>
      </c>
      <c r="E474" s="260"/>
      <c r="F474" s="239"/>
      <c r="G474" s="239"/>
      <c r="H474" s="239"/>
      <c r="I474" s="239"/>
      <c r="J474" s="239"/>
      <c r="K474" s="239"/>
      <c r="L474" s="239"/>
      <c r="M474" s="239"/>
      <c r="N474" s="239"/>
      <c r="O474" s="239"/>
      <c r="P474" s="260"/>
      <c r="Q474" s="260"/>
      <c r="R474" s="260"/>
      <c r="S474" s="260"/>
      <c r="T474" s="260"/>
      <c r="U474" s="260"/>
      <c r="V474" s="260"/>
      <c r="W474" s="260"/>
      <c r="X474" s="260"/>
      <c r="Y474" s="167"/>
      <c r="Z474" s="7"/>
    </row>
    <row r="475" spans="1:26" ht="15.75" customHeight="1">
      <c r="A475" s="177"/>
      <c r="B475" s="239"/>
      <c r="C475" s="243" t="s">
        <v>1095</v>
      </c>
      <c r="D475" s="242">
        <f>COUNTIF($D$11:$FM$11,"Nghệ An")</f>
        <v>0</v>
      </c>
      <c r="E475" s="260"/>
      <c r="F475" s="239"/>
      <c r="G475" s="239"/>
      <c r="H475" s="239"/>
      <c r="I475" s="239"/>
      <c r="J475" s="239"/>
      <c r="K475" s="239"/>
      <c r="L475" s="239"/>
      <c r="M475" s="239"/>
      <c r="N475" s="239"/>
      <c r="O475" s="239"/>
      <c r="P475" s="260"/>
      <c r="Q475" s="260"/>
      <c r="R475" s="260"/>
      <c r="S475" s="260"/>
      <c r="T475" s="260"/>
      <c r="U475" s="260"/>
      <c r="V475" s="260"/>
      <c r="W475" s="260"/>
      <c r="X475" s="260"/>
      <c r="Y475" s="167"/>
      <c r="Z475" s="7"/>
    </row>
    <row r="476" spans="1:26" ht="15.75" customHeight="1">
      <c r="A476" s="177"/>
      <c r="B476" s="239"/>
      <c r="C476" s="243" t="s">
        <v>1096</v>
      </c>
      <c r="D476" s="242">
        <f>COUNTIF($D$11:$FM$11,"Hà Tĩnh")</f>
        <v>0</v>
      </c>
      <c r="E476" s="260"/>
      <c r="F476" s="239"/>
      <c r="G476" s="239"/>
      <c r="H476" s="239"/>
      <c r="I476" s="239"/>
      <c r="J476" s="239"/>
      <c r="K476" s="239"/>
      <c r="L476" s="239"/>
      <c r="M476" s="239"/>
      <c r="N476" s="239"/>
      <c r="O476" s="239"/>
      <c r="P476" s="260"/>
      <c r="Q476" s="260"/>
      <c r="R476" s="260"/>
      <c r="S476" s="260"/>
      <c r="T476" s="260"/>
      <c r="U476" s="260"/>
      <c r="V476" s="260"/>
      <c r="W476" s="260"/>
      <c r="X476" s="260"/>
      <c r="Y476" s="167"/>
      <c r="Z476" s="7"/>
    </row>
    <row r="477" spans="1:26" ht="15.75" customHeight="1">
      <c r="A477" s="177"/>
      <c r="B477" s="239"/>
      <c r="C477" s="243" t="s">
        <v>1097</v>
      </c>
      <c r="D477" s="242">
        <f>COUNTIF($D$11:$FM$11,"Quảng Bình")</f>
        <v>0</v>
      </c>
      <c r="E477" s="260"/>
      <c r="F477" s="239"/>
      <c r="G477" s="239"/>
      <c r="H477" s="239"/>
      <c r="I477" s="239"/>
      <c r="J477" s="239"/>
      <c r="K477" s="239"/>
      <c r="L477" s="239"/>
      <c r="M477" s="239"/>
      <c r="N477" s="239"/>
      <c r="O477" s="239"/>
      <c r="P477" s="260"/>
      <c r="Q477" s="260"/>
      <c r="R477" s="260"/>
      <c r="S477" s="260"/>
      <c r="T477" s="260"/>
      <c r="U477" s="260"/>
      <c r="V477" s="260"/>
      <c r="W477" s="260"/>
      <c r="X477" s="260"/>
      <c r="Y477" s="167"/>
      <c r="Z477" s="7"/>
    </row>
    <row r="478" spans="1:26" ht="15.75" customHeight="1">
      <c r="A478" s="177"/>
      <c r="B478" s="239"/>
      <c r="C478" s="243" t="s">
        <v>1098</v>
      </c>
      <c r="D478" s="242">
        <f>COUNTIF($D$11:$FM$11,"Quảng Trị")</f>
        <v>0</v>
      </c>
      <c r="E478" s="260"/>
      <c r="F478" s="239"/>
      <c r="G478" s="239"/>
      <c r="H478" s="239"/>
      <c r="I478" s="239"/>
      <c r="J478" s="239"/>
      <c r="K478" s="239"/>
      <c r="L478" s="239"/>
      <c r="M478" s="239"/>
      <c r="N478" s="239"/>
      <c r="O478" s="239"/>
      <c r="P478" s="260"/>
      <c r="Q478" s="260"/>
      <c r="R478" s="260"/>
      <c r="S478" s="260"/>
      <c r="T478" s="260"/>
      <c r="U478" s="260"/>
      <c r="V478" s="260"/>
      <c r="W478" s="260"/>
      <c r="X478" s="260"/>
      <c r="Y478" s="167"/>
      <c r="Z478" s="7"/>
    </row>
    <row r="479" spans="1:26" ht="15.75" customHeight="1">
      <c r="A479" s="177"/>
      <c r="B479" s="239"/>
      <c r="C479" s="243" t="s">
        <v>1099</v>
      </c>
      <c r="D479" s="242">
        <f>COUNTIF($D$11:$FM$11,"Thừa Thiên Huế")</f>
        <v>0</v>
      </c>
      <c r="E479" s="260"/>
      <c r="F479" s="239"/>
      <c r="G479" s="239"/>
      <c r="H479" s="239"/>
      <c r="I479" s="239"/>
      <c r="J479" s="239"/>
      <c r="K479" s="239"/>
      <c r="L479" s="239"/>
      <c r="M479" s="239"/>
      <c r="N479" s="239"/>
      <c r="O479" s="239"/>
      <c r="P479" s="260"/>
      <c r="Q479" s="260"/>
      <c r="R479" s="260"/>
      <c r="S479" s="260"/>
      <c r="T479" s="260"/>
      <c r="U479" s="260"/>
      <c r="V479" s="260"/>
      <c r="W479" s="260"/>
      <c r="X479" s="260"/>
      <c r="Y479" s="167"/>
      <c r="Z479" s="7"/>
    </row>
    <row r="480" spans="1:26" ht="15.75" customHeight="1">
      <c r="A480" s="177"/>
      <c r="B480" s="239"/>
      <c r="C480" s="243" t="s">
        <v>1100</v>
      </c>
      <c r="D480" s="242">
        <f>COUNTIF($D$11:$FM$11,"Đà Nẵng")</f>
        <v>0</v>
      </c>
      <c r="E480" s="260"/>
      <c r="F480" s="239"/>
      <c r="G480" s="239"/>
      <c r="H480" s="239"/>
      <c r="I480" s="239"/>
      <c r="J480" s="239"/>
      <c r="K480" s="239"/>
      <c r="L480" s="239"/>
      <c r="M480" s="239"/>
      <c r="N480" s="239"/>
      <c r="O480" s="239"/>
      <c r="P480" s="260"/>
      <c r="Q480" s="260"/>
      <c r="R480" s="260"/>
      <c r="S480" s="260"/>
      <c r="T480" s="260"/>
      <c r="U480" s="260"/>
      <c r="V480" s="260"/>
      <c r="W480" s="260"/>
      <c r="X480" s="260"/>
      <c r="Y480" s="167"/>
      <c r="Z480" s="7"/>
    </row>
    <row r="481" spans="1:26" ht="15.75" customHeight="1">
      <c r="A481" s="177"/>
      <c r="B481" s="239"/>
      <c r="C481" s="243" t="s">
        <v>1101</v>
      </c>
      <c r="D481" s="242">
        <f>COUNTIF($D$11:$FM$11,"Quảng Nam")</f>
        <v>0</v>
      </c>
      <c r="E481" s="260"/>
      <c r="F481" s="239"/>
      <c r="G481" s="239"/>
      <c r="H481" s="239"/>
      <c r="I481" s="239"/>
      <c r="J481" s="239"/>
      <c r="K481" s="239"/>
      <c r="L481" s="239"/>
      <c r="M481" s="239"/>
      <c r="N481" s="239"/>
      <c r="O481" s="239"/>
      <c r="P481" s="260"/>
      <c r="Q481" s="260"/>
      <c r="R481" s="260"/>
      <c r="S481" s="260"/>
      <c r="T481" s="260"/>
      <c r="U481" s="260"/>
      <c r="V481" s="260"/>
      <c r="W481" s="260"/>
      <c r="X481" s="260"/>
      <c r="Y481" s="167"/>
      <c r="Z481" s="7"/>
    </row>
    <row r="482" spans="1:26" ht="15.75" customHeight="1">
      <c r="A482" s="177"/>
      <c r="B482" s="239"/>
      <c r="C482" s="243" t="s">
        <v>1102</v>
      </c>
      <c r="D482" s="242">
        <f>COUNTIF($D$11:$FM$11,"Quảng Ngãi")</f>
        <v>0</v>
      </c>
      <c r="E482" s="260"/>
      <c r="F482" s="239"/>
      <c r="G482" s="239"/>
      <c r="H482" s="239"/>
      <c r="I482" s="239"/>
      <c r="J482" s="239"/>
      <c r="K482" s="239"/>
      <c r="L482" s="239"/>
      <c r="M482" s="239"/>
      <c r="N482" s="239"/>
      <c r="O482" s="239"/>
      <c r="P482" s="260"/>
      <c r="Q482" s="260"/>
      <c r="R482" s="260"/>
      <c r="S482" s="260"/>
      <c r="T482" s="260"/>
      <c r="U482" s="260"/>
      <c r="V482" s="260"/>
      <c r="W482" s="260"/>
      <c r="X482" s="260"/>
      <c r="Y482" s="167"/>
      <c r="Z482" s="7"/>
    </row>
    <row r="483" spans="1:26" ht="15.75" customHeight="1">
      <c r="A483" s="177"/>
      <c r="B483" s="239"/>
      <c r="C483" s="243" t="s">
        <v>1103</v>
      </c>
      <c r="D483" s="242">
        <f>COUNTIF($D$11:$FM$11,"Bình Định")</f>
        <v>0</v>
      </c>
      <c r="E483" s="260"/>
      <c r="F483" s="239"/>
      <c r="G483" s="239"/>
      <c r="H483" s="239"/>
      <c r="I483" s="239"/>
      <c r="J483" s="239"/>
      <c r="K483" s="239"/>
      <c r="L483" s="239"/>
      <c r="M483" s="239"/>
      <c r="N483" s="239"/>
      <c r="O483" s="239"/>
      <c r="P483" s="260"/>
      <c r="Q483" s="260"/>
      <c r="R483" s="260"/>
      <c r="S483" s="260"/>
      <c r="T483" s="260"/>
      <c r="U483" s="260"/>
      <c r="V483" s="260"/>
      <c r="W483" s="260"/>
      <c r="X483" s="260"/>
      <c r="Y483" s="167"/>
      <c r="Z483" s="7"/>
    </row>
    <row r="484" spans="1:26" ht="15.75" customHeight="1">
      <c r="A484" s="177"/>
      <c r="B484" s="239"/>
      <c r="C484" s="243" t="s">
        <v>1104</v>
      </c>
      <c r="D484" s="242">
        <f>COUNTIF($D$11:$FM$11,"Phú Yên")</f>
        <v>0</v>
      </c>
      <c r="E484" s="260"/>
      <c r="F484" s="239"/>
      <c r="G484" s="239"/>
      <c r="H484" s="239"/>
      <c r="I484" s="239"/>
      <c r="J484" s="239"/>
      <c r="K484" s="239"/>
      <c r="L484" s="239"/>
      <c r="M484" s="239"/>
      <c r="N484" s="239"/>
      <c r="O484" s="239"/>
      <c r="P484" s="260"/>
      <c r="Q484" s="260"/>
      <c r="R484" s="260"/>
      <c r="S484" s="260"/>
      <c r="T484" s="260"/>
      <c r="U484" s="260"/>
      <c r="V484" s="260"/>
      <c r="W484" s="260"/>
      <c r="X484" s="260"/>
      <c r="Y484" s="167"/>
      <c r="Z484" s="7"/>
    </row>
    <row r="485" spans="1:26" ht="15.75" customHeight="1">
      <c r="A485" s="177"/>
      <c r="B485" s="239"/>
      <c r="C485" s="243" t="s">
        <v>1105</v>
      </c>
      <c r="D485" s="242">
        <f>COUNTIF($D$11:$FM$11,"Khánh Hoà")</f>
        <v>0</v>
      </c>
      <c r="E485" s="260"/>
      <c r="F485" s="239"/>
      <c r="G485" s="239"/>
      <c r="H485" s="239"/>
      <c r="I485" s="239"/>
      <c r="J485" s="239"/>
      <c r="K485" s="239"/>
      <c r="L485" s="239"/>
      <c r="M485" s="239"/>
      <c r="N485" s="239"/>
      <c r="O485" s="239"/>
      <c r="P485" s="260"/>
      <c r="Q485" s="260"/>
      <c r="R485" s="260"/>
      <c r="S485" s="260"/>
      <c r="T485" s="260"/>
      <c r="U485" s="260"/>
      <c r="V485" s="260"/>
      <c r="W485" s="260"/>
      <c r="X485" s="260"/>
      <c r="Y485" s="167"/>
      <c r="Z485" s="7"/>
    </row>
    <row r="486" spans="1:26" ht="15.75" customHeight="1">
      <c r="A486" s="177"/>
      <c r="B486" s="239"/>
      <c r="C486" s="243" t="s">
        <v>1106</v>
      </c>
      <c r="D486" s="242">
        <f>COUNTIF($D$11:$FM$11,"Ninh Thuận")</f>
        <v>0</v>
      </c>
      <c r="E486" s="260"/>
      <c r="F486" s="239"/>
      <c r="G486" s="239"/>
      <c r="H486" s="239"/>
      <c r="I486" s="239"/>
      <c r="J486" s="239"/>
      <c r="K486" s="239"/>
      <c r="L486" s="239"/>
      <c r="M486" s="239"/>
      <c r="N486" s="239"/>
      <c r="O486" s="239"/>
      <c r="P486" s="260"/>
      <c r="Q486" s="260"/>
      <c r="R486" s="260"/>
      <c r="S486" s="260"/>
      <c r="T486" s="260"/>
      <c r="U486" s="260"/>
      <c r="V486" s="260"/>
      <c r="W486" s="260"/>
      <c r="X486" s="260"/>
      <c r="Y486" s="167"/>
      <c r="Z486" s="7"/>
    </row>
    <row r="487" spans="1:26" ht="15.75" customHeight="1">
      <c r="A487" s="177"/>
      <c r="B487" s="239"/>
      <c r="C487" s="243" t="s">
        <v>1107</v>
      </c>
      <c r="D487" s="242">
        <f>COUNTIF($D$11:$FM$11,"Bình Thuận")</f>
        <v>0</v>
      </c>
      <c r="E487" s="260"/>
      <c r="F487" s="239"/>
      <c r="G487" s="239"/>
      <c r="H487" s="239"/>
      <c r="I487" s="239"/>
      <c r="J487" s="239"/>
      <c r="K487" s="239"/>
      <c r="L487" s="239"/>
      <c r="M487" s="239"/>
      <c r="N487" s="239"/>
      <c r="O487" s="239"/>
      <c r="P487" s="260"/>
      <c r="Q487" s="260"/>
      <c r="R487" s="260"/>
      <c r="S487" s="260"/>
      <c r="T487" s="260"/>
      <c r="U487" s="260"/>
      <c r="V487" s="260"/>
      <c r="W487" s="260"/>
      <c r="X487" s="260"/>
      <c r="Y487" s="167"/>
      <c r="Z487" s="7"/>
    </row>
    <row r="488" spans="1:26" ht="15.75" customHeight="1">
      <c r="A488" s="177"/>
      <c r="B488" s="239"/>
      <c r="C488" s="243" t="s">
        <v>1108</v>
      </c>
      <c r="D488" s="242">
        <f>COUNTIF($D$11:$FM$11,"Kon Tum")</f>
        <v>0</v>
      </c>
      <c r="E488" s="260"/>
      <c r="F488" s="239"/>
      <c r="G488" s="239"/>
      <c r="H488" s="239"/>
      <c r="I488" s="239"/>
      <c r="J488" s="239"/>
      <c r="K488" s="239"/>
      <c r="L488" s="239"/>
      <c r="M488" s="239"/>
      <c r="N488" s="239"/>
      <c r="O488" s="239"/>
      <c r="P488" s="260"/>
      <c r="Q488" s="260"/>
      <c r="R488" s="260"/>
      <c r="S488" s="260"/>
      <c r="T488" s="260"/>
      <c r="U488" s="260"/>
      <c r="V488" s="260"/>
      <c r="W488" s="260"/>
      <c r="X488" s="260"/>
      <c r="Y488" s="167"/>
      <c r="Z488" s="7"/>
    </row>
    <row r="489" spans="1:26" ht="15.75" customHeight="1">
      <c r="A489" s="177"/>
      <c r="B489" s="239"/>
      <c r="C489" s="243" t="s">
        <v>1109</v>
      </c>
      <c r="D489" s="242">
        <f>COUNTIF($D$11:$FM$11,"Gia Lai")</f>
        <v>0</v>
      </c>
      <c r="E489" s="260"/>
      <c r="F489" s="239"/>
      <c r="G489" s="239"/>
      <c r="H489" s="239"/>
      <c r="I489" s="239"/>
      <c r="J489" s="239"/>
      <c r="K489" s="239"/>
      <c r="L489" s="239"/>
      <c r="M489" s="239"/>
      <c r="N489" s="239"/>
      <c r="O489" s="239"/>
      <c r="P489" s="260"/>
      <c r="Q489" s="260"/>
      <c r="R489" s="260"/>
      <c r="S489" s="260"/>
      <c r="T489" s="260"/>
      <c r="U489" s="260"/>
      <c r="V489" s="260"/>
      <c r="W489" s="260"/>
      <c r="X489" s="260"/>
      <c r="Y489" s="167"/>
      <c r="Z489" s="7"/>
    </row>
    <row r="490" spans="1:26" ht="15.75" customHeight="1">
      <c r="A490" s="177"/>
      <c r="B490" s="239"/>
      <c r="C490" s="243" t="s">
        <v>1110</v>
      </c>
      <c r="D490" s="242">
        <f>COUNTIF($D$11:$FM$11,"Đắk Lắk")</f>
        <v>0</v>
      </c>
      <c r="E490" s="260"/>
      <c r="F490" s="239"/>
      <c r="G490" s="239"/>
      <c r="H490" s="239"/>
      <c r="I490" s="239"/>
      <c r="J490" s="239"/>
      <c r="K490" s="239"/>
      <c r="L490" s="239"/>
      <c r="M490" s="239"/>
      <c r="N490" s="239"/>
      <c r="O490" s="239"/>
      <c r="P490" s="260"/>
      <c r="Q490" s="260"/>
      <c r="R490" s="260"/>
      <c r="S490" s="260"/>
      <c r="T490" s="260"/>
      <c r="U490" s="260"/>
      <c r="V490" s="260"/>
      <c r="W490" s="260"/>
      <c r="X490" s="260"/>
      <c r="Y490" s="167"/>
      <c r="Z490" s="7"/>
    </row>
    <row r="491" spans="1:26" ht="15.75" customHeight="1">
      <c r="A491" s="177"/>
      <c r="B491" s="239"/>
      <c r="C491" s="243" t="s">
        <v>1111</v>
      </c>
      <c r="D491" s="242">
        <f>COUNTIF($D$11:$FM$11,"Đắk Nông")</f>
        <v>0</v>
      </c>
      <c r="E491" s="260"/>
      <c r="F491" s="239"/>
      <c r="G491" s="239"/>
      <c r="H491" s="239"/>
      <c r="I491" s="239"/>
      <c r="J491" s="239"/>
      <c r="K491" s="239"/>
      <c r="L491" s="239"/>
      <c r="M491" s="239"/>
      <c r="N491" s="239"/>
      <c r="O491" s="239"/>
      <c r="P491" s="260"/>
      <c r="Q491" s="260"/>
      <c r="R491" s="260"/>
      <c r="S491" s="260"/>
      <c r="T491" s="260"/>
      <c r="U491" s="260"/>
      <c r="V491" s="260"/>
      <c r="W491" s="260"/>
      <c r="X491" s="260"/>
      <c r="Y491" s="167"/>
      <c r="Z491" s="7"/>
    </row>
    <row r="492" spans="1:26" ht="15.75" customHeight="1">
      <c r="A492" s="177"/>
      <c r="B492" s="239"/>
      <c r="C492" s="243" t="s">
        <v>1112</v>
      </c>
      <c r="D492" s="242">
        <f>COUNTIF($D$11:$FM$11,"Lâm Đồng")</f>
        <v>0</v>
      </c>
      <c r="E492" s="260"/>
      <c r="F492" s="239"/>
      <c r="G492" s="239"/>
      <c r="H492" s="239"/>
      <c r="I492" s="239"/>
      <c r="J492" s="239"/>
      <c r="K492" s="239"/>
      <c r="L492" s="239"/>
      <c r="M492" s="239"/>
      <c r="N492" s="239"/>
      <c r="O492" s="239"/>
      <c r="P492" s="260"/>
      <c r="Q492" s="260"/>
      <c r="R492" s="260"/>
      <c r="S492" s="260"/>
      <c r="T492" s="260"/>
      <c r="U492" s="260"/>
      <c r="V492" s="260"/>
      <c r="W492" s="260"/>
      <c r="X492" s="260"/>
      <c r="Y492" s="167"/>
      <c r="Z492" s="7"/>
    </row>
    <row r="493" spans="1:26" ht="15.75" customHeight="1">
      <c r="A493" s="177"/>
      <c r="B493" s="239"/>
      <c r="C493" s="243" t="s">
        <v>1113</v>
      </c>
      <c r="D493" s="242">
        <f>COUNTIF($D$11:$FM$11,"Tây Ninh")</f>
        <v>0</v>
      </c>
      <c r="E493" s="260"/>
      <c r="F493" s="239"/>
      <c r="G493" s="239"/>
      <c r="H493" s="239"/>
      <c r="I493" s="239"/>
      <c r="J493" s="239"/>
      <c r="K493" s="239"/>
      <c r="L493" s="239"/>
      <c r="M493" s="239"/>
      <c r="N493" s="239"/>
      <c r="O493" s="239"/>
      <c r="P493" s="260"/>
      <c r="Q493" s="260"/>
      <c r="R493" s="260"/>
      <c r="S493" s="260"/>
      <c r="T493" s="260"/>
      <c r="U493" s="260"/>
      <c r="V493" s="260"/>
      <c r="W493" s="260"/>
      <c r="X493" s="260"/>
      <c r="Y493" s="167"/>
      <c r="Z493" s="7"/>
    </row>
    <row r="494" spans="1:26" ht="15.75" customHeight="1">
      <c r="A494" s="177"/>
      <c r="B494" s="239"/>
      <c r="C494" s="243" t="s">
        <v>1114</v>
      </c>
      <c r="D494" s="242">
        <f>COUNTIF($D$11:$FM$11,"Bình Phước")</f>
        <v>0</v>
      </c>
      <c r="E494" s="260"/>
      <c r="F494" s="239"/>
      <c r="G494" s="239"/>
      <c r="H494" s="239"/>
      <c r="I494" s="239"/>
      <c r="J494" s="239"/>
      <c r="K494" s="239"/>
      <c r="L494" s="239"/>
      <c r="M494" s="239"/>
      <c r="N494" s="239"/>
      <c r="O494" s="239"/>
      <c r="P494" s="260"/>
      <c r="Q494" s="260"/>
      <c r="R494" s="260"/>
      <c r="S494" s="260"/>
      <c r="T494" s="260"/>
      <c r="U494" s="260"/>
      <c r="V494" s="260"/>
      <c r="W494" s="260"/>
      <c r="X494" s="260"/>
      <c r="Y494" s="167"/>
      <c r="Z494" s="7"/>
    </row>
    <row r="495" spans="1:26" ht="15.75" customHeight="1">
      <c r="A495" s="177"/>
      <c r="B495" s="239"/>
      <c r="C495" s="243" t="s">
        <v>1115</v>
      </c>
      <c r="D495" s="242">
        <f>COUNTIF($D$11:$FM$11,"Bình Dương")</f>
        <v>0</v>
      </c>
      <c r="E495" s="260"/>
      <c r="F495" s="239"/>
      <c r="G495" s="239"/>
      <c r="H495" s="239"/>
      <c r="I495" s="239"/>
      <c r="J495" s="239"/>
      <c r="K495" s="239"/>
      <c r="L495" s="239"/>
      <c r="M495" s="239"/>
      <c r="N495" s="239"/>
      <c r="O495" s="239"/>
      <c r="P495" s="260"/>
      <c r="Q495" s="260"/>
      <c r="R495" s="260"/>
      <c r="S495" s="260"/>
      <c r="T495" s="260"/>
      <c r="U495" s="260"/>
      <c r="V495" s="260"/>
      <c r="W495" s="260"/>
      <c r="X495" s="260"/>
      <c r="Y495" s="167"/>
      <c r="Z495" s="7"/>
    </row>
    <row r="496" spans="1:26" ht="15.75" customHeight="1">
      <c r="A496" s="177"/>
      <c r="B496" s="239"/>
      <c r="C496" s="243" t="s">
        <v>1116</v>
      </c>
      <c r="D496" s="242">
        <f>COUNTIF($D$11:$FM$11,"Bà Rịa - Vũng Tàu")</f>
        <v>0</v>
      </c>
      <c r="E496" s="260"/>
      <c r="F496" s="239"/>
      <c r="G496" s="239"/>
      <c r="H496" s="239"/>
      <c r="I496" s="239"/>
      <c r="J496" s="239"/>
      <c r="K496" s="239"/>
      <c r="L496" s="239"/>
      <c r="M496" s="239"/>
      <c r="N496" s="239"/>
      <c r="O496" s="239"/>
      <c r="P496" s="260"/>
      <c r="Q496" s="260"/>
      <c r="R496" s="260"/>
      <c r="S496" s="260"/>
      <c r="T496" s="260"/>
      <c r="U496" s="260"/>
      <c r="V496" s="260"/>
      <c r="W496" s="260"/>
      <c r="X496" s="260"/>
      <c r="Y496" s="167"/>
      <c r="Z496" s="7"/>
    </row>
    <row r="497" spans="1:26" ht="15.75" customHeight="1">
      <c r="A497" s="177"/>
      <c r="B497" s="239"/>
      <c r="C497" s="243" t="s">
        <v>1117</v>
      </c>
      <c r="D497" s="242">
        <f>COUNTIF($D$11:$FM$11,"Bến Tre")</f>
        <v>0</v>
      </c>
      <c r="E497" s="260"/>
      <c r="F497" s="239"/>
      <c r="G497" s="239"/>
      <c r="H497" s="239"/>
      <c r="I497" s="239"/>
      <c r="J497" s="239"/>
      <c r="K497" s="239"/>
      <c r="L497" s="239"/>
      <c r="M497" s="239"/>
      <c r="N497" s="239"/>
      <c r="O497" s="239"/>
      <c r="P497" s="260"/>
      <c r="Q497" s="260"/>
      <c r="R497" s="260"/>
      <c r="S497" s="260"/>
      <c r="T497" s="260"/>
      <c r="U497" s="260"/>
      <c r="V497" s="260"/>
      <c r="W497" s="260"/>
      <c r="X497" s="260"/>
      <c r="Y497" s="167"/>
      <c r="Z497" s="7"/>
    </row>
    <row r="498" spans="1:26" ht="15.75" customHeight="1">
      <c r="A498" s="177"/>
      <c r="B498" s="239"/>
      <c r="C498" s="243" t="s">
        <v>1118</v>
      </c>
      <c r="D498" s="242">
        <f>COUNTIF($D$11:$FM$11,"An Giang")</f>
        <v>0</v>
      </c>
      <c r="E498" s="260"/>
      <c r="F498" s="239"/>
      <c r="G498" s="239"/>
      <c r="H498" s="239"/>
      <c r="I498" s="239"/>
      <c r="J498" s="239"/>
      <c r="K498" s="239"/>
      <c r="L498" s="239"/>
      <c r="M498" s="239"/>
      <c r="N498" s="239"/>
      <c r="O498" s="239"/>
      <c r="P498" s="260"/>
      <c r="Q498" s="260"/>
      <c r="R498" s="260"/>
      <c r="S498" s="260"/>
      <c r="T498" s="260"/>
      <c r="U498" s="260"/>
      <c r="V498" s="260"/>
      <c r="W498" s="260"/>
      <c r="X498" s="260"/>
      <c r="Y498" s="167"/>
      <c r="Z498" s="7"/>
    </row>
    <row r="499" spans="1:26" ht="15.75" customHeight="1">
      <c r="A499" s="177"/>
      <c r="B499" s="239"/>
      <c r="C499" s="243" t="s">
        <v>1119</v>
      </c>
      <c r="D499" s="242">
        <f>COUNTIF($D$11:$FM$11,"Vĩnh Long")</f>
        <v>0</v>
      </c>
      <c r="E499" s="260"/>
      <c r="F499" s="239"/>
      <c r="G499" s="239"/>
      <c r="H499" s="239"/>
      <c r="I499" s="239"/>
      <c r="J499" s="239"/>
      <c r="K499" s="239"/>
      <c r="L499" s="239"/>
      <c r="M499" s="239"/>
      <c r="N499" s="239"/>
      <c r="O499" s="239"/>
      <c r="P499" s="260"/>
      <c r="Q499" s="260"/>
      <c r="R499" s="260"/>
      <c r="S499" s="260"/>
      <c r="T499" s="260"/>
      <c r="U499" s="260"/>
      <c r="V499" s="260"/>
      <c r="W499" s="260"/>
      <c r="X499" s="260"/>
      <c r="Y499" s="167"/>
      <c r="Z499" s="7"/>
    </row>
    <row r="500" spans="1:26" ht="15.75" customHeight="1">
      <c r="A500" s="177"/>
      <c r="B500" s="239"/>
      <c r="C500" s="243" t="s">
        <v>1120</v>
      </c>
      <c r="D500" s="242">
        <f>COUNTIF($D$11:$FM$11,"Cần Thơ")</f>
        <v>0</v>
      </c>
      <c r="E500" s="260"/>
      <c r="F500" s="239"/>
      <c r="G500" s="239"/>
      <c r="H500" s="239"/>
      <c r="I500" s="239"/>
      <c r="J500" s="239"/>
      <c r="K500" s="239"/>
      <c r="L500" s="239"/>
      <c r="M500" s="239"/>
      <c r="N500" s="239"/>
      <c r="O500" s="239"/>
      <c r="P500" s="260"/>
      <c r="Q500" s="260"/>
      <c r="R500" s="260"/>
      <c r="S500" s="260"/>
      <c r="T500" s="260"/>
      <c r="U500" s="260"/>
      <c r="V500" s="260"/>
      <c r="W500" s="260"/>
      <c r="X500" s="260"/>
      <c r="Y500" s="167"/>
      <c r="Z500" s="7"/>
    </row>
    <row r="501" spans="1:26" ht="15.75" customHeight="1">
      <c r="A501" s="177"/>
      <c r="B501" s="239"/>
      <c r="C501" s="243" t="s">
        <v>1121</v>
      </c>
      <c r="D501" s="242">
        <f>COUNTIF($D$11:$FM$11,"Hậu Giang")</f>
        <v>0</v>
      </c>
      <c r="E501" s="260"/>
      <c r="F501" s="239"/>
      <c r="G501" s="239"/>
      <c r="H501" s="239"/>
      <c r="I501" s="239"/>
      <c r="J501" s="239"/>
      <c r="K501" s="239"/>
      <c r="L501" s="239"/>
      <c r="M501" s="239"/>
      <c r="N501" s="239"/>
      <c r="O501" s="239"/>
      <c r="P501" s="260"/>
      <c r="Q501" s="260"/>
      <c r="R501" s="260"/>
      <c r="S501" s="260"/>
      <c r="T501" s="260"/>
      <c r="U501" s="260"/>
      <c r="V501" s="260"/>
      <c r="W501" s="260"/>
      <c r="X501" s="260"/>
      <c r="Y501" s="167"/>
      <c r="Z501" s="7"/>
    </row>
    <row r="502" spans="1:26" ht="15.75" customHeight="1">
      <c r="A502" s="177"/>
      <c r="B502" s="239"/>
      <c r="C502" s="243" t="s">
        <v>1122</v>
      </c>
      <c r="D502" s="242">
        <f>COUNTIF($D$11:$FM$11,"Sóc Trăng")</f>
        <v>0</v>
      </c>
      <c r="E502" s="260"/>
      <c r="F502" s="239"/>
      <c r="G502" s="239"/>
      <c r="H502" s="239"/>
      <c r="I502" s="239"/>
      <c r="J502" s="239"/>
      <c r="K502" s="239"/>
      <c r="L502" s="239"/>
      <c r="M502" s="239"/>
      <c r="N502" s="239"/>
      <c r="O502" s="239"/>
      <c r="P502" s="260"/>
      <c r="Q502" s="260"/>
      <c r="R502" s="260"/>
      <c r="S502" s="260"/>
      <c r="T502" s="260"/>
      <c r="U502" s="260"/>
      <c r="V502" s="260"/>
      <c r="W502" s="260"/>
      <c r="X502" s="260"/>
      <c r="Y502" s="167"/>
      <c r="Z502" s="7"/>
    </row>
    <row r="503" spans="1:26" ht="15.75" customHeight="1">
      <c r="A503" s="177"/>
      <c r="B503" s="239"/>
      <c r="C503" s="243" t="s">
        <v>1123</v>
      </c>
      <c r="D503" s="242">
        <f>COUNTIF($D$11:$FM$11,"Bạc Liêu")</f>
        <v>0</v>
      </c>
      <c r="E503" s="260"/>
      <c r="F503" s="239"/>
      <c r="G503" s="239"/>
      <c r="H503" s="239"/>
      <c r="I503" s="239"/>
      <c r="J503" s="239"/>
      <c r="K503" s="239"/>
      <c r="L503" s="239"/>
      <c r="M503" s="239"/>
      <c r="N503" s="239"/>
      <c r="O503" s="239"/>
      <c r="P503" s="260"/>
      <c r="Q503" s="260"/>
      <c r="R503" s="260"/>
      <c r="S503" s="260"/>
      <c r="T503" s="260"/>
      <c r="U503" s="260"/>
      <c r="V503" s="260"/>
      <c r="W503" s="260"/>
      <c r="X503" s="260"/>
      <c r="Y503" s="167"/>
      <c r="Z503" s="7"/>
    </row>
    <row r="504" spans="1:26" ht="15.75" customHeight="1">
      <c r="A504" s="177"/>
      <c r="B504" s="239"/>
      <c r="C504" s="243" t="s">
        <v>1124</v>
      </c>
      <c r="D504" s="242">
        <f>COUNTIF($D$11:$FM$11,"Cà Mau")</f>
        <v>0</v>
      </c>
      <c r="E504" s="260"/>
      <c r="F504" s="239"/>
      <c r="G504" s="239"/>
      <c r="H504" s="239"/>
      <c r="I504" s="239"/>
      <c r="J504" s="239"/>
      <c r="K504" s="239"/>
      <c r="L504" s="239"/>
      <c r="M504" s="239"/>
      <c r="N504" s="239"/>
      <c r="O504" s="239"/>
      <c r="P504" s="260"/>
      <c r="Q504" s="260"/>
      <c r="R504" s="260"/>
      <c r="S504" s="260"/>
      <c r="T504" s="260"/>
      <c r="U504" s="260"/>
      <c r="V504" s="260"/>
      <c r="W504" s="260"/>
      <c r="X504" s="260"/>
      <c r="Y504" s="167"/>
      <c r="Z504" s="7"/>
    </row>
    <row r="505" spans="1:26" ht="15.75" customHeight="1">
      <c r="A505" s="177"/>
      <c r="B505" s="239"/>
      <c r="C505" s="243" t="s">
        <v>1125</v>
      </c>
      <c r="D505" s="242">
        <f>COUNTIF($D$11:$FM$11,"Kiên Giang")</f>
        <v>0</v>
      </c>
      <c r="E505" s="260"/>
      <c r="F505" s="239"/>
      <c r="G505" s="239"/>
      <c r="H505" s="239"/>
      <c r="I505" s="239"/>
      <c r="J505" s="239"/>
      <c r="K505" s="239"/>
      <c r="L505" s="239"/>
      <c r="M505" s="239"/>
      <c r="N505" s="239"/>
      <c r="O505" s="239"/>
      <c r="P505" s="260"/>
      <c r="Q505" s="260"/>
      <c r="R505" s="260"/>
      <c r="S505" s="260"/>
      <c r="T505" s="260"/>
      <c r="U505" s="260"/>
      <c r="V505" s="260"/>
      <c r="W505" s="260"/>
      <c r="X505" s="260"/>
      <c r="Y505" s="167"/>
      <c r="Z505" s="7"/>
    </row>
    <row r="506" spans="1:26" ht="15.75" customHeight="1">
      <c r="A506" s="177"/>
      <c r="B506" s="239"/>
      <c r="C506" s="243" t="s">
        <v>1126</v>
      </c>
      <c r="D506" s="242">
        <f>COUNTIF($D$11:$FM$11,"Đồng Tháp")</f>
        <v>0</v>
      </c>
      <c r="E506" s="260"/>
      <c r="F506" s="239"/>
      <c r="G506" s="239"/>
      <c r="H506" s="239"/>
      <c r="I506" s="239"/>
      <c r="J506" s="239"/>
      <c r="K506" s="239"/>
      <c r="L506" s="239"/>
      <c r="M506" s="239"/>
      <c r="N506" s="239"/>
      <c r="O506" s="239"/>
      <c r="P506" s="260"/>
      <c r="Q506" s="260"/>
      <c r="R506" s="260"/>
      <c r="S506" s="260"/>
      <c r="T506" s="260"/>
      <c r="U506" s="260"/>
      <c r="V506" s="260"/>
      <c r="W506" s="260"/>
      <c r="X506" s="260"/>
      <c r="Y506" s="167"/>
      <c r="Z506" s="7"/>
    </row>
    <row r="507" spans="1:26" ht="15.75" customHeight="1">
      <c r="A507" s="177"/>
      <c r="B507" s="239"/>
      <c r="C507" s="243" t="s">
        <v>1127</v>
      </c>
      <c r="D507" s="242">
        <f>COUNTIF($D$11:$FM$11,"Trà Vinh")</f>
        <v>0</v>
      </c>
      <c r="E507" s="260"/>
      <c r="F507" s="239"/>
      <c r="G507" s="239"/>
      <c r="H507" s="239"/>
      <c r="I507" s="239"/>
      <c r="J507" s="239"/>
      <c r="K507" s="239"/>
      <c r="L507" s="239"/>
      <c r="M507" s="239"/>
      <c r="N507" s="239"/>
      <c r="O507" s="239"/>
      <c r="P507" s="260"/>
      <c r="Q507" s="260"/>
      <c r="R507" s="260"/>
      <c r="S507" s="260"/>
      <c r="T507" s="260"/>
      <c r="U507" s="260"/>
      <c r="V507" s="260"/>
      <c r="W507" s="260"/>
      <c r="X507" s="260"/>
      <c r="Y507" s="167"/>
      <c r="Z507" s="7"/>
    </row>
    <row r="508" spans="1:26" ht="15.75" customHeight="1">
      <c r="A508" s="177"/>
      <c r="B508" s="239"/>
      <c r="C508" s="243" t="s">
        <v>1128</v>
      </c>
      <c r="D508" s="242">
        <f>COUNTIF($D$11:$FM$11,"Tiền Giang")</f>
        <v>0</v>
      </c>
      <c r="E508" s="260"/>
      <c r="F508" s="239"/>
      <c r="G508" s="239"/>
      <c r="H508" s="239"/>
      <c r="I508" s="239"/>
      <c r="J508" s="239"/>
      <c r="K508" s="239"/>
      <c r="L508" s="239"/>
      <c r="M508" s="239"/>
      <c r="N508" s="239"/>
      <c r="O508" s="239"/>
      <c r="P508" s="260"/>
      <c r="Q508" s="260"/>
      <c r="R508" s="260"/>
      <c r="S508" s="260"/>
      <c r="T508" s="260"/>
      <c r="U508" s="260"/>
      <c r="V508" s="260"/>
      <c r="W508" s="260"/>
      <c r="X508" s="260"/>
      <c r="Y508" s="167"/>
      <c r="Z508" s="7"/>
    </row>
    <row r="509" spans="1:26" ht="15.75" customHeight="1">
      <c r="A509" s="177"/>
      <c r="B509" s="239"/>
      <c r="C509" s="243" t="s">
        <v>1129</v>
      </c>
      <c r="D509" s="242">
        <f>COUNTIF($D$11:$FM$11,"Long An")</f>
        <v>0</v>
      </c>
      <c r="E509" s="260"/>
      <c r="F509" s="239"/>
      <c r="G509" s="239"/>
      <c r="H509" s="239"/>
      <c r="I509" s="239"/>
      <c r="J509" s="239"/>
      <c r="K509" s="239"/>
      <c r="L509" s="239"/>
      <c r="M509" s="239"/>
      <c r="N509" s="239"/>
      <c r="O509" s="239"/>
      <c r="P509" s="260"/>
      <c r="Q509" s="260"/>
      <c r="R509" s="260"/>
      <c r="S509" s="260"/>
      <c r="T509" s="260"/>
      <c r="U509" s="260"/>
      <c r="V509" s="260"/>
      <c r="W509" s="260"/>
      <c r="X509" s="260"/>
      <c r="Y509" s="167"/>
      <c r="Z509" s="7"/>
    </row>
    <row r="510" spans="1:26" ht="15.75" customHeight="1">
      <c r="A510" s="177"/>
      <c r="B510" s="239"/>
      <c r="C510" s="243" t="s">
        <v>1130</v>
      </c>
      <c r="D510" s="242">
        <f>COUNTIF($D$11:$FM$11,"Đồng Nai")</f>
        <v>0</v>
      </c>
      <c r="E510" s="260"/>
      <c r="F510" s="239"/>
      <c r="G510" s="239"/>
      <c r="H510" s="239"/>
      <c r="I510" s="239"/>
      <c r="J510" s="239"/>
      <c r="K510" s="239"/>
      <c r="L510" s="239"/>
      <c r="M510" s="239"/>
      <c r="N510" s="239"/>
      <c r="O510" s="239"/>
      <c r="P510" s="260"/>
      <c r="Q510" s="260"/>
      <c r="R510" s="260"/>
      <c r="S510" s="260"/>
      <c r="T510" s="260"/>
      <c r="U510" s="260"/>
      <c r="V510" s="260"/>
      <c r="W510" s="260"/>
      <c r="X510" s="260"/>
      <c r="Y510" s="167"/>
      <c r="Z510" s="7"/>
    </row>
    <row r="511" spans="1:26" ht="15.75" customHeight="1">
      <c r="A511" s="177"/>
      <c r="B511" s="239"/>
      <c r="C511" s="243" t="s">
        <v>1131</v>
      </c>
      <c r="D511" s="242">
        <f>COUNTIF($D$11:$FM$11,"TP Hồ Chí Minh")</f>
        <v>0</v>
      </c>
      <c r="E511" s="260"/>
      <c r="F511" s="239"/>
      <c r="G511" s="239"/>
      <c r="H511" s="239"/>
      <c r="I511" s="239"/>
      <c r="J511" s="239"/>
      <c r="K511" s="239"/>
      <c r="L511" s="239"/>
      <c r="M511" s="239"/>
      <c r="N511" s="239"/>
      <c r="O511" s="239"/>
      <c r="P511" s="260"/>
      <c r="Q511" s="260"/>
      <c r="R511" s="260"/>
      <c r="S511" s="260"/>
      <c r="T511" s="260"/>
      <c r="U511" s="260"/>
      <c r="V511" s="260"/>
      <c r="W511" s="260"/>
      <c r="X511" s="260"/>
      <c r="Y511" s="167"/>
      <c r="Z511" s="7"/>
    </row>
    <row r="512" spans="1:26" ht="15.75" customHeight="1">
      <c r="A512" s="177"/>
      <c r="B512" s="239"/>
      <c r="C512" s="243"/>
      <c r="D512" s="244"/>
      <c r="E512" s="260"/>
      <c r="F512" s="239"/>
      <c r="G512" s="239"/>
      <c r="H512" s="239"/>
      <c r="I512" s="239"/>
      <c r="J512" s="239"/>
      <c r="K512" s="239"/>
      <c r="L512" s="239"/>
      <c r="M512" s="239"/>
      <c r="N512" s="239"/>
      <c r="O512" s="239"/>
      <c r="P512" s="260"/>
      <c r="Q512" s="260"/>
      <c r="R512" s="260"/>
      <c r="S512" s="260"/>
      <c r="T512" s="260"/>
      <c r="U512" s="260"/>
      <c r="V512" s="260"/>
      <c r="W512" s="260"/>
      <c r="X512" s="260"/>
      <c r="Y512" s="167"/>
      <c r="Z512" s="7"/>
    </row>
    <row r="513" spans="1:26" ht="15.75" customHeight="1">
      <c r="A513" s="177"/>
      <c r="B513" s="239"/>
      <c r="C513" s="243"/>
      <c r="D513" s="245">
        <f>SUM(D449:D511)</f>
        <v>0</v>
      </c>
      <c r="E513" s="260"/>
      <c r="F513" s="239"/>
      <c r="G513" s="239"/>
      <c r="H513" s="239"/>
      <c r="I513" s="239"/>
      <c r="J513" s="239"/>
      <c r="K513" s="239"/>
      <c r="L513" s="239"/>
      <c r="M513" s="239"/>
      <c r="N513" s="239"/>
      <c r="O513" s="239"/>
      <c r="P513" s="260"/>
      <c r="Q513" s="260"/>
      <c r="R513" s="260"/>
      <c r="S513" s="260"/>
      <c r="T513" s="260"/>
      <c r="U513" s="260"/>
      <c r="V513" s="260"/>
      <c r="W513" s="260"/>
      <c r="X513" s="260"/>
      <c r="Y513" s="167"/>
      <c r="Z513" s="7"/>
    </row>
    <row r="514" spans="1:26" ht="15.75" customHeight="1">
      <c r="A514" s="177"/>
      <c r="B514" s="239"/>
      <c r="C514" s="260"/>
      <c r="D514" s="278"/>
      <c r="E514" s="260"/>
      <c r="F514" s="239"/>
      <c r="G514" s="239"/>
      <c r="H514" s="239"/>
      <c r="I514" s="239"/>
      <c r="J514" s="239"/>
      <c r="K514" s="239"/>
      <c r="L514" s="239"/>
      <c r="M514" s="239"/>
      <c r="N514" s="239"/>
      <c r="O514" s="239"/>
      <c r="P514" s="260"/>
      <c r="Q514" s="260"/>
      <c r="R514" s="260"/>
      <c r="S514" s="260"/>
      <c r="T514" s="260"/>
      <c r="U514" s="260"/>
      <c r="V514" s="260"/>
      <c r="W514" s="260"/>
      <c r="X514" s="260"/>
      <c r="Y514" s="167"/>
      <c r="Z514" s="7"/>
    </row>
    <row r="515" spans="1:26" ht="15.75" customHeight="1">
      <c r="A515" s="177"/>
      <c r="B515" s="239"/>
      <c r="C515" s="260"/>
      <c r="D515" s="278"/>
      <c r="E515" s="260"/>
      <c r="F515" s="239"/>
      <c r="G515" s="239"/>
      <c r="H515" s="239"/>
      <c r="I515" s="239"/>
      <c r="J515" s="239"/>
      <c r="K515" s="239"/>
      <c r="L515" s="239"/>
      <c r="M515" s="239"/>
      <c r="N515" s="239"/>
      <c r="O515" s="239"/>
      <c r="P515" s="260"/>
      <c r="Q515" s="260"/>
      <c r="R515" s="260"/>
      <c r="S515" s="260"/>
      <c r="T515" s="260"/>
      <c r="U515" s="260"/>
      <c r="V515" s="260"/>
      <c r="W515" s="260"/>
      <c r="X515" s="260"/>
      <c r="Y515" s="167"/>
      <c r="Z515" s="7"/>
    </row>
    <row r="516" spans="1:26" ht="15.75" customHeight="1">
      <c r="A516" s="177"/>
      <c r="B516" s="239"/>
      <c r="C516" s="260"/>
      <c r="D516" s="278"/>
      <c r="E516" s="260"/>
      <c r="F516" s="239"/>
      <c r="G516" s="239"/>
      <c r="H516" s="239"/>
      <c r="I516" s="239"/>
      <c r="J516" s="239"/>
      <c r="K516" s="239"/>
      <c r="L516" s="239"/>
      <c r="M516" s="239"/>
      <c r="N516" s="239"/>
      <c r="O516" s="239"/>
      <c r="P516" s="260"/>
      <c r="Q516" s="260"/>
      <c r="R516" s="260"/>
      <c r="S516" s="260"/>
      <c r="T516" s="260"/>
      <c r="U516" s="260"/>
      <c r="V516" s="260"/>
      <c r="W516" s="260"/>
      <c r="X516" s="260"/>
      <c r="Y516" s="167"/>
      <c r="Z516" s="7"/>
    </row>
    <row r="517" spans="1:26" ht="15.75" customHeight="1">
      <c r="A517" s="177"/>
      <c r="B517" s="239"/>
      <c r="C517" s="260"/>
      <c r="D517" s="278"/>
      <c r="E517" s="260"/>
      <c r="F517" s="239"/>
      <c r="G517" s="239"/>
      <c r="H517" s="239"/>
      <c r="I517" s="239"/>
      <c r="J517" s="239"/>
      <c r="K517" s="239"/>
      <c r="L517" s="239"/>
      <c r="M517" s="239"/>
      <c r="N517" s="239"/>
      <c r="O517" s="239"/>
      <c r="P517" s="260"/>
      <c r="Q517" s="260"/>
      <c r="R517" s="260"/>
      <c r="S517" s="260"/>
      <c r="T517" s="260"/>
      <c r="U517" s="260"/>
      <c r="V517" s="260"/>
      <c r="W517" s="260"/>
      <c r="X517" s="260"/>
      <c r="Y517" s="167"/>
      <c r="Z517" s="7"/>
    </row>
    <row r="518" spans="1:26" ht="15.75" customHeight="1">
      <c r="A518" s="177"/>
      <c r="B518" s="239"/>
      <c r="C518" s="260"/>
      <c r="D518" s="278"/>
      <c r="E518" s="260"/>
      <c r="F518" s="239"/>
      <c r="G518" s="239"/>
      <c r="H518" s="239"/>
      <c r="I518" s="239"/>
      <c r="J518" s="239"/>
      <c r="K518" s="239"/>
      <c r="L518" s="239"/>
      <c r="M518" s="239"/>
      <c r="N518" s="239"/>
      <c r="O518" s="239"/>
      <c r="P518" s="260"/>
      <c r="Q518" s="260"/>
      <c r="R518" s="260"/>
      <c r="S518" s="260"/>
      <c r="T518" s="260"/>
      <c r="U518" s="260"/>
      <c r="V518" s="260"/>
      <c r="W518" s="260"/>
      <c r="X518" s="260"/>
      <c r="Y518" s="167"/>
      <c r="Z518" s="7"/>
    </row>
    <row r="519" spans="1:26" ht="15.75" customHeight="1">
      <c r="A519" s="177"/>
      <c r="B519" s="239"/>
      <c r="C519" s="260"/>
      <c r="D519" s="278"/>
      <c r="E519" s="260"/>
      <c r="F519" s="239"/>
      <c r="G519" s="239"/>
      <c r="H519" s="239"/>
      <c r="I519" s="239"/>
      <c r="J519" s="239"/>
      <c r="K519" s="239"/>
      <c r="L519" s="239"/>
      <c r="M519" s="239"/>
      <c r="N519" s="239"/>
      <c r="O519" s="239"/>
      <c r="P519" s="260"/>
      <c r="Q519" s="260"/>
      <c r="R519" s="260"/>
      <c r="S519" s="260"/>
      <c r="T519" s="260"/>
      <c r="U519" s="260"/>
      <c r="V519" s="260"/>
      <c r="W519" s="260"/>
      <c r="X519" s="260"/>
      <c r="Y519" s="167"/>
      <c r="Z519" s="7"/>
    </row>
    <row r="520" spans="1:26" ht="15.75" customHeight="1">
      <c r="A520" s="177"/>
      <c r="B520" s="239"/>
      <c r="C520" s="260"/>
      <c r="D520" s="278"/>
      <c r="E520" s="260"/>
      <c r="F520" s="239"/>
      <c r="G520" s="239"/>
      <c r="H520" s="239"/>
      <c r="I520" s="239"/>
      <c r="J520" s="239"/>
      <c r="K520" s="239"/>
      <c r="L520" s="239"/>
      <c r="M520" s="239"/>
      <c r="N520" s="239"/>
      <c r="O520" s="239"/>
      <c r="P520" s="260"/>
      <c r="Q520" s="260"/>
      <c r="R520" s="260"/>
      <c r="S520" s="260"/>
      <c r="T520" s="260"/>
      <c r="U520" s="260"/>
      <c r="V520" s="260"/>
      <c r="W520" s="260"/>
      <c r="X520" s="260"/>
      <c r="Y520" s="167"/>
      <c r="Z520" s="7"/>
    </row>
    <row r="521" spans="1:26" ht="15.75" customHeight="1">
      <c r="A521" s="177"/>
      <c r="B521" s="239"/>
      <c r="C521" s="260"/>
      <c r="D521" s="278"/>
      <c r="E521" s="260"/>
      <c r="F521" s="239"/>
      <c r="G521" s="239"/>
      <c r="H521" s="239"/>
      <c r="I521" s="239"/>
      <c r="J521" s="239"/>
      <c r="K521" s="239"/>
      <c r="L521" s="239"/>
      <c r="M521" s="239"/>
      <c r="N521" s="239"/>
      <c r="O521" s="239"/>
      <c r="P521" s="260"/>
      <c r="Q521" s="260"/>
      <c r="R521" s="260"/>
      <c r="S521" s="260"/>
      <c r="T521" s="260"/>
      <c r="U521" s="260"/>
      <c r="V521" s="260"/>
      <c r="W521" s="260"/>
      <c r="X521" s="260"/>
      <c r="Y521" s="167"/>
      <c r="Z521" s="7"/>
    </row>
    <row r="522" spans="1:26" ht="15.75" customHeight="1">
      <c r="A522" s="177"/>
      <c r="B522" s="239"/>
      <c r="C522" s="260"/>
      <c r="D522" s="278"/>
      <c r="E522" s="260"/>
      <c r="F522" s="239"/>
      <c r="G522" s="239"/>
      <c r="H522" s="239"/>
      <c r="I522" s="239"/>
      <c r="J522" s="239"/>
      <c r="K522" s="239"/>
      <c r="L522" s="239"/>
      <c r="M522" s="239"/>
      <c r="N522" s="239"/>
      <c r="O522" s="239"/>
      <c r="P522" s="260"/>
      <c r="Q522" s="260"/>
      <c r="R522" s="260"/>
      <c r="S522" s="260"/>
      <c r="T522" s="260"/>
      <c r="U522" s="260"/>
      <c r="V522" s="260"/>
      <c r="W522" s="260"/>
      <c r="X522" s="260"/>
      <c r="Y522" s="167"/>
      <c r="Z522" s="7"/>
    </row>
    <row r="523" spans="1:26" ht="15.75" customHeight="1">
      <c r="A523" s="177"/>
      <c r="B523" s="239"/>
      <c r="C523" s="260"/>
      <c r="D523" s="278"/>
      <c r="E523" s="260"/>
      <c r="F523" s="239"/>
      <c r="G523" s="239"/>
      <c r="H523" s="239"/>
      <c r="I523" s="239"/>
      <c r="J523" s="239"/>
      <c r="K523" s="239"/>
      <c r="L523" s="239"/>
      <c r="M523" s="239"/>
      <c r="N523" s="239"/>
      <c r="O523" s="239"/>
      <c r="P523" s="260"/>
      <c r="Q523" s="260"/>
      <c r="R523" s="260"/>
      <c r="S523" s="260"/>
      <c r="T523" s="260"/>
      <c r="U523" s="260"/>
      <c r="V523" s="260"/>
      <c r="W523" s="260"/>
      <c r="X523" s="260"/>
      <c r="Y523" s="167"/>
      <c r="Z523" s="7"/>
    </row>
    <row r="524" spans="1:26" ht="15.75" customHeight="1">
      <c r="A524" s="177"/>
      <c r="B524" s="239"/>
      <c r="C524" s="260"/>
      <c r="D524" s="278"/>
      <c r="E524" s="260"/>
      <c r="F524" s="239"/>
      <c r="G524" s="239"/>
      <c r="H524" s="239"/>
      <c r="I524" s="239"/>
      <c r="J524" s="239"/>
      <c r="K524" s="239"/>
      <c r="L524" s="239"/>
      <c r="M524" s="239"/>
      <c r="N524" s="239"/>
      <c r="O524" s="239"/>
      <c r="P524" s="260"/>
      <c r="Q524" s="260"/>
      <c r="R524" s="260"/>
      <c r="S524" s="260"/>
      <c r="T524" s="260"/>
      <c r="U524" s="260"/>
      <c r="V524" s="260"/>
      <c r="W524" s="260"/>
      <c r="X524" s="260"/>
      <c r="Y524" s="167"/>
      <c r="Z524" s="7"/>
    </row>
    <row r="525" spans="1:26" ht="15.75" customHeight="1">
      <c r="A525" s="177"/>
      <c r="B525" s="239"/>
      <c r="C525" s="260"/>
      <c r="D525" s="278"/>
      <c r="E525" s="260"/>
      <c r="F525" s="239"/>
      <c r="G525" s="239"/>
      <c r="H525" s="239"/>
      <c r="I525" s="239"/>
      <c r="J525" s="239"/>
      <c r="K525" s="239"/>
      <c r="L525" s="239"/>
      <c r="M525" s="239"/>
      <c r="N525" s="239"/>
      <c r="O525" s="239"/>
      <c r="P525" s="260"/>
      <c r="Q525" s="260"/>
      <c r="R525" s="260"/>
      <c r="S525" s="260"/>
      <c r="T525" s="260"/>
      <c r="U525" s="260"/>
      <c r="V525" s="260"/>
      <c r="W525" s="260"/>
      <c r="X525" s="260"/>
      <c r="Y525" s="167"/>
      <c r="Z525" s="7"/>
    </row>
    <row r="526" spans="1:26" ht="15.75" customHeight="1">
      <c r="A526" s="177"/>
      <c r="B526" s="239"/>
      <c r="C526" s="260"/>
      <c r="D526" s="278"/>
      <c r="E526" s="260"/>
      <c r="F526" s="239"/>
      <c r="G526" s="239"/>
      <c r="H526" s="239"/>
      <c r="I526" s="239"/>
      <c r="J526" s="239"/>
      <c r="K526" s="239"/>
      <c r="L526" s="239"/>
      <c r="M526" s="239"/>
      <c r="N526" s="239"/>
      <c r="O526" s="239"/>
      <c r="P526" s="260"/>
      <c r="Q526" s="260"/>
      <c r="R526" s="260"/>
      <c r="S526" s="260"/>
      <c r="T526" s="260"/>
      <c r="U526" s="260"/>
      <c r="V526" s="260"/>
      <c r="W526" s="260"/>
      <c r="X526" s="260"/>
      <c r="Y526" s="167"/>
      <c r="Z526" s="7"/>
    </row>
    <row r="527" spans="1:26" ht="15.75" customHeight="1">
      <c r="A527" s="177"/>
      <c r="B527" s="239"/>
      <c r="C527" s="260"/>
      <c r="D527" s="278"/>
      <c r="E527" s="260"/>
      <c r="F527" s="239"/>
      <c r="G527" s="239"/>
      <c r="H527" s="239"/>
      <c r="I527" s="239"/>
      <c r="J527" s="239"/>
      <c r="K527" s="239"/>
      <c r="L527" s="239"/>
      <c r="M527" s="239"/>
      <c r="N527" s="239"/>
      <c r="O527" s="239"/>
      <c r="P527" s="260"/>
      <c r="Q527" s="260"/>
      <c r="R527" s="260"/>
      <c r="S527" s="260"/>
      <c r="T527" s="260"/>
      <c r="U527" s="260"/>
      <c r="V527" s="260"/>
      <c r="W527" s="260"/>
      <c r="X527" s="260"/>
      <c r="Y527" s="167"/>
      <c r="Z527" s="7"/>
    </row>
    <row r="528" spans="1:26" ht="15.75" customHeight="1">
      <c r="A528" s="177"/>
      <c r="B528" s="239"/>
      <c r="C528" s="260"/>
      <c r="D528" s="278"/>
      <c r="E528" s="260"/>
      <c r="F528" s="239"/>
      <c r="G528" s="239"/>
      <c r="H528" s="239"/>
      <c r="I528" s="239"/>
      <c r="J528" s="239"/>
      <c r="K528" s="239"/>
      <c r="L528" s="239"/>
      <c r="M528" s="239"/>
      <c r="N528" s="239"/>
      <c r="O528" s="239"/>
      <c r="P528" s="260"/>
      <c r="Q528" s="260"/>
      <c r="R528" s="260"/>
      <c r="S528" s="260"/>
      <c r="T528" s="260"/>
      <c r="U528" s="260"/>
      <c r="V528" s="260"/>
      <c r="W528" s="260"/>
      <c r="X528" s="260"/>
      <c r="Y528" s="167"/>
      <c r="Z528" s="7"/>
    </row>
    <row r="529" spans="1:26" ht="15.75" customHeight="1">
      <c r="A529" s="177"/>
      <c r="B529" s="239"/>
      <c r="C529" s="260"/>
      <c r="D529" s="278"/>
      <c r="E529" s="260"/>
      <c r="F529" s="239"/>
      <c r="G529" s="239"/>
      <c r="H529" s="239"/>
      <c r="I529" s="239"/>
      <c r="J529" s="239"/>
      <c r="K529" s="239"/>
      <c r="L529" s="239"/>
      <c r="M529" s="239"/>
      <c r="N529" s="239"/>
      <c r="O529" s="239"/>
      <c r="P529" s="260"/>
      <c r="Q529" s="260"/>
      <c r="R529" s="260"/>
      <c r="S529" s="260"/>
      <c r="T529" s="260"/>
      <c r="U529" s="260"/>
      <c r="V529" s="260"/>
      <c r="W529" s="260"/>
      <c r="X529" s="260"/>
      <c r="Y529" s="167"/>
      <c r="Z529" s="7"/>
    </row>
    <row r="530" spans="1:26" ht="15.75" customHeight="1">
      <c r="A530" s="177"/>
      <c r="B530" s="239"/>
      <c r="C530" s="260"/>
      <c r="D530" s="278"/>
      <c r="E530" s="260"/>
      <c r="F530" s="239"/>
      <c r="G530" s="239"/>
      <c r="H530" s="239"/>
      <c r="I530" s="239"/>
      <c r="J530" s="239"/>
      <c r="K530" s="239"/>
      <c r="L530" s="239"/>
      <c r="M530" s="239"/>
      <c r="N530" s="239"/>
      <c r="O530" s="239"/>
      <c r="P530" s="260"/>
      <c r="Q530" s="260"/>
      <c r="R530" s="260"/>
      <c r="S530" s="260"/>
      <c r="T530" s="260"/>
      <c r="U530" s="260"/>
      <c r="V530" s="260"/>
      <c r="W530" s="260"/>
      <c r="X530" s="260"/>
      <c r="Y530" s="167"/>
      <c r="Z530" s="7"/>
    </row>
    <row r="531" spans="1:26" ht="15.75" customHeight="1">
      <c r="A531" s="177"/>
      <c r="B531" s="239"/>
      <c r="C531" s="260"/>
      <c r="D531" s="278"/>
      <c r="E531" s="260"/>
      <c r="F531" s="239"/>
      <c r="G531" s="239"/>
      <c r="H531" s="239"/>
      <c r="I531" s="239"/>
      <c r="J531" s="239"/>
      <c r="K531" s="239"/>
      <c r="L531" s="239"/>
      <c r="M531" s="239"/>
      <c r="N531" s="239"/>
      <c r="O531" s="239"/>
      <c r="P531" s="260"/>
      <c r="Q531" s="260"/>
      <c r="R531" s="260"/>
      <c r="S531" s="260"/>
      <c r="T531" s="260"/>
      <c r="U531" s="260"/>
      <c r="V531" s="260"/>
      <c r="W531" s="260"/>
      <c r="X531" s="260"/>
      <c r="Y531" s="167"/>
      <c r="Z531" s="7"/>
    </row>
    <row r="532" spans="1:26" ht="15.75" customHeight="1">
      <c r="A532" s="177"/>
      <c r="B532" s="239"/>
      <c r="C532" s="260"/>
      <c r="D532" s="278"/>
      <c r="E532" s="260"/>
      <c r="F532" s="239"/>
      <c r="G532" s="239"/>
      <c r="H532" s="239"/>
      <c r="I532" s="239"/>
      <c r="J532" s="239"/>
      <c r="K532" s="239"/>
      <c r="L532" s="239"/>
      <c r="M532" s="239"/>
      <c r="N532" s="239"/>
      <c r="O532" s="239"/>
      <c r="P532" s="260"/>
      <c r="Q532" s="260"/>
      <c r="R532" s="260"/>
      <c r="S532" s="260"/>
      <c r="T532" s="260"/>
      <c r="U532" s="260"/>
      <c r="V532" s="260"/>
      <c r="W532" s="260"/>
      <c r="X532" s="260"/>
      <c r="Y532" s="167"/>
      <c r="Z532" s="7"/>
    </row>
    <row r="533" spans="1:26" ht="15.75" customHeight="1">
      <c r="A533" s="177"/>
      <c r="B533" s="239"/>
      <c r="C533" s="260"/>
      <c r="D533" s="278"/>
      <c r="E533" s="260"/>
      <c r="F533" s="239"/>
      <c r="G533" s="239"/>
      <c r="H533" s="239"/>
      <c r="I533" s="239"/>
      <c r="J533" s="239"/>
      <c r="K533" s="239"/>
      <c r="L533" s="239"/>
      <c r="M533" s="239"/>
      <c r="N533" s="239"/>
      <c r="O533" s="239"/>
      <c r="P533" s="260"/>
      <c r="Q533" s="260"/>
      <c r="R533" s="260"/>
      <c r="S533" s="260"/>
      <c r="T533" s="260"/>
      <c r="U533" s="260"/>
      <c r="V533" s="260"/>
      <c r="W533" s="260"/>
      <c r="X533" s="260"/>
      <c r="Y533" s="167"/>
      <c r="Z533" s="7"/>
    </row>
    <row r="534" spans="1:26" ht="15.75" customHeight="1">
      <c r="A534" s="177"/>
      <c r="B534" s="239"/>
      <c r="C534" s="260"/>
      <c r="D534" s="278"/>
      <c r="E534" s="260"/>
      <c r="F534" s="239"/>
      <c r="G534" s="239"/>
      <c r="H534" s="239"/>
      <c r="I534" s="239"/>
      <c r="J534" s="239"/>
      <c r="K534" s="239"/>
      <c r="L534" s="239"/>
      <c r="M534" s="239"/>
      <c r="N534" s="239"/>
      <c r="O534" s="239"/>
      <c r="P534" s="260"/>
      <c r="Q534" s="260"/>
      <c r="R534" s="260"/>
      <c r="S534" s="260"/>
      <c r="T534" s="260"/>
      <c r="U534" s="260"/>
      <c r="V534" s="260"/>
      <c r="W534" s="260"/>
      <c r="X534" s="260"/>
      <c r="Y534" s="167"/>
      <c r="Z534" s="7"/>
    </row>
    <row r="535" spans="1:26" ht="15.75" customHeight="1">
      <c r="A535" s="177"/>
      <c r="B535" s="239"/>
      <c r="C535" s="260"/>
      <c r="D535" s="278"/>
      <c r="E535" s="260"/>
      <c r="F535" s="239"/>
      <c r="G535" s="239"/>
      <c r="H535" s="239"/>
      <c r="I535" s="239"/>
      <c r="J535" s="239"/>
      <c r="K535" s="239"/>
      <c r="L535" s="239"/>
      <c r="M535" s="239"/>
      <c r="N535" s="239"/>
      <c r="O535" s="239"/>
      <c r="P535" s="260"/>
      <c r="Q535" s="260"/>
      <c r="R535" s="260"/>
      <c r="S535" s="260"/>
      <c r="T535" s="260"/>
      <c r="U535" s="260"/>
      <c r="V535" s="260"/>
      <c r="W535" s="260"/>
      <c r="X535" s="260"/>
      <c r="Y535" s="167"/>
      <c r="Z535" s="7"/>
    </row>
    <row r="536" spans="1:26" ht="15.75" customHeight="1">
      <c r="A536" s="177"/>
      <c r="B536" s="239"/>
      <c r="C536" s="260"/>
      <c r="D536" s="278"/>
      <c r="E536" s="260"/>
      <c r="F536" s="239"/>
      <c r="G536" s="239"/>
      <c r="H536" s="239"/>
      <c r="I536" s="239"/>
      <c r="J536" s="239"/>
      <c r="K536" s="239"/>
      <c r="L536" s="239"/>
      <c r="M536" s="239"/>
      <c r="N536" s="239"/>
      <c r="O536" s="239"/>
      <c r="P536" s="260"/>
      <c r="Q536" s="260"/>
      <c r="R536" s="260"/>
      <c r="S536" s="260"/>
      <c r="T536" s="260"/>
      <c r="U536" s="260"/>
      <c r="V536" s="260"/>
      <c r="W536" s="260"/>
      <c r="X536" s="260"/>
      <c r="Y536" s="167"/>
      <c r="Z536" s="7"/>
    </row>
    <row r="537" spans="1:26" ht="15.75" customHeight="1">
      <c r="A537" s="177"/>
      <c r="B537" s="239"/>
      <c r="C537" s="260"/>
      <c r="D537" s="278"/>
      <c r="E537" s="260"/>
      <c r="F537" s="239"/>
      <c r="G537" s="239"/>
      <c r="H537" s="239"/>
      <c r="I537" s="239"/>
      <c r="J537" s="239"/>
      <c r="K537" s="239"/>
      <c r="L537" s="239"/>
      <c r="M537" s="239"/>
      <c r="N537" s="239"/>
      <c r="O537" s="239"/>
      <c r="P537" s="260"/>
      <c r="Q537" s="260"/>
      <c r="R537" s="260"/>
      <c r="S537" s="260"/>
      <c r="T537" s="260"/>
      <c r="U537" s="260"/>
      <c r="V537" s="260"/>
      <c r="W537" s="260"/>
      <c r="X537" s="260"/>
      <c r="Y537" s="167"/>
      <c r="Z537" s="7"/>
    </row>
    <row r="538" spans="1:26" ht="15.75" customHeight="1">
      <c r="A538" s="177"/>
      <c r="B538" s="239"/>
      <c r="C538" s="260"/>
      <c r="D538" s="278"/>
      <c r="E538" s="260"/>
      <c r="F538" s="239"/>
      <c r="G538" s="239"/>
      <c r="H538" s="239"/>
      <c r="I538" s="239"/>
      <c r="J538" s="239"/>
      <c r="K538" s="239"/>
      <c r="L538" s="239"/>
      <c r="M538" s="239"/>
      <c r="N538" s="239"/>
      <c r="O538" s="239"/>
      <c r="P538" s="260"/>
      <c r="Q538" s="260"/>
      <c r="R538" s="260"/>
      <c r="S538" s="260"/>
      <c r="T538" s="260"/>
      <c r="U538" s="260"/>
      <c r="V538" s="260"/>
      <c r="W538" s="260"/>
      <c r="X538" s="260"/>
      <c r="Y538" s="167"/>
      <c r="Z538" s="7"/>
    </row>
    <row r="539" spans="1:26" ht="15.75" customHeight="1">
      <c r="A539" s="177"/>
      <c r="B539" s="239"/>
      <c r="C539" s="260"/>
      <c r="D539" s="278"/>
      <c r="E539" s="260"/>
      <c r="F539" s="239"/>
      <c r="G539" s="239"/>
      <c r="H539" s="239"/>
      <c r="I539" s="239"/>
      <c r="J539" s="239"/>
      <c r="K539" s="239"/>
      <c r="L539" s="239"/>
      <c r="M539" s="239"/>
      <c r="N539" s="239"/>
      <c r="O539" s="239"/>
      <c r="P539" s="260"/>
      <c r="Q539" s="260"/>
      <c r="R539" s="260"/>
      <c r="S539" s="260"/>
      <c r="T539" s="260"/>
      <c r="U539" s="260"/>
      <c r="V539" s="260"/>
      <c r="W539" s="260"/>
      <c r="X539" s="260"/>
      <c r="Y539" s="167"/>
      <c r="Z539" s="7"/>
    </row>
    <row r="540" spans="1:26" ht="15.75" customHeight="1">
      <c r="A540" s="177"/>
      <c r="B540" s="239"/>
      <c r="C540" s="260"/>
      <c r="D540" s="278"/>
      <c r="E540" s="260"/>
      <c r="F540" s="239"/>
      <c r="G540" s="239"/>
      <c r="H540" s="239"/>
      <c r="I540" s="239"/>
      <c r="J540" s="239"/>
      <c r="K540" s="239"/>
      <c r="L540" s="239"/>
      <c r="M540" s="239"/>
      <c r="N540" s="239"/>
      <c r="O540" s="239"/>
      <c r="P540" s="260"/>
      <c r="Q540" s="260"/>
      <c r="R540" s="260"/>
      <c r="S540" s="260"/>
      <c r="T540" s="260"/>
      <c r="U540" s="260"/>
      <c r="V540" s="260"/>
      <c r="W540" s="260"/>
      <c r="X540" s="260"/>
      <c r="Y540" s="167"/>
      <c r="Z540" s="7"/>
    </row>
    <row r="541" spans="1:26" ht="15.75" customHeight="1">
      <c r="A541" s="177"/>
      <c r="B541" s="239"/>
      <c r="C541" s="260"/>
      <c r="D541" s="278"/>
      <c r="E541" s="260"/>
      <c r="F541" s="239"/>
      <c r="G541" s="239"/>
      <c r="H541" s="239"/>
      <c r="I541" s="239"/>
      <c r="J541" s="239"/>
      <c r="K541" s="239"/>
      <c r="L541" s="239"/>
      <c r="M541" s="239"/>
      <c r="N541" s="239"/>
      <c r="O541" s="239"/>
      <c r="P541" s="260"/>
      <c r="Q541" s="260"/>
      <c r="R541" s="260"/>
      <c r="S541" s="260"/>
      <c r="T541" s="260"/>
      <c r="U541" s="260"/>
      <c r="V541" s="260"/>
      <c r="W541" s="260"/>
      <c r="X541" s="260"/>
      <c r="Y541" s="167"/>
      <c r="Z541" s="7"/>
    </row>
    <row r="542" spans="1:26" ht="15.75" customHeight="1">
      <c r="A542" s="177"/>
      <c r="B542" s="239"/>
      <c r="C542" s="260"/>
      <c r="D542" s="278"/>
      <c r="E542" s="260"/>
      <c r="F542" s="239"/>
      <c r="G542" s="239"/>
      <c r="H542" s="239"/>
      <c r="I542" s="239"/>
      <c r="J542" s="239"/>
      <c r="K542" s="239"/>
      <c r="L542" s="239"/>
      <c r="M542" s="239"/>
      <c r="N542" s="239"/>
      <c r="O542" s="239"/>
      <c r="P542" s="260"/>
      <c r="Q542" s="260"/>
      <c r="R542" s="260"/>
      <c r="S542" s="260"/>
      <c r="T542" s="260"/>
      <c r="U542" s="260"/>
      <c r="V542" s="260"/>
      <c r="W542" s="260"/>
      <c r="X542" s="260"/>
      <c r="Y542" s="167"/>
      <c r="Z542" s="7"/>
    </row>
    <row r="543" spans="1:26" ht="15.75" customHeight="1">
      <c r="A543" s="177"/>
      <c r="B543" s="239"/>
      <c r="C543" s="260"/>
      <c r="D543" s="278"/>
      <c r="E543" s="260"/>
      <c r="F543" s="239"/>
      <c r="G543" s="239"/>
      <c r="H543" s="239"/>
      <c r="I543" s="239"/>
      <c r="J543" s="239"/>
      <c r="K543" s="239"/>
      <c r="L543" s="239"/>
      <c r="M543" s="239"/>
      <c r="N543" s="239"/>
      <c r="O543" s="239"/>
      <c r="P543" s="260"/>
      <c r="Q543" s="260"/>
      <c r="R543" s="260"/>
      <c r="S543" s="260"/>
      <c r="T543" s="260"/>
      <c r="U543" s="260"/>
      <c r="V543" s="260"/>
      <c r="W543" s="260"/>
      <c r="X543" s="260"/>
      <c r="Y543" s="167"/>
      <c r="Z543" s="7"/>
    </row>
    <row r="544" spans="1:26" ht="15.75" customHeight="1">
      <c r="A544" s="177"/>
      <c r="B544" s="239"/>
      <c r="C544" s="260"/>
      <c r="D544" s="278"/>
      <c r="E544" s="260"/>
      <c r="F544" s="239"/>
      <c r="G544" s="239"/>
      <c r="H544" s="239"/>
      <c r="I544" s="239"/>
      <c r="J544" s="239"/>
      <c r="K544" s="239"/>
      <c r="L544" s="239"/>
      <c r="M544" s="239"/>
      <c r="N544" s="239"/>
      <c r="O544" s="239"/>
      <c r="P544" s="260"/>
      <c r="Q544" s="260"/>
      <c r="R544" s="260"/>
      <c r="S544" s="260"/>
      <c r="T544" s="260"/>
      <c r="U544" s="260"/>
      <c r="V544" s="260"/>
      <c r="W544" s="260"/>
      <c r="X544" s="260"/>
      <c r="Y544" s="167"/>
      <c r="Z544" s="7"/>
    </row>
    <row r="545" spans="1:26" ht="15.75" customHeight="1">
      <c r="A545" s="177"/>
      <c r="B545" s="239"/>
      <c r="C545" s="260"/>
      <c r="D545" s="278"/>
      <c r="E545" s="260"/>
      <c r="F545" s="239"/>
      <c r="G545" s="239"/>
      <c r="H545" s="239"/>
      <c r="I545" s="239"/>
      <c r="J545" s="239"/>
      <c r="K545" s="239"/>
      <c r="L545" s="239"/>
      <c r="M545" s="239"/>
      <c r="N545" s="239"/>
      <c r="O545" s="239"/>
      <c r="P545" s="260"/>
      <c r="Q545" s="260"/>
      <c r="R545" s="260"/>
      <c r="S545" s="260"/>
      <c r="T545" s="260"/>
      <c r="U545" s="260"/>
      <c r="V545" s="260"/>
      <c r="W545" s="260"/>
      <c r="X545" s="260"/>
      <c r="Y545" s="167"/>
      <c r="Z545" s="7"/>
    </row>
    <row r="546" spans="1:26" ht="15.75" customHeight="1">
      <c r="A546" s="177"/>
      <c r="B546" s="239"/>
      <c r="C546" s="260"/>
      <c r="D546" s="278"/>
      <c r="E546" s="260"/>
      <c r="F546" s="239"/>
      <c r="G546" s="239"/>
      <c r="H546" s="239"/>
      <c r="I546" s="239"/>
      <c r="J546" s="239"/>
      <c r="K546" s="239"/>
      <c r="L546" s="239"/>
      <c r="M546" s="239"/>
      <c r="N546" s="239"/>
      <c r="O546" s="239"/>
      <c r="P546" s="260"/>
      <c r="Q546" s="260"/>
      <c r="R546" s="260"/>
      <c r="S546" s="260"/>
      <c r="T546" s="260"/>
      <c r="U546" s="260"/>
      <c r="V546" s="260"/>
      <c r="W546" s="260"/>
      <c r="X546" s="260"/>
      <c r="Y546" s="167"/>
      <c r="Z546" s="7"/>
    </row>
    <row r="547" spans="1:26" ht="15.75" customHeight="1">
      <c r="A547" s="177"/>
      <c r="B547" s="239"/>
      <c r="C547" s="260"/>
      <c r="D547" s="278"/>
      <c r="E547" s="260"/>
      <c r="F547" s="239"/>
      <c r="G547" s="239"/>
      <c r="H547" s="239"/>
      <c r="I547" s="239"/>
      <c r="J547" s="239"/>
      <c r="K547" s="239"/>
      <c r="L547" s="239"/>
      <c r="M547" s="239"/>
      <c r="N547" s="239"/>
      <c r="O547" s="239"/>
      <c r="P547" s="260"/>
      <c r="Q547" s="260"/>
      <c r="R547" s="260"/>
      <c r="S547" s="260"/>
      <c r="T547" s="260"/>
      <c r="U547" s="260"/>
      <c r="V547" s="260"/>
      <c r="W547" s="260"/>
      <c r="X547" s="260"/>
      <c r="Y547" s="167"/>
      <c r="Z547" s="7"/>
    </row>
    <row r="548" spans="1:26" ht="15.75" customHeight="1">
      <c r="A548" s="177"/>
      <c r="B548" s="239"/>
      <c r="C548" s="260"/>
      <c r="D548" s="278"/>
      <c r="E548" s="260"/>
      <c r="F548" s="239"/>
      <c r="G548" s="239"/>
      <c r="H548" s="239"/>
      <c r="I548" s="239"/>
      <c r="J548" s="239"/>
      <c r="K548" s="239"/>
      <c r="L548" s="239"/>
      <c r="M548" s="239"/>
      <c r="N548" s="239"/>
      <c r="O548" s="239"/>
      <c r="P548" s="260"/>
      <c r="Q548" s="260"/>
      <c r="R548" s="260"/>
      <c r="S548" s="260"/>
      <c r="T548" s="260"/>
      <c r="U548" s="260"/>
      <c r="V548" s="260"/>
      <c r="W548" s="260"/>
      <c r="X548" s="260"/>
      <c r="Y548" s="167"/>
      <c r="Z548" s="7"/>
    </row>
    <row r="549" spans="1:26" ht="15.75" customHeight="1">
      <c r="A549" s="177"/>
      <c r="B549" s="239"/>
      <c r="C549" s="260"/>
      <c r="D549" s="278"/>
      <c r="E549" s="260"/>
      <c r="F549" s="239"/>
      <c r="G549" s="239"/>
      <c r="H549" s="239"/>
      <c r="I549" s="239"/>
      <c r="J549" s="239"/>
      <c r="K549" s="239"/>
      <c r="L549" s="239"/>
      <c r="M549" s="239"/>
      <c r="N549" s="239"/>
      <c r="O549" s="239"/>
      <c r="P549" s="260"/>
      <c r="Q549" s="260"/>
      <c r="R549" s="260"/>
      <c r="S549" s="260"/>
      <c r="T549" s="260"/>
      <c r="U549" s="260"/>
      <c r="V549" s="260"/>
      <c r="W549" s="260"/>
      <c r="X549" s="260"/>
      <c r="Y549" s="167"/>
      <c r="Z549" s="7"/>
    </row>
    <row r="550" spans="1:26" ht="15.75" customHeight="1">
      <c r="A550" s="177"/>
      <c r="B550" s="239"/>
      <c r="C550" s="260"/>
      <c r="D550" s="278"/>
      <c r="E550" s="260"/>
      <c r="F550" s="239"/>
      <c r="G550" s="239"/>
      <c r="H550" s="239"/>
      <c r="I550" s="239"/>
      <c r="J550" s="239"/>
      <c r="K550" s="239"/>
      <c r="L550" s="239"/>
      <c r="M550" s="239"/>
      <c r="N550" s="239"/>
      <c r="O550" s="239"/>
      <c r="P550" s="260"/>
      <c r="Q550" s="260"/>
      <c r="R550" s="260"/>
      <c r="S550" s="260"/>
      <c r="T550" s="260"/>
      <c r="U550" s="260"/>
      <c r="V550" s="260"/>
      <c r="W550" s="260"/>
      <c r="X550" s="260"/>
      <c r="Y550" s="167"/>
      <c r="Z550" s="7"/>
    </row>
    <row r="551" spans="1:26" ht="15.75" customHeight="1">
      <c r="A551" s="177"/>
      <c r="B551" s="239"/>
      <c r="C551" s="260"/>
      <c r="D551" s="278"/>
      <c r="E551" s="260"/>
      <c r="F551" s="239"/>
      <c r="G551" s="239"/>
      <c r="H551" s="239"/>
      <c r="I551" s="239"/>
      <c r="J551" s="239"/>
      <c r="K551" s="239"/>
      <c r="L551" s="239"/>
      <c r="M551" s="239"/>
      <c r="N551" s="239"/>
      <c r="O551" s="239"/>
      <c r="P551" s="260"/>
      <c r="Q551" s="260"/>
      <c r="R551" s="260"/>
      <c r="S551" s="260"/>
      <c r="T551" s="260"/>
      <c r="U551" s="260"/>
      <c r="V551" s="260"/>
      <c r="W551" s="260"/>
      <c r="X551" s="260"/>
      <c r="Y551" s="167"/>
      <c r="Z551" s="7"/>
    </row>
    <row r="552" spans="1:26" ht="15.75" customHeight="1">
      <c r="A552" s="177"/>
      <c r="B552" s="239"/>
      <c r="C552" s="260"/>
      <c r="D552" s="278"/>
      <c r="E552" s="260"/>
      <c r="F552" s="239"/>
      <c r="G552" s="239"/>
      <c r="H552" s="239"/>
      <c r="I552" s="239"/>
      <c r="J552" s="239"/>
      <c r="K552" s="239"/>
      <c r="L552" s="239"/>
      <c r="M552" s="239"/>
      <c r="N552" s="239"/>
      <c r="O552" s="239"/>
      <c r="P552" s="260"/>
      <c r="Q552" s="260"/>
      <c r="R552" s="260"/>
      <c r="S552" s="260"/>
      <c r="T552" s="260"/>
      <c r="U552" s="260"/>
      <c r="V552" s="260"/>
      <c r="W552" s="260"/>
      <c r="X552" s="260"/>
      <c r="Y552" s="167"/>
      <c r="Z552" s="7"/>
    </row>
    <row r="553" spans="1:26" ht="15.75" customHeight="1">
      <c r="A553" s="177"/>
      <c r="B553" s="239"/>
      <c r="C553" s="260"/>
      <c r="D553" s="278"/>
      <c r="E553" s="260"/>
      <c r="F553" s="239"/>
      <c r="G553" s="239"/>
      <c r="H553" s="239"/>
      <c r="I553" s="239"/>
      <c r="J553" s="239"/>
      <c r="K553" s="239"/>
      <c r="L553" s="239"/>
      <c r="M553" s="239"/>
      <c r="N553" s="239"/>
      <c r="O553" s="239"/>
      <c r="P553" s="260"/>
      <c r="Q553" s="260"/>
      <c r="R553" s="260"/>
      <c r="S553" s="260"/>
      <c r="T553" s="260"/>
      <c r="U553" s="260"/>
      <c r="V553" s="260"/>
      <c r="W553" s="260"/>
      <c r="X553" s="260"/>
      <c r="Y553" s="167"/>
      <c r="Z553" s="7"/>
    </row>
    <row r="554" spans="1:26" ht="15.75" customHeight="1">
      <c r="A554" s="177"/>
      <c r="B554" s="239"/>
      <c r="C554" s="260"/>
      <c r="D554" s="278"/>
      <c r="E554" s="260"/>
      <c r="F554" s="239"/>
      <c r="G554" s="239"/>
      <c r="H554" s="239"/>
      <c r="I554" s="239"/>
      <c r="J554" s="239"/>
      <c r="K554" s="239"/>
      <c r="L554" s="239"/>
      <c r="M554" s="239"/>
      <c r="N554" s="239"/>
      <c r="O554" s="239"/>
      <c r="P554" s="260"/>
      <c r="Q554" s="260"/>
      <c r="R554" s="260"/>
      <c r="S554" s="260"/>
      <c r="T554" s="260"/>
      <c r="U554" s="260"/>
      <c r="V554" s="260"/>
      <c r="W554" s="260"/>
      <c r="X554" s="260"/>
      <c r="Y554" s="167"/>
      <c r="Z554" s="7"/>
    </row>
    <row r="555" spans="1:26" ht="15.75" customHeight="1">
      <c r="A555" s="177"/>
      <c r="B555" s="239"/>
      <c r="C555" s="260"/>
      <c r="D555" s="278"/>
      <c r="E555" s="260"/>
      <c r="F555" s="239"/>
      <c r="G555" s="239"/>
      <c r="H555" s="239"/>
      <c r="I555" s="239"/>
      <c r="J555" s="239"/>
      <c r="K555" s="239"/>
      <c r="L555" s="239"/>
      <c r="M555" s="239"/>
      <c r="N555" s="239"/>
      <c r="O555" s="239"/>
      <c r="P555" s="260"/>
      <c r="Q555" s="260"/>
      <c r="R555" s="260"/>
      <c r="S555" s="260"/>
      <c r="T555" s="260"/>
      <c r="U555" s="260"/>
      <c r="V555" s="260"/>
      <c r="W555" s="260"/>
      <c r="X555" s="260"/>
      <c r="Y555" s="167"/>
      <c r="Z555" s="7"/>
    </row>
    <row r="556" spans="1:26" ht="15.75" customHeight="1">
      <c r="A556" s="177"/>
      <c r="B556" s="239"/>
      <c r="C556" s="260"/>
      <c r="D556" s="278"/>
      <c r="E556" s="260"/>
      <c r="F556" s="239"/>
      <c r="G556" s="239"/>
      <c r="H556" s="239"/>
      <c r="I556" s="239"/>
      <c r="J556" s="239"/>
      <c r="K556" s="239"/>
      <c r="L556" s="239"/>
      <c r="M556" s="239"/>
      <c r="N556" s="239"/>
      <c r="O556" s="239"/>
      <c r="P556" s="260"/>
      <c r="Q556" s="260"/>
      <c r="R556" s="260"/>
      <c r="S556" s="260"/>
      <c r="T556" s="260"/>
      <c r="U556" s="260"/>
      <c r="V556" s="260"/>
      <c r="W556" s="260"/>
      <c r="X556" s="260"/>
      <c r="Y556" s="167"/>
      <c r="Z556" s="7"/>
    </row>
    <row r="557" spans="1:26" ht="15.75" customHeight="1">
      <c r="A557" s="177"/>
      <c r="B557" s="239"/>
      <c r="C557" s="260"/>
      <c r="D557" s="278"/>
      <c r="E557" s="260"/>
      <c r="F557" s="239"/>
      <c r="G557" s="239"/>
      <c r="H557" s="239"/>
      <c r="I557" s="239"/>
      <c r="J557" s="239"/>
      <c r="K557" s="239"/>
      <c r="L557" s="239"/>
      <c r="M557" s="239"/>
      <c r="N557" s="239"/>
      <c r="O557" s="239"/>
      <c r="P557" s="260"/>
      <c r="Q557" s="260"/>
      <c r="R557" s="260"/>
      <c r="S557" s="260"/>
      <c r="T557" s="260"/>
      <c r="U557" s="260"/>
      <c r="V557" s="260"/>
      <c r="W557" s="260"/>
      <c r="X557" s="260"/>
      <c r="Y557" s="167"/>
      <c r="Z557" s="7"/>
    </row>
    <row r="558" spans="1:26" ht="15.75" customHeight="1">
      <c r="A558" s="177"/>
      <c r="B558" s="239"/>
      <c r="C558" s="260"/>
      <c r="D558" s="278"/>
      <c r="E558" s="260"/>
      <c r="F558" s="239"/>
      <c r="G558" s="239"/>
      <c r="H558" s="239"/>
      <c r="I558" s="239"/>
      <c r="J558" s="239"/>
      <c r="K558" s="239"/>
      <c r="L558" s="239"/>
      <c r="M558" s="239"/>
      <c r="N558" s="239"/>
      <c r="O558" s="239"/>
      <c r="P558" s="260"/>
      <c r="Q558" s="260"/>
      <c r="R558" s="260"/>
      <c r="S558" s="260"/>
      <c r="T558" s="260"/>
      <c r="U558" s="260"/>
      <c r="V558" s="260"/>
      <c r="W558" s="260"/>
      <c r="X558" s="260"/>
      <c r="Y558" s="167"/>
      <c r="Z558" s="7"/>
    </row>
    <row r="559" spans="1:26" ht="15.75" customHeight="1">
      <c r="A559" s="177"/>
      <c r="B559" s="239"/>
      <c r="C559" s="260"/>
      <c r="D559" s="278"/>
      <c r="E559" s="260"/>
      <c r="F559" s="239"/>
      <c r="G559" s="239"/>
      <c r="H559" s="239"/>
      <c r="I559" s="239"/>
      <c r="J559" s="239"/>
      <c r="K559" s="239"/>
      <c r="L559" s="239"/>
      <c r="M559" s="239"/>
      <c r="N559" s="239"/>
      <c r="O559" s="239"/>
      <c r="P559" s="260"/>
      <c r="Q559" s="260"/>
      <c r="R559" s="260"/>
      <c r="S559" s="260"/>
      <c r="T559" s="260"/>
      <c r="U559" s="260"/>
      <c r="V559" s="260"/>
      <c r="W559" s="260"/>
      <c r="X559" s="260"/>
      <c r="Y559" s="167"/>
      <c r="Z559" s="7"/>
    </row>
    <row r="560" spans="1:26" ht="15.75" customHeight="1">
      <c r="A560" s="177"/>
      <c r="B560" s="239"/>
      <c r="C560" s="260"/>
      <c r="D560" s="278"/>
      <c r="E560" s="260"/>
      <c r="F560" s="239"/>
      <c r="G560" s="239"/>
      <c r="H560" s="239"/>
      <c r="I560" s="239"/>
      <c r="J560" s="239"/>
      <c r="K560" s="239"/>
      <c r="L560" s="239"/>
      <c r="M560" s="239"/>
      <c r="N560" s="239"/>
      <c r="O560" s="239"/>
      <c r="P560" s="260"/>
      <c r="Q560" s="260"/>
      <c r="R560" s="260"/>
      <c r="S560" s="260"/>
      <c r="T560" s="260"/>
      <c r="U560" s="260"/>
      <c r="V560" s="260"/>
      <c r="W560" s="260"/>
      <c r="X560" s="260"/>
      <c r="Y560" s="167"/>
      <c r="Z560" s="7"/>
    </row>
    <row r="561" spans="1:26" ht="15.75" customHeight="1">
      <c r="A561" s="177"/>
      <c r="B561" s="239"/>
      <c r="C561" s="260"/>
      <c r="D561" s="278"/>
      <c r="E561" s="260"/>
      <c r="F561" s="239"/>
      <c r="G561" s="239"/>
      <c r="H561" s="239"/>
      <c r="I561" s="239"/>
      <c r="J561" s="239"/>
      <c r="K561" s="239"/>
      <c r="L561" s="239"/>
      <c r="M561" s="239"/>
      <c r="N561" s="239"/>
      <c r="O561" s="239"/>
      <c r="P561" s="260"/>
      <c r="Q561" s="260"/>
      <c r="R561" s="260"/>
      <c r="S561" s="260"/>
      <c r="T561" s="260"/>
      <c r="U561" s="260"/>
      <c r="V561" s="260"/>
      <c r="W561" s="260"/>
      <c r="X561" s="260"/>
      <c r="Y561" s="167"/>
      <c r="Z561" s="7"/>
    </row>
    <row r="562" spans="1:26" ht="15.75" customHeight="1">
      <c r="A562" s="177"/>
      <c r="B562" s="239"/>
      <c r="C562" s="260"/>
      <c r="D562" s="278"/>
      <c r="E562" s="260"/>
      <c r="F562" s="239"/>
      <c r="G562" s="239"/>
      <c r="H562" s="239"/>
      <c r="I562" s="239"/>
      <c r="J562" s="239"/>
      <c r="K562" s="239"/>
      <c r="L562" s="239"/>
      <c r="M562" s="239"/>
      <c r="N562" s="239"/>
      <c r="O562" s="239"/>
      <c r="P562" s="260"/>
      <c r="Q562" s="260"/>
      <c r="R562" s="260"/>
      <c r="S562" s="260"/>
      <c r="T562" s="260"/>
      <c r="U562" s="260"/>
      <c r="V562" s="260"/>
      <c r="W562" s="260"/>
      <c r="X562" s="260"/>
      <c r="Y562" s="167"/>
      <c r="Z562" s="7"/>
    </row>
    <row r="563" spans="1:26" ht="15.75" customHeight="1">
      <c r="A563" s="177"/>
      <c r="B563" s="239"/>
      <c r="C563" s="260"/>
      <c r="D563" s="278"/>
      <c r="E563" s="260"/>
      <c r="F563" s="239"/>
      <c r="G563" s="239"/>
      <c r="H563" s="239"/>
      <c r="I563" s="239"/>
      <c r="J563" s="239"/>
      <c r="K563" s="239"/>
      <c r="L563" s="239"/>
      <c r="M563" s="239"/>
      <c r="N563" s="239"/>
      <c r="O563" s="239"/>
      <c r="P563" s="260"/>
      <c r="Q563" s="260"/>
      <c r="R563" s="260"/>
      <c r="S563" s="260"/>
      <c r="T563" s="260"/>
      <c r="U563" s="260"/>
      <c r="V563" s="260"/>
      <c r="W563" s="260"/>
      <c r="X563" s="260"/>
      <c r="Y563" s="167"/>
      <c r="Z563" s="7"/>
    </row>
    <row r="564" spans="1:26" ht="15.75" customHeight="1">
      <c r="A564" s="177"/>
      <c r="B564" s="239"/>
      <c r="C564" s="260"/>
      <c r="D564" s="278"/>
      <c r="E564" s="260"/>
      <c r="F564" s="239"/>
      <c r="G564" s="239"/>
      <c r="H564" s="239"/>
      <c r="I564" s="239"/>
      <c r="J564" s="239"/>
      <c r="K564" s="239"/>
      <c r="L564" s="239"/>
      <c r="M564" s="239"/>
      <c r="N564" s="239"/>
      <c r="O564" s="239"/>
      <c r="P564" s="260"/>
      <c r="Q564" s="260"/>
      <c r="R564" s="260"/>
      <c r="S564" s="260"/>
      <c r="T564" s="260"/>
      <c r="U564" s="260"/>
      <c r="V564" s="260"/>
      <c r="W564" s="260"/>
      <c r="X564" s="260"/>
      <c r="Y564" s="167"/>
      <c r="Z564" s="7"/>
    </row>
    <row r="565" spans="1:26" ht="15.75" customHeight="1">
      <c r="A565" s="177"/>
      <c r="B565" s="239"/>
      <c r="C565" s="260"/>
      <c r="D565" s="278"/>
      <c r="E565" s="260"/>
      <c r="F565" s="239"/>
      <c r="G565" s="239"/>
      <c r="H565" s="239"/>
      <c r="I565" s="239"/>
      <c r="J565" s="239"/>
      <c r="K565" s="239"/>
      <c r="L565" s="239"/>
      <c r="M565" s="239"/>
      <c r="N565" s="239"/>
      <c r="O565" s="239"/>
      <c r="P565" s="260"/>
      <c r="Q565" s="260"/>
      <c r="R565" s="260"/>
      <c r="S565" s="260"/>
      <c r="T565" s="260"/>
      <c r="U565" s="260"/>
      <c r="V565" s="260"/>
      <c r="W565" s="260"/>
      <c r="X565" s="260"/>
      <c r="Y565" s="167"/>
      <c r="Z565" s="7"/>
    </row>
    <row r="566" spans="1:26" ht="15.75" customHeight="1">
      <c r="A566" s="177"/>
      <c r="B566" s="239"/>
      <c r="C566" s="260"/>
      <c r="D566" s="278"/>
      <c r="E566" s="260"/>
      <c r="F566" s="239"/>
      <c r="G566" s="239"/>
      <c r="H566" s="239"/>
      <c r="I566" s="239"/>
      <c r="J566" s="239"/>
      <c r="K566" s="239"/>
      <c r="L566" s="239"/>
      <c r="M566" s="239"/>
      <c r="N566" s="239"/>
      <c r="O566" s="239"/>
      <c r="P566" s="260"/>
      <c r="Q566" s="260"/>
      <c r="R566" s="260"/>
      <c r="S566" s="260"/>
      <c r="T566" s="260"/>
      <c r="U566" s="260"/>
      <c r="V566" s="260"/>
      <c r="W566" s="260"/>
      <c r="X566" s="260"/>
      <c r="Y566" s="167"/>
      <c r="Z566" s="7"/>
    </row>
    <row r="567" spans="1:26" ht="15.75" customHeight="1">
      <c r="A567" s="177"/>
      <c r="B567" s="239"/>
      <c r="C567" s="260"/>
      <c r="D567" s="278"/>
      <c r="E567" s="260"/>
      <c r="F567" s="239"/>
      <c r="G567" s="239"/>
      <c r="H567" s="239"/>
      <c r="I567" s="239"/>
      <c r="J567" s="239"/>
      <c r="K567" s="239"/>
      <c r="L567" s="239"/>
      <c r="M567" s="239"/>
      <c r="N567" s="239"/>
      <c r="O567" s="239"/>
      <c r="P567" s="260"/>
      <c r="Q567" s="260"/>
      <c r="R567" s="260"/>
      <c r="S567" s="260"/>
      <c r="T567" s="260"/>
      <c r="U567" s="260"/>
      <c r="V567" s="260"/>
      <c r="W567" s="260"/>
      <c r="X567" s="260"/>
      <c r="Y567" s="167"/>
      <c r="Z567" s="7"/>
    </row>
    <row r="568" spans="1:26" ht="15.75" customHeight="1">
      <c r="A568" s="177"/>
      <c r="B568" s="239"/>
      <c r="C568" s="260"/>
      <c r="D568" s="278"/>
      <c r="E568" s="260"/>
      <c r="F568" s="239"/>
      <c r="G568" s="239"/>
      <c r="H568" s="239"/>
      <c r="I568" s="239"/>
      <c r="J568" s="239"/>
      <c r="K568" s="239"/>
      <c r="L568" s="239"/>
      <c r="M568" s="239"/>
      <c r="N568" s="239"/>
      <c r="O568" s="239"/>
      <c r="P568" s="260"/>
      <c r="Q568" s="260"/>
      <c r="R568" s="260"/>
      <c r="S568" s="260"/>
      <c r="T568" s="260"/>
      <c r="U568" s="260"/>
      <c r="V568" s="260"/>
      <c r="W568" s="260"/>
      <c r="X568" s="260"/>
      <c r="Y568" s="167"/>
      <c r="Z568" s="7"/>
    </row>
    <row r="569" spans="1:26" ht="15.75" customHeight="1">
      <c r="A569" s="177"/>
      <c r="B569" s="239"/>
      <c r="C569" s="260"/>
      <c r="D569" s="278"/>
      <c r="E569" s="260"/>
      <c r="F569" s="239"/>
      <c r="G569" s="239"/>
      <c r="H569" s="239"/>
      <c r="I569" s="239"/>
      <c r="J569" s="239"/>
      <c r="K569" s="239"/>
      <c r="L569" s="239"/>
      <c r="M569" s="239"/>
      <c r="N569" s="239"/>
      <c r="O569" s="239"/>
      <c r="P569" s="260"/>
      <c r="Q569" s="260"/>
      <c r="R569" s="260"/>
      <c r="S569" s="260"/>
      <c r="T569" s="260"/>
      <c r="U569" s="260"/>
      <c r="V569" s="260"/>
      <c r="W569" s="260"/>
      <c r="X569" s="260"/>
      <c r="Y569" s="167"/>
      <c r="Z569" s="7"/>
    </row>
    <row r="570" spans="1:26" ht="15.75" customHeight="1">
      <c r="A570" s="177"/>
      <c r="B570" s="239"/>
      <c r="C570" s="260"/>
      <c r="D570" s="278"/>
      <c r="E570" s="260"/>
      <c r="F570" s="239"/>
      <c r="G570" s="239"/>
      <c r="H570" s="239"/>
      <c r="I570" s="239"/>
      <c r="J570" s="239"/>
      <c r="K570" s="239"/>
      <c r="L570" s="239"/>
      <c r="M570" s="239"/>
      <c r="N570" s="239"/>
      <c r="O570" s="239"/>
      <c r="P570" s="260"/>
      <c r="Q570" s="260"/>
      <c r="R570" s="260"/>
      <c r="S570" s="260"/>
      <c r="T570" s="260"/>
      <c r="U570" s="260"/>
      <c r="V570" s="260"/>
      <c r="W570" s="260"/>
      <c r="X570" s="260"/>
      <c r="Y570" s="167"/>
      <c r="Z570" s="7"/>
    </row>
    <row r="571" spans="1:26" ht="15.75" customHeight="1">
      <c r="A571" s="177"/>
      <c r="B571" s="239"/>
      <c r="C571" s="260"/>
      <c r="D571" s="278"/>
      <c r="E571" s="260"/>
      <c r="F571" s="239"/>
      <c r="G571" s="239"/>
      <c r="H571" s="239"/>
      <c r="I571" s="239"/>
      <c r="J571" s="239"/>
      <c r="K571" s="239"/>
      <c r="L571" s="239"/>
      <c r="M571" s="239"/>
      <c r="N571" s="239"/>
      <c r="O571" s="239"/>
      <c r="P571" s="260"/>
      <c r="Q571" s="260"/>
      <c r="R571" s="260"/>
      <c r="S571" s="260"/>
      <c r="T571" s="260"/>
      <c r="U571" s="260"/>
      <c r="V571" s="260"/>
      <c r="W571" s="260"/>
      <c r="X571" s="260"/>
      <c r="Y571" s="167"/>
      <c r="Z571" s="7"/>
    </row>
    <row r="572" spans="1:26" ht="15.75" customHeight="1">
      <c r="A572" s="177"/>
      <c r="B572" s="239"/>
      <c r="C572" s="260"/>
      <c r="D572" s="278"/>
      <c r="E572" s="260"/>
      <c r="F572" s="239"/>
      <c r="G572" s="239"/>
      <c r="H572" s="239"/>
      <c r="I572" s="239"/>
      <c r="J572" s="239"/>
      <c r="K572" s="239"/>
      <c r="L572" s="239"/>
      <c r="M572" s="239"/>
      <c r="N572" s="239"/>
      <c r="O572" s="239"/>
      <c r="P572" s="260"/>
      <c r="Q572" s="260"/>
      <c r="R572" s="260"/>
      <c r="S572" s="260"/>
      <c r="T572" s="260"/>
      <c r="U572" s="260"/>
      <c r="V572" s="260"/>
      <c r="W572" s="260"/>
      <c r="X572" s="260"/>
      <c r="Y572" s="167"/>
      <c r="Z572" s="7"/>
    </row>
    <row r="573" spans="1:26" ht="15.75" customHeight="1">
      <c r="A573" s="177"/>
      <c r="B573" s="239"/>
      <c r="C573" s="260"/>
      <c r="D573" s="278"/>
      <c r="E573" s="260"/>
      <c r="F573" s="239"/>
      <c r="G573" s="239"/>
      <c r="H573" s="239"/>
      <c r="I573" s="239"/>
      <c r="J573" s="239"/>
      <c r="K573" s="239"/>
      <c r="L573" s="239"/>
      <c r="M573" s="239"/>
      <c r="N573" s="239"/>
      <c r="O573" s="239"/>
      <c r="P573" s="260"/>
      <c r="Q573" s="260"/>
      <c r="R573" s="260"/>
      <c r="S573" s="260"/>
      <c r="T573" s="260"/>
      <c r="U573" s="260"/>
      <c r="V573" s="260"/>
      <c r="W573" s="260"/>
      <c r="X573" s="260"/>
      <c r="Y573" s="167"/>
      <c r="Z573" s="7"/>
    </row>
    <row r="574" spans="1:26" ht="15.75" customHeight="1">
      <c r="A574" s="177"/>
      <c r="B574" s="239"/>
      <c r="C574" s="260"/>
      <c r="D574" s="278"/>
      <c r="E574" s="260"/>
      <c r="F574" s="239"/>
      <c r="G574" s="239"/>
      <c r="H574" s="239"/>
      <c r="I574" s="239"/>
      <c r="J574" s="239"/>
      <c r="K574" s="239"/>
      <c r="L574" s="239"/>
      <c r="M574" s="239"/>
      <c r="N574" s="239"/>
      <c r="O574" s="239"/>
      <c r="P574" s="260"/>
      <c r="Q574" s="260"/>
      <c r="R574" s="260"/>
      <c r="S574" s="260"/>
      <c r="T574" s="260"/>
      <c r="U574" s="260"/>
      <c r="V574" s="260"/>
      <c r="W574" s="260"/>
      <c r="X574" s="260"/>
      <c r="Y574" s="167"/>
      <c r="Z574" s="7"/>
    </row>
    <row r="575" spans="1:26" ht="15.75" customHeight="1">
      <c r="A575" s="177"/>
      <c r="B575" s="239"/>
      <c r="C575" s="260"/>
      <c r="D575" s="278"/>
      <c r="E575" s="260"/>
      <c r="F575" s="239"/>
      <c r="G575" s="239"/>
      <c r="H575" s="239"/>
      <c r="I575" s="239"/>
      <c r="J575" s="239"/>
      <c r="K575" s="239"/>
      <c r="L575" s="239"/>
      <c r="M575" s="239"/>
      <c r="N575" s="239"/>
      <c r="O575" s="239"/>
      <c r="P575" s="260"/>
      <c r="Q575" s="260"/>
      <c r="R575" s="260"/>
      <c r="S575" s="260"/>
      <c r="T575" s="260"/>
      <c r="U575" s="260"/>
      <c r="V575" s="260"/>
      <c r="W575" s="260"/>
      <c r="X575" s="260"/>
      <c r="Y575" s="167"/>
      <c r="Z575" s="7"/>
    </row>
    <row r="576" spans="1:26" ht="15.75" customHeight="1">
      <c r="A576" s="177"/>
      <c r="B576" s="239"/>
      <c r="C576" s="260"/>
      <c r="D576" s="278"/>
      <c r="E576" s="260"/>
      <c r="F576" s="239"/>
      <c r="G576" s="239"/>
      <c r="H576" s="239"/>
      <c r="I576" s="239"/>
      <c r="J576" s="239"/>
      <c r="K576" s="239"/>
      <c r="L576" s="239"/>
      <c r="M576" s="239"/>
      <c r="N576" s="239"/>
      <c r="O576" s="239"/>
      <c r="P576" s="260"/>
      <c r="Q576" s="260"/>
      <c r="R576" s="260"/>
      <c r="S576" s="260"/>
      <c r="T576" s="260"/>
      <c r="U576" s="260"/>
      <c r="V576" s="260"/>
      <c r="W576" s="260"/>
      <c r="X576" s="260"/>
      <c r="Y576" s="167"/>
      <c r="Z576" s="7"/>
    </row>
    <row r="577" spans="1:26" ht="15.75" customHeight="1">
      <c r="A577" s="177"/>
      <c r="B577" s="239"/>
      <c r="C577" s="260"/>
      <c r="D577" s="278"/>
      <c r="E577" s="260"/>
      <c r="F577" s="239"/>
      <c r="G577" s="239"/>
      <c r="H577" s="239"/>
      <c r="I577" s="239"/>
      <c r="J577" s="239"/>
      <c r="K577" s="239"/>
      <c r="L577" s="239"/>
      <c r="M577" s="239"/>
      <c r="N577" s="239"/>
      <c r="O577" s="239"/>
      <c r="P577" s="260"/>
      <c r="Q577" s="260"/>
      <c r="R577" s="260"/>
      <c r="S577" s="260"/>
      <c r="T577" s="260"/>
      <c r="U577" s="260"/>
      <c r="V577" s="260"/>
      <c r="W577" s="260"/>
      <c r="X577" s="260"/>
      <c r="Y577" s="167"/>
      <c r="Z577" s="7"/>
    </row>
    <row r="578" spans="1:26" ht="15.75" customHeight="1">
      <c r="A578" s="177"/>
      <c r="B578" s="239"/>
      <c r="C578" s="260"/>
      <c r="D578" s="278"/>
      <c r="E578" s="260"/>
      <c r="F578" s="239"/>
      <c r="G578" s="239"/>
      <c r="H578" s="239"/>
      <c r="I578" s="239"/>
      <c r="J578" s="239"/>
      <c r="K578" s="239"/>
      <c r="L578" s="239"/>
      <c r="M578" s="239"/>
      <c r="N578" s="239"/>
      <c r="O578" s="239"/>
      <c r="P578" s="260"/>
      <c r="Q578" s="260"/>
      <c r="R578" s="260"/>
      <c r="S578" s="260"/>
      <c r="T578" s="260"/>
      <c r="U578" s="260"/>
      <c r="V578" s="260"/>
      <c r="W578" s="260"/>
      <c r="X578" s="260"/>
      <c r="Y578" s="167"/>
      <c r="Z578" s="7"/>
    </row>
    <row r="579" spans="1:26" ht="15.75" customHeight="1">
      <c r="A579" s="177"/>
      <c r="B579" s="239"/>
      <c r="C579" s="260"/>
      <c r="D579" s="278"/>
      <c r="E579" s="260"/>
      <c r="F579" s="239"/>
      <c r="G579" s="239"/>
      <c r="H579" s="239"/>
      <c r="I579" s="239"/>
      <c r="J579" s="239"/>
      <c r="K579" s="239"/>
      <c r="L579" s="239"/>
      <c r="M579" s="239"/>
      <c r="N579" s="239"/>
      <c r="O579" s="239"/>
      <c r="P579" s="260"/>
      <c r="Q579" s="260"/>
      <c r="R579" s="260"/>
      <c r="S579" s="260"/>
      <c r="T579" s="260"/>
      <c r="U579" s="260"/>
      <c r="V579" s="260"/>
      <c r="W579" s="260"/>
      <c r="X579" s="260"/>
      <c r="Y579" s="167"/>
      <c r="Z579" s="7"/>
    </row>
    <row r="580" spans="1:26" ht="15.75" customHeight="1">
      <c r="A580" s="177"/>
      <c r="B580" s="239"/>
      <c r="C580" s="260"/>
      <c r="D580" s="278"/>
      <c r="E580" s="260"/>
      <c r="F580" s="239"/>
      <c r="G580" s="239"/>
      <c r="H580" s="239"/>
      <c r="I580" s="239"/>
      <c r="J580" s="239"/>
      <c r="K580" s="239"/>
      <c r="L580" s="239"/>
      <c r="M580" s="239"/>
      <c r="N580" s="239"/>
      <c r="O580" s="239"/>
      <c r="P580" s="260"/>
      <c r="Q580" s="260"/>
      <c r="R580" s="260"/>
      <c r="S580" s="260"/>
      <c r="T580" s="260"/>
      <c r="U580" s="260"/>
      <c r="V580" s="260"/>
      <c r="W580" s="260"/>
      <c r="X580" s="260"/>
      <c r="Y580" s="167"/>
      <c r="Z580" s="7"/>
    </row>
    <row r="581" spans="1:26" ht="15.75" customHeight="1">
      <c r="A581" s="177"/>
      <c r="B581" s="239"/>
      <c r="C581" s="260"/>
      <c r="D581" s="278"/>
      <c r="E581" s="260"/>
      <c r="F581" s="239"/>
      <c r="G581" s="239"/>
      <c r="H581" s="239"/>
      <c r="I581" s="239"/>
      <c r="J581" s="239"/>
      <c r="K581" s="239"/>
      <c r="L581" s="239"/>
      <c r="M581" s="239"/>
      <c r="N581" s="239"/>
      <c r="O581" s="239"/>
      <c r="P581" s="260"/>
      <c r="Q581" s="260"/>
      <c r="R581" s="260"/>
      <c r="S581" s="260"/>
      <c r="T581" s="260"/>
      <c r="U581" s="260"/>
      <c r="V581" s="260"/>
      <c r="W581" s="260"/>
      <c r="X581" s="260"/>
      <c r="Y581" s="167"/>
      <c r="Z581" s="7"/>
    </row>
    <row r="582" spans="1:26" ht="15.75" customHeight="1">
      <c r="A582" s="177"/>
      <c r="B582" s="239"/>
      <c r="C582" s="260"/>
      <c r="D582" s="278"/>
      <c r="E582" s="260"/>
      <c r="F582" s="239"/>
      <c r="G582" s="239"/>
      <c r="H582" s="239"/>
      <c r="I582" s="239"/>
      <c r="J582" s="239"/>
      <c r="K582" s="239"/>
      <c r="L582" s="239"/>
      <c r="M582" s="239"/>
      <c r="N582" s="239"/>
      <c r="O582" s="239"/>
      <c r="P582" s="260"/>
      <c r="Q582" s="260"/>
      <c r="R582" s="260"/>
      <c r="S582" s="260"/>
      <c r="T582" s="260"/>
      <c r="U582" s="260"/>
      <c r="V582" s="260"/>
      <c r="W582" s="260"/>
      <c r="X582" s="260"/>
      <c r="Y582" s="167"/>
      <c r="Z582" s="7"/>
    </row>
    <row r="583" spans="1:26" ht="15.75" customHeight="1">
      <c r="A583" s="177"/>
      <c r="B583" s="239"/>
      <c r="C583" s="260"/>
      <c r="D583" s="278"/>
      <c r="E583" s="260"/>
      <c r="F583" s="239"/>
      <c r="G583" s="239"/>
      <c r="H583" s="239"/>
      <c r="I583" s="239"/>
      <c r="J583" s="239"/>
      <c r="K583" s="239"/>
      <c r="L583" s="239"/>
      <c r="M583" s="239"/>
      <c r="N583" s="239"/>
      <c r="O583" s="239"/>
      <c r="P583" s="260"/>
      <c r="Q583" s="260"/>
      <c r="R583" s="260"/>
      <c r="S583" s="260"/>
      <c r="T583" s="260"/>
      <c r="U583" s="260"/>
      <c r="V583" s="260"/>
      <c r="W583" s="260"/>
      <c r="X583" s="260"/>
      <c r="Y583" s="167"/>
      <c r="Z583" s="7"/>
    </row>
    <row r="584" spans="1:26" ht="15.75" customHeight="1">
      <c r="A584" s="177"/>
      <c r="B584" s="239"/>
      <c r="C584" s="260"/>
      <c r="D584" s="278"/>
      <c r="E584" s="260"/>
      <c r="F584" s="239"/>
      <c r="G584" s="239"/>
      <c r="H584" s="239"/>
      <c r="I584" s="239"/>
      <c r="J584" s="239"/>
      <c r="K584" s="239"/>
      <c r="L584" s="239"/>
      <c r="M584" s="239"/>
      <c r="N584" s="239"/>
      <c r="O584" s="239"/>
      <c r="P584" s="260"/>
      <c r="Q584" s="260"/>
      <c r="R584" s="260"/>
      <c r="S584" s="260"/>
      <c r="T584" s="260"/>
      <c r="U584" s="260"/>
      <c r="V584" s="260"/>
      <c r="W584" s="260"/>
      <c r="X584" s="260"/>
      <c r="Y584" s="167"/>
      <c r="Z584" s="7"/>
    </row>
    <row r="585" spans="1:26" ht="15.75" customHeight="1">
      <c r="A585" s="177"/>
      <c r="B585" s="239"/>
      <c r="C585" s="260"/>
      <c r="D585" s="278"/>
      <c r="E585" s="260"/>
      <c r="F585" s="239"/>
      <c r="G585" s="239"/>
      <c r="H585" s="239"/>
      <c r="I585" s="239"/>
      <c r="J585" s="239"/>
      <c r="K585" s="239"/>
      <c r="L585" s="239"/>
      <c r="M585" s="239"/>
      <c r="N585" s="239"/>
      <c r="O585" s="239"/>
      <c r="P585" s="260"/>
      <c r="Q585" s="260"/>
      <c r="R585" s="260"/>
      <c r="S585" s="260"/>
      <c r="T585" s="260"/>
      <c r="U585" s="260"/>
      <c r="V585" s="260"/>
      <c r="W585" s="260"/>
      <c r="X585" s="260"/>
      <c r="Y585" s="167"/>
      <c r="Z585" s="7"/>
    </row>
    <row r="586" spans="1:26" ht="15.75" customHeight="1">
      <c r="A586" s="177"/>
      <c r="B586" s="239"/>
      <c r="C586" s="260"/>
      <c r="D586" s="278"/>
      <c r="E586" s="260"/>
      <c r="F586" s="239"/>
      <c r="G586" s="239"/>
      <c r="H586" s="239"/>
      <c r="I586" s="239"/>
      <c r="J586" s="239"/>
      <c r="K586" s="239"/>
      <c r="L586" s="239"/>
      <c r="M586" s="239"/>
      <c r="N586" s="239"/>
      <c r="O586" s="239"/>
      <c r="P586" s="260"/>
      <c r="Q586" s="260"/>
      <c r="R586" s="260"/>
      <c r="S586" s="260"/>
      <c r="T586" s="260"/>
      <c r="U586" s="260"/>
      <c r="V586" s="260"/>
      <c r="W586" s="260"/>
      <c r="X586" s="260"/>
      <c r="Y586" s="167"/>
      <c r="Z586" s="7"/>
    </row>
    <row r="587" spans="1:26" ht="15.75" customHeight="1">
      <c r="A587" s="177"/>
      <c r="B587" s="239"/>
      <c r="C587" s="260"/>
      <c r="D587" s="278"/>
      <c r="E587" s="260"/>
      <c r="F587" s="239"/>
      <c r="G587" s="239"/>
      <c r="H587" s="239"/>
      <c r="I587" s="239"/>
      <c r="J587" s="239"/>
      <c r="K587" s="239"/>
      <c r="L587" s="239"/>
      <c r="M587" s="239"/>
      <c r="N587" s="239"/>
      <c r="O587" s="239"/>
      <c r="P587" s="260"/>
      <c r="Q587" s="260"/>
      <c r="R587" s="260"/>
      <c r="S587" s="260"/>
      <c r="T587" s="260"/>
      <c r="U587" s="260"/>
      <c r="V587" s="260"/>
      <c r="W587" s="260"/>
      <c r="X587" s="260"/>
      <c r="Y587" s="167"/>
      <c r="Z587" s="7"/>
    </row>
    <row r="588" spans="1:26" ht="15.75" customHeight="1">
      <c r="A588" s="177"/>
      <c r="B588" s="239"/>
      <c r="C588" s="260"/>
      <c r="D588" s="278"/>
      <c r="E588" s="260"/>
      <c r="F588" s="239"/>
      <c r="G588" s="239"/>
      <c r="H588" s="239"/>
      <c r="I588" s="239"/>
      <c r="J588" s="239"/>
      <c r="K588" s="239"/>
      <c r="L588" s="239"/>
      <c r="M588" s="239"/>
      <c r="N588" s="239"/>
      <c r="O588" s="239"/>
      <c r="P588" s="260"/>
      <c r="Q588" s="260"/>
      <c r="R588" s="260"/>
      <c r="S588" s="260"/>
      <c r="T588" s="260"/>
      <c r="U588" s="260"/>
      <c r="V588" s="260"/>
      <c r="W588" s="260"/>
      <c r="X588" s="260"/>
      <c r="Y588" s="167"/>
      <c r="Z588" s="7"/>
    </row>
    <row r="589" spans="1:26" ht="15.75" customHeight="1">
      <c r="A589" s="177"/>
      <c r="B589" s="239"/>
      <c r="C589" s="260"/>
      <c r="D589" s="278"/>
      <c r="E589" s="260"/>
      <c r="F589" s="239"/>
      <c r="G589" s="239"/>
      <c r="H589" s="239"/>
      <c r="I589" s="239"/>
      <c r="J589" s="239"/>
      <c r="K589" s="239"/>
      <c r="L589" s="239"/>
      <c r="M589" s="239"/>
      <c r="N589" s="239"/>
      <c r="O589" s="239"/>
      <c r="P589" s="260"/>
      <c r="Q589" s="260"/>
      <c r="R589" s="260"/>
      <c r="S589" s="260"/>
      <c r="T589" s="260"/>
      <c r="U589" s="260"/>
      <c r="V589" s="260"/>
      <c r="W589" s="260"/>
      <c r="X589" s="260"/>
      <c r="Y589" s="167"/>
      <c r="Z589" s="7"/>
    </row>
    <row r="590" spans="1:26" ht="15.75" customHeight="1">
      <c r="A590" s="177"/>
      <c r="B590" s="239"/>
      <c r="C590" s="260"/>
      <c r="D590" s="278"/>
      <c r="E590" s="260"/>
      <c r="F590" s="239"/>
      <c r="G590" s="239"/>
      <c r="H590" s="239"/>
      <c r="I590" s="239"/>
      <c r="J590" s="239"/>
      <c r="K590" s="239"/>
      <c r="L590" s="239"/>
      <c r="M590" s="239"/>
      <c r="N590" s="239"/>
      <c r="O590" s="239"/>
      <c r="P590" s="260"/>
      <c r="Q590" s="260"/>
      <c r="R590" s="260"/>
      <c r="S590" s="260"/>
      <c r="T590" s="260"/>
      <c r="U590" s="260"/>
      <c r="V590" s="260"/>
      <c r="W590" s="260"/>
      <c r="X590" s="260"/>
      <c r="Y590" s="167"/>
      <c r="Z590" s="7"/>
    </row>
    <row r="591" spans="1:26" ht="15.75" customHeight="1">
      <c r="A591" s="177"/>
      <c r="B591" s="239"/>
      <c r="C591" s="260"/>
      <c r="D591" s="278"/>
      <c r="E591" s="260"/>
      <c r="F591" s="239"/>
      <c r="G591" s="239"/>
      <c r="H591" s="239"/>
      <c r="I591" s="239"/>
      <c r="J591" s="239"/>
      <c r="K591" s="239"/>
      <c r="L591" s="239"/>
      <c r="M591" s="239"/>
      <c r="N591" s="239"/>
      <c r="O591" s="239"/>
      <c r="P591" s="260"/>
      <c r="Q591" s="260"/>
      <c r="R591" s="260"/>
      <c r="S591" s="260"/>
      <c r="T591" s="260"/>
      <c r="U591" s="260"/>
      <c r="V591" s="260"/>
      <c r="W591" s="260"/>
      <c r="X591" s="260"/>
      <c r="Y591" s="167"/>
      <c r="Z591" s="7"/>
    </row>
    <row r="592" spans="1:26" ht="15.75" customHeight="1">
      <c r="A592" s="177"/>
      <c r="B592" s="239"/>
      <c r="C592" s="260"/>
      <c r="D592" s="278"/>
      <c r="E592" s="260"/>
      <c r="F592" s="239"/>
      <c r="G592" s="239"/>
      <c r="H592" s="239"/>
      <c r="I592" s="239"/>
      <c r="J592" s="239"/>
      <c r="K592" s="239"/>
      <c r="L592" s="239"/>
      <c r="M592" s="239"/>
      <c r="N592" s="239"/>
      <c r="O592" s="239"/>
      <c r="P592" s="260"/>
      <c r="Q592" s="260"/>
      <c r="R592" s="260"/>
      <c r="S592" s="260"/>
      <c r="T592" s="260"/>
      <c r="U592" s="260"/>
      <c r="V592" s="260"/>
      <c r="W592" s="260"/>
      <c r="X592" s="260"/>
      <c r="Y592" s="167"/>
      <c r="Z592" s="7"/>
    </row>
    <row r="593" spans="1:26" ht="15.75" customHeight="1">
      <c r="A593" s="177"/>
      <c r="B593" s="239"/>
      <c r="C593" s="260"/>
      <c r="D593" s="278"/>
      <c r="E593" s="260"/>
      <c r="F593" s="239"/>
      <c r="G593" s="239"/>
      <c r="H593" s="239"/>
      <c r="I593" s="239"/>
      <c r="J593" s="239"/>
      <c r="K593" s="239"/>
      <c r="L593" s="239"/>
      <c r="M593" s="239"/>
      <c r="N593" s="239"/>
      <c r="O593" s="239"/>
      <c r="P593" s="260"/>
      <c r="Q593" s="260"/>
      <c r="R593" s="260"/>
      <c r="S593" s="260"/>
      <c r="T593" s="260"/>
      <c r="U593" s="260"/>
      <c r="V593" s="260"/>
      <c r="W593" s="260"/>
      <c r="X593" s="260"/>
      <c r="Y593" s="167"/>
      <c r="Z593" s="7"/>
    </row>
    <row r="594" spans="1:26" ht="15.75" customHeight="1">
      <c r="A594" s="177"/>
      <c r="B594" s="239"/>
      <c r="C594" s="260"/>
      <c r="D594" s="278"/>
      <c r="E594" s="260"/>
      <c r="F594" s="239"/>
      <c r="G594" s="239"/>
      <c r="H594" s="239"/>
      <c r="I594" s="239"/>
      <c r="J594" s="239"/>
      <c r="K594" s="239"/>
      <c r="L594" s="239"/>
      <c r="M594" s="239"/>
      <c r="N594" s="239"/>
      <c r="O594" s="239"/>
      <c r="P594" s="260"/>
      <c r="Q594" s="260"/>
      <c r="R594" s="260"/>
      <c r="S594" s="260"/>
      <c r="T594" s="260"/>
      <c r="U594" s="260"/>
      <c r="V594" s="260"/>
      <c r="W594" s="260"/>
      <c r="X594" s="260"/>
      <c r="Y594" s="167"/>
      <c r="Z594" s="7"/>
    </row>
    <row r="595" spans="1:26" ht="15.75" customHeight="1">
      <c r="A595" s="177"/>
      <c r="B595" s="239"/>
      <c r="C595" s="260"/>
      <c r="D595" s="278"/>
      <c r="E595" s="260"/>
      <c r="F595" s="239"/>
      <c r="G595" s="239"/>
      <c r="H595" s="239"/>
      <c r="I595" s="239"/>
      <c r="J595" s="239"/>
      <c r="K595" s="239"/>
      <c r="L595" s="239"/>
      <c r="M595" s="239"/>
      <c r="N595" s="239"/>
      <c r="O595" s="239"/>
      <c r="P595" s="260"/>
      <c r="Q595" s="260"/>
      <c r="R595" s="260"/>
      <c r="S595" s="260"/>
      <c r="T595" s="260"/>
      <c r="U595" s="260"/>
      <c r="V595" s="260"/>
      <c r="W595" s="260"/>
      <c r="X595" s="260"/>
      <c r="Y595" s="167"/>
      <c r="Z595" s="7"/>
    </row>
    <row r="596" spans="1:26" ht="15.75" customHeight="1">
      <c r="A596" s="177"/>
      <c r="B596" s="239"/>
      <c r="C596" s="260"/>
      <c r="D596" s="278"/>
      <c r="E596" s="260"/>
      <c r="F596" s="239"/>
      <c r="G596" s="239"/>
      <c r="H596" s="239"/>
      <c r="I596" s="239"/>
      <c r="J596" s="239"/>
      <c r="K596" s="239"/>
      <c r="L596" s="239"/>
      <c r="M596" s="239"/>
      <c r="N596" s="239"/>
      <c r="O596" s="239"/>
      <c r="P596" s="260"/>
      <c r="Q596" s="260"/>
      <c r="R596" s="260"/>
      <c r="S596" s="260"/>
      <c r="T596" s="260"/>
      <c r="U596" s="260"/>
      <c r="V596" s="260"/>
      <c r="W596" s="260"/>
      <c r="X596" s="260"/>
      <c r="Y596" s="167"/>
      <c r="Z596" s="7"/>
    </row>
    <row r="597" spans="1:26" ht="15.75" customHeight="1">
      <c r="A597" s="177"/>
      <c r="B597" s="239"/>
      <c r="C597" s="260"/>
      <c r="D597" s="278"/>
      <c r="E597" s="260"/>
      <c r="F597" s="239"/>
      <c r="G597" s="239"/>
      <c r="H597" s="239"/>
      <c r="I597" s="239"/>
      <c r="J597" s="239"/>
      <c r="K597" s="239"/>
      <c r="L597" s="239"/>
      <c r="M597" s="239"/>
      <c r="N597" s="239"/>
      <c r="O597" s="239"/>
      <c r="P597" s="260"/>
      <c r="Q597" s="260"/>
      <c r="R597" s="260"/>
      <c r="S597" s="260"/>
      <c r="T597" s="260"/>
      <c r="U597" s="260"/>
      <c r="V597" s="260"/>
      <c r="W597" s="260"/>
      <c r="X597" s="260"/>
      <c r="Y597" s="167"/>
      <c r="Z597" s="7"/>
    </row>
    <row r="598" spans="1:26" ht="15.75" customHeight="1">
      <c r="A598" s="177"/>
      <c r="B598" s="239"/>
      <c r="C598" s="260"/>
      <c r="D598" s="278"/>
      <c r="E598" s="260"/>
      <c r="F598" s="239"/>
      <c r="G598" s="239"/>
      <c r="H598" s="239"/>
      <c r="I598" s="239"/>
      <c r="J598" s="239"/>
      <c r="K598" s="239"/>
      <c r="L598" s="239"/>
      <c r="M598" s="239"/>
      <c r="N598" s="239"/>
      <c r="O598" s="239"/>
      <c r="P598" s="260"/>
      <c r="Q598" s="260"/>
      <c r="R598" s="260"/>
      <c r="S598" s="260"/>
      <c r="T598" s="260"/>
      <c r="U598" s="260"/>
      <c r="V598" s="260"/>
      <c r="W598" s="260"/>
      <c r="X598" s="260"/>
      <c r="Y598" s="167"/>
      <c r="Z598" s="7"/>
    </row>
    <row r="599" spans="1:26" ht="15.75" customHeight="1">
      <c r="A599" s="177"/>
      <c r="B599" s="239"/>
      <c r="C599" s="260"/>
      <c r="D599" s="278"/>
      <c r="E599" s="260"/>
      <c r="F599" s="239"/>
      <c r="G599" s="239"/>
      <c r="H599" s="239"/>
      <c r="I599" s="239"/>
      <c r="J599" s="239"/>
      <c r="K599" s="239"/>
      <c r="L599" s="239"/>
      <c r="M599" s="239"/>
      <c r="N599" s="239"/>
      <c r="O599" s="239"/>
      <c r="P599" s="260"/>
      <c r="Q599" s="260"/>
      <c r="R599" s="260"/>
      <c r="S599" s="260"/>
      <c r="T599" s="260"/>
      <c r="U599" s="260"/>
      <c r="V599" s="260"/>
      <c r="W599" s="260"/>
      <c r="X599" s="260"/>
      <c r="Y599" s="167"/>
      <c r="Z599" s="7"/>
    </row>
    <row r="600" spans="1:26" ht="15.75" customHeight="1">
      <c r="A600" s="177"/>
      <c r="B600" s="239"/>
      <c r="C600" s="260"/>
      <c r="D600" s="278"/>
      <c r="E600" s="260"/>
      <c r="F600" s="239"/>
      <c r="G600" s="239"/>
      <c r="H600" s="239"/>
      <c r="I600" s="239"/>
      <c r="J600" s="239"/>
      <c r="K600" s="239"/>
      <c r="L600" s="239"/>
      <c r="M600" s="239"/>
      <c r="N600" s="239"/>
      <c r="O600" s="239"/>
      <c r="P600" s="260"/>
      <c r="Q600" s="260"/>
      <c r="R600" s="260"/>
      <c r="S600" s="260"/>
      <c r="T600" s="260"/>
      <c r="U600" s="260"/>
      <c r="V600" s="260"/>
      <c r="W600" s="260"/>
      <c r="X600" s="260"/>
      <c r="Y600" s="167"/>
      <c r="Z600" s="7"/>
    </row>
    <row r="601" spans="1:26" ht="15.75" customHeight="1">
      <c r="A601" s="177"/>
      <c r="B601" s="239"/>
      <c r="C601" s="260"/>
      <c r="D601" s="278"/>
      <c r="E601" s="260"/>
      <c r="F601" s="239"/>
      <c r="G601" s="239"/>
      <c r="H601" s="239"/>
      <c r="I601" s="239"/>
      <c r="J601" s="239"/>
      <c r="K601" s="239"/>
      <c r="L601" s="239"/>
      <c r="M601" s="239"/>
      <c r="N601" s="239"/>
      <c r="O601" s="239"/>
      <c r="P601" s="260"/>
      <c r="Q601" s="260"/>
      <c r="R601" s="260"/>
      <c r="S601" s="260"/>
      <c r="T601" s="260"/>
      <c r="U601" s="260"/>
      <c r="V601" s="260"/>
      <c r="W601" s="260"/>
      <c r="X601" s="260"/>
      <c r="Y601" s="167"/>
      <c r="Z601" s="7"/>
    </row>
    <row r="602" spans="1:26" ht="15.75" customHeight="1">
      <c r="A602" s="177"/>
      <c r="B602" s="239"/>
      <c r="C602" s="260"/>
      <c r="D602" s="278"/>
      <c r="E602" s="260"/>
      <c r="F602" s="239"/>
      <c r="G602" s="239"/>
      <c r="H602" s="239"/>
      <c r="I602" s="239"/>
      <c r="J602" s="239"/>
      <c r="K602" s="239"/>
      <c r="L602" s="239"/>
      <c r="M602" s="239"/>
      <c r="N602" s="239"/>
      <c r="O602" s="239"/>
      <c r="P602" s="260"/>
      <c r="Q602" s="260"/>
      <c r="R602" s="260"/>
      <c r="S602" s="260"/>
      <c r="T602" s="260"/>
      <c r="U602" s="260"/>
      <c r="V602" s="260"/>
      <c r="W602" s="260"/>
      <c r="X602" s="260"/>
      <c r="Y602" s="167"/>
      <c r="Z602" s="7"/>
    </row>
    <row r="603" spans="1:26" ht="15.75" customHeight="1">
      <c r="A603" s="177"/>
      <c r="B603" s="239"/>
      <c r="C603" s="260"/>
      <c r="D603" s="278"/>
      <c r="E603" s="260"/>
      <c r="F603" s="239"/>
      <c r="G603" s="239"/>
      <c r="H603" s="239"/>
      <c r="I603" s="239"/>
      <c r="J603" s="239"/>
      <c r="K603" s="239"/>
      <c r="L603" s="239"/>
      <c r="M603" s="239"/>
      <c r="N603" s="239"/>
      <c r="O603" s="239"/>
      <c r="P603" s="260"/>
      <c r="Q603" s="260"/>
      <c r="R603" s="260"/>
      <c r="S603" s="260"/>
      <c r="T603" s="260"/>
      <c r="U603" s="260"/>
      <c r="V603" s="260"/>
      <c r="W603" s="260"/>
      <c r="X603" s="260"/>
      <c r="Y603" s="167"/>
      <c r="Z603" s="7"/>
    </row>
    <row r="604" spans="1:26" ht="15.75" customHeight="1">
      <c r="A604" s="177"/>
      <c r="B604" s="239"/>
      <c r="C604" s="260"/>
      <c r="D604" s="278"/>
      <c r="E604" s="260"/>
      <c r="F604" s="239"/>
      <c r="G604" s="239"/>
      <c r="H604" s="239"/>
      <c r="I604" s="239"/>
      <c r="J604" s="239"/>
      <c r="K604" s="239"/>
      <c r="L604" s="239"/>
      <c r="M604" s="239"/>
      <c r="N604" s="239"/>
      <c r="O604" s="239"/>
      <c r="P604" s="260"/>
      <c r="Q604" s="260"/>
      <c r="R604" s="260"/>
      <c r="S604" s="260"/>
      <c r="T604" s="260"/>
      <c r="U604" s="260"/>
      <c r="V604" s="260"/>
      <c r="W604" s="260"/>
      <c r="X604" s="260"/>
      <c r="Y604" s="167"/>
      <c r="Z604" s="7"/>
    </row>
    <row r="605" spans="1:26" ht="15.75" customHeight="1">
      <c r="A605" s="177"/>
      <c r="B605" s="239"/>
      <c r="C605" s="260"/>
      <c r="D605" s="278"/>
      <c r="E605" s="260"/>
      <c r="F605" s="239"/>
      <c r="G605" s="239"/>
      <c r="H605" s="239"/>
      <c r="I605" s="239"/>
      <c r="J605" s="239"/>
      <c r="K605" s="239"/>
      <c r="L605" s="239"/>
      <c r="M605" s="239"/>
      <c r="N605" s="239"/>
      <c r="O605" s="239"/>
      <c r="P605" s="260"/>
      <c r="Q605" s="260"/>
      <c r="R605" s="260"/>
      <c r="S605" s="260"/>
      <c r="T605" s="260"/>
      <c r="U605" s="260"/>
      <c r="V605" s="260"/>
      <c r="W605" s="260"/>
      <c r="X605" s="260"/>
      <c r="Y605" s="167"/>
      <c r="Z605" s="7"/>
    </row>
    <row r="606" spans="1:26" ht="15.75" customHeight="1">
      <c r="A606" s="177"/>
      <c r="B606" s="239"/>
      <c r="C606" s="260"/>
      <c r="D606" s="278"/>
      <c r="E606" s="260"/>
      <c r="F606" s="239"/>
      <c r="G606" s="239"/>
      <c r="H606" s="239"/>
      <c r="I606" s="239"/>
      <c r="J606" s="239"/>
      <c r="K606" s="239"/>
      <c r="L606" s="239"/>
      <c r="M606" s="239"/>
      <c r="N606" s="239"/>
      <c r="O606" s="239"/>
      <c r="P606" s="260"/>
      <c r="Q606" s="260"/>
      <c r="R606" s="260"/>
      <c r="S606" s="260"/>
      <c r="T606" s="260"/>
      <c r="U606" s="260"/>
      <c r="V606" s="260"/>
      <c r="W606" s="260"/>
      <c r="X606" s="260"/>
      <c r="Y606" s="167"/>
      <c r="Z606" s="7"/>
    </row>
    <row r="607" spans="1:26" ht="15.75" customHeight="1">
      <c r="A607" s="177"/>
      <c r="B607" s="239"/>
      <c r="C607" s="260"/>
      <c r="D607" s="278"/>
      <c r="E607" s="260"/>
      <c r="F607" s="239"/>
      <c r="G607" s="239"/>
      <c r="H607" s="239"/>
      <c r="I607" s="239"/>
      <c r="J607" s="239"/>
      <c r="K607" s="239"/>
      <c r="L607" s="239"/>
      <c r="M607" s="239"/>
      <c r="N607" s="239"/>
      <c r="O607" s="239"/>
      <c r="P607" s="260"/>
      <c r="Q607" s="260"/>
      <c r="R607" s="260"/>
      <c r="S607" s="260"/>
      <c r="T607" s="260"/>
      <c r="U607" s="260"/>
      <c r="V607" s="260"/>
      <c r="W607" s="260"/>
      <c r="X607" s="260"/>
      <c r="Y607" s="167"/>
      <c r="Z607" s="7"/>
    </row>
    <row r="608" spans="1:26" ht="15.75" customHeight="1">
      <c r="A608" s="177"/>
      <c r="B608" s="239"/>
      <c r="C608" s="260"/>
      <c r="D608" s="278"/>
      <c r="E608" s="260"/>
      <c r="F608" s="239"/>
      <c r="G608" s="239"/>
      <c r="H608" s="239"/>
      <c r="I608" s="239"/>
      <c r="J608" s="239"/>
      <c r="K608" s="239"/>
      <c r="L608" s="239"/>
      <c r="M608" s="239"/>
      <c r="N608" s="239"/>
      <c r="O608" s="239"/>
      <c r="P608" s="260"/>
      <c r="Q608" s="260"/>
      <c r="R608" s="260"/>
      <c r="S608" s="260"/>
      <c r="T608" s="260"/>
      <c r="U608" s="260"/>
      <c r="V608" s="260"/>
      <c r="W608" s="260"/>
      <c r="X608" s="260"/>
      <c r="Y608" s="167"/>
      <c r="Z608" s="7"/>
    </row>
    <row r="609" spans="1:26" ht="15.75" customHeight="1">
      <c r="A609" s="177"/>
      <c r="B609" s="239"/>
      <c r="C609" s="260"/>
      <c r="D609" s="278"/>
      <c r="E609" s="260"/>
      <c r="F609" s="239"/>
      <c r="G609" s="239"/>
      <c r="H609" s="239"/>
      <c r="I609" s="239"/>
      <c r="J609" s="239"/>
      <c r="K609" s="239"/>
      <c r="L609" s="239"/>
      <c r="M609" s="239"/>
      <c r="N609" s="239"/>
      <c r="O609" s="239"/>
      <c r="P609" s="260"/>
      <c r="Q609" s="260"/>
      <c r="R609" s="260"/>
      <c r="S609" s="260"/>
      <c r="T609" s="260"/>
      <c r="U609" s="260"/>
      <c r="V609" s="260"/>
      <c r="W609" s="260"/>
      <c r="X609" s="260"/>
      <c r="Y609" s="167"/>
      <c r="Z609" s="7"/>
    </row>
    <row r="610" spans="1:26" ht="15.75" customHeight="1">
      <c r="A610" s="177"/>
      <c r="B610" s="239"/>
      <c r="C610" s="260"/>
      <c r="D610" s="278"/>
      <c r="E610" s="260"/>
      <c r="F610" s="239"/>
      <c r="G610" s="239"/>
      <c r="H610" s="239"/>
      <c r="I610" s="239"/>
      <c r="J610" s="239"/>
      <c r="K610" s="239"/>
      <c r="L610" s="239"/>
      <c r="M610" s="239"/>
      <c r="N610" s="239"/>
      <c r="O610" s="239"/>
      <c r="P610" s="260"/>
      <c r="Q610" s="260"/>
      <c r="R610" s="260"/>
      <c r="S610" s="260"/>
      <c r="T610" s="260"/>
      <c r="U610" s="260"/>
      <c r="V610" s="260"/>
      <c r="W610" s="260"/>
      <c r="X610" s="260"/>
      <c r="Y610" s="167"/>
      <c r="Z610" s="7"/>
    </row>
    <row r="611" spans="1:26" ht="15.75" customHeight="1">
      <c r="A611" s="177"/>
      <c r="B611" s="239"/>
      <c r="C611" s="260"/>
      <c r="D611" s="278"/>
      <c r="E611" s="260"/>
      <c r="F611" s="239"/>
      <c r="G611" s="239"/>
      <c r="H611" s="239"/>
      <c r="I611" s="239"/>
      <c r="J611" s="239"/>
      <c r="K611" s="239"/>
      <c r="L611" s="239"/>
      <c r="M611" s="239"/>
      <c r="N611" s="239"/>
      <c r="O611" s="239"/>
      <c r="P611" s="260"/>
      <c r="Q611" s="260"/>
      <c r="R611" s="260"/>
      <c r="S611" s="260"/>
      <c r="T611" s="260"/>
      <c r="U611" s="260"/>
      <c r="V611" s="260"/>
      <c r="W611" s="260"/>
      <c r="X611" s="260"/>
      <c r="Y611" s="167"/>
      <c r="Z611" s="7"/>
    </row>
    <row r="612" spans="1:26" ht="15.75" customHeight="1">
      <c r="A612" s="177"/>
      <c r="B612" s="239"/>
      <c r="C612" s="260"/>
      <c r="D612" s="278"/>
      <c r="E612" s="260"/>
      <c r="F612" s="239"/>
      <c r="G612" s="239"/>
      <c r="H612" s="239"/>
      <c r="I612" s="239"/>
      <c r="J612" s="239"/>
      <c r="K612" s="239"/>
      <c r="L612" s="239"/>
      <c r="M612" s="239"/>
      <c r="N612" s="239"/>
      <c r="O612" s="239"/>
      <c r="P612" s="260"/>
      <c r="Q612" s="260"/>
      <c r="R612" s="260"/>
      <c r="S612" s="260"/>
      <c r="T612" s="260"/>
      <c r="U612" s="260"/>
      <c r="V612" s="260"/>
      <c r="W612" s="260"/>
      <c r="X612" s="260"/>
      <c r="Y612" s="167"/>
      <c r="Z612" s="7"/>
    </row>
    <row r="613" spans="1:26" ht="15.75" customHeight="1">
      <c r="A613" s="177"/>
      <c r="B613" s="239"/>
      <c r="C613" s="260"/>
      <c r="D613" s="278"/>
      <c r="E613" s="260"/>
      <c r="F613" s="239"/>
      <c r="G613" s="239"/>
      <c r="H613" s="239"/>
      <c r="I613" s="239"/>
      <c r="J613" s="239"/>
      <c r="K613" s="239"/>
      <c r="L613" s="239"/>
      <c r="M613" s="239"/>
      <c r="N613" s="239"/>
      <c r="O613" s="239"/>
      <c r="P613" s="260"/>
      <c r="Q613" s="260"/>
      <c r="R613" s="260"/>
      <c r="S613" s="260"/>
      <c r="T613" s="260"/>
      <c r="U613" s="260"/>
      <c r="V613" s="260"/>
      <c r="W613" s="260"/>
      <c r="X613" s="260"/>
      <c r="Y613" s="167"/>
      <c r="Z613" s="7"/>
    </row>
    <row r="614" spans="1:26" ht="15.75" customHeight="1">
      <c r="A614" s="177"/>
      <c r="B614" s="239"/>
      <c r="C614" s="260"/>
      <c r="D614" s="278"/>
      <c r="E614" s="260"/>
      <c r="F614" s="239"/>
      <c r="G614" s="239"/>
      <c r="H614" s="239"/>
      <c r="I614" s="239"/>
      <c r="J614" s="239"/>
      <c r="K614" s="239"/>
      <c r="L614" s="239"/>
      <c r="M614" s="239"/>
      <c r="N614" s="239"/>
      <c r="O614" s="239"/>
      <c r="P614" s="260"/>
      <c r="Q614" s="260"/>
      <c r="R614" s="260"/>
      <c r="S614" s="260"/>
      <c r="T614" s="260"/>
      <c r="U614" s="260"/>
      <c r="V614" s="260"/>
      <c r="W614" s="260"/>
      <c r="X614" s="260"/>
      <c r="Y614" s="167"/>
      <c r="Z614" s="7"/>
    </row>
    <row r="615" spans="1:26" ht="15.75" customHeight="1">
      <c r="A615" s="177"/>
      <c r="B615" s="239"/>
      <c r="C615" s="260"/>
      <c r="D615" s="278"/>
      <c r="E615" s="260"/>
      <c r="F615" s="239"/>
      <c r="G615" s="239"/>
      <c r="H615" s="239"/>
      <c r="I615" s="239"/>
      <c r="J615" s="239"/>
      <c r="K615" s="239"/>
      <c r="L615" s="239"/>
      <c r="M615" s="239"/>
      <c r="N615" s="239"/>
      <c r="O615" s="239"/>
      <c r="P615" s="260"/>
      <c r="Q615" s="260"/>
      <c r="R615" s="260"/>
      <c r="S615" s="260"/>
      <c r="T615" s="260"/>
      <c r="U615" s="260"/>
      <c r="V615" s="260"/>
      <c r="W615" s="260"/>
      <c r="X615" s="260"/>
      <c r="Y615" s="167"/>
      <c r="Z615" s="7"/>
    </row>
    <row r="616" spans="1:26" ht="15.75" customHeight="1">
      <c r="A616" s="177"/>
      <c r="B616" s="239"/>
      <c r="C616" s="260"/>
      <c r="D616" s="278"/>
      <c r="E616" s="260"/>
      <c r="F616" s="239"/>
      <c r="G616" s="239"/>
      <c r="H616" s="239"/>
      <c r="I616" s="239"/>
      <c r="J616" s="239"/>
      <c r="K616" s="239"/>
      <c r="L616" s="239"/>
      <c r="M616" s="239"/>
      <c r="N616" s="239"/>
      <c r="O616" s="239"/>
      <c r="P616" s="260"/>
      <c r="Q616" s="260"/>
      <c r="R616" s="260"/>
      <c r="S616" s="260"/>
      <c r="T616" s="260"/>
      <c r="U616" s="260"/>
      <c r="V616" s="260"/>
      <c r="W616" s="260"/>
      <c r="X616" s="260"/>
      <c r="Y616" s="167"/>
      <c r="Z616" s="7"/>
    </row>
    <row r="617" spans="1:26" ht="15.75" customHeight="1">
      <c r="A617" s="177"/>
      <c r="B617" s="239"/>
      <c r="C617" s="260"/>
      <c r="D617" s="278"/>
      <c r="E617" s="260"/>
      <c r="F617" s="239"/>
      <c r="G617" s="239"/>
      <c r="H617" s="239"/>
      <c r="I617" s="239"/>
      <c r="J617" s="239"/>
      <c r="K617" s="239"/>
      <c r="L617" s="239"/>
      <c r="M617" s="239"/>
      <c r="N617" s="239"/>
      <c r="O617" s="239"/>
      <c r="P617" s="260"/>
      <c r="Q617" s="260"/>
      <c r="R617" s="260"/>
      <c r="S617" s="260"/>
      <c r="T617" s="260"/>
      <c r="U617" s="260"/>
      <c r="V617" s="260"/>
      <c r="W617" s="260"/>
      <c r="X617" s="260"/>
      <c r="Y617" s="167"/>
      <c r="Z617" s="7"/>
    </row>
    <row r="618" spans="1:26" ht="15.75" customHeight="1">
      <c r="A618" s="177"/>
      <c r="B618" s="239"/>
      <c r="C618" s="260"/>
      <c r="D618" s="278"/>
      <c r="E618" s="260"/>
      <c r="F618" s="239"/>
      <c r="G618" s="239"/>
      <c r="H618" s="239"/>
      <c r="I618" s="239"/>
      <c r="J618" s="239"/>
      <c r="K618" s="239"/>
      <c r="L618" s="239"/>
      <c r="M618" s="239"/>
      <c r="N618" s="239"/>
      <c r="O618" s="239"/>
      <c r="P618" s="260"/>
      <c r="Q618" s="260"/>
      <c r="R618" s="260"/>
      <c r="S618" s="260"/>
      <c r="T618" s="260"/>
      <c r="U618" s="260"/>
      <c r="V618" s="260"/>
      <c r="W618" s="260"/>
      <c r="X618" s="260"/>
      <c r="Y618" s="167"/>
      <c r="Z618" s="7"/>
    </row>
    <row r="619" spans="1:26" ht="15.75" customHeight="1">
      <c r="A619" s="177"/>
      <c r="B619" s="239"/>
      <c r="C619" s="260"/>
      <c r="D619" s="278"/>
      <c r="E619" s="260"/>
      <c r="F619" s="239"/>
      <c r="G619" s="239"/>
      <c r="H619" s="239"/>
      <c r="I619" s="239"/>
      <c r="J619" s="239"/>
      <c r="K619" s="239"/>
      <c r="L619" s="239"/>
      <c r="M619" s="239"/>
      <c r="N619" s="239"/>
      <c r="O619" s="239"/>
      <c r="P619" s="260"/>
      <c r="Q619" s="260"/>
      <c r="R619" s="260"/>
      <c r="S619" s="260"/>
      <c r="T619" s="260"/>
      <c r="U619" s="260"/>
      <c r="V619" s="260"/>
      <c r="W619" s="260"/>
      <c r="X619" s="260"/>
      <c r="Y619" s="167"/>
      <c r="Z619" s="7"/>
    </row>
    <row r="620" spans="1:26" ht="15.75" customHeight="1">
      <c r="A620" s="177"/>
      <c r="B620" s="239"/>
      <c r="C620" s="260"/>
      <c r="D620" s="278"/>
      <c r="E620" s="260"/>
      <c r="F620" s="239"/>
      <c r="G620" s="239"/>
      <c r="H620" s="239"/>
      <c r="I620" s="239"/>
      <c r="J620" s="239"/>
      <c r="K620" s="239"/>
      <c r="L620" s="239"/>
      <c r="M620" s="239"/>
      <c r="N620" s="239"/>
      <c r="O620" s="239"/>
      <c r="P620" s="260"/>
      <c r="Q620" s="260"/>
      <c r="R620" s="260"/>
      <c r="S620" s="260"/>
      <c r="T620" s="260"/>
      <c r="U620" s="260"/>
      <c r="V620" s="260"/>
      <c r="W620" s="260"/>
      <c r="X620" s="260"/>
      <c r="Y620" s="167"/>
      <c r="Z620" s="7"/>
    </row>
    <row r="621" spans="1:26" ht="15.75" customHeight="1">
      <c r="A621" s="177"/>
      <c r="B621" s="239"/>
      <c r="C621" s="260"/>
      <c r="D621" s="278"/>
      <c r="E621" s="260"/>
      <c r="F621" s="239"/>
      <c r="G621" s="239"/>
      <c r="H621" s="239"/>
      <c r="I621" s="239"/>
      <c r="J621" s="239"/>
      <c r="K621" s="239"/>
      <c r="L621" s="239"/>
      <c r="M621" s="239"/>
      <c r="N621" s="239"/>
      <c r="O621" s="239"/>
      <c r="P621" s="260"/>
      <c r="Q621" s="260"/>
      <c r="R621" s="260"/>
      <c r="S621" s="260"/>
      <c r="T621" s="260"/>
      <c r="U621" s="260"/>
      <c r="V621" s="260"/>
      <c r="W621" s="260"/>
      <c r="X621" s="260"/>
      <c r="Y621" s="167"/>
      <c r="Z621" s="7"/>
    </row>
    <row r="622" spans="1:26" ht="15.75" customHeight="1">
      <c r="A622" s="177"/>
      <c r="B622" s="239"/>
      <c r="C622" s="260"/>
      <c r="D622" s="278"/>
      <c r="E622" s="260"/>
      <c r="F622" s="239"/>
      <c r="G622" s="239"/>
      <c r="H622" s="239"/>
      <c r="I622" s="239"/>
      <c r="J622" s="239"/>
      <c r="K622" s="239"/>
      <c r="L622" s="239"/>
      <c r="M622" s="239"/>
      <c r="N622" s="239"/>
      <c r="O622" s="239"/>
      <c r="P622" s="260"/>
      <c r="Q622" s="260"/>
      <c r="R622" s="260"/>
      <c r="S622" s="260"/>
      <c r="T622" s="260"/>
      <c r="U622" s="260"/>
      <c r="V622" s="260"/>
      <c r="W622" s="260"/>
      <c r="X622" s="260"/>
      <c r="Y622" s="167"/>
      <c r="Z622" s="7"/>
    </row>
    <row r="623" spans="1:26" ht="15.75" customHeight="1">
      <c r="A623" s="177"/>
      <c r="B623" s="239"/>
      <c r="C623" s="260"/>
      <c r="D623" s="278"/>
      <c r="E623" s="260"/>
      <c r="F623" s="239"/>
      <c r="G623" s="239"/>
      <c r="H623" s="239"/>
      <c r="I623" s="239"/>
      <c r="J623" s="239"/>
      <c r="K623" s="239"/>
      <c r="L623" s="239"/>
      <c r="M623" s="239"/>
      <c r="N623" s="239"/>
      <c r="O623" s="239"/>
      <c r="P623" s="260"/>
      <c r="Q623" s="260"/>
      <c r="R623" s="260"/>
      <c r="S623" s="260"/>
      <c r="T623" s="260"/>
      <c r="U623" s="260"/>
      <c r="V623" s="260"/>
      <c r="W623" s="260"/>
      <c r="X623" s="260"/>
      <c r="Y623" s="167"/>
      <c r="Z623" s="7"/>
    </row>
    <row r="624" spans="1:26" ht="15.75" customHeight="1">
      <c r="A624" s="177"/>
      <c r="B624" s="239"/>
      <c r="C624" s="260"/>
      <c r="D624" s="278"/>
      <c r="E624" s="260"/>
      <c r="F624" s="239"/>
      <c r="G624" s="239"/>
      <c r="H624" s="239"/>
      <c r="I624" s="239"/>
      <c r="J624" s="239"/>
      <c r="K624" s="239"/>
      <c r="L624" s="239"/>
      <c r="M624" s="239"/>
      <c r="N624" s="239"/>
      <c r="O624" s="239"/>
      <c r="P624" s="260"/>
      <c r="Q624" s="260"/>
      <c r="R624" s="260"/>
      <c r="S624" s="260"/>
      <c r="T624" s="260"/>
      <c r="U624" s="260"/>
      <c r="V624" s="260"/>
      <c r="W624" s="260"/>
      <c r="X624" s="260"/>
      <c r="Y624" s="167"/>
      <c r="Z624" s="7"/>
    </row>
    <row r="625" spans="1:26" ht="15.75" customHeight="1">
      <c r="A625" s="177"/>
      <c r="B625" s="239"/>
      <c r="C625" s="260"/>
      <c r="D625" s="278"/>
      <c r="E625" s="260"/>
      <c r="F625" s="239"/>
      <c r="G625" s="239"/>
      <c r="H625" s="239"/>
      <c r="I625" s="239"/>
      <c r="J625" s="239"/>
      <c r="K625" s="239"/>
      <c r="L625" s="239"/>
      <c r="M625" s="239"/>
      <c r="N625" s="239"/>
      <c r="O625" s="239"/>
      <c r="P625" s="260"/>
      <c r="Q625" s="260"/>
      <c r="R625" s="260"/>
      <c r="S625" s="260"/>
      <c r="T625" s="260"/>
      <c r="U625" s="260"/>
      <c r="V625" s="260"/>
      <c r="W625" s="260"/>
      <c r="X625" s="260"/>
      <c r="Y625" s="167"/>
      <c r="Z625" s="7"/>
    </row>
    <row r="626" spans="1:26" ht="15.75" customHeight="1">
      <c r="A626" s="177"/>
      <c r="B626" s="239"/>
      <c r="C626" s="260"/>
      <c r="D626" s="278"/>
      <c r="E626" s="260"/>
      <c r="F626" s="239"/>
      <c r="G626" s="239"/>
      <c r="H626" s="239"/>
      <c r="I626" s="239"/>
      <c r="J626" s="239"/>
      <c r="K626" s="239"/>
      <c r="L626" s="239"/>
      <c r="M626" s="239"/>
      <c r="N626" s="239"/>
      <c r="O626" s="239"/>
      <c r="P626" s="260"/>
      <c r="Q626" s="260"/>
      <c r="R626" s="260"/>
      <c r="S626" s="260"/>
      <c r="T626" s="260"/>
      <c r="U626" s="260"/>
      <c r="V626" s="260"/>
      <c r="W626" s="260"/>
      <c r="X626" s="260"/>
      <c r="Y626" s="167"/>
      <c r="Z626" s="7"/>
    </row>
    <row r="627" spans="1:26" ht="15.75" customHeight="1">
      <c r="A627" s="177"/>
      <c r="B627" s="239"/>
      <c r="C627" s="260"/>
      <c r="D627" s="278"/>
      <c r="E627" s="260"/>
      <c r="F627" s="239"/>
      <c r="G627" s="239"/>
      <c r="H627" s="239"/>
      <c r="I627" s="239"/>
      <c r="J627" s="239"/>
      <c r="K627" s="239"/>
      <c r="L627" s="239"/>
      <c r="M627" s="239"/>
      <c r="N627" s="239"/>
      <c r="O627" s="239"/>
      <c r="P627" s="260"/>
      <c r="Q627" s="260"/>
      <c r="R627" s="260"/>
      <c r="S627" s="260"/>
      <c r="T627" s="260"/>
      <c r="U627" s="260"/>
      <c r="V627" s="260"/>
      <c r="W627" s="260"/>
      <c r="X627" s="260"/>
      <c r="Y627" s="167"/>
      <c r="Z627" s="7"/>
    </row>
    <row r="628" spans="1:26" ht="15.75" customHeight="1">
      <c r="A628" s="177"/>
      <c r="B628" s="239"/>
      <c r="C628" s="260"/>
      <c r="D628" s="278"/>
      <c r="E628" s="260"/>
      <c r="F628" s="239"/>
      <c r="G628" s="239"/>
      <c r="H628" s="239"/>
      <c r="I628" s="239"/>
      <c r="J628" s="239"/>
      <c r="K628" s="239"/>
      <c r="L628" s="239"/>
      <c r="M628" s="239"/>
      <c r="N628" s="239"/>
      <c r="O628" s="239"/>
      <c r="P628" s="260"/>
      <c r="Q628" s="260"/>
      <c r="R628" s="260"/>
      <c r="S628" s="260"/>
      <c r="T628" s="260"/>
      <c r="U628" s="260"/>
      <c r="V628" s="260"/>
      <c r="W628" s="260"/>
      <c r="X628" s="260"/>
      <c r="Y628" s="167"/>
      <c r="Z628" s="7"/>
    </row>
    <row r="629" spans="1:26" ht="15.75" customHeight="1">
      <c r="A629" s="177"/>
      <c r="B629" s="239"/>
      <c r="C629" s="260"/>
      <c r="D629" s="278"/>
      <c r="E629" s="260"/>
      <c r="F629" s="239"/>
      <c r="G629" s="239"/>
      <c r="H629" s="239"/>
      <c r="I629" s="239"/>
      <c r="J629" s="239"/>
      <c r="K629" s="239"/>
      <c r="L629" s="239"/>
      <c r="M629" s="239"/>
      <c r="N629" s="239"/>
      <c r="O629" s="239"/>
      <c r="P629" s="260"/>
      <c r="Q629" s="260"/>
      <c r="R629" s="260"/>
      <c r="S629" s="260"/>
      <c r="T629" s="260"/>
      <c r="U629" s="260"/>
      <c r="V629" s="260"/>
      <c r="W629" s="260"/>
      <c r="X629" s="260"/>
      <c r="Y629" s="167"/>
      <c r="Z629" s="7"/>
    </row>
    <row r="630" spans="1:26" ht="15.75" customHeight="1">
      <c r="A630" s="177"/>
      <c r="B630" s="239"/>
      <c r="C630" s="260"/>
      <c r="D630" s="278"/>
      <c r="E630" s="260"/>
      <c r="F630" s="239"/>
      <c r="G630" s="239"/>
      <c r="H630" s="239"/>
      <c r="I630" s="239"/>
      <c r="J630" s="239"/>
      <c r="K630" s="239"/>
      <c r="L630" s="239"/>
      <c r="M630" s="239"/>
      <c r="N630" s="239"/>
      <c r="O630" s="239"/>
      <c r="P630" s="260"/>
      <c r="Q630" s="260"/>
      <c r="R630" s="260"/>
      <c r="S630" s="260"/>
      <c r="T630" s="260"/>
      <c r="U630" s="260"/>
      <c r="V630" s="260"/>
      <c r="W630" s="260"/>
      <c r="X630" s="260"/>
      <c r="Y630" s="167"/>
      <c r="Z630" s="7"/>
    </row>
    <row r="631" spans="1:26" ht="15.75" customHeight="1">
      <c r="A631" s="177"/>
      <c r="B631" s="239"/>
      <c r="C631" s="260"/>
      <c r="D631" s="278"/>
      <c r="E631" s="260"/>
      <c r="F631" s="239"/>
      <c r="G631" s="239"/>
      <c r="H631" s="239"/>
      <c r="I631" s="239"/>
      <c r="J631" s="239"/>
      <c r="K631" s="239"/>
      <c r="L631" s="239"/>
      <c r="M631" s="239"/>
      <c r="N631" s="239"/>
      <c r="O631" s="239"/>
      <c r="P631" s="260"/>
      <c r="Q631" s="260"/>
      <c r="R631" s="260"/>
      <c r="S631" s="260"/>
      <c r="T631" s="260"/>
      <c r="U631" s="260"/>
      <c r="V631" s="260"/>
      <c r="W631" s="260"/>
      <c r="X631" s="260"/>
      <c r="Y631" s="167"/>
      <c r="Z631" s="7"/>
    </row>
    <row r="632" spans="1:26" ht="15.75" customHeight="1">
      <c r="A632" s="177"/>
      <c r="B632" s="239"/>
      <c r="C632" s="260"/>
      <c r="D632" s="278"/>
      <c r="E632" s="260"/>
      <c r="F632" s="239"/>
      <c r="G632" s="239"/>
      <c r="H632" s="239"/>
      <c r="I632" s="239"/>
      <c r="J632" s="239"/>
      <c r="K632" s="239"/>
      <c r="L632" s="239"/>
      <c r="M632" s="239"/>
      <c r="N632" s="239"/>
      <c r="O632" s="239"/>
      <c r="P632" s="260"/>
      <c r="Q632" s="260"/>
      <c r="R632" s="260"/>
      <c r="S632" s="260"/>
      <c r="T632" s="260"/>
      <c r="U632" s="260"/>
      <c r="V632" s="260"/>
      <c r="W632" s="260"/>
      <c r="X632" s="260"/>
      <c r="Y632" s="167"/>
      <c r="Z632" s="7"/>
    </row>
    <row r="633" spans="1:26" ht="15.75" customHeight="1">
      <c r="A633" s="177"/>
      <c r="B633" s="239"/>
      <c r="C633" s="260"/>
      <c r="D633" s="278"/>
      <c r="E633" s="260"/>
      <c r="F633" s="239"/>
      <c r="G633" s="239"/>
      <c r="H633" s="239"/>
      <c r="I633" s="239"/>
      <c r="J633" s="239"/>
      <c r="K633" s="239"/>
      <c r="L633" s="239"/>
      <c r="M633" s="239"/>
      <c r="N633" s="239"/>
      <c r="O633" s="239"/>
      <c r="P633" s="260"/>
      <c r="Q633" s="260"/>
      <c r="R633" s="260"/>
      <c r="S633" s="260"/>
      <c r="T633" s="260"/>
      <c r="U633" s="260"/>
      <c r="V633" s="260"/>
      <c r="W633" s="260"/>
      <c r="X633" s="260"/>
      <c r="Y633" s="167"/>
      <c r="Z633" s="7"/>
    </row>
    <row r="634" spans="1:26" ht="15.75" customHeight="1">
      <c r="A634" s="177"/>
      <c r="B634" s="239"/>
      <c r="C634" s="260"/>
      <c r="D634" s="278"/>
      <c r="E634" s="260"/>
      <c r="F634" s="239"/>
      <c r="G634" s="239"/>
      <c r="H634" s="239"/>
      <c r="I634" s="239"/>
      <c r="J634" s="239"/>
      <c r="K634" s="239"/>
      <c r="L634" s="239"/>
      <c r="M634" s="239"/>
      <c r="N634" s="239"/>
      <c r="O634" s="239"/>
      <c r="P634" s="260"/>
      <c r="Q634" s="260"/>
      <c r="R634" s="260"/>
      <c r="S634" s="260"/>
      <c r="T634" s="260"/>
      <c r="U634" s="260"/>
      <c r="V634" s="260"/>
      <c r="W634" s="260"/>
      <c r="X634" s="260"/>
      <c r="Y634" s="167"/>
      <c r="Z634" s="7"/>
    </row>
    <row r="635" spans="1:26" ht="15.75" customHeight="1">
      <c r="A635" s="177"/>
      <c r="B635" s="239"/>
      <c r="C635" s="260"/>
      <c r="D635" s="278"/>
      <c r="E635" s="260"/>
      <c r="F635" s="239"/>
      <c r="G635" s="239"/>
      <c r="H635" s="239"/>
      <c r="I635" s="239"/>
      <c r="J635" s="239"/>
      <c r="K635" s="239"/>
      <c r="L635" s="239"/>
      <c r="M635" s="239"/>
      <c r="N635" s="239"/>
      <c r="O635" s="239"/>
      <c r="P635" s="260"/>
      <c r="Q635" s="260"/>
      <c r="R635" s="260"/>
      <c r="S635" s="260"/>
      <c r="T635" s="260"/>
      <c r="U635" s="260"/>
      <c r="V635" s="260"/>
      <c r="W635" s="260"/>
      <c r="X635" s="260"/>
      <c r="Y635" s="167"/>
      <c r="Z635" s="7"/>
    </row>
    <row r="636" spans="1:26" ht="15.75" customHeight="1">
      <c r="A636" s="177"/>
      <c r="B636" s="239"/>
      <c r="C636" s="260"/>
      <c r="D636" s="278"/>
      <c r="E636" s="260"/>
      <c r="F636" s="239"/>
      <c r="G636" s="239"/>
      <c r="H636" s="239"/>
      <c r="I636" s="239"/>
      <c r="J636" s="239"/>
      <c r="K636" s="239"/>
      <c r="L636" s="239"/>
      <c r="M636" s="239"/>
      <c r="N636" s="239"/>
      <c r="O636" s="239"/>
      <c r="P636" s="260"/>
      <c r="Q636" s="260"/>
      <c r="R636" s="260"/>
      <c r="S636" s="260"/>
      <c r="T636" s="260"/>
      <c r="U636" s="260"/>
      <c r="V636" s="260"/>
      <c r="W636" s="260"/>
      <c r="X636" s="260"/>
      <c r="Y636" s="167"/>
      <c r="Z636" s="7"/>
    </row>
    <row r="637" spans="1:26" ht="15.75" customHeight="1">
      <c r="A637" s="177"/>
      <c r="B637" s="239"/>
      <c r="C637" s="260"/>
      <c r="D637" s="278"/>
      <c r="E637" s="260"/>
      <c r="F637" s="239"/>
      <c r="G637" s="239"/>
      <c r="H637" s="239"/>
      <c r="I637" s="239"/>
      <c r="J637" s="239"/>
      <c r="K637" s="239"/>
      <c r="L637" s="239"/>
      <c r="M637" s="239"/>
      <c r="N637" s="239"/>
      <c r="O637" s="239"/>
      <c r="P637" s="260"/>
      <c r="Q637" s="260"/>
      <c r="R637" s="260"/>
      <c r="S637" s="260"/>
      <c r="T637" s="260"/>
      <c r="U637" s="260"/>
      <c r="V637" s="260"/>
      <c r="W637" s="260"/>
      <c r="X637" s="260"/>
      <c r="Y637" s="167"/>
      <c r="Z637" s="7"/>
    </row>
    <row r="638" spans="1:26" ht="15.75" customHeight="1">
      <c r="A638" s="167"/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7"/>
    </row>
    <row r="639" spans="1:26" ht="15.75" customHeight="1">
      <c r="A639" s="167"/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7"/>
    </row>
    <row r="640" spans="1:26" ht="15.75" customHeight="1">
      <c r="A640" s="167"/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7"/>
    </row>
    <row r="641" spans="1:26" ht="15.75" customHeight="1">
      <c r="A641" s="167"/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7"/>
    </row>
    <row r="642" spans="1:26" ht="15.75" customHeight="1">
      <c r="A642" s="167"/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7"/>
    </row>
    <row r="643" spans="1:26" ht="15.75" customHeight="1">
      <c r="A643" s="167"/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7"/>
    </row>
    <row r="644" spans="1:26" ht="15.75" customHeight="1">
      <c r="A644" s="167"/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7"/>
    </row>
    <row r="645" spans="1:26" ht="15.75" customHeight="1">
      <c r="A645" s="167"/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7"/>
    </row>
    <row r="646" spans="1:26" ht="15.75" customHeight="1">
      <c r="A646" s="167"/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7"/>
    </row>
    <row r="647" spans="1:26" ht="15.75" customHeight="1">
      <c r="A647" s="167"/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7"/>
    </row>
    <row r="648" spans="1:26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/>
    <row r="715" spans="1:26" ht="15.75" customHeight="1"/>
    <row r="716" spans="1:26" ht="15.75" customHeight="1"/>
    <row r="717" spans="1:26" ht="15.75" customHeight="1"/>
    <row r="718" spans="1:26" ht="15.75" customHeight="1"/>
    <row r="719" spans="1:26" ht="15.75" customHeight="1"/>
    <row r="720" spans="1:26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O7"/>
    <mergeCell ref="A8:O8"/>
    <mergeCell ref="A10:A17"/>
    <mergeCell ref="C10:C11"/>
    <mergeCell ref="D10:D17"/>
    <mergeCell ref="E10:E17"/>
    <mergeCell ref="F10:O10"/>
  </mergeCells>
  <conditionalFormatting sqref="F11:J11">
    <cfRule type="containsText" dxfId="75" priority="1" operator="containsText" text="&quot;quảng ngãi&quot;">
      <formula>NOT(ISERROR(SEARCH(("""quảng ngãi"""),(F11))))</formula>
    </cfRule>
  </conditionalFormatting>
  <conditionalFormatting sqref="O11">
    <cfRule type="containsText" dxfId="74" priority="2" operator="containsText" text="&quot;quảng ngãi&quot;">
      <formula>NOT(ISERROR(SEARCH(("""quảng ngãi"""),(O11))))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6699"/>
  </sheetPr>
  <dimension ref="A1:AE1000"/>
  <sheetViews>
    <sheetView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F16" sqref="F16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4.26953125" customWidth="1"/>
    <col min="6" max="18" width="13.7265625" customWidth="1"/>
    <col min="19" max="19" width="13.453125" customWidth="1"/>
    <col min="20" max="23" width="9.08984375" customWidth="1"/>
    <col min="24" max="28" width="8" customWidth="1"/>
  </cols>
  <sheetData>
    <row r="1" spans="1:31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67"/>
    </row>
    <row r="2" spans="1:31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67"/>
    </row>
    <row r="3" spans="1:31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67"/>
    </row>
    <row r="4" spans="1:31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67"/>
      <c r="AD4" s="7"/>
      <c r="AE4" s="7"/>
    </row>
    <row r="5" spans="1:31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67"/>
      <c r="AD5" s="7"/>
      <c r="AE5" s="7"/>
    </row>
    <row r="6" spans="1:31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67"/>
      <c r="AD6" s="7"/>
      <c r="AE6" s="7"/>
    </row>
    <row r="7" spans="1:31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67"/>
    </row>
    <row r="8" spans="1:31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67"/>
    </row>
    <row r="9" spans="1:31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67"/>
    </row>
    <row r="10" spans="1:31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287"/>
      <c r="G10" s="784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1"/>
      <c r="T10" s="176"/>
      <c r="U10" s="176"/>
      <c r="V10" s="176"/>
      <c r="W10" s="176"/>
      <c r="X10" s="176"/>
      <c r="Y10" s="176"/>
      <c r="Z10" s="176"/>
      <c r="AA10" s="176"/>
      <c r="AB10" s="176"/>
      <c r="AC10" s="167"/>
    </row>
    <row r="11" spans="1:31" ht="33" customHeight="1">
      <c r="A11" s="767"/>
      <c r="B11" s="767"/>
      <c r="C11" s="768"/>
      <c r="D11" s="767"/>
      <c r="E11" s="781"/>
      <c r="F11" s="288"/>
      <c r="G11" s="141"/>
      <c r="H11" s="141"/>
      <c r="I11" s="141"/>
      <c r="J11" s="141"/>
      <c r="K11" s="289"/>
      <c r="L11" s="141"/>
      <c r="M11" s="289"/>
      <c r="N11" s="289"/>
      <c r="O11" s="289"/>
      <c r="P11" s="289"/>
      <c r="Q11" s="289"/>
      <c r="R11" s="21"/>
      <c r="S11" s="21"/>
      <c r="T11" s="184"/>
      <c r="U11" s="184"/>
      <c r="V11" s="184">
        <f>COUNTA(F11:S11)</f>
        <v>0</v>
      </c>
      <c r="W11" s="184"/>
      <c r="X11" s="184"/>
      <c r="Y11" s="184"/>
      <c r="Z11" s="184"/>
      <c r="AA11" s="184"/>
      <c r="AB11" s="184"/>
      <c r="AC11" s="184"/>
    </row>
    <row r="12" spans="1:31" ht="18.75" customHeight="1">
      <c r="A12" s="767"/>
      <c r="B12" s="767"/>
      <c r="C12" s="25" t="s">
        <v>39</v>
      </c>
      <c r="D12" s="767"/>
      <c r="E12" s="781"/>
      <c r="F12" s="290"/>
      <c r="G12" s="291"/>
      <c r="H12" s="291"/>
      <c r="I12" s="291"/>
      <c r="J12" s="291"/>
      <c r="K12" s="291"/>
      <c r="L12" s="291"/>
      <c r="M12" s="291"/>
      <c r="N12" s="291"/>
      <c r="O12" s="190"/>
      <c r="P12" s="190"/>
      <c r="Q12" s="292"/>
      <c r="R12" s="293"/>
      <c r="S12" s="293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</row>
    <row r="13" spans="1:31" ht="47.25" customHeight="1">
      <c r="A13" s="767"/>
      <c r="B13" s="767"/>
      <c r="C13" s="25" t="s">
        <v>40</v>
      </c>
      <c r="D13" s="767"/>
      <c r="E13" s="781"/>
      <c r="F13" s="294"/>
      <c r="G13" s="295"/>
      <c r="H13" s="296"/>
      <c r="I13" s="296"/>
      <c r="J13" s="296"/>
      <c r="K13" s="296"/>
      <c r="L13" s="296"/>
      <c r="M13" s="296"/>
      <c r="N13" s="296"/>
      <c r="O13" s="190"/>
      <c r="P13" s="30"/>
      <c r="Q13" s="190"/>
      <c r="R13" s="30"/>
      <c r="S13" s="30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spans="1:31" ht="38.25" hidden="1" customHeight="1">
      <c r="A14" s="767"/>
      <c r="B14" s="767"/>
      <c r="C14" s="25" t="s">
        <v>41</v>
      </c>
      <c r="D14" s="767"/>
      <c r="E14" s="781"/>
      <c r="F14" s="297"/>
      <c r="G14" s="298"/>
      <c r="H14" s="298"/>
      <c r="I14" s="298"/>
      <c r="J14" s="298"/>
      <c r="K14" s="298"/>
      <c r="L14" s="298"/>
      <c r="M14" s="298"/>
      <c r="N14" s="298"/>
      <c r="O14" s="299"/>
      <c r="P14" s="190"/>
      <c r="Q14" s="190"/>
      <c r="R14" s="185"/>
      <c r="S14" s="185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</row>
    <row r="15" spans="1:31" ht="33" customHeight="1">
      <c r="A15" s="767"/>
      <c r="B15" s="767"/>
      <c r="C15" s="24" t="s">
        <v>42</v>
      </c>
      <c r="D15" s="767"/>
      <c r="E15" s="781"/>
      <c r="F15" s="297"/>
      <c r="G15" s="298"/>
      <c r="H15" s="298"/>
      <c r="I15" s="298"/>
      <c r="J15" s="298"/>
      <c r="K15" s="298"/>
      <c r="L15" s="298"/>
      <c r="M15" s="298"/>
      <c r="N15" s="296"/>
      <c r="O15" s="299"/>
      <c r="P15" s="190"/>
      <c r="Q15" s="190"/>
      <c r="R15" s="190"/>
      <c r="S15" s="190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</row>
    <row r="16" spans="1:31" ht="30.75" customHeight="1">
      <c r="A16" s="767"/>
      <c r="B16" s="767"/>
      <c r="C16" s="25" t="s">
        <v>977</v>
      </c>
      <c r="D16" s="767"/>
      <c r="E16" s="781"/>
      <c r="F16" s="297"/>
      <c r="G16" s="298"/>
      <c r="H16" s="298"/>
      <c r="I16" s="298"/>
      <c r="J16" s="296"/>
      <c r="K16" s="296"/>
      <c r="L16" s="296"/>
      <c r="M16" s="296"/>
      <c r="N16" s="298"/>
      <c r="O16" s="190"/>
      <c r="P16" s="190"/>
      <c r="Q16" s="190"/>
      <c r="R16" s="193"/>
      <c r="S16" s="193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</row>
    <row r="17" spans="1:31" ht="36" customHeight="1">
      <c r="A17" s="768"/>
      <c r="B17" s="768"/>
      <c r="C17" s="25" t="s">
        <v>70</v>
      </c>
      <c r="D17" s="768"/>
      <c r="E17" s="782"/>
      <c r="F17" s="300"/>
      <c r="G17" s="300"/>
      <c r="H17" s="300"/>
      <c r="I17" s="30"/>
      <c r="J17" s="30"/>
      <c r="K17" s="300"/>
      <c r="L17" s="32"/>
      <c r="M17" s="300"/>
      <c r="N17" s="300"/>
      <c r="O17" s="300"/>
      <c r="P17" s="300"/>
      <c r="Q17" s="300"/>
      <c r="R17" s="32"/>
      <c r="S17" s="32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</row>
    <row r="18" spans="1:31" ht="16.5" customHeight="1">
      <c r="A18" s="41"/>
      <c r="B18" s="42" t="s">
        <v>85</v>
      </c>
      <c r="C18" s="42"/>
      <c r="D18" s="42"/>
      <c r="E18" s="195"/>
      <c r="F18" s="301"/>
      <c r="G18" s="301"/>
      <c r="H18" s="301"/>
      <c r="I18" s="301"/>
      <c r="J18" s="301"/>
      <c r="K18" s="301"/>
      <c r="L18" s="301"/>
      <c r="M18" s="301"/>
      <c r="N18" s="301"/>
      <c r="O18" s="302"/>
      <c r="P18" s="302"/>
      <c r="Q18" s="198"/>
      <c r="R18" s="197"/>
      <c r="S18" s="197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</row>
    <row r="19" spans="1:31" ht="26.25" customHeight="1">
      <c r="A19" s="46">
        <v>1</v>
      </c>
      <c r="B19" s="47" t="s">
        <v>87</v>
      </c>
      <c r="C19" s="47" t="s">
        <v>88</v>
      </c>
      <c r="D19" s="46"/>
      <c r="E19" s="200"/>
      <c r="F19" s="303"/>
      <c r="G19" s="303"/>
      <c r="H19" s="303"/>
      <c r="I19" s="303"/>
      <c r="J19" s="303"/>
      <c r="K19" s="303"/>
      <c r="L19" s="303"/>
      <c r="M19" s="303"/>
      <c r="N19" s="303"/>
      <c r="O19" s="21"/>
      <c r="P19" s="304"/>
      <c r="Q19" s="204"/>
      <c r="R19" s="203"/>
      <c r="S19" s="203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</row>
    <row r="20" spans="1:31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SUM(F20:S20)</f>
        <v>0</v>
      </c>
      <c r="F20" s="303"/>
      <c r="G20" s="303"/>
      <c r="H20" s="305"/>
      <c r="I20" s="305"/>
      <c r="J20" s="305"/>
      <c r="K20" s="305"/>
      <c r="L20" s="305"/>
      <c r="M20" s="303"/>
      <c r="N20" s="303"/>
      <c r="O20" s="292"/>
      <c r="P20" s="215"/>
      <c r="Q20" s="292"/>
      <c r="R20" s="221"/>
      <c r="S20" s="221"/>
      <c r="T20" s="263"/>
      <c r="U20" s="263"/>
      <c r="V20" s="263"/>
      <c r="W20" s="263"/>
      <c r="X20" s="263"/>
      <c r="Y20" s="263"/>
      <c r="Z20" s="263"/>
      <c r="AA20" s="263"/>
      <c r="AB20" s="263"/>
      <c r="AC20" s="263"/>
      <c r="AD20" s="285"/>
      <c r="AE20" s="285"/>
    </row>
    <row r="21" spans="1:31" ht="18.75" customHeight="1">
      <c r="A21" s="118"/>
      <c r="B21" s="59" t="s">
        <v>94</v>
      </c>
      <c r="C21" s="113" t="s">
        <v>95</v>
      </c>
      <c r="D21" s="61" t="s">
        <v>91</v>
      </c>
      <c r="E21" s="306">
        <f t="shared" si="0"/>
        <v>0</v>
      </c>
      <c r="F21" s="303"/>
      <c r="G21" s="303"/>
      <c r="H21" s="303"/>
      <c r="I21" s="303"/>
      <c r="J21" s="303"/>
      <c r="K21" s="303"/>
      <c r="L21" s="303"/>
      <c r="M21" s="303"/>
      <c r="N21" s="303"/>
      <c r="O21" s="215"/>
      <c r="P21" s="215"/>
      <c r="Q21" s="292"/>
      <c r="R21" s="221"/>
      <c r="S21" s="221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</row>
    <row r="22" spans="1:31" ht="18.75" customHeight="1">
      <c r="A22" s="118"/>
      <c r="B22" s="59" t="s">
        <v>96</v>
      </c>
      <c r="C22" s="113" t="s">
        <v>97</v>
      </c>
      <c r="D22" s="61" t="s">
        <v>91</v>
      </c>
      <c r="E22" s="306">
        <f t="shared" si="0"/>
        <v>0</v>
      </c>
      <c r="F22" s="303"/>
      <c r="G22" s="303"/>
      <c r="H22" s="303"/>
      <c r="I22" s="303"/>
      <c r="J22" s="303"/>
      <c r="K22" s="303"/>
      <c r="L22" s="303"/>
      <c r="M22" s="303"/>
      <c r="N22" s="303"/>
      <c r="O22" s="215"/>
      <c r="P22" s="215"/>
      <c r="Q22" s="292"/>
      <c r="R22" s="221"/>
      <c r="S22" s="221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</row>
    <row r="23" spans="1:31" ht="18.75" customHeight="1">
      <c r="A23" s="118"/>
      <c r="B23" s="59" t="s">
        <v>98</v>
      </c>
      <c r="C23" s="113" t="s">
        <v>99</v>
      </c>
      <c r="D23" s="61" t="s">
        <v>91</v>
      </c>
      <c r="E23" s="306">
        <f t="shared" si="0"/>
        <v>0</v>
      </c>
      <c r="F23" s="303"/>
      <c r="G23" s="303"/>
      <c r="H23" s="303"/>
      <c r="I23" s="303"/>
      <c r="J23" s="303"/>
      <c r="K23" s="303"/>
      <c r="L23" s="303"/>
      <c r="M23" s="303"/>
      <c r="N23" s="303"/>
      <c r="O23" s="215"/>
      <c r="P23" s="215"/>
      <c r="Q23" s="292"/>
      <c r="R23" s="221"/>
      <c r="S23" s="221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</row>
    <row r="24" spans="1:31" ht="18.75" customHeight="1">
      <c r="A24" s="118"/>
      <c r="B24" s="59" t="s">
        <v>100</v>
      </c>
      <c r="C24" s="113" t="s">
        <v>101</v>
      </c>
      <c r="D24" s="61" t="s">
        <v>91</v>
      </c>
      <c r="E24" s="306">
        <f t="shared" si="0"/>
        <v>0</v>
      </c>
      <c r="F24" s="303"/>
      <c r="G24" s="303"/>
      <c r="H24" s="303"/>
      <c r="I24" s="303"/>
      <c r="J24" s="303"/>
      <c r="K24" s="303"/>
      <c r="L24" s="303"/>
      <c r="M24" s="303"/>
      <c r="N24" s="303"/>
      <c r="O24" s="215"/>
      <c r="P24" s="215"/>
      <c r="Q24" s="292"/>
      <c r="R24" s="221"/>
      <c r="S24" s="221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</row>
    <row r="25" spans="1:31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303"/>
      <c r="G25" s="303"/>
      <c r="H25" s="303"/>
      <c r="I25" s="303"/>
      <c r="J25" s="303"/>
      <c r="K25" s="303"/>
      <c r="L25" s="303"/>
      <c r="M25" s="303"/>
      <c r="N25" s="303"/>
      <c r="O25" s="215"/>
      <c r="P25" s="215"/>
      <c r="Q25" s="292"/>
      <c r="R25" s="221"/>
      <c r="S25" s="221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  <c r="AD25" s="285"/>
      <c r="AE25" s="285"/>
    </row>
    <row r="26" spans="1:31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306">
        <f t="shared" si="0"/>
        <v>0</v>
      </c>
      <c r="F26" s="303"/>
      <c r="G26" s="303"/>
      <c r="H26" s="303"/>
      <c r="I26" s="303"/>
      <c r="J26" s="303"/>
      <c r="K26" s="303"/>
      <c r="L26" s="303"/>
      <c r="M26" s="303"/>
      <c r="N26" s="303"/>
      <c r="O26" s="215"/>
      <c r="P26" s="215"/>
      <c r="Q26" s="292"/>
      <c r="R26" s="221"/>
      <c r="S26" s="221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</row>
    <row r="27" spans="1:31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306">
        <f t="shared" si="0"/>
        <v>0</v>
      </c>
      <c r="F27" s="303"/>
      <c r="G27" s="303"/>
      <c r="H27" s="303"/>
      <c r="I27" s="303"/>
      <c r="J27" s="303"/>
      <c r="K27" s="303"/>
      <c r="L27" s="303"/>
      <c r="M27" s="303"/>
      <c r="N27" s="303"/>
      <c r="O27" s="215"/>
      <c r="P27" s="215"/>
      <c r="Q27" s="292"/>
      <c r="R27" s="221"/>
      <c r="S27" s="221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31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306">
        <f t="shared" si="0"/>
        <v>0</v>
      </c>
      <c r="F28" s="303"/>
      <c r="G28" s="303"/>
      <c r="H28" s="303"/>
      <c r="I28" s="303"/>
      <c r="J28" s="303"/>
      <c r="K28" s="303"/>
      <c r="L28" s="303"/>
      <c r="M28" s="303"/>
      <c r="N28" s="303"/>
      <c r="O28" s="215"/>
      <c r="P28" s="215"/>
      <c r="Q28" s="292"/>
      <c r="R28" s="221"/>
      <c r="S28" s="221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</row>
    <row r="29" spans="1:31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306">
        <f t="shared" si="0"/>
        <v>0</v>
      </c>
      <c r="F29" s="303"/>
      <c r="G29" s="303"/>
      <c r="H29" s="303"/>
      <c r="I29" s="303"/>
      <c r="J29" s="303"/>
      <c r="K29" s="303"/>
      <c r="L29" s="303"/>
      <c r="M29" s="303"/>
      <c r="N29" s="303"/>
      <c r="O29" s="215"/>
      <c r="P29" s="215"/>
      <c r="Q29" s="292"/>
      <c r="R29" s="221"/>
      <c r="S29" s="221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</row>
    <row r="30" spans="1:31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303"/>
      <c r="G30" s="303"/>
      <c r="H30" s="303"/>
      <c r="I30" s="303"/>
      <c r="J30" s="303"/>
      <c r="K30" s="303"/>
      <c r="L30" s="303"/>
      <c r="M30" s="303"/>
      <c r="N30" s="303"/>
      <c r="O30" s="215"/>
      <c r="P30" s="215"/>
      <c r="Q30" s="292"/>
      <c r="R30" s="221"/>
      <c r="S30" s="221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85"/>
      <c r="AE30" s="285"/>
    </row>
    <row r="31" spans="1:31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306">
        <f t="shared" si="0"/>
        <v>0</v>
      </c>
      <c r="F31" s="303"/>
      <c r="G31" s="303"/>
      <c r="H31" s="303"/>
      <c r="I31" s="303"/>
      <c r="J31" s="303"/>
      <c r="K31" s="303"/>
      <c r="L31" s="303"/>
      <c r="M31" s="303"/>
      <c r="N31" s="303"/>
      <c r="O31" s="215"/>
      <c r="P31" s="215"/>
      <c r="Q31" s="292"/>
      <c r="R31" s="221"/>
      <c r="S31" s="221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</row>
    <row r="32" spans="1:31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306">
        <f t="shared" si="0"/>
        <v>0</v>
      </c>
      <c r="F32" s="303"/>
      <c r="G32" s="303"/>
      <c r="H32" s="303"/>
      <c r="I32" s="303"/>
      <c r="J32" s="303"/>
      <c r="K32" s="303"/>
      <c r="L32" s="303"/>
      <c r="M32" s="303"/>
      <c r="N32" s="303"/>
      <c r="O32" s="215"/>
      <c r="P32" s="215"/>
      <c r="Q32" s="292"/>
      <c r="R32" s="221"/>
      <c r="S32" s="221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</row>
    <row r="33" spans="1:31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306">
        <f t="shared" si="0"/>
        <v>0</v>
      </c>
      <c r="F33" s="303"/>
      <c r="G33" s="303"/>
      <c r="H33" s="303"/>
      <c r="I33" s="303"/>
      <c r="J33" s="303"/>
      <c r="K33" s="303"/>
      <c r="L33" s="303"/>
      <c r="M33" s="303"/>
      <c r="N33" s="303"/>
      <c r="O33" s="215"/>
      <c r="P33" s="215"/>
      <c r="Q33" s="292"/>
      <c r="R33" s="221"/>
      <c r="S33" s="221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</row>
    <row r="34" spans="1:31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306">
        <f t="shared" si="0"/>
        <v>0</v>
      </c>
      <c r="F34" s="303"/>
      <c r="G34" s="303"/>
      <c r="H34" s="303"/>
      <c r="I34" s="303"/>
      <c r="J34" s="303"/>
      <c r="K34" s="303"/>
      <c r="L34" s="303"/>
      <c r="M34" s="303"/>
      <c r="N34" s="303"/>
      <c r="O34" s="215"/>
      <c r="P34" s="215"/>
      <c r="Q34" s="292"/>
      <c r="R34" s="221"/>
      <c r="S34" s="221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</row>
    <row r="35" spans="1:31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306">
        <f t="shared" si="0"/>
        <v>0</v>
      </c>
      <c r="F35" s="303"/>
      <c r="G35" s="303"/>
      <c r="H35" s="303"/>
      <c r="I35" s="303"/>
      <c r="J35" s="303"/>
      <c r="K35" s="303"/>
      <c r="L35" s="303"/>
      <c r="M35" s="303"/>
      <c r="N35" s="303"/>
      <c r="O35" s="215"/>
      <c r="P35" s="215"/>
      <c r="Q35" s="292"/>
      <c r="R35" s="221"/>
      <c r="S35" s="221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</row>
    <row r="36" spans="1:31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306">
        <f t="shared" si="0"/>
        <v>0</v>
      </c>
      <c r="F36" s="303"/>
      <c r="G36" s="303"/>
      <c r="H36" s="303"/>
      <c r="I36" s="303"/>
      <c r="J36" s="303"/>
      <c r="K36" s="303"/>
      <c r="L36" s="303"/>
      <c r="M36" s="303"/>
      <c r="N36" s="303"/>
      <c r="O36" s="215"/>
      <c r="P36" s="215"/>
      <c r="Q36" s="292"/>
      <c r="R36" s="221"/>
      <c r="S36" s="221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</row>
    <row r="37" spans="1:31" ht="18.75" customHeight="1">
      <c r="A37" s="46">
        <v>2</v>
      </c>
      <c r="B37" s="64" t="s">
        <v>128</v>
      </c>
      <c r="C37" s="64" t="s">
        <v>129</v>
      </c>
      <c r="D37" s="216"/>
      <c r="E37" s="306">
        <f t="shared" si="0"/>
        <v>0</v>
      </c>
      <c r="F37" s="303"/>
      <c r="G37" s="303"/>
      <c r="H37" s="305"/>
      <c r="I37" s="305"/>
      <c r="J37" s="305"/>
      <c r="K37" s="305"/>
      <c r="L37" s="305"/>
      <c r="M37" s="305"/>
      <c r="N37" s="305"/>
      <c r="O37" s="215"/>
      <c r="P37" s="215"/>
      <c r="Q37" s="292"/>
      <c r="R37" s="221"/>
      <c r="S37" s="221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</row>
    <row r="38" spans="1:31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303"/>
      <c r="G38" s="303"/>
      <c r="H38" s="305"/>
      <c r="I38" s="305"/>
      <c r="J38" s="305"/>
      <c r="K38" s="305"/>
      <c r="L38" s="305"/>
      <c r="M38" s="303"/>
      <c r="N38" s="303"/>
      <c r="O38" s="215"/>
      <c r="P38" s="215"/>
      <c r="Q38" s="292"/>
      <c r="R38" s="221"/>
      <c r="S38" s="221"/>
      <c r="T38" s="263"/>
      <c r="U38" s="263"/>
      <c r="V38" s="263"/>
      <c r="W38" s="263"/>
      <c r="X38" s="263"/>
      <c r="Y38" s="263"/>
      <c r="Z38" s="263"/>
      <c r="AA38" s="263"/>
      <c r="AB38" s="263"/>
      <c r="AC38" s="263"/>
      <c r="AD38" s="285"/>
      <c r="AE38" s="285"/>
    </row>
    <row r="39" spans="1:31" ht="18.75" hidden="1" customHeight="1">
      <c r="A39" s="118"/>
      <c r="B39" s="59" t="s">
        <v>135</v>
      </c>
      <c r="C39" s="113" t="s">
        <v>136</v>
      </c>
      <c r="D39" s="61" t="s">
        <v>132</v>
      </c>
      <c r="E39" s="306">
        <f t="shared" si="0"/>
        <v>0</v>
      </c>
      <c r="F39" s="303"/>
      <c r="G39" s="303"/>
      <c r="H39" s="303"/>
      <c r="I39" s="303"/>
      <c r="J39" s="303"/>
      <c r="K39" s="303"/>
      <c r="L39" s="303"/>
      <c r="M39" s="303"/>
      <c r="N39" s="303"/>
      <c r="O39" s="215"/>
      <c r="P39" s="215"/>
      <c r="Q39" s="292"/>
      <c r="R39" s="221"/>
      <c r="S39" s="221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</row>
    <row r="40" spans="1:31" ht="18.75" hidden="1" customHeight="1">
      <c r="A40" s="118"/>
      <c r="B40" s="59" t="s">
        <v>137</v>
      </c>
      <c r="C40" s="113" t="s">
        <v>138</v>
      </c>
      <c r="D40" s="61" t="s">
        <v>132</v>
      </c>
      <c r="E40" s="306">
        <f t="shared" si="0"/>
        <v>0</v>
      </c>
      <c r="F40" s="303"/>
      <c r="G40" s="303"/>
      <c r="H40" s="303"/>
      <c r="I40" s="303"/>
      <c r="J40" s="303"/>
      <c r="K40" s="303"/>
      <c r="L40" s="303"/>
      <c r="M40" s="303"/>
      <c r="N40" s="303"/>
      <c r="O40" s="215"/>
      <c r="P40" s="215"/>
      <c r="Q40" s="292"/>
      <c r="R40" s="221"/>
      <c r="S40" s="221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</row>
    <row r="41" spans="1:31" ht="18.75" hidden="1" customHeight="1">
      <c r="A41" s="118"/>
      <c r="B41" s="59" t="s">
        <v>139</v>
      </c>
      <c r="C41" s="113" t="s">
        <v>140</v>
      </c>
      <c r="D41" s="61" t="s">
        <v>132</v>
      </c>
      <c r="E41" s="306">
        <f t="shared" si="0"/>
        <v>0</v>
      </c>
      <c r="F41" s="303"/>
      <c r="G41" s="303"/>
      <c r="H41" s="303"/>
      <c r="I41" s="303"/>
      <c r="J41" s="303"/>
      <c r="K41" s="303"/>
      <c r="L41" s="303"/>
      <c r="M41" s="303"/>
      <c r="N41" s="303"/>
      <c r="O41" s="215"/>
      <c r="P41" s="215"/>
      <c r="Q41" s="292"/>
      <c r="R41" s="221"/>
      <c r="S41" s="221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</row>
    <row r="42" spans="1:31" ht="18.75" hidden="1" customHeight="1">
      <c r="A42" s="118"/>
      <c r="B42" s="59" t="s">
        <v>141</v>
      </c>
      <c r="C42" s="113" t="s">
        <v>142</v>
      </c>
      <c r="D42" s="61" t="s">
        <v>132</v>
      </c>
      <c r="E42" s="306">
        <f t="shared" si="0"/>
        <v>0</v>
      </c>
      <c r="F42" s="303"/>
      <c r="G42" s="303"/>
      <c r="H42" s="303"/>
      <c r="I42" s="303"/>
      <c r="J42" s="303"/>
      <c r="K42" s="303"/>
      <c r="L42" s="303"/>
      <c r="M42" s="303"/>
      <c r="N42" s="303"/>
      <c r="O42" s="215"/>
      <c r="P42" s="215"/>
      <c r="Q42" s="292"/>
      <c r="R42" s="221"/>
      <c r="S42" s="221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</row>
    <row r="43" spans="1:31" ht="18.75" customHeight="1">
      <c r="A43" s="101"/>
      <c r="B43" s="101" t="s">
        <v>143</v>
      </c>
      <c r="C43" s="217" t="s">
        <v>144</v>
      </c>
      <c r="D43" s="61" t="s">
        <v>132</v>
      </c>
      <c r="E43" s="306">
        <f t="shared" si="0"/>
        <v>0</v>
      </c>
      <c r="F43" s="303"/>
      <c r="G43" s="303"/>
      <c r="H43" s="305"/>
      <c r="I43" s="305"/>
      <c r="J43" s="305"/>
      <c r="K43" s="305"/>
      <c r="L43" s="305"/>
      <c r="M43" s="303"/>
      <c r="N43" s="305"/>
      <c r="O43" s="215"/>
      <c r="P43" s="215"/>
      <c r="Q43" s="292"/>
      <c r="R43" s="221"/>
      <c r="S43" s="221"/>
      <c r="T43" s="307"/>
      <c r="U43" s="264"/>
      <c r="V43" s="264"/>
      <c r="W43" s="264"/>
      <c r="X43" s="264"/>
      <c r="Y43" s="264"/>
      <c r="Z43" s="264"/>
      <c r="AA43" s="264"/>
      <c r="AB43" s="264"/>
      <c r="AC43" s="264"/>
    </row>
    <row r="44" spans="1:31" ht="18.75" hidden="1" customHeight="1">
      <c r="A44" s="118"/>
      <c r="B44" s="59" t="s">
        <v>147</v>
      </c>
      <c r="C44" s="113" t="s">
        <v>136</v>
      </c>
      <c r="D44" s="61" t="s">
        <v>132</v>
      </c>
      <c r="E44" s="306">
        <f t="shared" si="0"/>
        <v>0</v>
      </c>
      <c r="F44" s="303"/>
      <c r="G44" s="303"/>
      <c r="H44" s="303"/>
      <c r="I44" s="303"/>
      <c r="J44" s="303"/>
      <c r="K44" s="303"/>
      <c r="L44" s="303"/>
      <c r="M44" s="303"/>
      <c r="N44" s="303"/>
      <c r="O44" s="215"/>
      <c r="P44" s="215"/>
      <c r="Q44" s="292"/>
      <c r="R44" s="221"/>
      <c r="S44" s="221"/>
      <c r="T44" s="308"/>
      <c r="U44" s="260"/>
      <c r="V44" s="260"/>
      <c r="W44" s="260"/>
      <c r="X44" s="260"/>
      <c r="Y44" s="260"/>
      <c r="Z44" s="260"/>
      <c r="AA44" s="260"/>
      <c r="AB44" s="260"/>
      <c r="AC44" s="260"/>
    </row>
    <row r="45" spans="1:31" ht="18.75" hidden="1" customHeight="1">
      <c r="A45" s="118"/>
      <c r="B45" s="59" t="s">
        <v>148</v>
      </c>
      <c r="C45" s="113" t="s">
        <v>138</v>
      </c>
      <c r="D45" s="61" t="s">
        <v>132</v>
      </c>
      <c r="E45" s="306">
        <f t="shared" si="0"/>
        <v>0</v>
      </c>
      <c r="F45" s="303"/>
      <c r="G45" s="303"/>
      <c r="H45" s="303"/>
      <c r="I45" s="303"/>
      <c r="J45" s="303"/>
      <c r="K45" s="303"/>
      <c r="L45" s="303"/>
      <c r="M45" s="303"/>
      <c r="N45" s="303"/>
      <c r="O45" s="215"/>
      <c r="P45" s="215"/>
      <c r="Q45" s="292"/>
      <c r="R45" s="221"/>
      <c r="S45" s="221"/>
      <c r="T45" s="308"/>
      <c r="U45" s="260"/>
      <c r="V45" s="260"/>
      <c r="W45" s="260"/>
      <c r="X45" s="260"/>
      <c r="Y45" s="260"/>
      <c r="Z45" s="260"/>
      <c r="AA45" s="260"/>
      <c r="AB45" s="260"/>
      <c r="AC45" s="260"/>
    </row>
    <row r="46" spans="1:31" ht="18.75" hidden="1" customHeight="1">
      <c r="A46" s="118"/>
      <c r="B46" s="59" t="s">
        <v>149</v>
      </c>
      <c r="C46" s="113" t="s">
        <v>140</v>
      </c>
      <c r="D46" s="61" t="s">
        <v>132</v>
      </c>
      <c r="E46" s="306">
        <f t="shared" si="0"/>
        <v>0</v>
      </c>
      <c r="F46" s="303"/>
      <c r="G46" s="303"/>
      <c r="H46" s="303"/>
      <c r="I46" s="303"/>
      <c r="J46" s="303"/>
      <c r="K46" s="303"/>
      <c r="L46" s="303"/>
      <c r="M46" s="303"/>
      <c r="N46" s="303"/>
      <c r="O46" s="215"/>
      <c r="P46" s="215"/>
      <c r="Q46" s="292"/>
      <c r="R46" s="221"/>
      <c r="S46" s="221"/>
      <c r="T46" s="308"/>
      <c r="U46" s="260"/>
      <c r="V46" s="260"/>
      <c r="W46" s="260"/>
      <c r="X46" s="260"/>
      <c r="Y46" s="260"/>
      <c r="Z46" s="260"/>
      <c r="AA46" s="260"/>
      <c r="AB46" s="260"/>
      <c r="AC46" s="260"/>
    </row>
    <row r="47" spans="1:31" ht="18.75" hidden="1" customHeight="1">
      <c r="A47" s="118"/>
      <c r="B47" s="59" t="s">
        <v>150</v>
      </c>
      <c r="C47" s="113" t="s">
        <v>142</v>
      </c>
      <c r="D47" s="61" t="s">
        <v>132</v>
      </c>
      <c r="E47" s="306">
        <f t="shared" si="0"/>
        <v>0</v>
      </c>
      <c r="F47" s="303"/>
      <c r="G47" s="303"/>
      <c r="H47" s="303"/>
      <c r="I47" s="303"/>
      <c r="J47" s="303"/>
      <c r="K47" s="303"/>
      <c r="L47" s="303"/>
      <c r="M47" s="303"/>
      <c r="N47" s="303"/>
      <c r="O47" s="215"/>
      <c r="P47" s="215"/>
      <c r="Q47" s="292"/>
      <c r="R47" s="221"/>
      <c r="S47" s="221"/>
      <c r="T47" s="308"/>
      <c r="U47" s="260"/>
      <c r="V47" s="260"/>
      <c r="W47" s="260"/>
      <c r="X47" s="260"/>
      <c r="Y47" s="260"/>
      <c r="Z47" s="260"/>
      <c r="AA47" s="260"/>
      <c r="AB47" s="260"/>
      <c r="AC47" s="260"/>
    </row>
    <row r="48" spans="1:31" ht="18.75" customHeight="1">
      <c r="A48" s="101"/>
      <c r="B48" s="53" t="s">
        <v>151</v>
      </c>
      <c r="C48" s="87" t="s">
        <v>152</v>
      </c>
      <c r="D48" s="61" t="s">
        <v>132</v>
      </c>
      <c r="E48" s="306">
        <f t="shared" si="0"/>
        <v>0</v>
      </c>
      <c r="F48" s="309"/>
      <c r="G48" s="309"/>
      <c r="H48" s="305"/>
      <c r="I48" s="305"/>
      <c r="J48" s="305"/>
      <c r="K48" s="305"/>
      <c r="L48" s="305"/>
      <c r="M48" s="303"/>
      <c r="N48" s="303"/>
      <c r="O48" s="215"/>
      <c r="P48" s="215"/>
      <c r="Q48" s="292"/>
      <c r="R48" s="221"/>
      <c r="S48" s="221"/>
      <c r="T48" s="308"/>
      <c r="U48" s="260"/>
      <c r="V48" s="260"/>
      <c r="W48" s="260"/>
      <c r="X48" s="260"/>
      <c r="Y48" s="260"/>
      <c r="Z48" s="260"/>
      <c r="AA48" s="260"/>
      <c r="AB48" s="260"/>
      <c r="AC48" s="260"/>
    </row>
    <row r="49" spans="1:29" ht="18.75" hidden="1" customHeight="1">
      <c r="A49" s="118"/>
      <c r="B49" s="59" t="s">
        <v>154</v>
      </c>
      <c r="C49" s="113" t="s">
        <v>136</v>
      </c>
      <c r="D49" s="61" t="s">
        <v>132</v>
      </c>
      <c r="E49" s="306">
        <f t="shared" si="0"/>
        <v>0</v>
      </c>
      <c r="F49" s="303"/>
      <c r="G49" s="303"/>
      <c r="H49" s="303"/>
      <c r="I49" s="303"/>
      <c r="J49" s="303"/>
      <c r="K49" s="303"/>
      <c r="L49" s="303"/>
      <c r="M49" s="303"/>
      <c r="N49" s="303"/>
      <c r="O49" s="215"/>
      <c r="P49" s="215"/>
      <c r="Q49" s="292"/>
      <c r="R49" s="221"/>
      <c r="S49" s="221"/>
      <c r="T49" s="308"/>
      <c r="U49" s="260"/>
      <c r="V49" s="260"/>
      <c r="W49" s="260"/>
      <c r="X49" s="260"/>
      <c r="Y49" s="260"/>
      <c r="Z49" s="260"/>
      <c r="AA49" s="260"/>
      <c r="AB49" s="260"/>
      <c r="AC49" s="260"/>
    </row>
    <row r="50" spans="1:29" ht="18.75" hidden="1" customHeight="1">
      <c r="A50" s="118"/>
      <c r="B50" s="59" t="s">
        <v>155</v>
      </c>
      <c r="C50" s="113" t="s">
        <v>138</v>
      </c>
      <c r="D50" s="61" t="s">
        <v>132</v>
      </c>
      <c r="E50" s="306">
        <f t="shared" si="0"/>
        <v>0</v>
      </c>
      <c r="F50" s="303"/>
      <c r="G50" s="303"/>
      <c r="H50" s="303"/>
      <c r="I50" s="303"/>
      <c r="J50" s="303"/>
      <c r="K50" s="303"/>
      <c r="L50" s="303"/>
      <c r="M50" s="303"/>
      <c r="N50" s="303"/>
      <c r="O50" s="215"/>
      <c r="P50" s="215"/>
      <c r="Q50" s="292"/>
      <c r="R50" s="221"/>
      <c r="S50" s="221"/>
      <c r="T50" s="308"/>
      <c r="U50" s="260"/>
      <c r="V50" s="260"/>
      <c r="W50" s="260"/>
      <c r="X50" s="260"/>
      <c r="Y50" s="260"/>
      <c r="Z50" s="260"/>
      <c r="AA50" s="260"/>
      <c r="AB50" s="260"/>
      <c r="AC50" s="260"/>
    </row>
    <row r="51" spans="1:29" ht="18.75" hidden="1" customHeight="1">
      <c r="A51" s="118"/>
      <c r="B51" s="59" t="s">
        <v>156</v>
      </c>
      <c r="C51" s="113" t="s">
        <v>140</v>
      </c>
      <c r="D51" s="61" t="s">
        <v>132</v>
      </c>
      <c r="E51" s="306">
        <f t="shared" si="0"/>
        <v>0</v>
      </c>
      <c r="F51" s="303"/>
      <c r="G51" s="303"/>
      <c r="H51" s="303"/>
      <c r="I51" s="303"/>
      <c r="J51" s="303"/>
      <c r="K51" s="303"/>
      <c r="L51" s="303"/>
      <c r="M51" s="303"/>
      <c r="N51" s="303"/>
      <c r="O51" s="215"/>
      <c r="P51" s="215"/>
      <c r="Q51" s="292"/>
      <c r="R51" s="221"/>
      <c r="S51" s="221"/>
      <c r="T51" s="308"/>
      <c r="U51" s="260"/>
      <c r="V51" s="260"/>
      <c r="W51" s="260"/>
      <c r="X51" s="260"/>
      <c r="Y51" s="260"/>
      <c r="Z51" s="260"/>
      <c r="AA51" s="260"/>
      <c r="AB51" s="260"/>
      <c r="AC51" s="260"/>
    </row>
    <row r="52" spans="1:29" ht="18.75" hidden="1" customHeight="1">
      <c r="A52" s="118"/>
      <c r="B52" s="59" t="s">
        <v>157</v>
      </c>
      <c r="C52" s="113" t="s">
        <v>142</v>
      </c>
      <c r="D52" s="61" t="s">
        <v>132</v>
      </c>
      <c r="E52" s="306">
        <f t="shared" si="0"/>
        <v>0</v>
      </c>
      <c r="F52" s="303"/>
      <c r="G52" s="303"/>
      <c r="H52" s="303"/>
      <c r="I52" s="303"/>
      <c r="J52" s="303"/>
      <c r="K52" s="303"/>
      <c r="L52" s="303"/>
      <c r="M52" s="303"/>
      <c r="N52" s="303"/>
      <c r="O52" s="215"/>
      <c r="P52" s="215"/>
      <c r="Q52" s="292"/>
      <c r="R52" s="221"/>
      <c r="S52" s="221"/>
      <c r="T52" s="308"/>
      <c r="U52" s="260"/>
      <c r="V52" s="260"/>
      <c r="W52" s="260"/>
      <c r="X52" s="260"/>
      <c r="Y52" s="260"/>
      <c r="Z52" s="260"/>
      <c r="AA52" s="260"/>
      <c r="AB52" s="260"/>
      <c r="AC52" s="260"/>
    </row>
    <row r="53" spans="1:29" ht="18.75" customHeight="1">
      <c r="A53" s="101"/>
      <c r="B53" s="86" t="s">
        <v>158</v>
      </c>
      <c r="C53" s="87" t="s">
        <v>159</v>
      </c>
      <c r="D53" s="61"/>
      <c r="E53" s="306">
        <f t="shared" si="0"/>
        <v>0</v>
      </c>
      <c r="F53" s="303"/>
      <c r="G53" s="303"/>
      <c r="H53" s="309"/>
      <c r="I53" s="309"/>
      <c r="J53" s="309"/>
      <c r="K53" s="309"/>
      <c r="L53" s="305"/>
      <c r="M53" s="309"/>
      <c r="N53" s="303"/>
      <c r="O53" s="215"/>
      <c r="P53" s="215"/>
      <c r="Q53" s="292"/>
      <c r="R53" s="221"/>
      <c r="S53" s="221"/>
      <c r="T53" s="308"/>
      <c r="U53" s="260"/>
      <c r="V53" s="260"/>
      <c r="W53" s="260"/>
      <c r="X53" s="260"/>
      <c r="Y53" s="260"/>
      <c r="Z53" s="260"/>
      <c r="AA53" s="260"/>
      <c r="AB53" s="260"/>
      <c r="AC53" s="260"/>
    </row>
    <row r="54" spans="1:29" ht="18.75" hidden="1" customHeight="1">
      <c r="A54" s="118"/>
      <c r="B54" s="59" t="s">
        <v>161</v>
      </c>
      <c r="C54" s="113" t="s">
        <v>136</v>
      </c>
      <c r="D54" s="61" t="s">
        <v>132</v>
      </c>
      <c r="E54" s="306">
        <f t="shared" si="0"/>
        <v>0</v>
      </c>
      <c r="F54" s="303"/>
      <c r="G54" s="303"/>
      <c r="H54" s="303"/>
      <c r="I54" s="303"/>
      <c r="J54" s="303"/>
      <c r="K54" s="303"/>
      <c r="L54" s="303"/>
      <c r="M54" s="303"/>
      <c r="N54" s="303"/>
      <c r="O54" s="215"/>
      <c r="P54" s="215"/>
      <c r="Q54" s="292"/>
      <c r="R54" s="221"/>
      <c r="S54" s="221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</row>
    <row r="55" spans="1:29" ht="18.75" hidden="1" customHeight="1">
      <c r="A55" s="118"/>
      <c r="B55" s="59" t="s">
        <v>162</v>
      </c>
      <c r="C55" s="113" t="s">
        <v>138</v>
      </c>
      <c r="D55" s="61" t="s">
        <v>132</v>
      </c>
      <c r="E55" s="306">
        <f t="shared" si="0"/>
        <v>0</v>
      </c>
      <c r="F55" s="303"/>
      <c r="G55" s="303"/>
      <c r="H55" s="303"/>
      <c r="I55" s="303"/>
      <c r="J55" s="303"/>
      <c r="K55" s="303"/>
      <c r="L55" s="303"/>
      <c r="M55" s="303"/>
      <c r="N55" s="303"/>
      <c r="O55" s="215"/>
      <c r="P55" s="215"/>
      <c r="Q55" s="292"/>
      <c r="R55" s="221"/>
      <c r="S55" s="221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</row>
    <row r="56" spans="1:29" ht="18.75" hidden="1" customHeight="1">
      <c r="A56" s="118"/>
      <c r="B56" s="59" t="s">
        <v>163</v>
      </c>
      <c r="C56" s="113" t="s">
        <v>140</v>
      </c>
      <c r="D56" s="61" t="s">
        <v>132</v>
      </c>
      <c r="E56" s="306">
        <f t="shared" si="0"/>
        <v>0</v>
      </c>
      <c r="F56" s="303"/>
      <c r="G56" s="303"/>
      <c r="H56" s="303"/>
      <c r="I56" s="303"/>
      <c r="J56" s="303"/>
      <c r="K56" s="303"/>
      <c r="L56" s="303"/>
      <c r="M56" s="303"/>
      <c r="N56" s="303"/>
      <c r="O56" s="215"/>
      <c r="P56" s="215"/>
      <c r="Q56" s="292"/>
      <c r="R56" s="221"/>
      <c r="S56" s="221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</row>
    <row r="57" spans="1:29" ht="18.75" hidden="1" customHeight="1">
      <c r="A57" s="118"/>
      <c r="B57" s="59" t="s">
        <v>164</v>
      </c>
      <c r="C57" s="113" t="s">
        <v>142</v>
      </c>
      <c r="D57" s="61" t="s">
        <v>132</v>
      </c>
      <c r="E57" s="306">
        <f t="shared" si="0"/>
        <v>0</v>
      </c>
      <c r="F57" s="303"/>
      <c r="G57" s="303"/>
      <c r="H57" s="303"/>
      <c r="I57" s="303"/>
      <c r="J57" s="303"/>
      <c r="K57" s="303"/>
      <c r="L57" s="303"/>
      <c r="M57" s="303"/>
      <c r="N57" s="303"/>
      <c r="O57" s="215"/>
      <c r="P57" s="215"/>
      <c r="Q57" s="292"/>
      <c r="R57" s="221"/>
      <c r="S57" s="221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</row>
    <row r="58" spans="1:29" ht="18.75" customHeight="1">
      <c r="A58" s="101"/>
      <c r="B58" s="53" t="s">
        <v>165</v>
      </c>
      <c r="C58" s="87" t="s">
        <v>166</v>
      </c>
      <c r="D58" s="61" t="s">
        <v>171</v>
      </c>
      <c r="E58" s="306">
        <f t="shared" si="0"/>
        <v>0</v>
      </c>
      <c r="F58" s="303"/>
      <c r="G58" s="303"/>
      <c r="H58" s="305"/>
      <c r="I58" s="305"/>
      <c r="J58" s="305"/>
      <c r="K58" s="305"/>
      <c r="L58" s="305"/>
      <c r="M58" s="303"/>
      <c r="N58" s="303"/>
      <c r="O58" s="215"/>
      <c r="P58" s="215"/>
      <c r="Q58" s="292"/>
      <c r="R58" s="310"/>
      <c r="S58" s="31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</row>
    <row r="59" spans="1:29" ht="18.75" hidden="1" customHeight="1">
      <c r="A59" s="42"/>
      <c r="B59" s="59" t="s">
        <v>169</v>
      </c>
      <c r="C59" s="113" t="s">
        <v>170</v>
      </c>
      <c r="D59" s="61" t="s">
        <v>171</v>
      </c>
      <c r="E59" s="306">
        <f t="shared" si="0"/>
        <v>0</v>
      </c>
      <c r="F59" s="303"/>
      <c r="G59" s="303"/>
      <c r="H59" s="303"/>
      <c r="I59" s="303"/>
      <c r="J59" s="303"/>
      <c r="K59" s="303"/>
      <c r="L59" s="303"/>
      <c r="M59" s="303"/>
      <c r="N59" s="303"/>
      <c r="O59" s="215"/>
      <c r="P59" s="215"/>
      <c r="Q59" s="292"/>
      <c r="R59" s="221"/>
      <c r="S59" s="221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</row>
    <row r="60" spans="1:29" ht="18.75" hidden="1" customHeight="1">
      <c r="A60" s="42"/>
      <c r="B60" s="59" t="s">
        <v>173</v>
      </c>
      <c r="C60" s="113" t="s">
        <v>174</v>
      </c>
      <c r="D60" s="61" t="s">
        <v>171</v>
      </c>
      <c r="E60" s="306">
        <f t="shared" si="0"/>
        <v>0</v>
      </c>
      <c r="F60" s="303"/>
      <c r="G60" s="303"/>
      <c r="H60" s="303"/>
      <c r="I60" s="303"/>
      <c r="J60" s="303"/>
      <c r="K60" s="303"/>
      <c r="L60" s="303"/>
      <c r="M60" s="303"/>
      <c r="N60" s="303"/>
      <c r="O60" s="215"/>
      <c r="P60" s="215"/>
      <c r="Q60" s="292"/>
      <c r="R60" s="221"/>
      <c r="S60" s="221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</row>
    <row r="61" spans="1:29" ht="18.75" hidden="1" customHeight="1">
      <c r="A61" s="42"/>
      <c r="B61" s="59" t="s">
        <v>176</v>
      </c>
      <c r="C61" s="113" t="s">
        <v>177</v>
      </c>
      <c r="D61" s="61" t="s">
        <v>171</v>
      </c>
      <c r="E61" s="306">
        <f t="shared" si="0"/>
        <v>0</v>
      </c>
      <c r="F61" s="303"/>
      <c r="G61" s="303"/>
      <c r="H61" s="303"/>
      <c r="I61" s="303"/>
      <c r="J61" s="303"/>
      <c r="K61" s="303"/>
      <c r="L61" s="303"/>
      <c r="M61" s="303"/>
      <c r="N61" s="303"/>
      <c r="O61" s="215"/>
      <c r="P61" s="215"/>
      <c r="Q61" s="292"/>
      <c r="R61" s="221"/>
      <c r="S61" s="221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</row>
    <row r="62" spans="1:29" ht="18.75" customHeight="1">
      <c r="A62" s="101"/>
      <c r="B62" s="53" t="s">
        <v>178</v>
      </c>
      <c r="C62" s="87" t="s">
        <v>179</v>
      </c>
      <c r="D62" s="61" t="s">
        <v>132</v>
      </c>
      <c r="E62" s="306">
        <f t="shared" si="0"/>
        <v>0</v>
      </c>
      <c r="F62" s="303"/>
      <c r="G62" s="303"/>
      <c r="H62" s="305"/>
      <c r="I62" s="305"/>
      <c r="J62" s="305"/>
      <c r="K62" s="305"/>
      <c r="L62" s="305"/>
      <c r="M62" s="303"/>
      <c r="N62" s="303"/>
      <c r="O62" s="215"/>
      <c r="P62" s="215"/>
      <c r="Q62" s="292"/>
      <c r="R62" s="221"/>
      <c r="S62" s="221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</row>
    <row r="63" spans="1:29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306">
        <f t="shared" si="0"/>
        <v>0</v>
      </c>
      <c r="F63" s="303"/>
      <c r="G63" s="303"/>
      <c r="H63" s="305"/>
      <c r="I63" s="305"/>
      <c r="J63" s="305"/>
      <c r="K63" s="305"/>
      <c r="L63" s="305"/>
      <c r="M63" s="303"/>
      <c r="N63" s="303"/>
      <c r="O63" s="215"/>
      <c r="P63" s="215"/>
      <c r="Q63" s="292"/>
      <c r="R63" s="221"/>
      <c r="S63" s="221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</row>
    <row r="64" spans="1:29" ht="18.75" customHeight="1">
      <c r="A64" s="46">
        <v>3</v>
      </c>
      <c r="B64" s="64" t="s">
        <v>187</v>
      </c>
      <c r="C64" s="64" t="s">
        <v>188</v>
      </c>
      <c r="D64" s="216"/>
      <c r="E64" s="306">
        <f t="shared" si="0"/>
        <v>0</v>
      </c>
      <c r="F64" s="303"/>
      <c r="G64" s="303"/>
      <c r="H64" s="305"/>
      <c r="I64" s="305"/>
      <c r="J64" s="305"/>
      <c r="K64" s="305"/>
      <c r="L64" s="305"/>
      <c r="M64" s="303"/>
      <c r="N64" s="303"/>
      <c r="O64" s="215"/>
      <c r="P64" s="215"/>
      <c r="Q64" s="292"/>
      <c r="R64" s="221"/>
      <c r="S64" s="221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</row>
    <row r="65" spans="1:29" ht="18.75" customHeight="1">
      <c r="A65" s="101"/>
      <c r="B65" s="53" t="s">
        <v>192</v>
      </c>
      <c r="C65" s="87" t="s">
        <v>193</v>
      </c>
      <c r="D65" s="61" t="s">
        <v>194</v>
      </c>
      <c r="E65" s="306">
        <f t="shared" si="0"/>
        <v>0</v>
      </c>
      <c r="F65" s="303"/>
      <c r="G65" s="303"/>
      <c r="H65" s="305"/>
      <c r="I65" s="305"/>
      <c r="J65" s="305"/>
      <c r="K65" s="305"/>
      <c r="L65" s="305"/>
      <c r="M65" s="303"/>
      <c r="N65" s="303"/>
      <c r="O65" s="215"/>
      <c r="P65" s="215"/>
      <c r="Q65" s="292"/>
      <c r="R65" s="221"/>
      <c r="S65" s="221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</row>
    <row r="66" spans="1:29" ht="47.25" customHeight="1">
      <c r="A66" s="101"/>
      <c r="B66" s="86" t="s">
        <v>190</v>
      </c>
      <c r="C66" s="87" t="s">
        <v>191</v>
      </c>
      <c r="D66" s="61" t="s">
        <v>132</v>
      </c>
      <c r="E66" s="306">
        <f t="shared" si="0"/>
        <v>0</v>
      </c>
      <c r="F66" s="303"/>
      <c r="G66" s="303"/>
      <c r="H66" s="305"/>
      <c r="I66" s="305"/>
      <c r="J66" s="305"/>
      <c r="K66" s="305"/>
      <c r="L66" s="305"/>
      <c r="M66" s="303"/>
      <c r="N66" s="303"/>
      <c r="O66" s="215"/>
      <c r="P66" s="215"/>
      <c r="Q66" s="292"/>
      <c r="R66" s="221"/>
      <c r="S66" s="221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</row>
    <row r="67" spans="1:29" ht="18.75" hidden="1" customHeight="1">
      <c r="A67" s="118"/>
      <c r="B67" s="59" t="s">
        <v>197</v>
      </c>
      <c r="C67" s="113" t="s">
        <v>131</v>
      </c>
      <c r="D67" s="61" t="s">
        <v>132</v>
      </c>
      <c r="E67" s="306">
        <f t="shared" si="0"/>
        <v>0</v>
      </c>
      <c r="F67" s="303"/>
      <c r="G67" s="303"/>
      <c r="H67" s="303"/>
      <c r="I67" s="303"/>
      <c r="J67" s="303"/>
      <c r="K67" s="303"/>
      <c r="L67" s="303"/>
      <c r="M67" s="303"/>
      <c r="N67" s="303"/>
      <c r="O67" s="215"/>
      <c r="P67" s="215"/>
      <c r="Q67" s="292"/>
      <c r="R67" s="221"/>
      <c r="S67" s="221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</row>
    <row r="68" spans="1:29" ht="18.75" hidden="1" customHeight="1">
      <c r="A68" s="118"/>
      <c r="B68" s="59" t="s">
        <v>199</v>
      </c>
      <c r="C68" s="113" t="s">
        <v>200</v>
      </c>
      <c r="D68" s="61" t="s">
        <v>132</v>
      </c>
      <c r="E68" s="306">
        <f t="shared" si="0"/>
        <v>0</v>
      </c>
      <c r="F68" s="303"/>
      <c r="G68" s="303"/>
      <c r="H68" s="303"/>
      <c r="I68" s="303"/>
      <c r="J68" s="303"/>
      <c r="K68" s="303"/>
      <c r="L68" s="303"/>
      <c r="M68" s="303"/>
      <c r="N68" s="303"/>
      <c r="O68" s="215"/>
      <c r="P68" s="215"/>
      <c r="Q68" s="292"/>
      <c r="R68" s="221"/>
      <c r="S68" s="221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</row>
    <row r="69" spans="1:29" ht="18.75" hidden="1" customHeight="1">
      <c r="A69" s="118"/>
      <c r="B69" s="59" t="s">
        <v>202</v>
      </c>
      <c r="C69" s="113" t="s">
        <v>203</v>
      </c>
      <c r="D69" s="61" t="s">
        <v>132</v>
      </c>
      <c r="E69" s="306">
        <f t="shared" si="0"/>
        <v>0</v>
      </c>
      <c r="F69" s="303"/>
      <c r="G69" s="303"/>
      <c r="H69" s="303"/>
      <c r="I69" s="303"/>
      <c r="J69" s="303"/>
      <c r="K69" s="303"/>
      <c r="L69" s="303"/>
      <c r="M69" s="303"/>
      <c r="N69" s="303"/>
      <c r="O69" s="215"/>
      <c r="P69" s="215"/>
      <c r="Q69" s="292"/>
      <c r="R69" s="221"/>
      <c r="S69" s="221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</row>
    <row r="70" spans="1:29" ht="18.75" hidden="1" customHeight="1">
      <c r="A70" s="118"/>
      <c r="B70" s="59" t="s">
        <v>205</v>
      </c>
      <c r="C70" s="113" t="s">
        <v>159</v>
      </c>
      <c r="D70" s="61" t="s">
        <v>132</v>
      </c>
      <c r="E70" s="306">
        <f t="shared" si="0"/>
        <v>0</v>
      </c>
      <c r="F70" s="303"/>
      <c r="G70" s="303"/>
      <c r="H70" s="303"/>
      <c r="I70" s="303"/>
      <c r="J70" s="303"/>
      <c r="K70" s="303"/>
      <c r="L70" s="303"/>
      <c r="M70" s="303"/>
      <c r="N70" s="303"/>
      <c r="O70" s="215"/>
      <c r="P70" s="215"/>
      <c r="Q70" s="292"/>
      <c r="R70" s="221"/>
      <c r="S70" s="221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</row>
    <row r="71" spans="1:29" ht="63" hidden="1" customHeight="1">
      <c r="A71" s="101"/>
      <c r="B71" s="102" t="s">
        <v>206</v>
      </c>
      <c r="C71" s="103" t="s">
        <v>207</v>
      </c>
      <c r="D71" s="61" t="s">
        <v>132</v>
      </c>
      <c r="E71" s="306">
        <f t="shared" si="0"/>
        <v>0</v>
      </c>
      <c r="F71" s="303"/>
      <c r="G71" s="303"/>
      <c r="H71" s="303"/>
      <c r="I71" s="303"/>
      <c r="J71" s="303"/>
      <c r="K71" s="303"/>
      <c r="L71" s="303"/>
      <c r="M71" s="303"/>
      <c r="N71" s="303"/>
      <c r="O71" s="215"/>
      <c r="P71" s="215"/>
      <c r="Q71" s="292"/>
      <c r="R71" s="221"/>
      <c r="S71" s="221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</row>
    <row r="72" spans="1:29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306">
        <f t="shared" si="0"/>
        <v>0</v>
      </c>
      <c r="F72" s="303"/>
      <c r="G72" s="303"/>
      <c r="H72" s="303"/>
      <c r="I72" s="303"/>
      <c r="J72" s="303"/>
      <c r="K72" s="303"/>
      <c r="L72" s="303"/>
      <c r="M72" s="303"/>
      <c r="N72" s="303"/>
      <c r="O72" s="215"/>
      <c r="P72" s="215"/>
      <c r="Q72" s="292"/>
      <c r="R72" s="221"/>
      <c r="S72" s="221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</row>
    <row r="73" spans="1:29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306">
        <f t="shared" si="0"/>
        <v>0</v>
      </c>
      <c r="F73" s="303"/>
      <c r="G73" s="303"/>
      <c r="H73" s="303"/>
      <c r="I73" s="303"/>
      <c r="J73" s="303"/>
      <c r="K73" s="303"/>
      <c r="L73" s="303"/>
      <c r="M73" s="303"/>
      <c r="N73" s="303"/>
      <c r="O73" s="215"/>
      <c r="P73" s="215"/>
      <c r="Q73" s="292"/>
      <c r="R73" s="221"/>
      <c r="S73" s="221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</row>
    <row r="74" spans="1:29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306">
        <f t="shared" si="0"/>
        <v>0</v>
      </c>
      <c r="F74" s="303"/>
      <c r="G74" s="303"/>
      <c r="H74" s="303"/>
      <c r="I74" s="303"/>
      <c r="J74" s="303"/>
      <c r="K74" s="303"/>
      <c r="L74" s="303"/>
      <c r="M74" s="303"/>
      <c r="N74" s="303"/>
      <c r="O74" s="215"/>
      <c r="P74" s="215"/>
      <c r="Q74" s="292"/>
      <c r="R74" s="221"/>
      <c r="S74" s="221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</row>
    <row r="75" spans="1:29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306">
        <f t="shared" si="0"/>
        <v>0</v>
      </c>
      <c r="F75" s="303"/>
      <c r="G75" s="303"/>
      <c r="H75" s="303"/>
      <c r="I75" s="303"/>
      <c r="J75" s="303"/>
      <c r="K75" s="303"/>
      <c r="L75" s="303"/>
      <c r="M75" s="303"/>
      <c r="N75" s="303"/>
      <c r="O75" s="215"/>
      <c r="P75" s="215"/>
      <c r="Q75" s="292"/>
      <c r="R75" s="221"/>
      <c r="S75" s="221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</row>
    <row r="76" spans="1:29" ht="18.7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306">
        <f t="shared" si="0"/>
        <v>0</v>
      </c>
      <c r="F76" s="303"/>
      <c r="G76" s="303"/>
      <c r="H76" s="305"/>
      <c r="I76" s="305"/>
      <c r="J76" s="305"/>
      <c r="K76" s="305"/>
      <c r="L76" s="305"/>
      <c r="M76" s="303"/>
      <c r="N76" s="303"/>
      <c r="O76" s="215"/>
      <c r="P76" s="215"/>
      <c r="Q76" s="292"/>
      <c r="R76" s="221"/>
      <c r="S76" s="221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</row>
    <row r="77" spans="1:29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306">
        <f t="shared" si="0"/>
        <v>0</v>
      </c>
      <c r="F77" s="303"/>
      <c r="G77" s="303"/>
      <c r="H77" s="305"/>
      <c r="I77" s="305"/>
      <c r="J77" s="305"/>
      <c r="K77" s="305"/>
      <c r="L77" s="305"/>
      <c r="M77" s="303"/>
      <c r="N77" s="303"/>
      <c r="O77" s="215"/>
      <c r="P77" s="215"/>
      <c r="Q77" s="292"/>
      <c r="R77" s="221"/>
      <c r="S77" s="221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</row>
    <row r="78" spans="1:29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306">
        <f t="shared" si="0"/>
        <v>0</v>
      </c>
      <c r="F78" s="303"/>
      <c r="G78" s="303"/>
      <c r="H78" s="305"/>
      <c r="I78" s="305"/>
      <c r="J78" s="305"/>
      <c r="K78" s="305"/>
      <c r="L78" s="305"/>
      <c r="M78" s="303"/>
      <c r="N78" s="303"/>
      <c r="O78" s="215"/>
      <c r="P78" s="215"/>
      <c r="Q78" s="292"/>
      <c r="R78" s="221"/>
      <c r="S78" s="221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</row>
    <row r="79" spans="1:29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306">
        <f t="shared" si="0"/>
        <v>0</v>
      </c>
      <c r="F79" s="303"/>
      <c r="G79" s="303"/>
      <c r="H79" s="305"/>
      <c r="I79" s="305"/>
      <c r="J79" s="305"/>
      <c r="K79" s="305"/>
      <c r="L79" s="305"/>
      <c r="M79" s="303"/>
      <c r="N79" s="303"/>
      <c r="O79" s="215"/>
      <c r="P79" s="215"/>
      <c r="Q79" s="292"/>
      <c r="R79" s="221"/>
      <c r="S79" s="221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</row>
    <row r="80" spans="1:29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306">
        <f t="shared" si="0"/>
        <v>0</v>
      </c>
      <c r="F80" s="303"/>
      <c r="G80" s="303"/>
      <c r="H80" s="305"/>
      <c r="I80" s="305"/>
      <c r="J80" s="305"/>
      <c r="K80" s="305"/>
      <c r="L80" s="305"/>
      <c r="M80" s="303"/>
      <c r="N80" s="303"/>
      <c r="O80" s="215"/>
      <c r="P80" s="215"/>
      <c r="Q80" s="292"/>
      <c r="R80" s="221"/>
      <c r="S80" s="221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</row>
    <row r="81" spans="1:29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306">
        <f t="shared" si="0"/>
        <v>0</v>
      </c>
      <c r="F81" s="303"/>
      <c r="G81" s="303"/>
      <c r="H81" s="305"/>
      <c r="I81" s="305"/>
      <c r="J81" s="305"/>
      <c r="K81" s="305"/>
      <c r="L81" s="305"/>
      <c r="M81" s="303"/>
      <c r="N81" s="303"/>
      <c r="O81" s="215"/>
      <c r="P81" s="215"/>
      <c r="Q81" s="292"/>
      <c r="R81" s="221"/>
      <c r="S81" s="221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</row>
    <row r="82" spans="1:29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306">
        <f t="shared" si="0"/>
        <v>0</v>
      </c>
      <c r="F82" s="303"/>
      <c r="G82" s="303"/>
      <c r="H82" s="305"/>
      <c r="I82" s="305"/>
      <c r="J82" s="305"/>
      <c r="K82" s="305"/>
      <c r="L82" s="305"/>
      <c r="M82" s="303"/>
      <c r="N82" s="303"/>
      <c r="O82" s="215"/>
      <c r="P82" s="215"/>
      <c r="Q82" s="292"/>
      <c r="R82" s="221"/>
      <c r="S82" s="221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</row>
    <row r="83" spans="1:29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306">
        <f t="shared" si="0"/>
        <v>0</v>
      </c>
      <c r="F83" s="303"/>
      <c r="G83" s="303"/>
      <c r="H83" s="305"/>
      <c r="I83" s="305"/>
      <c r="J83" s="305"/>
      <c r="K83" s="305"/>
      <c r="L83" s="305"/>
      <c r="M83" s="303"/>
      <c r="N83" s="303"/>
      <c r="O83" s="215"/>
      <c r="P83" s="215"/>
      <c r="Q83" s="292"/>
      <c r="R83" s="221"/>
      <c r="S83" s="221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</row>
    <row r="84" spans="1:29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306">
        <f t="shared" si="0"/>
        <v>0</v>
      </c>
      <c r="F84" s="303"/>
      <c r="G84" s="303"/>
      <c r="H84" s="305"/>
      <c r="I84" s="305"/>
      <c r="J84" s="305"/>
      <c r="K84" s="305"/>
      <c r="L84" s="305"/>
      <c r="M84" s="303"/>
      <c r="N84" s="303"/>
      <c r="O84" s="215"/>
      <c r="P84" s="215"/>
      <c r="Q84" s="292"/>
      <c r="R84" s="221"/>
      <c r="S84" s="221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</row>
    <row r="85" spans="1:29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306">
        <f t="shared" si="0"/>
        <v>0</v>
      </c>
      <c r="F85" s="303"/>
      <c r="G85" s="303"/>
      <c r="H85" s="305"/>
      <c r="I85" s="305"/>
      <c r="J85" s="305"/>
      <c r="K85" s="305"/>
      <c r="L85" s="305"/>
      <c r="M85" s="303"/>
      <c r="N85" s="303"/>
      <c r="O85" s="215"/>
      <c r="P85" s="215"/>
      <c r="Q85" s="292"/>
      <c r="R85" s="221"/>
      <c r="S85" s="221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</row>
    <row r="86" spans="1:29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306">
        <f t="shared" si="0"/>
        <v>0</v>
      </c>
      <c r="F86" s="303"/>
      <c r="G86" s="303"/>
      <c r="H86" s="305"/>
      <c r="I86" s="305"/>
      <c r="J86" s="305"/>
      <c r="K86" s="305"/>
      <c r="L86" s="305"/>
      <c r="M86" s="303"/>
      <c r="N86" s="303"/>
      <c r="O86" s="215"/>
      <c r="P86" s="215"/>
      <c r="Q86" s="292"/>
      <c r="R86" s="221"/>
      <c r="S86" s="221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</row>
    <row r="87" spans="1:29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306">
        <f t="shared" si="0"/>
        <v>0</v>
      </c>
      <c r="F87" s="303"/>
      <c r="G87" s="303"/>
      <c r="H87" s="303"/>
      <c r="I87" s="303"/>
      <c r="J87" s="303"/>
      <c r="K87" s="303"/>
      <c r="L87" s="303"/>
      <c r="M87" s="303"/>
      <c r="N87" s="303"/>
      <c r="O87" s="215"/>
      <c r="P87" s="215"/>
      <c r="Q87" s="292"/>
      <c r="R87" s="221"/>
      <c r="S87" s="221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</row>
    <row r="88" spans="1:29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306">
        <f t="shared" si="0"/>
        <v>0</v>
      </c>
      <c r="F88" s="303"/>
      <c r="G88" s="303"/>
      <c r="H88" s="303"/>
      <c r="I88" s="303"/>
      <c r="J88" s="303"/>
      <c r="K88" s="303"/>
      <c r="L88" s="303"/>
      <c r="M88" s="303"/>
      <c r="N88" s="303"/>
      <c r="O88" s="215"/>
      <c r="P88" s="215"/>
      <c r="Q88" s="292"/>
      <c r="R88" s="221"/>
      <c r="S88" s="221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</row>
    <row r="89" spans="1:29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306">
        <f t="shared" si="0"/>
        <v>0</v>
      </c>
      <c r="F89" s="303"/>
      <c r="G89" s="303"/>
      <c r="H89" s="305"/>
      <c r="I89" s="305"/>
      <c r="J89" s="305"/>
      <c r="K89" s="305"/>
      <c r="L89" s="305"/>
      <c r="M89" s="303"/>
      <c r="N89" s="303"/>
      <c r="O89" s="215"/>
      <c r="P89" s="215"/>
      <c r="Q89" s="292"/>
      <c r="R89" s="221"/>
      <c r="S89" s="221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</row>
    <row r="90" spans="1:29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306">
        <f t="shared" si="0"/>
        <v>0</v>
      </c>
      <c r="F90" s="303"/>
      <c r="G90" s="303"/>
      <c r="H90" s="305"/>
      <c r="I90" s="305"/>
      <c r="J90" s="305"/>
      <c r="K90" s="305"/>
      <c r="L90" s="305"/>
      <c r="M90" s="303"/>
      <c r="N90" s="303"/>
      <c r="O90" s="215"/>
      <c r="P90" s="215"/>
      <c r="Q90" s="292"/>
      <c r="R90" s="221"/>
      <c r="S90" s="221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</row>
    <row r="91" spans="1:29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306">
        <f t="shared" si="0"/>
        <v>0</v>
      </c>
      <c r="F91" s="303"/>
      <c r="G91" s="303"/>
      <c r="H91" s="305"/>
      <c r="I91" s="305"/>
      <c r="J91" s="305"/>
      <c r="K91" s="305"/>
      <c r="L91" s="305"/>
      <c r="M91" s="303"/>
      <c r="N91" s="303"/>
      <c r="O91" s="215"/>
      <c r="P91" s="215"/>
      <c r="Q91" s="292"/>
      <c r="R91" s="221"/>
      <c r="S91" s="221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</row>
    <row r="92" spans="1:29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306">
        <f t="shared" si="0"/>
        <v>0</v>
      </c>
      <c r="F92" s="303"/>
      <c r="G92" s="303"/>
      <c r="H92" s="305"/>
      <c r="I92" s="305"/>
      <c r="J92" s="305"/>
      <c r="K92" s="305"/>
      <c r="L92" s="305"/>
      <c r="M92" s="303"/>
      <c r="N92" s="303"/>
      <c r="O92" s="215"/>
      <c r="P92" s="215"/>
      <c r="Q92" s="292"/>
      <c r="R92" s="221"/>
      <c r="S92" s="221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</row>
    <row r="93" spans="1:29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306">
        <f t="shared" si="0"/>
        <v>0</v>
      </c>
      <c r="F93" s="303"/>
      <c r="G93" s="303"/>
      <c r="H93" s="305"/>
      <c r="I93" s="305"/>
      <c r="J93" s="305"/>
      <c r="K93" s="305"/>
      <c r="L93" s="305"/>
      <c r="M93" s="303"/>
      <c r="N93" s="303"/>
      <c r="O93" s="215"/>
      <c r="P93" s="215"/>
      <c r="Q93" s="292"/>
      <c r="R93" s="221"/>
      <c r="S93" s="221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</row>
    <row r="94" spans="1:29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306">
        <f t="shared" si="0"/>
        <v>0</v>
      </c>
      <c r="F94" s="303"/>
      <c r="G94" s="303"/>
      <c r="H94" s="305"/>
      <c r="I94" s="305"/>
      <c r="J94" s="305"/>
      <c r="K94" s="305"/>
      <c r="L94" s="305"/>
      <c r="M94" s="303"/>
      <c r="N94" s="303"/>
      <c r="O94" s="215"/>
      <c r="P94" s="215"/>
      <c r="Q94" s="292"/>
      <c r="R94" s="221"/>
      <c r="S94" s="221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</row>
    <row r="95" spans="1:29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306">
        <f t="shared" si="0"/>
        <v>0</v>
      </c>
      <c r="F95" s="303"/>
      <c r="G95" s="303"/>
      <c r="H95" s="305"/>
      <c r="I95" s="305"/>
      <c r="J95" s="305"/>
      <c r="K95" s="305"/>
      <c r="L95" s="305"/>
      <c r="M95" s="303"/>
      <c r="N95" s="303"/>
      <c r="O95" s="215"/>
      <c r="P95" s="215"/>
      <c r="Q95" s="292"/>
      <c r="R95" s="221"/>
      <c r="S95" s="221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</row>
    <row r="96" spans="1:29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306">
        <f t="shared" si="0"/>
        <v>0</v>
      </c>
      <c r="F96" s="303"/>
      <c r="G96" s="303"/>
      <c r="H96" s="305"/>
      <c r="I96" s="305"/>
      <c r="J96" s="305"/>
      <c r="K96" s="305"/>
      <c r="L96" s="305"/>
      <c r="M96" s="303"/>
      <c r="N96" s="303"/>
      <c r="O96" s="215"/>
      <c r="P96" s="215"/>
      <c r="Q96" s="292"/>
      <c r="R96" s="221"/>
      <c r="S96" s="221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</row>
    <row r="97" spans="1:29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306">
        <f t="shared" si="0"/>
        <v>0</v>
      </c>
      <c r="F97" s="303"/>
      <c r="G97" s="303"/>
      <c r="H97" s="305"/>
      <c r="I97" s="305"/>
      <c r="J97" s="305"/>
      <c r="K97" s="305"/>
      <c r="L97" s="305"/>
      <c r="M97" s="303"/>
      <c r="N97" s="303"/>
      <c r="O97" s="215"/>
      <c r="P97" s="215"/>
      <c r="Q97" s="292"/>
      <c r="R97" s="221"/>
      <c r="S97" s="221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</row>
    <row r="98" spans="1:29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306">
        <f t="shared" si="0"/>
        <v>0</v>
      </c>
      <c r="F98" s="303"/>
      <c r="G98" s="303"/>
      <c r="H98" s="305"/>
      <c r="I98" s="305"/>
      <c r="J98" s="305"/>
      <c r="K98" s="305"/>
      <c r="L98" s="305"/>
      <c r="M98" s="303"/>
      <c r="N98" s="303"/>
      <c r="O98" s="215"/>
      <c r="P98" s="215"/>
      <c r="Q98" s="292"/>
      <c r="R98" s="221"/>
      <c r="S98" s="221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</row>
    <row r="99" spans="1:29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306">
        <f t="shared" si="0"/>
        <v>0</v>
      </c>
      <c r="F99" s="303"/>
      <c r="G99" s="303"/>
      <c r="H99" s="305"/>
      <c r="I99" s="305"/>
      <c r="J99" s="305"/>
      <c r="K99" s="305"/>
      <c r="L99" s="305"/>
      <c r="M99" s="303"/>
      <c r="N99" s="303"/>
      <c r="O99" s="215"/>
      <c r="P99" s="215"/>
      <c r="Q99" s="292"/>
      <c r="R99" s="221"/>
      <c r="S99" s="221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</row>
    <row r="100" spans="1:29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306">
        <f t="shared" si="0"/>
        <v>0</v>
      </c>
      <c r="F100" s="303"/>
      <c r="G100" s="303"/>
      <c r="H100" s="305"/>
      <c r="I100" s="305"/>
      <c r="J100" s="305"/>
      <c r="K100" s="305"/>
      <c r="L100" s="305"/>
      <c r="M100" s="303"/>
      <c r="N100" s="303"/>
      <c r="O100" s="215"/>
      <c r="P100" s="215"/>
      <c r="Q100" s="292"/>
      <c r="R100" s="221"/>
      <c r="S100" s="221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</row>
    <row r="101" spans="1:29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306">
        <f t="shared" si="0"/>
        <v>0</v>
      </c>
      <c r="F101" s="303"/>
      <c r="G101" s="303"/>
      <c r="H101" s="305"/>
      <c r="I101" s="305"/>
      <c r="J101" s="305"/>
      <c r="K101" s="305"/>
      <c r="L101" s="305"/>
      <c r="M101" s="303"/>
      <c r="N101" s="303"/>
      <c r="O101" s="215"/>
      <c r="P101" s="215"/>
      <c r="Q101" s="292"/>
      <c r="R101" s="221"/>
      <c r="S101" s="221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</row>
    <row r="102" spans="1:29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306">
        <f t="shared" si="0"/>
        <v>0</v>
      </c>
      <c r="F102" s="303"/>
      <c r="G102" s="303"/>
      <c r="H102" s="305"/>
      <c r="I102" s="305"/>
      <c r="J102" s="305"/>
      <c r="K102" s="305"/>
      <c r="L102" s="305"/>
      <c r="M102" s="303"/>
      <c r="N102" s="303"/>
      <c r="O102" s="215"/>
      <c r="P102" s="215"/>
      <c r="Q102" s="292"/>
      <c r="R102" s="221"/>
      <c r="S102" s="221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</row>
    <row r="103" spans="1:29" ht="18.75" customHeight="1">
      <c r="A103" s="46">
        <v>6</v>
      </c>
      <c r="B103" s="64" t="s">
        <v>266</v>
      </c>
      <c r="C103" s="64" t="s">
        <v>267</v>
      </c>
      <c r="D103" s="216"/>
      <c r="E103" s="306">
        <f t="shared" si="0"/>
        <v>0</v>
      </c>
      <c r="F103" s="303"/>
      <c r="G103" s="303"/>
      <c r="H103" s="305"/>
      <c r="I103" s="305"/>
      <c r="J103" s="305"/>
      <c r="K103" s="305"/>
      <c r="L103" s="305"/>
      <c r="M103" s="303"/>
      <c r="N103" s="309"/>
      <c r="O103" s="215"/>
      <c r="P103" s="215"/>
      <c r="Q103" s="292"/>
      <c r="R103" s="221"/>
      <c r="S103" s="221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</row>
    <row r="104" spans="1:29" ht="18.75" customHeight="1">
      <c r="A104" s="101"/>
      <c r="B104" s="53" t="s">
        <v>269</v>
      </c>
      <c r="C104" s="87" t="s">
        <v>270</v>
      </c>
      <c r="D104" s="61" t="s">
        <v>271</v>
      </c>
      <c r="E104" s="306">
        <f t="shared" si="0"/>
        <v>0</v>
      </c>
      <c r="F104" s="311"/>
      <c r="G104" s="311"/>
      <c r="H104" s="309"/>
      <c r="I104" s="309"/>
      <c r="J104" s="309"/>
      <c r="K104" s="309"/>
      <c r="L104" s="309"/>
      <c r="M104" s="305"/>
      <c r="N104" s="303"/>
      <c r="O104" s="215"/>
      <c r="P104" s="215"/>
      <c r="Q104" s="204"/>
      <c r="R104" s="221"/>
      <c r="S104" s="221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</row>
    <row r="105" spans="1:29" ht="18.75" hidden="1" customHeight="1">
      <c r="A105" s="222"/>
      <c r="B105" s="86" t="s">
        <v>273</v>
      </c>
      <c r="C105" s="223" t="s">
        <v>274</v>
      </c>
      <c r="D105" s="61" t="s">
        <v>271</v>
      </c>
      <c r="E105" s="306">
        <f t="shared" si="0"/>
        <v>0</v>
      </c>
      <c r="F105" s="303"/>
      <c r="G105" s="303"/>
      <c r="H105" s="303"/>
      <c r="I105" s="303"/>
      <c r="J105" s="303"/>
      <c r="K105" s="303"/>
      <c r="L105" s="303"/>
      <c r="M105" s="303"/>
      <c r="N105" s="303"/>
      <c r="O105" s="215"/>
      <c r="P105" s="215"/>
      <c r="Q105" s="204"/>
      <c r="R105" s="221"/>
      <c r="S105" s="221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</row>
    <row r="106" spans="1:29" ht="18.75" hidden="1" customHeight="1">
      <c r="A106" s="42"/>
      <c r="B106" s="59" t="s">
        <v>275</v>
      </c>
      <c r="C106" s="113" t="s">
        <v>131</v>
      </c>
      <c r="D106" s="61" t="s">
        <v>271</v>
      </c>
      <c r="E106" s="306">
        <f t="shared" si="0"/>
        <v>0</v>
      </c>
      <c r="F106" s="303"/>
      <c r="G106" s="303"/>
      <c r="H106" s="303"/>
      <c r="I106" s="303"/>
      <c r="J106" s="303"/>
      <c r="K106" s="303"/>
      <c r="L106" s="303"/>
      <c r="M106" s="303"/>
      <c r="N106" s="303"/>
      <c r="O106" s="215"/>
      <c r="P106" s="215"/>
      <c r="Q106" s="204"/>
      <c r="R106" s="221"/>
      <c r="S106" s="221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</row>
    <row r="107" spans="1:29" ht="18.75" hidden="1" customHeight="1">
      <c r="A107" s="42"/>
      <c r="B107" s="59" t="s">
        <v>276</v>
      </c>
      <c r="C107" s="113" t="s">
        <v>200</v>
      </c>
      <c r="D107" s="61" t="s">
        <v>271</v>
      </c>
      <c r="E107" s="306">
        <f t="shared" si="0"/>
        <v>0</v>
      </c>
      <c r="F107" s="303"/>
      <c r="G107" s="303"/>
      <c r="H107" s="303"/>
      <c r="I107" s="303"/>
      <c r="J107" s="303"/>
      <c r="K107" s="303"/>
      <c r="L107" s="303"/>
      <c r="M107" s="303"/>
      <c r="N107" s="303"/>
      <c r="O107" s="215"/>
      <c r="P107" s="215"/>
      <c r="Q107" s="292"/>
      <c r="R107" s="221"/>
      <c r="S107" s="221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</row>
    <row r="108" spans="1:29" ht="18.75" hidden="1" customHeight="1">
      <c r="A108" s="42"/>
      <c r="B108" s="59" t="s">
        <v>277</v>
      </c>
      <c r="C108" s="113" t="s">
        <v>203</v>
      </c>
      <c r="D108" s="61" t="s">
        <v>271</v>
      </c>
      <c r="E108" s="306">
        <f t="shared" si="0"/>
        <v>0</v>
      </c>
      <c r="F108" s="303"/>
      <c r="G108" s="303"/>
      <c r="H108" s="303"/>
      <c r="I108" s="303"/>
      <c r="J108" s="303"/>
      <c r="K108" s="303"/>
      <c r="L108" s="303"/>
      <c r="M108" s="303"/>
      <c r="N108" s="303"/>
      <c r="O108" s="215"/>
      <c r="P108" s="215"/>
      <c r="Q108" s="292"/>
      <c r="R108" s="221"/>
      <c r="S108" s="221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</row>
    <row r="109" spans="1:29" ht="18.75" hidden="1" customHeight="1">
      <c r="A109" s="42"/>
      <c r="B109" s="59" t="s">
        <v>278</v>
      </c>
      <c r="C109" s="113" t="s">
        <v>159</v>
      </c>
      <c r="D109" s="61" t="s">
        <v>271</v>
      </c>
      <c r="E109" s="306">
        <f t="shared" si="0"/>
        <v>0</v>
      </c>
      <c r="F109" s="303"/>
      <c r="G109" s="303"/>
      <c r="H109" s="303"/>
      <c r="I109" s="303"/>
      <c r="J109" s="303"/>
      <c r="K109" s="303"/>
      <c r="L109" s="303"/>
      <c r="M109" s="303"/>
      <c r="N109" s="303"/>
      <c r="O109" s="215"/>
      <c r="P109" s="215"/>
      <c r="Q109" s="292"/>
      <c r="R109" s="221"/>
      <c r="S109" s="221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</row>
    <row r="110" spans="1:29" ht="18.75" hidden="1" customHeight="1">
      <c r="A110" s="222"/>
      <c r="B110" s="86" t="s">
        <v>279</v>
      </c>
      <c r="C110" s="223" t="s">
        <v>280</v>
      </c>
      <c r="D110" s="61" t="s">
        <v>271</v>
      </c>
      <c r="E110" s="306">
        <f t="shared" si="0"/>
        <v>0</v>
      </c>
      <c r="F110" s="303"/>
      <c r="G110" s="303"/>
      <c r="H110" s="303"/>
      <c r="I110" s="303"/>
      <c r="J110" s="303"/>
      <c r="K110" s="303"/>
      <c r="L110" s="303"/>
      <c r="M110" s="303"/>
      <c r="N110" s="303"/>
      <c r="O110" s="215"/>
      <c r="P110" s="215"/>
      <c r="Q110" s="292"/>
      <c r="R110" s="221"/>
      <c r="S110" s="221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</row>
    <row r="111" spans="1:29" ht="18.75" hidden="1" customHeight="1">
      <c r="A111" s="118"/>
      <c r="B111" s="59" t="s">
        <v>281</v>
      </c>
      <c r="C111" s="113" t="s">
        <v>131</v>
      </c>
      <c r="D111" s="61" t="s">
        <v>271</v>
      </c>
      <c r="E111" s="306">
        <f t="shared" si="0"/>
        <v>0</v>
      </c>
      <c r="F111" s="303"/>
      <c r="G111" s="303"/>
      <c r="H111" s="303"/>
      <c r="I111" s="303"/>
      <c r="J111" s="303"/>
      <c r="K111" s="303"/>
      <c r="L111" s="303"/>
      <c r="M111" s="303"/>
      <c r="N111" s="303"/>
      <c r="O111" s="215"/>
      <c r="P111" s="215"/>
      <c r="Q111" s="292"/>
      <c r="R111" s="221"/>
      <c r="S111" s="221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</row>
    <row r="112" spans="1:29" ht="18.75" hidden="1" customHeight="1">
      <c r="A112" s="118"/>
      <c r="B112" s="59" t="s">
        <v>282</v>
      </c>
      <c r="C112" s="113" t="s">
        <v>200</v>
      </c>
      <c r="D112" s="61" t="s">
        <v>271</v>
      </c>
      <c r="E112" s="306">
        <f t="shared" si="0"/>
        <v>0</v>
      </c>
      <c r="F112" s="303"/>
      <c r="G112" s="303"/>
      <c r="H112" s="303"/>
      <c r="I112" s="303"/>
      <c r="J112" s="303"/>
      <c r="K112" s="303"/>
      <c r="L112" s="303"/>
      <c r="M112" s="303"/>
      <c r="N112" s="303"/>
      <c r="O112" s="215"/>
      <c r="P112" s="215"/>
      <c r="Q112" s="292"/>
      <c r="R112" s="221"/>
      <c r="S112" s="221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</row>
    <row r="113" spans="1:29" ht="18.75" hidden="1" customHeight="1">
      <c r="A113" s="118"/>
      <c r="B113" s="59" t="s">
        <v>283</v>
      </c>
      <c r="C113" s="113" t="s">
        <v>203</v>
      </c>
      <c r="D113" s="61" t="s">
        <v>271</v>
      </c>
      <c r="E113" s="306">
        <f t="shared" si="0"/>
        <v>0</v>
      </c>
      <c r="F113" s="303"/>
      <c r="G113" s="303"/>
      <c r="H113" s="303"/>
      <c r="I113" s="303"/>
      <c r="J113" s="303"/>
      <c r="K113" s="303"/>
      <c r="L113" s="303"/>
      <c r="M113" s="303"/>
      <c r="N113" s="303"/>
      <c r="O113" s="215"/>
      <c r="P113" s="215"/>
      <c r="Q113" s="292"/>
      <c r="R113" s="221"/>
      <c r="S113" s="221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</row>
    <row r="114" spans="1:29" ht="18.75" hidden="1" customHeight="1">
      <c r="A114" s="118"/>
      <c r="B114" s="59" t="s">
        <v>284</v>
      </c>
      <c r="C114" s="113" t="s">
        <v>159</v>
      </c>
      <c r="D114" s="61" t="s">
        <v>271</v>
      </c>
      <c r="E114" s="306">
        <f t="shared" si="0"/>
        <v>0</v>
      </c>
      <c r="F114" s="303"/>
      <c r="G114" s="303"/>
      <c r="H114" s="303"/>
      <c r="I114" s="303"/>
      <c r="J114" s="303"/>
      <c r="K114" s="303"/>
      <c r="L114" s="303"/>
      <c r="M114" s="303"/>
      <c r="N114" s="303"/>
      <c r="O114" s="215"/>
      <c r="P114" s="215"/>
      <c r="Q114" s="292"/>
      <c r="R114" s="221"/>
      <c r="S114" s="221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</row>
    <row r="115" spans="1:29" ht="18.75" hidden="1" customHeight="1">
      <c r="A115" s="101"/>
      <c r="B115" s="53" t="s">
        <v>285</v>
      </c>
      <c r="C115" s="87" t="s">
        <v>286</v>
      </c>
      <c r="D115" s="61" t="s">
        <v>271</v>
      </c>
      <c r="E115" s="306">
        <f t="shared" si="0"/>
        <v>0</v>
      </c>
      <c r="F115" s="303"/>
      <c r="G115" s="303"/>
      <c r="H115" s="303"/>
      <c r="I115" s="303"/>
      <c r="J115" s="303"/>
      <c r="K115" s="303"/>
      <c r="L115" s="303"/>
      <c r="M115" s="303"/>
      <c r="N115" s="303"/>
      <c r="O115" s="215"/>
      <c r="P115" s="215"/>
      <c r="Q115" s="292"/>
      <c r="R115" s="221"/>
      <c r="S115" s="221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</row>
    <row r="116" spans="1:29" ht="18.75" hidden="1" customHeight="1">
      <c r="A116" s="222"/>
      <c r="B116" s="86" t="s">
        <v>287</v>
      </c>
      <c r="C116" s="223" t="s">
        <v>288</v>
      </c>
      <c r="D116" s="61" t="s">
        <v>271</v>
      </c>
      <c r="E116" s="306">
        <f t="shared" si="0"/>
        <v>0</v>
      </c>
      <c r="F116" s="303"/>
      <c r="G116" s="303"/>
      <c r="H116" s="303"/>
      <c r="I116" s="303"/>
      <c r="J116" s="303"/>
      <c r="K116" s="303"/>
      <c r="L116" s="303"/>
      <c r="M116" s="303"/>
      <c r="N116" s="303"/>
      <c r="O116" s="215"/>
      <c r="P116" s="215"/>
      <c r="Q116" s="292"/>
      <c r="R116" s="221"/>
      <c r="S116" s="221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</row>
    <row r="117" spans="1:29" ht="18.75" hidden="1" customHeight="1">
      <c r="A117" s="42"/>
      <c r="B117" s="59" t="s">
        <v>289</v>
      </c>
      <c r="C117" s="113" t="s">
        <v>131</v>
      </c>
      <c r="D117" s="61" t="s">
        <v>271</v>
      </c>
      <c r="E117" s="306">
        <f t="shared" si="0"/>
        <v>0</v>
      </c>
      <c r="F117" s="303"/>
      <c r="G117" s="303"/>
      <c r="H117" s="303"/>
      <c r="I117" s="303"/>
      <c r="J117" s="303"/>
      <c r="K117" s="303"/>
      <c r="L117" s="303"/>
      <c r="M117" s="303"/>
      <c r="N117" s="303"/>
      <c r="O117" s="215"/>
      <c r="P117" s="215"/>
      <c r="Q117" s="292"/>
      <c r="R117" s="221"/>
      <c r="S117" s="221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</row>
    <row r="118" spans="1:29" ht="18.75" hidden="1" customHeight="1">
      <c r="A118" s="42"/>
      <c r="B118" s="59" t="s">
        <v>290</v>
      </c>
      <c r="C118" s="113" t="s">
        <v>200</v>
      </c>
      <c r="D118" s="61" t="s">
        <v>271</v>
      </c>
      <c r="E118" s="306">
        <f t="shared" si="0"/>
        <v>0</v>
      </c>
      <c r="F118" s="303"/>
      <c r="G118" s="303"/>
      <c r="H118" s="303"/>
      <c r="I118" s="303"/>
      <c r="J118" s="303"/>
      <c r="K118" s="303"/>
      <c r="L118" s="303"/>
      <c r="M118" s="303"/>
      <c r="N118" s="303"/>
      <c r="O118" s="215"/>
      <c r="P118" s="215"/>
      <c r="Q118" s="292"/>
      <c r="R118" s="221"/>
      <c r="S118" s="221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</row>
    <row r="119" spans="1:29" ht="18.75" hidden="1" customHeight="1">
      <c r="A119" s="42"/>
      <c r="B119" s="59" t="s">
        <v>291</v>
      </c>
      <c r="C119" s="113" t="s">
        <v>203</v>
      </c>
      <c r="D119" s="61" t="s">
        <v>271</v>
      </c>
      <c r="E119" s="306">
        <f t="shared" si="0"/>
        <v>0</v>
      </c>
      <c r="F119" s="303"/>
      <c r="G119" s="303"/>
      <c r="H119" s="303"/>
      <c r="I119" s="303"/>
      <c r="J119" s="303"/>
      <c r="K119" s="303"/>
      <c r="L119" s="303"/>
      <c r="M119" s="303"/>
      <c r="N119" s="303"/>
      <c r="O119" s="215"/>
      <c r="P119" s="215"/>
      <c r="Q119" s="292"/>
      <c r="R119" s="221"/>
      <c r="S119" s="221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</row>
    <row r="120" spans="1:29" ht="18.75" hidden="1" customHeight="1">
      <c r="A120" s="42"/>
      <c r="B120" s="59" t="s">
        <v>292</v>
      </c>
      <c r="C120" s="113" t="s">
        <v>159</v>
      </c>
      <c r="D120" s="61" t="s">
        <v>271</v>
      </c>
      <c r="E120" s="306">
        <f t="shared" si="0"/>
        <v>0</v>
      </c>
      <c r="F120" s="303"/>
      <c r="G120" s="303"/>
      <c r="H120" s="303"/>
      <c r="I120" s="303"/>
      <c r="J120" s="303"/>
      <c r="K120" s="303"/>
      <c r="L120" s="303"/>
      <c r="M120" s="303"/>
      <c r="N120" s="303"/>
      <c r="O120" s="215"/>
      <c r="P120" s="215"/>
      <c r="Q120" s="292"/>
      <c r="R120" s="221"/>
      <c r="S120" s="221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</row>
    <row r="121" spans="1:29" ht="18.75" hidden="1" customHeight="1">
      <c r="A121" s="222"/>
      <c r="B121" s="86" t="s">
        <v>293</v>
      </c>
      <c r="C121" s="223" t="s">
        <v>294</v>
      </c>
      <c r="D121" s="61" t="s">
        <v>271</v>
      </c>
      <c r="E121" s="306">
        <f t="shared" si="0"/>
        <v>0</v>
      </c>
      <c r="F121" s="303"/>
      <c r="G121" s="303"/>
      <c r="H121" s="303"/>
      <c r="I121" s="303"/>
      <c r="J121" s="303"/>
      <c r="K121" s="303"/>
      <c r="L121" s="303"/>
      <c r="M121" s="303"/>
      <c r="N121" s="303"/>
      <c r="O121" s="215"/>
      <c r="P121" s="215"/>
      <c r="Q121" s="292"/>
      <c r="R121" s="221"/>
      <c r="S121" s="221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</row>
    <row r="122" spans="1:29" ht="18.75" hidden="1" customHeight="1">
      <c r="A122" s="42"/>
      <c r="B122" s="59" t="s">
        <v>295</v>
      </c>
      <c r="C122" s="113" t="s">
        <v>131</v>
      </c>
      <c r="D122" s="61" t="s">
        <v>271</v>
      </c>
      <c r="E122" s="306">
        <f t="shared" si="0"/>
        <v>0</v>
      </c>
      <c r="F122" s="303"/>
      <c r="G122" s="303"/>
      <c r="H122" s="303"/>
      <c r="I122" s="303"/>
      <c r="J122" s="303"/>
      <c r="K122" s="303"/>
      <c r="L122" s="303"/>
      <c r="M122" s="303"/>
      <c r="N122" s="303"/>
      <c r="O122" s="215"/>
      <c r="P122" s="215"/>
      <c r="Q122" s="292"/>
      <c r="R122" s="221"/>
      <c r="S122" s="221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</row>
    <row r="123" spans="1:29" ht="18.75" hidden="1" customHeight="1">
      <c r="A123" s="42"/>
      <c r="B123" s="59" t="s">
        <v>296</v>
      </c>
      <c r="C123" s="113" t="s">
        <v>200</v>
      </c>
      <c r="D123" s="61" t="s">
        <v>271</v>
      </c>
      <c r="E123" s="306">
        <f t="shared" si="0"/>
        <v>0</v>
      </c>
      <c r="F123" s="303"/>
      <c r="G123" s="303"/>
      <c r="H123" s="303"/>
      <c r="I123" s="303"/>
      <c r="J123" s="303"/>
      <c r="K123" s="303"/>
      <c r="L123" s="303"/>
      <c r="M123" s="303"/>
      <c r="N123" s="303"/>
      <c r="O123" s="215"/>
      <c r="P123" s="215"/>
      <c r="Q123" s="292"/>
      <c r="R123" s="221"/>
      <c r="S123" s="221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</row>
    <row r="124" spans="1:29" ht="18.75" hidden="1" customHeight="1">
      <c r="A124" s="42"/>
      <c r="B124" s="59" t="s">
        <v>297</v>
      </c>
      <c r="C124" s="113" t="s">
        <v>203</v>
      </c>
      <c r="D124" s="61" t="s">
        <v>271</v>
      </c>
      <c r="E124" s="306">
        <f t="shared" si="0"/>
        <v>0</v>
      </c>
      <c r="F124" s="303"/>
      <c r="G124" s="303"/>
      <c r="H124" s="303"/>
      <c r="I124" s="303"/>
      <c r="J124" s="303"/>
      <c r="K124" s="303"/>
      <c r="L124" s="303"/>
      <c r="M124" s="303"/>
      <c r="N124" s="303"/>
      <c r="O124" s="215"/>
      <c r="P124" s="215"/>
      <c r="Q124" s="292"/>
      <c r="R124" s="221"/>
      <c r="S124" s="221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</row>
    <row r="125" spans="1:29" ht="18.75" hidden="1" customHeight="1">
      <c r="A125" s="42"/>
      <c r="B125" s="59" t="s">
        <v>298</v>
      </c>
      <c r="C125" s="113" t="s">
        <v>159</v>
      </c>
      <c r="D125" s="61" t="s">
        <v>271</v>
      </c>
      <c r="E125" s="306">
        <f t="shared" si="0"/>
        <v>0</v>
      </c>
      <c r="F125" s="303"/>
      <c r="G125" s="303"/>
      <c r="H125" s="303"/>
      <c r="I125" s="303"/>
      <c r="J125" s="303"/>
      <c r="K125" s="303"/>
      <c r="L125" s="303"/>
      <c r="M125" s="303"/>
      <c r="N125" s="303"/>
      <c r="O125" s="215"/>
      <c r="P125" s="215"/>
      <c r="Q125" s="292"/>
      <c r="R125" s="221"/>
      <c r="S125" s="221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</row>
    <row r="126" spans="1:29" ht="18.75" customHeight="1">
      <c r="A126" s="101"/>
      <c r="B126" s="53" t="s">
        <v>299</v>
      </c>
      <c r="C126" s="87" t="s">
        <v>300</v>
      </c>
      <c r="D126" s="61" t="s">
        <v>271</v>
      </c>
      <c r="E126" s="306">
        <f t="shared" si="0"/>
        <v>0</v>
      </c>
      <c r="F126" s="311"/>
      <c r="G126" s="311"/>
      <c r="H126" s="309"/>
      <c r="I126" s="303"/>
      <c r="J126" s="309"/>
      <c r="K126" s="303"/>
      <c r="L126" s="305"/>
      <c r="M126" s="303"/>
      <c r="N126" s="303"/>
      <c r="O126" s="215"/>
      <c r="P126" s="312"/>
      <c r="Q126" s="313"/>
      <c r="R126" s="221"/>
      <c r="S126" s="221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</row>
    <row r="127" spans="1:29" ht="18.75" hidden="1" customHeight="1">
      <c r="A127" s="118"/>
      <c r="B127" s="59" t="s">
        <v>302</v>
      </c>
      <c r="C127" s="113" t="s">
        <v>131</v>
      </c>
      <c r="D127" s="61" t="s">
        <v>271</v>
      </c>
      <c r="E127" s="306">
        <f t="shared" si="0"/>
        <v>0</v>
      </c>
      <c r="F127" s="303"/>
      <c r="G127" s="303"/>
      <c r="H127" s="303"/>
      <c r="I127" s="303"/>
      <c r="J127" s="303"/>
      <c r="K127" s="303"/>
      <c r="L127" s="303"/>
      <c r="M127" s="303"/>
      <c r="N127" s="303"/>
      <c r="O127" s="215"/>
      <c r="P127" s="215"/>
      <c r="Q127" s="292"/>
      <c r="R127" s="221"/>
      <c r="S127" s="221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</row>
    <row r="128" spans="1:29" ht="18.75" hidden="1" customHeight="1">
      <c r="A128" s="118"/>
      <c r="B128" s="59" t="s">
        <v>303</v>
      </c>
      <c r="C128" s="113" t="s">
        <v>200</v>
      </c>
      <c r="D128" s="61" t="s">
        <v>271</v>
      </c>
      <c r="E128" s="306">
        <f t="shared" si="0"/>
        <v>0</v>
      </c>
      <c r="F128" s="303"/>
      <c r="G128" s="303"/>
      <c r="H128" s="303"/>
      <c r="I128" s="303"/>
      <c r="J128" s="303"/>
      <c r="K128" s="303"/>
      <c r="L128" s="303"/>
      <c r="M128" s="303"/>
      <c r="N128" s="303"/>
      <c r="O128" s="215"/>
      <c r="P128" s="215"/>
      <c r="Q128" s="292"/>
      <c r="R128" s="221"/>
      <c r="S128" s="221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</row>
    <row r="129" spans="1:29" ht="18.75" hidden="1" customHeight="1">
      <c r="A129" s="118"/>
      <c r="B129" s="59" t="s">
        <v>304</v>
      </c>
      <c r="C129" s="113" t="s">
        <v>203</v>
      </c>
      <c r="D129" s="61" t="s">
        <v>271</v>
      </c>
      <c r="E129" s="306">
        <f t="shared" si="0"/>
        <v>0</v>
      </c>
      <c r="F129" s="303"/>
      <c r="G129" s="303"/>
      <c r="H129" s="303"/>
      <c r="I129" s="303"/>
      <c r="J129" s="303"/>
      <c r="K129" s="303"/>
      <c r="L129" s="303"/>
      <c r="M129" s="303"/>
      <c r="N129" s="303"/>
      <c r="O129" s="215"/>
      <c r="P129" s="215"/>
      <c r="Q129" s="292"/>
      <c r="R129" s="221"/>
      <c r="S129" s="221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</row>
    <row r="130" spans="1:29" ht="18.75" hidden="1" customHeight="1">
      <c r="A130" s="118"/>
      <c r="B130" s="59" t="s">
        <v>305</v>
      </c>
      <c r="C130" s="113" t="s">
        <v>159</v>
      </c>
      <c r="D130" s="61" t="s">
        <v>271</v>
      </c>
      <c r="E130" s="306">
        <f t="shared" si="0"/>
        <v>0</v>
      </c>
      <c r="F130" s="303"/>
      <c r="G130" s="303"/>
      <c r="H130" s="303"/>
      <c r="I130" s="303"/>
      <c r="J130" s="303"/>
      <c r="K130" s="303"/>
      <c r="L130" s="303"/>
      <c r="M130" s="303"/>
      <c r="N130" s="303"/>
      <c r="O130" s="215"/>
      <c r="P130" s="215"/>
      <c r="Q130" s="292"/>
      <c r="R130" s="221"/>
      <c r="S130" s="221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</row>
    <row r="131" spans="1:29" ht="18.75" customHeight="1">
      <c r="A131" s="101"/>
      <c r="B131" s="86" t="s">
        <v>306</v>
      </c>
      <c r="C131" s="87" t="s">
        <v>307</v>
      </c>
      <c r="D131" s="61" t="s">
        <v>308</v>
      </c>
      <c r="E131" s="306">
        <f t="shared" si="0"/>
        <v>0</v>
      </c>
      <c r="F131" s="303"/>
      <c r="G131" s="303"/>
      <c r="H131" s="303"/>
      <c r="I131" s="303"/>
      <c r="J131" s="303"/>
      <c r="K131" s="303"/>
      <c r="L131" s="303"/>
      <c r="M131" s="303"/>
      <c r="N131" s="303"/>
      <c r="O131" s="215"/>
      <c r="P131" s="215"/>
      <c r="Q131" s="292"/>
      <c r="R131" s="221"/>
      <c r="S131" s="221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</row>
    <row r="132" spans="1:29" ht="18.75" hidden="1" customHeight="1">
      <c r="A132" s="118"/>
      <c r="B132" s="59" t="s">
        <v>310</v>
      </c>
      <c r="C132" s="113" t="s">
        <v>131</v>
      </c>
      <c r="D132" s="61" t="s">
        <v>308</v>
      </c>
      <c r="E132" s="306">
        <f t="shared" si="0"/>
        <v>0</v>
      </c>
      <c r="F132" s="303"/>
      <c r="G132" s="303"/>
      <c r="H132" s="303"/>
      <c r="I132" s="303"/>
      <c r="J132" s="303"/>
      <c r="K132" s="303"/>
      <c r="L132" s="303"/>
      <c r="M132" s="303"/>
      <c r="N132" s="303"/>
      <c r="O132" s="215"/>
      <c r="P132" s="215"/>
      <c r="Q132" s="292"/>
      <c r="R132" s="221"/>
      <c r="S132" s="221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</row>
    <row r="133" spans="1:29" ht="18.75" hidden="1" customHeight="1">
      <c r="A133" s="118"/>
      <c r="B133" s="59" t="s">
        <v>311</v>
      </c>
      <c r="C133" s="113" t="s">
        <v>200</v>
      </c>
      <c r="D133" s="61" t="s">
        <v>308</v>
      </c>
      <c r="E133" s="306">
        <f t="shared" si="0"/>
        <v>0</v>
      </c>
      <c r="F133" s="303"/>
      <c r="G133" s="303"/>
      <c r="H133" s="303"/>
      <c r="I133" s="303"/>
      <c r="J133" s="303"/>
      <c r="K133" s="303"/>
      <c r="L133" s="303"/>
      <c r="M133" s="303"/>
      <c r="N133" s="303"/>
      <c r="O133" s="215"/>
      <c r="P133" s="215"/>
      <c r="Q133" s="292"/>
      <c r="R133" s="221"/>
      <c r="S133" s="221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</row>
    <row r="134" spans="1:29" ht="18.75" hidden="1" customHeight="1">
      <c r="A134" s="118"/>
      <c r="B134" s="59" t="s">
        <v>312</v>
      </c>
      <c r="C134" s="113" t="s">
        <v>203</v>
      </c>
      <c r="D134" s="61" t="s">
        <v>308</v>
      </c>
      <c r="E134" s="306">
        <f t="shared" si="0"/>
        <v>0</v>
      </c>
      <c r="F134" s="303"/>
      <c r="G134" s="303"/>
      <c r="H134" s="303"/>
      <c r="I134" s="303"/>
      <c r="J134" s="303"/>
      <c r="K134" s="303"/>
      <c r="L134" s="303"/>
      <c r="M134" s="303"/>
      <c r="N134" s="303"/>
      <c r="O134" s="215"/>
      <c r="P134" s="215"/>
      <c r="Q134" s="292"/>
      <c r="R134" s="221"/>
      <c r="S134" s="221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</row>
    <row r="135" spans="1:29" ht="18.75" hidden="1" customHeight="1">
      <c r="A135" s="118"/>
      <c r="B135" s="59" t="s">
        <v>313</v>
      </c>
      <c r="C135" s="113" t="s">
        <v>159</v>
      </c>
      <c r="D135" s="61" t="s">
        <v>308</v>
      </c>
      <c r="E135" s="306">
        <f t="shared" si="0"/>
        <v>0</v>
      </c>
      <c r="F135" s="303"/>
      <c r="G135" s="303"/>
      <c r="H135" s="303"/>
      <c r="I135" s="303"/>
      <c r="J135" s="303"/>
      <c r="K135" s="303"/>
      <c r="L135" s="303"/>
      <c r="M135" s="303"/>
      <c r="N135" s="303"/>
      <c r="O135" s="215"/>
      <c r="P135" s="215"/>
      <c r="Q135" s="292"/>
      <c r="R135" s="221"/>
      <c r="S135" s="221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</row>
    <row r="136" spans="1:29" ht="18.75" customHeight="1">
      <c r="A136" s="101"/>
      <c r="B136" s="53" t="s">
        <v>314</v>
      </c>
      <c r="C136" s="103" t="s">
        <v>315</v>
      </c>
      <c r="D136" s="61" t="s">
        <v>271</v>
      </c>
      <c r="E136" s="306">
        <f t="shared" si="0"/>
        <v>0</v>
      </c>
      <c r="F136" s="303"/>
      <c r="G136" s="303"/>
      <c r="H136" s="305"/>
      <c r="I136" s="303"/>
      <c r="J136" s="305"/>
      <c r="K136" s="309"/>
      <c r="L136" s="305"/>
      <c r="M136" s="303"/>
      <c r="N136" s="303"/>
      <c r="O136" s="215"/>
      <c r="P136" s="215"/>
      <c r="Q136" s="292"/>
      <c r="R136" s="221"/>
      <c r="S136" s="221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</row>
    <row r="137" spans="1:29" ht="18.75" hidden="1" customHeight="1">
      <c r="A137" s="42"/>
      <c r="B137" s="59" t="s">
        <v>317</v>
      </c>
      <c r="C137" s="113" t="s">
        <v>131</v>
      </c>
      <c r="D137" s="61" t="s">
        <v>271</v>
      </c>
      <c r="E137" s="306">
        <f t="shared" si="0"/>
        <v>0</v>
      </c>
      <c r="F137" s="303"/>
      <c r="G137" s="303"/>
      <c r="H137" s="303"/>
      <c r="I137" s="303"/>
      <c r="J137" s="303"/>
      <c r="K137" s="303"/>
      <c r="L137" s="303"/>
      <c r="M137" s="303"/>
      <c r="N137" s="303"/>
      <c r="O137" s="215"/>
      <c r="P137" s="215"/>
      <c r="Q137" s="292"/>
      <c r="R137" s="221"/>
      <c r="S137" s="221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</row>
    <row r="138" spans="1:29" ht="18.75" hidden="1" customHeight="1">
      <c r="A138" s="42"/>
      <c r="B138" s="59" t="s">
        <v>318</v>
      </c>
      <c r="C138" s="113" t="s">
        <v>200</v>
      </c>
      <c r="D138" s="61" t="s">
        <v>271</v>
      </c>
      <c r="E138" s="306">
        <f t="shared" si="0"/>
        <v>0</v>
      </c>
      <c r="F138" s="303"/>
      <c r="G138" s="303"/>
      <c r="H138" s="303"/>
      <c r="I138" s="303"/>
      <c r="J138" s="303"/>
      <c r="K138" s="303"/>
      <c r="L138" s="303"/>
      <c r="M138" s="303"/>
      <c r="N138" s="303"/>
      <c r="O138" s="215"/>
      <c r="P138" s="215"/>
      <c r="Q138" s="292"/>
      <c r="R138" s="221"/>
      <c r="S138" s="221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</row>
    <row r="139" spans="1:29" ht="18.75" hidden="1" customHeight="1">
      <c r="A139" s="42"/>
      <c r="B139" s="59" t="s">
        <v>319</v>
      </c>
      <c r="C139" s="113" t="s">
        <v>203</v>
      </c>
      <c r="D139" s="61" t="s">
        <v>271</v>
      </c>
      <c r="E139" s="306">
        <f t="shared" si="0"/>
        <v>0</v>
      </c>
      <c r="F139" s="303"/>
      <c r="G139" s="303"/>
      <c r="H139" s="303"/>
      <c r="I139" s="303"/>
      <c r="J139" s="303"/>
      <c r="K139" s="303"/>
      <c r="L139" s="303"/>
      <c r="M139" s="303"/>
      <c r="N139" s="303"/>
      <c r="O139" s="215"/>
      <c r="P139" s="215"/>
      <c r="Q139" s="292"/>
      <c r="R139" s="221"/>
      <c r="S139" s="221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</row>
    <row r="140" spans="1:29" ht="18.75" hidden="1" customHeight="1">
      <c r="A140" s="42"/>
      <c r="B140" s="59" t="s">
        <v>320</v>
      </c>
      <c r="C140" s="113" t="s">
        <v>159</v>
      </c>
      <c r="D140" s="61" t="s">
        <v>271</v>
      </c>
      <c r="E140" s="306">
        <f t="shared" si="0"/>
        <v>0</v>
      </c>
      <c r="F140" s="303"/>
      <c r="G140" s="303"/>
      <c r="H140" s="303"/>
      <c r="I140" s="303"/>
      <c r="J140" s="303"/>
      <c r="K140" s="303"/>
      <c r="L140" s="303"/>
      <c r="M140" s="303"/>
      <c r="N140" s="303"/>
      <c r="O140" s="215"/>
      <c r="P140" s="215"/>
      <c r="Q140" s="292"/>
      <c r="R140" s="221"/>
      <c r="S140" s="221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</row>
    <row r="141" spans="1:29" ht="18.75" customHeight="1">
      <c r="A141" s="101"/>
      <c r="B141" s="53" t="s">
        <v>321</v>
      </c>
      <c r="C141" s="103" t="s">
        <v>322</v>
      </c>
      <c r="D141" s="61" t="s">
        <v>271</v>
      </c>
      <c r="E141" s="306">
        <f t="shared" si="0"/>
        <v>0</v>
      </c>
      <c r="F141" s="303"/>
      <c r="G141" s="303"/>
      <c r="H141" s="305"/>
      <c r="I141" s="303"/>
      <c r="J141" s="305"/>
      <c r="K141" s="303"/>
      <c r="L141" s="305"/>
      <c r="M141" s="303"/>
      <c r="N141" s="303"/>
      <c r="O141" s="215"/>
      <c r="P141" s="215"/>
      <c r="Q141" s="292"/>
      <c r="R141" s="221"/>
      <c r="S141" s="221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</row>
    <row r="142" spans="1:29" ht="18.75" hidden="1" customHeight="1">
      <c r="A142" s="42"/>
      <c r="B142" s="59" t="s">
        <v>324</v>
      </c>
      <c r="C142" s="113" t="s">
        <v>131</v>
      </c>
      <c r="D142" s="61" t="s">
        <v>271</v>
      </c>
      <c r="E142" s="306">
        <f t="shared" si="0"/>
        <v>0</v>
      </c>
      <c r="F142" s="303"/>
      <c r="G142" s="303"/>
      <c r="H142" s="303"/>
      <c r="I142" s="303"/>
      <c r="J142" s="303"/>
      <c r="K142" s="303"/>
      <c r="L142" s="303"/>
      <c r="M142" s="303"/>
      <c r="N142" s="303"/>
      <c r="O142" s="215"/>
      <c r="P142" s="215"/>
      <c r="Q142" s="292"/>
      <c r="R142" s="221"/>
      <c r="S142" s="221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</row>
    <row r="143" spans="1:29" ht="18.75" hidden="1" customHeight="1">
      <c r="A143" s="42"/>
      <c r="B143" s="59" t="s">
        <v>325</v>
      </c>
      <c r="C143" s="113" t="s">
        <v>200</v>
      </c>
      <c r="D143" s="61" t="s">
        <v>271</v>
      </c>
      <c r="E143" s="306">
        <f t="shared" si="0"/>
        <v>0</v>
      </c>
      <c r="F143" s="303"/>
      <c r="G143" s="303"/>
      <c r="H143" s="303"/>
      <c r="I143" s="303"/>
      <c r="J143" s="303"/>
      <c r="K143" s="303"/>
      <c r="L143" s="303"/>
      <c r="M143" s="303"/>
      <c r="N143" s="303"/>
      <c r="O143" s="215"/>
      <c r="P143" s="215"/>
      <c r="Q143" s="292"/>
      <c r="R143" s="221"/>
      <c r="S143" s="221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</row>
    <row r="144" spans="1:29" ht="18.75" hidden="1" customHeight="1">
      <c r="A144" s="42"/>
      <c r="B144" s="59" t="s">
        <v>326</v>
      </c>
      <c r="C144" s="113" t="s">
        <v>203</v>
      </c>
      <c r="D144" s="61" t="s">
        <v>271</v>
      </c>
      <c r="E144" s="306">
        <f t="shared" si="0"/>
        <v>0</v>
      </c>
      <c r="F144" s="303"/>
      <c r="G144" s="303"/>
      <c r="H144" s="303"/>
      <c r="I144" s="303"/>
      <c r="J144" s="303"/>
      <c r="K144" s="303"/>
      <c r="L144" s="303"/>
      <c r="M144" s="303"/>
      <c r="N144" s="303"/>
      <c r="O144" s="215"/>
      <c r="P144" s="215"/>
      <c r="Q144" s="292"/>
      <c r="R144" s="221"/>
      <c r="S144" s="221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</row>
    <row r="145" spans="1:29" ht="18.75" hidden="1" customHeight="1">
      <c r="A145" s="42"/>
      <c r="B145" s="59" t="s">
        <v>327</v>
      </c>
      <c r="C145" s="113" t="s">
        <v>159</v>
      </c>
      <c r="D145" s="61" t="s">
        <v>271</v>
      </c>
      <c r="E145" s="306">
        <f t="shared" si="0"/>
        <v>0</v>
      </c>
      <c r="F145" s="303"/>
      <c r="G145" s="303"/>
      <c r="H145" s="303"/>
      <c r="I145" s="303"/>
      <c r="J145" s="303"/>
      <c r="K145" s="303"/>
      <c r="L145" s="303"/>
      <c r="M145" s="303"/>
      <c r="N145" s="303"/>
      <c r="O145" s="215"/>
      <c r="P145" s="215"/>
      <c r="Q145" s="292"/>
      <c r="R145" s="221"/>
      <c r="S145" s="221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</row>
    <row r="146" spans="1:29" ht="18.75" customHeight="1">
      <c r="A146" s="101"/>
      <c r="B146" s="53" t="s">
        <v>328</v>
      </c>
      <c r="C146" s="87" t="s">
        <v>329</v>
      </c>
      <c r="D146" s="61" t="s">
        <v>271</v>
      </c>
      <c r="E146" s="306">
        <f t="shared" si="0"/>
        <v>0</v>
      </c>
      <c r="F146" s="303"/>
      <c r="G146" s="303"/>
      <c r="H146" s="305"/>
      <c r="I146" s="174"/>
      <c r="J146" s="305"/>
      <c r="K146" s="305"/>
      <c r="L146" s="305"/>
      <c r="M146" s="303"/>
      <c r="N146" s="303"/>
      <c r="O146" s="215"/>
      <c r="P146" s="215"/>
      <c r="Q146" s="292"/>
      <c r="R146" s="221"/>
      <c r="S146" s="221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</row>
    <row r="147" spans="1:29" ht="18.75" customHeight="1">
      <c r="A147" s="118"/>
      <c r="B147" s="59" t="s">
        <v>331</v>
      </c>
      <c r="C147" s="113" t="s">
        <v>131</v>
      </c>
      <c r="D147" s="61" t="s">
        <v>271</v>
      </c>
      <c r="E147" s="306">
        <f t="shared" si="0"/>
        <v>0</v>
      </c>
      <c r="F147" s="303"/>
      <c r="G147" s="303"/>
      <c r="H147" s="305"/>
      <c r="I147" s="305"/>
      <c r="J147" s="305"/>
      <c r="K147" s="305"/>
      <c r="L147" s="305"/>
      <c r="M147" s="303"/>
      <c r="N147" s="303"/>
      <c r="O147" s="215"/>
      <c r="P147" s="215"/>
      <c r="Q147" s="292"/>
      <c r="R147" s="221"/>
      <c r="S147" s="221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</row>
    <row r="148" spans="1:29" ht="18.75" customHeight="1">
      <c r="A148" s="118"/>
      <c r="B148" s="59" t="s">
        <v>332</v>
      </c>
      <c r="C148" s="113" t="s">
        <v>200</v>
      </c>
      <c r="D148" s="61" t="s">
        <v>271</v>
      </c>
      <c r="E148" s="306">
        <f t="shared" si="0"/>
        <v>0</v>
      </c>
      <c r="F148" s="303"/>
      <c r="G148" s="303"/>
      <c r="H148" s="305"/>
      <c r="I148" s="305"/>
      <c r="J148" s="305"/>
      <c r="K148" s="305"/>
      <c r="L148" s="305"/>
      <c r="M148" s="303"/>
      <c r="N148" s="303"/>
      <c r="O148" s="215"/>
      <c r="P148" s="215"/>
      <c r="Q148" s="292"/>
      <c r="R148" s="221"/>
      <c r="S148" s="221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</row>
    <row r="149" spans="1:29" ht="18.75" customHeight="1">
      <c r="A149" s="118"/>
      <c r="B149" s="59" t="s">
        <v>333</v>
      </c>
      <c r="C149" s="113" t="s">
        <v>203</v>
      </c>
      <c r="D149" s="61" t="s">
        <v>271</v>
      </c>
      <c r="E149" s="306">
        <f t="shared" si="0"/>
        <v>0</v>
      </c>
      <c r="F149" s="303"/>
      <c r="G149" s="303"/>
      <c r="H149" s="305"/>
      <c r="I149" s="305"/>
      <c r="J149" s="305"/>
      <c r="K149" s="305"/>
      <c r="L149" s="305"/>
      <c r="M149" s="303"/>
      <c r="N149" s="303"/>
      <c r="O149" s="215"/>
      <c r="P149" s="215"/>
      <c r="Q149" s="292"/>
      <c r="R149" s="221"/>
      <c r="S149" s="221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</row>
    <row r="150" spans="1:29" ht="18.75" customHeight="1">
      <c r="A150" s="118"/>
      <c r="B150" s="59" t="s">
        <v>334</v>
      </c>
      <c r="C150" s="113" t="s">
        <v>159</v>
      </c>
      <c r="D150" s="61" t="s">
        <v>271</v>
      </c>
      <c r="E150" s="306">
        <f t="shared" si="0"/>
        <v>0</v>
      </c>
      <c r="F150" s="303"/>
      <c r="G150" s="303"/>
      <c r="H150" s="305"/>
      <c r="I150" s="305"/>
      <c r="J150" s="305"/>
      <c r="K150" s="305"/>
      <c r="L150" s="305"/>
      <c r="M150" s="303"/>
      <c r="N150" s="303"/>
      <c r="O150" s="215"/>
      <c r="P150" s="215"/>
      <c r="Q150" s="292"/>
      <c r="R150" s="221"/>
      <c r="S150" s="221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</row>
    <row r="151" spans="1:29" ht="18.75" customHeight="1">
      <c r="A151" s="101"/>
      <c r="B151" s="53" t="s">
        <v>335</v>
      </c>
      <c r="C151" s="87" t="s">
        <v>336</v>
      </c>
      <c r="D151" s="61" t="s">
        <v>271</v>
      </c>
      <c r="E151" s="306">
        <f t="shared" si="0"/>
        <v>0</v>
      </c>
      <c r="F151" s="303"/>
      <c r="G151" s="303"/>
      <c r="H151" s="305"/>
      <c r="I151" s="305"/>
      <c r="J151" s="305"/>
      <c r="K151" s="305"/>
      <c r="L151" s="305"/>
      <c r="M151" s="303"/>
      <c r="N151" s="303"/>
      <c r="O151" s="215"/>
      <c r="P151" s="215"/>
      <c r="Q151" s="292"/>
      <c r="R151" s="221"/>
      <c r="S151" s="221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</row>
    <row r="152" spans="1:29" ht="18.75" customHeight="1">
      <c r="A152" s="118"/>
      <c r="B152" s="59" t="s">
        <v>338</v>
      </c>
      <c r="C152" s="113" t="s">
        <v>131</v>
      </c>
      <c r="D152" s="61" t="s">
        <v>271</v>
      </c>
      <c r="E152" s="306">
        <f t="shared" si="0"/>
        <v>0</v>
      </c>
      <c r="F152" s="303"/>
      <c r="G152" s="303"/>
      <c r="H152" s="305"/>
      <c r="I152" s="305"/>
      <c r="J152" s="305"/>
      <c r="K152" s="305"/>
      <c r="L152" s="305"/>
      <c r="M152" s="303"/>
      <c r="N152" s="303"/>
      <c r="O152" s="215"/>
      <c r="P152" s="215"/>
      <c r="Q152" s="292"/>
      <c r="R152" s="221"/>
      <c r="S152" s="221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</row>
    <row r="153" spans="1:29" ht="18.75" customHeight="1">
      <c r="A153" s="118"/>
      <c r="B153" s="59" t="s">
        <v>339</v>
      </c>
      <c r="C153" s="113" t="s">
        <v>200</v>
      </c>
      <c r="D153" s="61" t="s">
        <v>271</v>
      </c>
      <c r="E153" s="306">
        <f t="shared" si="0"/>
        <v>0</v>
      </c>
      <c r="F153" s="303"/>
      <c r="G153" s="303"/>
      <c r="H153" s="305"/>
      <c r="I153" s="305"/>
      <c r="J153" s="305"/>
      <c r="K153" s="305"/>
      <c r="L153" s="305"/>
      <c r="M153" s="303"/>
      <c r="N153" s="303"/>
      <c r="O153" s="215"/>
      <c r="P153" s="215"/>
      <c r="Q153" s="292"/>
      <c r="R153" s="221"/>
      <c r="S153" s="221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</row>
    <row r="154" spans="1:29" ht="18.75" customHeight="1">
      <c r="A154" s="118"/>
      <c r="B154" s="59" t="s">
        <v>340</v>
      </c>
      <c r="C154" s="113" t="s">
        <v>203</v>
      </c>
      <c r="D154" s="61" t="s">
        <v>271</v>
      </c>
      <c r="E154" s="306">
        <f t="shared" si="0"/>
        <v>0</v>
      </c>
      <c r="F154" s="303"/>
      <c r="G154" s="303"/>
      <c r="H154" s="305"/>
      <c r="I154" s="305"/>
      <c r="J154" s="305"/>
      <c r="K154" s="305"/>
      <c r="L154" s="305"/>
      <c r="M154" s="303"/>
      <c r="N154" s="303"/>
      <c r="O154" s="215"/>
      <c r="P154" s="215"/>
      <c r="Q154" s="292"/>
      <c r="R154" s="221"/>
      <c r="S154" s="221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</row>
    <row r="155" spans="1:29" ht="18.75" customHeight="1">
      <c r="A155" s="118"/>
      <c r="B155" s="59" t="s">
        <v>341</v>
      </c>
      <c r="C155" s="113" t="s">
        <v>159</v>
      </c>
      <c r="D155" s="61" t="s">
        <v>271</v>
      </c>
      <c r="E155" s="306">
        <f t="shared" si="0"/>
        <v>0</v>
      </c>
      <c r="F155" s="303"/>
      <c r="G155" s="303"/>
      <c r="H155" s="305"/>
      <c r="I155" s="305"/>
      <c r="J155" s="305"/>
      <c r="K155" s="305"/>
      <c r="L155" s="305"/>
      <c r="M155" s="303"/>
      <c r="N155" s="303"/>
      <c r="O155" s="215"/>
      <c r="P155" s="215"/>
      <c r="Q155" s="292"/>
      <c r="R155" s="221"/>
      <c r="S155" s="221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</row>
    <row r="156" spans="1:29" ht="18.75" customHeight="1">
      <c r="A156" s="101"/>
      <c r="B156" s="53" t="s">
        <v>342</v>
      </c>
      <c r="C156" s="87" t="s">
        <v>343</v>
      </c>
      <c r="D156" s="61" t="s">
        <v>271</v>
      </c>
      <c r="E156" s="306">
        <f t="shared" si="0"/>
        <v>0</v>
      </c>
      <c r="F156" s="303"/>
      <c r="G156" s="303"/>
      <c r="H156" s="305"/>
      <c r="I156" s="305"/>
      <c r="J156" s="305"/>
      <c r="K156" s="305"/>
      <c r="L156" s="305"/>
      <c r="M156" s="303"/>
      <c r="N156" s="303"/>
      <c r="O156" s="215"/>
      <c r="P156" s="215"/>
      <c r="Q156" s="292"/>
      <c r="R156" s="221"/>
      <c r="S156" s="221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</row>
    <row r="157" spans="1:29" ht="18.75" customHeight="1">
      <c r="A157" s="42"/>
      <c r="B157" s="59" t="s">
        <v>344</v>
      </c>
      <c r="C157" s="113" t="s">
        <v>131</v>
      </c>
      <c r="D157" s="61" t="s">
        <v>271</v>
      </c>
      <c r="E157" s="306">
        <f t="shared" si="0"/>
        <v>0</v>
      </c>
      <c r="F157" s="303"/>
      <c r="G157" s="303"/>
      <c r="H157" s="305"/>
      <c r="I157" s="305"/>
      <c r="J157" s="305"/>
      <c r="K157" s="305"/>
      <c r="L157" s="305"/>
      <c r="M157" s="303"/>
      <c r="N157" s="303"/>
      <c r="O157" s="215"/>
      <c r="P157" s="215"/>
      <c r="Q157" s="292"/>
      <c r="R157" s="221"/>
      <c r="S157" s="221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</row>
    <row r="158" spans="1:29" ht="18.75" customHeight="1">
      <c r="A158" s="42"/>
      <c r="B158" s="59" t="s">
        <v>345</v>
      </c>
      <c r="C158" s="113" t="s">
        <v>200</v>
      </c>
      <c r="D158" s="61" t="s">
        <v>271</v>
      </c>
      <c r="E158" s="306">
        <f t="shared" si="0"/>
        <v>0</v>
      </c>
      <c r="F158" s="303"/>
      <c r="G158" s="303"/>
      <c r="H158" s="305"/>
      <c r="I158" s="305"/>
      <c r="J158" s="305"/>
      <c r="K158" s="305"/>
      <c r="L158" s="305"/>
      <c r="M158" s="303"/>
      <c r="N158" s="303"/>
      <c r="O158" s="215"/>
      <c r="P158" s="215"/>
      <c r="Q158" s="292"/>
      <c r="R158" s="221"/>
      <c r="S158" s="221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</row>
    <row r="159" spans="1:29" ht="18.75" customHeight="1">
      <c r="A159" s="42"/>
      <c r="B159" s="59" t="s">
        <v>346</v>
      </c>
      <c r="C159" s="113" t="s">
        <v>203</v>
      </c>
      <c r="D159" s="61" t="s">
        <v>271</v>
      </c>
      <c r="E159" s="306">
        <f t="shared" si="0"/>
        <v>0</v>
      </c>
      <c r="F159" s="303"/>
      <c r="G159" s="303"/>
      <c r="H159" s="305"/>
      <c r="I159" s="305"/>
      <c r="J159" s="305"/>
      <c r="K159" s="305"/>
      <c r="L159" s="305"/>
      <c r="M159" s="303"/>
      <c r="N159" s="303"/>
      <c r="O159" s="215"/>
      <c r="P159" s="215"/>
      <c r="Q159" s="292"/>
      <c r="R159" s="221"/>
      <c r="S159" s="221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</row>
    <row r="160" spans="1:29" ht="18.75" customHeight="1">
      <c r="A160" s="42"/>
      <c r="B160" s="59" t="s">
        <v>347</v>
      </c>
      <c r="C160" s="113" t="s">
        <v>159</v>
      </c>
      <c r="D160" s="61" t="s">
        <v>271</v>
      </c>
      <c r="E160" s="306">
        <f t="shared" si="0"/>
        <v>0</v>
      </c>
      <c r="F160" s="303"/>
      <c r="G160" s="303"/>
      <c r="H160" s="305"/>
      <c r="I160" s="305"/>
      <c r="J160" s="305"/>
      <c r="K160" s="305"/>
      <c r="L160" s="305"/>
      <c r="M160" s="303"/>
      <c r="N160" s="303"/>
      <c r="O160" s="215"/>
      <c r="P160" s="215"/>
      <c r="Q160" s="292"/>
      <c r="R160" s="221"/>
      <c r="S160" s="221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</row>
    <row r="161" spans="1:29" ht="36.75" customHeight="1">
      <c r="A161" s="101"/>
      <c r="B161" s="53" t="s">
        <v>348</v>
      </c>
      <c r="C161" s="87" t="s">
        <v>349</v>
      </c>
      <c r="D161" s="61" t="s">
        <v>350</v>
      </c>
      <c r="E161" s="306">
        <f t="shared" si="0"/>
        <v>0</v>
      </c>
      <c r="F161" s="303"/>
      <c r="G161" s="174"/>
      <c r="H161" s="305"/>
      <c r="I161" s="305"/>
      <c r="J161" s="305"/>
      <c r="K161" s="305"/>
      <c r="L161" s="305"/>
      <c r="M161" s="303"/>
      <c r="N161" s="303"/>
      <c r="O161" s="215"/>
      <c r="P161" s="215"/>
      <c r="Q161" s="292"/>
      <c r="R161" s="221"/>
      <c r="S161" s="221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</row>
    <row r="162" spans="1:29" ht="18.75" customHeight="1">
      <c r="A162" s="101"/>
      <c r="B162" s="53" t="s">
        <v>352</v>
      </c>
      <c r="C162" s="87" t="s">
        <v>353</v>
      </c>
      <c r="D162" s="61" t="s">
        <v>271</v>
      </c>
      <c r="E162" s="306">
        <f t="shared" si="0"/>
        <v>0</v>
      </c>
      <c r="F162" s="303"/>
      <c r="G162" s="303"/>
      <c r="H162" s="303"/>
      <c r="I162" s="303"/>
      <c r="J162" s="303"/>
      <c r="K162" s="303"/>
      <c r="L162" s="303"/>
      <c r="M162" s="303"/>
      <c r="N162" s="303"/>
      <c r="O162" s="215"/>
      <c r="P162" s="215"/>
      <c r="Q162" s="292"/>
      <c r="R162" s="221"/>
      <c r="S162" s="221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</row>
    <row r="163" spans="1:29" ht="18.75" customHeight="1">
      <c r="A163" s="101"/>
      <c r="B163" s="53" t="s">
        <v>356</v>
      </c>
      <c r="C163" s="87" t="s">
        <v>357</v>
      </c>
      <c r="D163" s="61" t="s">
        <v>358</v>
      </c>
      <c r="E163" s="306">
        <f t="shared" si="0"/>
        <v>0</v>
      </c>
      <c r="F163" s="303"/>
      <c r="G163" s="303"/>
      <c r="H163" s="303"/>
      <c r="I163" s="303"/>
      <c r="J163" s="303"/>
      <c r="K163" s="303"/>
      <c r="L163" s="303"/>
      <c r="M163" s="303"/>
      <c r="N163" s="303"/>
      <c r="O163" s="215"/>
      <c r="P163" s="215"/>
      <c r="Q163" s="292"/>
      <c r="R163" s="221"/>
      <c r="S163" s="221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</row>
    <row r="164" spans="1:29" ht="31.5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306">
        <f t="shared" si="0"/>
        <v>0</v>
      </c>
      <c r="F164" s="303"/>
      <c r="G164" s="303"/>
      <c r="H164" s="303"/>
      <c r="I164" s="303"/>
      <c r="J164" s="303"/>
      <c r="K164" s="303"/>
      <c r="L164" s="303"/>
      <c r="M164" s="303"/>
      <c r="N164" s="303"/>
      <c r="O164" s="215"/>
      <c r="P164" s="215"/>
      <c r="Q164" s="292"/>
      <c r="R164" s="221"/>
      <c r="S164" s="221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</row>
    <row r="165" spans="1:29" ht="18.75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306">
        <f t="shared" si="0"/>
        <v>0</v>
      </c>
      <c r="F165" s="303"/>
      <c r="G165" s="303"/>
      <c r="H165" s="303"/>
      <c r="I165" s="303"/>
      <c r="J165" s="303"/>
      <c r="K165" s="303"/>
      <c r="L165" s="303"/>
      <c r="M165" s="303"/>
      <c r="N165" s="303"/>
      <c r="O165" s="215"/>
      <c r="P165" s="215"/>
      <c r="Q165" s="292"/>
      <c r="R165" s="221"/>
      <c r="S165" s="221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</row>
    <row r="166" spans="1:29" ht="31.5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306">
        <f t="shared" si="0"/>
        <v>0</v>
      </c>
      <c r="F166" s="303"/>
      <c r="G166" s="303"/>
      <c r="H166" s="303"/>
      <c r="I166" s="303"/>
      <c r="J166" s="303"/>
      <c r="K166" s="303"/>
      <c r="L166" s="303"/>
      <c r="M166" s="303"/>
      <c r="N166" s="303"/>
      <c r="O166" s="215"/>
      <c r="P166" s="215"/>
      <c r="Q166" s="292"/>
      <c r="R166" s="221"/>
      <c r="S166" s="221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</row>
    <row r="167" spans="1:29" ht="18.75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306">
        <f t="shared" si="0"/>
        <v>0</v>
      </c>
      <c r="F167" s="303"/>
      <c r="G167" s="303"/>
      <c r="H167" s="303"/>
      <c r="I167" s="303"/>
      <c r="J167" s="303"/>
      <c r="K167" s="303"/>
      <c r="L167" s="303"/>
      <c r="M167" s="303"/>
      <c r="N167" s="303"/>
      <c r="O167" s="215"/>
      <c r="P167" s="215"/>
      <c r="Q167" s="292"/>
      <c r="R167" s="221"/>
      <c r="S167" s="221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</row>
    <row r="168" spans="1:29" ht="18.75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306">
        <f t="shared" si="0"/>
        <v>0</v>
      </c>
      <c r="F168" s="303"/>
      <c r="G168" s="303"/>
      <c r="H168" s="303"/>
      <c r="I168" s="303"/>
      <c r="J168" s="303"/>
      <c r="K168" s="303"/>
      <c r="L168" s="303"/>
      <c r="M168" s="303"/>
      <c r="N168" s="303"/>
      <c r="O168" s="215"/>
      <c r="P168" s="215"/>
      <c r="Q168" s="292"/>
      <c r="R168" s="221"/>
      <c r="S168" s="221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</row>
    <row r="169" spans="1:29" ht="15.75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306">
        <f t="shared" si="0"/>
        <v>0</v>
      </c>
      <c r="F169" s="303"/>
      <c r="G169" s="303"/>
      <c r="H169" s="303"/>
      <c r="I169" s="303"/>
      <c r="J169" s="303"/>
      <c r="K169" s="303"/>
      <c r="L169" s="303"/>
      <c r="M169" s="303"/>
      <c r="N169" s="303"/>
      <c r="O169" s="215"/>
      <c r="P169" s="215"/>
      <c r="Q169" s="292"/>
      <c r="R169" s="221"/>
      <c r="S169" s="221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</row>
    <row r="170" spans="1:29" ht="31.5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306">
        <f t="shared" si="0"/>
        <v>0</v>
      </c>
      <c r="F170" s="303"/>
      <c r="G170" s="303"/>
      <c r="H170" s="303"/>
      <c r="I170" s="303"/>
      <c r="J170" s="303"/>
      <c r="K170" s="303"/>
      <c r="L170" s="303"/>
      <c r="M170" s="303"/>
      <c r="N170" s="303"/>
      <c r="O170" s="215"/>
      <c r="P170" s="215"/>
      <c r="Q170" s="292"/>
      <c r="R170" s="221"/>
      <c r="S170" s="221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</row>
    <row r="171" spans="1:29" ht="31.5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306">
        <f t="shared" si="0"/>
        <v>0</v>
      </c>
      <c r="F171" s="303"/>
      <c r="G171" s="303"/>
      <c r="H171" s="303"/>
      <c r="I171" s="303"/>
      <c r="J171" s="303"/>
      <c r="K171" s="303"/>
      <c r="L171" s="303"/>
      <c r="M171" s="303"/>
      <c r="N171" s="303"/>
      <c r="O171" s="215"/>
      <c r="P171" s="215"/>
      <c r="Q171" s="292"/>
      <c r="R171" s="221"/>
      <c r="S171" s="221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</row>
    <row r="172" spans="1:29" ht="18.75" customHeight="1">
      <c r="A172" s="46">
        <v>7</v>
      </c>
      <c r="B172" s="64" t="s">
        <v>378</v>
      </c>
      <c r="C172" s="64" t="s">
        <v>379</v>
      </c>
      <c r="D172" s="216"/>
      <c r="E172" s="306">
        <f t="shared" si="0"/>
        <v>0</v>
      </c>
      <c r="F172" s="303"/>
      <c r="G172" s="303"/>
      <c r="H172" s="305"/>
      <c r="I172" s="305"/>
      <c r="J172" s="305"/>
      <c r="K172" s="305"/>
      <c r="L172" s="305"/>
      <c r="M172" s="303"/>
      <c r="N172" s="303"/>
      <c r="O172" s="215"/>
      <c r="P172" s="215"/>
      <c r="Q172" s="292"/>
      <c r="R172" s="221"/>
      <c r="S172" s="221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</row>
    <row r="173" spans="1:29" ht="18.75" customHeight="1">
      <c r="A173" s="101"/>
      <c r="B173" s="53" t="s">
        <v>381</v>
      </c>
      <c r="C173" s="87" t="s">
        <v>382</v>
      </c>
      <c r="D173" s="61" t="s">
        <v>383</v>
      </c>
      <c r="E173" s="306">
        <f t="shared" si="0"/>
        <v>0</v>
      </c>
      <c r="F173" s="303"/>
      <c r="G173" s="303"/>
      <c r="H173" s="305"/>
      <c r="I173" s="305"/>
      <c r="J173" s="305"/>
      <c r="K173" s="305"/>
      <c r="L173" s="305"/>
      <c r="M173" s="303"/>
      <c r="N173" s="303"/>
      <c r="O173" s="215"/>
      <c r="P173" s="215"/>
      <c r="Q173" s="292"/>
      <c r="R173" s="221"/>
      <c r="S173" s="221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</row>
    <row r="174" spans="1:29" ht="18.75" customHeight="1">
      <c r="A174" s="42"/>
      <c r="B174" s="59" t="s">
        <v>386</v>
      </c>
      <c r="C174" s="113" t="s">
        <v>387</v>
      </c>
      <c r="D174" s="61" t="s">
        <v>383</v>
      </c>
      <c r="E174" s="306">
        <f t="shared" si="0"/>
        <v>0</v>
      </c>
      <c r="F174" s="303"/>
      <c r="G174" s="303"/>
      <c r="H174" s="305"/>
      <c r="I174" s="305"/>
      <c r="J174" s="305"/>
      <c r="K174" s="305"/>
      <c r="L174" s="305"/>
      <c r="M174" s="303"/>
      <c r="N174" s="303"/>
      <c r="O174" s="215"/>
      <c r="P174" s="215"/>
      <c r="Q174" s="292"/>
      <c r="R174" s="221"/>
      <c r="S174" s="221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</row>
    <row r="175" spans="1:29" ht="18.75" customHeight="1">
      <c r="A175" s="42"/>
      <c r="B175" s="59" t="s">
        <v>388</v>
      </c>
      <c r="C175" s="113" t="s">
        <v>389</v>
      </c>
      <c r="D175" s="61" t="s">
        <v>383</v>
      </c>
      <c r="E175" s="306">
        <f t="shared" si="0"/>
        <v>0</v>
      </c>
      <c r="F175" s="303"/>
      <c r="G175" s="303"/>
      <c r="H175" s="305"/>
      <c r="I175" s="305"/>
      <c r="J175" s="305"/>
      <c r="K175" s="305"/>
      <c r="L175" s="305"/>
      <c r="M175" s="303"/>
      <c r="N175" s="303"/>
      <c r="O175" s="215"/>
      <c r="P175" s="215"/>
      <c r="Q175" s="292"/>
      <c r="R175" s="221"/>
      <c r="S175" s="221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</row>
    <row r="176" spans="1:29" ht="18.75" customHeight="1">
      <c r="A176" s="42"/>
      <c r="B176" s="59" t="s">
        <v>390</v>
      </c>
      <c r="C176" s="113" t="s">
        <v>391</v>
      </c>
      <c r="D176" s="61" t="s">
        <v>383</v>
      </c>
      <c r="E176" s="306">
        <f t="shared" si="0"/>
        <v>0</v>
      </c>
      <c r="F176" s="303"/>
      <c r="G176" s="303"/>
      <c r="H176" s="305"/>
      <c r="I176" s="305"/>
      <c r="J176" s="305"/>
      <c r="K176" s="305"/>
      <c r="L176" s="305"/>
      <c r="M176" s="303"/>
      <c r="N176" s="303"/>
      <c r="O176" s="215"/>
      <c r="P176" s="215"/>
      <c r="Q176" s="292"/>
      <c r="R176" s="221"/>
      <c r="S176" s="221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</row>
    <row r="177" spans="1:29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306">
        <f t="shared" si="0"/>
        <v>0</v>
      </c>
      <c r="F177" s="303"/>
      <c r="G177" s="303"/>
      <c r="H177" s="305"/>
      <c r="I177" s="305"/>
      <c r="J177" s="305"/>
      <c r="K177" s="305"/>
      <c r="L177" s="305"/>
      <c r="M177" s="303"/>
      <c r="N177" s="303"/>
      <c r="O177" s="215"/>
      <c r="P177" s="215"/>
      <c r="Q177" s="292"/>
      <c r="R177" s="221"/>
      <c r="S177" s="221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</row>
    <row r="178" spans="1:29" ht="18.75" customHeight="1">
      <c r="A178" s="101"/>
      <c r="B178" s="53" t="s">
        <v>388</v>
      </c>
      <c r="C178" s="87" t="s">
        <v>394</v>
      </c>
      <c r="D178" s="61" t="s">
        <v>383</v>
      </c>
      <c r="E178" s="306">
        <f t="shared" si="0"/>
        <v>0</v>
      </c>
      <c r="F178" s="303"/>
      <c r="G178" s="303"/>
      <c r="H178" s="305"/>
      <c r="I178" s="305"/>
      <c r="J178" s="305"/>
      <c r="K178" s="305"/>
      <c r="L178" s="305"/>
      <c r="M178" s="305"/>
      <c r="N178" s="305"/>
      <c r="O178" s="215"/>
      <c r="P178" s="215"/>
      <c r="Q178" s="292"/>
      <c r="R178" s="221"/>
      <c r="S178" s="221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</row>
    <row r="179" spans="1:29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306">
        <f t="shared" si="0"/>
        <v>0</v>
      </c>
      <c r="F179" s="303"/>
      <c r="G179" s="303"/>
      <c r="H179" s="305"/>
      <c r="I179" s="305"/>
      <c r="J179" s="305"/>
      <c r="K179" s="305"/>
      <c r="L179" s="305"/>
      <c r="M179" s="303"/>
      <c r="N179" s="303"/>
      <c r="O179" s="215"/>
      <c r="P179" s="215"/>
      <c r="Q179" s="292"/>
      <c r="R179" s="221"/>
      <c r="S179" s="221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</row>
    <row r="180" spans="1:29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306">
        <f t="shared" si="0"/>
        <v>0</v>
      </c>
      <c r="F180" s="303"/>
      <c r="G180" s="303"/>
      <c r="H180" s="305"/>
      <c r="I180" s="305"/>
      <c r="J180" s="305"/>
      <c r="K180" s="305"/>
      <c r="L180" s="305"/>
      <c r="M180" s="303"/>
      <c r="N180" s="303"/>
      <c r="O180" s="215"/>
      <c r="P180" s="215"/>
      <c r="Q180" s="292"/>
      <c r="R180" s="221"/>
      <c r="S180" s="221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</row>
    <row r="181" spans="1:29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306">
        <f t="shared" si="0"/>
        <v>0</v>
      </c>
      <c r="F181" s="303"/>
      <c r="G181" s="303"/>
      <c r="H181" s="305"/>
      <c r="I181" s="305"/>
      <c r="J181" s="305"/>
      <c r="K181" s="305"/>
      <c r="L181" s="305"/>
      <c r="M181" s="303"/>
      <c r="N181" s="303"/>
      <c r="O181" s="215"/>
      <c r="P181" s="215"/>
      <c r="Q181" s="292"/>
      <c r="R181" s="221"/>
      <c r="S181" s="221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</row>
    <row r="182" spans="1:29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306">
        <f t="shared" si="0"/>
        <v>0</v>
      </c>
      <c r="F182" s="303"/>
      <c r="G182" s="303"/>
      <c r="H182" s="305"/>
      <c r="I182" s="305"/>
      <c r="J182" s="305"/>
      <c r="K182" s="305"/>
      <c r="L182" s="305"/>
      <c r="M182" s="303"/>
      <c r="N182" s="303"/>
      <c r="O182" s="215"/>
      <c r="P182" s="215"/>
      <c r="Q182" s="292"/>
      <c r="R182" s="221"/>
      <c r="S182" s="221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</row>
    <row r="183" spans="1:29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306">
        <f t="shared" si="0"/>
        <v>0</v>
      </c>
      <c r="F183" s="303"/>
      <c r="G183" s="303"/>
      <c r="H183" s="305"/>
      <c r="I183" s="305"/>
      <c r="J183" s="305"/>
      <c r="K183" s="305"/>
      <c r="L183" s="305"/>
      <c r="M183" s="303"/>
      <c r="N183" s="303"/>
      <c r="O183" s="215"/>
      <c r="P183" s="215"/>
      <c r="Q183" s="292"/>
      <c r="R183" s="221"/>
      <c r="S183" s="221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</row>
    <row r="184" spans="1:29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306">
        <f t="shared" si="0"/>
        <v>0</v>
      </c>
      <c r="F184" s="303"/>
      <c r="G184" s="303"/>
      <c r="H184" s="305"/>
      <c r="I184" s="305"/>
      <c r="J184" s="305"/>
      <c r="K184" s="305"/>
      <c r="L184" s="305"/>
      <c r="M184" s="303"/>
      <c r="N184" s="303"/>
      <c r="O184" s="215"/>
      <c r="P184" s="215"/>
      <c r="Q184" s="292"/>
      <c r="R184" s="221"/>
      <c r="S184" s="221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</row>
    <row r="185" spans="1:29" ht="31.5" customHeight="1">
      <c r="A185" s="101">
        <v>7.7</v>
      </c>
      <c r="B185" s="53" t="s">
        <v>412</v>
      </c>
      <c r="C185" s="87" t="s">
        <v>413</v>
      </c>
      <c r="D185" s="61" t="s">
        <v>1190</v>
      </c>
      <c r="E185" s="306">
        <f t="shared" si="0"/>
        <v>0</v>
      </c>
      <c r="F185" s="303"/>
      <c r="G185" s="303"/>
      <c r="H185" s="305"/>
      <c r="I185" s="305"/>
      <c r="J185" s="305"/>
      <c r="K185" s="305"/>
      <c r="L185" s="305"/>
      <c r="M185" s="303"/>
      <c r="N185" s="303"/>
      <c r="O185" s="215"/>
      <c r="P185" s="215"/>
      <c r="Q185" s="292"/>
      <c r="R185" s="221"/>
      <c r="S185" s="221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</row>
    <row r="186" spans="1:29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306">
        <f t="shared" si="0"/>
        <v>0</v>
      </c>
      <c r="F186" s="303"/>
      <c r="G186" s="303"/>
      <c r="H186" s="305"/>
      <c r="I186" s="305"/>
      <c r="J186" s="305"/>
      <c r="K186" s="305"/>
      <c r="L186" s="305"/>
      <c r="M186" s="303"/>
      <c r="N186" s="303"/>
      <c r="O186" s="215"/>
      <c r="P186" s="215"/>
      <c r="Q186" s="292"/>
      <c r="R186" s="221"/>
      <c r="S186" s="221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</row>
    <row r="187" spans="1:29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306">
        <f t="shared" si="0"/>
        <v>0</v>
      </c>
      <c r="F187" s="303"/>
      <c r="G187" s="303"/>
      <c r="H187" s="305"/>
      <c r="I187" s="305"/>
      <c r="J187" s="305"/>
      <c r="K187" s="305"/>
      <c r="L187" s="305"/>
      <c r="M187" s="303"/>
      <c r="N187" s="303"/>
      <c r="O187" s="215"/>
      <c r="P187" s="215"/>
      <c r="Q187" s="292"/>
      <c r="R187" s="221"/>
      <c r="S187" s="221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</row>
    <row r="188" spans="1:29" ht="18.75" customHeight="1">
      <c r="A188" s="101">
        <v>8.1</v>
      </c>
      <c r="B188" s="53" t="s">
        <v>419</v>
      </c>
      <c r="C188" s="87" t="s">
        <v>420</v>
      </c>
      <c r="D188" s="61"/>
      <c r="E188" s="306">
        <f t="shared" si="0"/>
        <v>0</v>
      </c>
      <c r="F188" s="303"/>
      <c r="G188" s="303"/>
      <c r="H188" s="305"/>
      <c r="I188" s="305"/>
      <c r="J188" s="305"/>
      <c r="K188" s="305"/>
      <c r="L188" s="305"/>
      <c r="M188" s="303"/>
      <c r="N188" s="303"/>
      <c r="O188" s="215"/>
      <c r="P188" s="215"/>
      <c r="Q188" s="292"/>
      <c r="R188" s="221"/>
      <c r="S188" s="22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</row>
    <row r="189" spans="1:29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306">
        <f t="shared" si="0"/>
        <v>0</v>
      </c>
      <c r="F189" s="303"/>
      <c r="G189" s="303"/>
      <c r="H189" s="305"/>
      <c r="I189" s="305"/>
      <c r="J189" s="305"/>
      <c r="K189" s="305"/>
      <c r="L189" s="305"/>
      <c r="M189" s="303"/>
      <c r="N189" s="303"/>
      <c r="O189" s="215"/>
      <c r="P189" s="215"/>
      <c r="Q189" s="292"/>
      <c r="R189" s="221"/>
      <c r="S189" s="221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</row>
    <row r="190" spans="1:29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306">
        <f t="shared" si="0"/>
        <v>0</v>
      </c>
      <c r="F190" s="303"/>
      <c r="G190" s="303"/>
      <c r="H190" s="305"/>
      <c r="I190" s="305"/>
      <c r="J190" s="305"/>
      <c r="K190" s="305"/>
      <c r="L190" s="305"/>
      <c r="M190" s="303"/>
      <c r="N190" s="303"/>
      <c r="O190" s="215"/>
      <c r="P190" s="215"/>
      <c r="Q190" s="292"/>
      <c r="R190" s="221"/>
      <c r="S190" s="221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</row>
    <row r="191" spans="1:29" ht="18.75" customHeight="1">
      <c r="A191" s="42" t="s">
        <v>991</v>
      </c>
      <c r="B191" s="59" t="s">
        <v>428</v>
      </c>
      <c r="C191" s="111" t="s">
        <v>429</v>
      </c>
      <c r="D191" s="61" t="s">
        <v>1191</v>
      </c>
      <c r="E191" s="306">
        <f t="shared" si="0"/>
        <v>0</v>
      </c>
      <c r="F191" s="303"/>
      <c r="G191" s="303"/>
      <c r="H191" s="305"/>
      <c r="I191" s="305"/>
      <c r="J191" s="305"/>
      <c r="K191" s="305"/>
      <c r="L191" s="305"/>
      <c r="M191" s="303"/>
      <c r="N191" s="303"/>
      <c r="O191" s="215"/>
      <c r="P191" s="215"/>
      <c r="Q191" s="292"/>
      <c r="R191" s="221"/>
      <c r="S191" s="221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</row>
    <row r="192" spans="1:29" ht="18.75" customHeight="1">
      <c r="A192" s="42" t="s">
        <v>990</v>
      </c>
      <c r="B192" s="59" t="s">
        <v>426</v>
      </c>
      <c r="C192" s="111" t="s">
        <v>431</v>
      </c>
      <c r="D192" s="61" t="s">
        <v>1192</v>
      </c>
      <c r="E192" s="306">
        <f t="shared" si="0"/>
        <v>0</v>
      </c>
      <c r="F192" s="303"/>
      <c r="G192" s="303"/>
      <c r="H192" s="305"/>
      <c r="I192" s="305"/>
      <c r="J192" s="305"/>
      <c r="K192" s="305"/>
      <c r="L192" s="305"/>
      <c r="M192" s="303"/>
      <c r="N192" s="303"/>
      <c r="O192" s="215"/>
      <c r="P192" s="215"/>
      <c r="Q192" s="292"/>
      <c r="R192" s="221"/>
      <c r="S192" s="221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</row>
    <row r="193" spans="1:29" ht="18.75" customHeight="1">
      <c r="A193" s="42" t="s">
        <v>991</v>
      </c>
      <c r="B193" s="59" t="s">
        <v>428</v>
      </c>
      <c r="C193" s="111" t="s">
        <v>433</v>
      </c>
      <c r="D193" s="61" t="s">
        <v>1193</v>
      </c>
      <c r="E193" s="306">
        <f t="shared" si="0"/>
        <v>0</v>
      </c>
      <c r="F193" s="303"/>
      <c r="G193" s="303"/>
      <c r="H193" s="305"/>
      <c r="I193" s="305"/>
      <c r="J193" s="305"/>
      <c r="K193" s="305"/>
      <c r="L193" s="305"/>
      <c r="M193" s="303"/>
      <c r="N193" s="303"/>
      <c r="O193" s="215"/>
      <c r="P193" s="215"/>
      <c r="Q193" s="292"/>
      <c r="R193" s="221"/>
      <c r="S193" s="221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</row>
    <row r="194" spans="1:29" ht="31.5" customHeight="1">
      <c r="A194" s="101">
        <v>8.1999999999999993</v>
      </c>
      <c r="B194" s="53" t="s">
        <v>435</v>
      </c>
      <c r="C194" s="103" t="s">
        <v>436</v>
      </c>
      <c r="D194" s="61"/>
      <c r="E194" s="306">
        <f t="shared" si="0"/>
        <v>0</v>
      </c>
      <c r="F194" s="303"/>
      <c r="G194" s="303"/>
      <c r="H194" s="305"/>
      <c r="I194" s="305"/>
      <c r="J194" s="305"/>
      <c r="K194" s="305"/>
      <c r="L194" s="305"/>
      <c r="M194" s="303"/>
      <c r="N194" s="303"/>
      <c r="O194" s="215"/>
      <c r="P194" s="215"/>
      <c r="Q194" s="292"/>
      <c r="R194" s="221"/>
      <c r="S194" s="221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</row>
    <row r="195" spans="1:29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306">
        <f t="shared" si="0"/>
        <v>0</v>
      </c>
      <c r="F195" s="303"/>
      <c r="G195" s="303"/>
      <c r="H195" s="305"/>
      <c r="I195" s="305"/>
      <c r="J195" s="305"/>
      <c r="K195" s="305"/>
      <c r="L195" s="305"/>
      <c r="M195" s="303"/>
      <c r="N195" s="303"/>
      <c r="O195" s="215"/>
      <c r="P195" s="215"/>
      <c r="Q195" s="292"/>
      <c r="R195" s="221"/>
      <c r="S195" s="221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</row>
    <row r="196" spans="1:29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306">
        <f t="shared" si="0"/>
        <v>0</v>
      </c>
      <c r="F196" s="303"/>
      <c r="G196" s="303"/>
      <c r="H196" s="305"/>
      <c r="I196" s="305"/>
      <c r="J196" s="305"/>
      <c r="K196" s="305"/>
      <c r="L196" s="305"/>
      <c r="M196" s="303"/>
      <c r="N196" s="303"/>
      <c r="O196" s="215"/>
      <c r="P196" s="215"/>
      <c r="Q196" s="292"/>
      <c r="R196" s="221"/>
      <c r="S196" s="221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</row>
    <row r="197" spans="1:29" ht="18.75" customHeight="1">
      <c r="A197" s="42" t="s">
        <v>997</v>
      </c>
      <c r="B197" s="59" t="s">
        <v>440</v>
      </c>
      <c r="C197" s="111" t="s">
        <v>429</v>
      </c>
      <c r="D197" s="61" t="s">
        <v>1194</v>
      </c>
      <c r="E197" s="306">
        <f t="shared" si="0"/>
        <v>0</v>
      </c>
      <c r="F197" s="303"/>
      <c r="G197" s="303"/>
      <c r="H197" s="305"/>
      <c r="I197" s="305"/>
      <c r="J197" s="305"/>
      <c r="K197" s="305"/>
      <c r="L197" s="305"/>
      <c r="M197" s="303"/>
      <c r="N197" s="303"/>
      <c r="O197" s="215"/>
      <c r="P197" s="215"/>
      <c r="Q197" s="292"/>
      <c r="R197" s="221"/>
      <c r="S197" s="221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</row>
    <row r="198" spans="1:29" ht="18.75" customHeight="1">
      <c r="A198" s="42" t="s">
        <v>996</v>
      </c>
      <c r="B198" s="59" t="s">
        <v>439</v>
      </c>
      <c r="C198" s="111" t="s">
        <v>431</v>
      </c>
      <c r="D198" s="61" t="s">
        <v>1195</v>
      </c>
      <c r="E198" s="306">
        <f t="shared" si="0"/>
        <v>0</v>
      </c>
      <c r="F198" s="303"/>
      <c r="G198" s="303"/>
      <c r="H198" s="305"/>
      <c r="I198" s="305"/>
      <c r="J198" s="305"/>
      <c r="K198" s="305"/>
      <c r="L198" s="305"/>
      <c r="M198" s="303"/>
      <c r="N198" s="303"/>
      <c r="O198" s="215"/>
      <c r="P198" s="215"/>
      <c r="Q198" s="292"/>
      <c r="R198" s="221"/>
      <c r="S198" s="221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</row>
    <row r="199" spans="1:29" ht="18.75" customHeight="1">
      <c r="A199" s="42" t="s">
        <v>997</v>
      </c>
      <c r="B199" s="59" t="s">
        <v>440</v>
      </c>
      <c r="C199" s="111" t="s">
        <v>433</v>
      </c>
      <c r="D199" s="61" t="s">
        <v>1196</v>
      </c>
      <c r="E199" s="306">
        <f t="shared" si="0"/>
        <v>0</v>
      </c>
      <c r="F199" s="303"/>
      <c r="G199" s="303"/>
      <c r="H199" s="305"/>
      <c r="I199" s="305"/>
      <c r="J199" s="305"/>
      <c r="K199" s="305"/>
      <c r="L199" s="305"/>
      <c r="M199" s="303"/>
      <c r="N199" s="303"/>
      <c r="O199" s="215"/>
      <c r="P199" s="215"/>
      <c r="Q199" s="292"/>
      <c r="R199" s="221"/>
      <c r="S199" s="221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</row>
    <row r="200" spans="1:29" ht="18.75" customHeight="1">
      <c r="A200" s="101"/>
      <c r="B200" s="53" t="s">
        <v>444</v>
      </c>
      <c r="C200" s="103" t="s">
        <v>445</v>
      </c>
      <c r="D200" s="61"/>
      <c r="E200" s="306">
        <f t="shared" si="0"/>
        <v>0</v>
      </c>
      <c r="F200" s="303"/>
      <c r="G200" s="303"/>
      <c r="H200" s="305"/>
      <c r="I200" s="305"/>
      <c r="J200" s="305"/>
      <c r="K200" s="305"/>
      <c r="L200" s="305"/>
      <c r="M200" s="303"/>
      <c r="N200" s="303"/>
      <c r="O200" s="215"/>
      <c r="P200" s="215"/>
      <c r="Q200" s="292"/>
      <c r="R200" s="221"/>
      <c r="S200" s="221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</row>
    <row r="201" spans="1:29" ht="18.75" customHeight="1">
      <c r="A201" s="42"/>
      <c r="B201" s="59" t="s">
        <v>446</v>
      </c>
      <c r="C201" s="111" t="s">
        <v>447</v>
      </c>
      <c r="D201" s="61" t="s">
        <v>424</v>
      </c>
      <c r="E201" s="306">
        <f t="shared" si="0"/>
        <v>0</v>
      </c>
      <c r="F201" s="303"/>
      <c r="G201" s="303"/>
      <c r="H201" s="305"/>
      <c r="I201" s="305"/>
      <c r="J201" s="305"/>
      <c r="K201" s="305"/>
      <c r="L201" s="305"/>
      <c r="M201" s="303"/>
      <c r="N201" s="303"/>
      <c r="O201" s="215"/>
      <c r="P201" s="215"/>
      <c r="Q201" s="292"/>
      <c r="R201" s="221"/>
      <c r="S201" s="221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</row>
    <row r="202" spans="1:29" ht="18.75" customHeight="1">
      <c r="A202" s="42"/>
      <c r="B202" s="59" t="s">
        <v>449</v>
      </c>
      <c r="C202" s="111" t="s">
        <v>450</v>
      </c>
      <c r="D202" s="61" t="s">
        <v>1197</v>
      </c>
      <c r="E202" s="306">
        <f t="shared" si="0"/>
        <v>0</v>
      </c>
      <c r="F202" s="303"/>
      <c r="G202" s="303"/>
      <c r="H202" s="305"/>
      <c r="I202" s="305"/>
      <c r="J202" s="305"/>
      <c r="K202" s="305"/>
      <c r="L202" s="305"/>
      <c r="M202" s="303"/>
      <c r="N202" s="303"/>
      <c r="O202" s="215"/>
      <c r="P202" s="215"/>
      <c r="Q202" s="292"/>
      <c r="R202" s="221"/>
      <c r="S202" s="221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</row>
    <row r="203" spans="1:29" ht="18.75" customHeight="1">
      <c r="A203" s="42"/>
      <c r="B203" s="59" t="s">
        <v>449</v>
      </c>
      <c r="C203" s="111" t="s">
        <v>431</v>
      </c>
      <c r="D203" s="61" t="s">
        <v>1198</v>
      </c>
      <c r="E203" s="306">
        <f t="shared" si="0"/>
        <v>0</v>
      </c>
      <c r="F203" s="303"/>
      <c r="G203" s="303"/>
      <c r="H203" s="305"/>
      <c r="I203" s="305"/>
      <c r="J203" s="305"/>
      <c r="K203" s="305"/>
      <c r="L203" s="305"/>
      <c r="M203" s="303"/>
      <c r="N203" s="303"/>
      <c r="O203" s="215"/>
      <c r="P203" s="215"/>
      <c r="Q203" s="292"/>
      <c r="R203" s="221"/>
      <c r="S203" s="221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</row>
    <row r="204" spans="1:29" ht="18.75" customHeight="1">
      <c r="A204" s="42"/>
      <c r="B204" s="59" t="s">
        <v>453</v>
      </c>
      <c r="C204" s="111" t="s">
        <v>433</v>
      </c>
      <c r="D204" s="61" t="s">
        <v>1199</v>
      </c>
      <c r="E204" s="306">
        <f t="shared" si="0"/>
        <v>0</v>
      </c>
      <c r="F204" s="303"/>
      <c r="G204" s="303"/>
      <c r="H204" s="305"/>
      <c r="I204" s="305"/>
      <c r="J204" s="305"/>
      <c r="K204" s="305"/>
      <c r="L204" s="305"/>
      <c r="M204" s="303"/>
      <c r="N204" s="303"/>
      <c r="O204" s="215"/>
      <c r="P204" s="215"/>
      <c r="Q204" s="292"/>
      <c r="R204" s="221"/>
      <c r="S204" s="221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</row>
    <row r="205" spans="1:29" ht="18.75" customHeight="1">
      <c r="A205" s="101"/>
      <c r="B205" s="53" t="s">
        <v>455</v>
      </c>
      <c r="C205" s="103" t="s">
        <v>456</v>
      </c>
      <c r="D205" s="61"/>
      <c r="E205" s="306">
        <f t="shared" si="0"/>
        <v>0</v>
      </c>
      <c r="F205" s="303"/>
      <c r="G205" s="303"/>
      <c r="H205" s="305"/>
      <c r="I205" s="305"/>
      <c r="J205" s="305"/>
      <c r="K205" s="305"/>
      <c r="L205" s="305"/>
      <c r="M205" s="303"/>
      <c r="N205" s="303"/>
      <c r="O205" s="215"/>
      <c r="P205" s="215"/>
      <c r="Q205" s="292"/>
      <c r="R205" s="221"/>
      <c r="S205" s="221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</row>
    <row r="206" spans="1:29" ht="18.75" customHeight="1">
      <c r="A206" s="42"/>
      <c r="B206" s="59" t="s">
        <v>458</v>
      </c>
      <c r="C206" s="111" t="s">
        <v>459</v>
      </c>
      <c r="D206" s="61" t="s">
        <v>424</v>
      </c>
      <c r="E206" s="306">
        <f t="shared" si="0"/>
        <v>0</v>
      </c>
      <c r="F206" s="303"/>
      <c r="G206" s="303"/>
      <c r="H206" s="305"/>
      <c r="I206" s="305"/>
      <c r="J206" s="305"/>
      <c r="K206" s="305"/>
      <c r="L206" s="305"/>
      <c r="M206" s="303"/>
      <c r="N206" s="303"/>
      <c r="O206" s="215"/>
      <c r="P206" s="215"/>
      <c r="Q206" s="292"/>
      <c r="R206" s="221"/>
      <c r="S206" s="221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</row>
    <row r="207" spans="1:29" ht="18.75" customHeight="1">
      <c r="A207" s="42"/>
      <c r="B207" s="59" t="s">
        <v>461</v>
      </c>
      <c r="C207" s="111" t="s">
        <v>431</v>
      </c>
      <c r="D207" s="61" t="s">
        <v>1200</v>
      </c>
      <c r="E207" s="306">
        <f t="shared" si="0"/>
        <v>0</v>
      </c>
      <c r="F207" s="303"/>
      <c r="G207" s="303"/>
      <c r="H207" s="305"/>
      <c r="I207" s="305"/>
      <c r="J207" s="305"/>
      <c r="K207" s="305"/>
      <c r="L207" s="305"/>
      <c r="M207" s="303"/>
      <c r="N207" s="303"/>
      <c r="O207" s="215"/>
      <c r="P207" s="215"/>
      <c r="Q207" s="292"/>
      <c r="R207" s="221"/>
      <c r="S207" s="221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</row>
    <row r="208" spans="1:29" ht="18.75" customHeight="1">
      <c r="A208" s="42"/>
      <c r="B208" s="59" t="s">
        <v>464</v>
      </c>
      <c r="C208" s="111" t="s">
        <v>433</v>
      </c>
      <c r="D208" s="61" t="s">
        <v>1201</v>
      </c>
      <c r="E208" s="306">
        <f t="shared" si="0"/>
        <v>0</v>
      </c>
      <c r="F208" s="303"/>
      <c r="G208" s="303"/>
      <c r="H208" s="305"/>
      <c r="I208" s="305"/>
      <c r="J208" s="305"/>
      <c r="K208" s="305"/>
      <c r="L208" s="305"/>
      <c r="M208" s="303"/>
      <c r="N208" s="303"/>
      <c r="O208" s="215"/>
      <c r="P208" s="215"/>
      <c r="Q208" s="292"/>
      <c r="R208" s="221"/>
      <c r="S208" s="221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</row>
    <row r="209" spans="1:29" ht="18.75" customHeight="1">
      <c r="A209" s="101"/>
      <c r="B209" s="53" t="s">
        <v>455</v>
      </c>
      <c r="C209" s="87" t="s">
        <v>467</v>
      </c>
      <c r="D209" s="61"/>
      <c r="E209" s="306">
        <f t="shared" si="0"/>
        <v>0</v>
      </c>
      <c r="F209" s="303"/>
      <c r="G209" s="303"/>
      <c r="H209" s="305"/>
      <c r="I209" s="305"/>
      <c r="J209" s="305"/>
      <c r="K209" s="305"/>
      <c r="L209" s="305"/>
      <c r="M209" s="303"/>
      <c r="N209" s="303"/>
      <c r="O209" s="215"/>
      <c r="P209" s="215"/>
      <c r="Q209" s="292"/>
      <c r="R209" s="221"/>
      <c r="S209" s="221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</row>
    <row r="210" spans="1:29" ht="18.75" customHeight="1">
      <c r="A210" s="42"/>
      <c r="B210" s="59" t="s">
        <v>458</v>
      </c>
      <c r="C210" s="111" t="s">
        <v>469</v>
      </c>
      <c r="D210" s="61" t="s">
        <v>132</v>
      </c>
      <c r="E210" s="306">
        <f t="shared" si="0"/>
        <v>0</v>
      </c>
      <c r="F210" s="303"/>
      <c r="G210" s="303"/>
      <c r="H210" s="305"/>
      <c r="I210" s="305"/>
      <c r="J210" s="305"/>
      <c r="K210" s="305"/>
      <c r="L210" s="305"/>
      <c r="M210" s="303"/>
      <c r="N210" s="303"/>
      <c r="O210" s="215"/>
      <c r="P210" s="215"/>
      <c r="Q210" s="292"/>
      <c r="R210" s="221"/>
      <c r="S210" s="221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</row>
    <row r="211" spans="1:29" ht="18.75" customHeight="1">
      <c r="A211" s="42"/>
      <c r="B211" s="59" t="s">
        <v>461</v>
      </c>
      <c r="C211" s="111" t="s">
        <v>471</v>
      </c>
      <c r="D211" s="61" t="s">
        <v>132</v>
      </c>
      <c r="E211" s="306">
        <f t="shared" si="0"/>
        <v>0</v>
      </c>
      <c r="F211" s="303"/>
      <c r="G211" s="303"/>
      <c r="H211" s="305"/>
      <c r="I211" s="305"/>
      <c r="J211" s="305"/>
      <c r="K211" s="305"/>
      <c r="L211" s="305"/>
      <c r="M211" s="303"/>
      <c r="N211" s="303"/>
      <c r="O211" s="215"/>
      <c r="P211" s="215"/>
      <c r="Q211" s="292"/>
      <c r="R211" s="221"/>
      <c r="S211" s="221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</row>
    <row r="212" spans="1:29" ht="18.75" customHeight="1">
      <c r="A212" s="42"/>
      <c r="B212" s="59" t="s">
        <v>464</v>
      </c>
      <c r="C212" s="111" t="s">
        <v>473</v>
      </c>
      <c r="D212" s="61" t="s">
        <v>132</v>
      </c>
      <c r="E212" s="306">
        <f t="shared" si="0"/>
        <v>0</v>
      </c>
      <c r="F212" s="303"/>
      <c r="G212" s="303"/>
      <c r="H212" s="305"/>
      <c r="I212" s="305"/>
      <c r="J212" s="305"/>
      <c r="K212" s="305"/>
      <c r="L212" s="305"/>
      <c r="M212" s="303"/>
      <c r="N212" s="303"/>
      <c r="O212" s="215"/>
      <c r="P212" s="215"/>
      <c r="Q212" s="292"/>
      <c r="R212" s="221"/>
      <c r="S212" s="221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</row>
    <row r="213" spans="1:29" ht="18.75" customHeight="1">
      <c r="A213" s="101"/>
      <c r="B213" s="53" t="s">
        <v>475</v>
      </c>
      <c r="C213" s="87" t="s">
        <v>476</v>
      </c>
      <c r="D213" s="61"/>
      <c r="E213" s="306">
        <f t="shared" si="0"/>
        <v>0</v>
      </c>
      <c r="F213" s="303"/>
      <c r="G213" s="303"/>
      <c r="H213" s="305"/>
      <c r="I213" s="305"/>
      <c r="J213" s="305"/>
      <c r="K213" s="305"/>
      <c r="L213" s="305"/>
      <c r="M213" s="303"/>
      <c r="N213" s="303"/>
      <c r="O213" s="215"/>
      <c r="P213" s="215"/>
      <c r="Q213" s="292"/>
      <c r="R213" s="221"/>
      <c r="S213" s="221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</row>
    <row r="214" spans="1:29" ht="18.75" customHeight="1">
      <c r="A214" s="42"/>
      <c r="B214" s="59" t="s">
        <v>478</v>
      </c>
      <c r="C214" s="111" t="s">
        <v>479</v>
      </c>
      <c r="D214" s="61" t="s">
        <v>132</v>
      </c>
      <c r="E214" s="306">
        <f t="shared" si="0"/>
        <v>0</v>
      </c>
      <c r="F214" s="303"/>
      <c r="G214" s="303"/>
      <c r="H214" s="305"/>
      <c r="I214" s="305"/>
      <c r="J214" s="305"/>
      <c r="K214" s="305"/>
      <c r="L214" s="305"/>
      <c r="M214" s="303"/>
      <c r="N214" s="303"/>
      <c r="O214" s="215"/>
      <c r="P214" s="215"/>
      <c r="Q214" s="292"/>
      <c r="R214" s="221"/>
      <c r="S214" s="221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</row>
    <row r="215" spans="1:29" ht="31.5" customHeight="1">
      <c r="A215" s="42"/>
      <c r="B215" s="59" t="s">
        <v>481</v>
      </c>
      <c r="C215" s="111" t="s">
        <v>482</v>
      </c>
      <c r="D215" s="61" t="s">
        <v>132</v>
      </c>
      <c r="E215" s="306">
        <f t="shared" si="0"/>
        <v>0</v>
      </c>
      <c r="F215" s="303"/>
      <c r="G215" s="303"/>
      <c r="H215" s="305"/>
      <c r="I215" s="305"/>
      <c r="J215" s="305"/>
      <c r="K215" s="305"/>
      <c r="L215" s="305"/>
      <c r="M215" s="303"/>
      <c r="N215" s="303"/>
      <c r="O215" s="215"/>
      <c r="P215" s="215"/>
      <c r="Q215" s="292"/>
      <c r="R215" s="221"/>
      <c r="S215" s="221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</row>
    <row r="216" spans="1:29" ht="18.75" customHeight="1">
      <c r="A216" s="101"/>
      <c r="B216" s="53" t="s">
        <v>484</v>
      </c>
      <c r="C216" s="103" t="s">
        <v>485</v>
      </c>
      <c r="D216" s="61" t="s">
        <v>132</v>
      </c>
      <c r="E216" s="306">
        <f t="shared" si="0"/>
        <v>0</v>
      </c>
      <c r="F216" s="303"/>
      <c r="G216" s="303"/>
      <c r="H216" s="305"/>
      <c r="I216" s="305"/>
      <c r="J216" s="305"/>
      <c r="K216" s="305"/>
      <c r="L216" s="305"/>
      <c r="M216" s="303"/>
      <c r="N216" s="303"/>
      <c r="O216" s="215"/>
      <c r="P216" s="215"/>
      <c r="Q216" s="292"/>
      <c r="R216" s="221"/>
      <c r="S216" s="221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</row>
    <row r="217" spans="1:29" ht="18.75" customHeight="1">
      <c r="A217" s="42"/>
      <c r="B217" s="59" t="s">
        <v>487</v>
      </c>
      <c r="C217" s="111" t="s">
        <v>488</v>
      </c>
      <c r="D217" s="61" t="s">
        <v>132</v>
      </c>
      <c r="E217" s="306">
        <f t="shared" si="0"/>
        <v>0</v>
      </c>
      <c r="F217" s="303"/>
      <c r="G217" s="303"/>
      <c r="H217" s="305"/>
      <c r="I217" s="305"/>
      <c r="J217" s="305"/>
      <c r="K217" s="305"/>
      <c r="L217" s="305"/>
      <c r="M217" s="303"/>
      <c r="N217" s="303"/>
      <c r="O217" s="215"/>
      <c r="P217" s="215"/>
      <c r="Q217" s="292"/>
      <c r="R217" s="221"/>
      <c r="S217" s="221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</row>
    <row r="218" spans="1:29" ht="18.75" customHeight="1">
      <c r="A218" s="42"/>
      <c r="B218" s="59" t="s">
        <v>490</v>
      </c>
      <c r="C218" s="111" t="s">
        <v>491</v>
      </c>
      <c r="D218" s="61" t="s">
        <v>132</v>
      </c>
      <c r="E218" s="306">
        <f t="shared" si="0"/>
        <v>0</v>
      </c>
      <c r="F218" s="303"/>
      <c r="G218" s="303"/>
      <c r="H218" s="305"/>
      <c r="I218" s="305"/>
      <c r="J218" s="305"/>
      <c r="K218" s="305"/>
      <c r="L218" s="305"/>
      <c r="M218" s="303"/>
      <c r="N218" s="303"/>
      <c r="O218" s="215"/>
      <c r="P218" s="215"/>
      <c r="Q218" s="292"/>
      <c r="R218" s="221"/>
      <c r="S218" s="221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</row>
    <row r="219" spans="1:29" ht="31.5" customHeight="1">
      <c r="A219" s="101"/>
      <c r="B219" s="53" t="s">
        <v>493</v>
      </c>
      <c r="C219" s="103" t="s">
        <v>494</v>
      </c>
      <c r="D219" s="61" t="s">
        <v>132</v>
      </c>
      <c r="E219" s="306">
        <f t="shared" si="0"/>
        <v>0</v>
      </c>
      <c r="F219" s="303"/>
      <c r="G219" s="303"/>
      <c r="H219" s="305"/>
      <c r="I219" s="305"/>
      <c r="J219" s="305"/>
      <c r="K219" s="305"/>
      <c r="L219" s="305"/>
      <c r="M219" s="303"/>
      <c r="N219" s="303"/>
      <c r="O219" s="215"/>
      <c r="P219" s="215"/>
      <c r="Q219" s="292"/>
      <c r="R219" s="221"/>
      <c r="S219" s="221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</row>
    <row r="220" spans="1:29" ht="18.75" customHeight="1">
      <c r="A220" s="101">
        <v>8.8000000000000007</v>
      </c>
      <c r="B220" s="53" t="s">
        <v>496</v>
      </c>
      <c r="C220" s="87" t="s">
        <v>497</v>
      </c>
      <c r="D220" s="61"/>
      <c r="E220" s="306">
        <f t="shared" si="0"/>
        <v>0</v>
      </c>
      <c r="F220" s="303"/>
      <c r="G220" s="303"/>
      <c r="H220" s="305"/>
      <c r="I220" s="305"/>
      <c r="J220" s="305"/>
      <c r="K220" s="305"/>
      <c r="L220" s="305"/>
      <c r="M220" s="303"/>
      <c r="N220" s="303"/>
      <c r="O220" s="215"/>
      <c r="P220" s="215"/>
      <c r="Q220" s="292"/>
      <c r="R220" s="221"/>
      <c r="S220" s="221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</row>
    <row r="221" spans="1:29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306">
        <f t="shared" si="0"/>
        <v>0</v>
      </c>
      <c r="F221" s="303"/>
      <c r="G221" s="303"/>
      <c r="H221" s="305"/>
      <c r="I221" s="305"/>
      <c r="J221" s="305"/>
      <c r="K221" s="305"/>
      <c r="L221" s="305"/>
      <c r="M221" s="303"/>
      <c r="N221" s="303"/>
      <c r="O221" s="215"/>
      <c r="P221" s="215"/>
      <c r="Q221" s="292"/>
      <c r="R221" s="221"/>
      <c r="S221" s="221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</row>
    <row r="222" spans="1:29" ht="18.75" customHeight="1">
      <c r="A222" s="118" t="s">
        <v>1007</v>
      </c>
      <c r="B222" s="59" t="s">
        <v>502</v>
      </c>
      <c r="C222" s="113" t="s">
        <v>503</v>
      </c>
      <c r="D222" s="61" t="s">
        <v>1202</v>
      </c>
      <c r="E222" s="306">
        <f t="shared" si="0"/>
        <v>0</v>
      </c>
      <c r="F222" s="303"/>
      <c r="G222" s="303"/>
      <c r="H222" s="305"/>
      <c r="I222" s="305"/>
      <c r="J222" s="305"/>
      <c r="K222" s="305"/>
      <c r="L222" s="305"/>
      <c r="M222" s="303"/>
      <c r="N222" s="303"/>
      <c r="O222" s="215"/>
      <c r="P222" s="215"/>
      <c r="Q222" s="292"/>
      <c r="R222" s="221"/>
      <c r="S222" s="221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</row>
    <row r="223" spans="1:29" ht="18.75" customHeight="1">
      <c r="A223" s="118" t="s">
        <v>1009</v>
      </c>
      <c r="B223" s="59" t="s">
        <v>506</v>
      </c>
      <c r="C223" s="113" t="s">
        <v>507</v>
      </c>
      <c r="D223" s="61" t="s">
        <v>1203</v>
      </c>
      <c r="E223" s="306">
        <f t="shared" si="0"/>
        <v>0</v>
      </c>
      <c r="F223" s="303"/>
      <c r="G223" s="303"/>
      <c r="H223" s="305"/>
      <c r="I223" s="305"/>
      <c r="J223" s="305"/>
      <c r="K223" s="305"/>
      <c r="L223" s="305"/>
      <c r="M223" s="303"/>
      <c r="N223" s="303"/>
      <c r="O223" s="215"/>
      <c r="P223" s="215"/>
      <c r="Q223" s="292"/>
      <c r="R223" s="221"/>
      <c r="S223" s="221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</row>
    <row r="224" spans="1:29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306">
        <f t="shared" si="0"/>
        <v>0</v>
      </c>
      <c r="F224" s="303"/>
      <c r="G224" s="303"/>
      <c r="H224" s="305"/>
      <c r="I224" s="305"/>
      <c r="J224" s="305"/>
      <c r="K224" s="305"/>
      <c r="L224" s="305"/>
      <c r="M224" s="303"/>
      <c r="N224" s="303"/>
      <c r="O224" s="215"/>
      <c r="P224" s="215"/>
      <c r="Q224" s="292"/>
      <c r="R224" s="221"/>
      <c r="S224" s="221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</row>
    <row r="225" spans="1:29" ht="18.75" customHeight="1">
      <c r="A225" s="46">
        <v>9</v>
      </c>
      <c r="B225" s="64" t="s">
        <v>512</v>
      </c>
      <c r="C225" s="64" t="s">
        <v>513</v>
      </c>
      <c r="D225" s="216"/>
      <c r="E225" s="306">
        <f t="shared" si="0"/>
        <v>0</v>
      </c>
      <c r="F225" s="303"/>
      <c r="G225" s="303"/>
      <c r="H225" s="305"/>
      <c r="I225" s="305"/>
      <c r="J225" s="305"/>
      <c r="K225" s="305"/>
      <c r="L225" s="305"/>
      <c r="M225" s="303"/>
      <c r="N225" s="303"/>
      <c r="O225" s="215"/>
      <c r="P225" s="215"/>
      <c r="Q225" s="292"/>
      <c r="R225" s="221"/>
      <c r="S225" s="221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</row>
    <row r="226" spans="1:29" ht="31.5" customHeight="1">
      <c r="A226" s="101"/>
      <c r="B226" s="53" t="s">
        <v>515</v>
      </c>
      <c r="C226" s="87" t="s">
        <v>516</v>
      </c>
      <c r="D226" s="61" t="s">
        <v>1011</v>
      </c>
      <c r="E226" s="306">
        <f t="shared" si="0"/>
        <v>0</v>
      </c>
      <c r="F226" s="303"/>
      <c r="G226" s="303"/>
      <c r="H226" s="305"/>
      <c r="I226" s="305"/>
      <c r="J226" s="305"/>
      <c r="K226" s="305"/>
      <c r="L226" s="305"/>
      <c r="M226" s="303"/>
      <c r="N226" s="303"/>
      <c r="O226" s="215"/>
      <c r="P226" s="215"/>
      <c r="Q226" s="292"/>
      <c r="R226" s="221"/>
      <c r="S226" s="221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</row>
    <row r="227" spans="1:29" ht="18.75" customHeight="1">
      <c r="A227" s="42"/>
      <c r="B227" s="59" t="s">
        <v>518</v>
      </c>
      <c r="C227" s="113" t="s">
        <v>447</v>
      </c>
      <c r="D227" s="61" t="s">
        <v>424</v>
      </c>
      <c r="E227" s="306">
        <f t="shared" si="0"/>
        <v>0</v>
      </c>
      <c r="F227" s="303"/>
      <c r="G227" s="303"/>
      <c r="H227" s="305"/>
      <c r="I227" s="305"/>
      <c r="J227" s="305"/>
      <c r="K227" s="305"/>
      <c r="L227" s="305"/>
      <c r="M227" s="303"/>
      <c r="N227" s="303"/>
      <c r="O227" s="215"/>
      <c r="P227" s="215"/>
      <c r="Q227" s="292"/>
      <c r="R227" s="221"/>
      <c r="S227" s="221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</row>
    <row r="228" spans="1:29" ht="18.75" customHeight="1">
      <c r="A228" s="42"/>
      <c r="B228" s="59" t="s">
        <v>520</v>
      </c>
      <c r="C228" s="113" t="s">
        <v>521</v>
      </c>
      <c r="D228" s="61" t="s">
        <v>424</v>
      </c>
      <c r="E228" s="306">
        <f t="shared" si="0"/>
        <v>0</v>
      </c>
      <c r="F228" s="303"/>
      <c r="G228" s="303"/>
      <c r="H228" s="305"/>
      <c r="I228" s="305"/>
      <c r="J228" s="305"/>
      <c r="K228" s="305"/>
      <c r="L228" s="305"/>
      <c r="M228" s="303"/>
      <c r="N228" s="303"/>
      <c r="O228" s="215"/>
      <c r="P228" s="215"/>
      <c r="Q228" s="292"/>
      <c r="R228" s="221"/>
      <c r="S228" s="221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</row>
    <row r="229" spans="1:29" ht="18.75" customHeight="1">
      <c r="A229" s="42"/>
      <c r="B229" s="59" t="s">
        <v>523</v>
      </c>
      <c r="C229" s="113" t="s">
        <v>524</v>
      </c>
      <c r="D229" s="61" t="s">
        <v>1204</v>
      </c>
      <c r="E229" s="306">
        <f t="shared" si="0"/>
        <v>0</v>
      </c>
      <c r="F229" s="303"/>
      <c r="G229" s="303"/>
      <c r="H229" s="305"/>
      <c r="I229" s="305"/>
      <c r="J229" s="305"/>
      <c r="K229" s="305"/>
      <c r="L229" s="305"/>
      <c r="M229" s="303"/>
      <c r="N229" s="303"/>
      <c r="O229" s="215"/>
      <c r="P229" s="215"/>
      <c r="Q229" s="292"/>
      <c r="R229" s="221"/>
      <c r="S229" s="221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</row>
    <row r="230" spans="1:29" ht="18.75" customHeight="1">
      <c r="A230" s="42"/>
      <c r="B230" s="59" t="s">
        <v>526</v>
      </c>
      <c r="C230" s="113" t="s">
        <v>527</v>
      </c>
      <c r="D230" s="61" t="s">
        <v>1205</v>
      </c>
      <c r="E230" s="306">
        <f t="shared" si="0"/>
        <v>0</v>
      </c>
      <c r="F230" s="303"/>
      <c r="G230" s="303"/>
      <c r="H230" s="305"/>
      <c r="I230" s="305"/>
      <c r="J230" s="305"/>
      <c r="K230" s="305"/>
      <c r="L230" s="305"/>
      <c r="M230" s="303"/>
      <c r="N230" s="303"/>
      <c r="O230" s="215"/>
      <c r="P230" s="215"/>
      <c r="Q230" s="292"/>
      <c r="R230" s="221"/>
      <c r="S230" s="221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</row>
    <row r="231" spans="1:29" ht="18.75" customHeight="1">
      <c r="A231" s="42"/>
      <c r="B231" s="59" t="s">
        <v>530</v>
      </c>
      <c r="C231" s="113" t="s">
        <v>531</v>
      </c>
      <c r="D231" s="61" t="s">
        <v>132</v>
      </c>
      <c r="E231" s="306">
        <f t="shared" si="0"/>
        <v>0</v>
      </c>
      <c r="F231" s="303"/>
      <c r="G231" s="303"/>
      <c r="H231" s="305"/>
      <c r="I231" s="305"/>
      <c r="J231" s="305"/>
      <c r="K231" s="305"/>
      <c r="L231" s="305"/>
      <c r="M231" s="303"/>
      <c r="N231" s="303"/>
      <c r="O231" s="215"/>
      <c r="P231" s="215"/>
      <c r="Q231" s="292"/>
      <c r="R231" s="221"/>
      <c r="S231" s="221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</row>
    <row r="232" spans="1:29" ht="15.75" customHeight="1">
      <c r="A232" s="42"/>
      <c r="B232" s="59" t="s">
        <v>533</v>
      </c>
      <c r="C232" s="113" t="s">
        <v>534</v>
      </c>
      <c r="D232" s="61" t="s">
        <v>132</v>
      </c>
      <c r="E232" s="306">
        <f t="shared" si="0"/>
        <v>0</v>
      </c>
      <c r="F232" s="303"/>
      <c r="G232" s="303"/>
      <c r="H232" s="305"/>
      <c r="I232" s="305"/>
      <c r="J232" s="305"/>
      <c r="K232" s="305"/>
      <c r="L232" s="305"/>
      <c r="M232" s="303"/>
      <c r="N232" s="303"/>
      <c r="O232" s="215"/>
      <c r="P232" s="215"/>
      <c r="Q232" s="292"/>
      <c r="R232" s="221"/>
      <c r="S232" s="221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</row>
    <row r="233" spans="1:29" ht="31.5" customHeight="1">
      <c r="A233" s="42"/>
      <c r="B233" s="59" t="s">
        <v>536</v>
      </c>
      <c r="C233" s="113" t="s">
        <v>537</v>
      </c>
      <c r="D233" s="61" t="s">
        <v>194</v>
      </c>
      <c r="E233" s="306">
        <f t="shared" si="0"/>
        <v>0</v>
      </c>
      <c r="F233" s="298"/>
      <c r="G233" s="298"/>
      <c r="H233" s="57"/>
      <c r="I233" s="57"/>
      <c r="J233" s="57"/>
      <c r="K233" s="57"/>
      <c r="L233" s="57"/>
      <c r="M233" s="298"/>
      <c r="N233" s="298"/>
      <c r="O233" s="215"/>
      <c r="P233" s="215"/>
      <c r="Q233" s="292"/>
      <c r="R233" s="221"/>
      <c r="S233" s="221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</row>
    <row r="234" spans="1:29" ht="18.75" customHeight="1">
      <c r="A234" s="42"/>
      <c r="B234" s="59" t="s">
        <v>539</v>
      </c>
      <c r="C234" s="113" t="s">
        <v>540</v>
      </c>
      <c r="D234" s="216" t="s">
        <v>183</v>
      </c>
      <c r="E234" s="306">
        <f t="shared" si="0"/>
        <v>0</v>
      </c>
      <c r="F234" s="303"/>
      <c r="G234" s="303"/>
      <c r="H234" s="305"/>
      <c r="I234" s="305"/>
      <c r="J234" s="305"/>
      <c r="K234" s="305"/>
      <c r="L234" s="305"/>
      <c r="M234" s="303"/>
      <c r="N234" s="303"/>
      <c r="O234" s="215"/>
      <c r="P234" s="215"/>
      <c r="Q234" s="292"/>
      <c r="R234" s="221"/>
      <c r="S234" s="221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</row>
    <row r="235" spans="1:29" ht="18.75" customHeight="1">
      <c r="A235" s="42"/>
      <c r="B235" s="59" t="s">
        <v>542</v>
      </c>
      <c r="C235" s="113" t="s">
        <v>543</v>
      </c>
      <c r="D235" s="61" t="s">
        <v>132</v>
      </c>
      <c r="E235" s="306">
        <f t="shared" si="0"/>
        <v>0</v>
      </c>
      <c r="F235" s="303"/>
      <c r="G235" s="303"/>
      <c r="H235" s="305"/>
      <c r="I235" s="305"/>
      <c r="J235" s="305"/>
      <c r="K235" s="305"/>
      <c r="L235" s="305"/>
      <c r="M235" s="303"/>
      <c r="N235" s="303"/>
      <c r="O235" s="215"/>
      <c r="P235" s="215"/>
      <c r="Q235" s="292"/>
      <c r="R235" s="221"/>
      <c r="S235" s="221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</row>
    <row r="236" spans="1:29" ht="31.5" customHeight="1">
      <c r="A236" s="101"/>
      <c r="B236" s="53" t="s">
        <v>545</v>
      </c>
      <c r="C236" s="87" t="s">
        <v>546</v>
      </c>
      <c r="D236" s="61" t="s">
        <v>1011</v>
      </c>
      <c r="E236" s="306">
        <f t="shared" si="0"/>
        <v>0</v>
      </c>
      <c r="F236" s="303"/>
      <c r="G236" s="303"/>
      <c r="H236" s="305"/>
      <c r="I236" s="305"/>
      <c r="J236" s="305"/>
      <c r="K236" s="305"/>
      <c r="L236" s="305"/>
      <c r="M236" s="303"/>
      <c r="N236" s="303"/>
      <c r="O236" s="215"/>
      <c r="P236" s="215"/>
      <c r="Q236" s="292"/>
      <c r="R236" s="221"/>
      <c r="S236" s="221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</row>
    <row r="237" spans="1:29" ht="18.75" customHeight="1">
      <c r="A237" s="42"/>
      <c r="B237" s="59" t="s">
        <v>548</v>
      </c>
      <c r="C237" s="113" t="s">
        <v>447</v>
      </c>
      <c r="D237" s="61" t="s">
        <v>424</v>
      </c>
      <c r="E237" s="306">
        <f t="shared" si="0"/>
        <v>0</v>
      </c>
      <c r="F237" s="303"/>
      <c r="G237" s="303"/>
      <c r="H237" s="305"/>
      <c r="I237" s="305"/>
      <c r="J237" s="305"/>
      <c r="K237" s="305"/>
      <c r="L237" s="305"/>
      <c r="M237" s="303"/>
      <c r="N237" s="303"/>
      <c r="O237" s="215"/>
      <c r="P237" s="215"/>
      <c r="Q237" s="292"/>
      <c r="R237" s="221"/>
      <c r="S237" s="221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</row>
    <row r="238" spans="1:29" ht="18.75" customHeight="1">
      <c r="A238" s="42"/>
      <c r="B238" s="59" t="s">
        <v>550</v>
      </c>
      <c r="C238" s="113" t="s">
        <v>521</v>
      </c>
      <c r="D238" s="61" t="s">
        <v>424</v>
      </c>
      <c r="E238" s="306">
        <f t="shared" si="0"/>
        <v>0</v>
      </c>
      <c r="F238" s="303"/>
      <c r="G238" s="303"/>
      <c r="H238" s="305"/>
      <c r="I238" s="305"/>
      <c r="J238" s="305"/>
      <c r="K238" s="305"/>
      <c r="L238" s="305"/>
      <c r="M238" s="303"/>
      <c r="N238" s="303"/>
      <c r="O238" s="215"/>
      <c r="P238" s="215"/>
      <c r="Q238" s="292"/>
      <c r="R238" s="221"/>
      <c r="S238" s="221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</row>
    <row r="239" spans="1:29" ht="18.75" customHeight="1">
      <c r="A239" s="42"/>
      <c r="B239" s="59" t="s">
        <v>551</v>
      </c>
      <c r="C239" s="113" t="s">
        <v>524</v>
      </c>
      <c r="D239" s="61" t="s">
        <v>1206</v>
      </c>
      <c r="E239" s="306">
        <f t="shared" si="0"/>
        <v>0</v>
      </c>
      <c r="F239" s="303"/>
      <c r="G239" s="303"/>
      <c r="H239" s="305"/>
      <c r="I239" s="305"/>
      <c r="J239" s="305"/>
      <c r="K239" s="305"/>
      <c r="L239" s="305"/>
      <c r="M239" s="303"/>
      <c r="N239" s="303"/>
      <c r="O239" s="215"/>
      <c r="P239" s="215"/>
      <c r="Q239" s="292"/>
      <c r="R239" s="221"/>
      <c r="S239" s="221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</row>
    <row r="240" spans="1:29" ht="18.75" customHeight="1">
      <c r="A240" s="42"/>
      <c r="B240" s="59" t="s">
        <v>553</v>
      </c>
      <c r="C240" s="113" t="s">
        <v>527</v>
      </c>
      <c r="D240" s="61" t="s">
        <v>1207</v>
      </c>
      <c r="E240" s="306">
        <f t="shared" si="0"/>
        <v>0</v>
      </c>
      <c r="F240" s="303"/>
      <c r="G240" s="303"/>
      <c r="H240" s="305"/>
      <c r="I240" s="305"/>
      <c r="J240" s="305"/>
      <c r="K240" s="305"/>
      <c r="L240" s="305"/>
      <c r="M240" s="303"/>
      <c r="N240" s="303"/>
      <c r="O240" s="215"/>
      <c r="P240" s="215"/>
      <c r="Q240" s="292"/>
      <c r="R240" s="221"/>
      <c r="S240" s="221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</row>
    <row r="241" spans="1:29" ht="18.75" customHeight="1">
      <c r="A241" s="42"/>
      <c r="B241" s="59" t="s">
        <v>555</v>
      </c>
      <c r="C241" s="113" t="s">
        <v>531</v>
      </c>
      <c r="D241" s="61" t="s">
        <v>132</v>
      </c>
      <c r="E241" s="306">
        <f t="shared" si="0"/>
        <v>0</v>
      </c>
      <c r="F241" s="303"/>
      <c r="G241" s="303"/>
      <c r="H241" s="305"/>
      <c r="I241" s="305"/>
      <c r="J241" s="305"/>
      <c r="K241" s="305"/>
      <c r="L241" s="305"/>
      <c r="M241" s="303"/>
      <c r="N241" s="303"/>
      <c r="O241" s="215"/>
      <c r="P241" s="215"/>
      <c r="Q241" s="292"/>
      <c r="R241" s="221"/>
      <c r="S241" s="221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</row>
    <row r="242" spans="1:29" ht="18.75" customHeight="1">
      <c r="A242" s="42"/>
      <c r="B242" s="59" t="s">
        <v>556</v>
      </c>
      <c r="C242" s="113" t="s">
        <v>534</v>
      </c>
      <c r="D242" s="61" t="s">
        <v>132</v>
      </c>
      <c r="E242" s="306">
        <f t="shared" si="0"/>
        <v>0</v>
      </c>
      <c r="F242" s="303"/>
      <c r="G242" s="303"/>
      <c r="H242" s="305"/>
      <c r="I242" s="305"/>
      <c r="J242" s="305"/>
      <c r="K242" s="305"/>
      <c r="L242" s="305"/>
      <c r="M242" s="303"/>
      <c r="N242" s="303"/>
      <c r="O242" s="215"/>
      <c r="P242" s="215"/>
      <c r="Q242" s="292"/>
      <c r="R242" s="221"/>
      <c r="S242" s="221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</row>
    <row r="243" spans="1:29" ht="31.5" customHeight="1">
      <c r="A243" s="42"/>
      <c r="B243" s="59" t="s">
        <v>557</v>
      </c>
      <c r="C243" s="113" t="s">
        <v>537</v>
      </c>
      <c r="D243" s="61" t="s">
        <v>194</v>
      </c>
      <c r="E243" s="306">
        <f t="shared" si="0"/>
        <v>0</v>
      </c>
      <c r="F243" s="303"/>
      <c r="G243" s="303"/>
      <c r="H243" s="305"/>
      <c r="I243" s="305"/>
      <c r="J243" s="305"/>
      <c r="K243" s="305"/>
      <c r="L243" s="305"/>
      <c r="M243" s="303"/>
      <c r="N243" s="303"/>
      <c r="O243" s="215"/>
      <c r="P243" s="215"/>
      <c r="Q243" s="292"/>
      <c r="R243" s="221"/>
      <c r="S243" s="221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</row>
    <row r="244" spans="1:29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306">
        <f t="shared" si="0"/>
        <v>0</v>
      </c>
      <c r="F244" s="303"/>
      <c r="G244" s="303"/>
      <c r="H244" s="305"/>
      <c r="I244" s="305"/>
      <c r="J244" s="305"/>
      <c r="K244" s="305"/>
      <c r="L244" s="305"/>
      <c r="M244" s="303"/>
      <c r="N244" s="303"/>
      <c r="O244" s="215"/>
      <c r="P244" s="215"/>
      <c r="Q244" s="292"/>
      <c r="R244" s="221"/>
      <c r="S244" s="221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</row>
    <row r="245" spans="1:29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306">
        <f t="shared" si="0"/>
        <v>0</v>
      </c>
      <c r="F245" s="303"/>
      <c r="G245" s="303"/>
      <c r="H245" s="305"/>
      <c r="I245" s="305"/>
      <c r="J245" s="305"/>
      <c r="K245" s="305"/>
      <c r="L245" s="305"/>
      <c r="M245" s="303"/>
      <c r="N245" s="303"/>
      <c r="O245" s="215"/>
      <c r="P245" s="215"/>
      <c r="Q245" s="292"/>
      <c r="R245" s="221"/>
      <c r="S245" s="221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</row>
    <row r="246" spans="1:29" ht="18.75" customHeight="1">
      <c r="A246" s="101">
        <v>9.3000000000000007</v>
      </c>
      <c r="B246" s="53" t="s">
        <v>560</v>
      </c>
      <c r="C246" s="87" t="s">
        <v>561</v>
      </c>
      <c r="D246" s="61"/>
      <c r="E246" s="306">
        <f t="shared" si="0"/>
        <v>0</v>
      </c>
      <c r="F246" s="303"/>
      <c r="G246" s="303"/>
      <c r="H246" s="305"/>
      <c r="I246" s="305"/>
      <c r="J246" s="305"/>
      <c r="K246" s="305"/>
      <c r="L246" s="305"/>
      <c r="M246" s="303"/>
      <c r="N246" s="303"/>
      <c r="O246" s="215"/>
      <c r="P246" s="215"/>
      <c r="Q246" s="292"/>
      <c r="R246" s="221"/>
      <c r="S246" s="221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</row>
    <row r="247" spans="1:29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306">
        <f t="shared" si="0"/>
        <v>0</v>
      </c>
      <c r="F247" s="303"/>
      <c r="G247" s="303"/>
      <c r="H247" s="305"/>
      <c r="I247" s="305"/>
      <c r="J247" s="305"/>
      <c r="K247" s="305"/>
      <c r="L247" s="305"/>
      <c r="M247" s="303"/>
      <c r="N247" s="303"/>
      <c r="O247" s="215"/>
      <c r="P247" s="215"/>
      <c r="Q247" s="292"/>
      <c r="R247" s="221"/>
      <c r="S247" s="221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</row>
    <row r="248" spans="1:29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306">
        <f t="shared" si="0"/>
        <v>0</v>
      </c>
      <c r="F248" s="303"/>
      <c r="G248" s="303"/>
      <c r="H248" s="305"/>
      <c r="I248" s="305"/>
      <c r="J248" s="305"/>
      <c r="K248" s="305"/>
      <c r="L248" s="305"/>
      <c r="M248" s="303"/>
      <c r="N248" s="303"/>
      <c r="O248" s="215"/>
      <c r="P248" s="215"/>
      <c r="Q248" s="292"/>
      <c r="R248" s="221"/>
      <c r="S248" s="221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</row>
    <row r="249" spans="1:29" ht="18.75" customHeight="1">
      <c r="A249" s="42" t="s">
        <v>1020</v>
      </c>
      <c r="B249" s="59" t="s">
        <v>566</v>
      </c>
      <c r="C249" s="113" t="s">
        <v>567</v>
      </c>
      <c r="D249" s="61" t="s">
        <v>1208</v>
      </c>
      <c r="E249" s="306">
        <f t="shared" si="0"/>
        <v>0</v>
      </c>
      <c r="F249" s="303"/>
      <c r="G249" s="303"/>
      <c r="H249" s="305"/>
      <c r="I249" s="305"/>
      <c r="J249" s="305"/>
      <c r="K249" s="305"/>
      <c r="L249" s="305"/>
      <c r="M249" s="303"/>
      <c r="N249" s="303"/>
      <c r="O249" s="215"/>
      <c r="P249" s="215"/>
      <c r="Q249" s="292"/>
      <c r="R249" s="221"/>
      <c r="S249" s="221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</row>
    <row r="250" spans="1:29" ht="18.75" customHeight="1">
      <c r="A250" s="42" t="s">
        <v>1022</v>
      </c>
      <c r="B250" s="59" t="s">
        <v>569</v>
      </c>
      <c r="C250" s="113" t="s">
        <v>570</v>
      </c>
      <c r="D250" s="61" t="s">
        <v>1209</v>
      </c>
      <c r="E250" s="306">
        <f t="shared" si="0"/>
        <v>0</v>
      </c>
      <c r="F250" s="303"/>
      <c r="G250" s="303"/>
      <c r="H250" s="305"/>
      <c r="I250" s="305"/>
      <c r="J250" s="305"/>
      <c r="K250" s="305"/>
      <c r="L250" s="305"/>
      <c r="M250" s="303"/>
      <c r="N250" s="303"/>
      <c r="O250" s="215"/>
      <c r="P250" s="215"/>
      <c r="Q250" s="292"/>
      <c r="R250" s="221"/>
      <c r="S250" s="221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</row>
    <row r="251" spans="1:29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306">
        <f t="shared" si="0"/>
        <v>0</v>
      </c>
      <c r="F251" s="303"/>
      <c r="G251" s="303"/>
      <c r="H251" s="305"/>
      <c r="I251" s="305"/>
      <c r="J251" s="305"/>
      <c r="K251" s="305"/>
      <c r="L251" s="305"/>
      <c r="M251" s="303"/>
      <c r="N251" s="303"/>
      <c r="O251" s="215"/>
      <c r="P251" s="215"/>
      <c r="Q251" s="292"/>
      <c r="R251" s="221"/>
      <c r="S251" s="221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</row>
    <row r="252" spans="1:29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306">
        <f t="shared" si="0"/>
        <v>0</v>
      </c>
      <c r="F252" s="303"/>
      <c r="G252" s="303"/>
      <c r="H252" s="305"/>
      <c r="I252" s="305"/>
      <c r="J252" s="305"/>
      <c r="K252" s="305"/>
      <c r="L252" s="305"/>
      <c r="M252" s="303"/>
      <c r="N252" s="303"/>
      <c r="O252" s="215"/>
      <c r="P252" s="215"/>
      <c r="Q252" s="292"/>
      <c r="R252" s="221"/>
      <c r="S252" s="221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</row>
    <row r="253" spans="1:29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306">
        <f t="shared" si="0"/>
        <v>0</v>
      </c>
      <c r="F253" s="303"/>
      <c r="G253" s="303"/>
      <c r="H253" s="305"/>
      <c r="I253" s="305"/>
      <c r="J253" s="305"/>
      <c r="K253" s="305"/>
      <c r="L253" s="305"/>
      <c r="M253" s="303"/>
      <c r="N253" s="303"/>
      <c r="O253" s="215"/>
      <c r="P253" s="215"/>
      <c r="Q253" s="292"/>
      <c r="R253" s="221"/>
      <c r="S253" s="221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</row>
    <row r="254" spans="1:29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306">
        <f t="shared" si="0"/>
        <v>0</v>
      </c>
      <c r="F254" s="303"/>
      <c r="G254" s="303"/>
      <c r="H254" s="305"/>
      <c r="I254" s="305"/>
      <c r="J254" s="305"/>
      <c r="K254" s="305"/>
      <c r="L254" s="305"/>
      <c r="M254" s="303"/>
      <c r="N254" s="303"/>
      <c r="O254" s="215"/>
      <c r="P254" s="215"/>
      <c r="Q254" s="292"/>
      <c r="R254" s="221"/>
      <c r="S254" s="221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</row>
    <row r="255" spans="1:29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306">
        <f t="shared" si="0"/>
        <v>0</v>
      </c>
      <c r="F255" s="303"/>
      <c r="G255" s="303"/>
      <c r="H255" s="305"/>
      <c r="I255" s="305"/>
      <c r="J255" s="305"/>
      <c r="K255" s="305"/>
      <c r="L255" s="305"/>
      <c r="M255" s="303"/>
      <c r="N255" s="303"/>
      <c r="O255" s="215"/>
      <c r="P255" s="215"/>
      <c r="Q255" s="292"/>
      <c r="R255" s="221"/>
      <c r="S255" s="221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</row>
    <row r="256" spans="1:29" ht="18.75" customHeight="1">
      <c r="A256" s="101">
        <v>9.4</v>
      </c>
      <c r="B256" s="53" t="s">
        <v>581</v>
      </c>
      <c r="C256" s="87" t="s">
        <v>582</v>
      </c>
      <c r="D256" s="61"/>
      <c r="E256" s="306">
        <f t="shared" si="0"/>
        <v>0</v>
      </c>
      <c r="F256" s="303"/>
      <c r="G256" s="303"/>
      <c r="H256" s="305"/>
      <c r="I256" s="305"/>
      <c r="J256" s="305"/>
      <c r="K256" s="305"/>
      <c r="L256" s="305"/>
      <c r="M256" s="303"/>
      <c r="N256" s="303"/>
      <c r="O256" s="215"/>
      <c r="P256" s="215"/>
      <c r="Q256" s="292"/>
      <c r="R256" s="221"/>
      <c r="S256" s="221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</row>
    <row r="257" spans="1:29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306">
        <f t="shared" si="0"/>
        <v>0</v>
      </c>
      <c r="F257" s="303"/>
      <c r="G257" s="303"/>
      <c r="H257" s="305"/>
      <c r="I257" s="305"/>
      <c r="J257" s="305"/>
      <c r="K257" s="305"/>
      <c r="L257" s="305"/>
      <c r="M257" s="303"/>
      <c r="N257" s="303"/>
      <c r="O257" s="215"/>
      <c r="P257" s="215"/>
      <c r="Q257" s="292"/>
      <c r="R257" s="221"/>
      <c r="S257" s="221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</row>
    <row r="258" spans="1:29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306">
        <f t="shared" si="0"/>
        <v>0</v>
      </c>
      <c r="F258" s="303"/>
      <c r="G258" s="303"/>
      <c r="H258" s="305"/>
      <c r="I258" s="305"/>
      <c r="J258" s="305"/>
      <c r="K258" s="305"/>
      <c r="L258" s="305"/>
      <c r="M258" s="303"/>
      <c r="N258" s="303"/>
      <c r="O258" s="215"/>
      <c r="P258" s="215"/>
      <c r="Q258" s="292"/>
      <c r="R258" s="221"/>
      <c r="S258" s="221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</row>
    <row r="259" spans="1:29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306">
        <f t="shared" si="0"/>
        <v>0</v>
      </c>
      <c r="F259" s="303"/>
      <c r="G259" s="303"/>
      <c r="H259" s="305"/>
      <c r="I259" s="305"/>
      <c r="J259" s="305"/>
      <c r="K259" s="305"/>
      <c r="L259" s="305"/>
      <c r="M259" s="303"/>
      <c r="N259" s="303"/>
      <c r="O259" s="215"/>
      <c r="P259" s="215"/>
      <c r="Q259" s="292"/>
      <c r="R259" s="221"/>
      <c r="S259" s="221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</row>
    <row r="260" spans="1:29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306">
        <f t="shared" si="0"/>
        <v>0</v>
      </c>
      <c r="F260" s="303"/>
      <c r="G260" s="303"/>
      <c r="H260" s="305"/>
      <c r="I260" s="305"/>
      <c r="J260" s="305"/>
      <c r="K260" s="305"/>
      <c r="L260" s="305"/>
      <c r="M260" s="303"/>
      <c r="N260" s="303"/>
      <c r="O260" s="215"/>
      <c r="P260" s="215"/>
      <c r="Q260" s="292"/>
      <c r="R260" s="221"/>
      <c r="S260" s="221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</row>
    <row r="261" spans="1:29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306">
        <f t="shared" si="0"/>
        <v>0</v>
      </c>
      <c r="F261" s="303"/>
      <c r="G261" s="303"/>
      <c r="H261" s="305"/>
      <c r="I261" s="305"/>
      <c r="J261" s="305"/>
      <c r="K261" s="305"/>
      <c r="L261" s="305"/>
      <c r="M261" s="303"/>
      <c r="N261" s="303"/>
      <c r="O261" s="215"/>
      <c r="P261" s="215"/>
      <c r="Q261" s="292"/>
      <c r="R261" s="221"/>
      <c r="S261" s="221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</row>
    <row r="262" spans="1:29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306">
        <f t="shared" si="0"/>
        <v>0</v>
      </c>
      <c r="F262" s="303"/>
      <c r="G262" s="303"/>
      <c r="H262" s="305"/>
      <c r="I262" s="305"/>
      <c r="J262" s="305"/>
      <c r="K262" s="305"/>
      <c r="L262" s="305"/>
      <c r="M262" s="303"/>
      <c r="N262" s="303"/>
      <c r="O262" s="215"/>
      <c r="P262" s="215"/>
      <c r="Q262" s="292"/>
      <c r="R262" s="221"/>
      <c r="S262" s="221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</row>
    <row r="263" spans="1:29" ht="18.75" customHeight="1">
      <c r="A263" s="101">
        <v>9.5</v>
      </c>
      <c r="B263" s="53" t="s">
        <v>596</v>
      </c>
      <c r="C263" s="87" t="s">
        <v>597</v>
      </c>
      <c r="D263" s="61"/>
      <c r="E263" s="306">
        <f t="shared" si="0"/>
        <v>0</v>
      </c>
      <c r="F263" s="303"/>
      <c r="G263" s="303"/>
      <c r="H263" s="305"/>
      <c r="I263" s="305"/>
      <c r="J263" s="305"/>
      <c r="K263" s="305"/>
      <c r="L263" s="305"/>
      <c r="M263" s="303"/>
      <c r="N263" s="303"/>
      <c r="O263" s="215"/>
      <c r="P263" s="215"/>
      <c r="Q263" s="292"/>
      <c r="R263" s="221"/>
      <c r="S263" s="221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</row>
    <row r="264" spans="1:29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306">
        <f t="shared" si="0"/>
        <v>0</v>
      </c>
      <c r="F264" s="303"/>
      <c r="G264" s="303"/>
      <c r="H264" s="305"/>
      <c r="I264" s="305"/>
      <c r="J264" s="305"/>
      <c r="K264" s="305"/>
      <c r="L264" s="305"/>
      <c r="M264" s="303"/>
      <c r="N264" s="303"/>
      <c r="O264" s="215"/>
      <c r="P264" s="215"/>
      <c r="Q264" s="292"/>
      <c r="R264" s="221"/>
      <c r="S264" s="221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</row>
    <row r="265" spans="1:29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306">
        <f t="shared" si="0"/>
        <v>0</v>
      </c>
      <c r="F265" s="303"/>
      <c r="G265" s="303"/>
      <c r="H265" s="305"/>
      <c r="I265" s="305"/>
      <c r="J265" s="305"/>
      <c r="K265" s="305"/>
      <c r="L265" s="305"/>
      <c r="M265" s="303"/>
      <c r="N265" s="303"/>
      <c r="O265" s="215"/>
      <c r="P265" s="215"/>
      <c r="Q265" s="292"/>
      <c r="R265" s="221"/>
      <c r="S265" s="221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</row>
    <row r="266" spans="1:29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306">
        <f t="shared" si="0"/>
        <v>0</v>
      </c>
      <c r="F266" s="303"/>
      <c r="G266" s="303"/>
      <c r="H266" s="305"/>
      <c r="I266" s="305"/>
      <c r="J266" s="305"/>
      <c r="K266" s="305"/>
      <c r="L266" s="305"/>
      <c r="M266" s="303"/>
      <c r="N266" s="303"/>
      <c r="O266" s="215"/>
      <c r="P266" s="215"/>
      <c r="Q266" s="292"/>
      <c r="R266" s="221"/>
      <c r="S266" s="221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</row>
    <row r="267" spans="1:29" ht="18.75" customHeight="1">
      <c r="A267" s="42" t="s">
        <v>605</v>
      </c>
      <c r="B267" s="59" t="s">
        <v>606</v>
      </c>
      <c r="C267" s="113" t="s">
        <v>593</v>
      </c>
      <c r="D267" s="61" t="s">
        <v>1210</v>
      </c>
      <c r="E267" s="306">
        <f t="shared" si="0"/>
        <v>0</v>
      </c>
      <c r="F267" s="303"/>
      <c r="G267" s="303"/>
      <c r="H267" s="305"/>
      <c r="I267" s="305"/>
      <c r="J267" s="305"/>
      <c r="K267" s="305"/>
      <c r="L267" s="305"/>
      <c r="M267" s="303"/>
      <c r="N267" s="303"/>
      <c r="O267" s="215"/>
      <c r="P267" s="215"/>
      <c r="Q267" s="292"/>
      <c r="R267" s="221"/>
      <c r="S267" s="221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</row>
    <row r="268" spans="1:29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306">
        <f t="shared" si="0"/>
        <v>0</v>
      </c>
      <c r="F268" s="303"/>
      <c r="G268" s="303"/>
      <c r="H268" s="305"/>
      <c r="I268" s="305"/>
      <c r="J268" s="305"/>
      <c r="K268" s="305"/>
      <c r="L268" s="305"/>
      <c r="M268" s="303"/>
      <c r="N268" s="303"/>
      <c r="O268" s="215"/>
      <c r="P268" s="215"/>
      <c r="Q268" s="292"/>
      <c r="R268" s="221"/>
      <c r="S268" s="221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</row>
    <row r="269" spans="1:29" ht="18.75" customHeight="1">
      <c r="A269" s="101">
        <v>9.6</v>
      </c>
      <c r="B269" s="53" t="s">
        <v>610</v>
      </c>
      <c r="C269" s="87" t="s">
        <v>611</v>
      </c>
      <c r="D269" s="61"/>
      <c r="E269" s="306">
        <f t="shared" si="0"/>
        <v>0</v>
      </c>
      <c r="F269" s="303"/>
      <c r="G269" s="303"/>
      <c r="H269" s="305"/>
      <c r="I269" s="305"/>
      <c r="J269" s="305"/>
      <c r="K269" s="305"/>
      <c r="L269" s="305"/>
      <c r="M269" s="303"/>
      <c r="N269" s="303"/>
      <c r="O269" s="215"/>
      <c r="P269" s="215"/>
      <c r="Q269" s="292"/>
      <c r="R269" s="221"/>
      <c r="S269" s="221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</row>
    <row r="270" spans="1:29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306">
        <f t="shared" si="0"/>
        <v>0</v>
      </c>
      <c r="F270" s="303"/>
      <c r="G270" s="303"/>
      <c r="H270" s="305"/>
      <c r="I270" s="305"/>
      <c r="J270" s="305"/>
      <c r="K270" s="305"/>
      <c r="L270" s="305"/>
      <c r="M270" s="303"/>
      <c r="N270" s="303"/>
      <c r="O270" s="215"/>
      <c r="P270" s="215"/>
      <c r="Q270" s="292"/>
      <c r="R270" s="221"/>
      <c r="S270" s="221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</row>
    <row r="271" spans="1:29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306">
        <f t="shared" si="0"/>
        <v>0</v>
      </c>
      <c r="F271" s="303"/>
      <c r="G271" s="303"/>
      <c r="H271" s="305"/>
      <c r="I271" s="305"/>
      <c r="J271" s="305"/>
      <c r="K271" s="305"/>
      <c r="L271" s="305"/>
      <c r="M271" s="303"/>
      <c r="N271" s="303"/>
      <c r="O271" s="215"/>
      <c r="P271" s="215"/>
      <c r="Q271" s="292"/>
      <c r="R271" s="221"/>
      <c r="S271" s="221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</row>
    <row r="272" spans="1:29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306">
        <f t="shared" si="0"/>
        <v>0</v>
      </c>
      <c r="F272" s="303"/>
      <c r="G272" s="303"/>
      <c r="H272" s="305"/>
      <c r="I272" s="305"/>
      <c r="J272" s="305"/>
      <c r="K272" s="305"/>
      <c r="L272" s="305"/>
      <c r="M272" s="303"/>
      <c r="N272" s="303"/>
      <c r="O272" s="215"/>
      <c r="P272" s="215"/>
      <c r="Q272" s="292"/>
      <c r="R272" s="221"/>
      <c r="S272" s="221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</row>
    <row r="273" spans="1:29" ht="18.75" customHeight="1">
      <c r="A273" s="42" t="s">
        <v>620</v>
      </c>
      <c r="B273" s="59" t="s">
        <v>621</v>
      </c>
      <c r="C273" s="113" t="s">
        <v>622</v>
      </c>
      <c r="D273" s="61" t="s">
        <v>1211</v>
      </c>
      <c r="E273" s="306">
        <f t="shared" si="0"/>
        <v>0</v>
      </c>
      <c r="F273" s="303"/>
      <c r="G273" s="303"/>
      <c r="H273" s="305"/>
      <c r="I273" s="305"/>
      <c r="J273" s="305"/>
      <c r="K273" s="305"/>
      <c r="L273" s="305"/>
      <c r="M273" s="303"/>
      <c r="N273" s="303"/>
      <c r="O273" s="215"/>
      <c r="P273" s="215"/>
      <c r="Q273" s="292"/>
      <c r="R273" s="221"/>
      <c r="S273" s="221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</row>
    <row r="274" spans="1:29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306">
        <f t="shared" si="0"/>
        <v>0</v>
      </c>
      <c r="F274" s="303"/>
      <c r="G274" s="303"/>
      <c r="H274" s="305"/>
      <c r="I274" s="305"/>
      <c r="J274" s="305"/>
      <c r="K274" s="305"/>
      <c r="L274" s="305"/>
      <c r="M274" s="303"/>
      <c r="N274" s="303"/>
      <c r="O274" s="215"/>
      <c r="P274" s="215"/>
      <c r="Q274" s="292"/>
      <c r="R274" s="221"/>
      <c r="S274" s="221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</row>
    <row r="275" spans="1:29" ht="18.75" customHeight="1">
      <c r="A275" s="101">
        <v>9.6999999999999993</v>
      </c>
      <c r="B275" s="53" t="s">
        <v>626</v>
      </c>
      <c r="C275" s="87" t="s">
        <v>627</v>
      </c>
      <c r="D275" s="61"/>
      <c r="E275" s="306">
        <f t="shared" ref="E275:E447" si="1">SUM(F275:S275)</f>
        <v>0</v>
      </c>
      <c r="F275" s="303"/>
      <c r="G275" s="303"/>
      <c r="H275" s="305"/>
      <c r="I275" s="305"/>
      <c r="J275" s="305"/>
      <c r="K275" s="305"/>
      <c r="L275" s="305"/>
      <c r="M275" s="303"/>
      <c r="N275" s="303"/>
      <c r="O275" s="215"/>
      <c r="P275" s="215"/>
      <c r="Q275" s="292"/>
      <c r="R275" s="221"/>
      <c r="S275" s="221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</row>
    <row r="276" spans="1:29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306">
        <f t="shared" si="1"/>
        <v>0</v>
      </c>
      <c r="F276" s="303"/>
      <c r="G276" s="303"/>
      <c r="H276" s="305"/>
      <c r="I276" s="305"/>
      <c r="J276" s="305"/>
      <c r="K276" s="305"/>
      <c r="L276" s="305"/>
      <c r="M276" s="303"/>
      <c r="N276" s="303"/>
      <c r="O276" s="215"/>
      <c r="P276" s="215"/>
      <c r="Q276" s="292"/>
      <c r="R276" s="221"/>
      <c r="S276" s="221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</row>
    <row r="277" spans="1:29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306">
        <f t="shared" si="1"/>
        <v>0</v>
      </c>
      <c r="F277" s="303"/>
      <c r="G277" s="303"/>
      <c r="H277" s="305"/>
      <c r="I277" s="305"/>
      <c r="J277" s="305"/>
      <c r="K277" s="305"/>
      <c r="L277" s="305"/>
      <c r="M277" s="303"/>
      <c r="N277" s="303"/>
      <c r="O277" s="215"/>
      <c r="P277" s="215"/>
      <c r="Q277" s="292"/>
      <c r="R277" s="221"/>
      <c r="S277" s="221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</row>
    <row r="278" spans="1:29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306">
        <f t="shared" si="1"/>
        <v>0</v>
      </c>
      <c r="F278" s="303"/>
      <c r="G278" s="303"/>
      <c r="H278" s="305"/>
      <c r="I278" s="305"/>
      <c r="J278" s="305"/>
      <c r="K278" s="305"/>
      <c r="L278" s="305"/>
      <c r="M278" s="303"/>
      <c r="N278" s="303"/>
      <c r="O278" s="215"/>
      <c r="P278" s="215"/>
      <c r="Q278" s="292"/>
      <c r="R278" s="221"/>
      <c r="S278" s="221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</row>
    <row r="279" spans="1:29" ht="18.75" customHeight="1">
      <c r="A279" s="42" t="s">
        <v>636</v>
      </c>
      <c r="B279" s="59" t="s">
        <v>637</v>
      </c>
      <c r="C279" s="113" t="s">
        <v>638</v>
      </c>
      <c r="D279" s="61" t="s">
        <v>1212</v>
      </c>
      <c r="E279" s="306">
        <f t="shared" si="1"/>
        <v>0</v>
      </c>
      <c r="F279" s="303"/>
      <c r="G279" s="303"/>
      <c r="H279" s="305"/>
      <c r="I279" s="305"/>
      <c r="J279" s="305"/>
      <c r="K279" s="305"/>
      <c r="L279" s="305"/>
      <c r="M279" s="303"/>
      <c r="N279" s="303"/>
      <c r="O279" s="215"/>
      <c r="P279" s="215"/>
      <c r="Q279" s="292"/>
      <c r="R279" s="221"/>
      <c r="S279" s="221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</row>
    <row r="280" spans="1:29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306">
        <f t="shared" si="1"/>
        <v>0</v>
      </c>
      <c r="F280" s="303"/>
      <c r="G280" s="303"/>
      <c r="H280" s="305"/>
      <c r="I280" s="305"/>
      <c r="J280" s="305"/>
      <c r="K280" s="305"/>
      <c r="L280" s="305"/>
      <c r="M280" s="303"/>
      <c r="N280" s="303"/>
      <c r="O280" s="215"/>
      <c r="P280" s="215"/>
      <c r="Q280" s="292"/>
      <c r="R280" s="221"/>
      <c r="S280" s="221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</row>
    <row r="281" spans="1:29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306">
        <f t="shared" si="1"/>
        <v>0</v>
      </c>
      <c r="F281" s="303"/>
      <c r="G281" s="303"/>
      <c r="H281" s="305"/>
      <c r="I281" s="305"/>
      <c r="J281" s="305"/>
      <c r="K281" s="305"/>
      <c r="L281" s="305"/>
      <c r="M281" s="303"/>
      <c r="N281" s="303"/>
      <c r="O281" s="215"/>
      <c r="P281" s="215"/>
      <c r="Q281" s="292"/>
      <c r="R281" s="221"/>
      <c r="S281" s="221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</row>
    <row r="282" spans="1:29" ht="18.75" customHeight="1">
      <c r="A282" s="46">
        <v>10</v>
      </c>
      <c r="B282" s="64" t="s">
        <v>643</v>
      </c>
      <c r="C282" s="64" t="s">
        <v>644</v>
      </c>
      <c r="D282" s="216"/>
      <c r="E282" s="306">
        <f t="shared" si="1"/>
        <v>0</v>
      </c>
      <c r="F282" s="303"/>
      <c r="G282" s="303"/>
      <c r="H282" s="305"/>
      <c r="I282" s="305"/>
      <c r="J282" s="305"/>
      <c r="K282" s="305"/>
      <c r="L282" s="305"/>
      <c r="M282" s="303"/>
      <c r="N282" s="303"/>
      <c r="O282" s="215"/>
      <c r="P282" s="215"/>
      <c r="Q282" s="292"/>
      <c r="R282" s="221"/>
      <c r="S282" s="221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</row>
    <row r="283" spans="1:29" ht="18.75" customHeight="1">
      <c r="A283" s="101"/>
      <c r="B283" s="53" t="s">
        <v>646</v>
      </c>
      <c r="C283" s="87" t="s">
        <v>647</v>
      </c>
      <c r="D283" s="61" t="s">
        <v>271</v>
      </c>
      <c r="E283" s="306">
        <f t="shared" si="1"/>
        <v>0</v>
      </c>
      <c r="F283" s="303"/>
      <c r="G283" s="303"/>
      <c r="H283" s="305"/>
      <c r="I283" s="303"/>
      <c r="J283" s="303"/>
      <c r="K283" s="303"/>
      <c r="L283" s="303"/>
      <c r="M283" s="303"/>
      <c r="N283" s="303"/>
      <c r="O283" s="215"/>
      <c r="P283" s="215"/>
      <c r="Q283" s="292"/>
      <c r="R283" s="221"/>
      <c r="S283" s="221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</row>
    <row r="284" spans="1:29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306">
        <f t="shared" si="1"/>
        <v>0</v>
      </c>
      <c r="F284" s="303"/>
      <c r="G284" s="303"/>
      <c r="H284" s="305"/>
      <c r="I284" s="305"/>
      <c r="J284" s="305"/>
      <c r="K284" s="305"/>
      <c r="L284" s="305"/>
      <c r="M284" s="303"/>
      <c r="N284" s="174"/>
      <c r="O284" s="215"/>
      <c r="P284" s="215"/>
      <c r="Q284" s="292"/>
      <c r="R284" s="221"/>
      <c r="S284" s="221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</row>
    <row r="285" spans="1:29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306">
        <f t="shared" si="1"/>
        <v>0</v>
      </c>
      <c r="F285" s="303"/>
      <c r="G285" s="303"/>
      <c r="H285" s="305"/>
      <c r="I285" s="305"/>
      <c r="J285" s="305"/>
      <c r="K285" s="305"/>
      <c r="L285" s="305"/>
      <c r="M285" s="303"/>
      <c r="N285" s="303"/>
      <c r="O285" s="215"/>
      <c r="P285" s="215"/>
      <c r="Q285" s="292"/>
      <c r="R285" s="221"/>
      <c r="S285" s="221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</row>
    <row r="286" spans="1:29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306">
        <f t="shared" si="1"/>
        <v>0</v>
      </c>
      <c r="F286" s="303"/>
      <c r="G286" s="303"/>
      <c r="H286" s="305"/>
      <c r="I286" s="305"/>
      <c r="J286" s="305"/>
      <c r="K286" s="305"/>
      <c r="L286" s="305"/>
      <c r="M286" s="303"/>
      <c r="N286" s="303"/>
      <c r="O286" s="215"/>
      <c r="P286" s="215"/>
      <c r="Q286" s="292"/>
      <c r="R286" s="221"/>
      <c r="S286" s="221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</row>
    <row r="287" spans="1:29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306">
        <f t="shared" si="1"/>
        <v>0</v>
      </c>
      <c r="F287" s="303"/>
      <c r="G287" s="303"/>
      <c r="H287" s="305"/>
      <c r="I287" s="305"/>
      <c r="J287" s="305"/>
      <c r="K287" s="305"/>
      <c r="L287" s="305"/>
      <c r="M287" s="303"/>
      <c r="N287" s="303"/>
      <c r="O287" s="215"/>
      <c r="P287" s="215"/>
      <c r="Q287" s="292"/>
      <c r="R287" s="221"/>
      <c r="S287" s="221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</row>
    <row r="288" spans="1:29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306">
        <f t="shared" si="1"/>
        <v>0</v>
      </c>
      <c r="F288" s="303"/>
      <c r="G288" s="303"/>
      <c r="H288" s="305"/>
      <c r="I288" s="305"/>
      <c r="J288" s="305"/>
      <c r="K288" s="305"/>
      <c r="L288" s="305"/>
      <c r="M288" s="303"/>
      <c r="N288" s="303"/>
      <c r="O288" s="215"/>
      <c r="P288" s="215"/>
      <c r="Q288" s="292"/>
      <c r="R288" s="221"/>
      <c r="S288" s="221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</row>
    <row r="289" spans="1:29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306">
        <f t="shared" si="1"/>
        <v>0</v>
      </c>
      <c r="F289" s="303"/>
      <c r="G289" s="303"/>
      <c r="H289" s="305"/>
      <c r="I289" s="305"/>
      <c r="J289" s="305"/>
      <c r="K289" s="305"/>
      <c r="L289" s="305"/>
      <c r="M289" s="303"/>
      <c r="N289" s="303"/>
      <c r="O289" s="215"/>
      <c r="P289" s="215"/>
      <c r="Q289" s="292"/>
      <c r="R289" s="221"/>
      <c r="S289" s="221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</row>
    <row r="290" spans="1:29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306">
        <f t="shared" si="1"/>
        <v>0</v>
      </c>
      <c r="F290" s="303"/>
      <c r="G290" s="303"/>
      <c r="H290" s="305"/>
      <c r="I290" s="305"/>
      <c r="J290" s="305"/>
      <c r="K290" s="305"/>
      <c r="L290" s="305"/>
      <c r="M290" s="303"/>
      <c r="N290" s="303"/>
      <c r="O290" s="215"/>
      <c r="P290" s="215"/>
      <c r="Q290" s="292"/>
      <c r="R290" s="221"/>
      <c r="S290" s="221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</row>
    <row r="291" spans="1:29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306">
        <f t="shared" si="1"/>
        <v>0</v>
      </c>
      <c r="F291" s="303"/>
      <c r="G291" s="303"/>
      <c r="H291" s="305"/>
      <c r="I291" s="305"/>
      <c r="J291" s="305"/>
      <c r="K291" s="305"/>
      <c r="L291" s="305"/>
      <c r="M291" s="303"/>
      <c r="N291" s="303"/>
      <c r="O291" s="215"/>
      <c r="P291" s="215"/>
      <c r="Q291" s="292"/>
      <c r="R291" s="221"/>
      <c r="S291" s="221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</row>
    <row r="292" spans="1:29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306">
        <f t="shared" si="1"/>
        <v>0</v>
      </c>
      <c r="F292" s="303"/>
      <c r="G292" s="303"/>
      <c r="H292" s="305"/>
      <c r="I292" s="305"/>
      <c r="J292" s="305"/>
      <c r="K292" s="305"/>
      <c r="L292" s="305"/>
      <c r="M292" s="303"/>
      <c r="N292" s="303"/>
      <c r="O292" s="215"/>
      <c r="P292" s="215"/>
      <c r="Q292" s="292"/>
      <c r="R292" s="221"/>
      <c r="S292" s="221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</row>
    <row r="293" spans="1:29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306">
        <f t="shared" si="1"/>
        <v>0</v>
      </c>
      <c r="F293" s="303"/>
      <c r="G293" s="303"/>
      <c r="H293" s="305"/>
      <c r="I293" s="305"/>
      <c r="J293" s="305"/>
      <c r="K293" s="305"/>
      <c r="L293" s="305"/>
      <c r="M293" s="303"/>
      <c r="N293" s="303"/>
      <c r="O293" s="215"/>
      <c r="P293" s="215"/>
      <c r="Q293" s="292"/>
      <c r="R293" s="221"/>
      <c r="S293" s="221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</row>
    <row r="294" spans="1:29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306">
        <f t="shared" si="1"/>
        <v>0</v>
      </c>
      <c r="F294" s="303"/>
      <c r="G294" s="303"/>
      <c r="H294" s="305"/>
      <c r="I294" s="305"/>
      <c r="J294" s="305"/>
      <c r="K294" s="305"/>
      <c r="L294" s="305"/>
      <c r="M294" s="303"/>
      <c r="N294" s="303"/>
      <c r="O294" s="215"/>
      <c r="P294" s="215"/>
      <c r="Q294" s="292"/>
      <c r="R294" s="221"/>
      <c r="S294" s="221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</row>
    <row r="295" spans="1:29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306">
        <f t="shared" si="1"/>
        <v>0</v>
      </c>
      <c r="F295" s="303"/>
      <c r="G295" s="303"/>
      <c r="H295" s="305"/>
      <c r="I295" s="305"/>
      <c r="J295" s="305"/>
      <c r="K295" s="305"/>
      <c r="L295" s="305"/>
      <c r="M295" s="303"/>
      <c r="N295" s="303"/>
      <c r="O295" s="215"/>
      <c r="P295" s="215"/>
      <c r="Q295" s="292"/>
      <c r="R295" s="221"/>
      <c r="S295" s="221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</row>
    <row r="296" spans="1:29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306">
        <f t="shared" si="1"/>
        <v>0</v>
      </c>
      <c r="F296" s="303"/>
      <c r="G296" s="303"/>
      <c r="H296" s="305"/>
      <c r="I296" s="305"/>
      <c r="J296" s="305"/>
      <c r="K296" s="305"/>
      <c r="L296" s="305"/>
      <c r="M296" s="303"/>
      <c r="N296" s="303"/>
      <c r="O296" s="215"/>
      <c r="P296" s="215"/>
      <c r="Q296" s="292"/>
      <c r="R296" s="221"/>
      <c r="S296" s="221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</row>
    <row r="297" spans="1:29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306">
        <f t="shared" si="1"/>
        <v>0</v>
      </c>
      <c r="F297" s="303"/>
      <c r="G297" s="303"/>
      <c r="H297" s="305"/>
      <c r="I297" s="305"/>
      <c r="J297" s="305"/>
      <c r="K297" s="305"/>
      <c r="L297" s="305"/>
      <c r="M297" s="303"/>
      <c r="N297" s="303"/>
      <c r="O297" s="215"/>
      <c r="P297" s="215"/>
      <c r="Q297" s="292"/>
      <c r="R297" s="221"/>
      <c r="S297" s="221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</row>
    <row r="298" spans="1:29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306">
        <f t="shared" si="1"/>
        <v>0</v>
      </c>
      <c r="F298" s="303"/>
      <c r="G298" s="303"/>
      <c r="H298" s="305"/>
      <c r="I298" s="305"/>
      <c r="J298" s="305"/>
      <c r="K298" s="305"/>
      <c r="L298" s="305"/>
      <c r="M298" s="303"/>
      <c r="N298" s="303"/>
      <c r="O298" s="215"/>
      <c r="P298" s="215"/>
      <c r="Q298" s="292"/>
      <c r="R298" s="221"/>
      <c r="S298" s="221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</row>
    <row r="299" spans="1:29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306">
        <f t="shared" si="1"/>
        <v>0</v>
      </c>
      <c r="F299" s="303"/>
      <c r="G299" s="303"/>
      <c r="H299" s="305"/>
      <c r="I299" s="305"/>
      <c r="J299" s="305"/>
      <c r="K299" s="305"/>
      <c r="L299" s="305"/>
      <c r="M299" s="303"/>
      <c r="N299" s="303"/>
      <c r="O299" s="215"/>
      <c r="P299" s="215"/>
      <c r="Q299" s="292"/>
      <c r="R299" s="221"/>
      <c r="S299" s="221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</row>
    <row r="300" spans="1:29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306">
        <f t="shared" si="1"/>
        <v>0</v>
      </c>
      <c r="F300" s="303"/>
      <c r="G300" s="303"/>
      <c r="H300" s="305"/>
      <c r="I300" s="305"/>
      <c r="J300" s="305"/>
      <c r="K300" s="305"/>
      <c r="L300" s="305"/>
      <c r="M300" s="303"/>
      <c r="N300" s="303"/>
      <c r="O300" s="215"/>
      <c r="P300" s="215"/>
      <c r="Q300" s="292"/>
      <c r="R300" s="221"/>
      <c r="S300" s="221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</row>
    <row r="301" spans="1:29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306">
        <f t="shared" si="1"/>
        <v>0</v>
      </c>
      <c r="F301" s="303"/>
      <c r="G301" s="303"/>
      <c r="H301" s="305"/>
      <c r="I301" s="305"/>
      <c r="J301" s="305"/>
      <c r="K301" s="305"/>
      <c r="L301" s="305"/>
      <c r="M301" s="303"/>
      <c r="N301" s="303"/>
      <c r="O301" s="215"/>
      <c r="P301" s="215"/>
      <c r="Q301" s="292"/>
      <c r="R301" s="221"/>
      <c r="S301" s="221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</row>
    <row r="302" spans="1:29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306">
        <f t="shared" si="1"/>
        <v>0</v>
      </c>
      <c r="F302" s="303"/>
      <c r="G302" s="303"/>
      <c r="H302" s="305"/>
      <c r="I302" s="305"/>
      <c r="J302" s="305"/>
      <c r="K302" s="305"/>
      <c r="L302" s="305"/>
      <c r="M302" s="303"/>
      <c r="N302" s="303"/>
      <c r="O302" s="215"/>
      <c r="P302" s="215"/>
      <c r="Q302" s="292"/>
      <c r="R302" s="221"/>
      <c r="S302" s="221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</row>
    <row r="303" spans="1:29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306">
        <f t="shared" si="1"/>
        <v>0</v>
      </c>
      <c r="F303" s="303"/>
      <c r="G303" s="303"/>
      <c r="H303" s="305"/>
      <c r="I303" s="305"/>
      <c r="J303" s="305"/>
      <c r="K303" s="305"/>
      <c r="L303" s="305"/>
      <c r="M303" s="303"/>
      <c r="N303" s="303"/>
      <c r="O303" s="215"/>
      <c r="P303" s="215"/>
      <c r="Q303" s="292"/>
      <c r="R303" s="221"/>
      <c r="S303" s="221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</row>
    <row r="304" spans="1:29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306">
        <f t="shared" si="1"/>
        <v>0</v>
      </c>
      <c r="F304" s="303"/>
      <c r="G304" s="303"/>
      <c r="H304" s="305"/>
      <c r="I304" s="305"/>
      <c r="J304" s="305"/>
      <c r="K304" s="305"/>
      <c r="L304" s="305"/>
      <c r="M304" s="303"/>
      <c r="N304" s="303"/>
      <c r="O304" s="215"/>
      <c r="P304" s="215"/>
      <c r="Q304" s="292"/>
      <c r="R304" s="221"/>
      <c r="S304" s="221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</row>
    <row r="305" spans="1:29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306">
        <f t="shared" si="1"/>
        <v>0</v>
      </c>
      <c r="F305" s="303"/>
      <c r="G305" s="303"/>
      <c r="H305" s="305"/>
      <c r="I305" s="305"/>
      <c r="J305" s="305"/>
      <c r="K305" s="305"/>
      <c r="L305" s="305"/>
      <c r="M305" s="303"/>
      <c r="N305" s="303"/>
      <c r="O305" s="215"/>
      <c r="P305" s="215"/>
      <c r="Q305" s="292"/>
      <c r="R305" s="221"/>
      <c r="S305" s="221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</row>
    <row r="306" spans="1:29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306">
        <f t="shared" si="1"/>
        <v>0</v>
      </c>
      <c r="F306" s="303"/>
      <c r="G306" s="303"/>
      <c r="H306" s="305"/>
      <c r="I306" s="305"/>
      <c r="J306" s="305"/>
      <c r="K306" s="305"/>
      <c r="L306" s="305"/>
      <c r="M306" s="303"/>
      <c r="N306" s="303"/>
      <c r="O306" s="215"/>
      <c r="P306" s="215"/>
      <c r="Q306" s="292"/>
      <c r="R306" s="221"/>
      <c r="S306" s="221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</row>
    <row r="307" spans="1:29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306">
        <f t="shared" si="1"/>
        <v>0</v>
      </c>
      <c r="F307" s="303"/>
      <c r="G307" s="303"/>
      <c r="H307" s="305"/>
      <c r="I307" s="305"/>
      <c r="J307" s="305"/>
      <c r="K307" s="305"/>
      <c r="L307" s="305"/>
      <c r="M307" s="303"/>
      <c r="N307" s="303"/>
      <c r="O307" s="215"/>
      <c r="P307" s="215"/>
      <c r="Q307" s="292"/>
      <c r="R307" s="221"/>
      <c r="S307" s="221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</row>
    <row r="308" spans="1:29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306">
        <f t="shared" si="1"/>
        <v>0</v>
      </c>
      <c r="F308" s="303"/>
      <c r="G308" s="303"/>
      <c r="H308" s="305"/>
      <c r="I308" s="305"/>
      <c r="J308" s="305"/>
      <c r="K308" s="305"/>
      <c r="L308" s="305"/>
      <c r="M308" s="303"/>
      <c r="N308" s="303"/>
      <c r="O308" s="215"/>
      <c r="P308" s="215"/>
      <c r="Q308" s="292"/>
      <c r="R308" s="221"/>
      <c r="S308" s="221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</row>
    <row r="309" spans="1:29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306">
        <f t="shared" si="1"/>
        <v>0</v>
      </c>
      <c r="F309" s="303"/>
      <c r="G309" s="303"/>
      <c r="H309" s="305"/>
      <c r="I309" s="305"/>
      <c r="J309" s="305"/>
      <c r="K309" s="305"/>
      <c r="L309" s="305"/>
      <c r="M309" s="303"/>
      <c r="N309" s="303"/>
      <c r="O309" s="215"/>
      <c r="P309" s="215"/>
      <c r="Q309" s="292"/>
      <c r="R309" s="221"/>
      <c r="S309" s="221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</row>
    <row r="310" spans="1:29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306">
        <f t="shared" si="1"/>
        <v>0</v>
      </c>
      <c r="F310" s="303"/>
      <c r="G310" s="303"/>
      <c r="H310" s="305"/>
      <c r="I310" s="305"/>
      <c r="J310" s="305"/>
      <c r="K310" s="305"/>
      <c r="L310" s="305"/>
      <c r="M310" s="303"/>
      <c r="N310" s="303"/>
      <c r="O310" s="215"/>
      <c r="P310" s="215"/>
      <c r="Q310" s="292"/>
      <c r="R310" s="221"/>
      <c r="S310" s="221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</row>
    <row r="311" spans="1:29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306">
        <f t="shared" si="1"/>
        <v>0</v>
      </c>
      <c r="F311" s="303"/>
      <c r="G311" s="303"/>
      <c r="H311" s="305"/>
      <c r="I311" s="305"/>
      <c r="J311" s="305"/>
      <c r="K311" s="305"/>
      <c r="L311" s="305"/>
      <c r="M311" s="303"/>
      <c r="N311" s="303"/>
      <c r="O311" s="215"/>
      <c r="P311" s="215"/>
      <c r="Q311" s="292"/>
      <c r="R311" s="221"/>
      <c r="S311" s="221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</row>
    <row r="312" spans="1:29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306">
        <f t="shared" si="1"/>
        <v>0</v>
      </c>
      <c r="F312" s="303"/>
      <c r="G312" s="303"/>
      <c r="H312" s="305"/>
      <c r="I312" s="305"/>
      <c r="J312" s="305"/>
      <c r="K312" s="305"/>
      <c r="L312" s="305"/>
      <c r="M312" s="303"/>
      <c r="N312" s="303"/>
      <c r="O312" s="215"/>
      <c r="P312" s="215"/>
      <c r="Q312" s="292"/>
      <c r="R312" s="221"/>
      <c r="S312" s="221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</row>
    <row r="313" spans="1:29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306">
        <f t="shared" si="1"/>
        <v>0</v>
      </c>
      <c r="F313" s="303"/>
      <c r="G313" s="303"/>
      <c r="H313" s="305"/>
      <c r="I313" s="305"/>
      <c r="J313" s="305"/>
      <c r="K313" s="305"/>
      <c r="L313" s="305"/>
      <c r="M313" s="303"/>
      <c r="N313" s="303"/>
      <c r="O313" s="215"/>
      <c r="P313" s="215"/>
      <c r="Q313" s="292"/>
      <c r="R313" s="221"/>
      <c r="S313" s="221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</row>
    <row r="314" spans="1:29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306">
        <f t="shared" si="1"/>
        <v>0</v>
      </c>
      <c r="F314" s="303"/>
      <c r="G314" s="303"/>
      <c r="H314" s="305"/>
      <c r="I314" s="305"/>
      <c r="J314" s="305"/>
      <c r="K314" s="305"/>
      <c r="L314" s="305"/>
      <c r="M314" s="303"/>
      <c r="N314" s="303"/>
      <c r="O314" s="215"/>
      <c r="P314" s="215"/>
      <c r="Q314" s="292"/>
      <c r="R314" s="221"/>
      <c r="S314" s="221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</row>
    <row r="315" spans="1:29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306">
        <f t="shared" si="1"/>
        <v>0</v>
      </c>
      <c r="F315" s="303"/>
      <c r="G315" s="303"/>
      <c r="H315" s="305"/>
      <c r="I315" s="305"/>
      <c r="J315" s="305"/>
      <c r="K315" s="305"/>
      <c r="L315" s="305"/>
      <c r="M315" s="303"/>
      <c r="N315" s="303"/>
      <c r="O315" s="215"/>
      <c r="P315" s="215"/>
      <c r="Q315" s="292"/>
      <c r="R315" s="221"/>
      <c r="S315" s="221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</row>
    <row r="316" spans="1:29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306">
        <f t="shared" si="1"/>
        <v>0</v>
      </c>
      <c r="F316" s="303"/>
      <c r="G316" s="303"/>
      <c r="H316" s="305"/>
      <c r="I316" s="305"/>
      <c r="J316" s="305"/>
      <c r="K316" s="305"/>
      <c r="L316" s="305"/>
      <c r="M316" s="303"/>
      <c r="N316" s="303"/>
      <c r="O316" s="215"/>
      <c r="P316" s="215"/>
      <c r="Q316" s="292"/>
      <c r="R316" s="221"/>
      <c r="S316" s="221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</row>
    <row r="317" spans="1:29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306">
        <f t="shared" si="1"/>
        <v>0</v>
      </c>
      <c r="F317" s="303"/>
      <c r="G317" s="303"/>
      <c r="H317" s="305"/>
      <c r="I317" s="305"/>
      <c r="J317" s="305"/>
      <c r="K317" s="305"/>
      <c r="L317" s="305"/>
      <c r="M317" s="303"/>
      <c r="N317" s="303"/>
      <c r="O317" s="215"/>
      <c r="P317" s="215"/>
      <c r="Q317" s="292"/>
      <c r="R317" s="221"/>
      <c r="S317" s="221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</row>
    <row r="318" spans="1:29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306">
        <f t="shared" si="1"/>
        <v>0</v>
      </c>
      <c r="F318" s="303"/>
      <c r="G318" s="303"/>
      <c r="H318" s="305"/>
      <c r="I318" s="305"/>
      <c r="J318" s="305"/>
      <c r="K318" s="305"/>
      <c r="L318" s="305"/>
      <c r="M318" s="303"/>
      <c r="N318" s="303"/>
      <c r="O318" s="215"/>
      <c r="P318" s="215"/>
      <c r="Q318" s="292"/>
      <c r="R318" s="221"/>
      <c r="S318" s="221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</row>
    <row r="319" spans="1:29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306">
        <f t="shared" si="1"/>
        <v>0</v>
      </c>
      <c r="F319" s="303"/>
      <c r="G319" s="303"/>
      <c r="H319" s="305"/>
      <c r="I319" s="305"/>
      <c r="J319" s="305"/>
      <c r="K319" s="305"/>
      <c r="L319" s="305"/>
      <c r="M319" s="303"/>
      <c r="N319" s="303"/>
      <c r="O319" s="215"/>
      <c r="P319" s="215"/>
      <c r="Q319" s="292"/>
      <c r="R319" s="221"/>
      <c r="S319" s="221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</row>
    <row r="320" spans="1:29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306">
        <f t="shared" si="1"/>
        <v>0</v>
      </c>
      <c r="F320" s="303"/>
      <c r="G320" s="303"/>
      <c r="H320" s="305"/>
      <c r="I320" s="305"/>
      <c r="J320" s="305"/>
      <c r="K320" s="305"/>
      <c r="L320" s="305"/>
      <c r="M320" s="303"/>
      <c r="N320" s="303"/>
      <c r="O320" s="215"/>
      <c r="P320" s="215"/>
      <c r="Q320" s="292"/>
      <c r="R320" s="221"/>
      <c r="S320" s="221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</row>
    <row r="321" spans="1:29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306">
        <f t="shared" si="1"/>
        <v>0</v>
      </c>
      <c r="F321" s="303"/>
      <c r="G321" s="303"/>
      <c r="H321" s="305"/>
      <c r="I321" s="305"/>
      <c r="J321" s="305"/>
      <c r="K321" s="305"/>
      <c r="L321" s="305"/>
      <c r="M321" s="303"/>
      <c r="N321" s="303"/>
      <c r="O321" s="215"/>
      <c r="P321" s="215"/>
      <c r="Q321" s="292"/>
      <c r="R321" s="221"/>
      <c r="S321" s="221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</row>
    <row r="322" spans="1:29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306">
        <f t="shared" si="1"/>
        <v>0</v>
      </c>
      <c r="F322" s="303"/>
      <c r="G322" s="303"/>
      <c r="H322" s="305"/>
      <c r="I322" s="305"/>
      <c r="J322" s="305"/>
      <c r="K322" s="305"/>
      <c r="L322" s="305"/>
      <c r="M322" s="303"/>
      <c r="N322" s="303"/>
      <c r="O322" s="215"/>
      <c r="P322" s="215"/>
      <c r="Q322" s="292"/>
      <c r="R322" s="221"/>
      <c r="S322" s="221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</row>
    <row r="323" spans="1:29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306">
        <f t="shared" si="1"/>
        <v>0</v>
      </c>
      <c r="F323" s="303"/>
      <c r="G323" s="303"/>
      <c r="H323" s="305"/>
      <c r="I323" s="305"/>
      <c r="J323" s="305"/>
      <c r="K323" s="305"/>
      <c r="L323" s="305"/>
      <c r="M323" s="303"/>
      <c r="N323" s="303"/>
      <c r="O323" s="215"/>
      <c r="P323" s="215"/>
      <c r="Q323" s="292"/>
      <c r="R323" s="221"/>
      <c r="S323" s="221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</row>
    <row r="324" spans="1:29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306">
        <f t="shared" si="1"/>
        <v>0</v>
      </c>
      <c r="F324" s="303"/>
      <c r="G324" s="303"/>
      <c r="H324" s="305"/>
      <c r="I324" s="305"/>
      <c r="J324" s="305"/>
      <c r="K324" s="305"/>
      <c r="L324" s="305"/>
      <c r="M324" s="303"/>
      <c r="N324" s="303"/>
      <c r="O324" s="215"/>
      <c r="P324" s="215"/>
      <c r="Q324" s="292"/>
      <c r="R324" s="221"/>
      <c r="S324" s="221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</row>
    <row r="325" spans="1:29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306">
        <f t="shared" si="1"/>
        <v>0</v>
      </c>
      <c r="F325" s="303"/>
      <c r="G325" s="303"/>
      <c r="H325" s="305"/>
      <c r="I325" s="305"/>
      <c r="J325" s="305"/>
      <c r="K325" s="305"/>
      <c r="L325" s="305"/>
      <c r="M325" s="303"/>
      <c r="N325" s="303"/>
      <c r="O325" s="215"/>
      <c r="P325" s="215"/>
      <c r="Q325" s="292"/>
      <c r="R325" s="221"/>
      <c r="S325" s="221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</row>
    <row r="326" spans="1:29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306">
        <f t="shared" si="1"/>
        <v>0</v>
      </c>
      <c r="F326" s="303"/>
      <c r="G326" s="303"/>
      <c r="H326" s="305"/>
      <c r="I326" s="305"/>
      <c r="J326" s="305"/>
      <c r="K326" s="305"/>
      <c r="L326" s="305"/>
      <c r="M326" s="303"/>
      <c r="N326" s="303"/>
      <c r="O326" s="215"/>
      <c r="P326" s="215"/>
      <c r="Q326" s="292"/>
      <c r="R326" s="221"/>
      <c r="S326" s="221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</row>
    <row r="327" spans="1:29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306">
        <f t="shared" si="1"/>
        <v>0</v>
      </c>
      <c r="F327" s="303"/>
      <c r="G327" s="303"/>
      <c r="H327" s="305"/>
      <c r="I327" s="305"/>
      <c r="J327" s="305"/>
      <c r="K327" s="305"/>
      <c r="L327" s="305"/>
      <c r="M327" s="303"/>
      <c r="N327" s="303"/>
      <c r="O327" s="215"/>
      <c r="P327" s="215"/>
      <c r="Q327" s="292"/>
      <c r="R327" s="221"/>
      <c r="S327" s="221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</row>
    <row r="328" spans="1:29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306">
        <f t="shared" si="1"/>
        <v>0</v>
      </c>
      <c r="F328" s="303"/>
      <c r="G328" s="303"/>
      <c r="H328" s="305"/>
      <c r="I328" s="305"/>
      <c r="J328" s="305"/>
      <c r="K328" s="305"/>
      <c r="L328" s="305"/>
      <c r="M328" s="303"/>
      <c r="N328" s="303"/>
      <c r="O328" s="215"/>
      <c r="P328" s="215"/>
      <c r="Q328" s="292"/>
      <c r="R328" s="221"/>
      <c r="S328" s="221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</row>
    <row r="329" spans="1:29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306">
        <f t="shared" si="1"/>
        <v>0</v>
      </c>
      <c r="F329" s="303"/>
      <c r="G329" s="303"/>
      <c r="H329" s="305"/>
      <c r="I329" s="305"/>
      <c r="J329" s="305"/>
      <c r="K329" s="305"/>
      <c r="L329" s="305"/>
      <c r="M329" s="303"/>
      <c r="N329" s="303"/>
      <c r="O329" s="215"/>
      <c r="P329" s="215"/>
      <c r="Q329" s="292"/>
      <c r="R329" s="221"/>
      <c r="S329" s="221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</row>
    <row r="330" spans="1:29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306">
        <f t="shared" si="1"/>
        <v>0</v>
      </c>
      <c r="F330" s="303"/>
      <c r="G330" s="303"/>
      <c r="H330" s="305"/>
      <c r="I330" s="305"/>
      <c r="J330" s="305"/>
      <c r="K330" s="305"/>
      <c r="L330" s="305"/>
      <c r="M330" s="303"/>
      <c r="N330" s="303"/>
      <c r="O330" s="215"/>
      <c r="P330" s="215"/>
      <c r="Q330" s="292"/>
      <c r="R330" s="221"/>
      <c r="S330" s="221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</row>
    <row r="331" spans="1:29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306">
        <f t="shared" si="1"/>
        <v>0</v>
      </c>
      <c r="F331" s="303"/>
      <c r="G331" s="303"/>
      <c r="H331" s="305"/>
      <c r="I331" s="305"/>
      <c r="J331" s="305"/>
      <c r="K331" s="305"/>
      <c r="L331" s="305"/>
      <c r="M331" s="303"/>
      <c r="N331" s="303"/>
      <c r="O331" s="215"/>
      <c r="P331" s="215"/>
      <c r="Q331" s="292"/>
      <c r="R331" s="221"/>
      <c r="S331" s="221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</row>
    <row r="332" spans="1:29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306">
        <f t="shared" si="1"/>
        <v>0</v>
      </c>
      <c r="F332" s="303"/>
      <c r="G332" s="303"/>
      <c r="H332" s="305"/>
      <c r="I332" s="305"/>
      <c r="J332" s="305"/>
      <c r="K332" s="305"/>
      <c r="L332" s="305"/>
      <c r="M332" s="303"/>
      <c r="N332" s="303"/>
      <c r="O332" s="215"/>
      <c r="P332" s="215"/>
      <c r="Q332" s="292"/>
      <c r="R332" s="221"/>
      <c r="S332" s="221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</row>
    <row r="333" spans="1:29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306">
        <f t="shared" si="1"/>
        <v>0</v>
      </c>
      <c r="F333" s="303"/>
      <c r="G333" s="303"/>
      <c r="H333" s="305"/>
      <c r="I333" s="305"/>
      <c r="J333" s="305"/>
      <c r="K333" s="305"/>
      <c r="L333" s="305"/>
      <c r="M333" s="303"/>
      <c r="N333" s="303"/>
      <c r="O333" s="215"/>
      <c r="P333" s="215"/>
      <c r="Q333" s="292"/>
      <c r="R333" s="221"/>
      <c r="S333" s="22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</row>
    <row r="334" spans="1:29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306">
        <f t="shared" si="1"/>
        <v>0</v>
      </c>
      <c r="F334" s="303"/>
      <c r="G334" s="303"/>
      <c r="H334" s="305"/>
      <c r="I334" s="305"/>
      <c r="J334" s="305"/>
      <c r="K334" s="305"/>
      <c r="L334" s="305"/>
      <c r="M334" s="303"/>
      <c r="N334" s="303"/>
      <c r="O334" s="215"/>
      <c r="P334" s="215"/>
      <c r="Q334" s="292"/>
      <c r="R334" s="221"/>
      <c r="S334" s="221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</row>
    <row r="335" spans="1:29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306">
        <f t="shared" si="1"/>
        <v>0</v>
      </c>
      <c r="F335" s="303"/>
      <c r="G335" s="303"/>
      <c r="H335" s="305"/>
      <c r="I335" s="305"/>
      <c r="J335" s="305"/>
      <c r="K335" s="305"/>
      <c r="L335" s="305"/>
      <c r="M335" s="303"/>
      <c r="N335" s="303"/>
      <c r="O335" s="215"/>
      <c r="P335" s="215"/>
      <c r="Q335" s="292"/>
      <c r="R335" s="221"/>
      <c r="S335" s="221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</row>
    <row r="336" spans="1:29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306">
        <f t="shared" si="1"/>
        <v>0</v>
      </c>
      <c r="F336" s="303"/>
      <c r="G336" s="303"/>
      <c r="H336" s="305"/>
      <c r="I336" s="305"/>
      <c r="J336" s="305"/>
      <c r="K336" s="305"/>
      <c r="L336" s="305"/>
      <c r="M336" s="303"/>
      <c r="N336" s="303"/>
      <c r="O336" s="215"/>
      <c r="P336" s="215"/>
      <c r="Q336" s="292"/>
      <c r="R336" s="221"/>
      <c r="S336" s="221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</row>
    <row r="337" spans="1:29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306">
        <f t="shared" si="1"/>
        <v>0</v>
      </c>
      <c r="F337" s="303"/>
      <c r="G337" s="303"/>
      <c r="H337" s="305"/>
      <c r="I337" s="305"/>
      <c r="J337" s="305"/>
      <c r="K337" s="305"/>
      <c r="L337" s="305"/>
      <c r="M337" s="303"/>
      <c r="N337" s="303"/>
      <c r="O337" s="215"/>
      <c r="P337" s="215"/>
      <c r="Q337" s="292"/>
      <c r="R337" s="221"/>
      <c r="S337" s="221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</row>
    <row r="338" spans="1:29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306">
        <f t="shared" si="1"/>
        <v>0</v>
      </c>
      <c r="F338" s="303"/>
      <c r="G338" s="303"/>
      <c r="H338" s="305"/>
      <c r="I338" s="305"/>
      <c r="J338" s="305"/>
      <c r="K338" s="305"/>
      <c r="L338" s="305"/>
      <c r="M338" s="303"/>
      <c r="N338" s="303"/>
      <c r="O338" s="215"/>
      <c r="P338" s="215"/>
      <c r="Q338" s="292"/>
      <c r="R338" s="221"/>
      <c r="S338" s="221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</row>
    <row r="339" spans="1:29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306">
        <f t="shared" si="1"/>
        <v>0</v>
      </c>
      <c r="F339" s="303"/>
      <c r="G339" s="303"/>
      <c r="H339" s="305"/>
      <c r="I339" s="305"/>
      <c r="J339" s="305"/>
      <c r="K339" s="305"/>
      <c r="L339" s="305"/>
      <c r="M339" s="303"/>
      <c r="N339" s="303"/>
      <c r="O339" s="215"/>
      <c r="P339" s="215"/>
      <c r="Q339" s="292"/>
      <c r="R339" s="221"/>
      <c r="S339" s="221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</row>
    <row r="340" spans="1:29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306">
        <f t="shared" si="1"/>
        <v>0</v>
      </c>
      <c r="F340" s="303"/>
      <c r="G340" s="303"/>
      <c r="H340" s="305"/>
      <c r="I340" s="305"/>
      <c r="J340" s="305"/>
      <c r="K340" s="305"/>
      <c r="L340" s="305"/>
      <c r="M340" s="303"/>
      <c r="N340" s="303"/>
      <c r="O340" s="215"/>
      <c r="P340" s="215"/>
      <c r="Q340" s="292"/>
      <c r="R340" s="221"/>
      <c r="S340" s="221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</row>
    <row r="341" spans="1:29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306">
        <f t="shared" si="1"/>
        <v>0</v>
      </c>
      <c r="F341" s="303"/>
      <c r="G341" s="303"/>
      <c r="H341" s="305"/>
      <c r="I341" s="305"/>
      <c r="J341" s="305"/>
      <c r="K341" s="305"/>
      <c r="L341" s="305"/>
      <c r="M341" s="303"/>
      <c r="N341" s="303"/>
      <c r="O341" s="215"/>
      <c r="P341" s="215"/>
      <c r="Q341" s="292"/>
      <c r="R341" s="221"/>
      <c r="S341" s="221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</row>
    <row r="342" spans="1:29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306">
        <f t="shared" si="1"/>
        <v>0</v>
      </c>
      <c r="F342" s="303"/>
      <c r="G342" s="303"/>
      <c r="H342" s="305"/>
      <c r="I342" s="305"/>
      <c r="J342" s="305"/>
      <c r="K342" s="305"/>
      <c r="L342" s="305"/>
      <c r="M342" s="303"/>
      <c r="N342" s="303"/>
      <c r="O342" s="215"/>
      <c r="P342" s="215"/>
      <c r="Q342" s="292"/>
      <c r="R342" s="221"/>
      <c r="S342" s="221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</row>
    <row r="343" spans="1:29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306">
        <f t="shared" si="1"/>
        <v>0</v>
      </c>
      <c r="F343" s="303"/>
      <c r="G343" s="303"/>
      <c r="H343" s="305"/>
      <c r="I343" s="305"/>
      <c r="J343" s="305"/>
      <c r="K343" s="305"/>
      <c r="L343" s="305"/>
      <c r="M343" s="303"/>
      <c r="N343" s="303"/>
      <c r="O343" s="215"/>
      <c r="P343" s="215"/>
      <c r="Q343" s="292"/>
      <c r="R343" s="221"/>
      <c r="S343" s="221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</row>
    <row r="344" spans="1:29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306">
        <f t="shared" si="1"/>
        <v>0</v>
      </c>
      <c r="F344" s="303"/>
      <c r="G344" s="303"/>
      <c r="H344" s="305"/>
      <c r="I344" s="305"/>
      <c r="J344" s="305"/>
      <c r="K344" s="305"/>
      <c r="L344" s="305"/>
      <c r="M344" s="303"/>
      <c r="N344" s="303"/>
      <c r="O344" s="215"/>
      <c r="P344" s="215"/>
      <c r="Q344" s="292"/>
      <c r="R344" s="221"/>
      <c r="S344" s="221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</row>
    <row r="345" spans="1:29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306">
        <f t="shared" si="1"/>
        <v>0</v>
      </c>
      <c r="F345" s="303"/>
      <c r="G345" s="303"/>
      <c r="H345" s="305"/>
      <c r="I345" s="305"/>
      <c r="J345" s="305"/>
      <c r="K345" s="305"/>
      <c r="L345" s="305"/>
      <c r="M345" s="303"/>
      <c r="N345" s="303"/>
      <c r="O345" s="215"/>
      <c r="P345" s="215"/>
      <c r="Q345" s="292"/>
      <c r="R345" s="221"/>
      <c r="S345" s="221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</row>
    <row r="346" spans="1:29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306">
        <f t="shared" si="1"/>
        <v>0</v>
      </c>
      <c r="F346" s="303"/>
      <c r="G346" s="303"/>
      <c r="H346" s="305"/>
      <c r="I346" s="305"/>
      <c r="J346" s="305"/>
      <c r="K346" s="305"/>
      <c r="L346" s="305"/>
      <c r="M346" s="303"/>
      <c r="N346" s="303"/>
      <c r="O346" s="215"/>
      <c r="P346" s="215"/>
      <c r="Q346" s="292"/>
      <c r="R346" s="221"/>
      <c r="S346" s="221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</row>
    <row r="347" spans="1:29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306">
        <f t="shared" si="1"/>
        <v>0</v>
      </c>
      <c r="F347" s="303"/>
      <c r="G347" s="303"/>
      <c r="H347" s="305"/>
      <c r="I347" s="305"/>
      <c r="J347" s="305"/>
      <c r="K347" s="305"/>
      <c r="L347" s="305"/>
      <c r="M347" s="303"/>
      <c r="N347" s="303"/>
      <c r="O347" s="215"/>
      <c r="P347" s="215"/>
      <c r="Q347" s="292"/>
      <c r="R347" s="221"/>
      <c r="S347" s="221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</row>
    <row r="348" spans="1:29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306">
        <f t="shared" si="1"/>
        <v>0</v>
      </c>
      <c r="F348" s="303"/>
      <c r="G348" s="303"/>
      <c r="H348" s="305"/>
      <c r="I348" s="305"/>
      <c r="J348" s="305"/>
      <c r="K348" s="305"/>
      <c r="L348" s="305"/>
      <c r="M348" s="303"/>
      <c r="N348" s="303"/>
      <c r="O348" s="215"/>
      <c r="P348" s="215"/>
      <c r="Q348" s="292"/>
      <c r="R348" s="221"/>
      <c r="S348" s="221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</row>
    <row r="349" spans="1:29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306">
        <f t="shared" si="1"/>
        <v>0</v>
      </c>
      <c r="F349" s="303"/>
      <c r="G349" s="303"/>
      <c r="H349" s="305"/>
      <c r="I349" s="305"/>
      <c r="J349" s="305"/>
      <c r="K349" s="305"/>
      <c r="L349" s="305"/>
      <c r="M349" s="303"/>
      <c r="N349" s="303"/>
      <c r="O349" s="215"/>
      <c r="P349" s="215"/>
      <c r="Q349" s="292"/>
      <c r="R349" s="221"/>
      <c r="S349" s="221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</row>
    <row r="350" spans="1:29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306">
        <f t="shared" si="1"/>
        <v>0</v>
      </c>
      <c r="F350" s="303"/>
      <c r="G350" s="303"/>
      <c r="H350" s="305"/>
      <c r="I350" s="305"/>
      <c r="J350" s="305"/>
      <c r="K350" s="305"/>
      <c r="L350" s="305"/>
      <c r="M350" s="303"/>
      <c r="N350" s="303"/>
      <c r="O350" s="215"/>
      <c r="P350" s="215"/>
      <c r="Q350" s="292"/>
      <c r="R350" s="221"/>
      <c r="S350" s="221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</row>
    <row r="351" spans="1:29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306">
        <f t="shared" si="1"/>
        <v>0</v>
      </c>
      <c r="F351" s="303"/>
      <c r="G351" s="303"/>
      <c r="H351" s="305"/>
      <c r="I351" s="305"/>
      <c r="J351" s="305"/>
      <c r="K351" s="305"/>
      <c r="L351" s="305"/>
      <c r="M351" s="303"/>
      <c r="N351" s="303"/>
      <c r="O351" s="215"/>
      <c r="P351" s="215"/>
      <c r="Q351" s="292"/>
      <c r="R351" s="221"/>
      <c r="S351" s="221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</row>
    <row r="352" spans="1:29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306">
        <f t="shared" si="1"/>
        <v>0</v>
      </c>
      <c r="F352" s="303"/>
      <c r="G352" s="303"/>
      <c r="H352" s="305"/>
      <c r="I352" s="305"/>
      <c r="J352" s="305"/>
      <c r="K352" s="305"/>
      <c r="L352" s="305"/>
      <c r="M352" s="303"/>
      <c r="N352" s="303"/>
      <c r="O352" s="215"/>
      <c r="P352" s="215"/>
      <c r="Q352" s="292"/>
      <c r="R352" s="221"/>
      <c r="S352" s="221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</row>
    <row r="353" spans="1:29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306">
        <f t="shared" si="1"/>
        <v>0</v>
      </c>
      <c r="F353" s="303"/>
      <c r="G353" s="303"/>
      <c r="H353" s="305"/>
      <c r="I353" s="305"/>
      <c r="J353" s="305"/>
      <c r="K353" s="305"/>
      <c r="L353" s="305"/>
      <c r="M353" s="303"/>
      <c r="N353" s="303"/>
      <c r="O353" s="215"/>
      <c r="P353" s="215"/>
      <c r="Q353" s="292"/>
      <c r="R353" s="221"/>
      <c r="S353" s="221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</row>
    <row r="354" spans="1:29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306">
        <f t="shared" si="1"/>
        <v>0</v>
      </c>
      <c r="F354" s="303"/>
      <c r="G354" s="303"/>
      <c r="H354" s="305"/>
      <c r="I354" s="305"/>
      <c r="J354" s="305"/>
      <c r="K354" s="305"/>
      <c r="L354" s="305"/>
      <c r="M354" s="303"/>
      <c r="N354" s="303"/>
      <c r="O354" s="215"/>
      <c r="P354" s="215"/>
      <c r="Q354" s="292"/>
      <c r="R354" s="221"/>
      <c r="S354" s="221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</row>
    <row r="355" spans="1:29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306">
        <f t="shared" si="1"/>
        <v>0</v>
      </c>
      <c r="F355" s="303"/>
      <c r="G355" s="303"/>
      <c r="H355" s="305"/>
      <c r="I355" s="305"/>
      <c r="J355" s="305"/>
      <c r="K355" s="305"/>
      <c r="L355" s="305"/>
      <c r="M355" s="303"/>
      <c r="N355" s="303"/>
      <c r="O355" s="215"/>
      <c r="P355" s="215"/>
      <c r="Q355" s="292"/>
      <c r="R355" s="221"/>
      <c r="S355" s="221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</row>
    <row r="356" spans="1:29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306">
        <f t="shared" si="1"/>
        <v>0</v>
      </c>
      <c r="F356" s="303"/>
      <c r="G356" s="303"/>
      <c r="H356" s="305"/>
      <c r="I356" s="305"/>
      <c r="J356" s="305"/>
      <c r="K356" s="305"/>
      <c r="L356" s="305"/>
      <c r="M356" s="303"/>
      <c r="N356" s="303"/>
      <c r="O356" s="215"/>
      <c r="P356" s="215"/>
      <c r="Q356" s="292"/>
      <c r="R356" s="221"/>
      <c r="S356" s="221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</row>
    <row r="357" spans="1:29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306">
        <f t="shared" si="1"/>
        <v>0</v>
      </c>
      <c r="F357" s="303"/>
      <c r="G357" s="303"/>
      <c r="H357" s="305"/>
      <c r="I357" s="305"/>
      <c r="J357" s="305"/>
      <c r="K357" s="305"/>
      <c r="L357" s="305"/>
      <c r="M357" s="303"/>
      <c r="N357" s="303"/>
      <c r="O357" s="215"/>
      <c r="P357" s="215"/>
      <c r="Q357" s="292"/>
      <c r="R357" s="221"/>
      <c r="S357" s="221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</row>
    <row r="358" spans="1:29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306">
        <f t="shared" si="1"/>
        <v>0</v>
      </c>
      <c r="F358" s="303"/>
      <c r="G358" s="303"/>
      <c r="H358" s="305"/>
      <c r="I358" s="305"/>
      <c r="J358" s="305"/>
      <c r="K358" s="305"/>
      <c r="L358" s="305"/>
      <c r="M358" s="303"/>
      <c r="N358" s="303"/>
      <c r="O358" s="215"/>
      <c r="P358" s="215"/>
      <c r="Q358" s="292"/>
      <c r="R358" s="221"/>
      <c r="S358" s="221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</row>
    <row r="359" spans="1:29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306">
        <f t="shared" si="1"/>
        <v>0</v>
      </c>
      <c r="F359" s="303"/>
      <c r="G359" s="303"/>
      <c r="H359" s="305"/>
      <c r="I359" s="305"/>
      <c r="J359" s="305"/>
      <c r="K359" s="305"/>
      <c r="L359" s="305"/>
      <c r="M359" s="303"/>
      <c r="N359" s="303"/>
      <c r="O359" s="215"/>
      <c r="P359" s="215"/>
      <c r="Q359" s="292"/>
      <c r="R359" s="221"/>
      <c r="S359" s="221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</row>
    <row r="360" spans="1:29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306">
        <f t="shared" si="1"/>
        <v>0</v>
      </c>
      <c r="F360" s="303"/>
      <c r="G360" s="303"/>
      <c r="H360" s="305"/>
      <c r="I360" s="305"/>
      <c r="J360" s="305"/>
      <c r="K360" s="305"/>
      <c r="L360" s="305"/>
      <c r="M360" s="303"/>
      <c r="N360" s="303"/>
      <c r="O360" s="215"/>
      <c r="P360" s="215"/>
      <c r="Q360" s="292"/>
      <c r="R360" s="221"/>
      <c r="S360" s="221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</row>
    <row r="361" spans="1:29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306">
        <f t="shared" si="1"/>
        <v>0</v>
      </c>
      <c r="F361" s="303"/>
      <c r="G361" s="303"/>
      <c r="H361" s="305"/>
      <c r="I361" s="305"/>
      <c r="J361" s="305"/>
      <c r="K361" s="305"/>
      <c r="L361" s="305"/>
      <c r="M361" s="303"/>
      <c r="N361" s="303"/>
      <c r="O361" s="215"/>
      <c r="P361" s="215"/>
      <c r="Q361" s="292"/>
      <c r="R361" s="221"/>
      <c r="S361" s="221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</row>
    <row r="362" spans="1:29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306">
        <f t="shared" si="1"/>
        <v>0</v>
      </c>
      <c r="F362" s="303"/>
      <c r="G362" s="303"/>
      <c r="H362" s="305"/>
      <c r="I362" s="305"/>
      <c r="J362" s="305"/>
      <c r="K362" s="305"/>
      <c r="L362" s="305"/>
      <c r="M362" s="303"/>
      <c r="N362" s="303"/>
      <c r="O362" s="215"/>
      <c r="P362" s="215"/>
      <c r="Q362" s="292"/>
      <c r="R362" s="221"/>
      <c r="S362" s="221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</row>
    <row r="363" spans="1:29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306">
        <f t="shared" si="1"/>
        <v>0</v>
      </c>
      <c r="F363" s="303"/>
      <c r="G363" s="303"/>
      <c r="H363" s="305"/>
      <c r="I363" s="305"/>
      <c r="J363" s="305"/>
      <c r="K363" s="305"/>
      <c r="L363" s="305"/>
      <c r="M363" s="303"/>
      <c r="N363" s="303"/>
      <c r="O363" s="215"/>
      <c r="P363" s="215"/>
      <c r="Q363" s="292"/>
      <c r="R363" s="221"/>
      <c r="S363" s="221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</row>
    <row r="364" spans="1:29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306">
        <f t="shared" si="1"/>
        <v>0</v>
      </c>
      <c r="F364" s="303"/>
      <c r="G364" s="303"/>
      <c r="H364" s="305"/>
      <c r="I364" s="305"/>
      <c r="J364" s="305"/>
      <c r="K364" s="305"/>
      <c r="L364" s="305"/>
      <c r="M364" s="303"/>
      <c r="N364" s="303"/>
      <c r="O364" s="215"/>
      <c r="P364" s="215"/>
      <c r="Q364" s="292"/>
      <c r="R364" s="221"/>
      <c r="S364" s="221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</row>
    <row r="365" spans="1:29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306">
        <f t="shared" si="1"/>
        <v>0</v>
      </c>
      <c r="F365" s="303"/>
      <c r="G365" s="303"/>
      <c r="H365" s="305"/>
      <c r="I365" s="305"/>
      <c r="J365" s="305"/>
      <c r="K365" s="305"/>
      <c r="L365" s="305"/>
      <c r="M365" s="303"/>
      <c r="N365" s="303"/>
      <c r="O365" s="215"/>
      <c r="P365" s="215"/>
      <c r="Q365" s="292"/>
      <c r="R365" s="221"/>
      <c r="S365" s="221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</row>
    <row r="366" spans="1:29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306">
        <f t="shared" si="1"/>
        <v>0</v>
      </c>
      <c r="F366" s="303"/>
      <c r="G366" s="303"/>
      <c r="H366" s="305"/>
      <c r="I366" s="305"/>
      <c r="J366" s="305"/>
      <c r="K366" s="305"/>
      <c r="L366" s="305"/>
      <c r="M366" s="303"/>
      <c r="N366" s="303"/>
      <c r="O366" s="215"/>
      <c r="P366" s="215"/>
      <c r="Q366" s="292"/>
      <c r="R366" s="221"/>
      <c r="S366" s="221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</row>
    <row r="367" spans="1:29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306">
        <f t="shared" si="1"/>
        <v>0</v>
      </c>
      <c r="F367" s="303"/>
      <c r="G367" s="303"/>
      <c r="H367" s="305"/>
      <c r="I367" s="305"/>
      <c r="J367" s="305"/>
      <c r="K367" s="305"/>
      <c r="L367" s="305"/>
      <c r="M367" s="303"/>
      <c r="N367" s="303"/>
      <c r="O367" s="215"/>
      <c r="P367" s="215"/>
      <c r="Q367" s="292"/>
      <c r="R367" s="221"/>
      <c r="S367" s="221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</row>
    <row r="368" spans="1:29" ht="18.75" customHeight="1">
      <c r="A368" s="46">
        <v>12</v>
      </c>
      <c r="B368" s="64" t="s">
        <v>800</v>
      </c>
      <c r="C368" s="64" t="s">
        <v>801</v>
      </c>
      <c r="D368" s="216"/>
      <c r="E368" s="306">
        <f t="shared" si="1"/>
        <v>0</v>
      </c>
      <c r="F368" s="303"/>
      <c r="G368" s="303"/>
      <c r="H368" s="305"/>
      <c r="I368" s="305"/>
      <c r="J368" s="305"/>
      <c r="K368" s="305"/>
      <c r="L368" s="305"/>
      <c r="M368" s="303"/>
      <c r="N368" s="303"/>
      <c r="O368" s="215"/>
      <c r="P368" s="215"/>
      <c r="Q368" s="292"/>
      <c r="R368" s="221"/>
      <c r="S368" s="221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</row>
    <row r="369" spans="1:29" ht="18.75" customHeight="1">
      <c r="A369" s="101"/>
      <c r="B369" s="53" t="s">
        <v>803</v>
      </c>
      <c r="C369" s="87" t="s">
        <v>1083</v>
      </c>
      <c r="D369" s="61" t="s">
        <v>805</v>
      </c>
      <c r="E369" s="306">
        <f t="shared" si="1"/>
        <v>0</v>
      </c>
      <c r="F369" s="303"/>
      <c r="G369" s="303"/>
      <c r="H369" s="305"/>
      <c r="I369" s="305"/>
      <c r="J369" s="305"/>
      <c r="K369" s="305"/>
      <c r="L369" s="305"/>
      <c r="M369" s="303"/>
      <c r="N369" s="303"/>
      <c r="O369" s="215"/>
      <c r="P369" s="215"/>
      <c r="Q369" s="314"/>
      <c r="R369" s="221"/>
      <c r="S369" s="221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</row>
    <row r="370" spans="1:29" ht="18.75" customHeight="1">
      <c r="A370" s="42"/>
      <c r="B370" s="59" t="s">
        <v>807</v>
      </c>
      <c r="C370" s="113" t="s">
        <v>808</v>
      </c>
      <c r="D370" s="61" t="s">
        <v>132</v>
      </c>
      <c r="E370" s="306">
        <f t="shared" si="1"/>
        <v>0</v>
      </c>
      <c r="F370" s="303"/>
      <c r="G370" s="303"/>
      <c r="H370" s="305"/>
      <c r="I370" s="305"/>
      <c r="J370" s="305"/>
      <c r="K370" s="305"/>
      <c r="L370" s="305"/>
      <c r="M370" s="303"/>
      <c r="N370" s="303"/>
      <c r="O370" s="315"/>
      <c r="P370" s="215"/>
      <c r="Q370" s="292"/>
      <c r="R370" s="221"/>
      <c r="S370" s="221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</row>
    <row r="371" spans="1:29" ht="18.75" customHeight="1">
      <c r="A371" s="42"/>
      <c r="B371" s="59" t="s">
        <v>810</v>
      </c>
      <c r="C371" s="113" t="s">
        <v>811</v>
      </c>
      <c r="D371" s="61" t="s">
        <v>132</v>
      </c>
      <c r="E371" s="306">
        <f t="shared" si="1"/>
        <v>0</v>
      </c>
      <c r="F371" s="303"/>
      <c r="G371" s="303"/>
      <c r="H371" s="305"/>
      <c r="I371" s="305"/>
      <c r="J371" s="305"/>
      <c r="K371" s="305"/>
      <c r="L371" s="305"/>
      <c r="M371" s="303"/>
      <c r="N371" s="303"/>
      <c r="O371" s="315"/>
      <c r="P371" s="215"/>
      <c r="Q371" s="292"/>
      <c r="R371" s="221"/>
      <c r="S371" s="221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</row>
    <row r="372" spans="1:29" ht="18.75" customHeight="1">
      <c r="A372" s="101"/>
      <c r="B372" s="53" t="s">
        <v>813</v>
      </c>
      <c r="C372" s="87" t="s">
        <v>814</v>
      </c>
      <c r="D372" s="61" t="s">
        <v>424</v>
      </c>
      <c r="E372" s="306">
        <f t="shared" si="1"/>
        <v>0</v>
      </c>
      <c r="F372" s="303"/>
      <c r="G372" s="303"/>
      <c r="H372" s="305"/>
      <c r="I372" s="305"/>
      <c r="J372" s="305"/>
      <c r="K372" s="305"/>
      <c r="L372" s="305"/>
      <c r="M372" s="303"/>
      <c r="N372" s="303"/>
      <c r="O372" s="315"/>
      <c r="P372" s="215"/>
      <c r="Q372" s="292"/>
      <c r="R372" s="221"/>
      <c r="S372" s="221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</row>
    <row r="373" spans="1:29" ht="18.75" customHeight="1">
      <c r="A373" s="42"/>
      <c r="B373" s="59" t="s">
        <v>816</v>
      </c>
      <c r="C373" s="113" t="s">
        <v>808</v>
      </c>
      <c r="D373" s="61" t="s">
        <v>424</v>
      </c>
      <c r="E373" s="306">
        <f t="shared" si="1"/>
        <v>0</v>
      </c>
      <c r="F373" s="303"/>
      <c r="G373" s="303"/>
      <c r="H373" s="305"/>
      <c r="I373" s="305"/>
      <c r="J373" s="305"/>
      <c r="K373" s="305"/>
      <c r="L373" s="305"/>
      <c r="M373" s="303"/>
      <c r="N373" s="303"/>
      <c r="O373" s="315"/>
      <c r="P373" s="215"/>
      <c r="Q373" s="292"/>
      <c r="R373" s="221"/>
      <c r="S373" s="221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</row>
    <row r="374" spans="1:29" ht="18.75" customHeight="1">
      <c r="A374" s="42"/>
      <c r="B374" s="59" t="s">
        <v>817</v>
      </c>
      <c r="C374" s="113" t="s">
        <v>811</v>
      </c>
      <c r="D374" s="61" t="s">
        <v>424</v>
      </c>
      <c r="E374" s="306">
        <f t="shared" si="1"/>
        <v>0</v>
      </c>
      <c r="F374" s="303"/>
      <c r="G374" s="303"/>
      <c r="H374" s="305"/>
      <c r="I374" s="305"/>
      <c r="J374" s="305"/>
      <c r="K374" s="305"/>
      <c r="L374" s="305"/>
      <c r="M374" s="303"/>
      <c r="N374" s="303"/>
      <c r="O374" s="315"/>
      <c r="P374" s="215"/>
      <c r="Q374" s="292"/>
      <c r="R374" s="221"/>
      <c r="S374" s="221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</row>
    <row r="375" spans="1:29" ht="18.75" customHeight="1">
      <c r="A375" s="101"/>
      <c r="B375" s="53" t="s">
        <v>818</v>
      </c>
      <c r="C375" s="87" t="s">
        <v>819</v>
      </c>
      <c r="D375" s="61" t="s">
        <v>132</v>
      </c>
      <c r="E375" s="306">
        <f t="shared" si="1"/>
        <v>0</v>
      </c>
      <c r="F375" s="303"/>
      <c r="G375" s="303"/>
      <c r="H375" s="305"/>
      <c r="I375" s="305"/>
      <c r="J375" s="305"/>
      <c r="K375" s="305"/>
      <c r="L375" s="305"/>
      <c r="M375" s="303"/>
      <c r="N375" s="303"/>
      <c r="O375" s="315"/>
      <c r="P375" s="215"/>
      <c r="Q375" s="292"/>
      <c r="R375" s="221"/>
      <c r="S375" s="221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</row>
    <row r="376" spans="1:29" ht="18.75" customHeight="1">
      <c r="A376" s="42"/>
      <c r="B376" s="59" t="s">
        <v>821</v>
      </c>
      <c r="C376" s="113" t="s">
        <v>808</v>
      </c>
      <c r="D376" s="61" t="s">
        <v>132</v>
      </c>
      <c r="E376" s="306">
        <f t="shared" si="1"/>
        <v>0</v>
      </c>
      <c r="F376" s="303"/>
      <c r="G376" s="303"/>
      <c r="H376" s="305"/>
      <c r="I376" s="305"/>
      <c r="J376" s="305"/>
      <c r="K376" s="305"/>
      <c r="L376" s="305"/>
      <c r="M376" s="303"/>
      <c r="N376" s="303"/>
      <c r="O376" s="315"/>
      <c r="P376" s="215"/>
      <c r="Q376" s="292"/>
      <c r="R376" s="221"/>
      <c r="S376" s="221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</row>
    <row r="377" spans="1:29" ht="18.75" customHeight="1">
      <c r="A377" s="42"/>
      <c r="B377" s="59" t="s">
        <v>822</v>
      </c>
      <c r="C377" s="113" t="s">
        <v>811</v>
      </c>
      <c r="D377" s="61" t="s">
        <v>132</v>
      </c>
      <c r="E377" s="306">
        <f t="shared" si="1"/>
        <v>0</v>
      </c>
      <c r="F377" s="303"/>
      <c r="G377" s="303"/>
      <c r="H377" s="305"/>
      <c r="I377" s="305"/>
      <c r="J377" s="305"/>
      <c r="K377" s="305"/>
      <c r="L377" s="305"/>
      <c r="M377" s="303"/>
      <c r="N377" s="303"/>
      <c r="O377" s="315"/>
      <c r="P377" s="215"/>
      <c r="Q377" s="292"/>
      <c r="R377" s="221"/>
      <c r="S377" s="221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</row>
    <row r="378" spans="1:29" ht="18.75" customHeight="1">
      <c r="A378" s="101"/>
      <c r="B378" s="53" t="s">
        <v>823</v>
      </c>
      <c r="C378" s="87" t="s">
        <v>824</v>
      </c>
      <c r="D378" s="61" t="s">
        <v>424</v>
      </c>
      <c r="E378" s="306">
        <f t="shared" si="1"/>
        <v>0</v>
      </c>
      <c r="F378" s="303"/>
      <c r="G378" s="303"/>
      <c r="H378" s="305"/>
      <c r="I378" s="305"/>
      <c r="J378" s="305"/>
      <c r="K378" s="305"/>
      <c r="L378" s="305"/>
      <c r="M378" s="303"/>
      <c r="N378" s="303"/>
      <c r="O378" s="315"/>
      <c r="P378" s="215"/>
      <c r="Q378" s="292"/>
      <c r="R378" s="221"/>
      <c r="S378" s="221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</row>
    <row r="379" spans="1:29" ht="18.75" customHeight="1">
      <c r="A379" s="42"/>
      <c r="B379" s="59" t="s">
        <v>826</v>
      </c>
      <c r="C379" s="111" t="s">
        <v>827</v>
      </c>
      <c r="D379" s="61" t="s">
        <v>424</v>
      </c>
      <c r="E379" s="306">
        <f t="shared" si="1"/>
        <v>0</v>
      </c>
      <c r="F379" s="303"/>
      <c r="G379" s="303"/>
      <c r="H379" s="305"/>
      <c r="I379" s="305"/>
      <c r="J379" s="305"/>
      <c r="K379" s="305"/>
      <c r="L379" s="305"/>
      <c r="M379" s="303"/>
      <c r="N379" s="303"/>
      <c r="O379" s="315"/>
      <c r="P379" s="215"/>
      <c r="Q379" s="292"/>
      <c r="R379" s="221"/>
      <c r="S379" s="221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</row>
    <row r="380" spans="1:29" ht="18.75" customHeight="1">
      <c r="A380" s="42"/>
      <c r="B380" s="59" t="s">
        <v>828</v>
      </c>
      <c r="C380" s="111" t="s">
        <v>829</v>
      </c>
      <c r="D380" s="61" t="s">
        <v>1213</v>
      </c>
      <c r="E380" s="306">
        <f t="shared" si="1"/>
        <v>0</v>
      </c>
      <c r="F380" s="303"/>
      <c r="G380" s="303"/>
      <c r="H380" s="305"/>
      <c r="I380" s="305"/>
      <c r="J380" s="305"/>
      <c r="K380" s="305"/>
      <c r="L380" s="305"/>
      <c r="M380" s="303"/>
      <c r="N380" s="303"/>
      <c r="O380" s="315"/>
      <c r="P380" s="215"/>
      <c r="Q380" s="292"/>
      <c r="R380" s="221"/>
      <c r="S380" s="221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</row>
    <row r="381" spans="1:29" ht="18.75" customHeight="1">
      <c r="A381" s="42"/>
      <c r="B381" s="59" t="s">
        <v>831</v>
      </c>
      <c r="C381" s="111" t="s">
        <v>433</v>
      </c>
      <c r="D381" s="61" t="s">
        <v>594</v>
      </c>
      <c r="E381" s="306">
        <f t="shared" si="1"/>
        <v>0</v>
      </c>
      <c r="F381" s="303"/>
      <c r="G381" s="303"/>
      <c r="H381" s="305"/>
      <c r="I381" s="305"/>
      <c r="J381" s="305"/>
      <c r="K381" s="305"/>
      <c r="L381" s="305"/>
      <c r="M381" s="303"/>
      <c r="N381" s="303"/>
      <c r="O381" s="315"/>
      <c r="P381" s="215"/>
      <c r="Q381" s="292"/>
      <c r="R381" s="221"/>
      <c r="S381" s="221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</row>
    <row r="382" spans="1:29" ht="31.5" customHeight="1">
      <c r="A382" s="101"/>
      <c r="B382" s="53" t="s">
        <v>832</v>
      </c>
      <c r="C382" s="87" t="s">
        <v>833</v>
      </c>
      <c r="D382" s="61" t="s">
        <v>424</v>
      </c>
      <c r="E382" s="306">
        <f t="shared" si="1"/>
        <v>0</v>
      </c>
      <c r="F382" s="303"/>
      <c r="G382" s="303"/>
      <c r="H382" s="305"/>
      <c r="I382" s="305"/>
      <c r="J382" s="305"/>
      <c r="K382" s="305"/>
      <c r="L382" s="305"/>
      <c r="M382" s="303"/>
      <c r="N382" s="303"/>
      <c r="O382" s="315"/>
      <c r="P382" s="215"/>
      <c r="Q382" s="292"/>
      <c r="R382" s="221"/>
      <c r="S382" s="221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</row>
    <row r="383" spans="1:29" ht="31.5" customHeight="1">
      <c r="A383" s="101"/>
      <c r="B383" s="53" t="s">
        <v>835</v>
      </c>
      <c r="C383" s="87" t="s">
        <v>836</v>
      </c>
      <c r="D383" s="61" t="s">
        <v>132</v>
      </c>
      <c r="E383" s="306">
        <f t="shared" si="1"/>
        <v>0</v>
      </c>
      <c r="F383" s="303"/>
      <c r="G383" s="303"/>
      <c r="H383" s="305"/>
      <c r="I383" s="305"/>
      <c r="J383" s="305"/>
      <c r="K383" s="305"/>
      <c r="L383" s="305"/>
      <c r="M383" s="303"/>
      <c r="N383" s="303"/>
      <c r="O383" s="315"/>
      <c r="P383" s="215"/>
      <c r="Q383" s="292"/>
      <c r="R383" s="221"/>
      <c r="S383" s="221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</row>
    <row r="384" spans="1:29" ht="18.75" customHeight="1">
      <c r="A384" s="42"/>
      <c r="B384" s="59" t="s">
        <v>838</v>
      </c>
      <c r="C384" s="113" t="s">
        <v>131</v>
      </c>
      <c r="D384" s="61" t="s">
        <v>132</v>
      </c>
      <c r="E384" s="306">
        <f t="shared" si="1"/>
        <v>0</v>
      </c>
      <c r="F384" s="303"/>
      <c r="G384" s="303"/>
      <c r="H384" s="305"/>
      <c r="I384" s="305"/>
      <c r="J384" s="305"/>
      <c r="K384" s="305"/>
      <c r="L384" s="305"/>
      <c r="M384" s="303"/>
      <c r="N384" s="303"/>
      <c r="O384" s="315"/>
      <c r="P384" s="215"/>
      <c r="Q384" s="292"/>
      <c r="R384" s="221"/>
      <c r="S384" s="221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</row>
    <row r="385" spans="1:29" ht="18.75" customHeight="1">
      <c r="A385" s="42"/>
      <c r="B385" s="59" t="s">
        <v>839</v>
      </c>
      <c r="C385" s="113" t="s">
        <v>200</v>
      </c>
      <c r="D385" s="61" t="s">
        <v>132</v>
      </c>
      <c r="E385" s="306">
        <f t="shared" si="1"/>
        <v>0</v>
      </c>
      <c r="F385" s="303"/>
      <c r="G385" s="303"/>
      <c r="H385" s="305"/>
      <c r="I385" s="305"/>
      <c r="J385" s="305"/>
      <c r="K385" s="305"/>
      <c r="L385" s="305"/>
      <c r="M385" s="303"/>
      <c r="N385" s="303"/>
      <c r="O385" s="315"/>
      <c r="P385" s="215"/>
      <c r="Q385" s="292"/>
      <c r="R385" s="221"/>
      <c r="S385" s="221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</row>
    <row r="386" spans="1:29" ht="18.75" customHeight="1">
      <c r="A386" s="42"/>
      <c r="B386" s="59" t="s">
        <v>840</v>
      </c>
      <c r="C386" s="113" t="s">
        <v>203</v>
      </c>
      <c r="D386" s="61" t="s">
        <v>132</v>
      </c>
      <c r="E386" s="306">
        <f t="shared" si="1"/>
        <v>0</v>
      </c>
      <c r="F386" s="303"/>
      <c r="G386" s="303"/>
      <c r="H386" s="305"/>
      <c r="I386" s="305"/>
      <c r="J386" s="305"/>
      <c r="K386" s="305"/>
      <c r="L386" s="305"/>
      <c r="M386" s="303"/>
      <c r="N386" s="303"/>
      <c r="O386" s="315"/>
      <c r="P386" s="215"/>
      <c r="Q386" s="292"/>
      <c r="R386" s="221"/>
      <c r="S386" s="221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</row>
    <row r="387" spans="1:29" ht="18.75" customHeight="1">
      <c r="A387" s="42"/>
      <c r="B387" s="59" t="s">
        <v>841</v>
      </c>
      <c r="C387" s="113" t="s">
        <v>159</v>
      </c>
      <c r="D387" s="61" t="s">
        <v>132</v>
      </c>
      <c r="E387" s="306">
        <f t="shared" si="1"/>
        <v>0</v>
      </c>
      <c r="F387" s="303"/>
      <c r="G387" s="303"/>
      <c r="H387" s="305"/>
      <c r="I387" s="305"/>
      <c r="J387" s="305"/>
      <c r="K387" s="305"/>
      <c r="L387" s="305"/>
      <c r="M387" s="303"/>
      <c r="N387" s="303"/>
      <c r="O387" s="315"/>
      <c r="P387" s="215"/>
      <c r="Q387" s="292"/>
      <c r="R387" s="221"/>
      <c r="S387" s="221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</row>
    <row r="388" spans="1:29" ht="30.75" customHeight="1">
      <c r="A388" s="101"/>
      <c r="B388" s="53" t="s">
        <v>842</v>
      </c>
      <c r="C388" s="87" t="s">
        <v>843</v>
      </c>
      <c r="D388" s="61" t="s">
        <v>132</v>
      </c>
      <c r="E388" s="306">
        <f t="shared" si="1"/>
        <v>0</v>
      </c>
      <c r="F388" s="303"/>
      <c r="G388" s="303"/>
      <c r="H388" s="305"/>
      <c r="I388" s="305"/>
      <c r="J388" s="305"/>
      <c r="K388" s="305"/>
      <c r="L388" s="305"/>
      <c r="M388" s="303"/>
      <c r="N388" s="303"/>
      <c r="O388" s="315"/>
      <c r="P388" s="215"/>
      <c r="Q388" s="292"/>
      <c r="R388" s="221"/>
      <c r="S388" s="221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</row>
    <row r="389" spans="1:29" ht="18.75" customHeight="1">
      <c r="A389" s="101"/>
      <c r="B389" s="53" t="s">
        <v>845</v>
      </c>
      <c r="C389" s="87" t="s">
        <v>846</v>
      </c>
      <c r="D389" s="61" t="s">
        <v>358</v>
      </c>
      <c r="E389" s="306">
        <f t="shared" si="1"/>
        <v>0</v>
      </c>
      <c r="F389" s="303"/>
      <c r="G389" s="303"/>
      <c r="H389" s="305"/>
      <c r="I389" s="305"/>
      <c r="J389" s="305"/>
      <c r="K389" s="305"/>
      <c r="L389" s="305"/>
      <c r="M389" s="303"/>
      <c r="N389" s="303"/>
      <c r="O389" s="315"/>
      <c r="P389" s="215"/>
      <c r="Q389" s="292"/>
      <c r="R389" s="221"/>
      <c r="S389" s="221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</row>
    <row r="390" spans="1:29" ht="31.5" customHeight="1">
      <c r="A390" s="101"/>
      <c r="B390" s="53" t="s">
        <v>847</v>
      </c>
      <c r="C390" s="87" t="s">
        <v>848</v>
      </c>
      <c r="D390" s="216" t="s">
        <v>183</v>
      </c>
      <c r="E390" s="306">
        <f t="shared" si="1"/>
        <v>0</v>
      </c>
      <c r="F390" s="303"/>
      <c r="G390" s="303"/>
      <c r="H390" s="305"/>
      <c r="I390" s="305"/>
      <c r="J390" s="305"/>
      <c r="K390" s="305"/>
      <c r="L390" s="305"/>
      <c r="M390" s="303"/>
      <c r="N390" s="303"/>
      <c r="O390" s="315"/>
      <c r="P390" s="215"/>
      <c r="Q390" s="292"/>
      <c r="R390" s="221"/>
      <c r="S390" s="221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</row>
    <row r="391" spans="1:29" ht="31.5" customHeight="1">
      <c r="A391" s="101"/>
      <c r="B391" s="53" t="s">
        <v>850</v>
      </c>
      <c r="C391" s="87" t="s">
        <v>851</v>
      </c>
      <c r="D391" s="216" t="s">
        <v>183</v>
      </c>
      <c r="E391" s="306">
        <f t="shared" si="1"/>
        <v>0</v>
      </c>
      <c r="F391" s="303"/>
      <c r="G391" s="303"/>
      <c r="H391" s="305"/>
      <c r="I391" s="305"/>
      <c r="J391" s="305"/>
      <c r="K391" s="305"/>
      <c r="L391" s="305"/>
      <c r="M391" s="303"/>
      <c r="N391" s="303"/>
      <c r="O391" s="315"/>
      <c r="P391" s="215"/>
      <c r="Q391" s="292"/>
      <c r="R391" s="221"/>
      <c r="S391" s="221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</row>
    <row r="392" spans="1:29" ht="18.75" customHeight="1">
      <c r="A392" s="101"/>
      <c r="B392" s="53" t="s">
        <v>853</v>
      </c>
      <c r="C392" s="87" t="s">
        <v>854</v>
      </c>
      <c r="D392" s="216" t="s">
        <v>183</v>
      </c>
      <c r="E392" s="306">
        <f t="shared" si="1"/>
        <v>0</v>
      </c>
      <c r="F392" s="303"/>
      <c r="G392" s="303"/>
      <c r="H392" s="305"/>
      <c r="I392" s="305"/>
      <c r="J392" s="305"/>
      <c r="K392" s="305"/>
      <c r="L392" s="305"/>
      <c r="M392" s="303"/>
      <c r="N392" s="303"/>
      <c r="O392" s="315"/>
      <c r="P392" s="215"/>
      <c r="Q392" s="292"/>
      <c r="R392" s="221"/>
      <c r="S392" s="221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</row>
    <row r="393" spans="1:29" ht="31.5" customHeight="1">
      <c r="A393" s="101"/>
      <c r="B393" s="53" t="s">
        <v>855</v>
      </c>
      <c r="C393" s="87" t="s">
        <v>856</v>
      </c>
      <c r="D393" s="216" t="s">
        <v>183</v>
      </c>
      <c r="E393" s="306">
        <f t="shared" si="1"/>
        <v>0</v>
      </c>
      <c r="F393" s="303"/>
      <c r="G393" s="303"/>
      <c r="H393" s="305"/>
      <c r="I393" s="305"/>
      <c r="J393" s="305"/>
      <c r="K393" s="305"/>
      <c r="L393" s="305"/>
      <c r="M393" s="303"/>
      <c r="N393" s="303"/>
      <c r="O393" s="315"/>
      <c r="P393" s="215"/>
      <c r="Q393" s="292"/>
      <c r="R393" s="221"/>
      <c r="S393" s="221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</row>
    <row r="394" spans="1:29" ht="31.5" customHeight="1">
      <c r="A394" s="101"/>
      <c r="B394" s="53" t="s">
        <v>857</v>
      </c>
      <c r="C394" s="87" t="s">
        <v>858</v>
      </c>
      <c r="D394" s="61" t="s">
        <v>132</v>
      </c>
      <c r="E394" s="306">
        <f t="shared" si="1"/>
        <v>0</v>
      </c>
      <c r="F394" s="303"/>
      <c r="G394" s="303"/>
      <c r="H394" s="305"/>
      <c r="I394" s="305"/>
      <c r="J394" s="305"/>
      <c r="K394" s="305"/>
      <c r="L394" s="305"/>
      <c r="M394" s="303"/>
      <c r="N394" s="303"/>
      <c r="O394" s="315"/>
      <c r="P394" s="215"/>
      <c r="Q394" s="292"/>
      <c r="R394" s="221"/>
      <c r="S394" s="221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</row>
    <row r="395" spans="1:29" ht="18.75" customHeight="1">
      <c r="A395" s="118"/>
      <c r="B395" s="59" t="s">
        <v>860</v>
      </c>
      <c r="C395" s="113" t="s">
        <v>861</v>
      </c>
      <c r="D395" s="61" t="s">
        <v>132</v>
      </c>
      <c r="E395" s="306">
        <f t="shared" si="1"/>
        <v>0</v>
      </c>
      <c r="F395" s="303"/>
      <c r="G395" s="303"/>
      <c r="H395" s="305"/>
      <c r="I395" s="305"/>
      <c r="J395" s="305"/>
      <c r="K395" s="305"/>
      <c r="L395" s="305"/>
      <c r="M395" s="303"/>
      <c r="N395" s="303"/>
      <c r="O395" s="315"/>
      <c r="P395" s="215"/>
      <c r="Q395" s="292"/>
      <c r="R395" s="221"/>
      <c r="S395" s="221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</row>
    <row r="396" spans="1:29" ht="18.75" customHeight="1">
      <c r="A396" s="118"/>
      <c r="B396" s="59" t="s">
        <v>863</v>
      </c>
      <c r="C396" s="113" t="s">
        <v>864</v>
      </c>
      <c r="D396" s="61" t="s">
        <v>132</v>
      </c>
      <c r="E396" s="306">
        <f t="shared" si="1"/>
        <v>0</v>
      </c>
      <c r="F396" s="303"/>
      <c r="G396" s="303"/>
      <c r="H396" s="305"/>
      <c r="I396" s="305"/>
      <c r="J396" s="305"/>
      <c r="K396" s="305"/>
      <c r="L396" s="305"/>
      <c r="M396" s="303"/>
      <c r="N396" s="303"/>
      <c r="O396" s="315"/>
      <c r="P396" s="215"/>
      <c r="Q396" s="292"/>
      <c r="R396" s="221"/>
      <c r="S396" s="221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</row>
    <row r="397" spans="1:29" ht="18.75" customHeight="1">
      <c r="A397" s="101"/>
      <c r="B397" s="53" t="s">
        <v>865</v>
      </c>
      <c r="C397" s="87" t="s">
        <v>866</v>
      </c>
      <c r="D397" s="61" t="s">
        <v>424</v>
      </c>
      <c r="E397" s="306">
        <f t="shared" si="1"/>
        <v>0</v>
      </c>
      <c r="F397" s="303"/>
      <c r="G397" s="303"/>
      <c r="H397" s="305"/>
      <c r="I397" s="305"/>
      <c r="J397" s="305"/>
      <c r="K397" s="305"/>
      <c r="L397" s="305"/>
      <c r="M397" s="303"/>
      <c r="N397" s="303"/>
      <c r="O397" s="315"/>
      <c r="P397" s="215"/>
      <c r="Q397" s="292"/>
      <c r="R397" s="221"/>
      <c r="S397" s="221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</row>
    <row r="398" spans="1:29" ht="18.75" customHeight="1">
      <c r="A398" s="118"/>
      <c r="B398" s="59" t="s">
        <v>860</v>
      </c>
      <c r="C398" s="113" t="s">
        <v>868</v>
      </c>
      <c r="D398" s="61" t="s">
        <v>424</v>
      </c>
      <c r="E398" s="306">
        <f t="shared" si="1"/>
        <v>0</v>
      </c>
      <c r="F398" s="303"/>
      <c r="G398" s="303"/>
      <c r="H398" s="305"/>
      <c r="I398" s="305"/>
      <c r="J398" s="305"/>
      <c r="K398" s="305"/>
      <c r="L398" s="305"/>
      <c r="M398" s="303"/>
      <c r="N398" s="303"/>
      <c r="O398" s="315"/>
      <c r="P398" s="215"/>
      <c r="Q398" s="292"/>
      <c r="R398" s="221"/>
      <c r="S398" s="221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</row>
    <row r="399" spans="1:29" ht="33" customHeight="1">
      <c r="A399" s="118"/>
      <c r="B399" s="59" t="s">
        <v>863</v>
      </c>
      <c r="C399" s="113" t="s">
        <v>870</v>
      </c>
      <c r="D399" s="61" t="s">
        <v>424</v>
      </c>
      <c r="E399" s="306">
        <f t="shared" si="1"/>
        <v>0</v>
      </c>
      <c r="F399" s="303"/>
      <c r="G399" s="303"/>
      <c r="H399" s="305"/>
      <c r="I399" s="305"/>
      <c r="J399" s="305"/>
      <c r="K399" s="305"/>
      <c r="L399" s="305"/>
      <c r="M399" s="303"/>
      <c r="N399" s="303"/>
      <c r="O399" s="315"/>
      <c r="P399" s="215"/>
      <c r="Q399" s="292"/>
      <c r="R399" s="221"/>
      <c r="S399" s="221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</row>
    <row r="400" spans="1:29" ht="18.75" customHeight="1">
      <c r="A400" s="101"/>
      <c r="B400" s="53" t="s">
        <v>871</v>
      </c>
      <c r="C400" s="87" t="s">
        <v>872</v>
      </c>
      <c r="D400" s="61" t="s">
        <v>132</v>
      </c>
      <c r="E400" s="306">
        <f t="shared" si="1"/>
        <v>0</v>
      </c>
      <c r="F400" s="303"/>
      <c r="G400" s="303"/>
      <c r="H400" s="305"/>
      <c r="I400" s="305"/>
      <c r="J400" s="305"/>
      <c r="K400" s="305"/>
      <c r="L400" s="305"/>
      <c r="M400" s="303"/>
      <c r="N400" s="303"/>
      <c r="O400" s="315"/>
      <c r="P400" s="215"/>
      <c r="Q400" s="292"/>
      <c r="R400" s="221"/>
      <c r="S400" s="221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</row>
    <row r="401" spans="1:29" ht="18.75" customHeight="1">
      <c r="A401" s="118"/>
      <c r="B401" s="59" t="s">
        <v>874</v>
      </c>
      <c r="C401" s="113" t="s">
        <v>875</v>
      </c>
      <c r="D401" s="61" t="s">
        <v>132</v>
      </c>
      <c r="E401" s="306">
        <f t="shared" si="1"/>
        <v>0</v>
      </c>
      <c r="F401" s="303"/>
      <c r="G401" s="303"/>
      <c r="H401" s="305"/>
      <c r="I401" s="305"/>
      <c r="J401" s="305"/>
      <c r="K401" s="305"/>
      <c r="L401" s="305"/>
      <c r="M401" s="303"/>
      <c r="N401" s="303"/>
      <c r="O401" s="315"/>
      <c r="P401" s="215"/>
      <c r="Q401" s="292"/>
      <c r="R401" s="221"/>
      <c r="S401" s="221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</row>
    <row r="402" spans="1:29" ht="18.75" customHeight="1">
      <c r="A402" s="118"/>
      <c r="B402" s="59" t="s">
        <v>877</v>
      </c>
      <c r="C402" s="113" t="s">
        <v>878</v>
      </c>
      <c r="D402" s="61" t="s">
        <v>132</v>
      </c>
      <c r="E402" s="306">
        <f t="shared" si="1"/>
        <v>0</v>
      </c>
      <c r="F402" s="303"/>
      <c r="G402" s="303"/>
      <c r="H402" s="305"/>
      <c r="I402" s="305"/>
      <c r="J402" s="305"/>
      <c r="K402" s="305"/>
      <c r="L402" s="305"/>
      <c r="M402" s="303"/>
      <c r="N402" s="303"/>
      <c r="O402" s="315"/>
      <c r="P402" s="215"/>
      <c r="Q402" s="292"/>
      <c r="R402" s="221"/>
      <c r="S402" s="221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</row>
    <row r="403" spans="1:29" ht="41.25" customHeight="1">
      <c r="A403" s="118"/>
      <c r="B403" s="59" t="s">
        <v>879</v>
      </c>
      <c r="C403" s="87" t="s">
        <v>880</v>
      </c>
      <c r="D403" s="216" t="s">
        <v>183</v>
      </c>
      <c r="E403" s="306">
        <f t="shared" si="1"/>
        <v>0</v>
      </c>
      <c r="F403" s="303"/>
      <c r="G403" s="303"/>
      <c r="H403" s="305"/>
      <c r="I403" s="305"/>
      <c r="J403" s="305"/>
      <c r="K403" s="305"/>
      <c r="L403" s="305"/>
      <c r="M403" s="303"/>
      <c r="N403" s="303"/>
      <c r="O403" s="315"/>
      <c r="P403" s="215"/>
      <c r="Q403" s="292"/>
      <c r="R403" s="221"/>
      <c r="S403" s="221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</row>
    <row r="404" spans="1:29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306">
        <f t="shared" si="1"/>
        <v>0</v>
      </c>
      <c r="F404" s="303"/>
      <c r="G404" s="303"/>
      <c r="H404" s="305"/>
      <c r="I404" s="305"/>
      <c r="J404" s="305"/>
      <c r="K404" s="305"/>
      <c r="L404" s="305"/>
      <c r="M404" s="303"/>
      <c r="N404" s="303"/>
      <c r="O404" s="315"/>
      <c r="P404" s="215"/>
      <c r="Q404" s="292"/>
      <c r="R404" s="221"/>
      <c r="S404" s="221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</row>
    <row r="405" spans="1:29" ht="18.75" customHeight="1">
      <c r="A405" s="101"/>
      <c r="B405" s="53" t="s">
        <v>883</v>
      </c>
      <c r="C405" s="87" t="s">
        <v>884</v>
      </c>
      <c r="D405" s="216" t="s">
        <v>183</v>
      </c>
      <c r="E405" s="306">
        <f t="shared" si="1"/>
        <v>0</v>
      </c>
      <c r="F405" s="303"/>
      <c r="G405" s="303"/>
      <c r="H405" s="305"/>
      <c r="I405" s="305"/>
      <c r="J405" s="305"/>
      <c r="K405" s="305"/>
      <c r="L405" s="305"/>
      <c r="M405" s="303"/>
      <c r="N405" s="303"/>
      <c r="O405" s="315"/>
      <c r="P405" s="215"/>
      <c r="Q405" s="292"/>
      <c r="R405" s="221"/>
      <c r="S405" s="221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</row>
    <row r="406" spans="1:29" ht="18.75" customHeight="1">
      <c r="A406" s="42"/>
      <c r="B406" s="59" t="s">
        <v>886</v>
      </c>
      <c r="C406" s="113" t="s">
        <v>131</v>
      </c>
      <c r="D406" s="216" t="s">
        <v>183</v>
      </c>
      <c r="E406" s="306">
        <f t="shared" si="1"/>
        <v>0</v>
      </c>
      <c r="F406" s="303"/>
      <c r="G406" s="303"/>
      <c r="H406" s="305"/>
      <c r="I406" s="305"/>
      <c r="J406" s="305"/>
      <c r="K406" s="305"/>
      <c r="L406" s="305"/>
      <c r="M406" s="303"/>
      <c r="N406" s="303"/>
      <c r="O406" s="315"/>
      <c r="P406" s="215"/>
      <c r="Q406" s="292"/>
      <c r="R406" s="221"/>
      <c r="S406" s="221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</row>
    <row r="407" spans="1:29" ht="18.75" customHeight="1">
      <c r="A407" s="42"/>
      <c r="B407" s="59" t="s">
        <v>888</v>
      </c>
      <c r="C407" s="113" t="s">
        <v>200</v>
      </c>
      <c r="D407" s="216" t="s">
        <v>183</v>
      </c>
      <c r="E407" s="306">
        <f t="shared" si="1"/>
        <v>0</v>
      </c>
      <c r="F407" s="303"/>
      <c r="G407" s="303"/>
      <c r="H407" s="305"/>
      <c r="I407" s="305"/>
      <c r="J407" s="305"/>
      <c r="K407" s="305"/>
      <c r="L407" s="305"/>
      <c r="M407" s="303"/>
      <c r="N407" s="303"/>
      <c r="O407" s="315"/>
      <c r="P407" s="215"/>
      <c r="Q407" s="292"/>
      <c r="R407" s="221"/>
      <c r="S407" s="221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</row>
    <row r="408" spans="1:29" ht="18.75" customHeight="1">
      <c r="A408" s="42"/>
      <c r="B408" s="59" t="s">
        <v>890</v>
      </c>
      <c r="C408" s="113" t="s">
        <v>203</v>
      </c>
      <c r="D408" s="216" t="s">
        <v>183</v>
      </c>
      <c r="E408" s="306">
        <f t="shared" si="1"/>
        <v>0</v>
      </c>
      <c r="F408" s="303"/>
      <c r="G408" s="303"/>
      <c r="H408" s="305"/>
      <c r="I408" s="305"/>
      <c r="J408" s="305"/>
      <c r="K408" s="305"/>
      <c r="L408" s="305"/>
      <c r="M408" s="303"/>
      <c r="N408" s="303"/>
      <c r="O408" s="315"/>
      <c r="P408" s="215"/>
      <c r="Q408" s="292"/>
      <c r="R408" s="221"/>
      <c r="S408" s="221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</row>
    <row r="409" spans="1:29" ht="18.75" customHeight="1">
      <c r="A409" s="42"/>
      <c r="B409" s="59" t="s">
        <v>892</v>
      </c>
      <c r="C409" s="113" t="s">
        <v>159</v>
      </c>
      <c r="D409" s="216" t="s">
        <v>183</v>
      </c>
      <c r="E409" s="306">
        <f t="shared" si="1"/>
        <v>0</v>
      </c>
      <c r="F409" s="303"/>
      <c r="G409" s="303"/>
      <c r="H409" s="305"/>
      <c r="I409" s="305"/>
      <c r="J409" s="305"/>
      <c r="K409" s="305"/>
      <c r="L409" s="305"/>
      <c r="M409" s="303"/>
      <c r="N409" s="303"/>
      <c r="O409" s="315"/>
      <c r="P409" s="215"/>
      <c r="Q409" s="292"/>
      <c r="R409" s="221"/>
      <c r="S409" s="221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</row>
    <row r="410" spans="1:29" ht="18.75" customHeight="1">
      <c r="A410" s="101"/>
      <c r="B410" s="53" t="s">
        <v>893</v>
      </c>
      <c r="C410" s="87" t="s">
        <v>894</v>
      </c>
      <c r="D410" s="216" t="s">
        <v>183</v>
      </c>
      <c r="E410" s="306">
        <f t="shared" si="1"/>
        <v>0</v>
      </c>
      <c r="F410" s="303"/>
      <c r="G410" s="303"/>
      <c r="H410" s="305"/>
      <c r="I410" s="305"/>
      <c r="J410" s="305"/>
      <c r="K410" s="305"/>
      <c r="L410" s="305"/>
      <c r="M410" s="303"/>
      <c r="N410" s="303"/>
      <c r="O410" s="315"/>
      <c r="P410" s="215"/>
      <c r="Q410" s="292"/>
      <c r="R410" s="221"/>
      <c r="S410" s="221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</row>
    <row r="411" spans="1:29" ht="18.75" customHeight="1">
      <c r="A411" s="42"/>
      <c r="B411" s="59" t="s">
        <v>896</v>
      </c>
      <c r="C411" s="113" t="s">
        <v>131</v>
      </c>
      <c r="D411" s="216" t="s">
        <v>183</v>
      </c>
      <c r="E411" s="306">
        <f t="shared" si="1"/>
        <v>0</v>
      </c>
      <c r="F411" s="303"/>
      <c r="G411" s="303"/>
      <c r="H411" s="305"/>
      <c r="I411" s="305"/>
      <c r="J411" s="305"/>
      <c r="K411" s="305"/>
      <c r="L411" s="305"/>
      <c r="M411" s="303"/>
      <c r="N411" s="303"/>
      <c r="O411" s="315"/>
      <c r="P411" s="215"/>
      <c r="Q411" s="292"/>
      <c r="R411" s="221"/>
      <c r="S411" s="221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</row>
    <row r="412" spans="1:29" ht="18.75" customHeight="1">
      <c r="A412" s="42"/>
      <c r="B412" s="59" t="s">
        <v>898</v>
      </c>
      <c r="C412" s="113" t="s">
        <v>200</v>
      </c>
      <c r="D412" s="216" t="s">
        <v>183</v>
      </c>
      <c r="E412" s="306">
        <f t="shared" si="1"/>
        <v>0</v>
      </c>
      <c r="F412" s="303"/>
      <c r="G412" s="303"/>
      <c r="H412" s="305"/>
      <c r="I412" s="305"/>
      <c r="J412" s="305"/>
      <c r="K412" s="305"/>
      <c r="L412" s="305"/>
      <c r="M412" s="303"/>
      <c r="N412" s="303"/>
      <c r="O412" s="315"/>
      <c r="P412" s="215"/>
      <c r="Q412" s="292"/>
      <c r="R412" s="221"/>
      <c r="S412" s="221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</row>
    <row r="413" spans="1:29" ht="18.75" customHeight="1">
      <c r="A413" s="42"/>
      <c r="B413" s="59" t="s">
        <v>900</v>
      </c>
      <c r="C413" s="113" t="s">
        <v>203</v>
      </c>
      <c r="D413" s="216" t="s">
        <v>183</v>
      </c>
      <c r="E413" s="306">
        <f t="shared" si="1"/>
        <v>0</v>
      </c>
      <c r="F413" s="303"/>
      <c r="G413" s="303"/>
      <c r="H413" s="305"/>
      <c r="I413" s="305"/>
      <c r="J413" s="305"/>
      <c r="K413" s="305"/>
      <c r="L413" s="305"/>
      <c r="M413" s="303"/>
      <c r="N413" s="303"/>
      <c r="O413" s="315"/>
      <c r="P413" s="215"/>
      <c r="Q413" s="292"/>
      <c r="R413" s="221"/>
      <c r="S413" s="221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</row>
    <row r="414" spans="1:29" ht="18.75" customHeight="1">
      <c r="A414" s="42"/>
      <c r="B414" s="59" t="s">
        <v>902</v>
      </c>
      <c r="C414" s="113" t="s">
        <v>159</v>
      </c>
      <c r="D414" s="216" t="s">
        <v>183</v>
      </c>
      <c r="E414" s="306">
        <f t="shared" si="1"/>
        <v>0</v>
      </c>
      <c r="F414" s="303"/>
      <c r="G414" s="303"/>
      <c r="H414" s="305"/>
      <c r="I414" s="305"/>
      <c r="J414" s="305"/>
      <c r="K414" s="305"/>
      <c r="L414" s="305"/>
      <c r="M414" s="303"/>
      <c r="N414" s="303"/>
      <c r="O414" s="315"/>
      <c r="P414" s="215"/>
      <c r="Q414" s="292"/>
      <c r="R414" s="221"/>
      <c r="S414" s="221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</row>
    <row r="415" spans="1:29" ht="18.75" customHeight="1">
      <c r="A415" s="101"/>
      <c r="B415" s="53" t="s">
        <v>903</v>
      </c>
      <c r="C415" s="87" t="s">
        <v>904</v>
      </c>
      <c r="D415" s="216" t="s">
        <v>183</v>
      </c>
      <c r="E415" s="306">
        <f t="shared" si="1"/>
        <v>0</v>
      </c>
      <c r="F415" s="303"/>
      <c r="G415" s="303"/>
      <c r="H415" s="305"/>
      <c r="I415" s="305"/>
      <c r="J415" s="305"/>
      <c r="K415" s="305"/>
      <c r="L415" s="305"/>
      <c r="M415" s="303"/>
      <c r="N415" s="303"/>
      <c r="O415" s="315"/>
      <c r="P415" s="215"/>
      <c r="Q415" s="292"/>
      <c r="R415" s="221"/>
      <c r="S415" s="221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</row>
    <row r="416" spans="1:29" ht="18.75" customHeight="1">
      <c r="A416" s="42"/>
      <c r="B416" s="59" t="s">
        <v>906</v>
      </c>
      <c r="C416" s="113" t="s">
        <v>131</v>
      </c>
      <c r="D416" s="216" t="s">
        <v>183</v>
      </c>
      <c r="E416" s="306">
        <f t="shared" si="1"/>
        <v>0</v>
      </c>
      <c r="F416" s="303"/>
      <c r="G416" s="303"/>
      <c r="H416" s="305"/>
      <c r="I416" s="305"/>
      <c r="J416" s="305"/>
      <c r="K416" s="305"/>
      <c r="L416" s="305"/>
      <c r="M416" s="303"/>
      <c r="N416" s="303"/>
      <c r="O416" s="315"/>
      <c r="P416" s="215"/>
      <c r="Q416" s="292"/>
      <c r="R416" s="221"/>
      <c r="S416" s="221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</row>
    <row r="417" spans="1:29" ht="18.75" customHeight="1">
      <c r="A417" s="42"/>
      <c r="B417" s="59" t="s">
        <v>908</v>
      </c>
      <c r="C417" s="113" t="s">
        <v>200</v>
      </c>
      <c r="D417" s="216" t="s">
        <v>183</v>
      </c>
      <c r="E417" s="306">
        <f t="shared" si="1"/>
        <v>0</v>
      </c>
      <c r="F417" s="303"/>
      <c r="G417" s="303"/>
      <c r="H417" s="305"/>
      <c r="I417" s="305"/>
      <c r="J417" s="305"/>
      <c r="K417" s="305"/>
      <c r="L417" s="305"/>
      <c r="M417" s="303"/>
      <c r="N417" s="303"/>
      <c r="O417" s="315"/>
      <c r="P417" s="215"/>
      <c r="Q417" s="292"/>
      <c r="R417" s="221"/>
      <c r="S417" s="221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</row>
    <row r="418" spans="1:29" ht="18.75" customHeight="1">
      <c r="A418" s="42"/>
      <c r="B418" s="59" t="s">
        <v>910</v>
      </c>
      <c r="C418" s="113" t="s">
        <v>203</v>
      </c>
      <c r="D418" s="216" t="s">
        <v>183</v>
      </c>
      <c r="E418" s="306">
        <f t="shared" si="1"/>
        <v>0</v>
      </c>
      <c r="F418" s="303"/>
      <c r="G418" s="303"/>
      <c r="H418" s="305"/>
      <c r="I418" s="305"/>
      <c r="J418" s="305"/>
      <c r="K418" s="305"/>
      <c r="L418" s="305"/>
      <c r="M418" s="303"/>
      <c r="N418" s="303"/>
      <c r="O418" s="315"/>
      <c r="P418" s="215"/>
      <c r="Q418" s="292"/>
      <c r="R418" s="221"/>
      <c r="S418" s="221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</row>
    <row r="419" spans="1:29" ht="18.75" customHeight="1">
      <c r="A419" s="42"/>
      <c r="B419" s="59" t="s">
        <v>912</v>
      </c>
      <c r="C419" s="113" t="s">
        <v>159</v>
      </c>
      <c r="D419" s="216" t="s">
        <v>183</v>
      </c>
      <c r="E419" s="306">
        <f t="shared" si="1"/>
        <v>0</v>
      </c>
      <c r="F419" s="303"/>
      <c r="G419" s="303"/>
      <c r="H419" s="305"/>
      <c r="I419" s="305"/>
      <c r="J419" s="305"/>
      <c r="K419" s="305"/>
      <c r="L419" s="305"/>
      <c r="M419" s="303"/>
      <c r="N419" s="303"/>
      <c r="O419" s="315"/>
      <c r="P419" s="215"/>
      <c r="Q419" s="292"/>
      <c r="R419" s="221"/>
      <c r="S419" s="221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</row>
    <row r="420" spans="1:29" ht="18.75" customHeight="1">
      <c r="A420" s="101"/>
      <c r="B420" s="53" t="s">
        <v>913</v>
      </c>
      <c r="C420" s="87" t="s">
        <v>914</v>
      </c>
      <c r="D420" s="216" t="s">
        <v>183</v>
      </c>
      <c r="E420" s="306">
        <f t="shared" si="1"/>
        <v>0</v>
      </c>
      <c r="F420" s="303"/>
      <c r="G420" s="303"/>
      <c r="H420" s="305"/>
      <c r="I420" s="305"/>
      <c r="J420" s="305"/>
      <c r="K420" s="305"/>
      <c r="L420" s="305"/>
      <c r="M420" s="303"/>
      <c r="N420" s="303"/>
      <c r="O420" s="315"/>
      <c r="P420" s="215"/>
      <c r="Q420" s="292"/>
      <c r="R420" s="221"/>
      <c r="S420" s="221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</row>
    <row r="421" spans="1:29" ht="18.75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306">
        <f t="shared" si="1"/>
        <v>0</v>
      </c>
      <c r="F421" s="303"/>
      <c r="G421" s="303"/>
      <c r="H421" s="303"/>
      <c r="I421" s="303"/>
      <c r="J421" s="303"/>
      <c r="K421" s="303"/>
      <c r="L421" s="303"/>
      <c r="M421" s="303"/>
      <c r="N421" s="303"/>
      <c r="O421" s="315"/>
      <c r="P421" s="215"/>
      <c r="Q421" s="292"/>
      <c r="R421" s="221"/>
      <c r="S421" s="221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</row>
    <row r="422" spans="1:29" ht="31.5" customHeight="1">
      <c r="A422" s="101"/>
      <c r="B422" s="53" t="s">
        <v>918</v>
      </c>
      <c r="C422" s="87" t="s">
        <v>919</v>
      </c>
      <c r="D422" s="227" t="s">
        <v>271</v>
      </c>
      <c r="E422" s="306">
        <f t="shared" si="1"/>
        <v>0</v>
      </c>
      <c r="F422" s="303"/>
      <c r="G422" s="303"/>
      <c r="H422" s="303"/>
      <c r="I422" s="303"/>
      <c r="J422" s="303"/>
      <c r="K422" s="303"/>
      <c r="L422" s="303"/>
      <c r="M422" s="303"/>
      <c r="N422" s="303"/>
      <c r="O422" s="316"/>
      <c r="P422" s="215"/>
      <c r="Q422" s="292"/>
      <c r="R422" s="221"/>
      <c r="S422" s="221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</row>
    <row r="423" spans="1:29" ht="18.75" customHeight="1">
      <c r="A423" s="101"/>
      <c r="B423" s="53" t="s">
        <v>920</v>
      </c>
      <c r="C423" s="87" t="s">
        <v>921</v>
      </c>
      <c r="D423" s="227" t="s">
        <v>271</v>
      </c>
      <c r="E423" s="306">
        <f t="shared" si="1"/>
        <v>0</v>
      </c>
      <c r="F423" s="303"/>
      <c r="G423" s="303"/>
      <c r="H423" s="303"/>
      <c r="I423" s="303"/>
      <c r="J423" s="303"/>
      <c r="K423" s="303"/>
      <c r="L423" s="303"/>
      <c r="M423" s="303"/>
      <c r="N423" s="303"/>
      <c r="O423" s="316"/>
      <c r="P423" s="215"/>
      <c r="Q423" s="292"/>
      <c r="R423" s="221"/>
      <c r="S423" s="221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</row>
    <row r="424" spans="1:29" ht="18.75" customHeight="1">
      <c r="A424" s="101"/>
      <c r="B424" s="53" t="s">
        <v>922</v>
      </c>
      <c r="C424" s="87" t="s">
        <v>923</v>
      </c>
      <c r="D424" s="227" t="s">
        <v>122</v>
      </c>
      <c r="E424" s="306">
        <f t="shared" si="1"/>
        <v>0</v>
      </c>
      <c r="F424" s="303"/>
      <c r="G424" s="303"/>
      <c r="H424" s="303"/>
      <c r="I424" s="303"/>
      <c r="J424" s="303"/>
      <c r="K424" s="303"/>
      <c r="L424" s="303"/>
      <c r="M424" s="303"/>
      <c r="N424" s="303"/>
      <c r="O424" s="316"/>
      <c r="P424" s="215"/>
      <c r="Q424" s="292"/>
      <c r="R424" s="221"/>
      <c r="S424" s="221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</row>
    <row r="425" spans="1:29" ht="18.75" customHeight="1">
      <c r="A425" s="101"/>
      <c r="B425" s="53" t="s">
        <v>924</v>
      </c>
      <c r="C425" s="87" t="s">
        <v>925</v>
      </c>
      <c r="D425" s="227" t="s">
        <v>760</v>
      </c>
      <c r="E425" s="306">
        <f t="shared" si="1"/>
        <v>0</v>
      </c>
      <c r="F425" s="303"/>
      <c r="G425" s="303"/>
      <c r="H425" s="303"/>
      <c r="I425" s="303"/>
      <c r="J425" s="303"/>
      <c r="K425" s="303"/>
      <c r="L425" s="303"/>
      <c r="M425" s="303"/>
      <c r="N425" s="303"/>
      <c r="O425" s="316"/>
      <c r="P425" s="215"/>
      <c r="Q425" s="292"/>
      <c r="R425" s="221"/>
      <c r="S425" s="221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</row>
    <row r="426" spans="1:29" ht="31.5" customHeight="1">
      <c r="A426" s="101"/>
      <c r="B426" s="53" t="s">
        <v>927</v>
      </c>
      <c r="C426" s="87" t="s">
        <v>928</v>
      </c>
      <c r="D426" s="216" t="s">
        <v>183</v>
      </c>
      <c r="E426" s="306">
        <f t="shared" si="1"/>
        <v>0</v>
      </c>
      <c r="F426" s="303"/>
      <c r="G426" s="303"/>
      <c r="H426" s="303"/>
      <c r="I426" s="303"/>
      <c r="J426" s="303"/>
      <c r="K426" s="303"/>
      <c r="L426" s="303"/>
      <c r="M426" s="303"/>
      <c r="N426" s="303"/>
      <c r="O426" s="315"/>
      <c r="P426" s="215"/>
      <c r="Q426" s="292"/>
      <c r="R426" s="221"/>
      <c r="S426" s="221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</row>
    <row r="427" spans="1:29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306">
        <f t="shared" si="1"/>
        <v>0</v>
      </c>
      <c r="F427" s="303"/>
      <c r="G427" s="303"/>
      <c r="H427" s="305"/>
      <c r="I427" s="305"/>
      <c r="J427" s="305"/>
      <c r="K427" s="305"/>
      <c r="L427" s="305"/>
      <c r="M427" s="303"/>
      <c r="N427" s="303"/>
      <c r="O427" s="315"/>
      <c r="P427" s="215"/>
      <c r="Q427" s="292"/>
      <c r="R427" s="221"/>
      <c r="S427" s="221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</row>
    <row r="428" spans="1:29" ht="18.75" customHeight="1">
      <c r="A428" s="101"/>
      <c r="B428" s="53" t="s">
        <v>933</v>
      </c>
      <c r="C428" s="87" t="s">
        <v>934</v>
      </c>
      <c r="D428" s="61" t="s">
        <v>132</v>
      </c>
      <c r="E428" s="306">
        <f t="shared" si="1"/>
        <v>0</v>
      </c>
      <c r="F428" s="303"/>
      <c r="G428" s="303"/>
      <c r="H428" s="305"/>
      <c r="I428" s="305"/>
      <c r="J428" s="305"/>
      <c r="K428" s="305"/>
      <c r="L428" s="305"/>
      <c r="M428" s="303"/>
      <c r="N428" s="303"/>
      <c r="O428" s="315"/>
      <c r="P428" s="215"/>
      <c r="Q428" s="292"/>
      <c r="R428" s="221"/>
      <c r="S428" s="221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</row>
    <row r="429" spans="1:29" ht="18.75" customHeight="1">
      <c r="A429" s="42"/>
      <c r="B429" s="59" t="s">
        <v>936</v>
      </c>
      <c r="C429" s="113" t="s">
        <v>131</v>
      </c>
      <c r="D429" s="61" t="s">
        <v>132</v>
      </c>
      <c r="E429" s="306">
        <f t="shared" si="1"/>
        <v>0</v>
      </c>
      <c r="F429" s="303"/>
      <c r="G429" s="303"/>
      <c r="H429" s="305"/>
      <c r="I429" s="305"/>
      <c r="J429" s="305"/>
      <c r="K429" s="305"/>
      <c r="L429" s="305"/>
      <c r="M429" s="303"/>
      <c r="N429" s="303"/>
      <c r="O429" s="315"/>
      <c r="P429" s="215"/>
      <c r="Q429" s="292"/>
      <c r="R429" s="221"/>
      <c r="S429" s="221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</row>
    <row r="430" spans="1:29" ht="18.75" customHeight="1">
      <c r="A430" s="42"/>
      <c r="B430" s="59" t="s">
        <v>937</v>
      </c>
      <c r="C430" s="113" t="s">
        <v>200</v>
      </c>
      <c r="D430" s="61" t="s">
        <v>132</v>
      </c>
      <c r="E430" s="306">
        <f t="shared" si="1"/>
        <v>0</v>
      </c>
      <c r="F430" s="303"/>
      <c r="G430" s="303"/>
      <c r="H430" s="305"/>
      <c r="I430" s="305"/>
      <c r="J430" s="305"/>
      <c r="K430" s="305"/>
      <c r="L430" s="305"/>
      <c r="M430" s="303"/>
      <c r="N430" s="303"/>
      <c r="O430" s="315"/>
      <c r="P430" s="215"/>
      <c r="Q430" s="292"/>
      <c r="R430" s="221"/>
      <c r="S430" s="221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</row>
    <row r="431" spans="1:29" ht="18.75" customHeight="1">
      <c r="A431" s="42"/>
      <c r="B431" s="59" t="s">
        <v>938</v>
      </c>
      <c r="C431" s="113" t="s">
        <v>203</v>
      </c>
      <c r="D431" s="61" t="s">
        <v>132</v>
      </c>
      <c r="E431" s="306">
        <f t="shared" si="1"/>
        <v>0</v>
      </c>
      <c r="F431" s="303"/>
      <c r="G431" s="303"/>
      <c r="H431" s="305"/>
      <c r="I431" s="305"/>
      <c r="J431" s="305"/>
      <c r="K431" s="305"/>
      <c r="L431" s="305"/>
      <c r="M431" s="303"/>
      <c r="N431" s="303"/>
      <c r="O431" s="315"/>
      <c r="P431" s="215"/>
      <c r="Q431" s="292"/>
      <c r="R431" s="221"/>
      <c r="S431" s="22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</row>
    <row r="432" spans="1:29" ht="18.75" customHeight="1">
      <c r="A432" s="42"/>
      <c r="B432" s="59" t="s">
        <v>939</v>
      </c>
      <c r="C432" s="113" t="s">
        <v>159</v>
      </c>
      <c r="D432" s="61" t="s">
        <v>132</v>
      </c>
      <c r="E432" s="306">
        <f t="shared" si="1"/>
        <v>0</v>
      </c>
      <c r="F432" s="303"/>
      <c r="G432" s="303"/>
      <c r="H432" s="305"/>
      <c r="I432" s="305"/>
      <c r="J432" s="305"/>
      <c r="K432" s="305"/>
      <c r="L432" s="305"/>
      <c r="M432" s="303"/>
      <c r="N432" s="303"/>
      <c r="O432" s="315"/>
      <c r="P432" s="215"/>
      <c r="Q432" s="292"/>
      <c r="R432" s="221"/>
      <c r="S432" s="22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</row>
    <row r="433" spans="1:31" ht="18.75" customHeight="1">
      <c r="A433" s="101"/>
      <c r="B433" s="53" t="s">
        <v>940</v>
      </c>
      <c r="C433" s="87" t="s">
        <v>941</v>
      </c>
      <c r="D433" s="61" t="s">
        <v>132</v>
      </c>
      <c r="E433" s="306">
        <f t="shared" si="1"/>
        <v>0</v>
      </c>
      <c r="F433" s="303"/>
      <c r="G433" s="303"/>
      <c r="H433" s="305"/>
      <c r="I433" s="305"/>
      <c r="J433" s="305"/>
      <c r="K433" s="305"/>
      <c r="L433" s="305"/>
      <c r="M433" s="303"/>
      <c r="N433" s="303"/>
      <c r="O433" s="315"/>
      <c r="P433" s="215"/>
      <c r="Q433" s="292"/>
      <c r="R433" s="221"/>
      <c r="S433" s="221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</row>
    <row r="434" spans="1:31" ht="18.75" customHeight="1">
      <c r="A434" s="42"/>
      <c r="B434" s="59" t="s">
        <v>943</v>
      </c>
      <c r="C434" s="113" t="s">
        <v>131</v>
      </c>
      <c r="D434" s="61" t="s">
        <v>132</v>
      </c>
      <c r="E434" s="306">
        <f t="shared" si="1"/>
        <v>0</v>
      </c>
      <c r="F434" s="303"/>
      <c r="G434" s="303"/>
      <c r="H434" s="305"/>
      <c r="I434" s="305"/>
      <c r="J434" s="305"/>
      <c r="K434" s="305"/>
      <c r="L434" s="305"/>
      <c r="M434" s="303"/>
      <c r="N434" s="303"/>
      <c r="O434" s="315"/>
      <c r="P434" s="215"/>
      <c r="Q434" s="292"/>
      <c r="R434" s="221"/>
      <c r="S434" s="221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</row>
    <row r="435" spans="1:31" ht="18.75" customHeight="1">
      <c r="A435" s="42"/>
      <c r="B435" s="59" t="s">
        <v>944</v>
      </c>
      <c r="C435" s="113" t="s">
        <v>200</v>
      </c>
      <c r="D435" s="61" t="s">
        <v>132</v>
      </c>
      <c r="E435" s="306">
        <f t="shared" si="1"/>
        <v>0</v>
      </c>
      <c r="F435" s="303"/>
      <c r="G435" s="303"/>
      <c r="H435" s="305"/>
      <c r="I435" s="305"/>
      <c r="J435" s="305"/>
      <c r="K435" s="305"/>
      <c r="L435" s="305"/>
      <c r="M435" s="303"/>
      <c r="N435" s="303"/>
      <c r="O435" s="315"/>
      <c r="P435" s="215"/>
      <c r="Q435" s="292"/>
      <c r="R435" s="221"/>
      <c r="S435" s="221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</row>
    <row r="436" spans="1:31" ht="18.75" customHeight="1">
      <c r="A436" s="42"/>
      <c r="B436" s="59" t="s">
        <v>945</v>
      </c>
      <c r="C436" s="113" t="s">
        <v>203</v>
      </c>
      <c r="D436" s="61" t="s">
        <v>132</v>
      </c>
      <c r="E436" s="306">
        <f t="shared" si="1"/>
        <v>0</v>
      </c>
      <c r="F436" s="303"/>
      <c r="G436" s="303"/>
      <c r="H436" s="305"/>
      <c r="I436" s="305"/>
      <c r="J436" s="305"/>
      <c r="K436" s="305"/>
      <c r="L436" s="305"/>
      <c r="M436" s="303"/>
      <c r="N436" s="303"/>
      <c r="O436" s="315"/>
      <c r="P436" s="215"/>
      <c r="Q436" s="292"/>
      <c r="R436" s="221"/>
      <c r="S436" s="221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</row>
    <row r="437" spans="1:31" ht="18.75" customHeight="1">
      <c r="A437" s="42"/>
      <c r="B437" s="59" t="s">
        <v>946</v>
      </c>
      <c r="C437" s="113" t="s">
        <v>159</v>
      </c>
      <c r="D437" s="61" t="s">
        <v>132</v>
      </c>
      <c r="E437" s="306">
        <f t="shared" si="1"/>
        <v>0</v>
      </c>
      <c r="F437" s="303"/>
      <c r="G437" s="303"/>
      <c r="H437" s="305"/>
      <c r="I437" s="305"/>
      <c r="J437" s="305"/>
      <c r="K437" s="305"/>
      <c r="L437" s="305"/>
      <c r="M437" s="303"/>
      <c r="N437" s="303"/>
      <c r="O437" s="315"/>
      <c r="P437" s="215"/>
      <c r="Q437" s="292"/>
      <c r="R437" s="221"/>
      <c r="S437" s="221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</row>
    <row r="438" spans="1:31" ht="18.75" customHeight="1">
      <c r="A438" s="101"/>
      <c r="B438" s="53" t="s">
        <v>947</v>
      </c>
      <c r="C438" s="87" t="s">
        <v>948</v>
      </c>
      <c r="D438" s="61" t="s">
        <v>1214</v>
      </c>
      <c r="E438" s="306">
        <f t="shared" si="1"/>
        <v>0</v>
      </c>
      <c r="F438" s="303"/>
      <c r="G438" s="303"/>
      <c r="H438" s="305"/>
      <c r="I438" s="305"/>
      <c r="J438" s="305"/>
      <c r="K438" s="305"/>
      <c r="L438" s="305"/>
      <c r="M438" s="303"/>
      <c r="N438" s="303"/>
      <c r="O438" s="315"/>
      <c r="P438" s="215"/>
      <c r="Q438" s="292"/>
      <c r="R438" s="221"/>
      <c r="S438" s="221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</row>
    <row r="439" spans="1:31" ht="18.75" customHeight="1">
      <c r="A439" s="42"/>
      <c r="B439" s="59" t="s">
        <v>951</v>
      </c>
      <c r="C439" s="113" t="s">
        <v>131</v>
      </c>
      <c r="D439" s="61" t="s">
        <v>1215</v>
      </c>
      <c r="E439" s="306">
        <f t="shared" si="1"/>
        <v>0</v>
      </c>
      <c r="F439" s="303"/>
      <c r="G439" s="303"/>
      <c r="H439" s="305"/>
      <c r="I439" s="305"/>
      <c r="J439" s="305"/>
      <c r="K439" s="305"/>
      <c r="L439" s="305"/>
      <c r="M439" s="303"/>
      <c r="N439" s="303"/>
      <c r="O439" s="315"/>
      <c r="P439" s="215"/>
      <c r="Q439" s="292"/>
      <c r="R439" s="221"/>
      <c r="S439" s="221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</row>
    <row r="440" spans="1:31" ht="18.75" customHeight="1">
      <c r="A440" s="42"/>
      <c r="B440" s="59" t="s">
        <v>953</v>
      </c>
      <c r="C440" s="113" t="s">
        <v>200</v>
      </c>
      <c r="D440" s="61" t="s">
        <v>1216</v>
      </c>
      <c r="E440" s="306">
        <f t="shared" si="1"/>
        <v>0</v>
      </c>
      <c r="F440" s="303"/>
      <c r="G440" s="303"/>
      <c r="H440" s="305"/>
      <c r="I440" s="305"/>
      <c r="J440" s="305"/>
      <c r="K440" s="305"/>
      <c r="L440" s="305"/>
      <c r="M440" s="303"/>
      <c r="N440" s="303"/>
      <c r="O440" s="315"/>
      <c r="P440" s="215"/>
      <c r="Q440" s="292"/>
      <c r="R440" s="221"/>
      <c r="S440" s="221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</row>
    <row r="441" spans="1:31" ht="18.75" customHeight="1">
      <c r="A441" s="42"/>
      <c r="B441" s="59" t="s">
        <v>955</v>
      </c>
      <c r="C441" s="113" t="s">
        <v>203</v>
      </c>
      <c r="D441" s="61" t="s">
        <v>1217</v>
      </c>
      <c r="E441" s="306">
        <f t="shared" si="1"/>
        <v>0</v>
      </c>
      <c r="F441" s="303"/>
      <c r="G441" s="303"/>
      <c r="H441" s="305"/>
      <c r="I441" s="305"/>
      <c r="J441" s="305"/>
      <c r="K441" s="305"/>
      <c r="L441" s="305"/>
      <c r="M441" s="303"/>
      <c r="N441" s="303"/>
      <c r="O441" s="315"/>
      <c r="P441" s="215"/>
      <c r="Q441" s="292"/>
      <c r="R441" s="221"/>
      <c r="S441" s="22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</row>
    <row r="442" spans="1:31" ht="18.75" customHeight="1">
      <c r="A442" s="42"/>
      <c r="B442" s="59" t="s">
        <v>957</v>
      </c>
      <c r="C442" s="113" t="s">
        <v>159</v>
      </c>
      <c r="D442" s="61" t="s">
        <v>1218</v>
      </c>
      <c r="E442" s="306">
        <f t="shared" si="1"/>
        <v>0</v>
      </c>
      <c r="F442" s="303"/>
      <c r="G442" s="303"/>
      <c r="H442" s="305"/>
      <c r="I442" s="305"/>
      <c r="J442" s="305"/>
      <c r="K442" s="305"/>
      <c r="L442" s="305"/>
      <c r="M442" s="303"/>
      <c r="N442" s="303"/>
      <c r="O442" s="315"/>
      <c r="P442" s="215"/>
      <c r="Q442" s="292"/>
      <c r="R442" s="221"/>
      <c r="S442" s="221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</row>
    <row r="443" spans="1:31" ht="47.25" customHeight="1">
      <c r="A443" s="101"/>
      <c r="B443" s="53" t="s">
        <v>959</v>
      </c>
      <c r="C443" s="87" t="s">
        <v>960</v>
      </c>
      <c r="D443" s="61" t="s">
        <v>132</v>
      </c>
      <c r="E443" s="306">
        <f t="shared" si="1"/>
        <v>0</v>
      </c>
      <c r="F443" s="303"/>
      <c r="G443" s="303"/>
      <c r="H443" s="305"/>
      <c r="I443" s="305"/>
      <c r="J443" s="305"/>
      <c r="K443" s="305"/>
      <c r="L443" s="305"/>
      <c r="M443" s="303"/>
      <c r="N443" s="303"/>
      <c r="O443" s="315"/>
      <c r="P443" s="215"/>
      <c r="Q443" s="292"/>
      <c r="R443" s="221"/>
      <c r="S443" s="221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</row>
    <row r="444" spans="1:31" ht="21.75" customHeight="1">
      <c r="A444" s="101"/>
      <c r="B444" s="53" t="s">
        <v>962</v>
      </c>
      <c r="C444" s="228" t="s">
        <v>963</v>
      </c>
      <c r="D444" s="216" t="s">
        <v>424</v>
      </c>
      <c r="E444" s="306">
        <f t="shared" si="1"/>
        <v>0</v>
      </c>
      <c r="F444" s="303"/>
      <c r="G444" s="303"/>
      <c r="H444" s="305"/>
      <c r="I444" s="305"/>
      <c r="J444" s="305"/>
      <c r="K444" s="305"/>
      <c r="L444" s="305"/>
      <c r="M444" s="303"/>
      <c r="N444" s="303"/>
      <c r="O444" s="315"/>
      <c r="P444" s="215"/>
      <c r="Q444" s="292"/>
      <c r="R444" s="221"/>
      <c r="S444" s="221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</row>
    <row r="445" spans="1:31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306">
        <f t="shared" si="1"/>
        <v>0</v>
      </c>
      <c r="F445" s="303"/>
      <c r="G445" s="303"/>
      <c r="H445" s="305"/>
      <c r="I445" s="305"/>
      <c r="J445" s="305"/>
      <c r="K445" s="305"/>
      <c r="L445" s="305"/>
      <c r="M445" s="303"/>
      <c r="N445" s="303"/>
      <c r="O445" s="315"/>
      <c r="P445" s="215"/>
      <c r="Q445" s="292"/>
      <c r="R445" s="221"/>
      <c r="S445" s="221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</row>
    <row r="446" spans="1:31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306">
        <f t="shared" si="1"/>
        <v>0</v>
      </c>
      <c r="F446" s="303"/>
      <c r="G446" s="303"/>
      <c r="H446" s="305"/>
      <c r="I446" s="305"/>
      <c r="J446" s="305"/>
      <c r="K446" s="305"/>
      <c r="L446" s="305"/>
      <c r="M446" s="303"/>
      <c r="N446" s="303"/>
      <c r="O446" s="315"/>
      <c r="P446" s="215"/>
      <c r="Q446" s="292"/>
      <c r="R446" s="221"/>
      <c r="S446" s="221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</row>
    <row r="447" spans="1:31" ht="18.75" customHeight="1">
      <c r="A447" s="101"/>
      <c r="B447" s="773" t="s">
        <v>969</v>
      </c>
      <c r="C447" s="771"/>
      <c r="D447" s="229" t="s">
        <v>183</v>
      </c>
      <c r="E447" s="306">
        <f t="shared" si="1"/>
        <v>0</v>
      </c>
      <c r="F447" s="317"/>
      <c r="G447" s="317"/>
      <c r="H447" s="318"/>
      <c r="I447" s="318"/>
      <c r="J447" s="318"/>
      <c r="K447" s="318"/>
      <c r="L447" s="318"/>
      <c r="M447" s="317"/>
      <c r="N447" s="317"/>
      <c r="O447" s="204"/>
      <c r="P447" s="204"/>
      <c r="Q447" s="204"/>
      <c r="R447" s="310"/>
      <c r="S447" s="310"/>
      <c r="T447" s="277"/>
      <c r="U447" s="277"/>
      <c r="V447" s="277"/>
      <c r="W447" s="277"/>
      <c r="X447" s="277"/>
      <c r="Y447" s="277"/>
      <c r="Z447" s="277"/>
      <c r="AA447" s="277"/>
      <c r="AB447" s="277"/>
      <c r="AC447" s="277"/>
      <c r="AD447" s="319"/>
      <c r="AE447" s="319"/>
    </row>
    <row r="448" spans="1:31" ht="15.75" customHeight="1">
      <c r="A448" s="177"/>
      <c r="B448" s="239"/>
      <c r="C448" s="260"/>
      <c r="D448" s="278"/>
      <c r="E448" s="260"/>
      <c r="F448" s="239"/>
      <c r="G448" s="239"/>
      <c r="H448" s="239"/>
      <c r="I448" s="239"/>
      <c r="J448" s="239"/>
      <c r="K448" s="239"/>
      <c r="L448" s="240"/>
      <c r="M448" s="239"/>
      <c r="N448" s="239"/>
      <c r="O448" s="239"/>
      <c r="P448" s="239"/>
      <c r="Q448" s="239"/>
      <c r="R448" s="239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167"/>
    </row>
    <row r="449" spans="1:29" ht="15.75" customHeight="1">
      <c r="A449" s="177"/>
      <c r="B449" s="239"/>
      <c r="C449" s="241" t="s">
        <v>12</v>
      </c>
      <c r="D449" s="242">
        <f>COUNTIF($D$11:$FM$11,"Hà Giang")</f>
        <v>0</v>
      </c>
      <c r="E449" s="260"/>
      <c r="F449" s="239"/>
      <c r="G449" s="239"/>
      <c r="H449" s="239"/>
      <c r="I449" s="239"/>
      <c r="J449" s="239"/>
      <c r="K449" s="239"/>
      <c r="L449" s="240"/>
      <c r="M449" s="239"/>
      <c r="N449" s="239"/>
      <c r="O449" s="239"/>
      <c r="P449" s="239"/>
      <c r="Q449" s="239"/>
      <c r="R449" s="239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167"/>
    </row>
    <row r="450" spans="1:29" ht="15.75" customHeight="1">
      <c r="A450" s="177"/>
      <c r="B450" s="239"/>
      <c r="C450" s="241" t="s">
        <v>14</v>
      </c>
      <c r="D450" s="242">
        <f>COUNTIF($D$11:$FM$11,"Lào Cai")</f>
        <v>0</v>
      </c>
      <c r="E450" s="260"/>
      <c r="F450" s="239"/>
      <c r="G450" s="239"/>
      <c r="H450" s="239"/>
      <c r="I450" s="239"/>
      <c r="J450" s="239"/>
      <c r="K450" s="239"/>
      <c r="L450" s="240"/>
      <c r="M450" s="239"/>
      <c r="N450" s="239"/>
      <c r="O450" s="239"/>
      <c r="P450" s="239"/>
      <c r="Q450" s="239"/>
      <c r="R450" s="239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167"/>
    </row>
    <row r="451" spans="1:29" ht="15.75" customHeight="1">
      <c r="A451" s="177"/>
      <c r="B451" s="239"/>
      <c r="C451" s="241" t="s">
        <v>23</v>
      </c>
      <c r="D451" s="242">
        <f>COUNTIF($D$11:$FM$11,"Lai Châu")</f>
        <v>0</v>
      </c>
      <c r="E451" s="260"/>
      <c r="F451" s="239"/>
      <c r="G451" s="239"/>
      <c r="H451" s="239"/>
      <c r="I451" s="239"/>
      <c r="J451" s="239"/>
      <c r="K451" s="239"/>
      <c r="L451" s="240"/>
      <c r="M451" s="239"/>
      <c r="N451" s="239"/>
      <c r="O451" s="239"/>
      <c r="P451" s="239"/>
      <c r="Q451" s="239"/>
      <c r="R451" s="239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167"/>
    </row>
    <row r="452" spans="1:29" ht="15.75" customHeight="1">
      <c r="A452" s="177"/>
      <c r="B452" s="239"/>
      <c r="C452" s="243" t="s">
        <v>17</v>
      </c>
      <c r="D452" s="242">
        <f>COUNTIF($D$11:$FM$11,"Điện Biên")</f>
        <v>0</v>
      </c>
      <c r="E452" s="260"/>
      <c r="F452" s="239"/>
      <c r="G452" s="239"/>
      <c r="H452" s="239"/>
      <c r="I452" s="239"/>
      <c r="J452" s="239"/>
      <c r="K452" s="239"/>
      <c r="L452" s="240"/>
      <c r="M452" s="239"/>
      <c r="N452" s="239"/>
      <c r="O452" s="239"/>
      <c r="P452" s="239"/>
      <c r="Q452" s="239"/>
      <c r="R452" s="239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167"/>
    </row>
    <row r="453" spans="1:29" ht="15.75" customHeight="1">
      <c r="A453" s="177"/>
      <c r="B453" s="239"/>
      <c r="C453" s="243" t="s">
        <v>16</v>
      </c>
      <c r="D453" s="242">
        <f>COUNTIF($D$11:$FM$11,"Lạng Sơn")</f>
        <v>0</v>
      </c>
      <c r="E453" s="260"/>
      <c r="F453" s="239"/>
      <c r="G453" s="239"/>
      <c r="H453" s="239"/>
      <c r="I453" s="239"/>
      <c r="J453" s="239"/>
      <c r="K453" s="239"/>
      <c r="L453" s="240"/>
      <c r="M453" s="239"/>
      <c r="N453" s="239"/>
      <c r="O453" s="239"/>
      <c r="P453" s="239"/>
      <c r="Q453" s="239"/>
      <c r="R453" s="239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167"/>
    </row>
    <row r="454" spans="1:29" ht="15.75" customHeight="1">
      <c r="A454" s="177"/>
      <c r="B454" s="239"/>
      <c r="C454" s="243" t="s">
        <v>13</v>
      </c>
      <c r="D454" s="242">
        <f>COUNTIF($D$11:$FM$11,"Cao Bằng")</f>
        <v>0</v>
      </c>
      <c r="E454" s="260"/>
      <c r="F454" s="239"/>
      <c r="G454" s="239"/>
      <c r="H454" s="239"/>
      <c r="I454" s="239"/>
      <c r="J454" s="239"/>
      <c r="K454" s="239"/>
      <c r="L454" s="240"/>
      <c r="M454" s="239"/>
      <c r="N454" s="239"/>
      <c r="O454" s="239"/>
      <c r="P454" s="239"/>
      <c r="Q454" s="239"/>
      <c r="R454" s="239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167"/>
    </row>
    <row r="455" spans="1:29" ht="15.75" customHeight="1">
      <c r="A455" s="177"/>
      <c r="B455" s="239"/>
      <c r="C455" s="243" t="s">
        <v>1090</v>
      </c>
      <c r="D455" s="242">
        <f>COUNTIF($D$11:$FM$11,"Sơn La")</f>
        <v>0</v>
      </c>
      <c r="E455" s="260"/>
      <c r="F455" s="239"/>
      <c r="G455" s="239"/>
      <c r="H455" s="239"/>
      <c r="I455" s="239"/>
      <c r="J455" s="239"/>
      <c r="K455" s="239"/>
      <c r="L455" s="240"/>
      <c r="M455" s="239"/>
      <c r="N455" s="239"/>
      <c r="O455" s="239"/>
      <c r="P455" s="239"/>
      <c r="Q455" s="239"/>
      <c r="R455" s="239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167"/>
    </row>
    <row r="456" spans="1:29" ht="15.75" customHeight="1">
      <c r="A456" s="177"/>
      <c r="B456" s="239"/>
      <c r="C456" s="243" t="s">
        <v>19</v>
      </c>
      <c r="D456" s="242">
        <f>COUNTIF($D$11:$FM$11,"Yên Bái")</f>
        <v>0</v>
      </c>
      <c r="E456" s="260"/>
      <c r="F456" s="239"/>
      <c r="G456" s="239"/>
      <c r="H456" s="239"/>
      <c r="I456" s="239"/>
      <c r="J456" s="239"/>
      <c r="K456" s="239"/>
      <c r="L456" s="240"/>
      <c r="M456" s="239"/>
      <c r="N456" s="239"/>
      <c r="O456" s="239"/>
      <c r="P456" s="239"/>
      <c r="Q456" s="239"/>
      <c r="R456" s="239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167"/>
    </row>
    <row r="457" spans="1:29" ht="15.75" customHeight="1">
      <c r="A457" s="177"/>
      <c r="B457" s="239"/>
      <c r="C457" s="243" t="s">
        <v>18</v>
      </c>
      <c r="D457" s="242">
        <f>COUNTIF($D$11:$FM$11,"Tuyên Quang")</f>
        <v>0</v>
      </c>
      <c r="E457" s="260"/>
      <c r="F457" s="239"/>
      <c r="G457" s="239"/>
      <c r="H457" s="239"/>
      <c r="I457" s="239"/>
      <c r="J457" s="239"/>
      <c r="K457" s="239"/>
      <c r="L457" s="240"/>
      <c r="M457" s="239"/>
      <c r="N457" s="239"/>
      <c r="O457" s="239"/>
      <c r="P457" s="239"/>
      <c r="Q457" s="239"/>
      <c r="R457" s="239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167"/>
    </row>
    <row r="458" spans="1:29" ht="15.75" customHeight="1">
      <c r="A458" s="177"/>
      <c r="B458" s="239"/>
      <c r="C458" s="243" t="s">
        <v>1091</v>
      </c>
      <c r="D458" s="242">
        <f>COUNTIF($D$11:$FM$11,"Thái Nguyên")</f>
        <v>0</v>
      </c>
      <c r="E458" s="260"/>
      <c r="F458" s="239"/>
      <c r="G458" s="239"/>
      <c r="H458" s="239"/>
      <c r="I458" s="239"/>
      <c r="J458" s="239"/>
      <c r="K458" s="239"/>
      <c r="L458" s="240"/>
      <c r="M458" s="239"/>
      <c r="N458" s="239"/>
      <c r="O458" s="239"/>
      <c r="P458" s="239"/>
      <c r="Q458" s="239"/>
      <c r="R458" s="239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167"/>
    </row>
    <row r="459" spans="1:29" ht="15.75" customHeight="1">
      <c r="A459" s="177"/>
      <c r="B459" s="239"/>
      <c r="C459" s="243" t="s">
        <v>15</v>
      </c>
      <c r="D459" s="242">
        <f>COUNTIF($D$11:$FM$11,"Bắc Kạn")</f>
        <v>0</v>
      </c>
      <c r="E459" s="260"/>
      <c r="F459" s="239"/>
      <c r="G459" s="239"/>
      <c r="H459" s="239"/>
      <c r="I459" s="239"/>
      <c r="J459" s="239"/>
      <c r="K459" s="239"/>
      <c r="L459" s="240"/>
      <c r="M459" s="239"/>
      <c r="N459" s="239"/>
      <c r="O459" s="239"/>
      <c r="P459" s="239"/>
      <c r="Q459" s="239"/>
      <c r="R459" s="239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167"/>
    </row>
    <row r="460" spans="1:29" ht="15.75" customHeight="1">
      <c r="A460" s="177"/>
      <c r="B460" s="239"/>
      <c r="C460" s="243" t="s">
        <v>25</v>
      </c>
      <c r="D460" s="242">
        <f>COUNTIF($D$11:$FM$11,"Hoà Bình")</f>
        <v>0</v>
      </c>
      <c r="E460" s="260"/>
      <c r="F460" s="239"/>
      <c r="G460" s="239"/>
      <c r="H460" s="239"/>
      <c r="I460" s="239"/>
      <c r="J460" s="239"/>
      <c r="K460" s="239"/>
      <c r="L460" s="240"/>
      <c r="M460" s="239"/>
      <c r="N460" s="239"/>
      <c r="O460" s="239"/>
      <c r="P460" s="239"/>
      <c r="Q460" s="239"/>
      <c r="R460" s="239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167"/>
    </row>
    <row r="461" spans="1:29" ht="15.75" customHeight="1">
      <c r="A461" s="177"/>
      <c r="B461" s="239"/>
      <c r="C461" s="243" t="s">
        <v>1092</v>
      </c>
      <c r="D461" s="242">
        <f>COUNTIF($D$11:$FM$11,"Bắc Giang")</f>
        <v>0</v>
      </c>
      <c r="E461" s="260"/>
      <c r="F461" s="239"/>
      <c r="G461" s="239"/>
      <c r="H461" s="239"/>
      <c r="I461" s="239"/>
      <c r="J461" s="239"/>
      <c r="K461" s="239"/>
      <c r="L461" s="240"/>
      <c r="M461" s="239"/>
      <c r="N461" s="239"/>
      <c r="O461" s="239"/>
      <c r="P461" s="239"/>
      <c r="Q461" s="239"/>
      <c r="R461" s="239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167"/>
    </row>
    <row r="462" spans="1:29" ht="15.75" customHeight="1">
      <c r="A462" s="177"/>
      <c r="B462" s="239"/>
      <c r="C462" s="243" t="s">
        <v>28</v>
      </c>
      <c r="D462" s="242">
        <f>COUNTIF($D$11:$FM$11,"Quảng Ninh")</f>
        <v>0</v>
      </c>
      <c r="E462" s="260"/>
      <c r="F462" s="239"/>
      <c r="G462" s="239"/>
      <c r="H462" s="239"/>
      <c r="I462" s="239"/>
      <c r="J462" s="239"/>
      <c r="K462" s="239"/>
      <c r="L462" s="240"/>
      <c r="M462" s="239"/>
      <c r="N462" s="239"/>
      <c r="O462" s="239"/>
      <c r="P462" s="239"/>
      <c r="Q462" s="239"/>
      <c r="R462" s="239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167"/>
    </row>
    <row r="463" spans="1:29" ht="15.75" customHeight="1">
      <c r="A463" s="177"/>
      <c r="B463" s="239"/>
      <c r="C463" s="243" t="s">
        <v>26</v>
      </c>
      <c r="D463" s="242">
        <f>COUNTIF($D$11:$FM$11,"Hà Nội")</f>
        <v>0</v>
      </c>
      <c r="E463" s="260"/>
      <c r="F463" s="239"/>
      <c r="G463" s="239"/>
      <c r="H463" s="239"/>
      <c r="I463" s="239"/>
      <c r="J463" s="239"/>
      <c r="K463" s="239"/>
      <c r="L463" s="240"/>
      <c r="M463" s="239"/>
      <c r="N463" s="239"/>
      <c r="O463" s="239"/>
      <c r="P463" s="239"/>
      <c r="Q463" s="239"/>
      <c r="R463" s="239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167"/>
    </row>
    <row r="464" spans="1:29" ht="15.75" customHeight="1">
      <c r="A464" s="177"/>
      <c r="B464" s="239"/>
      <c r="C464" s="243" t="s">
        <v>21</v>
      </c>
      <c r="D464" s="242">
        <f>COUNTIF($D$11:$FM$11,"Phú Thọ")</f>
        <v>0</v>
      </c>
      <c r="E464" s="260"/>
      <c r="F464" s="239"/>
      <c r="G464" s="239"/>
      <c r="H464" s="239"/>
      <c r="I464" s="239"/>
      <c r="J464" s="239"/>
      <c r="K464" s="239"/>
      <c r="L464" s="240"/>
      <c r="M464" s="239"/>
      <c r="N464" s="239"/>
      <c r="O464" s="239"/>
      <c r="P464" s="239"/>
      <c r="Q464" s="239"/>
      <c r="R464" s="239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167"/>
    </row>
    <row r="465" spans="1:29" ht="15.75" customHeight="1">
      <c r="A465" s="177"/>
      <c r="B465" s="239"/>
      <c r="C465" s="243" t="s">
        <v>1093</v>
      </c>
      <c r="D465" s="242">
        <f>COUNTIF($D$11:$FM$11,"Vĩnh Phúc")</f>
        <v>0</v>
      </c>
      <c r="E465" s="260"/>
      <c r="F465" s="239"/>
      <c r="G465" s="239"/>
      <c r="H465" s="239"/>
      <c r="I465" s="239"/>
      <c r="J465" s="239"/>
      <c r="K465" s="239"/>
      <c r="L465" s="240"/>
      <c r="M465" s="239"/>
      <c r="N465" s="239"/>
      <c r="O465" s="239"/>
      <c r="P465" s="239"/>
      <c r="Q465" s="239"/>
      <c r="R465" s="239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167"/>
    </row>
    <row r="466" spans="1:29" ht="15.75" customHeight="1">
      <c r="A466" s="177"/>
      <c r="B466" s="239"/>
      <c r="C466" s="243" t="s">
        <v>32</v>
      </c>
      <c r="D466" s="242">
        <f>COUNTIF($D$11:$FM$11,"Bắc Ninh")</f>
        <v>0</v>
      </c>
      <c r="E466" s="260"/>
      <c r="F466" s="239"/>
      <c r="G466" s="239"/>
      <c r="H466" s="239"/>
      <c r="I466" s="239"/>
      <c r="J466" s="239"/>
      <c r="K466" s="239"/>
      <c r="L466" s="240"/>
      <c r="M466" s="239"/>
      <c r="N466" s="239"/>
      <c r="O466" s="239"/>
      <c r="P466" s="239"/>
      <c r="Q466" s="239"/>
      <c r="R466" s="239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167"/>
    </row>
    <row r="467" spans="1:29" ht="15.75" customHeight="1">
      <c r="A467" s="177"/>
      <c r="B467" s="239"/>
      <c r="C467" s="243" t="s">
        <v>29</v>
      </c>
      <c r="D467" s="242">
        <f>COUNTIF($D$11:$FM$11,"Hải Dương")</f>
        <v>0</v>
      </c>
      <c r="E467" s="260"/>
      <c r="F467" s="239"/>
      <c r="G467" s="239"/>
      <c r="H467" s="239"/>
      <c r="I467" s="239"/>
      <c r="J467" s="239"/>
      <c r="K467" s="239"/>
      <c r="L467" s="240"/>
      <c r="M467" s="239"/>
      <c r="N467" s="239"/>
      <c r="O467" s="239"/>
      <c r="P467" s="239"/>
      <c r="Q467" s="239"/>
      <c r="R467" s="239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167"/>
    </row>
    <row r="468" spans="1:29" ht="15.75" customHeight="1">
      <c r="A468" s="177"/>
      <c r="B468" s="239"/>
      <c r="C468" s="243" t="s">
        <v>30</v>
      </c>
      <c r="D468" s="242">
        <f>COUNTIF($D$11:$FM$11,"Hưng Yên")</f>
        <v>0</v>
      </c>
      <c r="E468" s="260"/>
      <c r="F468" s="239"/>
      <c r="G468" s="239"/>
      <c r="H468" s="239"/>
      <c r="I468" s="239"/>
      <c r="J468" s="239"/>
      <c r="K468" s="239"/>
      <c r="L468" s="240"/>
      <c r="M468" s="239"/>
      <c r="N468" s="239"/>
      <c r="O468" s="239"/>
      <c r="P468" s="239"/>
      <c r="Q468" s="239"/>
      <c r="R468" s="239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167"/>
    </row>
    <row r="469" spans="1:29" ht="15.75" customHeight="1">
      <c r="A469" s="177"/>
      <c r="B469" s="239"/>
      <c r="C469" s="243" t="s">
        <v>27</v>
      </c>
      <c r="D469" s="242">
        <f>COUNTIF($D$11:$FM$11,"Hải Phòng")</f>
        <v>0</v>
      </c>
      <c r="E469" s="260"/>
      <c r="F469" s="239"/>
      <c r="G469" s="239"/>
      <c r="H469" s="239"/>
      <c r="I469" s="239"/>
      <c r="J469" s="239"/>
      <c r="K469" s="239"/>
      <c r="L469" s="240"/>
      <c r="M469" s="239"/>
      <c r="N469" s="239"/>
      <c r="O469" s="239"/>
      <c r="P469" s="239"/>
      <c r="Q469" s="239"/>
      <c r="R469" s="239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167"/>
    </row>
    <row r="470" spans="1:29" ht="15.75" customHeight="1">
      <c r="A470" s="177"/>
      <c r="B470" s="239"/>
      <c r="C470" s="243" t="s">
        <v>33</v>
      </c>
      <c r="D470" s="242">
        <f>COUNTIF($D$11:$FM$11,"Hà Nam")</f>
        <v>0</v>
      </c>
      <c r="E470" s="260"/>
      <c r="F470" s="239"/>
      <c r="G470" s="239"/>
      <c r="H470" s="239"/>
      <c r="I470" s="239"/>
      <c r="J470" s="239"/>
      <c r="K470" s="239"/>
      <c r="L470" s="240"/>
      <c r="M470" s="239"/>
      <c r="N470" s="239"/>
      <c r="O470" s="239"/>
      <c r="P470" s="239"/>
      <c r="Q470" s="239"/>
      <c r="R470" s="239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167"/>
    </row>
    <row r="471" spans="1:29" ht="15.75" customHeight="1">
      <c r="A471" s="177"/>
      <c r="B471" s="239"/>
      <c r="C471" s="243" t="s">
        <v>36</v>
      </c>
      <c r="D471" s="242">
        <f>COUNTIF($D$11:$FM$11,"Nam Định")</f>
        <v>0</v>
      </c>
      <c r="E471" s="260"/>
      <c r="F471" s="239"/>
      <c r="G471" s="239"/>
      <c r="H471" s="239"/>
      <c r="I471" s="239"/>
      <c r="J471" s="239"/>
      <c r="K471" s="239"/>
      <c r="L471" s="240"/>
      <c r="M471" s="239"/>
      <c r="N471" s="239"/>
      <c r="O471" s="239"/>
      <c r="P471" s="239"/>
      <c r="Q471" s="239"/>
      <c r="R471" s="239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167"/>
    </row>
    <row r="472" spans="1:29" ht="15.75" customHeight="1">
      <c r="A472" s="177"/>
      <c r="B472" s="239"/>
      <c r="C472" s="243" t="s">
        <v>1094</v>
      </c>
      <c r="D472" s="242">
        <f>COUNTIF($D$11:$FM$11,"Thái Bình")</f>
        <v>0</v>
      </c>
      <c r="E472" s="260"/>
      <c r="F472" s="239"/>
      <c r="G472" s="239"/>
      <c r="H472" s="239"/>
      <c r="I472" s="239"/>
      <c r="J472" s="239"/>
      <c r="K472" s="239"/>
      <c r="L472" s="240"/>
      <c r="M472" s="239"/>
      <c r="N472" s="239"/>
      <c r="O472" s="239"/>
      <c r="P472" s="239"/>
      <c r="Q472" s="239"/>
      <c r="R472" s="239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167"/>
    </row>
    <row r="473" spans="1:29" ht="15.75" customHeight="1">
      <c r="A473" s="177"/>
      <c r="B473" s="239"/>
      <c r="C473" s="243" t="s">
        <v>34</v>
      </c>
      <c r="D473" s="242">
        <f>COUNTIF($D$11:$FM$11,"Ninh Bình")</f>
        <v>0</v>
      </c>
      <c r="E473" s="260"/>
      <c r="F473" s="239"/>
      <c r="G473" s="239"/>
      <c r="H473" s="239"/>
      <c r="I473" s="239"/>
      <c r="J473" s="239"/>
      <c r="K473" s="239"/>
      <c r="L473" s="240"/>
      <c r="M473" s="239"/>
      <c r="N473" s="239"/>
      <c r="O473" s="239"/>
      <c r="P473" s="239"/>
      <c r="Q473" s="239"/>
      <c r="R473" s="239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167"/>
    </row>
    <row r="474" spans="1:29" ht="15.75" customHeight="1">
      <c r="A474" s="177"/>
      <c r="B474" s="239"/>
      <c r="C474" s="243" t="s">
        <v>37</v>
      </c>
      <c r="D474" s="242">
        <f>COUNTIF($D$11:$FM$11,"Thanh Hoá")</f>
        <v>0</v>
      </c>
      <c r="E474" s="260"/>
      <c r="F474" s="239"/>
      <c r="G474" s="239"/>
      <c r="H474" s="239"/>
      <c r="I474" s="239"/>
      <c r="J474" s="239"/>
      <c r="K474" s="239"/>
      <c r="L474" s="240"/>
      <c r="M474" s="239"/>
      <c r="N474" s="239"/>
      <c r="O474" s="239"/>
      <c r="P474" s="239"/>
      <c r="Q474" s="239"/>
      <c r="R474" s="239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167"/>
    </row>
    <row r="475" spans="1:29" ht="15.75" customHeight="1">
      <c r="A475" s="177"/>
      <c r="B475" s="239"/>
      <c r="C475" s="243" t="s">
        <v>1095</v>
      </c>
      <c r="D475" s="242">
        <f>COUNTIF($D$11:$FM$11,"Nghệ An")</f>
        <v>0</v>
      </c>
      <c r="E475" s="260"/>
      <c r="F475" s="239"/>
      <c r="G475" s="239"/>
      <c r="H475" s="239"/>
      <c r="I475" s="239"/>
      <c r="J475" s="239"/>
      <c r="K475" s="239"/>
      <c r="L475" s="240"/>
      <c r="M475" s="239"/>
      <c r="N475" s="239"/>
      <c r="O475" s="239"/>
      <c r="P475" s="239"/>
      <c r="Q475" s="239"/>
      <c r="R475" s="239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167"/>
    </row>
    <row r="476" spans="1:29" ht="15.75" customHeight="1">
      <c r="A476" s="177"/>
      <c r="B476" s="239"/>
      <c r="C476" s="243" t="s">
        <v>1096</v>
      </c>
      <c r="D476" s="242">
        <f>COUNTIF($D$11:$FM$11,"Hà Tĩnh")</f>
        <v>0</v>
      </c>
      <c r="E476" s="260"/>
      <c r="F476" s="239"/>
      <c r="G476" s="239"/>
      <c r="H476" s="239"/>
      <c r="I476" s="239"/>
      <c r="J476" s="239"/>
      <c r="K476" s="239"/>
      <c r="L476" s="240"/>
      <c r="M476" s="239"/>
      <c r="N476" s="239"/>
      <c r="O476" s="239"/>
      <c r="P476" s="239"/>
      <c r="Q476" s="239"/>
      <c r="R476" s="239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167"/>
    </row>
    <row r="477" spans="1:29" ht="15.75" customHeight="1">
      <c r="A477" s="177"/>
      <c r="B477" s="239"/>
      <c r="C477" s="243" t="s">
        <v>1097</v>
      </c>
      <c r="D477" s="242">
        <f>COUNTIF($D$11:$FM$11,"Quảng Bình")</f>
        <v>0</v>
      </c>
      <c r="E477" s="260"/>
      <c r="F477" s="239"/>
      <c r="G477" s="239"/>
      <c r="H477" s="239"/>
      <c r="I477" s="239"/>
      <c r="J477" s="239"/>
      <c r="K477" s="239"/>
      <c r="L477" s="240"/>
      <c r="M477" s="239"/>
      <c r="N477" s="239"/>
      <c r="O477" s="239"/>
      <c r="P477" s="239"/>
      <c r="Q477" s="239"/>
      <c r="R477" s="239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167"/>
    </row>
    <row r="478" spans="1:29" ht="15.75" customHeight="1">
      <c r="A478" s="177"/>
      <c r="B478" s="239"/>
      <c r="C478" s="243" t="s">
        <v>1098</v>
      </c>
      <c r="D478" s="242">
        <f>COUNTIF($D$11:$FM$11,"Quảng Trị")</f>
        <v>0</v>
      </c>
      <c r="E478" s="260"/>
      <c r="F478" s="239"/>
      <c r="G478" s="239"/>
      <c r="H478" s="239"/>
      <c r="I478" s="239"/>
      <c r="J478" s="239"/>
      <c r="K478" s="239"/>
      <c r="L478" s="240"/>
      <c r="M478" s="239"/>
      <c r="N478" s="239"/>
      <c r="O478" s="239"/>
      <c r="P478" s="239"/>
      <c r="Q478" s="239"/>
      <c r="R478" s="239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167"/>
    </row>
    <row r="479" spans="1:29" ht="15.75" customHeight="1">
      <c r="A479" s="177"/>
      <c r="B479" s="239"/>
      <c r="C479" s="243" t="s">
        <v>1099</v>
      </c>
      <c r="D479" s="242">
        <f>COUNTIF($D$11:$FM$11,"Thừa Thiên Huế")</f>
        <v>0</v>
      </c>
      <c r="E479" s="260"/>
      <c r="F479" s="239"/>
      <c r="G479" s="239"/>
      <c r="H479" s="239"/>
      <c r="I479" s="239"/>
      <c r="J479" s="239"/>
      <c r="K479" s="239"/>
      <c r="L479" s="240"/>
      <c r="M479" s="239"/>
      <c r="N479" s="239"/>
      <c r="O479" s="239"/>
      <c r="P479" s="239"/>
      <c r="Q479" s="239"/>
      <c r="R479" s="239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167"/>
    </row>
    <row r="480" spans="1:29" ht="15.75" customHeight="1">
      <c r="A480" s="177"/>
      <c r="B480" s="239"/>
      <c r="C480" s="243" t="s">
        <v>1100</v>
      </c>
      <c r="D480" s="242">
        <f>COUNTIF($D$11:$FM$11,"Đà Nẵng")</f>
        <v>0</v>
      </c>
      <c r="E480" s="260"/>
      <c r="F480" s="239"/>
      <c r="G480" s="239"/>
      <c r="H480" s="239"/>
      <c r="I480" s="239"/>
      <c r="J480" s="239"/>
      <c r="K480" s="239"/>
      <c r="L480" s="240"/>
      <c r="M480" s="239"/>
      <c r="N480" s="239"/>
      <c r="O480" s="239"/>
      <c r="P480" s="239"/>
      <c r="Q480" s="239"/>
      <c r="R480" s="239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167"/>
    </row>
    <row r="481" spans="1:29" ht="15.75" customHeight="1">
      <c r="A481" s="177"/>
      <c r="B481" s="239"/>
      <c r="C481" s="243" t="s">
        <v>1101</v>
      </c>
      <c r="D481" s="242">
        <f>COUNTIF($D$11:$FM$11,"Quảng Nam")</f>
        <v>0</v>
      </c>
      <c r="E481" s="260"/>
      <c r="F481" s="239"/>
      <c r="G481" s="239"/>
      <c r="H481" s="239"/>
      <c r="I481" s="239"/>
      <c r="J481" s="239"/>
      <c r="K481" s="239"/>
      <c r="L481" s="240"/>
      <c r="M481" s="239"/>
      <c r="N481" s="239"/>
      <c r="O481" s="239"/>
      <c r="P481" s="239"/>
      <c r="Q481" s="239"/>
      <c r="R481" s="239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167"/>
    </row>
    <row r="482" spans="1:29" ht="15.75" customHeight="1">
      <c r="A482" s="177"/>
      <c r="B482" s="239"/>
      <c r="C482" s="243" t="s">
        <v>1102</v>
      </c>
      <c r="D482" s="242">
        <f>COUNTIF($D$11:$FM$11,"Quảng Ngãi")</f>
        <v>0</v>
      </c>
      <c r="E482" s="260"/>
      <c r="F482" s="239"/>
      <c r="G482" s="239"/>
      <c r="H482" s="239"/>
      <c r="I482" s="239"/>
      <c r="J482" s="239"/>
      <c r="K482" s="239"/>
      <c r="L482" s="240"/>
      <c r="M482" s="239"/>
      <c r="N482" s="239"/>
      <c r="O482" s="239"/>
      <c r="P482" s="239"/>
      <c r="Q482" s="239"/>
      <c r="R482" s="239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167"/>
    </row>
    <row r="483" spans="1:29" ht="15.75" customHeight="1">
      <c r="A483" s="177"/>
      <c r="B483" s="239"/>
      <c r="C483" s="243" t="s">
        <v>1103</v>
      </c>
      <c r="D483" s="242">
        <f>COUNTIF($D$11:$FM$11,"Bình Định")</f>
        <v>0</v>
      </c>
      <c r="E483" s="260"/>
      <c r="F483" s="239"/>
      <c r="G483" s="239"/>
      <c r="H483" s="239"/>
      <c r="I483" s="239"/>
      <c r="J483" s="239"/>
      <c r="K483" s="239"/>
      <c r="L483" s="240"/>
      <c r="M483" s="239"/>
      <c r="N483" s="239"/>
      <c r="O483" s="239"/>
      <c r="P483" s="239"/>
      <c r="Q483" s="239"/>
      <c r="R483" s="239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167"/>
    </row>
    <row r="484" spans="1:29" ht="15.75" customHeight="1">
      <c r="A484" s="177"/>
      <c r="B484" s="239"/>
      <c r="C484" s="243" t="s">
        <v>1104</v>
      </c>
      <c r="D484" s="242">
        <f>COUNTIF($D$11:$FM$11,"Phú Yên")</f>
        <v>0</v>
      </c>
      <c r="E484" s="260"/>
      <c r="F484" s="239"/>
      <c r="G484" s="239"/>
      <c r="H484" s="239"/>
      <c r="I484" s="239"/>
      <c r="J484" s="239"/>
      <c r="K484" s="239"/>
      <c r="L484" s="240"/>
      <c r="M484" s="239"/>
      <c r="N484" s="239"/>
      <c r="O484" s="239"/>
      <c r="P484" s="239"/>
      <c r="Q484" s="239"/>
      <c r="R484" s="239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167"/>
    </row>
    <row r="485" spans="1:29" ht="15.75" customHeight="1">
      <c r="A485" s="177"/>
      <c r="B485" s="239"/>
      <c r="C485" s="243" t="s">
        <v>1105</v>
      </c>
      <c r="D485" s="242">
        <f>COUNTIF($D$11:$FM$11,"Khánh Hoà")</f>
        <v>0</v>
      </c>
      <c r="E485" s="260"/>
      <c r="F485" s="239"/>
      <c r="G485" s="239"/>
      <c r="H485" s="239"/>
      <c r="I485" s="239"/>
      <c r="J485" s="239"/>
      <c r="K485" s="239"/>
      <c r="L485" s="240"/>
      <c r="M485" s="239"/>
      <c r="N485" s="239"/>
      <c r="O485" s="239"/>
      <c r="P485" s="239"/>
      <c r="Q485" s="239"/>
      <c r="R485" s="239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167"/>
    </row>
    <row r="486" spans="1:29" ht="15.75" customHeight="1">
      <c r="A486" s="177"/>
      <c r="B486" s="239"/>
      <c r="C486" s="243" t="s">
        <v>1106</v>
      </c>
      <c r="D486" s="242">
        <f>COUNTIF($D$11:$FM$11,"Ninh Thuận")</f>
        <v>0</v>
      </c>
      <c r="E486" s="260"/>
      <c r="F486" s="239"/>
      <c r="G486" s="239"/>
      <c r="H486" s="239"/>
      <c r="I486" s="239"/>
      <c r="J486" s="239"/>
      <c r="K486" s="239"/>
      <c r="L486" s="240"/>
      <c r="M486" s="239"/>
      <c r="N486" s="239"/>
      <c r="O486" s="239"/>
      <c r="P486" s="239"/>
      <c r="Q486" s="239"/>
      <c r="R486" s="239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167"/>
    </row>
    <row r="487" spans="1:29" ht="15.75" customHeight="1">
      <c r="A487" s="177"/>
      <c r="B487" s="239"/>
      <c r="C487" s="243" t="s">
        <v>1107</v>
      </c>
      <c r="D487" s="242">
        <f>COUNTIF($D$11:$FM$11,"Bình Thuận")</f>
        <v>0</v>
      </c>
      <c r="E487" s="260"/>
      <c r="F487" s="239"/>
      <c r="G487" s="239"/>
      <c r="H487" s="239"/>
      <c r="I487" s="239"/>
      <c r="J487" s="239"/>
      <c r="K487" s="239"/>
      <c r="L487" s="240"/>
      <c r="M487" s="239"/>
      <c r="N487" s="239"/>
      <c r="O487" s="239"/>
      <c r="P487" s="239"/>
      <c r="Q487" s="239"/>
      <c r="R487" s="239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167"/>
    </row>
    <row r="488" spans="1:29" ht="15.75" customHeight="1">
      <c r="A488" s="177"/>
      <c r="B488" s="239"/>
      <c r="C488" s="243" t="s">
        <v>1108</v>
      </c>
      <c r="D488" s="242">
        <f>COUNTIF($D$11:$FM$11,"Kon Tum")</f>
        <v>0</v>
      </c>
      <c r="E488" s="260"/>
      <c r="F488" s="239"/>
      <c r="G488" s="239"/>
      <c r="H488" s="239"/>
      <c r="I488" s="239"/>
      <c r="J488" s="239"/>
      <c r="K488" s="239"/>
      <c r="L488" s="240"/>
      <c r="M488" s="239"/>
      <c r="N488" s="239"/>
      <c r="O488" s="239"/>
      <c r="P488" s="239"/>
      <c r="Q488" s="239"/>
      <c r="R488" s="239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167"/>
    </row>
    <row r="489" spans="1:29" ht="15.75" customHeight="1">
      <c r="A489" s="177"/>
      <c r="B489" s="239"/>
      <c r="C489" s="243" t="s">
        <v>1109</v>
      </c>
      <c r="D489" s="242">
        <f>COUNTIF($D$11:$FM$11,"Gia Lai")</f>
        <v>0</v>
      </c>
      <c r="E489" s="260"/>
      <c r="F489" s="239"/>
      <c r="G489" s="239"/>
      <c r="H489" s="239"/>
      <c r="I489" s="239"/>
      <c r="J489" s="239"/>
      <c r="K489" s="239"/>
      <c r="L489" s="240"/>
      <c r="M489" s="239"/>
      <c r="N489" s="239"/>
      <c r="O489" s="239"/>
      <c r="P489" s="239"/>
      <c r="Q489" s="239"/>
      <c r="R489" s="239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167"/>
    </row>
    <row r="490" spans="1:29" ht="15.75" customHeight="1">
      <c r="A490" s="177"/>
      <c r="B490" s="239"/>
      <c r="C490" s="243" t="s">
        <v>1110</v>
      </c>
      <c r="D490" s="242">
        <f>COUNTIF($D$11:$FM$11,"Đắk Lắk")</f>
        <v>0</v>
      </c>
      <c r="E490" s="260"/>
      <c r="F490" s="239"/>
      <c r="G490" s="239"/>
      <c r="H490" s="239"/>
      <c r="I490" s="239"/>
      <c r="J490" s="239"/>
      <c r="K490" s="239"/>
      <c r="L490" s="240"/>
      <c r="M490" s="239"/>
      <c r="N490" s="239"/>
      <c r="O490" s="239"/>
      <c r="P490" s="239"/>
      <c r="Q490" s="239"/>
      <c r="R490" s="239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167"/>
    </row>
    <row r="491" spans="1:29" ht="15.75" customHeight="1">
      <c r="A491" s="177"/>
      <c r="B491" s="239"/>
      <c r="C491" s="243" t="s">
        <v>1111</v>
      </c>
      <c r="D491" s="242">
        <f>COUNTIF($D$11:$FM$11,"Đắk Nông")</f>
        <v>0</v>
      </c>
      <c r="E491" s="260"/>
      <c r="F491" s="239"/>
      <c r="G491" s="239"/>
      <c r="H491" s="239"/>
      <c r="I491" s="239"/>
      <c r="J491" s="239"/>
      <c r="K491" s="239"/>
      <c r="L491" s="240"/>
      <c r="M491" s="239"/>
      <c r="N491" s="239"/>
      <c r="O491" s="239"/>
      <c r="P491" s="239"/>
      <c r="Q491" s="239"/>
      <c r="R491" s="239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167"/>
    </row>
    <row r="492" spans="1:29" ht="15.75" customHeight="1">
      <c r="A492" s="177"/>
      <c r="B492" s="239"/>
      <c r="C492" s="243" t="s">
        <v>1112</v>
      </c>
      <c r="D492" s="242">
        <f>COUNTIF($D$11:$FM$11,"Lâm Đồng")</f>
        <v>0</v>
      </c>
      <c r="E492" s="260"/>
      <c r="F492" s="239"/>
      <c r="G492" s="239"/>
      <c r="H492" s="239"/>
      <c r="I492" s="239"/>
      <c r="J492" s="239"/>
      <c r="K492" s="239"/>
      <c r="L492" s="240"/>
      <c r="M492" s="239"/>
      <c r="N492" s="239"/>
      <c r="O492" s="239"/>
      <c r="P492" s="239"/>
      <c r="Q492" s="239"/>
      <c r="R492" s="239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167"/>
    </row>
    <row r="493" spans="1:29" ht="15.75" customHeight="1">
      <c r="A493" s="177"/>
      <c r="B493" s="239"/>
      <c r="C493" s="243" t="s">
        <v>1113</v>
      </c>
      <c r="D493" s="242">
        <f>COUNTIF($D$11:$FM$11,"Tây Ninh")</f>
        <v>0</v>
      </c>
      <c r="E493" s="260"/>
      <c r="F493" s="239"/>
      <c r="G493" s="239"/>
      <c r="H493" s="239"/>
      <c r="I493" s="239"/>
      <c r="J493" s="239"/>
      <c r="K493" s="239"/>
      <c r="L493" s="240"/>
      <c r="M493" s="239"/>
      <c r="N493" s="239"/>
      <c r="O493" s="239"/>
      <c r="P493" s="239"/>
      <c r="Q493" s="239"/>
      <c r="R493" s="239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167"/>
    </row>
    <row r="494" spans="1:29" ht="15.75" customHeight="1">
      <c r="A494" s="177"/>
      <c r="B494" s="239"/>
      <c r="C494" s="243" t="s">
        <v>1114</v>
      </c>
      <c r="D494" s="242">
        <f>COUNTIF($D$11:$FM$11,"Bình Phước")</f>
        <v>0</v>
      </c>
      <c r="E494" s="260"/>
      <c r="F494" s="239"/>
      <c r="G494" s="239"/>
      <c r="H494" s="239"/>
      <c r="I494" s="239"/>
      <c r="J494" s="239"/>
      <c r="K494" s="239"/>
      <c r="L494" s="240"/>
      <c r="M494" s="239"/>
      <c r="N494" s="239"/>
      <c r="O494" s="239"/>
      <c r="P494" s="239"/>
      <c r="Q494" s="239"/>
      <c r="R494" s="239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167"/>
    </row>
    <row r="495" spans="1:29" ht="15.75" customHeight="1">
      <c r="A495" s="177"/>
      <c r="B495" s="239"/>
      <c r="C495" s="243" t="s">
        <v>1115</v>
      </c>
      <c r="D495" s="242">
        <f>COUNTIF($D$11:$FM$11,"Bình Dương")</f>
        <v>0</v>
      </c>
      <c r="E495" s="260"/>
      <c r="F495" s="239"/>
      <c r="G495" s="239"/>
      <c r="H495" s="239"/>
      <c r="I495" s="239"/>
      <c r="J495" s="239"/>
      <c r="K495" s="239"/>
      <c r="L495" s="240"/>
      <c r="M495" s="239"/>
      <c r="N495" s="239"/>
      <c r="O495" s="239"/>
      <c r="P495" s="239"/>
      <c r="Q495" s="239"/>
      <c r="R495" s="239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167"/>
    </row>
    <row r="496" spans="1:29" ht="15.75" customHeight="1">
      <c r="A496" s="177"/>
      <c r="B496" s="239"/>
      <c r="C496" s="243" t="s">
        <v>1116</v>
      </c>
      <c r="D496" s="242">
        <f>COUNTIF($D$11:$FM$11,"Bà Rịa - Vũng Tàu")</f>
        <v>0</v>
      </c>
      <c r="E496" s="260"/>
      <c r="F496" s="239"/>
      <c r="G496" s="239"/>
      <c r="H496" s="239"/>
      <c r="I496" s="239"/>
      <c r="J496" s="239"/>
      <c r="K496" s="239"/>
      <c r="L496" s="240"/>
      <c r="M496" s="239"/>
      <c r="N496" s="239"/>
      <c r="O496" s="239"/>
      <c r="P496" s="239"/>
      <c r="Q496" s="239"/>
      <c r="R496" s="239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167"/>
    </row>
    <row r="497" spans="1:29" ht="15.75" customHeight="1">
      <c r="A497" s="177"/>
      <c r="B497" s="239"/>
      <c r="C497" s="243" t="s">
        <v>1117</v>
      </c>
      <c r="D497" s="242">
        <f>COUNTIF($D$11:$FM$11,"Bến Tre")</f>
        <v>0</v>
      </c>
      <c r="E497" s="260"/>
      <c r="F497" s="239"/>
      <c r="G497" s="239"/>
      <c r="H497" s="239"/>
      <c r="I497" s="239"/>
      <c r="J497" s="239"/>
      <c r="K497" s="239"/>
      <c r="L497" s="240"/>
      <c r="M497" s="239"/>
      <c r="N497" s="239"/>
      <c r="O497" s="239"/>
      <c r="P497" s="239"/>
      <c r="Q497" s="239"/>
      <c r="R497" s="239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167"/>
    </row>
    <row r="498" spans="1:29" ht="15.75" customHeight="1">
      <c r="A498" s="177"/>
      <c r="B498" s="239"/>
      <c r="C498" s="243" t="s">
        <v>1118</v>
      </c>
      <c r="D498" s="242">
        <f>COUNTIF($D$11:$FM$11,"An Giang")</f>
        <v>0</v>
      </c>
      <c r="E498" s="260"/>
      <c r="F498" s="239"/>
      <c r="G498" s="239"/>
      <c r="H498" s="239"/>
      <c r="I498" s="239"/>
      <c r="J498" s="239"/>
      <c r="K498" s="239"/>
      <c r="L498" s="240"/>
      <c r="M498" s="239"/>
      <c r="N498" s="239"/>
      <c r="O498" s="239"/>
      <c r="P498" s="239"/>
      <c r="Q498" s="239"/>
      <c r="R498" s="239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167"/>
    </row>
    <row r="499" spans="1:29" ht="15.75" customHeight="1">
      <c r="A499" s="177"/>
      <c r="B499" s="239"/>
      <c r="C499" s="243" t="s">
        <v>1119</v>
      </c>
      <c r="D499" s="242">
        <f>COUNTIF($D$11:$FM$11,"Vĩnh Long")</f>
        <v>0</v>
      </c>
      <c r="E499" s="260"/>
      <c r="F499" s="239"/>
      <c r="G499" s="239"/>
      <c r="H499" s="239"/>
      <c r="I499" s="239"/>
      <c r="J499" s="239"/>
      <c r="K499" s="239"/>
      <c r="L499" s="240"/>
      <c r="M499" s="239"/>
      <c r="N499" s="239"/>
      <c r="O499" s="239"/>
      <c r="P499" s="239"/>
      <c r="Q499" s="239"/>
      <c r="R499" s="239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167"/>
    </row>
    <row r="500" spans="1:29" ht="15.75" customHeight="1">
      <c r="A500" s="177"/>
      <c r="B500" s="239"/>
      <c r="C500" s="243" t="s">
        <v>1120</v>
      </c>
      <c r="D500" s="242">
        <f>COUNTIF($D$11:$FM$11,"Cần Thơ")</f>
        <v>0</v>
      </c>
      <c r="E500" s="260"/>
      <c r="F500" s="239"/>
      <c r="G500" s="239"/>
      <c r="H500" s="239"/>
      <c r="I500" s="239"/>
      <c r="J500" s="239"/>
      <c r="K500" s="239"/>
      <c r="L500" s="240"/>
      <c r="M500" s="239"/>
      <c r="N500" s="239"/>
      <c r="O500" s="239"/>
      <c r="P500" s="239"/>
      <c r="Q500" s="239"/>
      <c r="R500" s="239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167"/>
    </row>
    <row r="501" spans="1:29" ht="15.75" customHeight="1">
      <c r="A501" s="177"/>
      <c r="B501" s="239"/>
      <c r="C501" s="243" t="s">
        <v>1121</v>
      </c>
      <c r="D501" s="242">
        <f>COUNTIF($D$11:$FM$11,"Hậu Giang")</f>
        <v>0</v>
      </c>
      <c r="E501" s="260"/>
      <c r="F501" s="239"/>
      <c r="G501" s="239"/>
      <c r="H501" s="239"/>
      <c r="I501" s="239"/>
      <c r="J501" s="239"/>
      <c r="K501" s="239"/>
      <c r="L501" s="240"/>
      <c r="M501" s="239"/>
      <c r="N501" s="239"/>
      <c r="O501" s="239"/>
      <c r="P501" s="239"/>
      <c r="Q501" s="239"/>
      <c r="R501" s="239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167"/>
    </row>
    <row r="502" spans="1:29" ht="15.75" customHeight="1">
      <c r="A502" s="177"/>
      <c r="B502" s="239"/>
      <c r="C502" s="243" t="s">
        <v>1122</v>
      </c>
      <c r="D502" s="242">
        <f>COUNTIF($D$11:$FM$11,"Sóc Trăng")</f>
        <v>0</v>
      </c>
      <c r="E502" s="260"/>
      <c r="F502" s="239"/>
      <c r="G502" s="239"/>
      <c r="H502" s="239"/>
      <c r="I502" s="239"/>
      <c r="J502" s="239"/>
      <c r="K502" s="239"/>
      <c r="L502" s="240"/>
      <c r="M502" s="239"/>
      <c r="N502" s="239"/>
      <c r="O502" s="239"/>
      <c r="P502" s="239"/>
      <c r="Q502" s="239"/>
      <c r="R502" s="239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167"/>
    </row>
    <row r="503" spans="1:29" ht="15.75" customHeight="1">
      <c r="A503" s="177"/>
      <c r="B503" s="239"/>
      <c r="C503" s="243" t="s">
        <v>1123</v>
      </c>
      <c r="D503" s="242">
        <f>COUNTIF($D$11:$FM$11,"Bạc Liêu")</f>
        <v>0</v>
      </c>
      <c r="E503" s="260"/>
      <c r="F503" s="239"/>
      <c r="G503" s="239"/>
      <c r="H503" s="239"/>
      <c r="I503" s="239"/>
      <c r="J503" s="239"/>
      <c r="K503" s="239"/>
      <c r="L503" s="240"/>
      <c r="M503" s="239"/>
      <c r="N503" s="239"/>
      <c r="O503" s="239"/>
      <c r="P503" s="239"/>
      <c r="Q503" s="239"/>
      <c r="R503" s="239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167"/>
    </row>
    <row r="504" spans="1:29" ht="15.75" customHeight="1">
      <c r="A504" s="177"/>
      <c r="B504" s="239"/>
      <c r="C504" s="243" t="s">
        <v>1124</v>
      </c>
      <c r="D504" s="242">
        <f>COUNTIF($D$11:$FM$11,"Cà Mau")</f>
        <v>0</v>
      </c>
      <c r="E504" s="260"/>
      <c r="F504" s="239"/>
      <c r="G504" s="239"/>
      <c r="H504" s="239"/>
      <c r="I504" s="239"/>
      <c r="J504" s="239"/>
      <c r="K504" s="239"/>
      <c r="L504" s="240"/>
      <c r="M504" s="239"/>
      <c r="N504" s="239"/>
      <c r="O504" s="239"/>
      <c r="P504" s="239"/>
      <c r="Q504" s="239"/>
      <c r="R504" s="239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167"/>
    </row>
    <row r="505" spans="1:29" ht="15.75" customHeight="1">
      <c r="A505" s="177"/>
      <c r="B505" s="239"/>
      <c r="C505" s="243" t="s">
        <v>1125</v>
      </c>
      <c r="D505" s="242">
        <f>COUNTIF($D$11:$FM$11,"Kiên Giang")</f>
        <v>0</v>
      </c>
      <c r="E505" s="260"/>
      <c r="F505" s="239"/>
      <c r="G505" s="239"/>
      <c r="H505" s="239"/>
      <c r="I505" s="239"/>
      <c r="J505" s="239"/>
      <c r="K505" s="239"/>
      <c r="L505" s="240"/>
      <c r="M505" s="239"/>
      <c r="N505" s="239"/>
      <c r="O505" s="239"/>
      <c r="P505" s="239"/>
      <c r="Q505" s="239"/>
      <c r="R505" s="239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167"/>
    </row>
    <row r="506" spans="1:29" ht="15.75" customHeight="1">
      <c r="A506" s="177"/>
      <c r="B506" s="239"/>
      <c r="C506" s="243" t="s">
        <v>1126</v>
      </c>
      <c r="D506" s="242">
        <f>COUNTIF($D$11:$FM$11,"Đồng Tháp")</f>
        <v>0</v>
      </c>
      <c r="E506" s="260"/>
      <c r="F506" s="239"/>
      <c r="G506" s="239"/>
      <c r="H506" s="239"/>
      <c r="I506" s="239"/>
      <c r="J506" s="239"/>
      <c r="K506" s="239"/>
      <c r="L506" s="240"/>
      <c r="M506" s="239"/>
      <c r="N506" s="239"/>
      <c r="O506" s="239"/>
      <c r="P506" s="239"/>
      <c r="Q506" s="239"/>
      <c r="R506" s="239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167"/>
    </row>
    <row r="507" spans="1:29" ht="15.75" customHeight="1">
      <c r="A507" s="177"/>
      <c r="B507" s="239"/>
      <c r="C507" s="243" t="s">
        <v>1127</v>
      </c>
      <c r="D507" s="242">
        <f>COUNTIF($D$11:$FM$11,"Trà Vinh")</f>
        <v>0</v>
      </c>
      <c r="E507" s="260"/>
      <c r="F507" s="239"/>
      <c r="G507" s="239"/>
      <c r="H507" s="239"/>
      <c r="I507" s="239"/>
      <c r="J507" s="239"/>
      <c r="K507" s="239"/>
      <c r="L507" s="240"/>
      <c r="M507" s="239"/>
      <c r="N507" s="239"/>
      <c r="O507" s="239"/>
      <c r="P507" s="239"/>
      <c r="Q507" s="239"/>
      <c r="R507" s="239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167"/>
    </row>
    <row r="508" spans="1:29" ht="15.75" customHeight="1">
      <c r="A508" s="177"/>
      <c r="B508" s="239"/>
      <c r="C508" s="243" t="s">
        <v>1128</v>
      </c>
      <c r="D508" s="242">
        <f>COUNTIF($D$11:$FM$11,"Tiền Giang")</f>
        <v>0</v>
      </c>
      <c r="E508" s="260"/>
      <c r="F508" s="239"/>
      <c r="G508" s="239"/>
      <c r="H508" s="239"/>
      <c r="I508" s="239"/>
      <c r="J508" s="239"/>
      <c r="K508" s="239"/>
      <c r="L508" s="240"/>
      <c r="M508" s="239"/>
      <c r="N508" s="239"/>
      <c r="O508" s="239"/>
      <c r="P508" s="239"/>
      <c r="Q508" s="239"/>
      <c r="R508" s="239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167"/>
    </row>
    <row r="509" spans="1:29" ht="15.75" customHeight="1">
      <c r="A509" s="177"/>
      <c r="B509" s="239"/>
      <c r="C509" s="243" t="s">
        <v>1129</v>
      </c>
      <c r="D509" s="242">
        <f>COUNTIF($D$11:$FM$11,"Long An")</f>
        <v>0</v>
      </c>
      <c r="E509" s="260"/>
      <c r="F509" s="239"/>
      <c r="G509" s="239"/>
      <c r="H509" s="239"/>
      <c r="I509" s="239"/>
      <c r="J509" s="239"/>
      <c r="K509" s="239"/>
      <c r="L509" s="240"/>
      <c r="M509" s="239"/>
      <c r="N509" s="239"/>
      <c r="O509" s="239"/>
      <c r="P509" s="239"/>
      <c r="Q509" s="239"/>
      <c r="R509" s="239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167"/>
    </row>
    <row r="510" spans="1:29" ht="15.75" customHeight="1">
      <c r="A510" s="177"/>
      <c r="B510" s="239"/>
      <c r="C510" s="243" t="s">
        <v>1130</v>
      </c>
      <c r="D510" s="242">
        <f>COUNTIF($D$11:$FM$11,"Đồng Nai")</f>
        <v>0</v>
      </c>
      <c r="E510" s="260"/>
      <c r="F510" s="239"/>
      <c r="G510" s="239"/>
      <c r="H510" s="239"/>
      <c r="I510" s="239"/>
      <c r="J510" s="239"/>
      <c r="K510" s="239"/>
      <c r="L510" s="240"/>
      <c r="M510" s="239"/>
      <c r="N510" s="239"/>
      <c r="O510" s="239"/>
      <c r="P510" s="239"/>
      <c r="Q510" s="239"/>
      <c r="R510" s="239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167"/>
    </row>
    <row r="511" spans="1:29" ht="15.75" customHeight="1">
      <c r="A511" s="177"/>
      <c r="B511" s="239"/>
      <c r="C511" s="243" t="s">
        <v>1131</v>
      </c>
      <c r="D511" s="242">
        <f>COUNTIF($D$11:$FM$11,"TP Hồ Chí Minh")</f>
        <v>0</v>
      </c>
      <c r="E511" s="260"/>
      <c r="F511" s="239"/>
      <c r="G511" s="239"/>
      <c r="H511" s="239"/>
      <c r="I511" s="239"/>
      <c r="J511" s="239"/>
      <c r="K511" s="239"/>
      <c r="L511" s="240"/>
      <c r="M511" s="239"/>
      <c r="N511" s="239"/>
      <c r="O511" s="239"/>
      <c r="P511" s="239"/>
      <c r="Q511" s="239"/>
      <c r="R511" s="239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167"/>
    </row>
    <row r="512" spans="1:29" ht="15.75" customHeight="1">
      <c r="A512" s="177"/>
      <c r="B512" s="239"/>
      <c r="C512" s="243"/>
      <c r="D512" s="244"/>
      <c r="E512" s="260"/>
      <c r="F512" s="239"/>
      <c r="G512" s="239"/>
      <c r="H512" s="239"/>
      <c r="I512" s="239"/>
      <c r="J512" s="239"/>
      <c r="K512" s="239"/>
      <c r="L512" s="240"/>
      <c r="M512" s="239"/>
      <c r="N512" s="239"/>
      <c r="O512" s="239"/>
      <c r="P512" s="239"/>
      <c r="Q512" s="239"/>
      <c r="R512" s="239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167"/>
    </row>
    <row r="513" spans="1:29" ht="15.75" customHeight="1">
      <c r="A513" s="177"/>
      <c r="B513" s="239"/>
      <c r="C513" s="243"/>
      <c r="D513" s="245">
        <f>SUM(D449:D511)</f>
        <v>0</v>
      </c>
      <c r="E513" s="260"/>
      <c r="F513" s="239"/>
      <c r="G513" s="239"/>
      <c r="H513" s="239"/>
      <c r="I513" s="239"/>
      <c r="J513" s="239"/>
      <c r="K513" s="239"/>
      <c r="L513" s="240"/>
      <c r="M513" s="239"/>
      <c r="N513" s="239"/>
      <c r="O513" s="239"/>
      <c r="P513" s="239"/>
      <c r="Q513" s="239"/>
      <c r="R513" s="239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167"/>
    </row>
    <row r="514" spans="1:29" ht="15.75" customHeight="1">
      <c r="A514" s="177"/>
      <c r="B514" s="239"/>
      <c r="C514" s="260"/>
      <c r="D514" s="278"/>
      <c r="E514" s="260"/>
      <c r="F514" s="239"/>
      <c r="G514" s="239"/>
      <c r="H514" s="239"/>
      <c r="I514" s="239"/>
      <c r="J514" s="239"/>
      <c r="K514" s="239"/>
      <c r="L514" s="240"/>
      <c r="M514" s="239"/>
      <c r="N514" s="239"/>
      <c r="O514" s="239"/>
      <c r="P514" s="239"/>
      <c r="Q514" s="239"/>
      <c r="R514" s="239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167"/>
    </row>
    <row r="515" spans="1:29" ht="15.75" customHeight="1">
      <c r="A515" s="177"/>
      <c r="B515" s="239"/>
      <c r="C515" s="260"/>
      <c r="D515" s="278"/>
      <c r="E515" s="260"/>
      <c r="F515" s="239"/>
      <c r="G515" s="239"/>
      <c r="H515" s="239"/>
      <c r="I515" s="239"/>
      <c r="J515" s="239"/>
      <c r="K515" s="239"/>
      <c r="L515" s="240"/>
      <c r="M515" s="239"/>
      <c r="N515" s="239"/>
      <c r="O515" s="239"/>
      <c r="P515" s="239"/>
      <c r="Q515" s="239"/>
      <c r="R515" s="239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167"/>
    </row>
    <row r="516" spans="1:29" ht="15.75" customHeight="1">
      <c r="A516" s="177"/>
      <c r="B516" s="239"/>
      <c r="C516" s="260"/>
      <c r="D516" s="278"/>
      <c r="E516" s="260"/>
      <c r="F516" s="239"/>
      <c r="G516" s="239"/>
      <c r="H516" s="239"/>
      <c r="I516" s="239"/>
      <c r="J516" s="239"/>
      <c r="K516" s="239"/>
      <c r="L516" s="240"/>
      <c r="M516" s="239"/>
      <c r="N516" s="239"/>
      <c r="O516" s="239"/>
      <c r="P516" s="239"/>
      <c r="Q516" s="239"/>
      <c r="R516" s="239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167"/>
    </row>
    <row r="517" spans="1:29" ht="15.75" customHeight="1">
      <c r="A517" s="177"/>
      <c r="B517" s="239"/>
      <c r="C517" s="260"/>
      <c r="D517" s="278"/>
      <c r="E517" s="260"/>
      <c r="F517" s="239"/>
      <c r="G517" s="239"/>
      <c r="H517" s="239"/>
      <c r="I517" s="239"/>
      <c r="J517" s="239"/>
      <c r="K517" s="239"/>
      <c r="L517" s="240"/>
      <c r="M517" s="239"/>
      <c r="N517" s="239"/>
      <c r="O517" s="239"/>
      <c r="P517" s="239"/>
      <c r="Q517" s="239"/>
      <c r="R517" s="239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167"/>
    </row>
    <row r="518" spans="1:29" ht="15.75" customHeight="1">
      <c r="A518" s="177"/>
      <c r="B518" s="239"/>
      <c r="C518" s="260"/>
      <c r="D518" s="278"/>
      <c r="E518" s="260"/>
      <c r="F518" s="239"/>
      <c r="G518" s="239"/>
      <c r="H518" s="239"/>
      <c r="I518" s="239"/>
      <c r="J518" s="239"/>
      <c r="K518" s="239"/>
      <c r="L518" s="240"/>
      <c r="M518" s="239"/>
      <c r="N518" s="239"/>
      <c r="O518" s="239"/>
      <c r="P518" s="239"/>
      <c r="Q518" s="239"/>
      <c r="R518" s="239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167"/>
    </row>
    <row r="519" spans="1:29" ht="15.75" customHeight="1">
      <c r="A519" s="177"/>
      <c r="B519" s="239"/>
      <c r="C519" s="260"/>
      <c r="D519" s="278"/>
      <c r="E519" s="260"/>
      <c r="F519" s="239"/>
      <c r="G519" s="239"/>
      <c r="H519" s="239"/>
      <c r="I519" s="239"/>
      <c r="J519" s="239"/>
      <c r="K519" s="239"/>
      <c r="L519" s="240"/>
      <c r="M519" s="239"/>
      <c r="N519" s="239"/>
      <c r="O519" s="239"/>
      <c r="P519" s="239"/>
      <c r="Q519" s="239"/>
      <c r="R519" s="239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167"/>
    </row>
    <row r="520" spans="1:29" ht="15.75" customHeight="1">
      <c r="A520" s="177"/>
      <c r="B520" s="239"/>
      <c r="C520" s="260"/>
      <c r="D520" s="278"/>
      <c r="E520" s="260"/>
      <c r="F520" s="239"/>
      <c r="G520" s="239"/>
      <c r="H520" s="239"/>
      <c r="I520" s="239"/>
      <c r="J520" s="239"/>
      <c r="K520" s="239"/>
      <c r="L520" s="240"/>
      <c r="M520" s="239"/>
      <c r="N520" s="239"/>
      <c r="O520" s="239"/>
      <c r="P520" s="239"/>
      <c r="Q520" s="239"/>
      <c r="R520" s="239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167"/>
    </row>
    <row r="521" spans="1:29" ht="15.75" customHeight="1">
      <c r="A521" s="177"/>
      <c r="B521" s="239"/>
      <c r="C521" s="260"/>
      <c r="D521" s="278"/>
      <c r="E521" s="260"/>
      <c r="F521" s="239"/>
      <c r="G521" s="239"/>
      <c r="H521" s="239"/>
      <c r="I521" s="239"/>
      <c r="J521" s="239"/>
      <c r="K521" s="239"/>
      <c r="L521" s="240"/>
      <c r="M521" s="239"/>
      <c r="N521" s="239"/>
      <c r="O521" s="239"/>
      <c r="P521" s="239"/>
      <c r="Q521" s="239"/>
      <c r="R521" s="239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167"/>
    </row>
    <row r="522" spans="1:29" ht="15.75" customHeight="1">
      <c r="A522" s="177"/>
      <c r="B522" s="239"/>
      <c r="C522" s="260"/>
      <c r="D522" s="278"/>
      <c r="E522" s="260"/>
      <c r="F522" s="239"/>
      <c r="G522" s="239"/>
      <c r="H522" s="239"/>
      <c r="I522" s="239"/>
      <c r="J522" s="239"/>
      <c r="K522" s="239"/>
      <c r="L522" s="240"/>
      <c r="M522" s="239"/>
      <c r="N522" s="239"/>
      <c r="O522" s="239"/>
      <c r="P522" s="239"/>
      <c r="Q522" s="239"/>
      <c r="R522" s="239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167"/>
    </row>
    <row r="523" spans="1:29" ht="15.75" customHeight="1">
      <c r="A523" s="177"/>
      <c r="B523" s="239"/>
      <c r="C523" s="260"/>
      <c r="D523" s="278"/>
      <c r="E523" s="260"/>
      <c r="F523" s="239"/>
      <c r="G523" s="239"/>
      <c r="H523" s="239"/>
      <c r="I523" s="239"/>
      <c r="J523" s="239"/>
      <c r="K523" s="239"/>
      <c r="L523" s="240"/>
      <c r="M523" s="239"/>
      <c r="N523" s="239"/>
      <c r="O523" s="239"/>
      <c r="P523" s="239"/>
      <c r="Q523" s="239"/>
      <c r="R523" s="239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167"/>
    </row>
    <row r="524" spans="1:29" ht="15.75" customHeight="1">
      <c r="A524" s="177"/>
      <c r="B524" s="239"/>
      <c r="C524" s="260"/>
      <c r="D524" s="278"/>
      <c r="E524" s="260"/>
      <c r="F524" s="239"/>
      <c r="G524" s="239"/>
      <c r="H524" s="239"/>
      <c r="I524" s="239"/>
      <c r="J524" s="239"/>
      <c r="K524" s="239"/>
      <c r="L524" s="240"/>
      <c r="M524" s="239"/>
      <c r="N524" s="239"/>
      <c r="O524" s="239"/>
      <c r="P524" s="239"/>
      <c r="Q524" s="239"/>
      <c r="R524" s="239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167"/>
    </row>
    <row r="525" spans="1:29" ht="15.75" customHeight="1">
      <c r="A525" s="177"/>
      <c r="B525" s="239"/>
      <c r="C525" s="260"/>
      <c r="D525" s="278"/>
      <c r="E525" s="260"/>
      <c r="F525" s="239"/>
      <c r="G525" s="239"/>
      <c r="H525" s="239"/>
      <c r="I525" s="239"/>
      <c r="J525" s="239"/>
      <c r="K525" s="239"/>
      <c r="L525" s="240"/>
      <c r="M525" s="239"/>
      <c r="N525" s="239"/>
      <c r="O525" s="239"/>
      <c r="P525" s="239"/>
      <c r="Q525" s="239"/>
      <c r="R525" s="239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167"/>
    </row>
    <row r="526" spans="1:29" ht="15.75" customHeight="1">
      <c r="A526" s="177"/>
      <c r="B526" s="239"/>
      <c r="C526" s="260"/>
      <c r="D526" s="278"/>
      <c r="E526" s="260"/>
      <c r="F526" s="239"/>
      <c r="G526" s="239"/>
      <c r="H526" s="239"/>
      <c r="I526" s="239"/>
      <c r="J526" s="239"/>
      <c r="K526" s="239"/>
      <c r="L526" s="240"/>
      <c r="M526" s="239"/>
      <c r="N526" s="239"/>
      <c r="O526" s="239"/>
      <c r="P526" s="239"/>
      <c r="Q526" s="239"/>
      <c r="R526" s="239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167"/>
    </row>
    <row r="527" spans="1:29" ht="15.75" customHeight="1">
      <c r="A527" s="177"/>
      <c r="B527" s="239"/>
      <c r="C527" s="260"/>
      <c r="D527" s="278"/>
      <c r="E527" s="260"/>
      <c r="F527" s="239"/>
      <c r="G527" s="239"/>
      <c r="H527" s="239"/>
      <c r="I527" s="239"/>
      <c r="J527" s="239"/>
      <c r="K527" s="239"/>
      <c r="L527" s="240"/>
      <c r="M527" s="239"/>
      <c r="N527" s="239"/>
      <c r="O527" s="239"/>
      <c r="P527" s="239"/>
      <c r="Q527" s="239"/>
      <c r="R527" s="239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167"/>
    </row>
    <row r="528" spans="1:29" ht="15.75" customHeight="1">
      <c r="A528" s="177"/>
      <c r="B528" s="239"/>
      <c r="C528" s="260"/>
      <c r="D528" s="278"/>
      <c r="E528" s="260"/>
      <c r="F528" s="239"/>
      <c r="G528" s="239"/>
      <c r="H528" s="239"/>
      <c r="I528" s="239"/>
      <c r="J528" s="239"/>
      <c r="K528" s="239"/>
      <c r="L528" s="240"/>
      <c r="M528" s="239"/>
      <c r="N528" s="239"/>
      <c r="O528" s="239"/>
      <c r="P528" s="239"/>
      <c r="Q528" s="239"/>
      <c r="R528" s="239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167"/>
    </row>
    <row r="529" spans="1:29" ht="15.75" customHeight="1">
      <c r="A529" s="177"/>
      <c r="B529" s="239"/>
      <c r="C529" s="260"/>
      <c r="D529" s="278"/>
      <c r="E529" s="260"/>
      <c r="F529" s="239"/>
      <c r="G529" s="239"/>
      <c r="H529" s="239"/>
      <c r="I529" s="239"/>
      <c r="J529" s="239"/>
      <c r="K529" s="239"/>
      <c r="L529" s="240"/>
      <c r="M529" s="239"/>
      <c r="N529" s="239"/>
      <c r="O529" s="239"/>
      <c r="P529" s="239"/>
      <c r="Q529" s="239"/>
      <c r="R529" s="239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167"/>
    </row>
    <row r="530" spans="1:29" ht="15.75" customHeight="1">
      <c r="A530" s="177"/>
      <c r="B530" s="239"/>
      <c r="C530" s="260"/>
      <c r="D530" s="278"/>
      <c r="E530" s="260"/>
      <c r="F530" s="239"/>
      <c r="G530" s="239"/>
      <c r="H530" s="239"/>
      <c r="I530" s="239"/>
      <c r="J530" s="239"/>
      <c r="K530" s="239"/>
      <c r="L530" s="240"/>
      <c r="M530" s="239"/>
      <c r="N530" s="239"/>
      <c r="O530" s="239"/>
      <c r="P530" s="239"/>
      <c r="Q530" s="239"/>
      <c r="R530" s="239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167"/>
    </row>
    <row r="531" spans="1:29" ht="15.75" customHeight="1">
      <c r="A531" s="177"/>
      <c r="B531" s="239"/>
      <c r="C531" s="260"/>
      <c r="D531" s="278"/>
      <c r="E531" s="260"/>
      <c r="F531" s="239"/>
      <c r="G531" s="239"/>
      <c r="H531" s="239"/>
      <c r="I531" s="239"/>
      <c r="J531" s="239"/>
      <c r="K531" s="239"/>
      <c r="L531" s="240"/>
      <c r="M531" s="239"/>
      <c r="N531" s="239"/>
      <c r="O531" s="239"/>
      <c r="P531" s="239"/>
      <c r="Q531" s="239"/>
      <c r="R531" s="239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167"/>
    </row>
    <row r="532" spans="1:29" ht="15.75" customHeight="1">
      <c r="A532" s="177"/>
      <c r="B532" s="239"/>
      <c r="C532" s="260"/>
      <c r="D532" s="278"/>
      <c r="E532" s="260"/>
      <c r="F532" s="239"/>
      <c r="G532" s="239"/>
      <c r="H532" s="239"/>
      <c r="I532" s="239"/>
      <c r="J532" s="239"/>
      <c r="K532" s="239"/>
      <c r="L532" s="240"/>
      <c r="M532" s="239"/>
      <c r="N532" s="239"/>
      <c r="O532" s="239"/>
      <c r="P532" s="239"/>
      <c r="Q532" s="239"/>
      <c r="R532" s="239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167"/>
    </row>
    <row r="533" spans="1:29" ht="15.75" customHeight="1">
      <c r="A533" s="177"/>
      <c r="B533" s="239"/>
      <c r="C533" s="260"/>
      <c r="D533" s="278"/>
      <c r="E533" s="260"/>
      <c r="F533" s="239"/>
      <c r="G533" s="239"/>
      <c r="H533" s="239"/>
      <c r="I533" s="239"/>
      <c r="J533" s="239"/>
      <c r="K533" s="239"/>
      <c r="L533" s="240"/>
      <c r="M533" s="239"/>
      <c r="N533" s="239"/>
      <c r="O533" s="239"/>
      <c r="P533" s="239"/>
      <c r="Q533" s="239"/>
      <c r="R533" s="239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167"/>
    </row>
    <row r="534" spans="1:29" ht="15.75" customHeight="1">
      <c r="A534" s="177"/>
      <c r="B534" s="239"/>
      <c r="C534" s="260"/>
      <c r="D534" s="278"/>
      <c r="E534" s="260"/>
      <c r="F534" s="239"/>
      <c r="G534" s="239"/>
      <c r="H534" s="239"/>
      <c r="I534" s="239"/>
      <c r="J534" s="239"/>
      <c r="K534" s="239"/>
      <c r="L534" s="240"/>
      <c r="M534" s="239"/>
      <c r="N534" s="239"/>
      <c r="O534" s="239"/>
      <c r="P534" s="239"/>
      <c r="Q534" s="239"/>
      <c r="R534" s="239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167"/>
    </row>
    <row r="535" spans="1:29" ht="15.75" customHeight="1">
      <c r="A535" s="177"/>
      <c r="B535" s="239"/>
      <c r="C535" s="260"/>
      <c r="D535" s="278"/>
      <c r="E535" s="260"/>
      <c r="F535" s="239"/>
      <c r="G535" s="239"/>
      <c r="H535" s="239"/>
      <c r="I535" s="239"/>
      <c r="J535" s="239"/>
      <c r="K535" s="239"/>
      <c r="L535" s="240"/>
      <c r="M535" s="239"/>
      <c r="N535" s="239"/>
      <c r="O535" s="239"/>
      <c r="P535" s="239"/>
      <c r="Q535" s="239"/>
      <c r="R535" s="239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167"/>
    </row>
    <row r="536" spans="1:29" ht="15.75" customHeight="1">
      <c r="A536" s="177"/>
      <c r="B536" s="239"/>
      <c r="C536" s="260"/>
      <c r="D536" s="278"/>
      <c r="E536" s="260"/>
      <c r="F536" s="239"/>
      <c r="G536" s="239"/>
      <c r="H536" s="239"/>
      <c r="I536" s="239"/>
      <c r="J536" s="239"/>
      <c r="K536" s="239"/>
      <c r="L536" s="240"/>
      <c r="M536" s="239"/>
      <c r="N536" s="239"/>
      <c r="O536" s="239"/>
      <c r="P536" s="239"/>
      <c r="Q536" s="239"/>
      <c r="R536" s="239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167"/>
    </row>
    <row r="537" spans="1:29" ht="15.75" customHeight="1">
      <c r="A537" s="177"/>
      <c r="B537" s="239"/>
      <c r="C537" s="260"/>
      <c r="D537" s="278"/>
      <c r="E537" s="260"/>
      <c r="F537" s="239"/>
      <c r="G537" s="239"/>
      <c r="H537" s="239"/>
      <c r="I537" s="239"/>
      <c r="J537" s="239"/>
      <c r="K537" s="239"/>
      <c r="L537" s="240"/>
      <c r="M537" s="239"/>
      <c r="N537" s="239"/>
      <c r="O537" s="239"/>
      <c r="P537" s="239"/>
      <c r="Q537" s="239"/>
      <c r="R537" s="239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167"/>
    </row>
    <row r="538" spans="1:29" ht="15.75" customHeight="1">
      <c r="A538" s="177"/>
      <c r="B538" s="239"/>
      <c r="C538" s="260"/>
      <c r="D538" s="278"/>
      <c r="E538" s="260"/>
      <c r="F538" s="239"/>
      <c r="G538" s="239"/>
      <c r="H538" s="239"/>
      <c r="I538" s="239"/>
      <c r="J538" s="239"/>
      <c r="K538" s="239"/>
      <c r="L538" s="240"/>
      <c r="M538" s="239"/>
      <c r="N538" s="239"/>
      <c r="O538" s="239"/>
      <c r="P538" s="239"/>
      <c r="Q538" s="239"/>
      <c r="R538" s="239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167"/>
    </row>
    <row r="539" spans="1:29" ht="15.75" customHeight="1">
      <c r="A539" s="177"/>
      <c r="B539" s="239"/>
      <c r="C539" s="260"/>
      <c r="D539" s="278"/>
      <c r="E539" s="260"/>
      <c r="F539" s="239"/>
      <c r="G539" s="239"/>
      <c r="H539" s="239"/>
      <c r="I539" s="239"/>
      <c r="J539" s="239"/>
      <c r="K539" s="239"/>
      <c r="L539" s="240"/>
      <c r="M539" s="239"/>
      <c r="N539" s="239"/>
      <c r="O539" s="239"/>
      <c r="P539" s="239"/>
      <c r="Q539" s="239"/>
      <c r="R539" s="239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167"/>
    </row>
    <row r="540" spans="1:29" ht="15.75" customHeight="1">
      <c r="A540" s="177"/>
      <c r="B540" s="239"/>
      <c r="C540" s="260"/>
      <c r="D540" s="278"/>
      <c r="E540" s="260"/>
      <c r="F540" s="239"/>
      <c r="G540" s="239"/>
      <c r="H540" s="239"/>
      <c r="I540" s="239"/>
      <c r="J540" s="239"/>
      <c r="K540" s="239"/>
      <c r="L540" s="240"/>
      <c r="M540" s="239"/>
      <c r="N540" s="239"/>
      <c r="O540" s="239"/>
      <c r="P540" s="239"/>
      <c r="Q540" s="239"/>
      <c r="R540" s="239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167"/>
    </row>
    <row r="541" spans="1:29" ht="15.75" customHeight="1">
      <c r="A541" s="177"/>
      <c r="B541" s="239"/>
      <c r="C541" s="260"/>
      <c r="D541" s="278"/>
      <c r="E541" s="260"/>
      <c r="F541" s="239"/>
      <c r="G541" s="239"/>
      <c r="H541" s="239"/>
      <c r="I541" s="239"/>
      <c r="J541" s="239"/>
      <c r="K541" s="239"/>
      <c r="L541" s="240"/>
      <c r="M541" s="239"/>
      <c r="N541" s="239"/>
      <c r="O541" s="239"/>
      <c r="P541" s="239"/>
      <c r="Q541" s="239"/>
      <c r="R541" s="239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167"/>
    </row>
    <row r="542" spans="1:29" ht="15.75" customHeight="1">
      <c r="A542" s="177"/>
      <c r="B542" s="239"/>
      <c r="C542" s="260"/>
      <c r="D542" s="278"/>
      <c r="E542" s="260"/>
      <c r="F542" s="239"/>
      <c r="G542" s="239"/>
      <c r="H542" s="239"/>
      <c r="I542" s="239"/>
      <c r="J542" s="239"/>
      <c r="K542" s="239"/>
      <c r="L542" s="240"/>
      <c r="M542" s="239"/>
      <c r="N542" s="239"/>
      <c r="O542" s="239"/>
      <c r="P542" s="239"/>
      <c r="Q542" s="239"/>
      <c r="R542" s="239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167"/>
    </row>
    <row r="543" spans="1:29" ht="15.75" customHeight="1">
      <c r="A543" s="177"/>
      <c r="B543" s="239"/>
      <c r="C543" s="260"/>
      <c r="D543" s="278"/>
      <c r="E543" s="260"/>
      <c r="F543" s="239"/>
      <c r="G543" s="239"/>
      <c r="H543" s="239"/>
      <c r="I543" s="239"/>
      <c r="J543" s="239"/>
      <c r="K543" s="239"/>
      <c r="L543" s="240"/>
      <c r="M543" s="239"/>
      <c r="N543" s="239"/>
      <c r="O543" s="239"/>
      <c r="P543" s="239"/>
      <c r="Q543" s="239"/>
      <c r="R543" s="239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167"/>
    </row>
    <row r="544" spans="1:29" ht="15.75" customHeight="1">
      <c r="A544" s="177"/>
      <c r="B544" s="239"/>
      <c r="C544" s="260"/>
      <c r="D544" s="278"/>
      <c r="E544" s="260"/>
      <c r="F544" s="239"/>
      <c r="G544" s="239"/>
      <c r="H544" s="239"/>
      <c r="I544" s="239"/>
      <c r="J544" s="239"/>
      <c r="K544" s="239"/>
      <c r="L544" s="240"/>
      <c r="M544" s="239"/>
      <c r="N544" s="239"/>
      <c r="O544" s="239"/>
      <c r="P544" s="239"/>
      <c r="Q544" s="239"/>
      <c r="R544" s="239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167"/>
    </row>
    <row r="545" spans="1:29" ht="15.75" customHeight="1">
      <c r="A545" s="177"/>
      <c r="B545" s="239"/>
      <c r="C545" s="260"/>
      <c r="D545" s="278"/>
      <c r="E545" s="260"/>
      <c r="F545" s="239"/>
      <c r="G545" s="239"/>
      <c r="H545" s="239"/>
      <c r="I545" s="239"/>
      <c r="J545" s="239"/>
      <c r="K545" s="239"/>
      <c r="L545" s="240"/>
      <c r="M545" s="239"/>
      <c r="N545" s="239"/>
      <c r="O545" s="239"/>
      <c r="P545" s="239"/>
      <c r="Q545" s="239"/>
      <c r="R545" s="239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167"/>
    </row>
    <row r="546" spans="1:29" ht="15.75" customHeight="1">
      <c r="A546" s="177"/>
      <c r="B546" s="239"/>
      <c r="C546" s="260"/>
      <c r="D546" s="278"/>
      <c r="E546" s="260"/>
      <c r="F546" s="239"/>
      <c r="G546" s="239"/>
      <c r="H546" s="239"/>
      <c r="I546" s="239"/>
      <c r="J546" s="239"/>
      <c r="K546" s="239"/>
      <c r="L546" s="240"/>
      <c r="M546" s="239"/>
      <c r="N546" s="239"/>
      <c r="O546" s="239"/>
      <c r="P546" s="239"/>
      <c r="Q546" s="239"/>
      <c r="R546" s="239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167"/>
    </row>
    <row r="547" spans="1:29" ht="15.75" customHeight="1">
      <c r="A547" s="177"/>
      <c r="B547" s="239"/>
      <c r="C547" s="260"/>
      <c r="D547" s="278"/>
      <c r="E547" s="260"/>
      <c r="F547" s="239"/>
      <c r="G547" s="239"/>
      <c r="H547" s="239"/>
      <c r="I547" s="239"/>
      <c r="J547" s="239"/>
      <c r="K547" s="239"/>
      <c r="L547" s="240"/>
      <c r="M547" s="239"/>
      <c r="N547" s="239"/>
      <c r="O547" s="239"/>
      <c r="P547" s="239"/>
      <c r="Q547" s="239"/>
      <c r="R547" s="239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167"/>
    </row>
    <row r="548" spans="1:29" ht="15.75" customHeight="1">
      <c r="A548" s="177"/>
      <c r="B548" s="239"/>
      <c r="C548" s="260"/>
      <c r="D548" s="278"/>
      <c r="E548" s="260"/>
      <c r="F548" s="239"/>
      <c r="G548" s="239"/>
      <c r="H548" s="239"/>
      <c r="I548" s="239"/>
      <c r="J548" s="239"/>
      <c r="K548" s="239"/>
      <c r="L548" s="240"/>
      <c r="M548" s="239"/>
      <c r="N548" s="239"/>
      <c r="O548" s="239"/>
      <c r="P548" s="239"/>
      <c r="Q548" s="239"/>
      <c r="R548" s="239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167"/>
    </row>
    <row r="549" spans="1:29" ht="15.75" customHeight="1">
      <c r="A549" s="177"/>
      <c r="B549" s="239"/>
      <c r="C549" s="260"/>
      <c r="D549" s="278"/>
      <c r="E549" s="260"/>
      <c r="F549" s="239"/>
      <c r="G549" s="239"/>
      <c r="H549" s="239"/>
      <c r="I549" s="239"/>
      <c r="J549" s="239"/>
      <c r="K549" s="239"/>
      <c r="L549" s="240"/>
      <c r="M549" s="239"/>
      <c r="N549" s="239"/>
      <c r="O549" s="239"/>
      <c r="P549" s="239"/>
      <c r="Q549" s="239"/>
      <c r="R549" s="239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167"/>
    </row>
    <row r="550" spans="1:29" ht="15.75" customHeight="1">
      <c r="A550" s="177"/>
      <c r="B550" s="239"/>
      <c r="C550" s="260"/>
      <c r="D550" s="278"/>
      <c r="E550" s="260"/>
      <c r="F550" s="239"/>
      <c r="G550" s="239"/>
      <c r="H550" s="239"/>
      <c r="I550" s="239"/>
      <c r="J550" s="239"/>
      <c r="K550" s="239"/>
      <c r="L550" s="240"/>
      <c r="M550" s="239"/>
      <c r="N550" s="239"/>
      <c r="O550" s="239"/>
      <c r="P550" s="239"/>
      <c r="Q550" s="239"/>
      <c r="R550" s="239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167"/>
    </row>
    <row r="551" spans="1:29" ht="15.75" customHeight="1">
      <c r="A551" s="177"/>
      <c r="B551" s="239"/>
      <c r="C551" s="260"/>
      <c r="D551" s="278"/>
      <c r="E551" s="260"/>
      <c r="F551" s="239"/>
      <c r="G551" s="239"/>
      <c r="H551" s="239"/>
      <c r="I551" s="239"/>
      <c r="J551" s="239"/>
      <c r="K551" s="239"/>
      <c r="L551" s="240"/>
      <c r="M551" s="239"/>
      <c r="N551" s="239"/>
      <c r="O551" s="239"/>
      <c r="P551" s="239"/>
      <c r="Q551" s="239"/>
      <c r="R551" s="239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167"/>
    </row>
    <row r="552" spans="1:29" ht="15.75" customHeight="1">
      <c r="A552" s="177"/>
      <c r="B552" s="239"/>
      <c r="C552" s="260"/>
      <c r="D552" s="278"/>
      <c r="E552" s="260"/>
      <c r="F552" s="239"/>
      <c r="G552" s="239"/>
      <c r="H552" s="239"/>
      <c r="I552" s="239"/>
      <c r="J552" s="239"/>
      <c r="K552" s="239"/>
      <c r="L552" s="240"/>
      <c r="M552" s="239"/>
      <c r="N552" s="239"/>
      <c r="O552" s="239"/>
      <c r="P552" s="239"/>
      <c r="Q552" s="239"/>
      <c r="R552" s="239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167"/>
    </row>
    <row r="553" spans="1:29" ht="15.75" customHeight="1">
      <c r="A553" s="177"/>
      <c r="B553" s="239"/>
      <c r="C553" s="260"/>
      <c r="D553" s="278"/>
      <c r="E553" s="260"/>
      <c r="F553" s="239"/>
      <c r="G553" s="239"/>
      <c r="H553" s="239"/>
      <c r="I553" s="239"/>
      <c r="J553" s="239"/>
      <c r="K553" s="239"/>
      <c r="L553" s="240"/>
      <c r="M553" s="239"/>
      <c r="N553" s="239"/>
      <c r="O553" s="239"/>
      <c r="P553" s="239"/>
      <c r="Q553" s="239"/>
      <c r="R553" s="239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167"/>
    </row>
    <row r="554" spans="1:29" ht="15.75" customHeight="1">
      <c r="A554" s="177"/>
      <c r="B554" s="239"/>
      <c r="C554" s="260"/>
      <c r="D554" s="278"/>
      <c r="E554" s="260"/>
      <c r="F554" s="239"/>
      <c r="G554" s="239"/>
      <c r="H554" s="239"/>
      <c r="I554" s="239"/>
      <c r="J554" s="239"/>
      <c r="K554" s="239"/>
      <c r="L554" s="240"/>
      <c r="M554" s="239"/>
      <c r="N554" s="239"/>
      <c r="O554" s="239"/>
      <c r="P554" s="239"/>
      <c r="Q554" s="239"/>
      <c r="R554" s="239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167"/>
    </row>
    <row r="555" spans="1:29" ht="15.75" customHeight="1">
      <c r="A555" s="177"/>
      <c r="B555" s="239"/>
      <c r="C555" s="260"/>
      <c r="D555" s="278"/>
      <c r="E555" s="260"/>
      <c r="F555" s="239"/>
      <c r="G555" s="239"/>
      <c r="H555" s="239"/>
      <c r="I555" s="239"/>
      <c r="J555" s="239"/>
      <c r="K555" s="239"/>
      <c r="L555" s="240"/>
      <c r="M555" s="239"/>
      <c r="N555" s="239"/>
      <c r="O555" s="239"/>
      <c r="P555" s="239"/>
      <c r="Q555" s="239"/>
      <c r="R555" s="239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167"/>
    </row>
    <row r="556" spans="1:29" ht="15.75" customHeight="1">
      <c r="A556" s="177"/>
      <c r="B556" s="239"/>
      <c r="C556" s="260"/>
      <c r="D556" s="278"/>
      <c r="E556" s="260"/>
      <c r="F556" s="239"/>
      <c r="G556" s="239"/>
      <c r="H556" s="239"/>
      <c r="I556" s="239"/>
      <c r="J556" s="239"/>
      <c r="K556" s="239"/>
      <c r="L556" s="240"/>
      <c r="M556" s="239"/>
      <c r="N556" s="239"/>
      <c r="O556" s="239"/>
      <c r="P556" s="239"/>
      <c r="Q556" s="239"/>
      <c r="R556" s="239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167"/>
    </row>
    <row r="557" spans="1:29" ht="15.75" customHeight="1">
      <c r="A557" s="177"/>
      <c r="B557" s="239"/>
      <c r="C557" s="260"/>
      <c r="D557" s="278"/>
      <c r="E557" s="260"/>
      <c r="F557" s="239"/>
      <c r="G557" s="239"/>
      <c r="H557" s="239"/>
      <c r="I557" s="239"/>
      <c r="J557" s="239"/>
      <c r="K557" s="239"/>
      <c r="L557" s="240"/>
      <c r="M557" s="239"/>
      <c r="N557" s="239"/>
      <c r="O557" s="239"/>
      <c r="P557" s="239"/>
      <c r="Q557" s="239"/>
      <c r="R557" s="239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167"/>
    </row>
    <row r="558" spans="1:29" ht="15.75" customHeight="1">
      <c r="A558" s="177"/>
      <c r="B558" s="239"/>
      <c r="C558" s="260"/>
      <c r="D558" s="278"/>
      <c r="E558" s="260"/>
      <c r="F558" s="239"/>
      <c r="G558" s="239"/>
      <c r="H558" s="239"/>
      <c r="I558" s="239"/>
      <c r="J558" s="239"/>
      <c r="K558" s="239"/>
      <c r="L558" s="240"/>
      <c r="M558" s="239"/>
      <c r="N558" s="239"/>
      <c r="O558" s="239"/>
      <c r="P558" s="239"/>
      <c r="Q558" s="239"/>
      <c r="R558" s="239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167"/>
    </row>
    <row r="559" spans="1:29" ht="15.75" customHeight="1">
      <c r="A559" s="177"/>
      <c r="B559" s="239"/>
      <c r="C559" s="260"/>
      <c r="D559" s="278"/>
      <c r="E559" s="260"/>
      <c r="F559" s="239"/>
      <c r="G559" s="239"/>
      <c r="H559" s="239"/>
      <c r="I559" s="239"/>
      <c r="J559" s="239"/>
      <c r="K559" s="239"/>
      <c r="L559" s="240"/>
      <c r="M559" s="239"/>
      <c r="N559" s="239"/>
      <c r="O559" s="239"/>
      <c r="P559" s="239"/>
      <c r="Q559" s="239"/>
      <c r="R559" s="239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167"/>
    </row>
    <row r="560" spans="1:29" ht="15.75" customHeight="1">
      <c r="A560" s="177"/>
      <c r="B560" s="239"/>
      <c r="C560" s="260"/>
      <c r="D560" s="278"/>
      <c r="E560" s="260"/>
      <c r="F560" s="239"/>
      <c r="G560" s="239"/>
      <c r="H560" s="239"/>
      <c r="I560" s="239"/>
      <c r="J560" s="239"/>
      <c r="K560" s="239"/>
      <c r="L560" s="240"/>
      <c r="M560" s="239"/>
      <c r="N560" s="239"/>
      <c r="O560" s="239"/>
      <c r="P560" s="239"/>
      <c r="Q560" s="239"/>
      <c r="R560" s="239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167"/>
    </row>
    <row r="561" spans="1:29" ht="15.75" customHeight="1">
      <c r="A561" s="177"/>
      <c r="B561" s="239"/>
      <c r="C561" s="260"/>
      <c r="D561" s="278"/>
      <c r="E561" s="260"/>
      <c r="F561" s="239"/>
      <c r="G561" s="239"/>
      <c r="H561" s="239"/>
      <c r="I561" s="239"/>
      <c r="J561" s="239"/>
      <c r="K561" s="239"/>
      <c r="L561" s="240"/>
      <c r="M561" s="239"/>
      <c r="N561" s="239"/>
      <c r="O561" s="239"/>
      <c r="P561" s="239"/>
      <c r="Q561" s="239"/>
      <c r="R561" s="239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167"/>
    </row>
    <row r="562" spans="1:29" ht="15.75" customHeight="1">
      <c r="A562" s="177"/>
      <c r="B562" s="239"/>
      <c r="C562" s="260"/>
      <c r="D562" s="278"/>
      <c r="E562" s="260"/>
      <c r="F562" s="239"/>
      <c r="G562" s="239"/>
      <c r="H562" s="239"/>
      <c r="I562" s="239"/>
      <c r="J562" s="239"/>
      <c r="K562" s="239"/>
      <c r="L562" s="240"/>
      <c r="M562" s="239"/>
      <c r="N562" s="239"/>
      <c r="O562" s="239"/>
      <c r="P562" s="239"/>
      <c r="Q562" s="239"/>
      <c r="R562" s="239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167"/>
    </row>
    <row r="563" spans="1:29" ht="15.75" customHeight="1">
      <c r="A563" s="177"/>
      <c r="B563" s="239"/>
      <c r="C563" s="260"/>
      <c r="D563" s="278"/>
      <c r="E563" s="260"/>
      <c r="F563" s="239"/>
      <c r="G563" s="239"/>
      <c r="H563" s="239"/>
      <c r="I563" s="239"/>
      <c r="J563" s="239"/>
      <c r="K563" s="239"/>
      <c r="L563" s="240"/>
      <c r="M563" s="239"/>
      <c r="N563" s="239"/>
      <c r="O563" s="239"/>
      <c r="P563" s="239"/>
      <c r="Q563" s="239"/>
      <c r="R563" s="239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167"/>
    </row>
    <row r="564" spans="1:29" ht="15.75" customHeight="1">
      <c r="A564" s="177"/>
      <c r="B564" s="239"/>
      <c r="C564" s="260"/>
      <c r="D564" s="278"/>
      <c r="E564" s="260"/>
      <c r="F564" s="239"/>
      <c r="G564" s="239"/>
      <c r="H564" s="239"/>
      <c r="I564" s="239"/>
      <c r="J564" s="239"/>
      <c r="K564" s="239"/>
      <c r="L564" s="240"/>
      <c r="M564" s="239"/>
      <c r="N564" s="239"/>
      <c r="O564" s="239"/>
      <c r="P564" s="239"/>
      <c r="Q564" s="239"/>
      <c r="R564" s="239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167"/>
    </row>
    <row r="565" spans="1:29" ht="15.75" customHeight="1">
      <c r="A565" s="177"/>
      <c r="B565" s="239"/>
      <c r="C565" s="260"/>
      <c r="D565" s="278"/>
      <c r="E565" s="260"/>
      <c r="F565" s="239"/>
      <c r="G565" s="239"/>
      <c r="H565" s="239"/>
      <c r="I565" s="239"/>
      <c r="J565" s="239"/>
      <c r="K565" s="239"/>
      <c r="L565" s="240"/>
      <c r="M565" s="239"/>
      <c r="N565" s="239"/>
      <c r="O565" s="239"/>
      <c r="P565" s="239"/>
      <c r="Q565" s="239"/>
      <c r="R565" s="239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167"/>
    </row>
    <row r="566" spans="1:29" ht="15.75" customHeight="1">
      <c r="A566" s="177"/>
      <c r="B566" s="239"/>
      <c r="C566" s="260"/>
      <c r="D566" s="278"/>
      <c r="E566" s="260"/>
      <c r="F566" s="239"/>
      <c r="G566" s="239"/>
      <c r="H566" s="239"/>
      <c r="I566" s="239"/>
      <c r="J566" s="239"/>
      <c r="K566" s="239"/>
      <c r="L566" s="240"/>
      <c r="M566" s="239"/>
      <c r="N566" s="239"/>
      <c r="O566" s="239"/>
      <c r="P566" s="239"/>
      <c r="Q566" s="239"/>
      <c r="R566" s="239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167"/>
    </row>
    <row r="567" spans="1:29" ht="15.75" customHeight="1">
      <c r="A567" s="177"/>
      <c r="B567" s="239"/>
      <c r="C567" s="260"/>
      <c r="D567" s="278"/>
      <c r="E567" s="260"/>
      <c r="F567" s="239"/>
      <c r="G567" s="239"/>
      <c r="H567" s="239"/>
      <c r="I567" s="239"/>
      <c r="J567" s="239"/>
      <c r="K567" s="239"/>
      <c r="L567" s="240"/>
      <c r="M567" s="239"/>
      <c r="N567" s="239"/>
      <c r="O567" s="239"/>
      <c r="P567" s="239"/>
      <c r="Q567" s="239"/>
      <c r="R567" s="239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167"/>
    </row>
    <row r="568" spans="1:29" ht="15.75" customHeight="1">
      <c r="A568" s="177"/>
      <c r="B568" s="239"/>
      <c r="C568" s="260"/>
      <c r="D568" s="278"/>
      <c r="E568" s="260"/>
      <c r="F568" s="239"/>
      <c r="G568" s="239"/>
      <c r="H568" s="239"/>
      <c r="I568" s="239"/>
      <c r="J568" s="239"/>
      <c r="K568" s="239"/>
      <c r="L568" s="240"/>
      <c r="M568" s="239"/>
      <c r="N568" s="239"/>
      <c r="O568" s="239"/>
      <c r="P568" s="239"/>
      <c r="Q568" s="239"/>
      <c r="R568" s="239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167"/>
    </row>
    <row r="569" spans="1:29" ht="15.75" customHeight="1">
      <c r="A569" s="177"/>
      <c r="B569" s="239"/>
      <c r="C569" s="260"/>
      <c r="D569" s="278"/>
      <c r="E569" s="260"/>
      <c r="F569" s="239"/>
      <c r="G569" s="239"/>
      <c r="H569" s="239"/>
      <c r="I569" s="239"/>
      <c r="J569" s="239"/>
      <c r="K569" s="239"/>
      <c r="L569" s="240"/>
      <c r="M569" s="239"/>
      <c r="N569" s="239"/>
      <c r="O569" s="239"/>
      <c r="P569" s="239"/>
      <c r="Q569" s="239"/>
      <c r="R569" s="239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167"/>
    </row>
    <row r="570" spans="1:29" ht="15.75" customHeight="1">
      <c r="A570" s="177"/>
      <c r="B570" s="239"/>
      <c r="C570" s="260"/>
      <c r="D570" s="278"/>
      <c r="E570" s="260"/>
      <c r="F570" s="239"/>
      <c r="G570" s="239"/>
      <c r="H570" s="239"/>
      <c r="I570" s="239"/>
      <c r="J570" s="239"/>
      <c r="K570" s="239"/>
      <c r="L570" s="240"/>
      <c r="M570" s="239"/>
      <c r="N570" s="239"/>
      <c r="O570" s="239"/>
      <c r="P570" s="239"/>
      <c r="Q570" s="239"/>
      <c r="R570" s="239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167"/>
    </row>
    <row r="571" spans="1:29" ht="15.75" customHeight="1">
      <c r="A571" s="177"/>
      <c r="B571" s="239"/>
      <c r="C571" s="260"/>
      <c r="D571" s="278"/>
      <c r="E571" s="260"/>
      <c r="F571" s="239"/>
      <c r="G571" s="239"/>
      <c r="H571" s="239"/>
      <c r="I571" s="239"/>
      <c r="J571" s="239"/>
      <c r="K571" s="239"/>
      <c r="L571" s="240"/>
      <c r="M571" s="239"/>
      <c r="N571" s="239"/>
      <c r="O571" s="239"/>
      <c r="P571" s="239"/>
      <c r="Q571" s="239"/>
      <c r="R571" s="239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167"/>
    </row>
    <row r="572" spans="1:29" ht="15.75" customHeight="1">
      <c r="A572" s="177"/>
      <c r="B572" s="239"/>
      <c r="C572" s="260"/>
      <c r="D572" s="278"/>
      <c r="E572" s="260"/>
      <c r="F572" s="239"/>
      <c r="G572" s="239"/>
      <c r="H572" s="239"/>
      <c r="I572" s="239"/>
      <c r="J572" s="239"/>
      <c r="K572" s="239"/>
      <c r="L572" s="240"/>
      <c r="M572" s="239"/>
      <c r="N572" s="239"/>
      <c r="O572" s="239"/>
      <c r="P572" s="239"/>
      <c r="Q572" s="239"/>
      <c r="R572" s="239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167"/>
    </row>
    <row r="573" spans="1:29" ht="15.75" customHeight="1">
      <c r="A573" s="177"/>
      <c r="B573" s="239"/>
      <c r="C573" s="260"/>
      <c r="D573" s="278"/>
      <c r="E573" s="260"/>
      <c r="F573" s="239"/>
      <c r="G573" s="239"/>
      <c r="H573" s="239"/>
      <c r="I573" s="239"/>
      <c r="J573" s="239"/>
      <c r="K573" s="239"/>
      <c r="L573" s="240"/>
      <c r="M573" s="239"/>
      <c r="N573" s="239"/>
      <c r="O573" s="239"/>
      <c r="P573" s="239"/>
      <c r="Q573" s="239"/>
      <c r="R573" s="239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167"/>
    </row>
    <row r="574" spans="1:29" ht="15.75" customHeight="1">
      <c r="A574" s="177"/>
      <c r="B574" s="239"/>
      <c r="C574" s="260"/>
      <c r="D574" s="278"/>
      <c r="E574" s="260"/>
      <c r="F574" s="239"/>
      <c r="G574" s="239"/>
      <c r="H574" s="239"/>
      <c r="I574" s="239"/>
      <c r="J574" s="239"/>
      <c r="K574" s="239"/>
      <c r="L574" s="240"/>
      <c r="M574" s="239"/>
      <c r="N574" s="239"/>
      <c r="O574" s="239"/>
      <c r="P574" s="239"/>
      <c r="Q574" s="239"/>
      <c r="R574" s="239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167"/>
    </row>
    <row r="575" spans="1:29" ht="15.75" customHeight="1">
      <c r="A575" s="177"/>
      <c r="B575" s="239"/>
      <c r="C575" s="260"/>
      <c r="D575" s="278"/>
      <c r="E575" s="260"/>
      <c r="F575" s="239"/>
      <c r="G575" s="239"/>
      <c r="H575" s="239"/>
      <c r="I575" s="239"/>
      <c r="J575" s="239"/>
      <c r="K575" s="239"/>
      <c r="L575" s="240"/>
      <c r="M575" s="239"/>
      <c r="N575" s="239"/>
      <c r="O575" s="239"/>
      <c r="P575" s="239"/>
      <c r="Q575" s="239"/>
      <c r="R575" s="239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167"/>
    </row>
    <row r="576" spans="1:29" ht="15.75" customHeight="1">
      <c r="A576" s="177"/>
      <c r="B576" s="239"/>
      <c r="C576" s="260"/>
      <c r="D576" s="278"/>
      <c r="E576" s="260"/>
      <c r="F576" s="239"/>
      <c r="G576" s="239"/>
      <c r="H576" s="239"/>
      <c r="I576" s="239"/>
      <c r="J576" s="239"/>
      <c r="K576" s="239"/>
      <c r="L576" s="240"/>
      <c r="M576" s="239"/>
      <c r="N576" s="239"/>
      <c r="O576" s="239"/>
      <c r="P576" s="239"/>
      <c r="Q576" s="239"/>
      <c r="R576" s="239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167"/>
    </row>
    <row r="577" spans="1:29" ht="15.75" customHeight="1">
      <c r="A577" s="177"/>
      <c r="B577" s="239"/>
      <c r="C577" s="260"/>
      <c r="D577" s="278"/>
      <c r="E577" s="260"/>
      <c r="F577" s="239"/>
      <c r="G577" s="239"/>
      <c r="H577" s="239"/>
      <c r="I577" s="239"/>
      <c r="J577" s="239"/>
      <c r="K577" s="239"/>
      <c r="L577" s="240"/>
      <c r="M577" s="239"/>
      <c r="N577" s="239"/>
      <c r="O577" s="239"/>
      <c r="P577" s="239"/>
      <c r="Q577" s="239"/>
      <c r="R577" s="239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167"/>
    </row>
    <row r="578" spans="1:29" ht="15.75" customHeight="1">
      <c r="A578" s="177"/>
      <c r="B578" s="239"/>
      <c r="C578" s="260"/>
      <c r="D578" s="278"/>
      <c r="E578" s="260"/>
      <c r="F578" s="239"/>
      <c r="G578" s="239"/>
      <c r="H578" s="239"/>
      <c r="I578" s="239"/>
      <c r="J578" s="239"/>
      <c r="K578" s="239"/>
      <c r="L578" s="240"/>
      <c r="M578" s="239"/>
      <c r="N578" s="239"/>
      <c r="O578" s="239"/>
      <c r="P578" s="239"/>
      <c r="Q578" s="239"/>
      <c r="R578" s="239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167"/>
    </row>
    <row r="579" spans="1:29" ht="15.75" customHeight="1">
      <c r="A579" s="177"/>
      <c r="B579" s="239"/>
      <c r="C579" s="260"/>
      <c r="D579" s="278"/>
      <c r="E579" s="260"/>
      <c r="F579" s="239"/>
      <c r="G579" s="239"/>
      <c r="H579" s="239"/>
      <c r="I579" s="239"/>
      <c r="J579" s="239"/>
      <c r="K579" s="239"/>
      <c r="L579" s="240"/>
      <c r="M579" s="239"/>
      <c r="N579" s="239"/>
      <c r="O579" s="239"/>
      <c r="P579" s="239"/>
      <c r="Q579" s="239"/>
      <c r="R579" s="239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167"/>
    </row>
    <row r="580" spans="1:29" ht="15.75" customHeight="1">
      <c r="A580" s="177"/>
      <c r="B580" s="239"/>
      <c r="C580" s="260"/>
      <c r="D580" s="278"/>
      <c r="E580" s="260"/>
      <c r="F580" s="239"/>
      <c r="G580" s="239"/>
      <c r="H580" s="239"/>
      <c r="I580" s="239"/>
      <c r="J580" s="239"/>
      <c r="K580" s="239"/>
      <c r="L580" s="240"/>
      <c r="M580" s="239"/>
      <c r="N580" s="239"/>
      <c r="O580" s="239"/>
      <c r="P580" s="239"/>
      <c r="Q580" s="239"/>
      <c r="R580" s="239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167"/>
    </row>
    <row r="581" spans="1:29" ht="15.75" customHeight="1">
      <c r="A581" s="177"/>
      <c r="B581" s="239"/>
      <c r="C581" s="260"/>
      <c r="D581" s="278"/>
      <c r="E581" s="260"/>
      <c r="F581" s="239"/>
      <c r="G581" s="239"/>
      <c r="H581" s="239"/>
      <c r="I581" s="239"/>
      <c r="J581" s="239"/>
      <c r="K581" s="239"/>
      <c r="L581" s="240"/>
      <c r="M581" s="239"/>
      <c r="N581" s="239"/>
      <c r="O581" s="239"/>
      <c r="P581" s="239"/>
      <c r="Q581" s="239"/>
      <c r="R581" s="239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167"/>
    </row>
    <row r="582" spans="1:29" ht="15.75" customHeight="1">
      <c r="A582" s="177"/>
      <c r="B582" s="239"/>
      <c r="C582" s="260"/>
      <c r="D582" s="278"/>
      <c r="E582" s="260"/>
      <c r="F582" s="239"/>
      <c r="G582" s="239"/>
      <c r="H582" s="239"/>
      <c r="I582" s="239"/>
      <c r="J582" s="239"/>
      <c r="K582" s="239"/>
      <c r="L582" s="240"/>
      <c r="M582" s="239"/>
      <c r="N582" s="239"/>
      <c r="O582" s="239"/>
      <c r="P582" s="239"/>
      <c r="Q582" s="239"/>
      <c r="R582" s="239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167"/>
    </row>
    <row r="583" spans="1:29" ht="15.75" customHeight="1">
      <c r="A583" s="177"/>
      <c r="B583" s="239"/>
      <c r="C583" s="260"/>
      <c r="D583" s="278"/>
      <c r="E583" s="260"/>
      <c r="F583" s="239"/>
      <c r="G583" s="239"/>
      <c r="H583" s="239"/>
      <c r="I583" s="239"/>
      <c r="J583" s="239"/>
      <c r="K583" s="239"/>
      <c r="L583" s="240"/>
      <c r="M583" s="239"/>
      <c r="N583" s="239"/>
      <c r="O583" s="239"/>
      <c r="P583" s="239"/>
      <c r="Q583" s="239"/>
      <c r="R583" s="239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167"/>
    </row>
    <row r="584" spans="1:29" ht="15.75" customHeight="1">
      <c r="A584" s="177"/>
      <c r="B584" s="239"/>
      <c r="C584" s="260"/>
      <c r="D584" s="278"/>
      <c r="E584" s="260"/>
      <c r="F584" s="239"/>
      <c r="G584" s="239"/>
      <c r="H584" s="239"/>
      <c r="I584" s="239"/>
      <c r="J584" s="239"/>
      <c r="K584" s="239"/>
      <c r="L584" s="240"/>
      <c r="M584" s="239"/>
      <c r="N584" s="239"/>
      <c r="O584" s="239"/>
      <c r="P584" s="239"/>
      <c r="Q584" s="239"/>
      <c r="R584" s="239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167"/>
    </row>
    <row r="585" spans="1:29" ht="15.75" customHeight="1">
      <c r="A585" s="177"/>
      <c r="B585" s="239"/>
      <c r="C585" s="260"/>
      <c r="D585" s="278"/>
      <c r="E585" s="260"/>
      <c r="F585" s="239"/>
      <c r="G585" s="239"/>
      <c r="H585" s="239"/>
      <c r="I585" s="239"/>
      <c r="J585" s="239"/>
      <c r="K585" s="239"/>
      <c r="L585" s="240"/>
      <c r="M585" s="239"/>
      <c r="N585" s="239"/>
      <c r="O585" s="239"/>
      <c r="P585" s="239"/>
      <c r="Q585" s="239"/>
      <c r="R585" s="239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167"/>
    </row>
    <row r="586" spans="1:29" ht="15.75" customHeight="1">
      <c r="A586" s="177"/>
      <c r="B586" s="239"/>
      <c r="C586" s="260"/>
      <c r="D586" s="278"/>
      <c r="E586" s="260"/>
      <c r="F586" s="239"/>
      <c r="G586" s="239"/>
      <c r="H586" s="239"/>
      <c r="I586" s="239"/>
      <c r="J586" s="239"/>
      <c r="K586" s="239"/>
      <c r="L586" s="240"/>
      <c r="M586" s="239"/>
      <c r="N586" s="239"/>
      <c r="O586" s="239"/>
      <c r="P586" s="239"/>
      <c r="Q586" s="239"/>
      <c r="R586" s="239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167"/>
    </row>
    <row r="587" spans="1:29" ht="15.75" customHeight="1">
      <c r="A587" s="177"/>
      <c r="B587" s="239"/>
      <c r="C587" s="260"/>
      <c r="D587" s="278"/>
      <c r="E587" s="260"/>
      <c r="F587" s="239"/>
      <c r="G587" s="239"/>
      <c r="H587" s="239"/>
      <c r="I587" s="239"/>
      <c r="J587" s="239"/>
      <c r="K587" s="239"/>
      <c r="L587" s="240"/>
      <c r="M587" s="239"/>
      <c r="N587" s="239"/>
      <c r="O587" s="239"/>
      <c r="P587" s="239"/>
      <c r="Q587" s="239"/>
      <c r="R587" s="239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167"/>
    </row>
    <row r="588" spans="1:29" ht="15.75" customHeight="1">
      <c r="A588" s="177"/>
      <c r="B588" s="239"/>
      <c r="C588" s="260"/>
      <c r="D588" s="278"/>
      <c r="E588" s="260"/>
      <c r="F588" s="239"/>
      <c r="G588" s="239"/>
      <c r="H588" s="239"/>
      <c r="I588" s="239"/>
      <c r="J588" s="239"/>
      <c r="K588" s="239"/>
      <c r="L588" s="240"/>
      <c r="M588" s="239"/>
      <c r="N588" s="239"/>
      <c r="O588" s="239"/>
      <c r="P588" s="239"/>
      <c r="Q588" s="239"/>
      <c r="R588" s="239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167"/>
    </row>
    <row r="589" spans="1:29" ht="15.75" customHeight="1">
      <c r="A589" s="177"/>
      <c r="B589" s="239"/>
      <c r="C589" s="260"/>
      <c r="D589" s="278"/>
      <c r="E589" s="260"/>
      <c r="F589" s="239"/>
      <c r="G589" s="239"/>
      <c r="H589" s="239"/>
      <c r="I589" s="239"/>
      <c r="J589" s="239"/>
      <c r="K589" s="239"/>
      <c r="L589" s="240"/>
      <c r="M589" s="239"/>
      <c r="N589" s="239"/>
      <c r="O589" s="239"/>
      <c r="P589" s="239"/>
      <c r="Q589" s="239"/>
      <c r="R589" s="239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167"/>
    </row>
    <row r="590" spans="1:29" ht="15.75" customHeight="1">
      <c r="A590" s="177"/>
      <c r="B590" s="239"/>
      <c r="C590" s="260"/>
      <c r="D590" s="278"/>
      <c r="E590" s="260"/>
      <c r="F590" s="239"/>
      <c r="G590" s="239"/>
      <c r="H590" s="239"/>
      <c r="I590" s="239"/>
      <c r="J590" s="239"/>
      <c r="K590" s="239"/>
      <c r="L590" s="240"/>
      <c r="M590" s="239"/>
      <c r="N590" s="239"/>
      <c r="O590" s="239"/>
      <c r="P590" s="239"/>
      <c r="Q590" s="239"/>
      <c r="R590" s="239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167"/>
    </row>
    <row r="591" spans="1:29" ht="15.75" customHeight="1">
      <c r="A591" s="177"/>
      <c r="B591" s="239"/>
      <c r="C591" s="260"/>
      <c r="D591" s="278"/>
      <c r="E591" s="260"/>
      <c r="F591" s="239"/>
      <c r="G591" s="239"/>
      <c r="H591" s="239"/>
      <c r="I591" s="239"/>
      <c r="J591" s="239"/>
      <c r="K591" s="239"/>
      <c r="L591" s="240"/>
      <c r="M591" s="239"/>
      <c r="N591" s="239"/>
      <c r="O591" s="239"/>
      <c r="P591" s="239"/>
      <c r="Q591" s="239"/>
      <c r="R591" s="239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167"/>
    </row>
    <row r="592" spans="1:29" ht="15.75" customHeight="1">
      <c r="A592" s="177"/>
      <c r="B592" s="239"/>
      <c r="C592" s="260"/>
      <c r="D592" s="278"/>
      <c r="E592" s="260"/>
      <c r="F592" s="239"/>
      <c r="G592" s="239"/>
      <c r="H592" s="239"/>
      <c r="I592" s="239"/>
      <c r="J592" s="239"/>
      <c r="K592" s="239"/>
      <c r="L592" s="240"/>
      <c r="M592" s="239"/>
      <c r="N592" s="239"/>
      <c r="O592" s="239"/>
      <c r="P592" s="239"/>
      <c r="Q592" s="239"/>
      <c r="R592" s="239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167"/>
    </row>
    <row r="593" spans="1:29" ht="15.75" customHeight="1">
      <c r="A593" s="177"/>
      <c r="B593" s="239"/>
      <c r="C593" s="260"/>
      <c r="D593" s="278"/>
      <c r="E593" s="260"/>
      <c r="F593" s="239"/>
      <c r="G593" s="239"/>
      <c r="H593" s="239"/>
      <c r="I593" s="239"/>
      <c r="J593" s="239"/>
      <c r="K593" s="239"/>
      <c r="L593" s="240"/>
      <c r="M593" s="239"/>
      <c r="N593" s="239"/>
      <c r="O593" s="239"/>
      <c r="P593" s="239"/>
      <c r="Q593" s="239"/>
      <c r="R593" s="239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167"/>
    </row>
    <row r="594" spans="1:29" ht="15.75" customHeight="1">
      <c r="A594" s="177"/>
      <c r="B594" s="239"/>
      <c r="C594" s="260"/>
      <c r="D594" s="278"/>
      <c r="E594" s="260"/>
      <c r="F594" s="239"/>
      <c r="G594" s="239"/>
      <c r="H594" s="239"/>
      <c r="I594" s="239"/>
      <c r="J594" s="239"/>
      <c r="K594" s="239"/>
      <c r="L594" s="240"/>
      <c r="M594" s="239"/>
      <c r="N594" s="239"/>
      <c r="O594" s="239"/>
      <c r="P594" s="239"/>
      <c r="Q594" s="239"/>
      <c r="R594" s="239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167"/>
    </row>
    <row r="595" spans="1:29" ht="15.75" customHeight="1">
      <c r="A595" s="177"/>
      <c r="B595" s="239"/>
      <c r="C595" s="260"/>
      <c r="D595" s="278"/>
      <c r="E595" s="260"/>
      <c r="F595" s="239"/>
      <c r="G595" s="239"/>
      <c r="H595" s="239"/>
      <c r="I595" s="239"/>
      <c r="J595" s="239"/>
      <c r="K595" s="239"/>
      <c r="L595" s="240"/>
      <c r="M595" s="239"/>
      <c r="N595" s="239"/>
      <c r="O595" s="239"/>
      <c r="P595" s="239"/>
      <c r="Q595" s="239"/>
      <c r="R595" s="239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167"/>
    </row>
    <row r="596" spans="1:29" ht="15.75" customHeight="1">
      <c r="A596" s="177"/>
      <c r="B596" s="239"/>
      <c r="C596" s="260"/>
      <c r="D596" s="278"/>
      <c r="E596" s="260"/>
      <c r="F596" s="239"/>
      <c r="G596" s="239"/>
      <c r="H596" s="239"/>
      <c r="I596" s="239"/>
      <c r="J596" s="239"/>
      <c r="K596" s="239"/>
      <c r="L596" s="240"/>
      <c r="M596" s="239"/>
      <c r="N596" s="239"/>
      <c r="O596" s="239"/>
      <c r="P596" s="239"/>
      <c r="Q596" s="239"/>
      <c r="R596" s="239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167"/>
    </row>
    <row r="597" spans="1:29" ht="15.75" customHeight="1">
      <c r="A597" s="177"/>
      <c r="B597" s="239"/>
      <c r="C597" s="260"/>
      <c r="D597" s="278"/>
      <c r="E597" s="260"/>
      <c r="F597" s="239"/>
      <c r="G597" s="239"/>
      <c r="H597" s="239"/>
      <c r="I597" s="239"/>
      <c r="J597" s="239"/>
      <c r="K597" s="239"/>
      <c r="L597" s="240"/>
      <c r="M597" s="239"/>
      <c r="N597" s="239"/>
      <c r="O597" s="239"/>
      <c r="P597" s="239"/>
      <c r="Q597" s="239"/>
      <c r="R597" s="239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167"/>
    </row>
    <row r="598" spans="1:29" ht="15.75" customHeight="1">
      <c r="A598" s="177"/>
      <c r="B598" s="239"/>
      <c r="C598" s="260"/>
      <c r="D598" s="278"/>
      <c r="E598" s="260"/>
      <c r="F598" s="239"/>
      <c r="G598" s="239"/>
      <c r="H598" s="239"/>
      <c r="I598" s="239"/>
      <c r="J598" s="239"/>
      <c r="K598" s="239"/>
      <c r="L598" s="240"/>
      <c r="M598" s="239"/>
      <c r="N598" s="239"/>
      <c r="O598" s="239"/>
      <c r="P598" s="239"/>
      <c r="Q598" s="239"/>
      <c r="R598" s="239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167"/>
    </row>
    <row r="599" spans="1:29" ht="15.75" customHeight="1">
      <c r="A599" s="177"/>
      <c r="B599" s="239"/>
      <c r="C599" s="260"/>
      <c r="D599" s="278"/>
      <c r="E599" s="260"/>
      <c r="F599" s="239"/>
      <c r="G599" s="239"/>
      <c r="H599" s="239"/>
      <c r="I599" s="239"/>
      <c r="J599" s="239"/>
      <c r="K599" s="239"/>
      <c r="L599" s="240"/>
      <c r="M599" s="239"/>
      <c r="N599" s="239"/>
      <c r="O599" s="239"/>
      <c r="P599" s="239"/>
      <c r="Q599" s="239"/>
      <c r="R599" s="239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167"/>
    </row>
    <row r="600" spans="1:29" ht="15.75" customHeight="1">
      <c r="A600" s="177"/>
      <c r="B600" s="239"/>
      <c r="C600" s="260"/>
      <c r="D600" s="278"/>
      <c r="E600" s="260"/>
      <c r="F600" s="239"/>
      <c r="G600" s="239"/>
      <c r="H600" s="239"/>
      <c r="I600" s="239"/>
      <c r="J600" s="239"/>
      <c r="K600" s="239"/>
      <c r="L600" s="240"/>
      <c r="M600" s="239"/>
      <c r="N600" s="239"/>
      <c r="O600" s="239"/>
      <c r="P600" s="239"/>
      <c r="Q600" s="239"/>
      <c r="R600" s="239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167"/>
    </row>
    <row r="601" spans="1:29" ht="15.75" customHeight="1">
      <c r="A601" s="177"/>
      <c r="B601" s="239"/>
      <c r="C601" s="260"/>
      <c r="D601" s="278"/>
      <c r="E601" s="260"/>
      <c r="F601" s="239"/>
      <c r="G601" s="239"/>
      <c r="H601" s="239"/>
      <c r="I601" s="239"/>
      <c r="J601" s="239"/>
      <c r="K601" s="239"/>
      <c r="L601" s="240"/>
      <c r="M601" s="239"/>
      <c r="N601" s="239"/>
      <c r="O601" s="239"/>
      <c r="P601" s="239"/>
      <c r="Q601" s="239"/>
      <c r="R601" s="239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167"/>
    </row>
    <row r="602" spans="1:29" ht="15.75" customHeight="1">
      <c r="A602" s="177"/>
      <c r="B602" s="239"/>
      <c r="C602" s="260"/>
      <c r="D602" s="278"/>
      <c r="E602" s="260"/>
      <c r="F602" s="239"/>
      <c r="G602" s="239"/>
      <c r="H602" s="239"/>
      <c r="I602" s="239"/>
      <c r="J602" s="239"/>
      <c r="K602" s="239"/>
      <c r="L602" s="240"/>
      <c r="M602" s="239"/>
      <c r="N602" s="239"/>
      <c r="O602" s="239"/>
      <c r="P602" s="239"/>
      <c r="Q602" s="239"/>
      <c r="R602" s="239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167"/>
    </row>
    <row r="603" spans="1:29" ht="15.75" customHeight="1">
      <c r="A603" s="177"/>
      <c r="B603" s="239"/>
      <c r="C603" s="260"/>
      <c r="D603" s="278"/>
      <c r="E603" s="260"/>
      <c r="F603" s="239"/>
      <c r="G603" s="239"/>
      <c r="H603" s="239"/>
      <c r="I603" s="239"/>
      <c r="J603" s="239"/>
      <c r="K603" s="239"/>
      <c r="L603" s="240"/>
      <c r="M603" s="239"/>
      <c r="N603" s="239"/>
      <c r="O603" s="239"/>
      <c r="P603" s="239"/>
      <c r="Q603" s="239"/>
      <c r="R603" s="239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167"/>
    </row>
    <row r="604" spans="1:29" ht="15.75" customHeight="1">
      <c r="A604" s="177"/>
      <c r="B604" s="239"/>
      <c r="C604" s="260"/>
      <c r="D604" s="278"/>
      <c r="E604" s="260"/>
      <c r="F604" s="239"/>
      <c r="G604" s="239"/>
      <c r="H604" s="239"/>
      <c r="I604" s="239"/>
      <c r="J604" s="239"/>
      <c r="K604" s="239"/>
      <c r="L604" s="240"/>
      <c r="M604" s="239"/>
      <c r="N604" s="239"/>
      <c r="O604" s="239"/>
      <c r="P604" s="239"/>
      <c r="Q604" s="239"/>
      <c r="R604" s="239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167"/>
    </row>
    <row r="605" spans="1:29" ht="15.75" customHeight="1">
      <c r="A605" s="177"/>
      <c r="B605" s="239"/>
      <c r="C605" s="260"/>
      <c r="D605" s="278"/>
      <c r="E605" s="260"/>
      <c r="F605" s="239"/>
      <c r="G605" s="239"/>
      <c r="H605" s="239"/>
      <c r="I605" s="239"/>
      <c r="J605" s="239"/>
      <c r="K605" s="239"/>
      <c r="L605" s="240"/>
      <c r="M605" s="239"/>
      <c r="N605" s="239"/>
      <c r="O605" s="239"/>
      <c r="P605" s="239"/>
      <c r="Q605" s="239"/>
      <c r="R605" s="239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167"/>
    </row>
    <row r="606" spans="1:29" ht="15.75" customHeight="1">
      <c r="A606" s="177"/>
      <c r="B606" s="239"/>
      <c r="C606" s="260"/>
      <c r="D606" s="278"/>
      <c r="E606" s="260"/>
      <c r="F606" s="239"/>
      <c r="G606" s="239"/>
      <c r="H606" s="239"/>
      <c r="I606" s="239"/>
      <c r="J606" s="239"/>
      <c r="K606" s="239"/>
      <c r="L606" s="240"/>
      <c r="M606" s="239"/>
      <c r="N606" s="239"/>
      <c r="O606" s="239"/>
      <c r="P606" s="239"/>
      <c r="Q606" s="239"/>
      <c r="R606" s="239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167"/>
    </row>
    <row r="607" spans="1:29" ht="15.75" customHeight="1">
      <c r="A607" s="177"/>
      <c r="B607" s="239"/>
      <c r="C607" s="260"/>
      <c r="D607" s="278"/>
      <c r="E607" s="260"/>
      <c r="F607" s="239"/>
      <c r="G607" s="239"/>
      <c r="H607" s="239"/>
      <c r="I607" s="239"/>
      <c r="J607" s="239"/>
      <c r="K607" s="239"/>
      <c r="L607" s="240"/>
      <c r="M607" s="239"/>
      <c r="N607" s="239"/>
      <c r="O607" s="239"/>
      <c r="P607" s="239"/>
      <c r="Q607" s="239"/>
      <c r="R607" s="239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167"/>
    </row>
    <row r="608" spans="1:29" ht="15.75" customHeight="1">
      <c r="A608" s="177"/>
      <c r="B608" s="239"/>
      <c r="C608" s="260"/>
      <c r="D608" s="278"/>
      <c r="E608" s="260"/>
      <c r="F608" s="239"/>
      <c r="G608" s="239"/>
      <c r="H608" s="239"/>
      <c r="I608" s="239"/>
      <c r="J608" s="239"/>
      <c r="K608" s="239"/>
      <c r="L608" s="240"/>
      <c r="M608" s="239"/>
      <c r="N608" s="239"/>
      <c r="O608" s="239"/>
      <c r="P608" s="239"/>
      <c r="Q608" s="239"/>
      <c r="R608" s="239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167"/>
    </row>
    <row r="609" spans="1:29" ht="15.75" customHeight="1">
      <c r="A609" s="177"/>
      <c r="B609" s="239"/>
      <c r="C609" s="260"/>
      <c r="D609" s="278"/>
      <c r="E609" s="260"/>
      <c r="F609" s="239"/>
      <c r="G609" s="239"/>
      <c r="H609" s="239"/>
      <c r="I609" s="239"/>
      <c r="J609" s="239"/>
      <c r="K609" s="239"/>
      <c r="L609" s="240"/>
      <c r="M609" s="239"/>
      <c r="N609" s="239"/>
      <c r="O609" s="239"/>
      <c r="P609" s="239"/>
      <c r="Q609" s="239"/>
      <c r="R609" s="239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167"/>
    </row>
    <row r="610" spans="1:29" ht="15.75" customHeight="1">
      <c r="A610" s="177"/>
      <c r="B610" s="239"/>
      <c r="C610" s="260"/>
      <c r="D610" s="278"/>
      <c r="E610" s="260"/>
      <c r="F610" s="239"/>
      <c r="G610" s="239"/>
      <c r="H610" s="239"/>
      <c r="I610" s="239"/>
      <c r="J610" s="239"/>
      <c r="K610" s="239"/>
      <c r="L610" s="240"/>
      <c r="M610" s="239"/>
      <c r="N610" s="239"/>
      <c r="O610" s="239"/>
      <c r="P610" s="239"/>
      <c r="Q610" s="239"/>
      <c r="R610" s="239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167"/>
    </row>
    <row r="611" spans="1:29" ht="15.75" customHeight="1">
      <c r="A611" s="177"/>
      <c r="B611" s="239"/>
      <c r="C611" s="260"/>
      <c r="D611" s="278"/>
      <c r="E611" s="260"/>
      <c r="F611" s="239"/>
      <c r="G611" s="239"/>
      <c r="H611" s="239"/>
      <c r="I611" s="239"/>
      <c r="J611" s="239"/>
      <c r="K611" s="239"/>
      <c r="L611" s="240"/>
      <c r="M611" s="239"/>
      <c r="N611" s="239"/>
      <c r="O611" s="239"/>
      <c r="P611" s="239"/>
      <c r="Q611" s="239"/>
      <c r="R611" s="239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167"/>
    </row>
    <row r="612" spans="1:29" ht="15.75" customHeight="1">
      <c r="A612" s="177"/>
      <c r="B612" s="239"/>
      <c r="C612" s="260"/>
      <c r="D612" s="278"/>
      <c r="E612" s="260"/>
      <c r="F612" s="239"/>
      <c r="G612" s="239"/>
      <c r="H612" s="239"/>
      <c r="I612" s="239"/>
      <c r="J612" s="239"/>
      <c r="K612" s="239"/>
      <c r="L612" s="240"/>
      <c r="M612" s="239"/>
      <c r="N612" s="239"/>
      <c r="O612" s="239"/>
      <c r="P612" s="239"/>
      <c r="Q612" s="239"/>
      <c r="R612" s="239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167"/>
    </row>
    <row r="613" spans="1:29" ht="15.75" customHeight="1">
      <c r="A613" s="177"/>
      <c r="B613" s="239"/>
      <c r="C613" s="260"/>
      <c r="D613" s="278"/>
      <c r="E613" s="260"/>
      <c r="F613" s="239"/>
      <c r="G613" s="239"/>
      <c r="H613" s="239"/>
      <c r="I613" s="239"/>
      <c r="J613" s="239"/>
      <c r="K613" s="239"/>
      <c r="L613" s="240"/>
      <c r="M613" s="239"/>
      <c r="N613" s="239"/>
      <c r="O613" s="239"/>
      <c r="P613" s="239"/>
      <c r="Q613" s="239"/>
      <c r="R613" s="239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167"/>
    </row>
    <row r="614" spans="1:29" ht="15.75" customHeight="1">
      <c r="A614" s="177"/>
      <c r="B614" s="239"/>
      <c r="C614" s="260"/>
      <c r="D614" s="278"/>
      <c r="E614" s="260"/>
      <c r="F614" s="239"/>
      <c r="G614" s="239"/>
      <c r="H614" s="239"/>
      <c r="I614" s="239"/>
      <c r="J614" s="239"/>
      <c r="K614" s="239"/>
      <c r="L614" s="240"/>
      <c r="M614" s="239"/>
      <c r="N614" s="239"/>
      <c r="O614" s="239"/>
      <c r="P614" s="239"/>
      <c r="Q614" s="239"/>
      <c r="R614" s="239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167"/>
    </row>
    <row r="615" spans="1:29" ht="15.75" customHeight="1">
      <c r="A615" s="177"/>
      <c r="B615" s="239"/>
      <c r="C615" s="260"/>
      <c r="D615" s="278"/>
      <c r="E615" s="260"/>
      <c r="F615" s="239"/>
      <c r="G615" s="239"/>
      <c r="H615" s="239"/>
      <c r="I615" s="239"/>
      <c r="J615" s="239"/>
      <c r="K615" s="239"/>
      <c r="L615" s="240"/>
      <c r="M615" s="239"/>
      <c r="N615" s="239"/>
      <c r="O615" s="239"/>
      <c r="P615" s="239"/>
      <c r="Q615" s="239"/>
      <c r="R615" s="239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167"/>
    </row>
    <row r="616" spans="1:29" ht="15.75" customHeight="1">
      <c r="A616" s="177"/>
      <c r="B616" s="239"/>
      <c r="C616" s="260"/>
      <c r="D616" s="278"/>
      <c r="E616" s="260"/>
      <c r="F616" s="239"/>
      <c r="G616" s="239"/>
      <c r="H616" s="239"/>
      <c r="I616" s="239"/>
      <c r="J616" s="239"/>
      <c r="K616" s="239"/>
      <c r="L616" s="240"/>
      <c r="M616" s="239"/>
      <c r="N616" s="239"/>
      <c r="O616" s="239"/>
      <c r="P616" s="239"/>
      <c r="Q616" s="239"/>
      <c r="R616" s="239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167"/>
    </row>
    <row r="617" spans="1:29" ht="15.75" customHeight="1">
      <c r="A617" s="177"/>
      <c r="B617" s="239"/>
      <c r="C617" s="260"/>
      <c r="D617" s="278"/>
      <c r="E617" s="260"/>
      <c r="F617" s="239"/>
      <c r="G617" s="239"/>
      <c r="H617" s="239"/>
      <c r="I617" s="239"/>
      <c r="J617" s="239"/>
      <c r="K617" s="239"/>
      <c r="L617" s="240"/>
      <c r="M617" s="239"/>
      <c r="N617" s="239"/>
      <c r="O617" s="239"/>
      <c r="P617" s="239"/>
      <c r="Q617" s="239"/>
      <c r="R617" s="239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167"/>
    </row>
    <row r="618" spans="1:29" ht="15.75" customHeight="1">
      <c r="A618" s="177"/>
      <c r="B618" s="239"/>
      <c r="C618" s="260"/>
      <c r="D618" s="278"/>
      <c r="E618" s="260"/>
      <c r="F618" s="239"/>
      <c r="G618" s="239"/>
      <c r="H618" s="239"/>
      <c r="I618" s="239"/>
      <c r="J618" s="239"/>
      <c r="K618" s="239"/>
      <c r="L618" s="240"/>
      <c r="M618" s="239"/>
      <c r="N618" s="239"/>
      <c r="O618" s="239"/>
      <c r="P618" s="239"/>
      <c r="Q618" s="239"/>
      <c r="R618" s="239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167"/>
    </row>
    <row r="619" spans="1:29" ht="15.75" customHeight="1">
      <c r="A619" s="177"/>
      <c r="B619" s="239"/>
      <c r="C619" s="260"/>
      <c r="D619" s="278"/>
      <c r="E619" s="260"/>
      <c r="F619" s="239"/>
      <c r="G619" s="239"/>
      <c r="H619" s="239"/>
      <c r="I619" s="239"/>
      <c r="J619" s="239"/>
      <c r="K619" s="239"/>
      <c r="L619" s="240"/>
      <c r="M619" s="239"/>
      <c r="N619" s="239"/>
      <c r="O619" s="239"/>
      <c r="P619" s="239"/>
      <c r="Q619" s="239"/>
      <c r="R619" s="239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167"/>
    </row>
    <row r="620" spans="1:29" ht="15.75" customHeight="1">
      <c r="A620" s="177"/>
      <c r="B620" s="239"/>
      <c r="C620" s="260"/>
      <c r="D620" s="278"/>
      <c r="E620" s="260"/>
      <c r="F620" s="239"/>
      <c r="G620" s="239"/>
      <c r="H620" s="239"/>
      <c r="I620" s="239"/>
      <c r="J620" s="239"/>
      <c r="K620" s="239"/>
      <c r="L620" s="240"/>
      <c r="M620" s="239"/>
      <c r="N620" s="239"/>
      <c r="O620" s="239"/>
      <c r="P620" s="239"/>
      <c r="Q620" s="239"/>
      <c r="R620" s="239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167"/>
    </row>
    <row r="621" spans="1:29" ht="15.75" customHeight="1">
      <c r="A621" s="177"/>
      <c r="B621" s="239"/>
      <c r="C621" s="260"/>
      <c r="D621" s="278"/>
      <c r="E621" s="260"/>
      <c r="F621" s="239"/>
      <c r="G621" s="239"/>
      <c r="H621" s="239"/>
      <c r="I621" s="239"/>
      <c r="J621" s="239"/>
      <c r="K621" s="239"/>
      <c r="L621" s="240"/>
      <c r="M621" s="239"/>
      <c r="N621" s="239"/>
      <c r="O621" s="239"/>
      <c r="P621" s="239"/>
      <c r="Q621" s="239"/>
      <c r="R621" s="239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167"/>
    </row>
    <row r="622" spans="1:29" ht="15.75" customHeight="1">
      <c r="A622" s="177"/>
      <c r="B622" s="239"/>
      <c r="C622" s="260"/>
      <c r="D622" s="278"/>
      <c r="E622" s="260"/>
      <c r="F622" s="239"/>
      <c r="G622" s="239"/>
      <c r="H622" s="239"/>
      <c r="I622" s="239"/>
      <c r="J622" s="239"/>
      <c r="K622" s="239"/>
      <c r="L622" s="240"/>
      <c r="M622" s="239"/>
      <c r="N622" s="239"/>
      <c r="O622" s="239"/>
      <c r="P622" s="239"/>
      <c r="Q622" s="239"/>
      <c r="R622" s="239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167"/>
    </row>
    <row r="623" spans="1:29" ht="15.75" customHeight="1">
      <c r="A623" s="177"/>
      <c r="B623" s="239"/>
      <c r="C623" s="260"/>
      <c r="D623" s="278"/>
      <c r="E623" s="260"/>
      <c r="F623" s="239"/>
      <c r="G623" s="239"/>
      <c r="H623" s="239"/>
      <c r="I623" s="239"/>
      <c r="J623" s="239"/>
      <c r="K623" s="239"/>
      <c r="L623" s="240"/>
      <c r="M623" s="239"/>
      <c r="N623" s="239"/>
      <c r="O623" s="239"/>
      <c r="P623" s="239"/>
      <c r="Q623" s="239"/>
      <c r="R623" s="239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167"/>
    </row>
    <row r="624" spans="1:29" ht="15.75" customHeight="1">
      <c r="A624" s="177"/>
      <c r="B624" s="239"/>
      <c r="C624" s="260"/>
      <c r="D624" s="278"/>
      <c r="E624" s="260"/>
      <c r="F624" s="239"/>
      <c r="G624" s="239"/>
      <c r="H624" s="239"/>
      <c r="I624" s="239"/>
      <c r="J624" s="239"/>
      <c r="K624" s="239"/>
      <c r="L624" s="240"/>
      <c r="M624" s="239"/>
      <c r="N624" s="239"/>
      <c r="O624" s="239"/>
      <c r="P624" s="239"/>
      <c r="Q624" s="239"/>
      <c r="R624" s="239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167"/>
    </row>
    <row r="625" spans="1:29" ht="15.75" customHeight="1">
      <c r="A625" s="177"/>
      <c r="B625" s="239"/>
      <c r="C625" s="260"/>
      <c r="D625" s="278"/>
      <c r="E625" s="260"/>
      <c r="F625" s="239"/>
      <c r="G625" s="239"/>
      <c r="H625" s="239"/>
      <c r="I625" s="239"/>
      <c r="J625" s="239"/>
      <c r="K625" s="239"/>
      <c r="L625" s="240"/>
      <c r="M625" s="239"/>
      <c r="N625" s="239"/>
      <c r="O625" s="239"/>
      <c r="P625" s="239"/>
      <c r="Q625" s="239"/>
      <c r="R625" s="239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167"/>
    </row>
    <row r="626" spans="1:29" ht="15.75" customHeight="1">
      <c r="A626" s="177"/>
      <c r="B626" s="239"/>
      <c r="C626" s="260"/>
      <c r="D626" s="278"/>
      <c r="E626" s="260"/>
      <c r="F626" s="239"/>
      <c r="G626" s="239"/>
      <c r="H626" s="239"/>
      <c r="I626" s="239"/>
      <c r="J626" s="239"/>
      <c r="K626" s="239"/>
      <c r="L626" s="240"/>
      <c r="M626" s="239"/>
      <c r="N626" s="239"/>
      <c r="O626" s="239"/>
      <c r="P626" s="239"/>
      <c r="Q626" s="239"/>
      <c r="R626" s="239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167"/>
    </row>
    <row r="627" spans="1:29" ht="15.75" customHeight="1">
      <c r="A627" s="177"/>
      <c r="B627" s="239"/>
      <c r="C627" s="260"/>
      <c r="D627" s="278"/>
      <c r="E627" s="260"/>
      <c r="F627" s="239"/>
      <c r="G627" s="239"/>
      <c r="H627" s="239"/>
      <c r="I627" s="239"/>
      <c r="J627" s="239"/>
      <c r="K627" s="239"/>
      <c r="L627" s="240"/>
      <c r="M627" s="239"/>
      <c r="N627" s="239"/>
      <c r="O627" s="239"/>
      <c r="P627" s="239"/>
      <c r="Q627" s="239"/>
      <c r="R627" s="239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167"/>
    </row>
    <row r="628" spans="1:29" ht="15.75" customHeight="1">
      <c r="A628" s="177"/>
      <c r="B628" s="239"/>
      <c r="C628" s="260"/>
      <c r="D628" s="278"/>
      <c r="E628" s="260"/>
      <c r="F628" s="239"/>
      <c r="G628" s="239"/>
      <c r="H628" s="239"/>
      <c r="I628" s="239"/>
      <c r="J628" s="239"/>
      <c r="K628" s="239"/>
      <c r="L628" s="240"/>
      <c r="M628" s="239"/>
      <c r="N628" s="239"/>
      <c r="O628" s="239"/>
      <c r="P628" s="239"/>
      <c r="Q628" s="239"/>
      <c r="R628" s="239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167"/>
    </row>
    <row r="629" spans="1:29" ht="15.75" customHeight="1">
      <c r="A629" s="177"/>
      <c r="B629" s="239"/>
      <c r="C629" s="260"/>
      <c r="D629" s="278"/>
      <c r="E629" s="260"/>
      <c r="F629" s="239"/>
      <c r="G629" s="239"/>
      <c r="H629" s="239"/>
      <c r="I629" s="239"/>
      <c r="J629" s="239"/>
      <c r="K629" s="239"/>
      <c r="L629" s="240"/>
      <c r="M629" s="239"/>
      <c r="N629" s="239"/>
      <c r="O629" s="239"/>
      <c r="P629" s="239"/>
      <c r="Q629" s="239"/>
      <c r="R629" s="239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167"/>
    </row>
    <row r="630" spans="1:29" ht="15.75" customHeight="1">
      <c r="A630" s="177"/>
      <c r="B630" s="239"/>
      <c r="C630" s="260"/>
      <c r="D630" s="278"/>
      <c r="E630" s="260"/>
      <c r="F630" s="239"/>
      <c r="G630" s="239"/>
      <c r="H630" s="239"/>
      <c r="I630" s="239"/>
      <c r="J630" s="239"/>
      <c r="K630" s="239"/>
      <c r="L630" s="240"/>
      <c r="M630" s="239"/>
      <c r="N630" s="239"/>
      <c r="O630" s="239"/>
      <c r="P630" s="239"/>
      <c r="Q630" s="239"/>
      <c r="R630" s="239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167"/>
    </row>
    <row r="631" spans="1:29" ht="15.75" customHeight="1">
      <c r="A631" s="177"/>
      <c r="B631" s="239"/>
      <c r="C631" s="260"/>
      <c r="D631" s="278"/>
      <c r="E631" s="260"/>
      <c r="F631" s="239"/>
      <c r="G631" s="239"/>
      <c r="H631" s="239"/>
      <c r="I631" s="239"/>
      <c r="J631" s="239"/>
      <c r="K631" s="239"/>
      <c r="L631" s="240"/>
      <c r="M631" s="239"/>
      <c r="N631" s="239"/>
      <c r="O631" s="239"/>
      <c r="P631" s="239"/>
      <c r="Q631" s="239"/>
      <c r="R631" s="239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167"/>
    </row>
    <row r="632" spans="1:29" ht="15.75" customHeight="1">
      <c r="A632" s="177"/>
      <c r="B632" s="239"/>
      <c r="C632" s="260"/>
      <c r="D632" s="278"/>
      <c r="E632" s="260"/>
      <c r="F632" s="239"/>
      <c r="G632" s="239"/>
      <c r="H632" s="239"/>
      <c r="I632" s="239"/>
      <c r="J632" s="239"/>
      <c r="K632" s="239"/>
      <c r="L632" s="240"/>
      <c r="M632" s="239"/>
      <c r="N632" s="239"/>
      <c r="O632" s="239"/>
      <c r="P632" s="239"/>
      <c r="Q632" s="239"/>
      <c r="R632" s="239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167"/>
    </row>
    <row r="633" spans="1:29" ht="15.75" customHeight="1">
      <c r="A633" s="177"/>
      <c r="B633" s="239"/>
      <c r="C633" s="260"/>
      <c r="D633" s="278"/>
      <c r="E633" s="260"/>
      <c r="F633" s="239"/>
      <c r="G633" s="239"/>
      <c r="H633" s="239"/>
      <c r="I633" s="239"/>
      <c r="J633" s="239"/>
      <c r="K633" s="239"/>
      <c r="L633" s="240"/>
      <c r="M633" s="239"/>
      <c r="N633" s="239"/>
      <c r="O633" s="239"/>
      <c r="P633" s="239"/>
      <c r="Q633" s="239"/>
      <c r="R633" s="239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167"/>
    </row>
    <row r="634" spans="1:29" ht="15.75" customHeight="1">
      <c r="A634" s="177"/>
      <c r="B634" s="239"/>
      <c r="C634" s="260"/>
      <c r="D634" s="278"/>
      <c r="E634" s="260"/>
      <c r="F634" s="239"/>
      <c r="G634" s="239"/>
      <c r="H634" s="239"/>
      <c r="I634" s="239"/>
      <c r="J634" s="239"/>
      <c r="K634" s="239"/>
      <c r="L634" s="240"/>
      <c r="M634" s="239"/>
      <c r="N634" s="239"/>
      <c r="O634" s="239"/>
      <c r="P634" s="239"/>
      <c r="Q634" s="239"/>
      <c r="R634" s="239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167"/>
    </row>
    <row r="635" spans="1:29" ht="15.75" customHeight="1">
      <c r="A635" s="177"/>
      <c r="B635" s="239"/>
      <c r="C635" s="260"/>
      <c r="D635" s="278"/>
      <c r="E635" s="260"/>
      <c r="F635" s="239"/>
      <c r="G635" s="239"/>
      <c r="H635" s="239"/>
      <c r="I635" s="239"/>
      <c r="J635" s="239"/>
      <c r="K635" s="239"/>
      <c r="L635" s="240"/>
      <c r="M635" s="239"/>
      <c r="N635" s="239"/>
      <c r="O635" s="239"/>
      <c r="P635" s="239"/>
      <c r="Q635" s="239"/>
      <c r="R635" s="239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167"/>
    </row>
    <row r="636" spans="1:29" ht="15.75" customHeight="1">
      <c r="A636" s="177"/>
      <c r="B636" s="239"/>
      <c r="C636" s="260"/>
      <c r="D636" s="278"/>
      <c r="E636" s="260"/>
      <c r="F636" s="239"/>
      <c r="G636" s="239"/>
      <c r="H636" s="239"/>
      <c r="I636" s="239"/>
      <c r="J636" s="239"/>
      <c r="K636" s="239"/>
      <c r="L636" s="240"/>
      <c r="M636" s="239"/>
      <c r="N636" s="239"/>
      <c r="O636" s="239"/>
      <c r="P636" s="239"/>
      <c r="Q636" s="239"/>
      <c r="R636" s="239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167"/>
    </row>
    <row r="637" spans="1:29" ht="15.75" customHeight="1">
      <c r="A637" s="177"/>
      <c r="B637" s="239"/>
      <c r="C637" s="260"/>
      <c r="D637" s="278"/>
      <c r="E637" s="260"/>
      <c r="F637" s="239"/>
      <c r="G637" s="239"/>
      <c r="H637" s="239"/>
      <c r="I637" s="239"/>
      <c r="J637" s="239"/>
      <c r="K637" s="239"/>
      <c r="L637" s="240"/>
      <c r="M637" s="239"/>
      <c r="N637" s="239"/>
      <c r="O637" s="239"/>
      <c r="P637" s="239"/>
      <c r="Q637" s="239"/>
      <c r="R637" s="239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167"/>
    </row>
    <row r="638" spans="1:29" ht="15.75" customHeight="1">
      <c r="A638" s="167"/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spans="1:29" ht="15.75" customHeight="1">
      <c r="A639" s="167"/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spans="1:29" ht="15.75" customHeight="1">
      <c r="A640" s="167"/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spans="1:29" ht="15.75" customHeight="1">
      <c r="A641" s="167"/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spans="1:29" ht="15.75" customHeight="1">
      <c r="A642" s="167"/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spans="1:29" ht="15.75" customHeight="1">
      <c r="A643" s="167"/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spans="1:29" ht="15.75" customHeight="1">
      <c r="A644" s="167"/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spans="1:29" ht="15.75" customHeight="1">
      <c r="A645" s="167"/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spans="1:29" ht="15.75" customHeight="1">
      <c r="A646" s="167"/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spans="1:29" ht="15.75" customHeight="1">
      <c r="A647" s="167"/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spans="1:29" ht="15.75" customHeight="1">
      <c r="A648" s="167"/>
      <c r="B648" s="167"/>
      <c r="C648" s="167"/>
      <c r="D648" s="167"/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</row>
    <row r="649" spans="1:29" ht="15.75" customHeight="1">
      <c r="A649" s="167"/>
      <c r="B649" s="167"/>
      <c r="C649" s="167"/>
      <c r="D649" s="167"/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</row>
    <row r="650" spans="1:29" ht="15.75" customHeight="1">
      <c r="A650" s="167"/>
      <c r="B650" s="167"/>
      <c r="C650" s="167"/>
      <c r="D650" s="167"/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</row>
    <row r="651" spans="1:29" ht="15.75" customHeight="1">
      <c r="A651" s="167"/>
      <c r="B651" s="167"/>
      <c r="C651" s="167"/>
      <c r="D651" s="167"/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</row>
    <row r="652" spans="1:29" ht="15.75" customHeight="1">
      <c r="A652" s="167"/>
      <c r="B652" s="167"/>
      <c r="C652" s="167"/>
      <c r="D652" s="167"/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</row>
    <row r="653" spans="1:29" ht="15.75" customHeight="1">
      <c r="A653" s="167"/>
      <c r="B653" s="167"/>
      <c r="C653" s="167"/>
      <c r="D653" s="167"/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</row>
    <row r="654" spans="1:29" ht="15.75" customHeight="1">
      <c r="A654" s="167"/>
      <c r="B654" s="167"/>
      <c r="C654" s="167"/>
      <c r="D654" s="167"/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</row>
    <row r="655" spans="1:29" ht="15.75" customHeight="1">
      <c r="A655" s="167"/>
      <c r="B655" s="167"/>
      <c r="C655" s="167"/>
      <c r="D655" s="167"/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</row>
    <row r="656" spans="1:29" ht="15.75" customHeight="1">
      <c r="A656" s="167"/>
      <c r="B656" s="167"/>
      <c r="C656" s="167"/>
      <c r="D656" s="167"/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</row>
    <row r="657" spans="1:29" ht="15.75" customHeight="1">
      <c r="A657" s="167"/>
      <c r="B657" s="167"/>
      <c r="C657" s="167"/>
      <c r="D657" s="167"/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</row>
    <row r="658" spans="1:29" ht="15.75" customHeight="1">
      <c r="A658" s="167"/>
      <c r="B658" s="167"/>
      <c r="C658" s="167"/>
      <c r="D658" s="167"/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</row>
    <row r="659" spans="1:29" ht="15.75" customHeight="1">
      <c r="A659" s="167"/>
      <c r="B659" s="167"/>
      <c r="C659" s="167"/>
      <c r="D659" s="167"/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</row>
    <row r="660" spans="1:29" ht="15.75" customHeight="1">
      <c r="A660" s="167"/>
      <c r="B660" s="167"/>
      <c r="C660" s="167"/>
      <c r="D660" s="167"/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</row>
    <row r="661" spans="1:29" ht="15.75" customHeight="1">
      <c r="A661" s="167"/>
      <c r="B661" s="167"/>
      <c r="C661" s="167"/>
      <c r="D661" s="167"/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</row>
    <row r="662" spans="1:29" ht="15.75" customHeight="1">
      <c r="A662" s="167"/>
      <c r="B662" s="167"/>
      <c r="C662" s="167"/>
      <c r="D662" s="167"/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</row>
    <row r="663" spans="1:29" ht="15.75" customHeight="1">
      <c r="A663" s="167"/>
      <c r="B663" s="167"/>
      <c r="C663" s="167"/>
      <c r="D663" s="167"/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</row>
    <row r="664" spans="1:29" ht="15.75" customHeight="1">
      <c r="A664" s="167"/>
      <c r="B664" s="167"/>
      <c r="C664" s="167"/>
      <c r="D664" s="167"/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</row>
    <row r="665" spans="1:29" ht="15.75" customHeight="1">
      <c r="A665" s="167"/>
      <c r="B665" s="167"/>
      <c r="C665" s="167"/>
      <c r="D665" s="167"/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</row>
    <row r="666" spans="1:29" ht="15.75" customHeight="1">
      <c r="A666" s="167"/>
      <c r="B666" s="167"/>
      <c r="C666" s="167"/>
      <c r="D666" s="167"/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</row>
    <row r="667" spans="1:29" ht="15.75" customHeight="1">
      <c r="A667" s="167"/>
      <c r="B667" s="167"/>
      <c r="C667" s="167"/>
      <c r="D667" s="167"/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</row>
    <row r="668" spans="1:29" ht="15.75" customHeight="1">
      <c r="A668" s="167"/>
      <c r="B668" s="167"/>
      <c r="C668" s="167"/>
      <c r="D668" s="167"/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</row>
    <row r="669" spans="1:29" ht="15.75" customHeight="1">
      <c r="A669" s="167"/>
      <c r="B669" s="167"/>
      <c r="C669" s="167"/>
      <c r="D669" s="167"/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</row>
    <row r="670" spans="1:29" ht="15.75" customHeight="1">
      <c r="A670" s="167"/>
      <c r="B670" s="167"/>
      <c r="C670" s="167"/>
      <c r="D670" s="167"/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</row>
    <row r="671" spans="1:29" ht="15.75" customHeight="1">
      <c r="A671" s="167"/>
      <c r="B671" s="167"/>
      <c r="C671" s="167"/>
      <c r="D671" s="167"/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</row>
    <row r="672" spans="1:29" ht="15.75" customHeight="1">
      <c r="A672" s="167"/>
      <c r="B672" s="167"/>
      <c r="C672" s="167"/>
      <c r="D672" s="167"/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</row>
    <row r="673" spans="1:29" ht="15.75" customHeight="1">
      <c r="A673" s="167"/>
      <c r="B673" s="167"/>
      <c r="C673" s="167"/>
      <c r="D673" s="167"/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</row>
    <row r="674" spans="1:29" ht="15.75" customHeight="1">
      <c r="A674" s="167"/>
      <c r="B674" s="167"/>
      <c r="C674" s="167"/>
      <c r="D674" s="167"/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</row>
    <row r="675" spans="1:29" ht="15.75" customHeight="1">
      <c r="A675" s="167"/>
      <c r="B675" s="167"/>
      <c r="C675" s="167"/>
      <c r="D675" s="167"/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</row>
    <row r="676" spans="1:29" ht="15.75" customHeight="1">
      <c r="A676" s="167"/>
      <c r="B676" s="167"/>
      <c r="C676" s="167"/>
      <c r="D676" s="167"/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</row>
    <row r="677" spans="1:29" ht="15.75" customHeight="1">
      <c r="A677" s="167"/>
      <c r="B677" s="167"/>
      <c r="C677" s="167"/>
      <c r="D677" s="167"/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</row>
    <row r="678" spans="1:29" ht="15.75" customHeight="1">
      <c r="A678" s="167"/>
      <c r="B678" s="167"/>
      <c r="C678" s="167"/>
      <c r="D678" s="167"/>
      <c r="E678" s="167"/>
      <c r="F678" s="167"/>
      <c r="G678" s="167"/>
      <c r="H678" s="167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</row>
    <row r="679" spans="1:29" ht="15.75" customHeight="1">
      <c r="A679" s="167"/>
      <c r="B679" s="167"/>
      <c r="C679" s="167"/>
      <c r="D679" s="167"/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</row>
    <row r="680" spans="1:29" ht="15.75" customHeight="1">
      <c r="A680" s="167"/>
      <c r="B680" s="167"/>
      <c r="C680" s="167"/>
      <c r="D680" s="167"/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</row>
    <row r="681" spans="1:29" ht="15.75" customHeight="1">
      <c r="A681" s="167"/>
      <c r="B681" s="167"/>
      <c r="C681" s="167"/>
      <c r="D681" s="167"/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</row>
    <row r="682" spans="1:29" ht="15.75" customHeight="1">
      <c r="A682" s="167"/>
      <c r="B682" s="167"/>
      <c r="C682" s="167"/>
      <c r="D682" s="167"/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</row>
    <row r="683" spans="1:29" ht="15.75" customHeight="1">
      <c r="A683" s="167"/>
      <c r="B683" s="167"/>
      <c r="C683" s="167"/>
      <c r="D683" s="167"/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</row>
    <row r="684" spans="1:29" ht="15.75" customHeight="1">
      <c r="A684" s="167"/>
      <c r="B684" s="167"/>
      <c r="C684" s="167"/>
      <c r="D684" s="167"/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</row>
    <row r="685" spans="1:29" ht="15.75" customHeight="1">
      <c r="A685" s="167"/>
      <c r="B685" s="167"/>
      <c r="C685" s="167"/>
      <c r="D685" s="167"/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</row>
    <row r="686" spans="1:29" ht="15.75" customHeight="1">
      <c r="A686" s="167"/>
      <c r="B686" s="167"/>
      <c r="C686" s="167"/>
      <c r="D686" s="167"/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</row>
    <row r="687" spans="1:29" ht="15.75" customHeight="1">
      <c r="A687" s="167"/>
      <c r="B687" s="167"/>
      <c r="C687" s="167"/>
      <c r="D687" s="167"/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</row>
    <row r="688" spans="1:29" ht="15.75" customHeight="1">
      <c r="A688" s="167"/>
      <c r="B688" s="167"/>
      <c r="C688" s="167"/>
      <c r="D688" s="167"/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</row>
    <row r="689" spans="1:29" ht="15.75" customHeight="1">
      <c r="A689" s="167"/>
      <c r="B689" s="167"/>
      <c r="C689" s="167"/>
      <c r="D689" s="167"/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</row>
    <row r="690" spans="1:29" ht="15.75" customHeight="1">
      <c r="A690" s="167"/>
      <c r="B690" s="167"/>
      <c r="C690" s="167"/>
      <c r="D690" s="167"/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</row>
    <row r="691" spans="1:29" ht="15.75" customHeight="1">
      <c r="A691" s="167"/>
      <c r="B691" s="167"/>
      <c r="C691" s="167"/>
      <c r="D691" s="167"/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</row>
    <row r="692" spans="1:29" ht="15.75" customHeight="1">
      <c r="A692" s="167"/>
      <c r="B692" s="167"/>
      <c r="C692" s="167"/>
      <c r="D692" s="167"/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</row>
    <row r="693" spans="1:29" ht="15.75" customHeight="1">
      <c r="A693" s="167"/>
      <c r="B693" s="167"/>
      <c r="C693" s="167"/>
      <c r="D693" s="167"/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</row>
    <row r="694" spans="1:29" ht="15.75" customHeight="1">
      <c r="A694" s="167"/>
      <c r="B694" s="167"/>
      <c r="C694" s="167"/>
      <c r="D694" s="167"/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</row>
    <row r="695" spans="1:29" ht="15.75" customHeight="1">
      <c r="A695" s="167"/>
      <c r="B695" s="167"/>
      <c r="C695" s="167"/>
      <c r="D695" s="167"/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</row>
    <row r="696" spans="1:29" ht="15.75" customHeight="1">
      <c r="A696" s="167"/>
      <c r="B696" s="167"/>
      <c r="C696" s="167"/>
      <c r="D696" s="167"/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</row>
    <row r="697" spans="1:29" ht="15.75" customHeight="1">
      <c r="A697" s="167"/>
      <c r="B697" s="167"/>
      <c r="C697" s="167"/>
      <c r="D697" s="167"/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</row>
    <row r="698" spans="1:29" ht="15.75" customHeight="1">
      <c r="A698" s="167"/>
      <c r="B698" s="167"/>
      <c r="C698" s="167"/>
      <c r="D698" s="167"/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</row>
    <row r="699" spans="1:29" ht="15.75" customHeight="1">
      <c r="A699" s="167"/>
      <c r="B699" s="167"/>
      <c r="C699" s="167"/>
      <c r="D699" s="167"/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</row>
    <row r="700" spans="1:29" ht="15.75" customHeight="1">
      <c r="A700" s="167"/>
      <c r="B700" s="167"/>
      <c r="C700" s="167"/>
      <c r="D700" s="167"/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</row>
    <row r="701" spans="1:29" ht="15.75" customHeight="1">
      <c r="A701" s="167"/>
      <c r="B701" s="167"/>
      <c r="C701" s="167"/>
      <c r="D701" s="167"/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</row>
    <row r="702" spans="1:29" ht="15.75" customHeight="1">
      <c r="A702" s="167"/>
      <c r="B702" s="167"/>
      <c r="C702" s="167"/>
      <c r="D702" s="167"/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</row>
    <row r="703" spans="1:29" ht="15.75" customHeight="1">
      <c r="A703" s="167"/>
      <c r="B703" s="167"/>
      <c r="C703" s="167"/>
      <c r="D703" s="167"/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</row>
    <row r="704" spans="1:29" ht="15.75" customHeight="1">
      <c r="A704" s="167"/>
      <c r="B704" s="167"/>
      <c r="C704" s="167"/>
      <c r="D704" s="167"/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</row>
    <row r="705" spans="1:29" ht="15.75" customHeight="1">
      <c r="A705" s="167"/>
      <c r="B705" s="167"/>
      <c r="C705" s="167"/>
      <c r="D705" s="167"/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</row>
    <row r="706" spans="1:29" ht="15.75" customHeight="1">
      <c r="A706" s="167"/>
      <c r="B706" s="167"/>
      <c r="C706" s="167"/>
      <c r="D706" s="167"/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</row>
    <row r="707" spans="1:29" ht="15.75" customHeight="1">
      <c r="A707" s="167"/>
      <c r="B707" s="167"/>
      <c r="C707" s="167"/>
      <c r="D707" s="167"/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</row>
    <row r="708" spans="1:29" ht="15.75" customHeight="1">
      <c r="A708" s="167"/>
      <c r="B708" s="167"/>
      <c r="C708" s="167"/>
      <c r="D708" s="167"/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</row>
    <row r="709" spans="1:29" ht="15.75" customHeight="1">
      <c r="A709" s="167"/>
      <c r="B709" s="167"/>
      <c r="C709" s="167"/>
      <c r="D709" s="167"/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</row>
    <row r="710" spans="1:29" ht="15.75" customHeight="1">
      <c r="A710" s="167"/>
      <c r="B710" s="167"/>
      <c r="C710" s="167"/>
      <c r="D710" s="167"/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</row>
    <row r="711" spans="1:29" ht="15.75" customHeight="1">
      <c r="A711" s="167"/>
      <c r="B711" s="167"/>
      <c r="C711" s="167"/>
      <c r="D711" s="167"/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</row>
    <row r="712" spans="1:29" ht="15.75" customHeight="1">
      <c r="A712" s="167"/>
      <c r="B712" s="167"/>
      <c r="C712" s="167"/>
      <c r="D712" s="167"/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</row>
    <row r="713" spans="1:29" ht="15.75" customHeight="1">
      <c r="A713" s="167"/>
      <c r="B713" s="167"/>
      <c r="C713" s="167"/>
      <c r="D713" s="167"/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</row>
    <row r="714" spans="1:29" ht="15.75" customHeight="1"/>
    <row r="715" spans="1:29" ht="15.75" customHeight="1"/>
    <row r="716" spans="1:29" ht="15.75" customHeight="1"/>
    <row r="717" spans="1:29" ht="15.75" customHeight="1"/>
    <row r="718" spans="1:29" ht="15.75" customHeight="1"/>
    <row r="719" spans="1:29" ht="15.75" customHeight="1"/>
    <row r="720" spans="1:29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R7"/>
    <mergeCell ref="A8:R8"/>
    <mergeCell ref="A10:A17"/>
    <mergeCell ref="C10:C11"/>
    <mergeCell ref="D10:D17"/>
    <mergeCell ref="E10:E17"/>
    <mergeCell ref="G10:S10"/>
  </mergeCells>
  <conditionalFormatting sqref="F11">
    <cfRule type="containsText" dxfId="73" priority="1" operator="containsText" text="&quot;quảng ngãi&quot;">
      <formula>NOT(ISERROR(SEARCH(("""quảng ngãi"""),(F11))))</formula>
    </cfRule>
  </conditionalFormatting>
  <conditionalFormatting sqref="I11">
    <cfRule type="containsText" dxfId="72" priority="2" operator="containsText" text="&quot;quảng ngãi&quot;">
      <formula>NOT(ISERROR(SEARCH(("""quảng ngãi"""),(I11))))</formula>
    </cfRule>
  </conditionalFormatting>
  <conditionalFormatting sqref="P11:S11">
    <cfRule type="containsText" dxfId="71" priority="3" operator="containsText" text="&quot;quảng ngãi&quot;">
      <formula>NOT(ISERROR(SEARCH(("""quảng ngãi"""),(P11))))</formula>
    </cfRule>
  </conditionalFormatting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C1000"/>
  <sheetViews>
    <sheetView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F16" sqref="F16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6.453125" customWidth="1"/>
    <col min="6" max="12" width="13.7265625" customWidth="1"/>
    <col min="13" max="18" width="13.7265625" hidden="1" customWidth="1"/>
    <col min="19" max="23" width="9.08984375" customWidth="1"/>
    <col min="24" max="28" width="8" customWidth="1"/>
  </cols>
  <sheetData>
    <row r="1" spans="1:29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67"/>
    </row>
    <row r="2" spans="1:29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67"/>
    </row>
    <row r="3" spans="1:29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67"/>
    </row>
    <row r="4" spans="1:29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67"/>
    </row>
    <row r="5" spans="1:29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67"/>
    </row>
    <row r="6" spans="1:29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67"/>
    </row>
    <row r="7" spans="1:29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67"/>
    </row>
    <row r="8" spans="1:29" ht="22.5" customHeight="1">
      <c r="A8" s="775" t="s">
        <v>1219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67"/>
    </row>
    <row r="9" spans="1:29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67"/>
    </row>
    <row r="10" spans="1:29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3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1"/>
      <c r="T10" s="176"/>
      <c r="U10" s="176"/>
      <c r="V10" s="176"/>
      <c r="W10" s="176"/>
      <c r="X10" s="176"/>
      <c r="Y10" s="176"/>
      <c r="Z10" s="176"/>
      <c r="AA10" s="176"/>
      <c r="AB10" s="176"/>
      <c r="AC10" s="167"/>
    </row>
    <row r="11" spans="1:29" ht="37.5" customHeight="1">
      <c r="A11" s="767"/>
      <c r="B11" s="767"/>
      <c r="C11" s="768"/>
      <c r="D11" s="767"/>
      <c r="E11" s="781"/>
      <c r="F11" s="289"/>
      <c r="G11" s="289"/>
      <c r="H11" s="21"/>
      <c r="I11" s="21"/>
      <c r="J11" s="21"/>
      <c r="K11" s="320"/>
      <c r="L11" s="320"/>
      <c r="M11" s="320"/>
      <c r="N11" s="320"/>
      <c r="O11" s="22"/>
      <c r="P11" s="201"/>
      <c r="Q11" s="22"/>
      <c r="R11" s="22"/>
      <c r="S11" s="201"/>
      <c r="T11" s="184"/>
      <c r="U11" s="184"/>
      <c r="V11" s="184">
        <f>COUNTA(F11:S11)</f>
        <v>0</v>
      </c>
      <c r="W11" s="184"/>
      <c r="X11" s="184"/>
      <c r="Y11" s="184"/>
      <c r="Z11" s="184"/>
      <c r="AA11" s="184"/>
      <c r="AB11" s="184"/>
      <c r="AC11" s="184"/>
    </row>
    <row r="12" spans="1:29" ht="18.75" customHeight="1">
      <c r="A12" s="767"/>
      <c r="B12" s="767"/>
      <c r="C12" s="25" t="s">
        <v>39</v>
      </c>
      <c r="D12" s="767"/>
      <c r="E12" s="781"/>
      <c r="F12" s="321"/>
      <c r="G12" s="322"/>
      <c r="H12" s="322"/>
      <c r="I12" s="323"/>
      <c r="J12" s="190"/>
      <c r="K12" s="291"/>
      <c r="L12" s="291"/>
      <c r="M12" s="291"/>
      <c r="N12" s="291"/>
      <c r="O12" s="324"/>
      <c r="P12" s="325"/>
      <c r="Q12" s="324"/>
      <c r="R12" s="324"/>
      <c r="S12" s="325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</row>
    <row r="13" spans="1:29" ht="47.25" customHeight="1">
      <c r="A13" s="767"/>
      <c r="B13" s="767"/>
      <c r="C13" s="25" t="s">
        <v>40</v>
      </c>
      <c r="D13" s="767"/>
      <c r="E13" s="781"/>
      <c r="F13" s="321"/>
      <c r="G13" s="326"/>
      <c r="H13" s="321"/>
      <c r="I13" s="327"/>
      <c r="J13" s="30"/>
      <c r="K13" s="296"/>
      <c r="L13" s="192"/>
      <c r="M13" s="296"/>
      <c r="N13" s="296"/>
      <c r="O13" s="192"/>
      <c r="P13" s="250"/>
      <c r="Q13" s="192"/>
      <c r="R13" s="250"/>
      <c r="S13" s="250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spans="1:29" ht="38.25" hidden="1" customHeight="1">
      <c r="A14" s="767"/>
      <c r="B14" s="767"/>
      <c r="C14" s="25" t="s">
        <v>41</v>
      </c>
      <c r="D14" s="767"/>
      <c r="E14" s="781"/>
      <c r="F14" s="321"/>
      <c r="G14" s="321"/>
      <c r="H14" s="321"/>
      <c r="I14" s="328"/>
      <c r="J14" s="185"/>
      <c r="K14" s="298"/>
      <c r="L14" s="298"/>
      <c r="M14" s="298"/>
      <c r="N14" s="298"/>
      <c r="O14" s="247"/>
      <c r="P14" s="249"/>
      <c r="Q14" s="247"/>
      <c r="R14" s="247"/>
      <c r="S14" s="249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</row>
    <row r="15" spans="1:29" ht="33" hidden="1" customHeight="1">
      <c r="A15" s="767"/>
      <c r="B15" s="767"/>
      <c r="C15" s="24" t="s">
        <v>42</v>
      </c>
      <c r="D15" s="767"/>
      <c r="E15" s="781"/>
      <c r="F15" s="321"/>
      <c r="G15" s="321"/>
      <c r="H15" s="321"/>
      <c r="I15" s="321"/>
      <c r="J15" s="190"/>
      <c r="K15" s="298"/>
      <c r="L15" s="298"/>
      <c r="M15" s="298"/>
      <c r="N15" s="296"/>
      <c r="O15" s="247"/>
      <c r="P15" s="247"/>
      <c r="Q15" s="247"/>
      <c r="R15" s="247"/>
      <c r="S15" s="249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</row>
    <row r="16" spans="1:29" ht="30.75" customHeight="1">
      <c r="A16" s="767"/>
      <c r="B16" s="767"/>
      <c r="C16" s="25" t="s">
        <v>977</v>
      </c>
      <c r="D16" s="767"/>
      <c r="E16" s="781"/>
      <c r="F16" s="321"/>
      <c r="G16" s="329"/>
      <c r="H16" s="329"/>
      <c r="I16" s="329"/>
      <c r="J16" s="193"/>
      <c r="K16" s="296"/>
      <c r="L16" s="296"/>
      <c r="M16" s="298"/>
      <c r="N16" s="298"/>
      <c r="O16" s="247"/>
      <c r="P16" s="253"/>
      <c r="Q16" s="247"/>
      <c r="R16" s="247"/>
      <c r="S16" s="249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</row>
    <row r="17" spans="1:29" ht="36" customHeight="1">
      <c r="A17" s="768"/>
      <c r="B17" s="768"/>
      <c r="C17" s="25" t="s">
        <v>70</v>
      </c>
      <c r="D17" s="768"/>
      <c r="E17" s="782"/>
      <c r="F17" s="330"/>
      <c r="G17" s="330"/>
      <c r="H17" s="330"/>
      <c r="I17" s="330"/>
      <c r="J17" s="32"/>
      <c r="K17" s="295"/>
      <c r="L17" s="295"/>
      <c r="M17" s="295"/>
      <c r="N17" s="295"/>
      <c r="O17" s="32"/>
      <c r="P17" s="32"/>
      <c r="Q17" s="32"/>
      <c r="R17" s="32"/>
      <c r="S17" s="25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</row>
    <row r="18" spans="1:29" ht="16.5" customHeight="1">
      <c r="A18" s="41"/>
      <c r="B18" s="42" t="s">
        <v>85</v>
      </c>
      <c r="C18" s="42"/>
      <c r="D18" s="42"/>
      <c r="E18" s="195"/>
      <c r="F18" s="331"/>
      <c r="G18" s="331"/>
      <c r="H18" s="332"/>
      <c r="I18" s="333"/>
      <c r="J18" s="197"/>
      <c r="K18" s="301"/>
      <c r="L18" s="301"/>
      <c r="M18" s="301"/>
      <c r="N18" s="301"/>
      <c r="O18" s="255"/>
      <c r="P18" s="257"/>
      <c r="Q18" s="255"/>
      <c r="R18" s="255"/>
      <c r="S18" s="257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</row>
    <row r="19" spans="1:29" ht="26.25" customHeight="1">
      <c r="A19" s="46">
        <v>1</v>
      </c>
      <c r="B19" s="47" t="s">
        <v>87</v>
      </c>
      <c r="C19" s="47" t="s">
        <v>88</v>
      </c>
      <c r="D19" s="46"/>
      <c r="E19" s="200"/>
      <c r="F19" s="334"/>
      <c r="G19" s="335"/>
      <c r="H19" s="336"/>
      <c r="I19" s="337"/>
      <c r="J19" s="203"/>
      <c r="K19" s="303"/>
      <c r="L19" s="303"/>
      <c r="M19" s="303"/>
      <c r="N19" s="303"/>
      <c r="O19" s="258"/>
      <c r="P19" s="258"/>
      <c r="Q19" s="258"/>
      <c r="R19" s="258"/>
      <c r="S19" s="258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</row>
    <row r="20" spans="1:29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SUM(F20:R20)</f>
        <v>0</v>
      </c>
      <c r="F20" s="322"/>
      <c r="G20" s="322"/>
      <c r="H20" s="322"/>
      <c r="I20" s="338"/>
      <c r="J20" s="215"/>
      <c r="K20" s="303"/>
      <c r="L20" s="303"/>
      <c r="M20" s="303"/>
      <c r="N20" s="303"/>
      <c r="O20" s="262"/>
      <c r="P20" s="262"/>
      <c r="Q20" s="262"/>
      <c r="R20" s="262"/>
      <c r="S20" s="262"/>
      <c r="T20" s="263"/>
      <c r="U20" s="263"/>
      <c r="V20" s="263"/>
      <c r="W20" s="263"/>
      <c r="X20" s="263"/>
      <c r="Y20" s="263"/>
      <c r="Z20" s="263"/>
      <c r="AA20" s="263"/>
      <c r="AB20" s="263"/>
      <c r="AC20" s="263"/>
    </row>
    <row r="21" spans="1:29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339"/>
      <c r="G21" s="339"/>
      <c r="H21" s="322"/>
      <c r="I21" s="338"/>
      <c r="J21" s="215"/>
      <c r="K21" s="303"/>
      <c r="L21" s="303"/>
      <c r="M21" s="303"/>
      <c r="N21" s="303"/>
      <c r="O21" s="262"/>
      <c r="P21" s="262"/>
      <c r="Q21" s="262"/>
      <c r="R21" s="262"/>
      <c r="S21" s="262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</row>
    <row r="22" spans="1:29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339"/>
      <c r="G22" s="339"/>
      <c r="H22" s="322"/>
      <c r="I22" s="338"/>
      <c r="J22" s="215"/>
      <c r="K22" s="303"/>
      <c r="L22" s="303"/>
      <c r="M22" s="303"/>
      <c r="N22" s="303"/>
      <c r="O22" s="262"/>
      <c r="P22" s="262"/>
      <c r="Q22" s="262"/>
      <c r="R22" s="262"/>
      <c r="S22" s="262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</row>
    <row r="23" spans="1:29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339"/>
      <c r="G23" s="339"/>
      <c r="H23" s="322"/>
      <c r="I23" s="338"/>
      <c r="J23" s="215"/>
      <c r="K23" s="303"/>
      <c r="L23" s="303"/>
      <c r="M23" s="303"/>
      <c r="N23" s="303"/>
      <c r="O23" s="262"/>
      <c r="P23" s="262"/>
      <c r="Q23" s="262"/>
      <c r="R23" s="262"/>
      <c r="S23" s="262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</row>
    <row r="24" spans="1:29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339"/>
      <c r="G24" s="339"/>
      <c r="H24" s="322"/>
      <c r="I24" s="338"/>
      <c r="J24" s="215"/>
      <c r="K24" s="303"/>
      <c r="L24" s="303"/>
      <c r="M24" s="303"/>
      <c r="N24" s="303"/>
      <c r="O24" s="262"/>
      <c r="P24" s="262"/>
      <c r="Q24" s="262"/>
      <c r="R24" s="262"/>
      <c r="S24" s="262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</row>
    <row r="25" spans="1:29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339"/>
      <c r="G25" s="339"/>
      <c r="H25" s="322"/>
      <c r="I25" s="338"/>
      <c r="J25" s="215"/>
      <c r="K25" s="303"/>
      <c r="L25" s="303"/>
      <c r="M25" s="303"/>
      <c r="N25" s="303"/>
      <c r="O25" s="262"/>
      <c r="P25" s="262"/>
      <c r="Q25" s="262"/>
      <c r="R25" s="262"/>
      <c r="S25" s="262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</row>
    <row r="26" spans="1:29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339"/>
      <c r="G26" s="339"/>
      <c r="H26" s="322"/>
      <c r="I26" s="338"/>
      <c r="J26" s="221"/>
      <c r="K26" s="303"/>
      <c r="L26" s="303"/>
      <c r="M26" s="303"/>
      <c r="N26" s="303"/>
      <c r="O26" s="262"/>
      <c r="P26" s="262"/>
      <c r="Q26" s="262"/>
      <c r="R26" s="262"/>
      <c r="S26" s="262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</row>
    <row r="27" spans="1:29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339"/>
      <c r="G27" s="339"/>
      <c r="H27" s="322"/>
      <c r="I27" s="338"/>
      <c r="J27" s="221"/>
      <c r="K27" s="303"/>
      <c r="L27" s="303"/>
      <c r="M27" s="303"/>
      <c r="N27" s="303"/>
      <c r="O27" s="262"/>
      <c r="P27" s="262"/>
      <c r="Q27" s="262"/>
      <c r="R27" s="262"/>
      <c r="S27" s="262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339"/>
      <c r="G28" s="339"/>
      <c r="H28" s="322"/>
      <c r="I28" s="338"/>
      <c r="J28" s="221"/>
      <c r="K28" s="303"/>
      <c r="L28" s="303"/>
      <c r="M28" s="303"/>
      <c r="N28" s="303"/>
      <c r="O28" s="262"/>
      <c r="P28" s="262"/>
      <c r="Q28" s="262"/>
      <c r="R28" s="262"/>
      <c r="S28" s="262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</row>
    <row r="29" spans="1:29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339"/>
      <c r="G29" s="339"/>
      <c r="H29" s="322"/>
      <c r="I29" s="338"/>
      <c r="J29" s="221"/>
      <c r="K29" s="303"/>
      <c r="L29" s="303"/>
      <c r="M29" s="303"/>
      <c r="N29" s="303"/>
      <c r="O29" s="262"/>
      <c r="P29" s="262"/>
      <c r="Q29" s="262"/>
      <c r="R29" s="262"/>
      <c r="S29" s="262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</row>
    <row r="30" spans="1:29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339"/>
      <c r="G30" s="322"/>
      <c r="H30" s="322"/>
      <c r="I30" s="338"/>
      <c r="J30" s="221"/>
      <c r="K30" s="303"/>
      <c r="L30" s="303"/>
      <c r="M30" s="303"/>
      <c r="N30" s="303"/>
      <c r="O30" s="262"/>
      <c r="P30" s="262"/>
      <c r="Q30" s="262"/>
      <c r="R30" s="262"/>
      <c r="S30" s="262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</row>
    <row r="31" spans="1:29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339"/>
      <c r="G31" s="339"/>
      <c r="H31" s="322"/>
      <c r="I31" s="338"/>
      <c r="J31" s="221"/>
      <c r="K31" s="303"/>
      <c r="L31" s="303"/>
      <c r="M31" s="303"/>
      <c r="N31" s="303"/>
      <c r="O31" s="262"/>
      <c r="P31" s="262"/>
      <c r="Q31" s="262"/>
      <c r="R31" s="262"/>
      <c r="S31" s="262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</row>
    <row r="32" spans="1:29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339"/>
      <c r="G32" s="339"/>
      <c r="H32" s="322"/>
      <c r="I32" s="338"/>
      <c r="J32" s="221"/>
      <c r="K32" s="303"/>
      <c r="L32" s="303"/>
      <c r="M32" s="303"/>
      <c r="N32" s="303"/>
      <c r="O32" s="262"/>
      <c r="P32" s="262"/>
      <c r="Q32" s="262"/>
      <c r="R32" s="262"/>
      <c r="S32" s="262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</row>
    <row r="33" spans="1:29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339"/>
      <c r="G33" s="339"/>
      <c r="H33" s="322"/>
      <c r="I33" s="338"/>
      <c r="J33" s="221"/>
      <c r="K33" s="303"/>
      <c r="L33" s="303"/>
      <c r="M33" s="303"/>
      <c r="N33" s="303"/>
      <c r="O33" s="262"/>
      <c r="P33" s="262"/>
      <c r="Q33" s="262"/>
      <c r="R33" s="262"/>
      <c r="S33" s="262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</row>
    <row r="34" spans="1:29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339"/>
      <c r="G34" s="339"/>
      <c r="H34" s="322"/>
      <c r="I34" s="338"/>
      <c r="J34" s="221"/>
      <c r="K34" s="303"/>
      <c r="L34" s="303"/>
      <c r="M34" s="303"/>
      <c r="N34" s="303"/>
      <c r="O34" s="262"/>
      <c r="P34" s="262"/>
      <c r="Q34" s="262"/>
      <c r="R34" s="262"/>
      <c r="S34" s="262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</row>
    <row r="35" spans="1:29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339"/>
      <c r="G35" s="339"/>
      <c r="H35" s="322"/>
      <c r="I35" s="338"/>
      <c r="J35" s="221"/>
      <c r="K35" s="303"/>
      <c r="L35" s="303"/>
      <c r="M35" s="303"/>
      <c r="N35" s="303"/>
      <c r="O35" s="262"/>
      <c r="P35" s="262"/>
      <c r="Q35" s="262"/>
      <c r="R35" s="262"/>
      <c r="S35" s="262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</row>
    <row r="36" spans="1:29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339"/>
      <c r="G36" s="339"/>
      <c r="H36" s="322"/>
      <c r="I36" s="338"/>
      <c r="J36" s="221"/>
      <c r="K36" s="303"/>
      <c r="L36" s="303"/>
      <c r="M36" s="303"/>
      <c r="N36" s="303"/>
      <c r="O36" s="262"/>
      <c r="P36" s="262"/>
      <c r="Q36" s="262"/>
      <c r="R36" s="262"/>
      <c r="S36" s="262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</row>
    <row r="37" spans="1:29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339"/>
      <c r="G37" s="339"/>
      <c r="H37" s="322"/>
      <c r="I37" s="338"/>
      <c r="J37" s="221"/>
      <c r="K37" s="305"/>
      <c r="L37" s="305"/>
      <c r="M37" s="305"/>
      <c r="N37" s="305"/>
      <c r="O37" s="261"/>
      <c r="P37" s="261"/>
      <c r="Q37" s="261"/>
      <c r="R37" s="261"/>
      <c r="S37" s="261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</row>
    <row r="38" spans="1:29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322"/>
      <c r="G38" s="339"/>
      <c r="H38" s="322"/>
      <c r="I38" s="338"/>
      <c r="J38" s="221"/>
      <c r="K38" s="303"/>
      <c r="L38" s="303"/>
      <c r="M38" s="303"/>
      <c r="N38" s="303"/>
      <c r="O38" s="262"/>
      <c r="P38" s="262"/>
      <c r="Q38" s="262"/>
      <c r="R38" s="262"/>
      <c r="S38" s="262"/>
      <c r="T38" s="263"/>
      <c r="U38" s="263"/>
      <c r="V38" s="263"/>
      <c r="W38" s="263"/>
      <c r="X38" s="263"/>
      <c r="Y38" s="263"/>
      <c r="Z38" s="263"/>
      <c r="AA38" s="263"/>
      <c r="AB38" s="263"/>
      <c r="AC38" s="263"/>
    </row>
    <row r="39" spans="1:29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339"/>
      <c r="G39" s="339"/>
      <c r="H39" s="322"/>
      <c r="I39" s="338"/>
      <c r="J39" s="221"/>
      <c r="K39" s="303"/>
      <c r="L39" s="303"/>
      <c r="M39" s="303"/>
      <c r="N39" s="303"/>
      <c r="O39" s="262"/>
      <c r="P39" s="262"/>
      <c r="Q39" s="262"/>
      <c r="R39" s="262"/>
      <c r="S39" s="262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</row>
    <row r="40" spans="1:29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339"/>
      <c r="G40" s="339"/>
      <c r="H40" s="322"/>
      <c r="I40" s="338"/>
      <c r="J40" s="221"/>
      <c r="K40" s="303"/>
      <c r="L40" s="303"/>
      <c r="M40" s="303"/>
      <c r="N40" s="303"/>
      <c r="O40" s="262"/>
      <c r="P40" s="262"/>
      <c r="Q40" s="262"/>
      <c r="R40" s="262"/>
      <c r="S40" s="262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</row>
    <row r="41" spans="1:29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339"/>
      <c r="G41" s="339"/>
      <c r="H41" s="322"/>
      <c r="I41" s="338"/>
      <c r="J41" s="221"/>
      <c r="K41" s="303"/>
      <c r="L41" s="303"/>
      <c r="M41" s="303"/>
      <c r="N41" s="303"/>
      <c r="O41" s="262"/>
      <c r="P41" s="262"/>
      <c r="Q41" s="262"/>
      <c r="R41" s="262"/>
      <c r="S41" s="262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</row>
    <row r="42" spans="1:29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339"/>
      <c r="G42" s="339"/>
      <c r="H42" s="322"/>
      <c r="I42" s="338"/>
      <c r="J42" s="221"/>
      <c r="K42" s="303"/>
      <c r="L42" s="303"/>
      <c r="M42" s="303"/>
      <c r="N42" s="303"/>
      <c r="O42" s="262"/>
      <c r="P42" s="262"/>
      <c r="Q42" s="262"/>
      <c r="R42" s="262"/>
      <c r="S42" s="262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</row>
    <row r="43" spans="1:29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339"/>
      <c r="G43" s="339"/>
      <c r="H43" s="322"/>
      <c r="I43" s="338"/>
      <c r="J43" s="221"/>
      <c r="K43" s="305"/>
      <c r="L43" s="305"/>
      <c r="M43" s="303"/>
      <c r="N43" s="305"/>
      <c r="O43" s="262"/>
      <c r="P43" s="261"/>
      <c r="Q43" s="261"/>
      <c r="R43" s="261"/>
      <c r="S43" s="261"/>
      <c r="T43" s="264"/>
      <c r="U43" s="264"/>
      <c r="V43" s="264"/>
      <c r="W43" s="264"/>
      <c r="X43" s="264"/>
      <c r="Y43" s="264"/>
      <c r="Z43" s="264"/>
      <c r="AA43" s="264"/>
      <c r="AB43" s="264"/>
      <c r="AC43" s="264"/>
    </row>
    <row r="44" spans="1:29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339"/>
      <c r="G44" s="339"/>
      <c r="H44" s="322"/>
      <c r="I44" s="338"/>
      <c r="J44" s="221"/>
      <c r="K44" s="303"/>
      <c r="L44" s="303"/>
      <c r="M44" s="303"/>
      <c r="N44" s="303"/>
      <c r="O44" s="262"/>
      <c r="P44" s="262"/>
      <c r="Q44" s="262"/>
      <c r="R44" s="262"/>
      <c r="S44" s="262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</row>
    <row r="45" spans="1:29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339"/>
      <c r="G45" s="339"/>
      <c r="H45" s="322"/>
      <c r="I45" s="338"/>
      <c r="J45" s="221"/>
      <c r="K45" s="303"/>
      <c r="L45" s="303"/>
      <c r="M45" s="303"/>
      <c r="N45" s="303"/>
      <c r="O45" s="262"/>
      <c r="P45" s="262"/>
      <c r="Q45" s="262"/>
      <c r="R45" s="262"/>
      <c r="S45" s="262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</row>
    <row r="46" spans="1:29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339"/>
      <c r="G46" s="339"/>
      <c r="H46" s="322"/>
      <c r="I46" s="338"/>
      <c r="J46" s="221"/>
      <c r="K46" s="303"/>
      <c r="L46" s="303"/>
      <c r="M46" s="303"/>
      <c r="N46" s="303"/>
      <c r="O46" s="262"/>
      <c r="P46" s="262"/>
      <c r="Q46" s="262"/>
      <c r="R46" s="262"/>
      <c r="S46" s="262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</row>
    <row r="47" spans="1:29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339"/>
      <c r="G47" s="339"/>
      <c r="H47" s="322"/>
      <c r="I47" s="338"/>
      <c r="J47" s="221"/>
      <c r="K47" s="303"/>
      <c r="L47" s="303"/>
      <c r="M47" s="303"/>
      <c r="N47" s="303"/>
      <c r="O47" s="262"/>
      <c r="P47" s="262"/>
      <c r="Q47" s="262"/>
      <c r="R47" s="262"/>
      <c r="S47" s="262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</row>
    <row r="48" spans="1:29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339"/>
      <c r="G48" s="339"/>
      <c r="H48" s="322"/>
      <c r="I48" s="338"/>
      <c r="J48" s="221"/>
      <c r="K48" s="305"/>
      <c r="L48" s="305"/>
      <c r="M48" s="303"/>
      <c r="N48" s="303"/>
      <c r="O48" s="262"/>
      <c r="P48" s="261"/>
      <c r="Q48" s="261"/>
      <c r="R48" s="261"/>
      <c r="S48" s="261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</row>
    <row r="49" spans="1:29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339"/>
      <c r="G49" s="339"/>
      <c r="H49" s="322"/>
      <c r="I49" s="338"/>
      <c r="J49" s="221"/>
      <c r="K49" s="303"/>
      <c r="L49" s="303"/>
      <c r="M49" s="303"/>
      <c r="N49" s="303"/>
      <c r="O49" s="262"/>
      <c r="P49" s="262"/>
      <c r="Q49" s="262"/>
      <c r="R49" s="262"/>
      <c r="S49" s="262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</row>
    <row r="50" spans="1:29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339"/>
      <c r="G50" s="339"/>
      <c r="H50" s="322"/>
      <c r="I50" s="338"/>
      <c r="J50" s="221"/>
      <c r="K50" s="303"/>
      <c r="L50" s="303"/>
      <c r="M50" s="303"/>
      <c r="N50" s="303"/>
      <c r="O50" s="262"/>
      <c r="P50" s="262"/>
      <c r="Q50" s="262"/>
      <c r="R50" s="262"/>
      <c r="S50" s="262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</row>
    <row r="51" spans="1:29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339"/>
      <c r="G51" s="339"/>
      <c r="H51" s="322"/>
      <c r="I51" s="338"/>
      <c r="J51" s="221"/>
      <c r="K51" s="303"/>
      <c r="L51" s="303"/>
      <c r="M51" s="303"/>
      <c r="N51" s="303"/>
      <c r="O51" s="262"/>
      <c r="P51" s="262"/>
      <c r="Q51" s="262"/>
      <c r="R51" s="262"/>
      <c r="S51" s="262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</row>
    <row r="52" spans="1:29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339"/>
      <c r="G52" s="339"/>
      <c r="H52" s="322"/>
      <c r="I52" s="338"/>
      <c r="J52" s="221"/>
      <c r="K52" s="303"/>
      <c r="L52" s="303"/>
      <c r="M52" s="303"/>
      <c r="N52" s="303"/>
      <c r="O52" s="262"/>
      <c r="P52" s="262"/>
      <c r="Q52" s="262"/>
      <c r="R52" s="262"/>
      <c r="S52" s="262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</row>
    <row r="53" spans="1:29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322"/>
      <c r="G53" s="322"/>
      <c r="H53" s="322"/>
      <c r="I53" s="338"/>
      <c r="J53" s="221"/>
      <c r="K53" s="309"/>
      <c r="L53" s="305"/>
      <c r="M53" s="309"/>
      <c r="N53" s="303"/>
      <c r="O53" s="262"/>
      <c r="P53" s="261"/>
      <c r="Q53" s="261"/>
      <c r="R53" s="261"/>
      <c r="S53" s="261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</row>
    <row r="54" spans="1:29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339"/>
      <c r="G54" s="339"/>
      <c r="H54" s="322"/>
      <c r="I54" s="338"/>
      <c r="J54" s="221"/>
      <c r="K54" s="303"/>
      <c r="L54" s="303"/>
      <c r="M54" s="303"/>
      <c r="N54" s="303"/>
      <c r="O54" s="262"/>
      <c r="P54" s="262"/>
      <c r="Q54" s="262"/>
      <c r="R54" s="262"/>
      <c r="S54" s="262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</row>
    <row r="55" spans="1:29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339"/>
      <c r="G55" s="339"/>
      <c r="H55" s="322"/>
      <c r="I55" s="338"/>
      <c r="J55" s="221"/>
      <c r="K55" s="303"/>
      <c r="L55" s="303"/>
      <c r="M55" s="303"/>
      <c r="N55" s="303"/>
      <c r="O55" s="262"/>
      <c r="P55" s="262"/>
      <c r="Q55" s="262"/>
      <c r="R55" s="262"/>
      <c r="S55" s="262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</row>
    <row r="56" spans="1:29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339"/>
      <c r="G56" s="339"/>
      <c r="H56" s="322"/>
      <c r="I56" s="338"/>
      <c r="J56" s="221"/>
      <c r="K56" s="303"/>
      <c r="L56" s="303"/>
      <c r="M56" s="303"/>
      <c r="N56" s="303"/>
      <c r="O56" s="262"/>
      <c r="P56" s="262"/>
      <c r="Q56" s="262"/>
      <c r="R56" s="262"/>
      <c r="S56" s="262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</row>
    <row r="57" spans="1:29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339"/>
      <c r="G57" s="339"/>
      <c r="H57" s="322"/>
      <c r="I57" s="338"/>
      <c r="J57" s="221"/>
      <c r="K57" s="303"/>
      <c r="L57" s="303"/>
      <c r="M57" s="303"/>
      <c r="N57" s="303"/>
      <c r="O57" s="262"/>
      <c r="P57" s="262"/>
      <c r="Q57" s="262"/>
      <c r="R57" s="262"/>
      <c r="S57" s="262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</row>
    <row r="58" spans="1:29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339"/>
      <c r="G58" s="322"/>
      <c r="H58" s="322"/>
      <c r="I58" s="338"/>
      <c r="J58" s="221"/>
      <c r="K58" s="305"/>
      <c r="L58" s="305"/>
      <c r="M58" s="303"/>
      <c r="N58" s="303"/>
      <c r="O58" s="262"/>
      <c r="P58" s="261"/>
      <c r="Q58" s="261"/>
      <c r="R58" s="261"/>
      <c r="S58" s="262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</row>
    <row r="59" spans="1:29" ht="18.75" hidden="1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339"/>
      <c r="G59" s="322"/>
      <c r="H59" s="322"/>
      <c r="I59" s="338"/>
      <c r="J59" s="221"/>
      <c r="K59" s="303"/>
      <c r="L59" s="303"/>
      <c r="M59" s="303"/>
      <c r="N59" s="303"/>
      <c r="O59" s="262"/>
      <c r="P59" s="262"/>
      <c r="Q59" s="262"/>
      <c r="R59" s="262"/>
      <c r="S59" s="262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</row>
    <row r="60" spans="1:29" ht="18.75" hidden="1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339"/>
      <c r="G60" s="322"/>
      <c r="H60" s="322"/>
      <c r="I60" s="338"/>
      <c r="J60" s="221"/>
      <c r="K60" s="303"/>
      <c r="L60" s="303"/>
      <c r="M60" s="303"/>
      <c r="N60" s="303"/>
      <c r="O60" s="262"/>
      <c r="P60" s="262"/>
      <c r="Q60" s="262"/>
      <c r="R60" s="262"/>
      <c r="S60" s="262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</row>
    <row r="61" spans="1:29" ht="18.75" hidden="1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339"/>
      <c r="G61" s="339"/>
      <c r="H61" s="322"/>
      <c r="I61" s="338"/>
      <c r="J61" s="221"/>
      <c r="K61" s="303"/>
      <c r="L61" s="303"/>
      <c r="M61" s="303"/>
      <c r="N61" s="303"/>
      <c r="O61" s="262"/>
      <c r="P61" s="262"/>
      <c r="Q61" s="262"/>
      <c r="R61" s="262"/>
      <c r="S61" s="262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</row>
    <row r="62" spans="1:29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339"/>
      <c r="G62" s="339"/>
      <c r="H62" s="322"/>
      <c r="I62" s="338"/>
      <c r="J62" s="221"/>
      <c r="K62" s="305"/>
      <c r="L62" s="305"/>
      <c r="M62" s="303"/>
      <c r="N62" s="303"/>
      <c r="O62" s="262"/>
      <c r="P62" s="261"/>
      <c r="Q62" s="261"/>
      <c r="R62" s="261"/>
      <c r="S62" s="261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</row>
    <row r="63" spans="1:29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339"/>
      <c r="G63" s="339"/>
      <c r="H63" s="322"/>
      <c r="I63" s="338"/>
      <c r="J63" s="221"/>
      <c r="K63" s="305"/>
      <c r="L63" s="305"/>
      <c r="M63" s="303"/>
      <c r="N63" s="303"/>
      <c r="O63" s="262"/>
      <c r="P63" s="261"/>
      <c r="Q63" s="261"/>
      <c r="R63" s="261"/>
      <c r="S63" s="261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</row>
    <row r="64" spans="1:29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339"/>
      <c r="G64" s="339"/>
      <c r="H64" s="322"/>
      <c r="I64" s="338"/>
      <c r="J64" s="221"/>
      <c r="K64" s="305"/>
      <c r="L64" s="305"/>
      <c r="M64" s="303"/>
      <c r="N64" s="303"/>
      <c r="O64" s="262"/>
      <c r="P64" s="261"/>
      <c r="Q64" s="261"/>
      <c r="R64" s="261"/>
      <c r="S64" s="261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</row>
    <row r="65" spans="1:29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322"/>
      <c r="G65" s="339"/>
      <c r="H65" s="322"/>
      <c r="I65" s="338"/>
      <c r="J65" s="221"/>
      <c r="K65" s="305"/>
      <c r="L65" s="305"/>
      <c r="M65" s="303"/>
      <c r="N65" s="303"/>
      <c r="O65" s="262"/>
      <c r="P65" s="261"/>
      <c r="Q65" s="261"/>
      <c r="R65" s="261"/>
      <c r="S65" s="261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</row>
    <row r="66" spans="1:29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339"/>
      <c r="G66" s="339"/>
      <c r="H66" s="322"/>
      <c r="I66" s="338"/>
      <c r="J66" s="221"/>
      <c r="K66" s="305"/>
      <c r="L66" s="305"/>
      <c r="M66" s="303"/>
      <c r="N66" s="303"/>
      <c r="O66" s="262"/>
      <c r="P66" s="261"/>
      <c r="Q66" s="261"/>
      <c r="R66" s="261"/>
      <c r="S66" s="261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</row>
    <row r="67" spans="1:29" ht="18.75" hidden="1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339"/>
      <c r="G67" s="339"/>
      <c r="H67" s="322"/>
      <c r="I67" s="338"/>
      <c r="J67" s="221"/>
      <c r="K67" s="303"/>
      <c r="L67" s="303"/>
      <c r="M67" s="303"/>
      <c r="N67" s="303"/>
      <c r="O67" s="262"/>
      <c r="P67" s="262"/>
      <c r="Q67" s="262"/>
      <c r="R67" s="262"/>
      <c r="S67" s="262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</row>
    <row r="68" spans="1:29" ht="18.75" hidden="1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339"/>
      <c r="G68" s="339"/>
      <c r="H68" s="322"/>
      <c r="I68" s="338"/>
      <c r="J68" s="221"/>
      <c r="K68" s="303"/>
      <c r="L68" s="303"/>
      <c r="M68" s="303"/>
      <c r="N68" s="303"/>
      <c r="O68" s="262"/>
      <c r="P68" s="262"/>
      <c r="Q68" s="262"/>
      <c r="R68" s="262"/>
      <c r="S68" s="262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</row>
    <row r="69" spans="1:29" ht="18.75" hidden="1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339"/>
      <c r="G69" s="339"/>
      <c r="H69" s="322"/>
      <c r="I69" s="338"/>
      <c r="J69" s="221"/>
      <c r="K69" s="303"/>
      <c r="L69" s="303"/>
      <c r="M69" s="303"/>
      <c r="N69" s="303"/>
      <c r="O69" s="262"/>
      <c r="P69" s="262"/>
      <c r="Q69" s="262"/>
      <c r="R69" s="262"/>
      <c r="S69" s="262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</row>
    <row r="70" spans="1:29" ht="18.75" hidden="1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339"/>
      <c r="G70" s="339"/>
      <c r="H70" s="322"/>
      <c r="I70" s="338"/>
      <c r="J70" s="221"/>
      <c r="K70" s="303"/>
      <c r="L70" s="303"/>
      <c r="M70" s="303"/>
      <c r="N70" s="303"/>
      <c r="O70" s="262"/>
      <c r="P70" s="262"/>
      <c r="Q70" s="262"/>
      <c r="R70" s="262"/>
      <c r="S70" s="262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</row>
    <row r="71" spans="1:29" ht="63" hidden="1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339"/>
      <c r="G71" s="339"/>
      <c r="H71" s="322"/>
      <c r="I71" s="338"/>
      <c r="J71" s="221"/>
      <c r="K71" s="303"/>
      <c r="L71" s="303"/>
      <c r="M71" s="303"/>
      <c r="N71" s="303"/>
      <c r="O71" s="262"/>
      <c r="P71" s="262"/>
      <c r="Q71" s="262"/>
      <c r="R71" s="262"/>
      <c r="S71" s="262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</row>
    <row r="72" spans="1:29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339"/>
      <c r="G72" s="339"/>
      <c r="H72" s="322"/>
      <c r="I72" s="338"/>
      <c r="J72" s="221"/>
      <c r="K72" s="303"/>
      <c r="L72" s="303"/>
      <c r="M72" s="303"/>
      <c r="N72" s="303"/>
      <c r="O72" s="262"/>
      <c r="P72" s="262"/>
      <c r="Q72" s="262"/>
      <c r="R72" s="262"/>
      <c r="S72" s="262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</row>
    <row r="73" spans="1:29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339"/>
      <c r="G73" s="339"/>
      <c r="H73" s="322"/>
      <c r="I73" s="338"/>
      <c r="J73" s="221"/>
      <c r="K73" s="303"/>
      <c r="L73" s="303"/>
      <c r="M73" s="303"/>
      <c r="N73" s="303"/>
      <c r="O73" s="262"/>
      <c r="P73" s="262"/>
      <c r="Q73" s="262"/>
      <c r="R73" s="262"/>
      <c r="S73" s="262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</row>
    <row r="74" spans="1:29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339"/>
      <c r="G74" s="339"/>
      <c r="H74" s="322"/>
      <c r="I74" s="338"/>
      <c r="J74" s="221"/>
      <c r="K74" s="303"/>
      <c r="L74" s="303"/>
      <c r="M74" s="303"/>
      <c r="N74" s="303"/>
      <c r="O74" s="262"/>
      <c r="P74" s="262"/>
      <c r="Q74" s="262"/>
      <c r="R74" s="262"/>
      <c r="S74" s="262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</row>
    <row r="75" spans="1:29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339"/>
      <c r="G75" s="339"/>
      <c r="H75" s="322"/>
      <c r="I75" s="338"/>
      <c r="J75" s="221"/>
      <c r="K75" s="303"/>
      <c r="L75" s="303"/>
      <c r="M75" s="303"/>
      <c r="N75" s="303"/>
      <c r="O75" s="262"/>
      <c r="P75" s="262"/>
      <c r="Q75" s="262"/>
      <c r="R75" s="262"/>
      <c r="S75" s="262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</row>
    <row r="76" spans="1:29" ht="14.2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339"/>
      <c r="G76" s="339"/>
      <c r="H76" s="322"/>
      <c r="I76" s="338"/>
      <c r="J76" s="221"/>
      <c r="K76" s="305"/>
      <c r="L76" s="305"/>
      <c r="M76" s="303"/>
      <c r="N76" s="340"/>
      <c r="O76" s="262"/>
      <c r="P76" s="261"/>
      <c r="Q76" s="261"/>
      <c r="R76" s="261"/>
      <c r="S76" s="261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</row>
    <row r="77" spans="1:29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339"/>
      <c r="G77" s="339"/>
      <c r="H77" s="322"/>
      <c r="I77" s="338"/>
      <c r="J77" s="221"/>
      <c r="K77" s="305"/>
      <c r="L77" s="305"/>
      <c r="M77" s="303"/>
      <c r="N77" s="303"/>
      <c r="O77" s="262"/>
      <c r="P77" s="261"/>
      <c r="Q77" s="261"/>
      <c r="R77" s="261"/>
      <c r="S77" s="261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</row>
    <row r="78" spans="1:29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339"/>
      <c r="G78" s="339"/>
      <c r="H78" s="322"/>
      <c r="I78" s="338"/>
      <c r="J78" s="221"/>
      <c r="K78" s="305"/>
      <c r="L78" s="305"/>
      <c r="M78" s="303"/>
      <c r="N78" s="303"/>
      <c r="O78" s="262"/>
      <c r="P78" s="261"/>
      <c r="Q78" s="261"/>
      <c r="R78" s="261"/>
      <c r="S78" s="261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</row>
    <row r="79" spans="1:29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339"/>
      <c r="G79" s="339"/>
      <c r="H79" s="322"/>
      <c r="I79" s="338"/>
      <c r="J79" s="221"/>
      <c r="K79" s="305"/>
      <c r="L79" s="305"/>
      <c r="M79" s="303"/>
      <c r="N79" s="303"/>
      <c r="O79" s="262"/>
      <c r="P79" s="261"/>
      <c r="Q79" s="261"/>
      <c r="R79" s="261"/>
      <c r="S79" s="261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</row>
    <row r="80" spans="1:29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339"/>
      <c r="G80" s="339"/>
      <c r="H80" s="322"/>
      <c r="I80" s="338"/>
      <c r="J80" s="221"/>
      <c r="K80" s="305"/>
      <c r="L80" s="305"/>
      <c r="M80" s="303"/>
      <c r="N80" s="303"/>
      <c r="O80" s="262"/>
      <c r="P80" s="261"/>
      <c r="Q80" s="261"/>
      <c r="R80" s="261"/>
      <c r="S80" s="261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</row>
    <row r="81" spans="1:29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339"/>
      <c r="G81" s="339"/>
      <c r="H81" s="322"/>
      <c r="I81" s="338"/>
      <c r="J81" s="221"/>
      <c r="K81" s="305"/>
      <c r="L81" s="305"/>
      <c r="M81" s="303"/>
      <c r="N81" s="303"/>
      <c r="O81" s="262"/>
      <c r="P81" s="261"/>
      <c r="Q81" s="261"/>
      <c r="R81" s="261"/>
      <c r="S81" s="261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</row>
    <row r="82" spans="1:29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339"/>
      <c r="G82" s="339"/>
      <c r="H82" s="322"/>
      <c r="I82" s="338"/>
      <c r="J82" s="221"/>
      <c r="K82" s="305"/>
      <c r="L82" s="305"/>
      <c r="M82" s="303"/>
      <c r="N82" s="303"/>
      <c r="O82" s="262"/>
      <c r="P82" s="261"/>
      <c r="Q82" s="261"/>
      <c r="R82" s="261"/>
      <c r="S82" s="261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</row>
    <row r="83" spans="1:29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339"/>
      <c r="G83" s="339"/>
      <c r="H83" s="322"/>
      <c r="I83" s="338"/>
      <c r="J83" s="221"/>
      <c r="K83" s="305"/>
      <c r="L83" s="305"/>
      <c r="M83" s="303"/>
      <c r="N83" s="303"/>
      <c r="O83" s="262"/>
      <c r="P83" s="261"/>
      <c r="Q83" s="261"/>
      <c r="R83" s="261"/>
      <c r="S83" s="261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</row>
    <row r="84" spans="1:29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339"/>
      <c r="G84" s="339"/>
      <c r="H84" s="322"/>
      <c r="I84" s="338"/>
      <c r="J84" s="221"/>
      <c r="K84" s="305"/>
      <c r="L84" s="305"/>
      <c r="M84" s="303"/>
      <c r="N84" s="303"/>
      <c r="O84" s="262"/>
      <c r="P84" s="261"/>
      <c r="Q84" s="261"/>
      <c r="R84" s="261"/>
      <c r="S84" s="261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</row>
    <row r="85" spans="1:29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339"/>
      <c r="G85" s="339"/>
      <c r="H85" s="322"/>
      <c r="I85" s="338"/>
      <c r="J85" s="221"/>
      <c r="K85" s="305"/>
      <c r="L85" s="305"/>
      <c r="M85" s="303"/>
      <c r="N85" s="303"/>
      <c r="O85" s="262"/>
      <c r="P85" s="261"/>
      <c r="Q85" s="261"/>
      <c r="R85" s="261"/>
      <c r="S85" s="261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</row>
    <row r="86" spans="1:29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339"/>
      <c r="G86" s="339"/>
      <c r="H86" s="322"/>
      <c r="I86" s="338"/>
      <c r="J86" s="221"/>
      <c r="K86" s="305"/>
      <c r="L86" s="305"/>
      <c r="M86" s="303"/>
      <c r="N86" s="303"/>
      <c r="O86" s="262"/>
      <c r="P86" s="261"/>
      <c r="Q86" s="261"/>
      <c r="R86" s="261"/>
      <c r="S86" s="261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</row>
    <row r="87" spans="1:29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339"/>
      <c r="G87" s="339"/>
      <c r="H87" s="322"/>
      <c r="I87" s="338"/>
      <c r="J87" s="221"/>
      <c r="K87" s="303"/>
      <c r="L87" s="303"/>
      <c r="M87" s="303"/>
      <c r="N87" s="303"/>
      <c r="O87" s="262"/>
      <c r="P87" s="262"/>
      <c r="Q87" s="262"/>
      <c r="R87" s="262"/>
      <c r="S87" s="262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</row>
    <row r="88" spans="1:29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339"/>
      <c r="G88" s="339"/>
      <c r="H88" s="322"/>
      <c r="I88" s="338"/>
      <c r="J88" s="221"/>
      <c r="K88" s="303"/>
      <c r="L88" s="303"/>
      <c r="M88" s="303"/>
      <c r="N88" s="303"/>
      <c r="O88" s="262"/>
      <c r="P88" s="262"/>
      <c r="Q88" s="262"/>
      <c r="R88" s="262"/>
      <c r="S88" s="262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</row>
    <row r="89" spans="1:29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339"/>
      <c r="G89" s="339"/>
      <c r="H89" s="322"/>
      <c r="I89" s="338"/>
      <c r="J89" s="221"/>
      <c r="K89" s="305"/>
      <c r="L89" s="305"/>
      <c r="M89" s="303"/>
      <c r="N89" s="303"/>
      <c r="O89" s="262"/>
      <c r="P89" s="261"/>
      <c r="Q89" s="261"/>
      <c r="R89" s="261"/>
      <c r="S89" s="261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</row>
    <row r="90" spans="1:29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339"/>
      <c r="G90" s="339"/>
      <c r="H90" s="322"/>
      <c r="I90" s="338"/>
      <c r="J90" s="221"/>
      <c r="K90" s="305"/>
      <c r="L90" s="305"/>
      <c r="M90" s="303"/>
      <c r="N90" s="303"/>
      <c r="O90" s="262"/>
      <c r="P90" s="261"/>
      <c r="Q90" s="261"/>
      <c r="R90" s="261"/>
      <c r="S90" s="261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</row>
    <row r="91" spans="1:29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339"/>
      <c r="G91" s="339"/>
      <c r="H91" s="322"/>
      <c r="I91" s="338"/>
      <c r="J91" s="221"/>
      <c r="K91" s="305"/>
      <c r="L91" s="305"/>
      <c r="M91" s="303"/>
      <c r="N91" s="303"/>
      <c r="O91" s="262"/>
      <c r="P91" s="261"/>
      <c r="Q91" s="261"/>
      <c r="R91" s="261"/>
      <c r="S91" s="261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</row>
    <row r="92" spans="1:29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339"/>
      <c r="G92" s="339"/>
      <c r="H92" s="322"/>
      <c r="I92" s="338"/>
      <c r="J92" s="221"/>
      <c r="K92" s="305"/>
      <c r="L92" s="305"/>
      <c r="M92" s="303"/>
      <c r="N92" s="303"/>
      <c r="O92" s="262"/>
      <c r="P92" s="261"/>
      <c r="Q92" s="261"/>
      <c r="R92" s="261"/>
      <c r="S92" s="261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</row>
    <row r="93" spans="1:29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339"/>
      <c r="G93" s="339"/>
      <c r="H93" s="322"/>
      <c r="I93" s="338"/>
      <c r="J93" s="221"/>
      <c r="K93" s="305"/>
      <c r="L93" s="305"/>
      <c r="M93" s="303"/>
      <c r="N93" s="303"/>
      <c r="O93" s="262"/>
      <c r="P93" s="261"/>
      <c r="Q93" s="261"/>
      <c r="R93" s="261"/>
      <c r="S93" s="261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</row>
    <row r="94" spans="1:29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339"/>
      <c r="G94" s="339"/>
      <c r="H94" s="322"/>
      <c r="I94" s="338"/>
      <c r="J94" s="221"/>
      <c r="K94" s="305"/>
      <c r="L94" s="305"/>
      <c r="M94" s="303"/>
      <c r="N94" s="303"/>
      <c r="O94" s="262"/>
      <c r="P94" s="261"/>
      <c r="Q94" s="261"/>
      <c r="R94" s="261"/>
      <c r="S94" s="261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</row>
    <row r="95" spans="1:29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339"/>
      <c r="G95" s="339"/>
      <c r="H95" s="322"/>
      <c r="I95" s="338"/>
      <c r="J95" s="221"/>
      <c r="K95" s="305"/>
      <c r="L95" s="305"/>
      <c r="M95" s="303"/>
      <c r="N95" s="303"/>
      <c r="O95" s="262"/>
      <c r="P95" s="261"/>
      <c r="Q95" s="261"/>
      <c r="R95" s="261"/>
      <c r="S95" s="261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</row>
    <row r="96" spans="1:29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339"/>
      <c r="G96" s="339"/>
      <c r="H96" s="322"/>
      <c r="I96" s="338"/>
      <c r="J96" s="221"/>
      <c r="K96" s="305"/>
      <c r="L96" s="305"/>
      <c r="M96" s="303"/>
      <c r="N96" s="303"/>
      <c r="O96" s="262"/>
      <c r="P96" s="261"/>
      <c r="Q96" s="261"/>
      <c r="R96" s="261"/>
      <c r="S96" s="261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</row>
    <row r="97" spans="1:29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339"/>
      <c r="G97" s="339"/>
      <c r="H97" s="322"/>
      <c r="I97" s="338"/>
      <c r="J97" s="221"/>
      <c r="K97" s="305"/>
      <c r="L97" s="305"/>
      <c r="M97" s="303"/>
      <c r="N97" s="303"/>
      <c r="O97" s="262"/>
      <c r="P97" s="261"/>
      <c r="Q97" s="261"/>
      <c r="R97" s="261"/>
      <c r="S97" s="261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</row>
    <row r="98" spans="1:29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339"/>
      <c r="G98" s="339"/>
      <c r="H98" s="322"/>
      <c r="I98" s="338"/>
      <c r="J98" s="221"/>
      <c r="K98" s="305"/>
      <c r="L98" s="305"/>
      <c r="M98" s="303"/>
      <c r="N98" s="303"/>
      <c r="O98" s="262"/>
      <c r="P98" s="261"/>
      <c r="Q98" s="261"/>
      <c r="R98" s="261"/>
      <c r="S98" s="261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</row>
    <row r="99" spans="1:29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339"/>
      <c r="G99" s="339"/>
      <c r="H99" s="322"/>
      <c r="I99" s="338"/>
      <c r="J99" s="221"/>
      <c r="K99" s="305"/>
      <c r="L99" s="305"/>
      <c r="M99" s="303"/>
      <c r="N99" s="303"/>
      <c r="O99" s="262"/>
      <c r="P99" s="261"/>
      <c r="Q99" s="261"/>
      <c r="R99" s="261"/>
      <c r="S99" s="261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</row>
    <row r="100" spans="1:29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339"/>
      <c r="G100" s="339"/>
      <c r="H100" s="322"/>
      <c r="I100" s="338"/>
      <c r="J100" s="221"/>
      <c r="K100" s="305"/>
      <c r="L100" s="305"/>
      <c r="M100" s="303"/>
      <c r="N100" s="303"/>
      <c r="O100" s="262"/>
      <c r="P100" s="261"/>
      <c r="Q100" s="261"/>
      <c r="R100" s="261"/>
      <c r="S100" s="261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</row>
    <row r="101" spans="1:29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339"/>
      <c r="G101" s="339"/>
      <c r="H101" s="322"/>
      <c r="I101" s="338"/>
      <c r="J101" s="221"/>
      <c r="K101" s="305"/>
      <c r="L101" s="305"/>
      <c r="M101" s="303"/>
      <c r="N101" s="303"/>
      <c r="O101" s="262"/>
      <c r="P101" s="261"/>
      <c r="Q101" s="261"/>
      <c r="R101" s="261"/>
      <c r="S101" s="261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</row>
    <row r="102" spans="1:29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339"/>
      <c r="G102" s="339"/>
      <c r="H102" s="322"/>
      <c r="I102" s="338"/>
      <c r="J102" s="221"/>
      <c r="K102" s="305"/>
      <c r="L102" s="305"/>
      <c r="M102" s="303"/>
      <c r="N102" s="303"/>
      <c r="O102" s="262"/>
      <c r="P102" s="261"/>
      <c r="Q102" s="261"/>
      <c r="R102" s="261"/>
      <c r="S102" s="261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</row>
    <row r="103" spans="1:29" ht="18.75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339"/>
      <c r="G103" s="339"/>
      <c r="H103" s="322"/>
      <c r="I103" s="338"/>
      <c r="J103" s="221"/>
      <c r="K103" s="305"/>
      <c r="L103" s="305"/>
      <c r="M103" s="303"/>
      <c r="N103" s="309"/>
      <c r="O103" s="262"/>
      <c r="P103" s="261"/>
      <c r="Q103" s="261"/>
      <c r="R103" s="261"/>
      <c r="S103" s="261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</row>
    <row r="104" spans="1:29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339"/>
      <c r="G104" s="339"/>
      <c r="H104" s="336"/>
      <c r="I104" s="338"/>
      <c r="J104" s="221"/>
      <c r="K104" s="309"/>
      <c r="L104" s="305"/>
      <c r="M104" s="309"/>
      <c r="N104" s="303"/>
      <c r="O104" s="273"/>
      <c r="P104" s="261"/>
      <c r="Q104" s="261"/>
      <c r="R104" s="261"/>
      <c r="S104" s="261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</row>
    <row r="105" spans="1:29" ht="18.75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339"/>
      <c r="G105" s="339"/>
      <c r="H105" s="336"/>
      <c r="I105" s="338"/>
      <c r="J105" s="221"/>
      <c r="K105" s="303"/>
      <c r="L105" s="303"/>
      <c r="M105" s="303"/>
      <c r="N105" s="303"/>
      <c r="O105" s="270"/>
      <c r="P105" s="262"/>
      <c r="Q105" s="262"/>
      <c r="R105" s="262"/>
      <c r="S105" s="262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</row>
    <row r="106" spans="1:29" ht="18.75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339"/>
      <c r="G106" s="339"/>
      <c r="H106" s="336"/>
      <c r="I106" s="338"/>
      <c r="J106" s="221"/>
      <c r="K106" s="303"/>
      <c r="L106" s="303"/>
      <c r="M106" s="303"/>
      <c r="N106" s="303"/>
      <c r="O106" s="270"/>
      <c r="P106" s="262"/>
      <c r="Q106" s="262"/>
      <c r="R106" s="262"/>
      <c r="S106" s="262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</row>
    <row r="107" spans="1:29" ht="18.75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339"/>
      <c r="G107" s="339"/>
      <c r="H107" s="322"/>
      <c r="I107" s="338"/>
      <c r="J107" s="221"/>
      <c r="K107" s="303"/>
      <c r="L107" s="303"/>
      <c r="M107" s="303"/>
      <c r="N107" s="303"/>
      <c r="O107" s="270"/>
      <c r="P107" s="262"/>
      <c r="Q107" s="262"/>
      <c r="R107" s="262"/>
      <c r="S107" s="262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</row>
    <row r="108" spans="1:29" ht="18.75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339"/>
      <c r="G108" s="339"/>
      <c r="H108" s="322"/>
      <c r="I108" s="338"/>
      <c r="J108" s="221"/>
      <c r="K108" s="303"/>
      <c r="L108" s="303"/>
      <c r="M108" s="303"/>
      <c r="N108" s="303"/>
      <c r="O108" s="270"/>
      <c r="P108" s="262"/>
      <c r="Q108" s="262"/>
      <c r="R108" s="262"/>
      <c r="S108" s="262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</row>
    <row r="109" spans="1:29" ht="18.75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339"/>
      <c r="G109" s="339"/>
      <c r="H109" s="322"/>
      <c r="I109" s="338"/>
      <c r="J109" s="221"/>
      <c r="K109" s="303"/>
      <c r="L109" s="303"/>
      <c r="M109" s="303"/>
      <c r="N109" s="303"/>
      <c r="O109" s="270"/>
      <c r="P109" s="262"/>
      <c r="Q109" s="262"/>
      <c r="R109" s="262"/>
      <c r="S109" s="262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</row>
    <row r="110" spans="1:29" ht="18.75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339"/>
      <c r="G110" s="339"/>
      <c r="H110" s="322"/>
      <c r="I110" s="338"/>
      <c r="J110" s="221"/>
      <c r="K110" s="303"/>
      <c r="L110" s="303"/>
      <c r="M110" s="303"/>
      <c r="N110" s="303"/>
      <c r="O110" s="270"/>
      <c r="P110" s="262"/>
      <c r="Q110" s="262"/>
      <c r="R110" s="262"/>
      <c r="S110" s="262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</row>
    <row r="111" spans="1:29" ht="18.75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339"/>
      <c r="G111" s="339"/>
      <c r="H111" s="322"/>
      <c r="I111" s="338"/>
      <c r="J111" s="221"/>
      <c r="K111" s="303"/>
      <c r="L111" s="303"/>
      <c r="M111" s="303"/>
      <c r="N111" s="303"/>
      <c r="O111" s="270"/>
      <c r="P111" s="262"/>
      <c r="Q111" s="262"/>
      <c r="R111" s="262"/>
      <c r="S111" s="262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</row>
    <row r="112" spans="1:29" ht="18.75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339"/>
      <c r="G112" s="339"/>
      <c r="H112" s="322"/>
      <c r="I112" s="338"/>
      <c r="J112" s="221"/>
      <c r="K112" s="303"/>
      <c r="L112" s="303"/>
      <c r="M112" s="303"/>
      <c r="N112" s="303"/>
      <c r="O112" s="270"/>
      <c r="P112" s="262"/>
      <c r="Q112" s="262"/>
      <c r="R112" s="262"/>
      <c r="S112" s="262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</row>
    <row r="113" spans="1:29" ht="18.75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339"/>
      <c r="G113" s="339"/>
      <c r="H113" s="322"/>
      <c r="I113" s="338"/>
      <c r="J113" s="221"/>
      <c r="K113" s="303"/>
      <c r="L113" s="303"/>
      <c r="M113" s="303"/>
      <c r="N113" s="303"/>
      <c r="O113" s="270"/>
      <c r="P113" s="262"/>
      <c r="Q113" s="262"/>
      <c r="R113" s="262"/>
      <c r="S113" s="262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</row>
    <row r="114" spans="1:29" ht="18.75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339"/>
      <c r="G114" s="339"/>
      <c r="H114" s="322"/>
      <c r="I114" s="338"/>
      <c r="J114" s="221"/>
      <c r="K114" s="303"/>
      <c r="L114" s="303"/>
      <c r="M114" s="303"/>
      <c r="N114" s="303"/>
      <c r="O114" s="270"/>
      <c r="P114" s="262"/>
      <c r="Q114" s="262"/>
      <c r="R114" s="262"/>
      <c r="S114" s="262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</row>
    <row r="115" spans="1:29" ht="18.75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339"/>
      <c r="G115" s="339"/>
      <c r="H115" s="322"/>
      <c r="I115" s="338"/>
      <c r="J115" s="221"/>
      <c r="K115" s="303"/>
      <c r="L115" s="303"/>
      <c r="M115" s="303"/>
      <c r="N115" s="303"/>
      <c r="O115" s="270"/>
      <c r="P115" s="262"/>
      <c r="Q115" s="262"/>
      <c r="R115" s="262"/>
      <c r="S115" s="262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</row>
    <row r="116" spans="1:29" ht="18.75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339"/>
      <c r="G116" s="339"/>
      <c r="H116" s="322"/>
      <c r="I116" s="338"/>
      <c r="J116" s="221"/>
      <c r="K116" s="303"/>
      <c r="L116" s="303"/>
      <c r="M116" s="303"/>
      <c r="N116" s="303"/>
      <c r="O116" s="270"/>
      <c r="P116" s="262"/>
      <c r="Q116" s="262"/>
      <c r="R116" s="262"/>
      <c r="S116" s="262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</row>
    <row r="117" spans="1:29" ht="18.75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339"/>
      <c r="G117" s="339"/>
      <c r="H117" s="322"/>
      <c r="I117" s="338"/>
      <c r="J117" s="221"/>
      <c r="K117" s="303"/>
      <c r="L117" s="303"/>
      <c r="M117" s="303"/>
      <c r="N117" s="303"/>
      <c r="O117" s="270"/>
      <c r="P117" s="262"/>
      <c r="Q117" s="262"/>
      <c r="R117" s="262"/>
      <c r="S117" s="262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</row>
    <row r="118" spans="1:29" ht="18.75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339"/>
      <c r="G118" s="339"/>
      <c r="H118" s="322"/>
      <c r="I118" s="338"/>
      <c r="J118" s="221"/>
      <c r="K118" s="303"/>
      <c r="L118" s="303"/>
      <c r="M118" s="303"/>
      <c r="N118" s="303"/>
      <c r="O118" s="270"/>
      <c r="P118" s="262"/>
      <c r="Q118" s="262"/>
      <c r="R118" s="262"/>
      <c r="S118" s="262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</row>
    <row r="119" spans="1:29" ht="18.75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339"/>
      <c r="G119" s="339"/>
      <c r="H119" s="322"/>
      <c r="I119" s="338"/>
      <c r="J119" s="221"/>
      <c r="K119" s="303"/>
      <c r="L119" s="303"/>
      <c r="M119" s="303"/>
      <c r="N119" s="303"/>
      <c r="O119" s="270"/>
      <c r="P119" s="262"/>
      <c r="Q119" s="262"/>
      <c r="R119" s="262"/>
      <c r="S119" s="262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</row>
    <row r="120" spans="1:29" ht="18.75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339"/>
      <c r="G120" s="339"/>
      <c r="H120" s="322"/>
      <c r="I120" s="338"/>
      <c r="J120" s="221"/>
      <c r="K120" s="303"/>
      <c r="L120" s="303"/>
      <c r="M120" s="303"/>
      <c r="N120" s="303"/>
      <c r="O120" s="270"/>
      <c r="P120" s="262"/>
      <c r="Q120" s="262"/>
      <c r="R120" s="262"/>
      <c r="S120" s="262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</row>
    <row r="121" spans="1:29" ht="18.75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339"/>
      <c r="G121" s="339"/>
      <c r="H121" s="322"/>
      <c r="I121" s="338"/>
      <c r="J121" s="221"/>
      <c r="K121" s="303"/>
      <c r="L121" s="303"/>
      <c r="M121" s="303"/>
      <c r="N121" s="303"/>
      <c r="O121" s="270"/>
      <c r="P121" s="262"/>
      <c r="Q121" s="262"/>
      <c r="R121" s="262"/>
      <c r="S121" s="262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</row>
    <row r="122" spans="1:29" ht="18.75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339"/>
      <c r="G122" s="339"/>
      <c r="H122" s="322"/>
      <c r="I122" s="338"/>
      <c r="J122" s="221"/>
      <c r="K122" s="303"/>
      <c r="L122" s="303"/>
      <c r="M122" s="303"/>
      <c r="N122" s="303"/>
      <c r="O122" s="270"/>
      <c r="P122" s="262"/>
      <c r="Q122" s="262"/>
      <c r="R122" s="262"/>
      <c r="S122" s="262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</row>
    <row r="123" spans="1:29" ht="18.75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339"/>
      <c r="G123" s="339"/>
      <c r="H123" s="322"/>
      <c r="I123" s="338"/>
      <c r="J123" s="221"/>
      <c r="K123" s="303"/>
      <c r="L123" s="303"/>
      <c r="M123" s="303"/>
      <c r="N123" s="303"/>
      <c r="O123" s="270"/>
      <c r="P123" s="262"/>
      <c r="Q123" s="262"/>
      <c r="R123" s="262"/>
      <c r="S123" s="262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</row>
    <row r="124" spans="1:29" ht="18.75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339"/>
      <c r="G124" s="339"/>
      <c r="H124" s="322"/>
      <c r="I124" s="338"/>
      <c r="J124" s="221"/>
      <c r="K124" s="303"/>
      <c r="L124" s="303"/>
      <c r="M124" s="303"/>
      <c r="N124" s="303"/>
      <c r="O124" s="270"/>
      <c r="P124" s="262"/>
      <c r="Q124" s="262"/>
      <c r="R124" s="262"/>
      <c r="S124" s="262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</row>
    <row r="125" spans="1:29" ht="18.75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339"/>
      <c r="G125" s="339"/>
      <c r="H125" s="322"/>
      <c r="I125" s="338"/>
      <c r="J125" s="221"/>
      <c r="K125" s="303"/>
      <c r="L125" s="303"/>
      <c r="M125" s="303"/>
      <c r="N125" s="303"/>
      <c r="O125" s="270"/>
      <c r="P125" s="262"/>
      <c r="Q125" s="262"/>
      <c r="R125" s="262"/>
      <c r="S125" s="262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</row>
    <row r="126" spans="1:29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322"/>
      <c r="G126" s="322"/>
      <c r="H126" s="341"/>
      <c r="I126" s="342"/>
      <c r="J126" s="343"/>
      <c r="K126" s="305"/>
      <c r="L126" s="305"/>
      <c r="M126" s="303"/>
      <c r="N126" s="303"/>
      <c r="O126" s="273"/>
      <c r="P126" s="261"/>
      <c r="Q126" s="261"/>
      <c r="R126" s="261"/>
      <c r="S126" s="261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</row>
    <row r="127" spans="1:29" ht="18.75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339"/>
      <c r="G127" s="339"/>
      <c r="H127" s="322"/>
      <c r="I127" s="338"/>
      <c r="J127" s="221"/>
      <c r="K127" s="303"/>
      <c r="L127" s="303"/>
      <c r="M127" s="303"/>
      <c r="N127" s="303"/>
      <c r="O127" s="262"/>
      <c r="P127" s="262"/>
      <c r="Q127" s="262"/>
      <c r="R127" s="262"/>
      <c r="S127" s="262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</row>
    <row r="128" spans="1:29" ht="18.75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339"/>
      <c r="G128" s="339"/>
      <c r="H128" s="322"/>
      <c r="I128" s="338"/>
      <c r="J128" s="221"/>
      <c r="K128" s="303"/>
      <c r="L128" s="303"/>
      <c r="M128" s="303"/>
      <c r="N128" s="303"/>
      <c r="O128" s="262"/>
      <c r="P128" s="262"/>
      <c r="Q128" s="262"/>
      <c r="R128" s="262"/>
      <c r="S128" s="262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</row>
    <row r="129" spans="1:29" ht="18.75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339"/>
      <c r="G129" s="339"/>
      <c r="H129" s="322"/>
      <c r="I129" s="338"/>
      <c r="J129" s="221"/>
      <c r="K129" s="303"/>
      <c r="L129" s="303"/>
      <c r="M129" s="303"/>
      <c r="N129" s="303"/>
      <c r="O129" s="262"/>
      <c r="P129" s="262"/>
      <c r="Q129" s="262"/>
      <c r="R129" s="262"/>
      <c r="S129" s="262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</row>
    <row r="130" spans="1:29" ht="18.75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339"/>
      <c r="G130" s="339"/>
      <c r="H130" s="322"/>
      <c r="I130" s="338"/>
      <c r="J130" s="221"/>
      <c r="K130" s="303"/>
      <c r="L130" s="303"/>
      <c r="M130" s="303"/>
      <c r="N130" s="303"/>
      <c r="O130" s="262"/>
      <c r="P130" s="262"/>
      <c r="Q130" s="262"/>
      <c r="R130" s="262"/>
      <c r="S130" s="262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</row>
    <row r="131" spans="1:29" ht="18.75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339"/>
      <c r="G131" s="322"/>
      <c r="H131" s="322"/>
      <c r="I131" s="338"/>
      <c r="J131" s="221"/>
      <c r="K131" s="303"/>
      <c r="L131" s="303"/>
      <c r="M131" s="303"/>
      <c r="N131" s="303"/>
      <c r="O131" s="262"/>
      <c r="P131" s="262"/>
      <c r="Q131" s="262"/>
      <c r="R131" s="262"/>
      <c r="S131" s="262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</row>
    <row r="132" spans="1:29" ht="18.75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339"/>
      <c r="G132" s="339"/>
      <c r="H132" s="322"/>
      <c r="I132" s="338"/>
      <c r="J132" s="221"/>
      <c r="K132" s="303"/>
      <c r="L132" s="303"/>
      <c r="M132" s="303"/>
      <c r="N132" s="303"/>
      <c r="O132" s="262"/>
      <c r="P132" s="262"/>
      <c r="Q132" s="262"/>
      <c r="R132" s="262"/>
      <c r="S132" s="262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</row>
    <row r="133" spans="1:29" ht="18.75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339"/>
      <c r="G133" s="339"/>
      <c r="H133" s="322"/>
      <c r="I133" s="338"/>
      <c r="J133" s="221"/>
      <c r="K133" s="303"/>
      <c r="L133" s="303"/>
      <c r="M133" s="303"/>
      <c r="N133" s="303"/>
      <c r="O133" s="262"/>
      <c r="P133" s="262"/>
      <c r="Q133" s="262"/>
      <c r="R133" s="262"/>
      <c r="S133" s="262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</row>
    <row r="134" spans="1:29" ht="18.75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339"/>
      <c r="G134" s="339"/>
      <c r="H134" s="322"/>
      <c r="I134" s="338"/>
      <c r="J134" s="221"/>
      <c r="K134" s="303"/>
      <c r="L134" s="303"/>
      <c r="M134" s="303"/>
      <c r="N134" s="303"/>
      <c r="O134" s="262"/>
      <c r="P134" s="262"/>
      <c r="Q134" s="262"/>
      <c r="R134" s="262"/>
      <c r="S134" s="262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</row>
    <row r="135" spans="1:29" ht="18.75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339"/>
      <c r="G135" s="339"/>
      <c r="H135" s="322"/>
      <c r="I135" s="338"/>
      <c r="J135" s="221"/>
      <c r="K135" s="303"/>
      <c r="L135" s="303"/>
      <c r="M135" s="303"/>
      <c r="N135" s="303"/>
      <c r="O135" s="262"/>
      <c r="P135" s="262"/>
      <c r="Q135" s="262"/>
      <c r="R135" s="262"/>
      <c r="S135" s="262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</row>
    <row r="136" spans="1:29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339"/>
      <c r="G136" s="339"/>
      <c r="H136" s="322"/>
      <c r="I136" s="338"/>
      <c r="J136" s="221"/>
      <c r="K136" s="305"/>
      <c r="L136" s="305"/>
      <c r="M136" s="303"/>
      <c r="N136" s="303"/>
      <c r="O136" s="262"/>
      <c r="P136" s="261"/>
      <c r="Q136" s="261"/>
      <c r="R136" s="261"/>
      <c r="S136" s="261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</row>
    <row r="137" spans="1:29" ht="18.75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339"/>
      <c r="G137" s="339"/>
      <c r="H137" s="322"/>
      <c r="I137" s="338"/>
      <c r="J137" s="221"/>
      <c r="K137" s="303"/>
      <c r="L137" s="303"/>
      <c r="M137" s="303"/>
      <c r="N137" s="303"/>
      <c r="O137" s="262"/>
      <c r="P137" s="262"/>
      <c r="Q137" s="262"/>
      <c r="R137" s="262"/>
      <c r="S137" s="262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</row>
    <row r="138" spans="1:29" ht="18.75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339"/>
      <c r="G138" s="339"/>
      <c r="H138" s="322"/>
      <c r="I138" s="338"/>
      <c r="J138" s="221"/>
      <c r="K138" s="303"/>
      <c r="L138" s="303"/>
      <c r="M138" s="303"/>
      <c r="N138" s="303"/>
      <c r="O138" s="262"/>
      <c r="P138" s="262"/>
      <c r="Q138" s="262"/>
      <c r="R138" s="262"/>
      <c r="S138" s="262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</row>
    <row r="139" spans="1:29" ht="18.75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339"/>
      <c r="G139" s="339"/>
      <c r="H139" s="322"/>
      <c r="I139" s="338"/>
      <c r="J139" s="221"/>
      <c r="K139" s="303"/>
      <c r="L139" s="303"/>
      <c r="M139" s="303"/>
      <c r="N139" s="303"/>
      <c r="O139" s="262"/>
      <c r="P139" s="262"/>
      <c r="Q139" s="262"/>
      <c r="R139" s="262"/>
      <c r="S139" s="262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</row>
    <row r="140" spans="1:29" ht="18.75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339"/>
      <c r="G140" s="339"/>
      <c r="H140" s="322"/>
      <c r="I140" s="338"/>
      <c r="J140" s="221"/>
      <c r="K140" s="303"/>
      <c r="L140" s="303"/>
      <c r="M140" s="303"/>
      <c r="N140" s="303"/>
      <c r="O140" s="262"/>
      <c r="P140" s="262"/>
      <c r="Q140" s="262"/>
      <c r="R140" s="262"/>
      <c r="S140" s="262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</row>
    <row r="141" spans="1:29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339"/>
      <c r="G141" s="322"/>
      <c r="H141" s="322"/>
      <c r="I141" s="338"/>
      <c r="J141" s="344"/>
      <c r="K141" s="305"/>
      <c r="L141" s="305"/>
      <c r="M141" s="303"/>
      <c r="N141" s="303"/>
      <c r="O141" s="262"/>
      <c r="P141" s="261"/>
      <c r="Q141" s="261"/>
      <c r="R141" s="261"/>
      <c r="S141" s="261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</row>
    <row r="142" spans="1:29" ht="18.75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339"/>
      <c r="G142" s="339"/>
      <c r="H142" s="322"/>
      <c r="I142" s="338"/>
      <c r="J142" s="221"/>
      <c r="K142" s="303"/>
      <c r="L142" s="303"/>
      <c r="M142" s="303"/>
      <c r="N142" s="303"/>
      <c r="O142" s="262"/>
      <c r="P142" s="262"/>
      <c r="Q142" s="262"/>
      <c r="R142" s="262"/>
      <c r="S142" s="262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</row>
    <row r="143" spans="1:29" ht="18.75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339"/>
      <c r="G143" s="339"/>
      <c r="H143" s="322"/>
      <c r="I143" s="338"/>
      <c r="J143" s="221"/>
      <c r="K143" s="303"/>
      <c r="L143" s="303"/>
      <c r="M143" s="303"/>
      <c r="N143" s="303"/>
      <c r="O143" s="262"/>
      <c r="P143" s="262"/>
      <c r="Q143" s="262"/>
      <c r="R143" s="262"/>
      <c r="S143" s="262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</row>
    <row r="144" spans="1:29" ht="18.75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339"/>
      <c r="G144" s="339"/>
      <c r="H144" s="322"/>
      <c r="I144" s="338"/>
      <c r="J144" s="221"/>
      <c r="K144" s="303"/>
      <c r="L144" s="303"/>
      <c r="M144" s="303"/>
      <c r="N144" s="303"/>
      <c r="O144" s="262"/>
      <c r="P144" s="262"/>
      <c r="Q144" s="262"/>
      <c r="R144" s="262"/>
      <c r="S144" s="262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</row>
    <row r="145" spans="1:29" ht="18.75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339"/>
      <c r="G145" s="339"/>
      <c r="H145" s="322"/>
      <c r="I145" s="338"/>
      <c r="J145" s="221"/>
      <c r="K145" s="303"/>
      <c r="L145" s="303"/>
      <c r="M145" s="303"/>
      <c r="N145" s="303"/>
      <c r="O145" s="262"/>
      <c r="P145" s="262"/>
      <c r="Q145" s="262"/>
      <c r="R145" s="262"/>
      <c r="S145" s="262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</row>
    <row r="146" spans="1:29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339"/>
      <c r="G146" s="339"/>
      <c r="H146" s="339"/>
      <c r="I146" s="338"/>
      <c r="J146" s="221"/>
      <c r="K146" s="305"/>
      <c r="L146" s="305"/>
      <c r="M146" s="303"/>
      <c r="N146" s="303"/>
      <c r="O146" s="262"/>
      <c r="P146" s="261"/>
      <c r="Q146" s="261"/>
      <c r="R146" s="261"/>
      <c r="S146" s="261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</row>
    <row r="147" spans="1:29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339"/>
      <c r="G147" s="339"/>
      <c r="H147" s="322"/>
      <c r="I147" s="338"/>
      <c r="J147" s="221"/>
      <c r="K147" s="305"/>
      <c r="L147" s="305"/>
      <c r="M147" s="303"/>
      <c r="N147" s="303"/>
      <c r="O147" s="262"/>
      <c r="P147" s="261"/>
      <c r="Q147" s="261"/>
      <c r="R147" s="261"/>
      <c r="S147" s="261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</row>
    <row r="148" spans="1:29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339"/>
      <c r="G148" s="339"/>
      <c r="H148" s="322"/>
      <c r="I148" s="338"/>
      <c r="J148" s="221"/>
      <c r="K148" s="305"/>
      <c r="L148" s="305"/>
      <c r="M148" s="303"/>
      <c r="N148" s="303"/>
      <c r="O148" s="262"/>
      <c r="P148" s="261"/>
      <c r="Q148" s="261"/>
      <c r="R148" s="261"/>
      <c r="S148" s="261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</row>
    <row r="149" spans="1:29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339"/>
      <c r="G149" s="339"/>
      <c r="H149" s="322"/>
      <c r="I149" s="338"/>
      <c r="J149" s="221"/>
      <c r="K149" s="305"/>
      <c r="L149" s="305"/>
      <c r="M149" s="303"/>
      <c r="N149" s="303"/>
      <c r="O149" s="262"/>
      <c r="P149" s="261"/>
      <c r="Q149" s="261"/>
      <c r="R149" s="261"/>
      <c r="S149" s="261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</row>
    <row r="150" spans="1:29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339"/>
      <c r="G150" s="339"/>
      <c r="H150" s="322"/>
      <c r="I150" s="338"/>
      <c r="J150" s="221"/>
      <c r="K150" s="305"/>
      <c r="L150" s="305"/>
      <c r="M150" s="303"/>
      <c r="N150" s="303"/>
      <c r="O150" s="262"/>
      <c r="P150" s="261"/>
      <c r="Q150" s="261"/>
      <c r="R150" s="261"/>
      <c r="S150" s="261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</row>
    <row r="151" spans="1:29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339"/>
      <c r="G151" s="339"/>
      <c r="H151" s="322"/>
      <c r="I151" s="338"/>
      <c r="J151" s="221"/>
      <c r="K151" s="305"/>
      <c r="L151" s="305"/>
      <c r="M151" s="303"/>
      <c r="N151" s="303"/>
      <c r="O151" s="262"/>
      <c r="P151" s="261"/>
      <c r="Q151" s="261"/>
      <c r="R151" s="261"/>
      <c r="S151" s="261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</row>
    <row r="152" spans="1:29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339"/>
      <c r="G152" s="339"/>
      <c r="H152" s="322"/>
      <c r="I152" s="338"/>
      <c r="J152" s="221"/>
      <c r="K152" s="305"/>
      <c r="L152" s="305"/>
      <c r="M152" s="303"/>
      <c r="N152" s="303"/>
      <c r="O152" s="262"/>
      <c r="P152" s="261"/>
      <c r="Q152" s="261"/>
      <c r="R152" s="261"/>
      <c r="S152" s="261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</row>
    <row r="153" spans="1:29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339"/>
      <c r="G153" s="339"/>
      <c r="H153" s="322"/>
      <c r="I153" s="338"/>
      <c r="J153" s="221"/>
      <c r="K153" s="305"/>
      <c r="L153" s="305"/>
      <c r="M153" s="303"/>
      <c r="N153" s="303"/>
      <c r="O153" s="262"/>
      <c r="P153" s="261"/>
      <c r="Q153" s="261"/>
      <c r="R153" s="261"/>
      <c r="S153" s="261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</row>
    <row r="154" spans="1:29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339"/>
      <c r="G154" s="339"/>
      <c r="H154" s="322"/>
      <c r="I154" s="338"/>
      <c r="J154" s="221"/>
      <c r="K154" s="305"/>
      <c r="L154" s="305"/>
      <c r="M154" s="303"/>
      <c r="N154" s="303"/>
      <c r="O154" s="262"/>
      <c r="P154" s="261"/>
      <c r="Q154" s="261"/>
      <c r="R154" s="261"/>
      <c r="S154" s="261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</row>
    <row r="155" spans="1:29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339"/>
      <c r="G155" s="339"/>
      <c r="H155" s="322"/>
      <c r="I155" s="338"/>
      <c r="J155" s="221"/>
      <c r="K155" s="305"/>
      <c r="L155" s="305"/>
      <c r="M155" s="303"/>
      <c r="N155" s="303"/>
      <c r="O155" s="262"/>
      <c r="P155" s="261"/>
      <c r="Q155" s="261"/>
      <c r="R155" s="261"/>
      <c r="S155" s="261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</row>
    <row r="156" spans="1:29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339"/>
      <c r="G156" s="339"/>
      <c r="H156" s="322"/>
      <c r="I156" s="338"/>
      <c r="J156" s="221"/>
      <c r="K156" s="305"/>
      <c r="L156" s="305"/>
      <c r="M156" s="303"/>
      <c r="N156" s="303"/>
      <c r="O156" s="262"/>
      <c r="P156" s="261"/>
      <c r="Q156" s="261"/>
      <c r="R156" s="261"/>
      <c r="S156" s="261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</row>
    <row r="157" spans="1:29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339"/>
      <c r="G157" s="339"/>
      <c r="H157" s="322"/>
      <c r="I157" s="338"/>
      <c r="J157" s="221"/>
      <c r="K157" s="305"/>
      <c r="L157" s="305"/>
      <c r="M157" s="303"/>
      <c r="N157" s="303"/>
      <c r="O157" s="262"/>
      <c r="P157" s="261"/>
      <c r="Q157" s="261"/>
      <c r="R157" s="261"/>
      <c r="S157" s="261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</row>
    <row r="158" spans="1:29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339"/>
      <c r="G158" s="339"/>
      <c r="H158" s="322"/>
      <c r="I158" s="338"/>
      <c r="J158" s="221"/>
      <c r="K158" s="305"/>
      <c r="L158" s="305"/>
      <c r="M158" s="303"/>
      <c r="N158" s="303"/>
      <c r="O158" s="262"/>
      <c r="P158" s="261"/>
      <c r="Q158" s="261"/>
      <c r="R158" s="261"/>
      <c r="S158" s="261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</row>
    <row r="159" spans="1:29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339"/>
      <c r="G159" s="339"/>
      <c r="H159" s="322"/>
      <c r="I159" s="338"/>
      <c r="J159" s="221"/>
      <c r="K159" s="305"/>
      <c r="L159" s="305"/>
      <c r="M159" s="303"/>
      <c r="N159" s="303"/>
      <c r="O159" s="262"/>
      <c r="P159" s="261"/>
      <c r="Q159" s="261"/>
      <c r="R159" s="261"/>
      <c r="S159" s="261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</row>
    <row r="160" spans="1:29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339"/>
      <c r="G160" s="339"/>
      <c r="H160" s="322"/>
      <c r="I160" s="338"/>
      <c r="J160" s="221"/>
      <c r="K160" s="305"/>
      <c r="L160" s="305"/>
      <c r="M160" s="303"/>
      <c r="N160" s="303"/>
      <c r="O160" s="262"/>
      <c r="P160" s="261"/>
      <c r="Q160" s="261"/>
      <c r="R160" s="261"/>
      <c r="S160" s="261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</row>
    <row r="161" spans="1:29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339"/>
      <c r="G161" s="322"/>
      <c r="H161" s="322"/>
      <c r="I161" s="338"/>
      <c r="J161" s="221"/>
      <c r="K161" s="305"/>
      <c r="L161" s="305"/>
      <c r="M161" s="303"/>
      <c r="N161" s="303"/>
      <c r="O161" s="262"/>
      <c r="P161" s="261"/>
      <c r="Q161" s="261"/>
      <c r="R161" s="261"/>
      <c r="S161" s="261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</row>
    <row r="162" spans="1:29" ht="18.75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339"/>
      <c r="G162" s="339"/>
      <c r="H162" s="322"/>
      <c r="I162" s="338"/>
      <c r="J162" s="221"/>
      <c r="K162" s="303"/>
      <c r="L162" s="303"/>
      <c r="M162" s="303"/>
      <c r="N162" s="303"/>
      <c r="O162" s="262"/>
      <c r="P162" s="262"/>
      <c r="Q162" s="262"/>
      <c r="R162" s="262"/>
      <c r="S162" s="262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</row>
    <row r="163" spans="1:29" ht="18.75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339"/>
      <c r="G163" s="339"/>
      <c r="H163" s="322"/>
      <c r="I163" s="338"/>
      <c r="J163" s="221"/>
      <c r="K163" s="303"/>
      <c r="L163" s="303"/>
      <c r="M163" s="303"/>
      <c r="N163" s="303"/>
      <c r="O163" s="262"/>
      <c r="P163" s="262"/>
      <c r="Q163" s="262"/>
      <c r="R163" s="262"/>
      <c r="S163" s="262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</row>
    <row r="164" spans="1:29" ht="31.5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339"/>
      <c r="G164" s="339"/>
      <c r="H164" s="322"/>
      <c r="I164" s="338"/>
      <c r="J164" s="221"/>
      <c r="K164" s="303"/>
      <c r="L164" s="303"/>
      <c r="M164" s="303"/>
      <c r="N164" s="303"/>
      <c r="O164" s="262"/>
      <c r="P164" s="262"/>
      <c r="Q164" s="262"/>
      <c r="R164" s="262"/>
      <c r="S164" s="262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</row>
    <row r="165" spans="1:29" ht="18.75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339"/>
      <c r="G165" s="339"/>
      <c r="H165" s="322"/>
      <c r="I165" s="338"/>
      <c r="J165" s="221"/>
      <c r="K165" s="303"/>
      <c r="L165" s="303"/>
      <c r="M165" s="303"/>
      <c r="N165" s="303"/>
      <c r="O165" s="262"/>
      <c r="P165" s="262"/>
      <c r="Q165" s="262"/>
      <c r="R165" s="262"/>
      <c r="S165" s="262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</row>
    <row r="166" spans="1:29" ht="31.5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339"/>
      <c r="G166" s="339"/>
      <c r="H166" s="322"/>
      <c r="I166" s="338"/>
      <c r="J166" s="221"/>
      <c r="K166" s="303"/>
      <c r="L166" s="303"/>
      <c r="M166" s="303"/>
      <c r="N166" s="303"/>
      <c r="O166" s="262"/>
      <c r="P166" s="262"/>
      <c r="Q166" s="262"/>
      <c r="R166" s="262"/>
      <c r="S166" s="262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</row>
    <row r="167" spans="1:29" ht="18.75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339"/>
      <c r="G167" s="339"/>
      <c r="H167" s="322"/>
      <c r="I167" s="338"/>
      <c r="J167" s="221"/>
      <c r="K167" s="303"/>
      <c r="L167" s="303"/>
      <c r="M167" s="303"/>
      <c r="N167" s="303"/>
      <c r="O167" s="262"/>
      <c r="P167" s="262"/>
      <c r="Q167" s="262"/>
      <c r="R167" s="262"/>
      <c r="S167" s="262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</row>
    <row r="168" spans="1:29" ht="18.75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339"/>
      <c r="G168" s="339"/>
      <c r="H168" s="322"/>
      <c r="I168" s="338"/>
      <c r="J168" s="221"/>
      <c r="K168" s="303"/>
      <c r="L168" s="303"/>
      <c r="M168" s="303"/>
      <c r="N168" s="303"/>
      <c r="O168" s="262"/>
      <c r="P168" s="262"/>
      <c r="Q168" s="262"/>
      <c r="R168" s="262"/>
      <c r="S168" s="262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</row>
    <row r="169" spans="1:29" ht="15.75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339"/>
      <c r="G169" s="339"/>
      <c r="H169" s="322"/>
      <c r="I169" s="338"/>
      <c r="J169" s="221"/>
      <c r="K169" s="303"/>
      <c r="L169" s="303"/>
      <c r="M169" s="303"/>
      <c r="N169" s="303"/>
      <c r="O169" s="262"/>
      <c r="P169" s="262"/>
      <c r="Q169" s="262"/>
      <c r="R169" s="262"/>
      <c r="S169" s="262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</row>
    <row r="170" spans="1:29" ht="31.5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339"/>
      <c r="G170" s="339"/>
      <c r="H170" s="322"/>
      <c r="I170" s="338"/>
      <c r="J170" s="221"/>
      <c r="K170" s="303"/>
      <c r="L170" s="303"/>
      <c r="M170" s="303"/>
      <c r="N170" s="303"/>
      <c r="O170" s="262"/>
      <c r="P170" s="262"/>
      <c r="Q170" s="262"/>
      <c r="R170" s="262"/>
      <c r="S170" s="262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</row>
    <row r="171" spans="1:29" ht="31.5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339"/>
      <c r="G171" s="339"/>
      <c r="H171" s="322"/>
      <c r="I171" s="338"/>
      <c r="J171" s="221"/>
      <c r="K171" s="303"/>
      <c r="L171" s="303"/>
      <c r="M171" s="303"/>
      <c r="N171" s="303"/>
      <c r="O171" s="262"/>
      <c r="P171" s="262"/>
      <c r="Q171" s="262"/>
      <c r="R171" s="262"/>
      <c r="S171" s="262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</row>
    <row r="172" spans="1:29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339"/>
      <c r="G172" s="339"/>
      <c r="H172" s="322"/>
      <c r="I172" s="338"/>
      <c r="J172" s="221"/>
      <c r="K172" s="305"/>
      <c r="L172" s="305"/>
      <c r="M172" s="303"/>
      <c r="N172" s="303"/>
      <c r="O172" s="262"/>
      <c r="P172" s="261"/>
      <c r="Q172" s="261"/>
      <c r="R172" s="261"/>
      <c r="S172" s="261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</row>
    <row r="173" spans="1:29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322"/>
      <c r="G173" s="322"/>
      <c r="H173" s="322"/>
      <c r="I173" s="338"/>
      <c r="J173" s="221"/>
      <c r="K173" s="305"/>
      <c r="L173" s="305"/>
      <c r="M173" s="303"/>
      <c r="N173" s="303"/>
      <c r="O173" s="262"/>
      <c r="P173" s="261"/>
      <c r="Q173" s="261"/>
      <c r="R173" s="261"/>
      <c r="S173" s="261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</row>
    <row r="174" spans="1:29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339"/>
      <c r="G174" s="339"/>
      <c r="H174" s="322"/>
      <c r="I174" s="338"/>
      <c r="J174" s="221"/>
      <c r="K174" s="305"/>
      <c r="L174" s="305"/>
      <c r="M174" s="303"/>
      <c r="N174" s="303"/>
      <c r="O174" s="262"/>
      <c r="P174" s="261"/>
      <c r="Q174" s="261"/>
      <c r="R174" s="261"/>
      <c r="S174" s="261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</row>
    <row r="175" spans="1:29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339"/>
      <c r="G175" s="339"/>
      <c r="H175" s="322"/>
      <c r="I175" s="338"/>
      <c r="J175" s="221"/>
      <c r="K175" s="305"/>
      <c r="L175" s="305"/>
      <c r="M175" s="303"/>
      <c r="N175" s="303"/>
      <c r="O175" s="262"/>
      <c r="P175" s="261"/>
      <c r="Q175" s="261"/>
      <c r="R175" s="261"/>
      <c r="S175" s="261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</row>
    <row r="176" spans="1:29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339"/>
      <c r="G176" s="339"/>
      <c r="H176" s="322"/>
      <c r="I176" s="338"/>
      <c r="J176" s="221"/>
      <c r="K176" s="305"/>
      <c r="L176" s="305"/>
      <c r="M176" s="303"/>
      <c r="N176" s="303"/>
      <c r="O176" s="262"/>
      <c r="P176" s="261"/>
      <c r="Q176" s="261"/>
      <c r="R176" s="261"/>
      <c r="S176" s="261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</row>
    <row r="177" spans="1:29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339"/>
      <c r="G177" s="339"/>
      <c r="H177" s="322"/>
      <c r="I177" s="338"/>
      <c r="J177" s="221"/>
      <c r="K177" s="305"/>
      <c r="L177" s="305"/>
      <c r="M177" s="303"/>
      <c r="N177" s="303"/>
      <c r="O177" s="262"/>
      <c r="P177" s="261"/>
      <c r="Q177" s="261"/>
      <c r="R177" s="261"/>
      <c r="S177" s="261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</row>
    <row r="178" spans="1:29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322"/>
      <c r="G178" s="322"/>
      <c r="H178" s="322"/>
      <c r="I178" s="338"/>
      <c r="J178" s="221"/>
      <c r="K178" s="305"/>
      <c r="L178" s="305"/>
      <c r="M178" s="305"/>
      <c r="N178" s="305"/>
      <c r="O178" s="261"/>
      <c r="P178" s="261"/>
      <c r="Q178" s="261"/>
      <c r="R178" s="261"/>
      <c r="S178" s="261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</row>
    <row r="179" spans="1:29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339"/>
      <c r="G179" s="339"/>
      <c r="H179" s="322"/>
      <c r="I179" s="338"/>
      <c r="J179" s="221"/>
      <c r="K179" s="305"/>
      <c r="L179" s="305"/>
      <c r="M179" s="303"/>
      <c r="N179" s="303"/>
      <c r="O179" s="262"/>
      <c r="P179" s="261"/>
      <c r="Q179" s="261"/>
      <c r="R179" s="261"/>
      <c r="S179" s="261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</row>
    <row r="180" spans="1:29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339"/>
      <c r="G180" s="339"/>
      <c r="H180" s="322"/>
      <c r="I180" s="338"/>
      <c r="J180" s="221"/>
      <c r="K180" s="305"/>
      <c r="L180" s="305"/>
      <c r="M180" s="303"/>
      <c r="N180" s="303"/>
      <c r="O180" s="262"/>
      <c r="P180" s="261"/>
      <c r="Q180" s="261"/>
      <c r="R180" s="261"/>
      <c r="S180" s="261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</row>
    <row r="181" spans="1:29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339"/>
      <c r="G181" s="339"/>
      <c r="H181" s="322"/>
      <c r="I181" s="338"/>
      <c r="J181" s="221"/>
      <c r="K181" s="305"/>
      <c r="L181" s="305"/>
      <c r="M181" s="303"/>
      <c r="N181" s="303"/>
      <c r="O181" s="262"/>
      <c r="P181" s="261"/>
      <c r="Q181" s="261"/>
      <c r="R181" s="261"/>
      <c r="S181" s="261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</row>
    <row r="182" spans="1:29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339"/>
      <c r="G182" s="339"/>
      <c r="H182" s="322"/>
      <c r="I182" s="338"/>
      <c r="J182" s="221"/>
      <c r="K182" s="305"/>
      <c r="L182" s="305"/>
      <c r="M182" s="303"/>
      <c r="N182" s="303"/>
      <c r="O182" s="262"/>
      <c r="P182" s="261"/>
      <c r="Q182" s="261"/>
      <c r="R182" s="261"/>
      <c r="S182" s="261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</row>
    <row r="183" spans="1:29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339"/>
      <c r="G183" s="339"/>
      <c r="H183" s="322"/>
      <c r="I183" s="338"/>
      <c r="J183" s="221"/>
      <c r="K183" s="305"/>
      <c r="L183" s="305"/>
      <c r="M183" s="303"/>
      <c r="N183" s="303"/>
      <c r="O183" s="262"/>
      <c r="P183" s="261"/>
      <c r="Q183" s="261"/>
      <c r="R183" s="261"/>
      <c r="S183" s="261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</row>
    <row r="184" spans="1:29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339"/>
      <c r="G184" s="339"/>
      <c r="H184" s="322"/>
      <c r="I184" s="338"/>
      <c r="J184" s="221"/>
      <c r="K184" s="305"/>
      <c r="L184" s="305"/>
      <c r="M184" s="303"/>
      <c r="N184" s="303"/>
      <c r="O184" s="262"/>
      <c r="P184" s="261"/>
      <c r="Q184" s="261"/>
      <c r="R184" s="261"/>
      <c r="S184" s="261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</row>
    <row r="185" spans="1:29" ht="31.5" customHeight="1">
      <c r="A185" s="101">
        <v>7.7</v>
      </c>
      <c r="B185" s="53" t="s">
        <v>412</v>
      </c>
      <c r="C185" s="87" t="s">
        <v>413</v>
      </c>
      <c r="D185" s="61" t="s">
        <v>1220</v>
      </c>
      <c r="E185" s="200">
        <f t="shared" si="0"/>
        <v>0</v>
      </c>
      <c r="F185" s="339"/>
      <c r="G185" s="339"/>
      <c r="H185" s="322"/>
      <c r="I185" s="338"/>
      <c r="J185" s="221"/>
      <c r="K185" s="305"/>
      <c r="L185" s="305"/>
      <c r="M185" s="303"/>
      <c r="N185" s="303"/>
      <c r="O185" s="262"/>
      <c r="P185" s="261"/>
      <c r="Q185" s="261"/>
      <c r="R185" s="261"/>
      <c r="S185" s="261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</row>
    <row r="186" spans="1:29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339"/>
      <c r="G186" s="339"/>
      <c r="H186" s="322"/>
      <c r="I186" s="338"/>
      <c r="J186" s="221"/>
      <c r="K186" s="305"/>
      <c r="L186" s="305"/>
      <c r="M186" s="303"/>
      <c r="N186" s="303"/>
      <c r="O186" s="262"/>
      <c r="P186" s="261"/>
      <c r="Q186" s="261"/>
      <c r="R186" s="261"/>
      <c r="S186" s="261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</row>
    <row r="187" spans="1:29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339"/>
      <c r="G187" s="339"/>
      <c r="H187" s="322"/>
      <c r="I187" s="338"/>
      <c r="J187" s="221"/>
      <c r="K187" s="305"/>
      <c r="L187" s="305"/>
      <c r="M187" s="303"/>
      <c r="N187" s="303"/>
      <c r="O187" s="262"/>
      <c r="P187" s="261"/>
      <c r="Q187" s="261"/>
      <c r="R187" s="261"/>
      <c r="S187" s="261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</row>
    <row r="188" spans="1:29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339"/>
      <c r="G188" s="339"/>
      <c r="H188" s="322"/>
      <c r="I188" s="338"/>
      <c r="J188" s="221"/>
      <c r="K188" s="305"/>
      <c r="L188" s="305"/>
      <c r="M188" s="303"/>
      <c r="N188" s="303"/>
      <c r="O188" s="262"/>
      <c r="P188" s="261"/>
      <c r="Q188" s="261"/>
      <c r="R188" s="261"/>
      <c r="S188" s="26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</row>
    <row r="189" spans="1:29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339"/>
      <c r="G189" s="339"/>
      <c r="H189" s="322"/>
      <c r="I189" s="338"/>
      <c r="J189" s="221"/>
      <c r="K189" s="305"/>
      <c r="L189" s="305"/>
      <c r="M189" s="303"/>
      <c r="N189" s="303"/>
      <c r="O189" s="262"/>
      <c r="P189" s="174"/>
      <c r="Q189" s="261"/>
      <c r="R189" s="261"/>
      <c r="S189" s="261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</row>
    <row r="190" spans="1:29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339"/>
      <c r="G190" s="339"/>
      <c r="H190" s="322"/>
      <c r="I190" s="338"/>
      <c r="J190" s="221"/>
      <c r="K190" s="305"/>
      <c r="L190" s="305"/>
      <c r="M190" s="303"/>
      <c r="N190" s="303"/>
      <c r="O190" s="262"/>
      <c r="P190" s="261"/>
      <c r="Q190" s="261"/>
      <c r="R190" s="261"/>
      <c r="S190" s="261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</row>
    <row r="191" spans="1:29" ht="18.75" customHeight="1">
      <c r="A191" s="42" t="s">
        <v>991</v>
      </c>
      <c r="B191" s="59" t="s">
        <v>428</v>
      </c>
      <c r="C191" s="111" t="s">
        <v>429</v>
      </c>
      <c r="D191" s="61" t="s">
        <v>1221</v>
      </c>
      <c r="E191" s="200">
        <f t="shared" si="0"/>
        <v>0</v>
      </c>
      <c r="F191" s="339"/>
      <c r="G191" s="339"/>
      <c r="H191" s="322"/>
      <c r="I191" s="338"/>
      <c r="J191" s="221"/>
      <c r="K191" s="305"/>
      <c r="L191" s="305"/>
      <c r="M191" s="303"/>
      <c r="N191" s="303"/>
      <c r="O191" s="262"/>
      <c r="P191" s="261"/>
      <c r="Q191" s="261"/>
      <c r="R191" s="261"/>
      <c r="S191" s="261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</row>
    <row r="192" spans="1:29" ht="18.75" customHeight="1">
      <c r="A192" s="42" t="s">
        <v>990</v>
      </c>
      <c r="B192" s="59" t="s">
        <v>426</v>
      </c>
      <c r="C192" s="111" t="s">
        <v>431</v>
      </c>
      <c r="D192" s="61" t="s">
        <v>1222</v>
      </c>
      <c r="E192" s="200">
        <f t="shared" si="0"/>
        <v>0</v>
      </c>
      <c r="F192" s="339"/>
      <c r="G192" s="339"/>
      <c r="H192" s="322"/>
      <c r="I192" s="338"/>
      <c r="J192" s="221"/>
      <c r="K192" s="305"/>
      <c r="L192" s="305"/>
      <c r="M192" s="303"/>
      <c r="N192" s="303"/>
      <c r="O192" s="262"/>
      <c r="P192" s="261"/>
      <c r="Q192" s="261"/>
      <c r="R192" s="261"/>
      <c r="S192" s="261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</row>
    <row r="193" spans="1:29" ht="18.75" customHeight="1">
      <c r="A193" s="42" t="s">
        <v>991</v>
      </c>
      <c r="B193" s="59" t="s">
        <v>428</v>
      </c>
      <c r="C193" s="111" t="s">
        <v>433</v>
      </c>
      <c r="D193" s="61" t="s">
        <v>1223</v>
      </c>
      <c r="E193" s="200">
        <f t="shared" si="0"/>
        <v>0</v>
      </c>
      <c r="F193" s="339"/>
      <c r="G193" s="339"/>
      <c r="H193" s="322"/>
      <c r="I193" s="338"/>
      <c r="J193" s="221"/>
      <c r="K193" s="305"/>
      <c r="L193" s="305"/>
      <c r="M193" s="303"/>
      <c r="N193" s="303"/>
      <c r="O193" s="262"/>
      <c r="P193" s="261"/>
      <c r="Q193" s="261"/>
      <c r="R193" s="261"/>
      <c r="S193" s="261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</row>
    <row r="194" spans="1:29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339"/>
      <c r="G194" s="339"/>
      <c r="H194" s="322"/>
      <c r="I194" s="338"/>
      <c r="J194" s="221"/>
      <c r="K194" s="305"/>
      <c r="L194" s="305"/>
      <c r="M194" s="303"/>
      <c r="N194" s="303"/>
      <c r="O194" s="262"/>
      <c r="P194" s="261"/>
      <c r="Q194" s="261"/>
      <c r="R194" s="261"/>
      <c r="S194" s="261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</row>
    <row r="195" spans="1:29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339"/>
      <c r="G195" s="339"/>
      <c r="H195" s="322"/>
      <c r="I195" s="338"/>
      <c r="J195" s="221"/>
      <c r="K195" s="305"/>
      <c r="L195" s="305"/>
      <c r="M195" s="303"/>
      <c r="N195" s="303"/>
      <c r="O195" s="261"/>
      <c r="P195" s="272"/>
      <c r="Q195" s="261"/>
      <c r="R195" s="261"/>
      <c r="S195" s="261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</row>
    <row r="196" spans="1:29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339"/>
      <c r="G196" s="339"/>
      <c r="H196" s="322"/>
      <c r="I196" s="338"/>
      <c r="J196" s="221"/>
      <c r="K196" s="305"/>
      <c r="L196" s="305"/>
      <c r="M196" s="303"/>
      <c r="N196" s="303"/>
      <c r="O196" s="262"/>
      <c r="P196" s="261"/>
      <c r="Q196" s="261"/>
      <c r="R196" s="261"/>
      <c r="S196" s="261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</row>
    <row r="197" spans="1:29" ht="18.75" customHeight="1">
      <c r="A197" s="42" t="s">
        <v>997</v>
      </c>
      <c r="B197" s="59" t="s">
        <v>440</v>
      </c>
      <c r="C197" s="111" t="s">
        <v>429</v>
      </c>
      <c r="D197" s="61" t="s">
        <v>1224</v>
      </c>
      <c r="E197" s="200">
        <f t="shared" si="0"/>
        <v>0</v>
      </c>
      <c r="F197" s="339"/>
      <c r="G197" s="339"/>
      <c r="H197" s="322"/>
      <c r="I197" s="338"/>
      <c r="J197" s="221"/>
      <c r="K197" s="305"/>
      <c r="L197" s="305"/>
      <c r="M197" s="303"/>
      <c r="N197" s="303"/>
      <c r="O197" s="262"/>
      <c r="P197" s="261"/>
      <c r="Q197" s="261"/>
      <c r="R197" s="261"/>
      <c r="S197" s="261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</row>
    <row r="198" spans="1:29" ht="18.75" customHeight="1">
      <c r="A198" s="42" t="s">
        <v>996</v>
      </c>
      <c r="B198" s="59" t="s">
        <v>439</v>
      </c>
      <c r="C198" s="111" t="s">
        <v>431</v>
      </c>
      <c r="D198" s="61" t="s">
        <v>1225</v>
      </c>
      <c r="E198" s="200">
        <f t="shared" si="0"/>
        <v>0</v>
      </c>
      <c r="F198" s="339"/>
      <c r="G198" s="339"/>
      <c r="H198" s="322"/>
      <c r="I198" s="338"/>
      <c r="J198" s="221"/>
      <c r="K198" s="305"/>
      <c r="L198" s="305"/>
      <c r="M198" s="303"/>
      <c r="N198" s="303"/>
      <c r="O198" s="262"/>
      <c r="P198" s="261"/>
      <c r="Q198" s="261"/>
      <c r="R198" s="261"/>
      <c r="S198" s="261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</row>
    <row r="199" spans="1:29" ht="18.75" customHeight="1">
      <c r="A199" s="42" t="s">
        <v>997</v>
      </c>
      <c r="B199" s="59" t="s">
        <v>440</v>
      </c>
      <c r="C199" s="111" t="s">
        <v>433</v>
      </c>
      <c r="D199" s="61" t="s">
        <v>1226</v>
      </c>
      <c r="E199" s="200">
        <f t="shared" si="0"/>
        <v>0</v>
      </c>
      <c r="F199" s="339"/>
      <c r="G199" s="339"/>
      <c r="H199" s="322"/>
      <c r="I199" s="338"/>
      <c r="J199" s="221"/>
      <c r="K199" s="305"/>
      <c r="L199" s="305"/>
      <c r="M199" s="303"/>
      <c r="N199" s="303"/>
      <c r="O199" s="262"/>
      <c r="P199" s="261"/>
      <c r="Q199" s="261"/>
      <c r="R199" s="261"/>
      <c r="S199" s="261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</row>
    <row r="200" spans="1:29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339"/>
      <c r="G200" s="339"/>
      <c r="H200" s="322"/>
      <c r="I200" s="338"/>
      <c r="J200" s="221"/>
      <c r="K200" s="305"/>
      <c r="L200" s="305"/>
      <c r="M200" s="303"/>
      <c r="N200" s="303"/>
      <c r="O200" s="262"/>
      <c r="P200" s="261"/>
      <c r="Q200" s="261"/>
      <c r="R200" s="261"/>
      <c r="S200" s="261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</row>
    <row r="201" spans="1:29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339"/>
      <c r="G201" s="322"/>
      <c r="H201" s="322"/>
      <c r="I201" s="338"/>
      <c r="J201" s="221"/>
      <c r="K201" s="305"/>
      <c r="L201" s="305"/>
      <c r="M201" s="303"/>
      <c r="N201" s="303"/>
      <c r="O201" s="262"/>
      <c r="P201" s="261"/>
      <c r="Q201" s="261"/>
      <c r="R201" s="261"/>
      <c r="S201" s="261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</row>
    <row r="202" spans="1:29" ht="18.75" customHeight="1">
      <c r="A202" s="42"/>
      <c r="B202" s="59" t="s">
        <v>449</v>
      </c>
      <c r="C202" s="111" t="s">
        <v>450</v>
      </c>
      <c r="D202" s="61" t="s">
        <v>1227</v>
      </c>
      <c r="E202" s="200">
        <f t="shared" si="0"/>
        <v>0</v>
      </c>
      <c r="F202" s="339"/>
      <c r="G202" s="339"/>
      <c r="H202" s="322"/>
      <c r="I202" s="338"/>
      <c r="J202" s="221"/>
      <c r="K202" s="305"/>
      <c r="L202" s="305"/>
      <c r="M202" s="303"/>
      <c r="N202" s="303"/>
      <c r="O202" s="262"/>
      <c r="P202" s="261"/>
      <c r="Q202" s="261"/>
      <c r="R202" s="261"/>
      <c r="S202" s="261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</row>
    <row r="203" spans="1:29" ht="18.75" customHeight="1">
      <c r="A203" s="42"/>
      <c r="B203" s="59" t="s">
        <v>449</v>
      </c>
      <c r="C203" s="111" t="s">
        <v>431</v>
      </c>
      <c r="D203" s="61" t="s">
        <v>1228</v>
      </c>
      <c r="E203" s="200">
        <f t="shared" si="0"/>
        <v>0</v>
      </c>
      <c r="F203" s="339"/>
      <c r="G203" s="339"/>
      <c r="H203" s="322"/>
      <c r="I203" s="338"/>
      <c r="J203" s="221"/>
      <c r="K203" s="305"/>
      <c r="L203" s="305"/>
      <c r="M203" s="303"/>
      <c r="N203" s="303"/>
      <c r="O203" s="262"/>
      <c r="P203" s="261"/>
      <c r="Q203" s="261"/>
      <c r="R203" s="261"/>
      <c r="S203" s="261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</row>
    <row r="204" spans="1:29" ht="18.75" customHeight="1">
      <c r="A204" s="42"/>
      <c r="B204" s="59" t="s">
        <v>453</v>
      </c>
      <c r="C204" s="111" t="s">
        <v>433</v>
      </c>
      <c r="D204" s="61" t="s">
        <v>1229</v>
      </c>
      <c r="E204" s="200">
        <f t="shared" si="0"/>
        <v>0</v>
      </c>
      <c r="F204" s="339"/>
      <c r="G204" s="339"/>
      <c r="H204" s="322"/>
      <c r="I204" s="338"/>
      <c r="J204" s="221"/>
      <c r="K204" s="305"/>
      <c r="L204" s="305"/>
      <c r="M204" s="303"/>
      <c r="N204" s="303"/>
      <c r="O204" s="262"/>
      <c r="P204" s="261"/>
      <c r="Q204" s="261"/>
      <c r="R204" s="261"/>
      <c r="S204" s="261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</row>
    <row r="205" spans="1:29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339"/>
      <c r="G205" s="339"/>
      <c r="H205" s="322"/>
      <c r="I205" s="338"/>
      <c r="J205" s="221"/>
      <c r="K205" s="305"/>
      <c r="L205" s="305"/>
      <c r="M205" s="303"/>
      <c r="N205" s="303"/>
      <c r="O205" s="262"/>
      <c r="P205" s="261"/>
      <c r="Q205" s="261"/>
      <c r="R205" s="261"/>
      <c r="S205" s="261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</row>
    <row r="206" spans="1:29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339"/>
      <c r="G206" s="322"/>
      <c r="H206" s="322"/>
      <c r="I206" s="338"/>
      <c r="J206" s="221"/>
      <c r="K206" s="305"/>
      <c r="L206" s="305"/>
      <c r="M206" s="303"/>
      <c r="N206" s="303"/>
      <c r="O206" s="262"/>
      <c r="P206" s="261"/>
      <c r="Q206" s="261"/>
      <c r="R206" s="261"/>
      <c r="S206" s="261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</row>
    <row r="207" spans="1:29" ht="18.75" customHeight="1">
      <c r="A207" s="42"/>
      <c r="B207" s="59" t="s">
        <v>461</v>
      </c>
      <c r="C207" s="111" t="s">
        <v>431</v>
      </c>
      <c r="D207" s="61" t="s">
        <v>1230</v>
      </c>
      <c r="E207" s="200">
        <f t="shared" si="0"/>
        <v>0</v>
      </c>
      <c r="F207" s="339"/>
      <c r="G207" s="339"/>
      <c r="H207" s="322"/>
      <c r="I207" s="338"/>
      <c r="J207" s="221"/>
      <c r="K207" s="305"/>
      <c r="L207" s="305"/>
      <c r="M207" s="303"/>
      <c r="N207" s="303"/>
      <c r="O207" s="262"/>
      <c r="P207" s="261"/>
      <c r="Q207" s="261"/>
      <c r="R207" s="261"/>
      <c r="S207" s="261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</row>
    <row r="208" spans="1:29" ht="18.75" customHeight="1">
      <c r="A208" s="42"/>
      <c r="B208" s="59" t="s">
        <v>464</v>
      </c>
      <c r="C208" s="111" t="s">
        <v>433</v>
      </c>
      <c r="D208" s="61" t="s">
        <v>1231</v>
      </c>
      <c r="E208" s="200">
        <f t="shared" si="0"/>
        <v>0</v>
      </c>
      <c r="F208" s="339"/>
      <c r="G208" s="339"/>
      <c r="H208" s="322"/>
      <c r="I208" s="338"/>
      <c r="J208" s="221"/>
      <c r="K208" s="305"/>
      <c r="L208" s="305"/>
      <c r="M208" s="303"/>
      <c r="N208" s="303"/>
      <c r="O208" s="262"/>
      <c r="P208" s="261"/>
      <c r="Q208" s="261"/>
      <c r="R208" s="261"/>
      <c r="S208" s="261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</row>
    <row r="209" spans="1:29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339"/>
      <c r="G209" s="339"/>
      <c r="H209" s="322"/>
      <c r="I209" s="338"/>
      <c r="J209" s="221"/>
      <c r="K209" s="305"/>
      <c r="L209" s="305"/>
      <c r="M209" s="303"/>
      <c r="N209" s="303"/>
      <c r="O209" s="262"/>
      <c r="P209" s="261"/>
      <c r="Q209" s="261"/>
      <c r="R209" s="261"/>
      <c r="S209" s="261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</row>
    <row r="210" spans="1:29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339"/>
      <c r="G210" s="339"/>
      <c r="H210" s="322"/>
      <c r="I210" s="338"/>
      <c r="J210" s="221"/>
      <c r="K210" s="305"/>
      <c r="L210" s="305"/>
      <c r="M210" s="303"/>
      <c r="N210" s="303"/>
      <c r="O210" s="262"/>
      <c r="P210" s="261"/>
      <c r="Q210" s="261"/>
      <c r="R210" s="261"/>
      <c r="S210" s="261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</row>
    <row r="211" spans="1:29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339"/>
      <c r="G211" s="339"/>
      <c r="H211" s="322"/>
      <c r="I211" s="338"/>
      <c r="J211" s="221"/>
      <c r="K211" s="305"/>
      <c r="L211" s="305"/>
      <c r="M211" s="303"/>
      <c r="N211" s="303"/>
      <c r="O211" s="262"/>
      <c r="P211" s="261"/>
      <c r="Q211" s="261"/>
      <c r="R211" s="261"/>
      <c r="S211" s="261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</row>
    <row r="212" spans="1:29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339"/>
      <c r="G212" s="339"/>
      <c r="H212" s="322"/>
      <c r="I212" s="338"/>
      <c r="J212" s="221"/>
      <c r="K212" s="305"/>
      <c r="L212" s="305"/>
      <c r="M212" s="303"/>
      <c r="N212" s="303"/>
      <c r="O212" s="262"/>
      <c r="P212" s="261"/>
      <c r="Q212" s="261"/>
      <c r="R212" s="261"/>
      <c r="S212" s="261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</row>
    <row r="213" spans="1:29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339"/>
      <c r="G213" s="339"/>
      <c r="H213" s="322"/>
      <c r="I213" s="338"/>
      <c r="J213" s="221"/>
      <c r="K213" s="305"/>
      <c r="L213" s="305"/>
      <c r="M213" s="303"/>
      <c r="N213" s="303"/>
      <c r="O213" s="262"/>
      <c r="P213" s="261"/>
      <c r="Q213" s="261"/>
      <c r="R213" s="261"/>
      <c r="S213" s="261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</row>
    <row r="214" spans="1:29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339"/>
      <c r="G214" s="322"/>
      <c r="H214" s="322"/>
      <c r="I214" s="338"/>
      <c r="J214" s="221"/>
      <c r="K214" s="305"/>
      <c r="L214" s="305"/>
      <c r="M214" s="303"/>
      <c r="N214" s="303"/>
      <c r="O214" s="262"/>
      <c r="P214" s="261"/>
      <c r="Q214" s="261"/>
      <c r="R214" s="261"/>
      <c r="S214" s="261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</row>
    <row r="215" spans="1:29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339"/>
      <c r="G215" s="339"/>
      <c r="H215" s="322"/>
      <c r="I215" s="338"/>
      <c r="J215" s="221"/>
      <c r="K215" s="305"/>
      <c r="L215" s="305"/>
      <c r="M215" s="303"/>
      <c r="N215" s="303"/>
      <c r="O215" s="262"/>
      <c r="P215" s="261"/>
      <c r="Q215" s="261"/>
      <c r="R215" s="261"/>
      <c r="S215" s="261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</row>
    <row r="216" spans="1:29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339"/>
      <c r="G216" s="339"/>
      <c r="H216" s="322"/>
      <c r="I216" s="338"/>
      <c r="J216" s="221"/>
      <c r="K216" s="305"/>
      <c r="L216" s="305"/>
      <c r="M216" s="303"/>
      <c r="N216" s="303"/>
      <c r="O216" s="262"/>
      <c r="P216" s="261"/>
      <c r="Q216" s="261"/>
      <c r="R216" s="261"/>
      <c r="S216" s="261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</row>
    <row r="217" spans="1:29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339"/>
      <c r="G217" s="339"/>
      <c r="H217" s="322"/>
      <c r="I217" s="338"/>
      <c r="J217" s="221"/>
      <c r="K217" s="305"/>
      <c r="L217" s="305"/>
      <c r="M217" s="303"/>
      <c r="N217" s="303"/>
      <c r="O217" s="262"/>
      <c r="P217" s="261"/>
      <c r="Q217" s="261"/>
      <c r="R217" s="261"/>
      <c r="S217" s="261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</row>
    <row r="218" spans="1:29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339"/>
      <c r="G218" s="339"/>
      <c r="H218" s="322"/>
      <c r="I218" s="338"/>
      <c r="J218" s="221"/>
      <c r="K218" s="305"/>
      <c r="L218" s="305"/>
      <c r="M218" s="303"/>
      <c r="N218" s="303"/>
      <c r="O218" s="262"/>
      <c r="P218" s="261"/>
      <c r="Q218" s="261"/>
      <c r="R218" s="261"/>
      <c r="S218" s="261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</row>
    <row r="219" spans="1:29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339"/>
      <c r="G219" s="339"/>
      <c r="H219" s="322"/>
      <c r="I219" s="338"/>
      <c r="J219" s="221"/>
      <c r="K219" s="305"/>
      <c r="L219" s="305"/>
      <c r="M219" s="303"/>
      <c r="N219" s="303"/>
      <c r="O219" s="262"/>
      <c r="P219" s="261"/>
      <c r="Q219" s="261"/>
      <c r="R219" s="261"/>
      <c r="S219" s="261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</row>
    <row r="220" spans="1:29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339"/>
      <c r="G220" s="339"/>
      <c r="H220" s="322"/>
      <c r="I220" s="338"/>
      <c r="J220" s="221"/>
      <c r="K220" s="305"/>
      <c r="L220" s="305"/>
      <c r="M220" s="303"/>
      <c r="N220" s="303"/>
      <c r="O220" s="262"/>
      <c r="P220" s="261"/>
      <c r="Q220" s="261"/>
      <c r="R220" s="261"/>
      <c r="S220" s="261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</row>
    <row r="221" spans="1:29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339"/>
      <c r="G221" s="322"/>
      <c r="H221" s="322"/>
      <c r="I221" s="338"/>
      <c r="J221" s="221"/>
      <c r="K221" s="305"/>
      <c r="L221" s="305"/>
      <c r="M221" s="303"/>
      <c r="N221" s="303"/>
      <c r="O221" s="262"/>
      <c r="P221" s="261"/>
      <c r="Q221" s="261"/>
      <c r="R221" s="261"/>
      <c r="S221" s="261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</row>
    <row r="222" spans="1:29" ht="18.75" customHeight="1">
      <c r="A222" s="118" t="s">
        <v>1007</v>
      </c>
      <c r="B222" s="59" t="s">
        <v>502</v>
      </c>
      <c r="C222" s="113" t="s">
        <v>503</v>
      </c>
      <c r="D222" s="61" t="s">
        <v>1232</v>
      </c>
      <c r="E222" s="200">
        <f t="shared" si="0"/>
        <v>0</v>
      </c>
      <c r="F222" s="339"/>
      <c r="G222" s="339"/>
      <c r="H222" s="322"/>
      <c r="I222" s="338"/>
      <c r="J222" s="221"/>
      <c r="K222" s="305"/>
      <c r="L222" s="305"/>
      <c r="M222" s="303"/>
      <c r="N222" s="303"/>
      <c r="O222" s="262"/>
      <c r="P222" s="261"/>
      <c r="Q222" s="261"/>
      <c r="R222" s="261"/>
      <c r="S222" s="261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</row>
    <row r="223" spans="1:29" ht="18.75" customHeight="1">
      <c r="A223" s="118" t="s">
        <v>1009</v>
      </c>
      <c r="B223" s="59" t="s">
        <v>506</v>
      </c>
      <c r="C223" s="113" t="s">
        <v>507</v>
      </c>
      <c r="D223" s="61" t="s">
        <v>1233</v>
      </c>
      <c r="E223" s="200">
        <f t="shared" si="0"/>
        <v>0</v>
      </c>
      <c r="F223" s="339"/>
      <c r="G223" s="339"/>
      <c r="H223" s="322"/>
      <c r="I223" s="338"/>
      <c r="J223" s="221"/>
      <c r="K223" s="305"/>
      <c r="L223" s="305"/>
      <c r="M223" s="303"/>
      <c r="N223" s="303"/>
      <c r="O223" s="262"/>
      <c r="P223" s="261"/>
      <c r="Q223" s="261"/>
      <c r="R223" s="261"/>
      <c r="S223" s="261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</row>
    <row r="224" spans="1:29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339"/>
      <c r="G224" s="339"/>
      <c r="H224" s="322"/>
      <c r="I224" s="338"/>
      <c r="J224" s="221"/>
      <c r="K224" s="305"/>
      <c r="L224" s="305"/>
      <c r="M224" s="303"/>
      <c r="N224" s="303"/>
      <c r="O224" s="262"/>
      <c r="P224" s="261"/>
      <c r="Q224" s="261"/>
      <c r="R224" s="261"/>
      <c r="S224" s="261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</row>
    <row r="225" spans="1:29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339"/>
      <c r="G225" s="339"/>
      <c r="H225" s="322"/>
      <c r="I225" s="338"/>
      <c r="J225" s="221"/>
      <c r="K225" s="305"/>
      <c r="L225" s="305"/>
      <c r="M225" s="303"/>
      <c r="N225" s="303"/>
      <c r="O225" s="262"/>
      <c r="P225" s="261"/>
      <c r="Q225" s="261"/>
      <c r="R225" s="261"/>
      <c r="S225" s="261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</row>
    <row r="226" spans="1:29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339"/>
      <c r="G226" s="339"/>
      <c r="H226" s="322"/>
      <c r="I226" s="338"/>
      <c r="J226" s="221"/>
      <c r="K226" s="305"/>
      <c r="L226" s="305"/>
      <c r="M226" s="303"/>
      <c r="N226" s="303"/>
      <c r="O226" s="262"/>
      <c r="P226" s="261"/>
      <c r="Q226" s="261"/>
      <c r="R226" s="261"/>
      <c r="S226" s="261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</row>
    <row r="227" spans="1:29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339"/>
      <c r="G227" s="339"/>
      <c r="H227" s="322"/>
      <c r="I227" s="338"/>
      <c r="J227" s="221"/>
      <c r="K227" s="305"/>
      <c r="L227" s="305"/>
      <c r="M227" s="303"/>
      <c r="N227" s="303"/>
      <c r="O227" s="262"/>
      <c r="P227" s="261"/>
      <c r="Q227" s="261"/>
      <c r="R227" s="261"/>
      <c r="S227" s="261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</row>
    <row r="228" spans="1:29" ht="18.75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339"/>
      <c r="G228" s="339"/>
      <c r="H228" s="322"/>
      <c r="I228" s="338"/>
      <c r="J228" s="221"/>
      <c r="K228" s="305"/>
      <c r="L228" s="305"/>
      <c r="M228" s="303"/>
      <c r="N228" s="303"/>
      <c r="O228" s="262"/>
      <c r="P228" s="261"/>
      <c r="Q228" s="261"/>
      <c r="R228" s="261"/>
      <c r="S228" s="261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</row>
    <row r="229" spans="1:29" ht="18.75" customHeight="1">
      <c r="A229" s="42"/>
      <c r="B229" s="59" t="s">
        <v>523</v>
      </c>
      <c r="C229" s="113" t="s">
        <v>524</v>
      </c>
      <c r="D229" s="61" t="s">
        <v>1234</v>
      </c>
      <c r="E229" s="200">
        <f t="shared" si="0"/>
        <v>0</v>
      </c>
      <c r="F229" s="339"/>
      <c r="G229" s="339"/>
      <c r="H229" s="322"/>
      <c r="I229" s="338"/>
      <c r="J229" s="221"/>
      <c r="K229" s="305"/>
      <c r="L229" s="305"/>
      <c r="M229" s="303"/>
      <c r="N229" s="303"/>
      <c r="O229" s="262"/>
      <c r="P229" s="261"/>
      <c r="Q229" s="261"/>
      <c r="R229" s="261"/>
      <c r="S229" s="261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</row>
    <row r="230" spans="1:29" ht="18.75" customHeight="1">
      <c r="A230" s="42"/>
      <c r="B230" s="59" t="s">
        <v>526</v>
      </c>
      <c r="C230" s="113" t="s">
        <v>527</v>
      </c>
      <c r="D230" s="61" t="s">
        <v>1235</v>
      </c>
      <c r="E230" s="200">
        <f t="shared" si="0"/>
        <v>0</v>
      </c>
      <c r="F230" s="339"/>
      <c r="G230" s="339"/>
      <c r="H230" s="322"/>
      <c r="I230" s="338"/>
      <c r="J230" s="221"/>
      <c r="K230" s="305"/>
      <c r="L230" s="305"/>
      <c r="M230" s="303"/>
      <c r="N230" s="303"/>
      <c r="O230" s="262"/>
      <c r="P230" s="261"/>
      <c r="Q230" s="261"/>
      <c r="R230" s="261"/>
      <c r="S230" s="261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</row>
    <row r="231" spans="1:29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339"/>
      <c r="G231" s="339"/>
      <c r="H231" s="322"/>
      <c r="I231" s="338"/>
      <c r="J231" s="221"/>
      <c r="K231" s="305"/>
      <c r="L231" s="305"/>
      <c r="M231" s="303"/>
      <c r="N231" s="303"/>
      <c r="O231" s="262"/>
      <c r="P231" s="261"/>
      <c r="Q231" s="261"/>
      <c r="R231" s="261"/>
      <c r="S231" s="261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</row>
    <row r="232" spans="1:29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339"/>
      <c r="G232" s="339"/>
      <c r="H232" s="322"/>
      <c r="I232" s="338"/>
      <c r="J232" s="221"/>
      <c r="K232" s="305"/>
      <c r="L232" s="305"/>
      <c r="M232" s="303"/>
      <c r="N232" s="303"/>
      <c r="O232" s="262"/>
      <c r="P232" s="261"/>
      <c r="Q232" s="261"/>
      <c r="R232" s="261"/>
      <c r="S232" s="261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</row>
    <row r="233" spans="1:29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339"/>
      <c r="G233" s="339"/>
      <c r="H233" s="322"/>
      <c r="I233" s="338"/>
      <c r="J233" s="221"/>
      <c r="K233" s="57"/>
      <c r="L233" s="57"/>
      <c r="M233" s="298"/>
      <c r="N233" s="298"/>
      <c r="O233" s="262"/>
      <c r="P233" s="261"/>
      <c r="Q233" s="261"/>
      <c r="R233" s="261"/>
      <c r="S233" s="261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</row>
    <row r="234" spans="1:29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339"/>
      <c r="G234" s="339"/>
      <c r="H234" s="322"/>
      <c r="I234" s="338"/>
      <c r="J234" s="221"/>
      <c r="K234" s="305"/>
      <c r="L234" s="305"/>
      <c r="M234" s="303"/>
      <c r="N234" s="303"/>
      <c r="O234" s="262"/>
      <c r="P234" s="261"/>
      <c r="Q234" s="261"/>
      <c r="R234" s="261"/>
      <c r="S234" s="261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</row>
    <row r="235" spans="1:29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339"/>
      <c r="G235" s="339"/>
      <c r="H235" s="322"/>
      <c r="I235" s="338"/>
      <c r="J235" s="221"/>
      <c r="K235" s="305"/>
      <c r="L235" s="305"/>
      <c r="M235" s="303"/>
      <c r="N235" s="303"/>
      <c r="O235" s="262"/>
      <c r="P235" s="261"/>
      <c r="Q235" s="261"/>
      <c r="R235" s="261"/>
      <c r="S235" s="261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</row>
    <row r="236" spans="1:29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339"/>
      <c r="G236" s="339"/>
      <c r="H236" s="322"/>
      <c r="I236" s="338"/>
      <c r="J236" s="221"/>
      <c r="K236" s="305"/>
      <c r="L236" s="305"/>
      <c r="M236" s="303"/>
      <c r="N236" s="303"/>
      <c r="O236" s="262"/>
      <c r="P236" s="261"/>
      <c r="Q236" s="261"/>
      <c r="R236" s="261"/>
      <c r="S236" s="261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</row>
    <row r="237" spans="1:29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339"/>
      <c r="G237" s="339"/>
      <c r="H237" s="322"/>
      <c r="I237" s="338"/>
      <c r="J237" s="221"/>
      <c r="K237" s="305"/>
      <c r="L237" s="305"/>
      <c r="M237" s="303"/>
      <c r="N237" s="303"/>
      <c r="O237" s="262"/>
      <c r="P237" s="261"/>
      <c r="Q237" s="261"/>
      <c r="R237" s="261"/>
      <c r="S237" s="261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</row>
    <row r="238" spans="1:29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339"/>
      <c r="G238" s="339"/>
      <c r="H238" s="322"/>
      <c r="I238" s="338"/>
      <c r="J238" s="221"/>
      <c r="K238" s="305"/>
      <c r="L238" s="305"/>
      <c r="M238" s="303"/>
      <c r="N238" s="303"/>
      <c r="O238" s="262"/>
      <c r="P238" s="261"/>
      <c r="Q238" s="261"/>
      <c r="R238" s="261"/>
      <c r="S238" s="261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</row>
    <row r="239" spans="1:29" ht="18.75" customHeight="1">
      <c r="A239" s="42"/>
      <c r="B239" s="59" t="s">
        <v>551</v>
      </c>
      <c r="C239" s="113" t="s">
        <v>524</v>
      </c>
      <c r="D239" s="61" t="s">
        <v>1236</v>
      </c>
      <c r="E239" s="200">
        <f t="shared" si="0"/>
        <v>0</v>
      </c>
      <c r="F239" s="339"/>
      <c r="G239" s="339"/>
      <c r="H239" s="322"/>
      <c r="I239" s="338"/>
      <c r="J239" s="221"/>
      <c r="K239" s="305"/>
      <c r="L239" s="305"/>
      <c r="M239" s="303"/>
      <c r="N239" s="303"/>
      <c r="O239" s="262"/>
      <c r="P239" s="261"/>
      <c r="Q239" s="261"/>
      <c r="R239" s="261"/>
      <c r="S239" s="261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</row>
    <row r="240" spans="1:29" ht="18.75" customHeight="1">
      <c r="A240" s="42"/>
      <c r="B240" s="59" t="s">
        <v>553</v>
      </c>
      <c r="C240" s="113" t="s">
        <v>527</v>
      </c>
      <c r="D240" s="61" t="s">
        <v>1237</v>
      </c>
      <c r="E240" s="200">
        <f t="shared" si="0"/>
        <v>0</v>
      </c>
      <c r="F240" s="339"/>
      <c r="G240" s="339"/>
      <c r="H240" s="322"/>
      <c r="I240" s="338"/>
      <c r="J240" s="221"/>
      <c r="K240" s="305"/>
      <c r="L240" s="305"/>
      <c r="M240" s="303"/>
      <c r="N240" s="303"/>
      <c r="O240" s="262"/>
      <c r="P240" s="261"/>
      <c r="Q240" s="261"/>
      <c r="R240" s="261"/>
      <c r="S240" s="261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</row>
    <row r="241" spans="1:29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339"/>
      <c r="G241" s="322"/>
      <c r="H241" s="322"/>
      <c r="I241" s="338"/>
      <c r="J241" s="221"/>
      <c r="K241" s="305"/>
      <c r="L241" s="305"/>
      <c r="M241" s="303"/>
      <c r="N241" s="303"/>
      <c r="O241" s="262"/>
      <c r="P241" s="261"/>
      <c r="Q241" s="261"/>
      <c r="R241" s="261"/>
      <c r="S241" s="261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</row>
    <row r="242" spans="1:29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339"/>
      <c r="G242" s="339"/>
      <c r="H242" s="322"/>
      <c r="I242" s="338"/>
      <c r="J242" s="221"/>
      <c r="K242" s="305"/>
      <c r="L242" s="305"/>
      <c r="M242" s="303"/>
      <c r="N242" s="303"/>
      <c r="O242" s="262"/>
      <c r="P242" s="261"/>
      <c r="Q242" s="261"/>
      <c r="R242" s="261"/>
      <c r="S242" s="261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</row>
    <row r="243" spans="1:29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339"/>
      <c r="G243" s="339"/>
      <c r="H243" s="322"/>
      <c r="I243" s="338"/>
      <c r="J243" s="221"/>
      <c r="K243" s="305"/>
      <c r="L243" s="305"/>
      <c r="M243" s="303"/>
      <c r="N243" s="303"/>
      <c r="O243" s="262"/>
      <c r="P243" s="261"/>
      <c r="Q243" s="261"/>
      <c r="R243" s="261"/>
      <c r="S243" s="261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</row>
    <row r="244" spans="1:29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339"/>
      <c r="G244" s="339"/>
      <c r="H244" s="322"/>
      <c r="I244" s="338"/>
      <c r="J244" s="221"/>
      <c r="K244" s="305"/>
      <c r="L244" s="305"/>
      <c r="M244" s="303"/>
      <c r="N244" s="303"/>
      <c r="O244" s="262"/>
      <c r="P244" s="261"/>
      <c r="Q244" s="261"/>
      <c r="R244" s="261"/>
      <c r="S244" s="261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</row>
    <row r="245" spans="1:29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339"/>
      <c r="G245" s="339"/>
      <c r="H245" s="322"/>
      <c r="I245" s="338"/>
      <c r="J245" s="221"/>
      <c r="K245" s="305"/>
      <c r="L245" s="305"/>
      <c r="M245" s="303"/>
      <c r="N245" s="303"/>
      <c r="O245" s="262"/>
      <c r="P245" s="261"/>
      <c r="Q245" s="261"/>
      <c r="R245" s="261"/>
      <c r="S245" s="261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</row>
    <row r="246" spans="1:29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339"/>
      <c r="G246" s="339"/>
      <c r="H246" s="322"/>
      <c r="I246" s="338"/>
      <c r="J246" s="221"/>
      <c r="K246" s="305"/>
      <c r="L246" s="305"/>
      <c r="M246" s="303"/>
      <c r="N246" s="303"/>
      <c r="O246" s="262"/>
      <c r="P246" s="261"/>
      <c r="Q246" s="261"/>
      <c r="R246" s="261"/>
      <c r="S246" s="261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</row>
    <row r="247" spans="1:29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339"/>
      <c r="G247" s="339"/>
      <c r="H247" s="322"/>
      <c r="I247" s="338"/>
      <c r="J247" s="221"/>
      <c r="K247" s="305"/>
      <c r="L247" s="305"/>
      <c r="M247" s="303"/>
      <c r="N247" s="303"/>
      <c r="O247" s="262"/>
      <c r="P247" s="261"/>
      <c r="Q247" s="261"/>
      <c r="R247" s="261"/>
      <c r="S247" s="261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</row>
    <row r="248" spans="1:29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339"/>
      <c r="G248" s="339"/>
      <c r="H248" s="322"/>
      <c r="I248" s="338"/>
      <c r="J248" s="221"/>
      <c r="K248" s="305"/>
      <c r="L248" s="305"/>
      <c r="M248" s="303"/>
      <c r="N248" s="303"/>
      <c r="O248" s="262"/>
      <c r="P248" s="261"/>
      <c r="Q248" s="261"/>
      <c r="R248" s="261"/>
      <c r="S248" s="261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</row>
    <row r="249" spans="1:29" ht="18.75" customHeight="1">
      <c r="A249" s="42" t="s">
        <v>1020</v>
      </c>
      <c r="B249" s="59" t="s">
        <v>566</v>
      </c>
      <c r="C249" s="113" t="s">
        <v>567</v>
      </c>
      <c r="D249" s="61" t="s">
        <v>1238</v>
      </c>
      <c r="E249" s="200">
        <f t="shared" si="0"/>
        <v>0</v>
      </c>
      <c r="F249" s="339"/>
      <c r="G249" s="339"/>
      <c r="H249" s="322"/>
      <c r="I249" s="338"/>
      <c r="J249" s="221"/>
      <c r="K249" s="305"/>
      <c r="L249" s="305"/>
      <c r="M249" s="303"/>
      <c r="N249" s="303"/>
      <c r="O249" s="262"/>
      <c r="P249" s="261"/>
      <c r="Q249" s="261"/>
      <c r="R249" s="261"/>
      <c r="S249" s="261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</row>
    <row r="250" spans="1:29" ht="18.75" customHeight="1">
      <c r="A250" s="42" t="s">
        <v>1022</v>
      </c>
      <c r="B250" s="59" t="s">
        <v>569</v>
      </c>
      <c r="C250" s="113" t="s">
        <v>570</v>
      </c>
      <c r="D250" s="61" t="s">
        <v>1239</v>
      </c>
      <c r="E250" s="200">
        <f t="shared" si="0"/>
        <v>0</v>
      </c>
      <c r="F250" s="339"/>
      <c r="G250" s="339"/>
      <c r="H250" s="322"/>
      <c r="I250" s="338"/>
      <c r="J250" s="221"/>
      <c r="K250" s="305"/>
      <c r="L250" s="305"/>
      <c r="M250" s="303"/>
      <c r="N250" s="303"/>
      <c r="O250" s="262"/>
      <c r="P250" s="261"/>
      <c r="Q250" s="261"/>
      <c r="R250" s="261"/>
      <c r="S250" s="261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</row>
    <row r="251" spans="1:29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339"/>
      <c r="G251" s="339"/>
      <c r="H251" s="322"/>
      <c r="I251" s="338"/>
      <c r="J251" s="221"/>
      <c r="K251" s="305"/>
      <c r="L251" s="305"/>
      <c r="M251" s="303"/>
      <c r="N251" s="303"/>
      <c r="O251" s="262"/>
      <c r="P251" s="261"/>
      <c r="Q251" s="261"/>
      <c r="R251" s="261"/>
      <c r="S251" s="261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</row>
    <row r="252" spans="1:29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339"/>
      <c r="G252" s="339"/>
      <c r="H252" s="322"/>
      <c r="I252" s="338"/>
      <c r="J252" s="221"/>
      <c r="K252" s="305"/>
      <c r="L252" s="305"/>
      <c r="M252" s="303"/>
      <c r="N252" s="303"/>
      <c r="O252" s="262"/>
      <c r="P252" s="261"/>
      <c r="Q252" s="261"/>
      <c r="R252" s="261"/>
      <c r="S252" s="261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</row>
    <row r="253" spans="1:29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339"/>
      <c r="G253" s="339"/>
      <c r="H253" s="322"/>
      <c r="I253" s="338"/>
      <c r="J253" s="221"/>
      <c r="K253" s="305"/>
      <c r="L253" s="305"/>
      <c r="M253" s="303"/>
      <c r="N253" s="303"/>
      <c r="O253" s="262"/>
      <c r="P253" s="261"/>
      <c r="Q253" s="261"/>
      <c r="R253" s="261"/>
      <c r="S253" s="261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</row>
    <row r="254" spans="1:29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339"/>
      <c r="G254" s="339"/>
      <c r="H254" s="322"/>
      <c r="I254" s="338"/>
      <c r="J254" s="221"/>
      <c r="K254" s="305"/>
      <c r="L254" s="305"/>
      <c r="M254" s="303"/>
      <c r="N254" s="303"/>
      <c r="O254" s="262"/>
      <c r="P254" s="261"/>
      <c r="Q254" s="261"/>
      <c r="R254" s="261"/>
      <c r="S254" s="261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</row>
    <row r="255" spans="1:29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339"/>
      <c r="G255" s="339"/>
      <c r="H255" s="322"/>
      <c r="I255" s="338"/>
      <c r="J255" s="221"/>
      <c r="K255" s="305"/>
      <c r="L255" s="305"/>
      <c r="M255" s="303"/>
      <c r="N255" s="303"/>
      <c r="O255" s="262"/>
      <c r="P255" s="261"/>
      <c r="Q255" s="261"/>
      <c r="R255" s="261"/>
      <c r="S255" s="261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</row>
    <row r="256" spans="1:29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339"/>
      <c r="G256" s="339"/>
      <c r="H256" s="322"/>
      <c r="I256" s="338"/>
      <c r="J256" s="221"/>
      <c r="K256" s="305"/>
      <c r="L256" s="305"/>
      <c r="M256" s="303"/>
      <c r="N256" s="303"/>
      <c r="O256" s="262"/>
      <c r="P256" s="261"/>
      <c r="Q256" s="261"/>
      <c r="R256" s="261"/>
      <c r="S256" s="261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</row>
    <row r="257" spans="1:29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339"/>
      <c r="G257" s="339"/>
      <c r="H257" s="322"/>
      <c r="I257" s="338"/>
      <c r="J257" s="221"/>
      <c r="K257" s="305"/>
      <c r="L257" s="305"/>
      <c r="M257" s="303"/>
      <c r="N257" s="303"/>
      <c r="O257" s="262"/>
      <c r="P257" s="261"/>
      <c r="Q257" s="261"/>
      <c r="R257" s="261"/>
      <c r="S257" s="261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</row>
    <row r="258" spans="1:29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339"/>
      <c r="G258" s="339"/>
      <c r="H258" s="322"/>
      <c r="I258" s="338"/>
      <c r="J258" s="221"/>
      <c r="K258" s="305"/>
      <c r="L258" s="305"/>
      <c r="M258" s="303"/>
      <c r="N258" s="303"/>
      <c r="O258" s="262"/>
      <c r="P258" s="261"/>
      <c r="Q258" s="261"/>
      <c r="R258" s="261"/>
      <c r="S258" s="261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</row>
    <row r="259" spans="1:29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339"/>
      <c r="G259" s="339"/>
      <c r="H259" s="322"/>
      <c r="I259" s="338"/>
      <c r="J259" s="221"/>
      <c r="K259" s="305"/>
      <c r="L259" s="305"/>
      <c r="M259" s="303"/>
      <c r="N259" s="303"/>
      <c r="O259" s="262"/>
      <c r="P259" s="261"/>
      <c r="Q259" s="261"/>
      <c r="R259" s="261"/>
      <c r="S259" s="261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</row>
    <row r="260" spans="1:29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339"/>
      <c r="G260" s="339"/>
      <c r="H260" s="322"/>
      <c r="I260" s="338"/>
      <c r="J260" s="221"/>
      <c r="K260" s="305"/>
      <c r="L260" s="305"/>
      <c r="M260" s="303"/>
      <c r="N260" s="303"/>
      <c r="O260" s="262"/>
      <c r="P260" s="261"/>
      <c r="Q260" s="261"/>
      <c r="R260" s="261"/>
      <c r="S260" s="261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</row>
    <row r="261" spans="1:29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339"/>
      <c r="G261" s="339"/>
      <c r="H261" s="322"/>
      <c r="I261" s="338"/>
      <c r="J261" s="221"/>
      <c r="K261" s="305"/>
      <c r="L261" s="305"/>
      <c r="M261" s="303"/>
      <c r="N261" s="303"/>
      <c r="O261" s="262"/>
      <c r="P261" s="261"/>
      <c r="Q261" s="261"/>
      <c r="R261" s="261"/>
      <c r="S261" s="261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</row>
    <row r="262" spans="1:29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339"/>
      <c r="G262" s="339"/>
      <c r="H262" s="322"/>
      <c r="I262" s="338"/>
      <c r="J262" s="221"/>
      <c r="K262" s="305"/>
      <c r="L262" s="305"/>
      <c r="M262" s="303"/>
      <c r="N262" s="303"/>
      <c r="O262" s="262"/>
      <c r="P262" s="261"/>
      <c r="Q262" s="261"/>
      <c r="R262" s="261"/>
      <c r="S262" s="261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</row>
    <row r="263" spans="1:29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339"/>
      <c r="G263" s="339"/>
      <c r="H263" s="322"/>
      <c r="I263" s="338"/>
      <c r="J263" s="221"/>
      <c r="K263" s="305"/>
      <c r="L263" s="305"/>
      <c r="M263" s="303"/>
      <c r="N263" s="303"/>
      <c r="O263" s="262"/>
      <c r="P263" s="261"/>
      <c r="Q263" s="261"/>
      <c r="R263" s="261"/>
      <c r="S263" s="261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</row>
    <row r="264" spans="1:29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339"/>
      <c r="G264" s="339"/>
      <c r="H264" s="322"/>
      <c r="I264" s="338"/>
      <c r="J264" s="221"/>
      <c r="K264" s="305"/>
      <c r="L264" s="305"/>
      <c r="M264" s="303"/>
      <c r="N264" s="303"/>
      <c r="O264" s="262"/>
      <c r="P264" s="261"/>
      <c r="Q264" s="261"/>
      <c r="R264" s="261"/>
      <c r="S264" s="261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</row>
    <row r="265" spans="1:29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339"/>
      <c r="G265" s="339"/>
      <c r="H265" s="322"/>
      <c r="I265" s="338"/>
      <c r="J265" s="221"/>
      <c r="K265" s="305"/>
      <c r="L265" s="305"/>
      <c r="M265" s="303"/>
      <c r="N265" s="303"/>
      <c r="O265" s="262"/>
      <c r="P265" s="261"/>
      <c r="Q265" s="261"/>
      <c r="R265" s="261"/>
      <c r="S265" s="261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</row>
    <row r="266" spans="1:29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339"/>
      <c r="G266" s="339"/>
      <c r="H266" s="322"/>
      <c r="I266" s="338"/>
      <c r="J266" s="221"/>
      <c r="K266" s="305"/>
      <c r="L266" s="305"/>
      <c r="M266" s="303"/>
      <c r="N266" s="303"/>
      <c r="O266" s="262"/>
      <c r="P266" s="261"/>
      <c r="Q266" s="261"/>
      <c r="R266" s="261"/>
      <c r="S266" s="261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</row>
    <row r="267" spans="1:29" ht="18.75" customHeight="1">
      <c r="A267" s="42" t="s">
        <v>605</v>
      </c>
      <c r="B267" s="59" t="s">
        <v>606</v>
      </c>
      <c r="C267" s="113" t="s">
        <v>593</v>
      </c>
      <c r="D267" s="61" t="s">
        <v>1240</v>
      </c>
      <c r="E267" s="200">
        <f t="shared" si="0"/>
        <v>0</v>
      </c>
      <c r="F267" s="339"/>
      <c r="G267" s="339"/>
      <c r="H267" s="322"/>
      <c r="I267" s="338"/>
      <c r="J267" s="221"/>
      <c r="K267" s="305"/>
      <c r="L267" s="305"/>
      <c r="M267" s="303"/>
      <c r="N267" s="303"/>
      <c r="O267" s="262"/>
      <c r="P267" s="261"/>
      <c r="Q267" s="261"/>
      <c r="R267" s="261"/>
      <c r="S267" s="261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</row>
    <row r="268" spans="1:29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339"/>
      <c r="G268" s="339"/>
      <c r="H268" s="322"/>
      <c r="I268" s="338"/>
      <c r="J268" s="221"/>
      <c r="K268" s="305"/>
      <c r="L268" s="305"/>
      <c r="M268" s="303"/>
      <c r="N268" s="303"/>
      <c r="O268" s="262"/>
      <c r="P268" s="261"/>
      <c r="Q268" s="261"/>
      <c r="R268" s="261"/>
      <c r="S268" s="261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</row>
    <row r="269" spans="1:29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339"/>
      <c r="G269" s="339"/>
      <c r="H269" s="322"/>
      <c r="I269" s="338"/>
      <c r="J269" s="221"/>
      <c r="K269" s="305"/>
      <c r="L269" s="305"/>
      <c r="M269" s="303"/>
      <c r="N269" s="303"/>
      <c r="O269" s="262"/>
      <c r="P269" s="261"/>
      <c r="Q269" s="261"/>
      <c r="R269" s="261"/>
      <c r="S269" s="261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</row>
    <row r="270" spans="1:29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339"/>
      <c r="G270" s="339"/>
      <c r="H270" s="322"/>
      <c r="I270" s="338"/>
      <c r="J270" s="221"/>
      <c r="K270" s="305"/>
      <c r="L270" s="305"/>
      <c r="M270" s="303"/>
      <c r="N270" s="303"/>
      <c r="O270" s="262"/>
      <c r="P270" s="261"/>
      <c r="Q270" s="261"/>
      <c r="R270" s="261"/>
      <c r="S270" s="261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</row>
    <row r="271" spans="1:29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339"/>
      <c r="G271" s="339"/>
      <c r="H271" s="322"/>
      <c r="I271" s="338"/>
      <c r="J271" s="221"/>
      <c r="K271" s="305"/>
      <c r="L271" s="305"/>
      <c r="M271" s="303"/>
      <c r="N271" s="303"/>
      <c r="O271" s="262"/>
      <c r="P271" s="261"/>
      <c r="Q271" s="261"/>
      <c r="R271" s="261"/>
      <c r="S271" s="261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</row>
    <row r="272" spans="1:29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339"/>
      <c r="G272" s="339"/>
      <c r="H272" s="322"/>
      <c r="I272" s="338"/>
      <c r="J272" s="221"/>
      <c r="K272" s="305"/>
      <c r="L272" s="305"/>
      <c r="M272" s="303"/>
      <c r="N272" s="303"/>
      <c r="O272" s="262"/>
      <c r="P272" s="261"/>
      <c r="Q272" s="261"/>
      <c r="R272" s="261"/>
      <c r="S272" s="261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</row>
    <row r="273" spans="1:29" ht="18.75" customHeight="1">
      <c r="A273" s="42" t="s">
        <v>620</v>
      </c>
      <c r="B273" s="59" t="s">
        <v>621</v>
      </c>
      <c r="C273" s="113" t="s">
        <v>622</v>
      </c>
      <c r="D273" s="61" t="s">
        <v>1241</v>
      </c>
      <c r="E273" s="200">
        <f t="shared" si="0"/>
        <v>0</v>
      </c>
      <c r="F273" s="339"/>
      <c r="G273" s="339"/>
      <c r="H273" s="322"/>
      <c r="I273" s="338"/>
      <c r="J273" s="221"/>
      <c r="K273" s="305"/>
      <c r="L273" s="305"/>
      <c r="M273" s="303"/>
      <c r="N273" s="303"/>
      <c r="O273" s="262"/>
      <c r="P273" s="261"/>
      <c r="Q273" s="261"/>
      <c r="R273" s="261"/>
      <c r="S273" s="261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</row>
    <row r="274" spans="1:29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339"/>
      <c r="G274" s="339"/>
      <c r="H274" s="322"/>
      <c r="I274" s="338"/>
      <c r="J274" s="221"/>
      <c r="K274" s="305"/>
      <c r="L274" s="305"/>
      <c r="M274" s="303"/>
      <c r="N274" s="303"/>
      <c r="O274" s="262"/>
      <c r="P274" s="261"/>
      <c r="Q274" s="261"/>
      <c r="R274" s="261"/>
      <c r="S274" s="261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</row>
    <row r="275" spans="1:29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SUM(F275:R275)</f>
        <v>0</v>
      </c>
      <c r="F275" s="339"/>
      <c r="G275" s="339"/>
      <c r="H275" s="322"/>
      <c r="I275" s="338"/>
      <c r="J275" s="221"/>
      <c r="K275" s="305"/>
      <c r="L275" s="305"/>
      <c r="M275" s="303"/>
      <c r="N275" s="303"/>
      <c r="O275" s="262"/>
      <c r="P275" s="261"/>
      <c r="Q275" s="261"/>
      <c r="R275" s="261"/>
      <c r="S275" s="261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</row>
    <row r="276" spans="1:29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339"/>
      <c r="G276" s="339"/>
      <c r="H276" s="322"/>
      <c r="I276" s="338"/>
      <c r="J276" s="221"/>
      <c r="K276" s="305"/>
      <c r="L276" s="305"/>
      <c r="M276" s="303"/>
      <c r="N276" s="303"/>
      <c r="O276" s="262"/>
      <c r="P276" s="261"/>
      <c r="Q276" s="261"/>
      <c r="R276" s="261"/>
      <c r="S276" s="261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</row>
    <row r="277" spans="1:29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339"/>
      <c r="G277" s="339"/>
      <c r="H277" s="322"/>
      <c r="I277" s="338"/>
      <c r="J277" s="221"/>
      <c r="K277" s="305"/>
      <c r="L277" s="305"/>
      <c r="M277" s="303"/>
      <c r="N277" s="303"/>
      <c r="O277" s="262"/>
      <c r="P277" s="261"/>
      <c r="Q277" s="261"/>
      <c r="R277" s="261"/>
      <c r="S277" s="261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</row>
    <row r="278" spans="1:29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339"/>
      <c r="G278" s="339"/>
      <c r="H278" s="322"/>
      <c r="I278" s="338"/>
      <c r="J278" s="221"/>
      <c r="K278" s="305"/>
      <c r="L278" s="305"/>
      <c r="M278" s="303"/>
      <c r="N278" s="303"/>
      <c r="O278" s="262"/>
      <c r="P278" s="261"/>
      <c r="Q278" s="261"/>
      <c r="R278" s="261"/>
      <c r="S278" s="261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</row>
    <row r="279" spans="1:29" ht="18.75" customHeight="1">
      <c r="A279" s="42" t="s">
        <v>636</v>
      </c>
      <c r="B279" s="59" t="s">
        <v>637</v>
      </c>
      <c r="C279" s="113" t="s">
        <v>638</v>
      </c>
      <c r="D279" s="61" t="s">
        <v>1242</v>
      </c>
      <c r="E279" s="200">
        <f t="shared" si="1"/>
        <v>0</v>
      </c>
      <c r="F279" s="339"/>
      <c r="G279" s="339"/>
      <c r="H279" s="322"/>
      <c r="I279" s="338"/>
      <c r="J279" s="221"/>
      <c r="K279" s="305"/>
      <c r="L279" s="305"/>
      <c r="M279" s="303"/>
      <c r="N279" s="303"/>
      <c r="O279" s="262"/>
      <c r="P279" s="261"/>
      <c r="Q279" s="261"/>
      <c r="R279" s="261"/>
      <c r="S279" s="261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</row>
    <row r="280" spans="1:29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339"/>
      <c r="G280" s="339"/>
      <c r="H280" s="322"/>
      <c r="I280" s="338"/>
      <c r="J280" s="221"/>
      <c r="K280" s="305"/>
      <c r="L280" s="305"/>
      <c r="M280" s="303"/>
      <c r="N280" s="303"/>
      <c r="O280" s="262"/>
      <c r="P280" s="261"/>
      <c r="Q280" s="261"/>
      <c r="R280" s="261"/>
      <c r="S280" s="261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</row>
    <row r="281" spans="1:29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339"/>
      <c r="G281" s="339"/>
      <c r="H281" s="322"/>
      <c r="I281" s="338"/>
      <c r="J281" s="221"/>
      <c r="K281" s="305"/>
      <c r="L281" s="305"/>
      <c r="M281" s="303"/>
      <c r="N281" s="303"/>
      <c r="O281" s="262"/>
      <c r="P281" s="261"/>
      <c r="Q281" s="261"/>
      <c r="R281" s="261"/>
      <c r="S281" s="261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</row>
    <row r="282" spans="1:29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339"/>
      <c r="G282" s="339"/>
      <c r="H282" s="322"/>
      <c r="I282" s="338"/>
      <c r="J282" s="221"/>
      <c r="K282" s="305"/>
      <c r="L282" s="305"/>
      <c r="M282" s="303"/>
      <c r="N282" s="303"/>
      <c r="O282" s="262"/>
      <c r="P282" s="274"/>
      <c r="Q282" s="261"/>
      <c r="R282" s="261"/>
      <c r="S282" s="261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</row>
    <row r="283" spans="1:29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339"/>
      <c r="G283" s="339"/>
      <c r="H283" s="322"/>
      <c r="I283" s="338"/>
      <c r="J283" s="221"/>
      <c r="K283" s="303"/>
      <c r="L283" s="303"/>
      <c r="M283" s="303"/>
      <c r="N283" s="303"/>
      <c r="O283" s="270"/>
      <c r="P283" s="270"/>
      <c r="Q283" s="261"/>
      <c r="R283" s="261"/>
      <c r="S283" s="261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</row>
    <row r="284" spans="1:29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339"/>
      <c r="G284" s="339"/>
      <c r="H284" s="322"/>
      <c r="I284" s="338"/>
      <c r="J284" s="221"/>
      <c r="K284" s="305"/>
      <c r="L284" s="305"/>
      <c r="M284" s="303"/>
      <c r="N284" s="303"/>
      <c r="O284" s="262"/>
      <c r="P284" s="261"/>
      <c r="Q284" s="261"/>
      <c r="R284" s="261"/>
      <c r="S284" s="261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</row>
    <row r="285" spans="1:29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339"/>
      <c r="G285" s="339"/>
      <c r="H285" s="322"/>
      <c r="I285" s="338"/>
      <c r="J285" s="221"/>
      <c r="K285" s="305"/>
      <c r="L285" s="305"/>
      <c r="M285" s="303"/>
      <c r="N285" s="303"/>
      <c r="O285" s="262"/>
      <c r="P285" s="261"/>
      <c r="Q285" s="261"/>
      <c r="R285" s="261"/>
      <c r="S285" s="261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</row>
    <row r="286" spans="1:29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339"/>
      <c r="G286" s="339"/>
      <c r="H286" s="322"/>
      <c r="I286" s="338"/>
      <c r="J286" s="221"/>
      <c r="K286" s="305"/>
      <c r="L286" s="305"/>
      <c r="M286" s="303"/>
      <c r="N286" s="303"/>
      <c r="O286" s="262"/>
      <c r="P286" s="261"/>
      <c r="Q286" s="261"/>
      <c r="R286" s="261"/>
      <c r="S286" s="261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</row>
    <row r="287" spans="1:29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339"/>
      <c r="G287" s="339"/>
      <c r="H287" s="322"/>
      <c r="I287" s="338"/>
      <c r="J287" s="221"/>
      <c r="K287" s="305"/>
      <c r="L287" s="305"/>
      <c r="M287" s="303"/>
      <c r="N287" s="303"/>
      <c r="O287" s="262"/>
      <c r="P287" s="261"/>
      <c r="Q287" s="261"/>
      <c r="R287" s="261"/>
      <c r="S287" s="261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</row>
    <row r="288" spans="1:29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339"/>
      <c r="G288" s="339"/>
      <c r="H288" s="322"/>
      <c r="I288" s="338"/>
      <c r="J288" s="221"/>
      <c r="K288" s="305"/>
      <c r="L288" s="305"/>
      <c r="M288" s="303"/>
      <c r="N288" s="303"/>
      <c r="O288" s="262"/>
      <c r="P288" s="261"/>
      <c r="Q288" s="261"/>
      <c r="R288" s="261"/>
      <c r="S288" s="261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</row>
    <row r="289" spans="1:29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339"/>
      <c r="G289" s="339"/>
      <c r="H289" s="322"/>
      <c r="I289" s="338"/>
      <c r="J289" s="221"/>
      <c r="K289" s="305"/>
      <c r="L289" s="305"/>
      <c r="M289" s="303"/>
      <c r="N289" s="303"/>
      <c r="O289" s="262"/>
      <c r="P289" s="261"/>
      <c r="Q289" s="261"/>
      <c r="R289" s="261"/>
      <c r="S289" s="261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</row>
    <row r="290" spans="1:29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339"/>
      <c r="G290" s="339"/>
      <c r="H290" s="322"/>
      <c r="I290" s="338"/>
      <c r="J290" s="221"/>
      <c r="K290" s="305"/>
      <c r="L290" s="305"/>
      <c r="M290" s="303"/>
      <c r="N290" s="303"/>
      <c r="O290" s="262"/>
      <c r="P290" s="261"/>
      <c r="Q290" s="261"/>
      <c r="R290" s="261"/>
      <c r="S290" s="261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</row>
    <row r="291" spans="1:29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339"/>
      <c r="G291" s="339"/>
      <c r="H291" s="322"/>
      <c r="I291" s="338"/>
      <c r="J291" s="221"/>
      <c r="K291" s="305"/>
      <c r="L291" s="305"/>
      <c r="M291" s="303"/>
      <c r="N291" s="303"/>
      <c r="O291" s="262"/>
      <c r="P291" s="261"/>
      <c r="Q291" s="261"/>
      <c r="R291" s="261"/>
      <c r="S291" s="261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</row>
    <row r="292" spans="1:29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339"/>
      <c r="G292" s="339"/>
      <c r="H292" s="322"/>
      <c r="I292" s="338"/>
      <c r="J292" s="221"/>
      <c r="K292" s="305"/>
      <c r="L292" s="305"/>
      <c r="M292" s="303"/>
      <c r="N292" s="303"/>
      <c r="O292" s="262"/>
      <c r="P292" s="261"/>
      <c r="Q292" s="261"/>
      <c r="R292" s="261"/>
      <c r="S292" s="261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</row>
    <row r="293" spans="1:29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339"/>
      <c r="G293" s="339"/>
      <c r="H293" s="322"/>
      <c r="I293" s="338"/>
      <c r="J293" s="221"/>
      <c r="K293" s="305"/>
      <c r="L293" s="305"/>
      <c r="M293" s="303"/>
      <c r="N293" s="303"/>
      <c r="O293" s="262"/>
      <c r="P293" s="261"/>
      <c r="Q293" s="261"/>
      <c r="R293" s="261"/>
      <c r="S293" s="261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</row>
    <row r="294" spans="1:29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339"/>
      <c r="G294" s="339"/>
      <c r="H294" s="322"/>
      <c r="I294" s="338"/>
      <c r="J294" s="221"/>
      <c r="K294" s="305"/>
      <c r="L294" s="305"/>
      <c r="M294" s="303"/>
      <c r="N294" s="303"/>
      <c r="O294" s="262"/>
      <c r="P294" s="274"/>
      <c r="Q294" s="261"/>
      <c r="R294" s="261"/>
      <c r="S294" s="261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</row>
    <row r="295" spans="1:29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339"/>
      <c r="G295" s="339"/>
      <c r="H295" s="322"/>
      <c r="I295" s="338"/>
      <c r="J295" s="221"/>
      <c r="K295" s="305"/>
      <c r="L295" s="305"/>
      <c r="M295" s="303"/>
      <c r="N295" s="303"/>
      <c r="O295" s="262"/>
      <c r="P295" s="261"/>
      <c r="Q295" s="261"/>
      <c r="R295" s="261"/>
      <c r="S295" s="261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</row>
    <row r="296" spans="1:29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339"/>
      <c r="G296" s="339"/>
      <c r="H296" s="322"/>
      <c r="I296" s="338"/>
      <c r="J296" s="221"/>
      <c r="K296" s="305"/>
      <c r="L296" s="305"/>
      <c r="M296" s="303"/>
      <c r="N296" s="303"/>
      <c r="O296" s="262"/>
      <c r="P296" s="261"/>
      <c r="Q296" s="261"/>
      <c r="R296" s="261"/>
      <c r="S296" s="261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</row>
    <row r="297" spans="1:29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339"/>
      <c r="G297" s="339"/>
      <c r="H297" s="322"/>
      <c r="I297" s="338"/>
      <c r="J297" s="221"/>
      <c r="K297" s="305"/>
      <c r="L297" s="305"/>
      <c r="M297" s="303"/>
      <c r="N297" s="303"/>
      <c r="O297" s="262"/>
      <c r="P297" s="261"/>
      <c r="Q297" s="261"/>
      <c r="R297" s="261"/>
      <c r="S297" s="261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</row>
    <row r="298" spans="1:29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339"/>
      <c r="G298" s="339"/>
      <c r="H298" s="322"/>
      <c r="I298" s="338"/>
      <c r="J298" s="221"/>
      <c r="K298" s="305"/>
      <c r="L298" s="305"/>
      <c r="M298" s="303"/>
      <c r="N298" s="303"/>
      <c r="O298" s="262"/>
      <c r="P298" s="261"/>
      <c r="Q298" s="261"/>
      <c r="R298" s="261"/>
      <c r="S298" s="261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</row>
    <row r="299" spans="1:29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339"/>
      <c r="G299" s="339"/>
      <c r="H299" s="322"/>
      <c r="I299" s="338"/>
      <c r="J299" s="221"/>
      <c r="K299" s="305"/>
      <c r="L299" s="305"/>
      <c r="M299" s="303"/>
      <c r="N299" s="303"/>
      <c r="O299" s="262"/>
      <c r="P299" s="261"/>
      <c r="Q299" s="261"/>
      <c r="R299" s="261"/>
      <c r="S299" s="261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</row>
    <row r="300" spans="1:29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339"/>
      <c r="G300" s="339"/>
      <c r="H300" s="322"/>
      <c r="I300" s="338"/>
      <c r="J300" s="221"/>
      <c r="K300" s="305"/>
      <c r="L300" s="305"/>
      <c r="M300" s="303"/>
      <c r="N300" s="303"/>
      <c r="O300" s="262"/>
      <c r="P300" s="261"/>
      <c r="Q300" s="261"/>
      <c r="R300" s="261"/>
      <c r="S300" s="261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</row>
    <row r="301" spans="1:29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339"/>
      <c r="G301" s="339"/>
      <c r="H301" s="322"/>
      <c r="I301" s="338"/>
      <c r="J301" s="221"/>
      <c r="K301" s="305"/>
      <c r="L301" s="305"/>
      <c r="M301" s="303"/>
      <c r="N301" s="303"/>
      <c r="O301" s="262"/>
      <c r="P301" s="261"/>
      <c r="Q301" s="261"/>
      <c r="R301" s="261"/>
      <c r="S301" s="261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</row>
    <row r="302" spans="1:29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339"/>
      <c r="G302" s="339"/>
      <c r="H302" s="322"/>
      <c r="I302" s="338"/>
      <c r="J302" s="221"/>
      <c r="K302" s="305"/>
      <c r="L302" s="305"/>
      <c r="M302" s="303"/>
      <c r="N302" s="303"/>
      <c r="O302" s="262"/>
      <c r="P302" s="261"/>
      <c r="Q302" s="261"/>
      <c r="R302" s="261"/>
      <c r="S302" s="261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</row>
    <row r="303" spans="1:29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339"/>
      <c r="G303" s="339"/>
      <c r="H303" s="322"/>
      <c r="I303" s="338"/>
      <c r="J303" s="221"/>
      <c r="K303" s="305"/>
      <c r="L303" s="305"/>
      <c r="M303" s="303"/>
      <c r="N303" s="303"/>
      <c r="O303" s="262"/>
      <c r="P303" s="261"/>
      <c r="Q303" s="261"/>
      <c r="R303" s="261"/>
      <c r="S303" s="261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</row>
    <row r="304" spans="1:29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339"/>
      <c r="G304" s="339"/>
      <c r="H304" s="322"/>
      <c r="I304" s="338"/>
      <c r="J304" s="221"/>
      <c r="K304" s="305"/>
      <c r="L304" s="305"/>
      <c r="M304" s="303"/>
      <c r="N304" s="303"/>
      <c r="O304" s="262"/>
      <c r="P304" s="261"/>
      <c r="Q304" s="261"/>
      <c r="R304" s="261"/>
      <c r="S304" s="261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</row>
    <row r="305" spans="1:29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339"/>
      <c r="G305" s="339"/>
      <c r="H305" s="322"/>
      <c r="I305" s="338"/>
      <c r="J305" s="221"/>
      <c r="K305" s="305"/>
      <c r="L305" s="305"/>
      <c r="M305" s="303"/>
      <c r="N305" s="303"/>
      <c r="O305" s="262"/>
      <c r="P305" s="261"/>
      <c r="Q305" s="261"/>
      <c r="R305" s="261"/>
      <c r="S305" s="261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</row>
    <row r="306" spans="1:29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339"/>
      <c r="G306" s="339"/>
      <c r="H306" s="322"/>
      <c r="I306" s="338"/>
      <c r="J306" s="221"/>
      <c r="K306" s="305"/>
      <c r="L306" s="305"/>
      <c r="M306" s="303"/>
      <c r="N306" s="303"/>
      <c r="O306" s="262"/>
      <c r="P306" s="261"/>
      <c r="Q306" s="261"/>
      <c r="R306" s="261"/>
      <c r="S306" s="261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</row>
    <row r="307" spans="1:29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339"/>
      <c r="G307" s="339"/>
      <c r="H307" s="322"/>
      <c r="I307" s="338"/>
      <c r="J307" s="221"/>
      <c r="K307" s="305"/>
      <c r="L307" s="305"/>
      <c r="M307" s="303"/>
      <c r="N307" s="303"/>
      <c r="O307" s="262"/>
      <c r="P307" s="274"/>
      <c r="Q307" s="261"/>
      <c r="R307" s="261"/>
      <c r="S307" s="261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</row>
    <row r="308" spans="1:29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339"/>
      <c r="G308" s="339"/>
      <c r="H308" s="322"/>
      <c r="I308" s="338"/>
      <c r="J308" s="221"/>
      <c r="K308" s="305"/>
      <c r="L308" s="305"/>
      <c r="M308" s="303"/>
      <c r="N308" s="303"/>
      <c r="O308" s="262"/>
      <c r="P308" s="261"/>
      <c r="Q308" s="261"/>
      <c r="R308" s="261"/>
      <c r="S308" s="261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</row>
    <row r="309" spans="1:29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339"/>
      <c r="G309" s="339"/>
      <c r="H309" s="322"/>
      <c r="I309" s="338"/>
      <c r="J309" s="221"/>
      <c r="K309" s="305"/>
      <c r="L309" s="305"/>
      <c r="M309" s="303"/>
      <c r="N309" s="303"/>
      <c r="O309" s="262"/>
      <c r="P309" s="261"/>
      <c r="Q309" s="261"/>
      <c r="R309" s="261"/>
      <c r="S309" s="261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</row>
    <row r="310" spans="1:29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339"/>
      <c r="G310" s="339"/>
      <c r="H310" s="322"/>
      <c r="I310" s="338"/>
      <c r="J310" s="221"/>
      <c r="K310" s="305"/>
      <c r="L310" s="305"/>
      <c r="M310" s="303"/>
      <c r="N310" s="303"/>
      <c r="O310" s="262"/>
      <c r="P310" s="261"/>
      <c r="Q310" s="261"/>
      <c r="R310" s="261"/>
      <c r="S310" s="261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</row>
    <row r="311" spans="1:29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339"/>
      <c r="G311" s="339"/>
      <c r="H311" s="322"/>
      <c r="I311" s="338"/>
      <c r="J311" s="221"/>
      <c r="K311" s="305"/>
      <c r="L311" s="305"/>
      <c r="M311" s="303"/>
      <c r="N311" s="303"/>
      <c r="O311" s="262"/>
      <c r="P311" s="261"/>
      <c r="Q311" s="261"/>
      <c r="R311" s="261"/>
      <c r="S311" s="261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</row>
    <row r="312" spans="1:29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339"/>
      <c r="G312" s="339"/>
      <c r="H312" s="322"/>
      <c r="I312" s="338"/>
      <c r="J312" s="221"/>
      <c r="K312" s="305"/>
      <c r="L312" s="305"/>
      <c r="M312" s="303"/>
      <c r="N312" s="303"/>
      <c r="O312" s="262"/>
      <c r="P312" s="261"/>
      <c r="Q312" s="261"/>
      <c r="R312" s="261"/>
      <c r="S312" s="261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</row>
    <row r="313" spans="1:29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339"/>
      <c r="G313" s="339"/>
      <c r="H313" s="322"/>
      <c r="I313" s="338"/>
      <c r="J313" s="221"/>
      <c r="K313" s="305"/>
      <c r="L313" s="305"/>
      <c r="M313" s="303"/>
      <c r="N313" s="303"/>
      <c r="O313" s="262"/>
      <c r="P313" s="261"/>
      <c r="Q313" s="261"/>
      <c r="R313" s="261"/>
      <c r="S313" s="261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</row>
    <row r="314" spans="1:29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339"/>
      <c r="G314" s="339"/>
      <c r="H314" s="322"/>
      <c r="I314" s="338"/>
      <c r="J314" s="221"/>
      <c r="K314" s="305"/>
      <c r="L314" s="305"/>
      <c r="M314" s="303"/>
      <c r="N314" s="303"/>
      <c r="O314" s="262"/>
      <c r="P314" s="261"/>
      <c r="Q314" s="261"/>
      <c r="R314" s="261"/>
      <c r="S314" s="261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</row>
    <row r="315" spans="1:29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339"/>
      <c r="G315" s="339"/>
      <c r="H315" s="322"/>
      <c r="I315" s="338"/>
      <c r="J315" s="221"/>
      <c r="K315" s="305"/>
      <c r="L315" s="305"/>
      <c r="M315" s="303"/>
      <c r="N315" s="303"/>
      <c r="O315" s="262"/>
      <c r="P315" s="261"/>
      <c r="Q315" s="261"/>
      <c r="R315" s="261"/>
      <c r="S315" s="261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</row>
    <row r="316" spans="1:29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339"/>
      <c r="G316" s="339"/>
      <c r="H316" s="322"/>
      <c r="I316" s="338"/>
      <c r="J316" s="221"/>
      <c r="K316" s="305"/>
      <c r="L316" s="305"/>
      <c r="M316" s="303"/>
      <c r="N316" s="303"/>
      <c r="O316" s="262"/>
      <c r="P316" s="261"/>
      <c r="Q316" s="261"/>
      <c r="R316" s="261"/>
      <c r="S316" s="261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</row>
    <row r="317" spans="1:29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339"/>
      <c r="G317" s="339"/>
      <c r="H317" s="322"/>
      <c r="I317" s="338"/>
      <c r="J317" s="221"/>
      <c r="K317" s="305"/>
      <c r="L317" s="305"/>
      <c r="M317" s="303"/>
      <c r="N317" s="303"/>
      <c r="O317" s="262"/>
      <c r="P317" s="261"/>
      <c r="Q317" s="261"/>
      <c r="R317" s="261"/>
      <c r="S317" s="261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</row>
    <row r="318" spans="1:29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339"/>
      <c r="G318" s="339"/>
      <c r="H318" s="322"/>
      <c r="I318" s="338"/>
      <c r="J318" s="221"/>
      <c r="K318" s="305"/>
      <c r="L318" s="305"/>
      <c r="M318" s="303"/>
      <c r="N318" s="303"/>
      <c r="O318" s="262"/>
      <c r="P318" s="261"/>
      <c r="Q318" s="261"/>
      <c r="R318" s="261"/>
      <c r="S318" s="261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</row>
    <row r="319" spans="1:29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339"/>
      <c r="G319" s="339"/>
      <c r="H319" s="322"/>
      <c r="I319" s="338"/>
      <c r="J319" s="221"/>
      <c r="K319" s="305"/>
      <c r="L319" s="305"/>
      <c r="M319" s="303"/>
      <c r="N319" s="303"/>
      <c r="O319" s="262"/>
      <c r="P319" s="261"/>
      <c r="Q319" s="261"/>
      <c r="R319" s="261"/>
      <c r="S319" s="261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</row>
    <row r="320" spans="1:29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339"/>
      <c r="G320" s="339"/>
      <c r="H320" s="322"/>
      <c r="I320" s="338"/>
      <c r="J320" s="221"/>
      <c r="K320" s="305"/>
      <c r="L320" s="305"/>
      <c r="M320" s="303"/>
      <c r="N320" s="303"/>
      <c r="O320" s="262"/>
      <c r="P320" s="274"/>
      <c r="Q320" s="261"/>
      <c r="R320" s="261"/>
      <c r="S320" s="261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</row>
    <row r="321" spans="1:29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339"/>
      <c r="G321" s="339"/>
      <c r="H321" s="322"/>
      <c r="I321" s="338"/>
      <c r="J321" s="221"/>
      <c r="K321" s="305"/>
      <c r="L321" s="305"/>
      <c r="M321" s="303"/>
      <c r="N321" s="303"/>
      <c r="O321" s="262"/>
      <c r="P321" s="261"/>
      <c r="Q321" s="261"/>
      <c r="R321" s="261"/>
      <c r="S321" s="261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</row>
    <row r="322" spans="1:29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339"/>
      <c r="G322" s="339"/>
      <c r="H322" s="322"/>
      <c r="I322" s="338"/>
      <c r="J322" s="221"/>
      <c r="K322" s="305"/>
      <c r="L322" s="305"/>
      <c r="M322" s="303"/>
      <c r="N322" s="303"/>
      <c r="O322" s="262"/>
      <c r="P322" s="261"/>
      <c r="Q322" s="261"/>
      <c r="R322" s="261"/>
      <c r="S322" s="261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</row>
    <row r="323" spans="1:29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339"/>
      <c r="G323" s="339"/>
      <c r="H323" s="322"/>
      <c r="I323" s="338"/>
      <c r="J323" s="221"/>
      <c r="K323" s="305"/>
      <c r="L323" s="305"/>
      <c r="M323" s="303"/>
      <c r="N323" s="303"/>
      <c r="O323" s="262"/>
      <c r="P323" s="261"/>
      <c r="Q323" s="261"/>
      <c r="R323" s="261"/>
      <c r="S323" s="261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</row>
    <row r="324" spans="1:29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339"/>
      <c r="G324" s="339"/>
      <c r="H324" s="322"/>
      <c r="I324" s="338"/>
      <c r="J324" s="221"/>
      <c r="K324" s="305"/>
      <c r="L324" s="305"/>
      <c r="M324" s="303"/>
      <c r="N324" s="303"/>
      <c r="O324" s="262"/>
      <c r="P324" s="261"/>
      <c r="Q324" s="261"/>
      <c r="R324" s="261"/>
      <c r="S324" s="261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</row>
    <row r="325" spans="1:29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339"/>
      <c r="G325" s="339"/>
      <c r="H325" s="322"/>
      <c r="I325" s="338"/>
      <c r="J325" s="221"/>
      <c r="K325" s="305"/>
      <c r="L325" s="305"/>
      <c r="M325" s="303"/>
      <c r="N325" s="303"/>
      <c r="O325" s="262"/>
      <c r="P325" s="261"/>
      <c r="Q325" s="261"/>
      <c r="R325" s="261"/>
      <c r="S325" s="261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</row>
    <row r="326" spans="1:29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339"/>
      <c r="G326" s="339"/>
      <c r="H326" s="322"/>
      <c r="I326" s="338"/>
      <c r="J326" s="221"/>
      <c r="K326" s="305"/>
      <c r="L326" s="305"/>
      <c r="M326" s="303"/>
      <c r="N326" s="303"/>
      <c r="O326" s="262"/>
      <c r="P326" s="261"/>
      <c r="Q326" s="261"/>
      <c r="R326" s="261"/>
      <c r="S326" s="261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</row>
    <row r="327" spans="1:29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339"/>
      <c r="G327" s="339"/>
      <c r="H327" s="322"/>
      <c r="I327" s="338"/>
      <c r="J327" s="221"/>
      <c r="K327" s="305"/>
      <c r="L327" s="305"/>
      <c r="M327" s="303"/>
      <c r="N327" s="303"/>
      <c r="O327" s="262"/>
      <c r="P327" s="261"/>
      <c r="Q327" s="261"/>
      <c r="R327" s="261"/>
      <c r="S327" s="261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</row>
    <row r="328" spans="1:29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339"/>
      <c r="G328" s="339"/>
      <c r="H328" s="322"/>
      <c r="I328" s="338"/>
      <c r="J328" s="221"/>
      <c r="K328" s="305"/>
      <c r="L328" s="305"/>
      <c r="M328" s="303"/>
      <c r="N328" s="303"/>
      <c r="O328" s="262"/>
      <c r="P328" s="261"/>
      <c r="Q328" s="261"/>
      <c r="R328" s="261"/>
      <c r="S328" s="261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</row>
    <row r="329" spans="1:29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339"/>
      <c r="G329" s="339"/>
      <c r="H329" s="322"/>
      <c r="I329" s="338"/>
      <c r="J329" s="221"/>
      <c r="K329" s="305"/>
      <c r="L329" s="305"/>
      <c r="M329" s="303"/>
      <c r="N329" s="303"/>
      <c r="O329" s="262"/>
      <c r="P329" s="261"/>
      <c r="Q329" s="261"/>
      <c r="R329" s="261"/>
      <c r="S329" s="261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</row>
    <row r="330" spans="1:29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339"/>
      <c r="G330" s="339"/>
      <c r="H330" s="322"/>
      <c r="I330" s="338"/>
      <c r="J330" s="221"/>
      <c r="K330" s="305"/>
      <c r="L330" s="305"/>
      <c r="M330" s="303"/>
      <c r="N330" s="303"/>
      <c r="O330" s="262"/>
      <c r="P330" s="261"/>
      <c r="Q330" s="261"/>
      <c r="R330" s="261"/>
      <c r="S330" s="261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</row>
    <row r="331" spans="1:29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339"/>
      <c r="G331" s="339"/>
      <c r="H331" s="322"/>
      <c r="I331" s="338"/>
      <c r="J331" s="221"/>
      <c r="K331" s="305"/>
      <c r="L331" s="305"/>
      <c r="M331" s="303"/>
      <c r="N331" s="303"/>
      <c r="O331" s="262"/>
      <c r="P331" s="261"/>
      <c r="Q331" s="261"/>
      <c r="R331" s="261"/>
      <c r="S331" s="261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</row>
    <row r="332" spans="1:29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339"/>
      <c r="G332" s="339"/>
      <c r="H332" s="322"/>
      <c r="I332" s="338"/>
      <c r="J332" s="221"/>
      <c r="K332" s="305"/>
      <c r="L332" s="305"/>
      <c r="M332" s="303"/>
      <c r="N332" s="303"/>
      <c r="O332" s="262"/>
      <c r="P332" s="261"/>
      <c r="Q332" s="261"/>
      <c r="R332" s="261"/>
      <c r="S332" s="261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</row>
    <row r="333" spans="1:29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339"/>
      <c r="G333" s="339"/>
      <c r="H333" s="322"/>
      <c r="I333" s="338"/>
      <c r="J333" s="221"/>
      <c r="K333" s="305"/>
      <c r="L333" s="305"/>
      <c r="M333" s="303"/>
      <c r="N333" s="303"/>
      <c r="O333" s="262"/>
      <c r="P333" s="261"/>
      <c r="Q333" s="261"/>
      <c r="R333" s="261"/>
      <c r="S333" s="26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</row>
    <row r="334" spans="1:29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339"/>
      <c r="G334" s="339"/>
      <c r="H334" s="322"/>
      <c r="I334" s="338"/>
      <c r="J334" s="221"/>
      <c r="K334" s="305"/>
      <c r="L334" s="305"/>
      <c r="M334" s="303"/>
      <c r="N334" s="303"/>
      <c r="O334" s="262"/>
      <c r="P334" s="261"/>
      <c r="Q334" s="261"/>
      <c r="R334" s="261"/>
      <c r="S334" s="261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</row>
    <row r="335" spans="1:29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339"/>
      <c r="G335" s="339"/>
      <c r="H335" s="322"/>
      <c r="I335" s="338"/>
      <c r="J335" s="221"/>
      <c r="K335" s="305"/>
      <c r="L335" s="305"/>
      <c r="M335" s="303"/>
      <c r="N335" s="303"/>
      <c r="O335" s="262"/>
      <c r="P335" s="261"/>
      <c r="Q335" s="261"/>
      <c r="R335" s="261"/>
      <c r="S335" s="261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</row>
    <row r="336" spans="1:29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339"/>
      <c r="G336" s="339"/>
      <c r="H336" s="322"/>
      <c r="I336" s="338"/>
      <c r="J336" s="221"/>
      <c r="K336" s="305"/>
      <c r="L336" s="305"/>
      <c r="M336" s="303"/>
      <c r="N336" s="303"/>
      <c r="O336" s="262"/>
      <c r="P336" s="261"/>
      <c r="Q336" s="261"/>
      <c r="R336" s="261"/>
      <c r="S336" s="261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</row>
    <row r="337" spans="1:29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339"/>
      <c r="G337" s="339"/>
      <c r="H337" s="322"/>
      <c r="I337" s="338"/>
      <c r="J337" s="221"/>
      <c r="K337" s="305"/>
      <c r="L337" s="305"/>
      <c r="M337" s="303"/>
      <c r="N337" s="303"/>
      <c r="O337" s="262"/>
      <c r="P337" s="261"/>
      <c r="Q337" s="261"/>
      <c r="R337" s="261"/>
      <c r="S337" s="261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</row>
    <row r="338" spans="1:29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339"/>
      <c r="G338" s="339"/>
      <c r="H338" s="322"/>
      <c r="I338" s="338"/>
      <c r="J338" s="221"/>
      <c r="K338" s="305"/>
      <c r="L338" s="305"/>
      <c r="M338" s="303"/>
      <c r="N338" s="303"/>
      <c r="O338" s="262"/>
      <c r="P338" s="261"/>
      <c r="Q338" s="261"/>
      <c r="R338" s="261"/>
      <c r="S338" s="261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</row>
    <row r="339" spans="1:29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339"/>
      <c r="G339" s="339"/>
      <c r="H339" s="322"/>
      <c r="I339" s="338"/>
      <c r="J339" s="221"/>
      <c r="K339" s="305"/>
      <c r="L339" s="305"/>
      <c r="M339" s="303"/>
      <c r="N339" s="303"/>
      <c r="O339" s="262"/>
      <c r="P339" s="261"/>
      <c r="Q339" s="261"/>
      <c r="R339" s="261"/>
      <c r="S339" s="261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</row>
    <row r="340" spans="1:29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339"/>
      <c r="G340" s="339"/>
      <c r="H340" s="322"/>
      <c r="I340" s="338"/>
      <c r="J340" s="221"/>
      <c r="K340" s="305"/>
      <c r="L340" s="305"/>
      <c r="M340" s="303"/>
      <c r="N340" s="303"/>
      <c r="O340" s="262"/>
      <c r="P340" s="261"/>
      <c r="Q340" s="261"/>
      <c r="R340" s="261"/>
      <c r="S340" s="261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</row>
    <row r="341" spans="1:29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339"/>
      <c r="G341" s="339"/>
      <c r="H341" s="322"/>
      <c r="I341" s="338"/>
      <c r="J341" s="221"/>
      <c r="K341" s="305"/>
      <c r="L341" s="305"/>
      <c r="M341" s="303"/>
      <c r="N341" s="303"/>
      <c r="O341" s="262"/>
      <c r="P341" s="261"/>
      <c r="Q341" s="261"/>
      <c r="R341" s="261"/>
      <c r="S341" s="261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</row>
    <row r="342" spans="1:29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339"/>
      <c r="G342" s="339"/>
      <c r="H342" s="322"/>
      <c r="I342" s="338"/>
      <c r="J342" s="221"/>
      <c r="K342" s="305"/>
      <c r="L342" s="305"/>
      <c r="M342" s="303"/>
      <c r="N342" s="303"/>
      <c r="O342" s="262"/>
      <c r="P342" s="261"/>
      <c r="Q342" s="261"/>
      <c r="R342" s="261"/>
      <c r="S342" s="261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</row>
    <row r="343" spans="1:29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339"/>
      <c r="G343" s="339"/>
      <c r="H343" s="322"/>
      <c r="I343" s="338"/>
      <c r="J343" s="221"/>
      <c r="K343" s="305"/>
      <c r="L343" s="305"/>
      <c r="M343" s="303"/>
      <c r="N343" s="303"/>
      <c r="O343" s="262"/>
      <c r="P343" s="261"/>
      <c r="Q343" s="261"/>
      <c r="R343" s="261"/>
      <c r="S343" s="261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</row>
    <row r="344" spans="1:29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339"/>
      <c r="G344" s="339"/>
      <c r="H344" s="322"/>
      <c r="I344" s="338"/>
      <c r="J344" s="221"/>
      <c r="K344" s="305"/>
      <c r="L344" s="305"/>
      <c r="M344" s="303"/>
      <c r="N344" s="303"/>
      <c r="O344" s="262"/>
      <c r="P344" s="261"/>
      <c r="Q344" s="261"/>
      <c r="R344" s="261"/>
      <c r="S344" s="261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</row>
    <row r="345" spans="1:29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339"/>
      <c r="G345" s="339"/>
      <c r="H345" s="322"/>
      <c r="I345" s="338"/>
      <c r="J345" s="221"/>
      <c r="K345" s="305"/>
      <c r="L345" s="305"/>
      <c r="M345" s="303"/>
      <c r="N345" s="303"/>
      <c r="O345" s="262"/>
      <c r="P345" s="261"/>
      <c r="Q345" s="261"/>
      <c r="R345" s="261"/>
      <c r="S345" s="261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</row>
    <row r="346" spans="1:29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339"/>
      <c r="G346" s="339"/>
      <c r="H346" s="322"/>
      <c r="I346" s="338"/>
      <c r="J346" s="221"/>
      <c r="K346" s="305"/>
      <c r="L346" s="305"/>
      <c r="M346" s="303"/>
      <c r="N346" s="303"/>
      <c r="O346" s="262"/>
      <c r="P346" s="261"/>
      <c r="Q346" s="261"/>
      <c r="R346" s="261"/>
      <c r="S346" s="261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</row>
    <row r="347" spans="1:29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339"/>
      <c r="G347" s="339"/>
      <c r="H347" s="322"/>
      <c r="I347" s="338"/>
      <c r="J347" s="221"/>
      <c r="K347" s="305"/>
      <c r="L347" s="305"/>
      <c r="M347" s="303"/>
      <c r="N347" s="303"/>
      <c r="O347" s="262"/>
      <c r="P347" s="261"/>
      <c r="Q347" s="261"/>
      <c r="R347" s="261"/>
      <c r="S347" s="261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</row>
    <row r="348" spans="1:29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339"/>
      <c r="G348" s="339"/>
      <c r="H348" s="322"/>
      <c r="I348" s="338"/>
      <c r="J348" s="221"/>
      <c r="K348" s="305"/>
      <c r="L348" s="305"/>
      <c r="M348" s="303"/>
      <c r="N348" s="303"/>
      <c r="O348" s="262"/>
      <c r="P348" s="261"/>
      <c r="Q348" s="261"/>
      <c r="R348" s="261"/>
      <c r="S348" s="261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</row>
    <row r="349" spans="1:29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339"/>
      <c r="G349" s="339"/>
      <c r="H349" s="322"/>
      <c r="I349" s="338"/>
      <c r="J349" s="221"/>
      <c r="K349" s="305"/>
      <c r="L349" s="305"/>
      <c r="M349" s="303"/>
      <c r="N349" s="303"/>
      <c r="O349" s="262"/>
      <c r="P349" s="261"/>
      <c r="Q349" s="261"/>
      <c r="R349" s="261"/>
      <c r="S349" s="261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</row>
    <row r="350" spans="1:29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339"/>
      <c r="G350" s="339"/>
      <c r="H350" s="322"/>
      <c r="I350" s="338"/>
      <c r="J350" s="221"/>
      <c r="K350" s="305"/>
      <c r="L350" s="305"/>
      <c r="M350" s="303"/>
      <c r="N350" s="303"/>
      <c r="O350" s="262"/>
      <c r="P350" s="261"/>
      <c r="Q350" s="261"/>
      <c r="R350" s="261"/>
      <c r="S350" s="261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</row>
    <row r="351" spans="1:29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339"/>
      <c r="G351" s="339"/>
      <c r="H351" s="322"/>
      <c r="I351" s="338"/>
      <c r="J351" s="221"/>
      <c r="K351" s="305"/>
      <c r="L351" s="305"/>
      <c r="M351" s="303"/>
      <c r="N351" s="303"/>
      <c r="O351" s="262"/>
      <c r="P351" s="261"/>
      <c r="Q351" s="261"/>
      <c r="R351" s="261"/>
      <c r="S351" s="261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</row>
    <row r="352" spans="1:29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339"/>
      <c r="G352" s="339"/>
      <c r="H352" s="322"/>
      <c r="I352" s="338"/>
      <c r="J352" s="221"/>
      <c r="K352" s="305"/>
      <c r="L352" s="305"/>
      <c r="M352" s="303"/>
      <c r="N352" s="303"/>
      <c r="O352" s="262"/>
      <c r="P352" s="261"/>
      <c r="Q352" s="261"/>
      <c r="R352" s="261"/>
      <c r="S352" s="261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</row>
    <row r="353" spans="1:29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339"/>
      <c r="G353" s="339"/>
      <c r="H353" s="322"/>
      <c r="I353" s="338"/>
      <c r="J353" s="221"/>
      <c r="K353" s="305"/>
      <c r="L353" s="305"/>
      <c r="M353" s="303"/>
      <c r="N353" s="303"/>
      <c r="O353" s="262"/>
      <c r="P353" s="261"/>
      <c r="Q353" s="261"/>
      <c r="R353" s="261"/>
      <c r="S353" s="261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</row>
    <row r="354" spans="1:29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339"/>
      <c r="G354" s="339"/>
      <c r="H354" s="322"/>
      <c r="I354" s="338"/>
      <c r="J354" s="221"/>
      <c r="K354" s="305"/>
      <c r="L354" s="305"/>
      <c r="M354" s="303"/>
      <c r="N354" s="303"/>
      <c r="O354" s="262"/>
      <c r="P354" s="261"/>
      <c r="Q354" s="261"/>
      <c r="R354" s="261"/>
      <c r="S354" s="261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</row>
    <row r="355" spans="1:29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339"/>
      <c r="G355" s="339"/>
      <c r="H355" s="322"/>
      <c r="I355" s="338"/>
      <c r="J355" s="221"/>
      <c r="K355" s="305"/>
      <c r="L355" s="305"/>
      <c r="M355" s="303"/>
      <c r="N355" s="303"/>
      <c r="O355" s="262"/>
      <c r="P355" s="261"/>
      <c r="Q355" s="261"/>
      <c r="R355" s="261"/>
      <c r="S355" s="261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</row>
    <row r="356" spans="1:29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339"/>
      <c r="G356" s="339"/>
      <c r="H356" s="322"/>
      <c r="I356" s="338"/>
      <c r="J356" s="221"/>
      <c r="K356" s="305"/>
      <c r="L356" s="305"/>
      <c r="M356" s="303"/>
      <c r="N356" s="303"/>
      <c r="O356" s="262"/>
      <c r="P356" s="261"/>
      <c r="Q356" s="261"/>
      <c r="R356" s="261"/>
      <c r="S356" s="261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</row>
    <row r="357" spans="1:29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339"/>
      <c r="G357" s="339"/>
      <c r="H357" s="322"/>
      <c r="I357" s="338"/>
      <c r="J357" s="221"/>
      <c r="K357" s="305"/>
      <c r="L357" s="305"/>
      <c r="M357" s="303"/>
      <c r="N357" s="303"/>
      <c r="O357" s="262"/>
      <c r="P357" s="261"/>
      <c r="Q357" s="261"/>
      <c r="R357" s="261"/>
      <c r="S357" s="261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</row>
    <row r="358" spans="1:29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339"/>
      <c r="G358" s="339"/>
      <c r="H358" s="322"/>
      <c r="I358" s="338"/>
      <c r="J358" s="221"/>
      <c r="K358" s="305"/>
      <c r="L358" s="305"/>
      <c r="M358" s="303"/>
      <c r="N358" s="303"/>
      <c r="O358" s="262"/>
      <c r="P358" s="261"/>
      <c r="Q358" s="261"/>
      <c r="R358" s="261"/>
      <c r="S358" s="261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</row>
    <row r="359" spans="1:29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339"/>
      <c r="G359" s="339"/>
      <c r="H359" s="322"/>
      <c r="I359" s="338"/>
      <c r="J359" s="221"/>
      <c r="K359" s="305"/>
      <c r="L359" s="305"/>
      <c r="M359" s="303"/>
      <c r="N359" s="303"/>
      <c r="O359" s="262"/>
      <c r="P359" s="261"/>
      <c r="Q359" s="261"/>
      <c r="R359" s="261"/>
      <c r="S359" s="261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</row>
    <row r="360" spans="1:29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339"/>
      <c r="G360" s="339"/>
      <c r="H360" s="322"/>
      <c r="I360" s="338"/>
      <c r="J360" s="221"/>
      <c r="K360" s="305"/>
      <c r="L360" s="305"/>
      <c r="M360" s="303"/>
      <c r="N360" s="303"/>
      <c r="O360" s="262"/>
      <c r="P360" s="261"/>
      <c r="Q360" s="261"/>
      <c r="R360" s="261"/>
      <c r="S360" s="261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</row>
    <row r="361" spans="1:29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339"/>
      <c r="G361" s="339"/>
      <c r="H361" s="322"/>
      <c r="I361" s="338"/>
      <c r="J361" s="221"/>
      <c r="K361" s="305"/>
      <c r="L361" s="305"/>
      <c r="M361" s="303"/>
      <c r="N361" s="303"/>
      <c r="O361" s="262"/>
      <c r="P361" s="261"/>
      <c r="Q361" s="261"/>
      <c r="R361" s="261"/>
      <c r="S361" s="261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</row>
    <row r="362" spans="1:29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339"/>
      <c r="G362" s="339"/>
      <c r="H362" s="322"/>
      <c r="I362" s="338"/>
      <c r="J362" s="221"/>
      <c r="K362" s="305"/>
      <c r="L362" s="305"/>
      <c r="M362" s="303"/>
      <c r="N362" s="303"/>
      <c r="O362" s="262"/>
      <c r="P362" s="261"/>
      <c r="Q362" s="261"/>
      <c r="R362" s="261"/>
      <c r="S362" s="261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</row>
    <row r="363" spans="1:29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339"/>
      <c r="G363" s="339"/>
      <c r="H363" s="322"/>
      <c r="I363" s="338"/>
      <c r="J363" s="221"/>
      <c r="K363" s="305"/>
      <c r="L363" s="305"/>
      <c r="M363" s="303"/>
      <c r="N363" s="303"/>
      <c r="O363" s="262"/>
      <c r="P363" s="261"/>
      <c r="Q363" s="261"/>
      <c r="R363" s="261"/>
      <c r="S363" s="261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</row>
    <row r="364" spans="1:29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339"/>
      <c r="G364" s="339"/>
      <c r="H364" s="322"/>
      <c r="I364" s="338"/>
      <c r="J364" s="221"/>
      <c r="K364" s="305"/>
      <c r="L364" s="305"/>
      <c r="M364" s="303"/>
      <c r="N364" s="303"/>
      <c r="O364" s="262"/>
      <c r="P364" s="261"/>
      <c r="Q364" s="261"/>
      <c r="R364" s="261"/>
      <c r="S364" s="261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</row>
    <row r="365" spans="1:29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339"/>
      <c r="G365" s="339"/>
      <c r="H365" s="322"/>
      <c r="I365" s="338"/>
      <c r="J365" s="221"/>
      <c r="K365" s="305"/>
      <c r="L365" s="305"/>
      <c r="M365" s="303"/>
      <c r="N365" s="303"/>
      <c r="O365" s="262"/>
      <c r="P365" s="261"/>
      <c r="Q365" s="261"/>
      <c r="R365" s="261"/>
      <c r="S365" s="261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</row>
    <row r="366" spans="1:29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339"/>
      <c r="G366" s="339"/>
      <c r="H366" s="322"/>
      <c r="I366" s="338"/>
      <c r="J366" s="221"/>
      <c r="K366" s="305"/>
      <c r="L366" s="305"/>
      <c r="M366" s="303"/>
      <c r="N366" s="303"/>
      <c r="O366" s="262"/>
      <c r="P366" s="261"/>
      <c r="Q366" s="261"/>
      <c r="R366" s="261"/>
      <c r="S366" s="261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</row>
    <row r="367" spans="1:29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339"/>
      <c r="G367" s="339"/>
      <c r="H367" s="322"/>
      <c r="I367" s="338"/>
      <c r="J367" s="221"/>
      <c r="K367" s="305"/>
      <c r="L367" s="305"/>
      <c r="M367" s="303"/>
      <c r="N367" s="303"/>
      <c r="O367" s="262"/>
      <c r="P367" s="261"/>
      <c r="Q367" s="261"/>
      <c r="R367" s="261"/>
      <c r="S367" s="261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</row>
    <row r="368" spans="1:29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339"/>
      <c r="G368" s="339"/>
      <c r="H368" s="322"/>
      <c r="I368" s="338"/>
      <c r="J368" s="221"/>
      <c r="K368" s="305"/>
      <c r="L368" s="305"/>
      <c r="M368" s="303"/>
      <c r="N368" s="303"/>
      <c r="O368" s="262"/>
      <c r="P368" s="261"/>
      <c r="Q368" s="261"/>
      <c r="R368" s="261"/>
      <c r="S368" s="261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</row>
    <row r="369" spans="1:29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339"/>
      <c r="G369" s="339"/>
      <c r="H369" s="322"/>
      <c r="I369" s="338"/>
      <c r="J369" s="221"/>
      <c r="K369" s="305"/>
      <c r="L369" s="305"/>
      <c r="M369" s="303"/>
      <c r="N369" s="303"/>
      <c r="O369" s="262"/>
      <c r="P369" s="261"/>
      <c r="Q369" s="261"/>
      <c r="R369" s="261"/>
      <c r="S369" s="261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</row>
    <row r="370" spans="1:29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345"/>
      <c r="G370" s="339"/>
      <c r="H370" s="322"/>
      <c r="I370" s="338"/>
      <c r="J370" s="221"/>
      <c r="K370" s="305"/>
      <c r="L370" s="305"/>
      <c r="M370" s="303"/>
      <c r="N370" s="303"/>
      <c r="O370" s="262"/>
      <c r="P370" s="261"/>
      <c r="Q370" s="261"/>
      <c r="R370" s="261"/>
      <c r="S370" s="261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</row>
    <row r="371" spans="1:29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345"/>
      <c r="G371" s="339"/>
      <c r="H371" s="322"/>
      <c r="I371" s="338"/>
      <c r="J371" s="221"/>
      <c r="K371" s="305"/>
      <c r="L371" s="305"/>
      <c r="M371" s="303"/>
      <c r="N371" s="303"/>
      <c r="O371" s="262"/>
      <c r="P371" s="261"/>
      <c r="Q371" s="261"/>
      <c r="R371" s="261"/>
      <c r="S371" s="261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</row>
    <row r="372" spans="1:29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345"/>
      <c r="G372" s="339"/>
      <c r="H372" s="322"/>
      <c r="I372" s="338"/>
      <c r="J372" s="221"/>
      <c r="K372" s="305"/>
      <c r="L372" s="305"/>
      <c r="M372" s="303"/>
      <c r="N372" s="303"/>
      <c r="O372" s="262"/>
      <c r="P372" s="261"/>
      <c r="Q372" s="261"/>
      <c r="R372" s="261"/>
      <c r="S372" s="261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</row>
    <row r="373" spans="1:29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345"/>
      <c r="G373" s="339"/>
      <c r="H373" s="322"/>
      <c r="I373" s="338"/>
      <c r="J373" s="221"/>
      <c r="K373" s="305"/>
      <c r="L373" s="305"/>
      <c r="M373" s="303"/>
      <c r="N373" s="303"/>
      <c r="O373" s="262"/>
      <c r="P373" s="261"/>
      <c r="Q373" s="261"/>
      <c r="R373" s="261"/>
      <c r="S373" s="261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</row>
    <row r="374" spans="1:29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345"/>
      <c r="G374" s="339"/>
      <c r="H374" s="322"/>
      <c r="I374" s="338"/>
      <c r="J374" s="221"/>
      <c r="K374" s="305"/>
      <c r="L374" s="305"/>
      <c r="M374" s="303"/>
      <c r="N374" s="303"/>
      <c r="O374" s="262"/>
      <c r="P374" s="261"/>
      <c r="Q374" s="261"/>
      <c r="R374" s="261"/>
      <c r="S374" s="261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</row>
    <row r="375" spans="1:29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345"/>
      <c r="G375" s="339"/>
      <c r="H375" s="322"/>
      <c r="I375" s="338"/>
      <c r="J375" s="221"/>
      <c r="K375" s="305"/>
      <c r="L375" s="305"/>
      <c r="M375" s="303"/>
      <c r="N375" s="303"/>
      <c r="O375" s="262"/>
      <c r="P375" s="261"/>
      <c r="Q375" s="261"/>
      <c r="R375" s="261"/>
      <c r="S375" s="261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</row>
    <row r="376" spans="1:29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345"/>
      <c r="G376" s="339"/>
      <c r="H376" s="322"/>
      <c r="I376" s="338"/>
      <c r="J376" s="221"/>
      <c r="K376" s="305"/>
      <c r="L376" s="305"/>
      <c r="M376" s="303"/>
      <c r="N376" s="303"/>
      <c r="O376" s="262"/>
      <c r="P376" s="261"/>
      <c r="Q376" s="261"/>
      <c r="R376" s="261"/>
      <c r="S376" s="261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</row>
    <row r="377" spans="1:29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345"/>
      <c r="G377" s="339"/>
      <c r="H377" s="322"/>
      <c r="I377" s="338"/>
      <c r="J377" s="221"/>
      <c r="K377" s="305"/>
      <c r="L377" s="305"/>
      <c r="M377" s="303"/>
      <c r="N377" s="303"/>
      <c r="O377" s="262"/>
      <c r="P377" s="261"/>
      <c r="Q377" s="261"/>
      <c r="R377" s="261"/>
      <c r="S377" s="261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</row>
    <row r="378" spans="1:29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345"/>
      <c r="G378" s="339"/>
      <c r="H378" s="322"/>
      <c r="I378" s="338"/>
      <c r="J378" s="221"/>
      <c r="K378" s="305"/>
      <c r="L378" s="305"/>
      <c r="M378" s="303"/>
      <c r="N378" s="303"/>
      <c r="O378" s="262"/>
      <c r="P378" s="261"/>
      <c r="Q378" s="261"/>
      <c r="R378" s="261"/>
      <c r="S378" s="261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</row>
    <row r="379" spans="1:29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345"/>
      <c r="G379" s="339"/>
      <c r="H379" s="322"/>
      <c r="I379" s="338"/>
      <c r="J379" s="221"/>
      <c r="K379" s="305"/>
      <c r="L379" s="305"/>
      <c r="M379" s="303"/>
      <c r="N379" s="303"/>
      <c r="O379" s="262"/>
      <c r="P379" s="261"/>
      <c r="Q379" s="261"/>
      <c r="R379" s="261"/>
      <c r="S379" s="261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</row>
    <row r="380" spans="1:29" ht="18.75" customHeight="1">
      <c r="A380" s="42"/>
      <c r="B380" s="59" t="s">
        <v>828</v>
      </c>
      <c r="C380" s="111" t="s">
        <v>829</v>
      </c>
      <c r="D380" s="61" t="s">
        <v>1243</v>
      </c>
      <c r="E380" s="200">
        <f t="shared" si="1"/>
        <v>0</v>
      </c>
      <c r="F380" s="345"/>
      <c r="G380" s="339"/>
      <c r="H380" s="322"/>
      <c r="I380" s="338"/>
      <c r="J380" s="221"/>
      <c r="K380" s="305"/>
      <c r="L380" s="305"/>
      <c r="M380" s="303"/>
      <c r="N380" s="303"/>
      <c r="O380" s="262"/>
      <c r="P380" s="261"/>
      <c r="Q380" s="261"/>
      <c r="R380" s="261"/>
      <c r="S380" s="261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</row>
    <row r="381" spans="1:29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345"/>
      <c r="G381" s="339"/>
      <c r="H381" s="322"/>
      <c r="I381" s="338"/>
      <c r="J381" s="221"/>
      <c r="K381" s="305"/>
      <c r="L381" s="305"/>
      <c r="M381" s="303"/>
      <c r="N381" s="303"/>
      <c r="O381" s="262"/>
      <c r="P381" s="261"/>
      <c r="Q381" s="261"/>
      <c r="R381" s="261"/>
      <c r="S381" s="261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</row>
    <row r="382" spans="1:29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345"/>
      <c r="G382" s="339"/>
      <c r="H382" s="322"/>
      <c r="I382" s="338"/>
      <c r="J382" s="221"/>
      <c r="K382" s="305"/>
      <c r="L382" s="305"/>
      <c r="M382" s="303"/>
      <c r="N382" s="303"/>
      <c r="O382" s="262"/>
      <c r="P382" s="261"/>
      <c r="Q382" s="261"/>
      <c r="R382" s="261"/>
      <c r="S382" s="261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</row>
    <row r="383" spans="1:29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345"/>
      <c r="G383" s="339"/>
      <c r="H383" s="322"/>
      <c r="I383" s="338"/>
      <c r="J383" s="221"/>
      <c r="K383" s="305"/>
      <c r="L383" s="305"/>
      <c r="M383" s="303"/>
      <c r="N383" s="303"/>
      <c r="O383" s="262"/>
      <c r="P383" s="261"/>
      <c r="Q383" s="261"/>
      <c r="R383" s="261"/>
      <c r="S383" s="261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</row>
    <row r="384" spans="1:29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345"/>
      <c r="G384" s="339"/>
      <c r="H384" s="322"/>
      <c r="I384" s="338"/>
      <c r="J384" s="221"/>
      <c r="K384" s="305"/>
      <c r="L384" s="305"/>
      <c r="M384" s="303"/>
      <c r="N384" s="303"/>
      <c r="O384" s="262"/>
      <c r="P384" s="261"/>
      <c r="Q384" s="261"/>
      <c r="R384" s="261"/>
      <c r="S384" s="261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</row>
    <row r="385" spans="1:29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345"/>
      <c r="G385" s="339"/>
      <c r="H385" s="322"/>
      <c r="I385" s="338"/>
      <c r="J385" s="221"/>
      <c r="K385" s="305"/>
      <c r="L385" s="305"/>
      <c r="M385" s="303"/>
      <c r="N385" s="303"/>
      <c r="O385" s="262"/>
      <c r="P385" s="261"/>
      <c r="Q385" s="261"/>
      <c r="R385" s="261"/>
      <c r="S385" s="261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</row>
    <row r="386" spans="1:29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345"/>
      <c r="G386" s="339"/>
      <c r="H386" s="322"/>
      <c r="I386" s="338"/>
      <c r="J386" s="221"/>
      <c r="K386" s="305"/>
      <c r="L386" s="305"/>
      <c r="M386" s="303"/>
      <c r="N386" s="303"/>
      <c r="O386" s="262"/>
      <c r="P386" s="261"/>
      <c r="Q386" s="261"/>
      <c r="R386" s="261"/>
      <c r="S386" s="261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</row>
    <row r="387" spans="1:29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345"/>
      <c r="G387" s="339"/>
      <c r="H387" s="322"/>
      <c r="I387" s="338"/>
      <c r="J387" s="221"/>
      <c r="K387" s="305"/>
      <c r="L387" s="305"/>
      <c r="M387" s="303"/>
      <c r="N387" s="303"/>
      <c r="O387" s="262"/>
      <c r="P387" s="261"/>
      <c r="Q387" s="261"/>
      <c r="R387" s="261"/>
      <c r="S387" s="261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</row>
    <row r="388" spans="1:29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345"/>
      <c r="G388" s="339"/>
      <c r="H388" s="322"/>
      <c r="I388" s="338"/>
      <c r="J388" s="221"/>
      <c r="K388" s="305"/>
      <c r="L388" s="305"/>
      <c r="M388" s="303"/>
      <c r="N388" s="303"/>
      <c r="O388" s="262"/>
      <c r="P388" s="261"/>
      <c r="Q388" s="261"/>
      <c r="R388" s="261"/>
      <c r="S388" s="261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</row>
    <row r="389" spans="1:29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345"/>
      <c r="G389" s="339"/>
      <c r="H389" s="322"/>
      <c r="I389" s="338"/>
      <c r="J389" s="221"/>
      <c r="K389" s="305"/>
      <c r="L389" s="305"/>
      <c r="M389" s="303"/>
      <c r="N389" s="303"/>
      <c r="O389" s="262"/>
      <c r="P389" s="261"/>
      <c r="Q389" s="261"/>
      <c r="R389" s="261"/>
      <c r="S389" s="261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</row>
    <row r="390" spans="1:29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345"/>
      <c r="G390" s="339"/>
      <c r="H390" s="322"/>
      <c r="I390" s="338"/>
      <c r="J390" s="221"/>
      <c r="K390" s="305"/>
      <c r="L390" s="305"/>
      <c r="M390" s="303"/>
      <c r="N390" s="303"/>
      <c r="O390" s="262"/>
      <c r="P390" s="261"/>
      <c r="Q390" s="261"/>
      <c r="R390" s="261"/>
      <c r="S390" s="261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</row>
    <row r="391" spans="1:29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345"/>
      <c r="G391" s="339"/>
      <c r="H391" s="322"/>
      <c r="I391" s="338"/>
      <c r="J391" s="221"/>
      <c r="K391" s="305"/>
      <c r="L391" s="305"/>
      <c r="M391" s="303"/>
      <c r="N391" s="303"/>
      <c r="O391" s="262"/>
      <c r="P391" s="261"/>
      <c r="Q391" s="261"/>
      <c r="R391" s="261"/>
      <c r="S391" s="261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</row>
    <row r="392" spans="1:29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345"/>
      <c r="G392" s="339"/>
      <c r="H392" s="322"/>
      <c r="I392" s="338"/>
      <c r="J392" s="221"/>
      <c r="K392" s="305"/>
      <c r="L392" s="305"/>
      <c r="M392" s="303"/>
      <c r="N392" s="303"/>
      <c r="O392" s="262"/>
      <c r="P392" s="261"/>
      <c r="Q392" s="261"/>
      <c r="R392" s="261"/>
      <c r="S392" s="261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</row>
    <row r="393" spans="1:29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345"/>
      <c r="G393" s="339"/>
      <c r="H393" s="322"/>
      <c r="I393" s="338"/>
      <c r="J393" s="221"/>
      <c r="K393" s="305"/>
      <c r="L393" s="305"/>
      <c r="M393" s="303"/>
      <c r="N393" s="303"/>
      <c r="O393" s="262"/>
      <c r="P393" s="261"/>
      <c r="Q393" s="261"/>
      <c r="R393" s="261"/>
      <c r="S393" s="261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</row>
    <row r="394" spans="1:29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345"/>
      <c r="G394" s="339"/>
      <c r="H394" s="322"/>
      <c r="I394" s="338"/>
      <c r="J394" s="221"/>
      <c r="K394" s="305"/>
      <c r="L394" s="305"/>
      <c r="M394" s="303"/>
      <c r="N394" s="303"/>
      <c r="O394" s="262"/>
      <c r="P394" s="261"/>
      <c r="Q394" s="261"/>
      <c r="R394" s="261"/>
      <c r="S394" s="261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</row>
    <row r="395" spans="1:29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345"/>
      <c r="G395" s="339"/>
      <c r="H395" s="322"/>
      <c r="I395" s="338"/>
      <c r="J395" s="221"/>
      <c r="K395" s="305"/>
      <c r="L395" s="305"/>
      <c r="M395" s="303"/>
      <c r="N395" s="303"/>
      <c r="O395" s="262"/>
      <c r="P395" s="261"/>
      <c r="Q395" s="261"/>
      <c r="R395" s="261"/>
      <c r="S395" s="261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</row>
    <row r="396" spans="1:29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345"/>
      <c r="G396" s="339"/>
      <c r="H396" s="322"/>
      <c r="I396" s="338"/>
      <c r="J396" s="221"/>
      <c r="K396" s="305"/>
      <c r="L396" s="305"/>
      <c r="M396" s="303"/>
      <c r="N396" s="303"/>
      <c r="O396" s="262"/>
      <c r="P396" s="261"/>
      <c r="Q396" s="261"/>
      <c r="R396" s="261"/>
      <c r="S396" s="261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</row>
    <row r="397" spans="1:29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345"/>
      <c r="G397" s="339"/>
      <c r="H397" s="322"/>
      <c r="I397" s="338"/>
      <c r="J397" s="221"/>
      <c r="K397" s="305"/>
      <c r="L397" s="305"/>
      <c r="M397" s="303"/>
      <c r="N397" s="303"/>
      <c r="O397" s="262"/>
      <c r="P397" s="261"/>
      <c r="Q397" s="261"/>
      <c r="R397" s="261"/>
      <c r="S397" s="261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</row>
    <row r="398" spans="1:29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345"/>
      <c r="G398" s="339"/>
      <c r="H398" s="322"/>
      <c r="I398" s="338"/>
      <c r="J398" s="221"/>
      <c r="K398" s="305"/>
      <c r="L398" s="305"/>
      <c r="M398" s="303"/>
      <c r="N398" s="303"/>
      <c r="O398" s="262"/>
      <c r="P398" s="261"/>
      <c r="Q398" s="261"/>
      <c r="R398" s="261"/>
      <c r="S398" s="261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</row>
    <row r="399" spans="1:29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345"/>
      <c r="G399" s="339"/>
      <c r="H399" s="322"/>
      <c r="I399" s="338"/>
      <c r="J399" s="221"/>
      <c r="K399" s="305"/>
      <c r="L399" s="305"/>
      <c r="M399" s="303"/>
      <c r="N399" s="303"/>
      <c r="O399" s="262"/>
      <c r="P399" s="261"/>
      <c r="Q399" s="261"/>
      <c r="R399" s="261"/>
      <c r="S399" s="261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</row>
    <row r="400" spans="1:29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345"/>
      <c r="G400" s="339"/>
      <c r="H400" s="322"/>
      <c r="I400" s="338"/>
      <c r="J400" s="221"/>
      <c r="K400" s="305"/>
      <c r="L400" s="305"/>
      <c r="M400" s="303"/>
      <c r="N400" s="303"/>
      <c r="O400" s="262"/>
      <c r="P400" s="261"/>
      <c r="Q400" s="261"/>
      <c r="R400" s="261"/>
      <c r="S400" s="261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</row>
    <row r="401" spans="1:29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345"/>
      <c r="G401" s="339"/>
      <c r="H401" s="322"/>
      <c r="I401" s="338"/>
      <c r="J401" s="221"/>
      <c r="K401" s="305"/>
      <c r="L401" s="305"/>
      <c r="M401" s="303"/>
      <c r="N401" s="303"/>
      <c r="O401" s="262"/>
      <c r="P401" s="261"/>
      <c r="Q401" s="261"/>
      <c r="R401" s="261"/>
      <c r="S401" s="261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</row>
    <row r="402" spans="1:29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345"/>
      <c r="G402" s="339"/>
      <c r="H402" s="322"/>
      <c r="I402" s="338"/>
      <c r="J402" s="221"/>
      <c r="K402" s="305"/>
      <c r="L402" s="305"/>
      <c r="M402" s="303"/>
      <c r="N402" s="303"/>
      <c r="O402" s="262"/>
      <c r="P402" s="261"/>
      <c r="Q402" s="261"/>
      <c r="R402" s="261"/>
      <c r="S402" s="261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</row>
    <row r="403" spans="1:29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345"/>
      <c r="G403" s="339"/>
      <c r="H403" s="322"/>
      <c r="I403" s="338"/>
      <c r="J403" s="221"/>
      <c r="K403" s="305"/>
      <c r="L403" s="305"/>
      <c r="M403" s="303"/>
      <c r="N403" s="303"/>
      <c r="O403" s="262"/>
      <c r="P403" s="261"/>
      <c r="Q403" s="261"/>
      <c r="R403" s="261"/>
      <c r="S403" s="261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</row>
    <row r="404" spans="1:29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345"/>
      <c r="G404" s="339"/>
      <c r="H404" s="322"/>
      <c r="I404" s="338"/>
      <c r="J404" s="221"/>
      <c r="K404" s="305"/>
      <c r="L404" s="305"/>
      <c r="M404" s="303"/>
      <c r="N404" s="303"/>
      <c r="O404" s="262"/>
      <c r="P404" s="261"/>
      <c r="Q404" s="261"/>
      <c r="R404" s="261"/>
      <c r="S404" s="261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</row>
    <row r="405" spans="1:29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345"/>
      <c r="G405" s="339"/>
      <c r="H405" s="322"/>
      <c r="I405" s="338"/>
      <c r="J405" s="221"/>
      <c r="K405" s="305"/>
      <c r="L405" s="305"/>
      <c r="M405" s="303"/>
      <c r="N405" s="303"/>
      <c r="O405" s="262"/>
      <c r="P405" s="261"/>
      <c r="Q405" s="261"/>
      <c r="R405" s="261"/>
      <c r="S405" s="261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</row>
    <row r="406" spans="1:29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345"/>
      <c r="G406" s="339"/>
      <c r="H406" s="322"/>
      <c r="I406" s="338"/>
      <c r="J406" s="221"/>
      <c r="K406" s="305"/>
      <c r="L406" s="305"/>
      <c r="M406" s="303"/>
      <c r="N406" s="303"/>
      <c r="O406" s="262"/>
      <c r="P406" s="261"/>
      <c r="Q406" s="261"/>
      <c r="R406" s="261"/>
      <c r="S406" s="261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</row>
    <row r="407" spans="1:29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345"/>
      <c r="G407" s="339"/>
      <c r="H407" s="322"/>
      <c r="I407" s="338"/>
      <c r="J407" s="221"/>
      <c r="K407" s="305"/>
      <c r="L407" s="305"/>
      <c r="M407" s="303"/>
      <c r="N407" s="303"/>
      <c r="O407" s="262"/>
      <c r="P407" s="261"/>
      <c r="Q407" s="261"/>
      <c r="R407" s="261"/>
      <c r="S407" s="261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</row>
    <row r="408" spans="1:29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345"/>
      <c r="G408" s="339"/>
      <c r="H408" s="322"/>
      <c r="I408" s="338"/>
      <c r="J408" s="221"/>
      <c r="K408" s="305"/>
      <c r="L408" s="305"/>
      <c r="M408" s="303"/>
      <c r="N408" s="303"/>
      <c r="O408" s="262"/>
      <c r="P408" s="261"/>
      <c r="Q408" s="261"/>
      <c r="R408" s="261"/>
      <c r="S408" s="261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</row>
    <row r="409" spans="1:29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345"/>
      <c r="G409" s="339"/>
      <c r="H409" s="322"/>
      <c r="I409" s="338"/>
      <c r="J409" s="221"/>
      <c r="K409" s="305"/>
      <c r="L409" s="305"/>
      <c r="M409" s="303"/>
      <c r="N409" s="303"/>
      <c r="O409" s="262"/>
      <c r="P409" s="261"/>
      <c r="Q409" s="261"/>
      <c r="R409" s="261"/>
      <c r="S409" s="261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</row>
    <row r="410" spans="1:29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345"/>
      <c r="G410" s="339"/>
      <c r="H410" s="322"/>
      <c r="I410" s="338"/>
      <c r="J410" s="221"/>
      <c r="K410" s="305"/>
      <c r="L410" s="305"/>
      <c r="M410" s="303"/>
      <c r="N410" s="303"/>
      <c r="O410" s="262"/>
      <c r="P410" s="261"/>
      <c r="Q410" s="261"/>
      <c r="R410" s="261"/>
      <c r="S410" s="261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</row>
    <row r="411" spans="1:29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345"/>
      <c r="G411" s="339"/>
      <c r="H411" s="322"/>
      <c r="I411" s="338"/>
      <c r="J411" s="221"/>
      <c r="K411" s="305"/>
      <c r="L411" s="305"/>
      <c r="M411" s="303"/>
      <c r="N411" s="303"/>
      <c r="O411" s="262"/>
      <c r="P411" s="261"/>
      <c r="Q411" s="261"/>
      <c r="R411" s="261"/>
      <c r="S411" s="261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</row>
    <row r="412" spans="1:29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345"/>
      <c r="G412" s="339"/>
      <c r="H412" s="322"/>
      <c r="I412" s="338"/>
      <c r="J412" s="221"/>
      <c r="K412" s="305"/>
      <c r="L412" s="305"/>
      <c r="M412" s="303"/>
      <c r="N412" s="303"/>
      <c r="O412" s="262"/>
      <c r="P412" s="261"/>
      <c r="Q412" s="261"/>
      <c r="R412" s="261"/>
      <c r="S412" s="261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</row>
    <row r="413" spans="1:29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345"/>
      <c r="G413" s="339"/>
      <c r="H413" s="322"/>
      <c r="I413" s="338"/>
      <c r="J413" s="221"/>
      <c r="K413" s="305"/>
      <c r="L413" s="305"/>
      <c r="M413" s="303"/>
      <c r="N413" s="303"/>
      <c r="O413" s="262"/>
      <c r="P413" s="261"/>
      <c r="Q413" s="261"/>
      <c r="R413" s="261"/>
      <c r="S413" s="261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</row>
    <row r="414" spans="1:29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345"/>
      <c r="G414" s="339"/>
      <c r="H414" s="322"/>
      <c r="I414" s="338"/>
      <c r="J414" s="221"/>
      <c r="K414" s="305"/>
      <c r="L414" s="305"/>
      <c r="M414" s="303"/>
      <c r="N414" s="303"/>
      <c r="O414" s="262"/>
      <c r="P414" s="261"/>
      <c r="Q414" s="261"/>
      <c r="R414" s="261"/>
      <c r="S414" s="261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</row>
    <row r="415" spans="1:29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345"/>
      <c r="G415" s="339"/>
      <c r="H415" s="322"/>
      <c r="I415" s="338"/>
      <c r="J415" s="221"/>
      <c r="K415" s="305"/>
      <c r="L415" s="305"/>
      <c r="M415" s="303"/>
      <c r="N415" s="303"/>
      <c r="O415" s="262"/>
      <c r="P415" s="261"/>
      <c r="Q415" s="261"/>
      <c r="R415" s="261"/>
      <c r="S415" s="261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</row>
    <row r="416" spans="1:29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345"/>
      <c r="G416" s="339"/>
      <c r="H416" s="322"/>
      <c r="I416" s="338"/>
      <c r="J416" s="221"/>
      <c r="K416" s="305"/>
      <c r="L416" s="305"/>
      <c r="M416" s="303"/>
      <c r="N416" s="303"/>
      <c r="O416" s="262"/>
      <c r="P416" s="261"/>
      <c r="Q416" s="261"/>
      <c r="R416" s="261"/>
      <c r="S416" s="261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</row>
    <row r="417" spans="1:29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345"/>
      <c r="G417" s="339"/>
      <c r="H417" s="322"/>
      <c r="I417" s="338"/>
      <c r="J417" s="221"/>
      <c r="K417" s="305"/>
      <c r="L417" s="305"/>
      <c r="M417" s="303"/>
      <c r="N417" s="303"/>
      <c r="O417" s="262"/>
      <c r="P417" s="261"/>
      <c r="Q417" s="261"/>
      <c r="R417" s="261"/>
      <c r="S417" s="261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</row>
    <row r="418" spans="1:29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345"/>
      <c r="G418" s="339"/>
      <c r="H418" s="322"/>
      <c r="I418" s="338"/>
      <c r="J418" s="221"/>
      <c r="K418" s="305"/>
      <c r="L418" s="305"/>
      <c r="M418" s="303"/>
      <c r="N418" s="303"/>
      <c r="O418" s="262"/>
      <c r="P418" s="261"/>
      <c r="Q418" s="261"/>
      <c r="R418" s="261"/>
      <c r="S418" s="261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</row>
    <row r="419" spans="1:29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345"/>
      <c r="G419" s="339"/>
      <c r="H419" s="322"/>
      <c r="I419" s="338"/>
      <c r="J419" s="221"/>
      <c r="K419" s="305"/>
      <c r="L419" s="305"/>
      <c r="M419" s="303"/>
      <c r="N419" s="303"/>
      <c r="O419" s="262"/>
      <c r="P419" s="261"/>
      <c r="Q419" s="261"/>
      <c r="R419" s="261"/>
      <c r="S419" s="261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</row>
    <row r="420" spans="1:29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345"/>
      <c r="G420" s="339"/>
      <c r="H420" s="322"/>
      <c r="I420" s="338"/>
      <c r="J420" s="221"/>
      <c r="K420" s="305"/>
      <c r="L420" s="305"/>
      <c r="M420" s="303"/>
      <c r="N420" s="303"/>
      <c r="O420" s="262"/>
      <c r="P420" s="261"/>
      <c r="Q420" s="261"/>
      <c r="R420" s="261"/>
      <c r="S420" s="261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</row>
    <row r="421" spans="1:29" ht="18.75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345"/>
      <c r="G421" s="339"/>
      <c r="H421" s="322"/>
      <c r="I421" s="338"/>
      <c r="J421" s="221"/>
      <c r="K421" s="303"/>
      <c r="L421" s="303"/>
      <c r="M421" s="303"/>
      <c r="N421" s="303"/>
      <c r="O421" s="262"/>
      <c r="P421" s="262"/>
      <c r="Q421" s="262"/>
      <c r="R421" s="262"/>
      <c r="S421" s="262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</row>
    <row r="422" spans="1:29" ht="31.5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346"/>
      <c r="G422" s="339"/>
      <c r="H422" s="322"/>
      <c r="I422" s="338"/>
      <c r="J422" s="221"/>
      <c r="K422" s="303"/>
      <c r="L422" s="303"/>
      <c r="M422" s="303"/>
      <c r="N422" s="303"/>
      <c r="O422" s="262"/>
      <c r="P422" s="262"/>
      <c r="Q422" s="262"/>
      <c r="R422" s="262"/>
      <c r="S422" s="262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</row>
    <row r="423" spans="1:29" ht="18.75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346"/>
      <c r="G423" s="339"/>
      <c r="H423" s="322"/>
      <c r="I423" s="338"/>
      <c r="J423" s="221"/>
      <c r="K423" s="303"/>
      <c r="L423" s="303"/>
      <c r="M423" s="303"/>
      <c r="N423" s="303"/>
      <c r="O423" s="262"/>
      <c r="P423" s="262"/>
      <c r="Q423" s="262"/>
      <c r="R423" s="262"/>
      <c r="S423" s="262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</row>
    <row r="424" spans="1:29" ht="18.75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346"/>
      <c r="G424" s="339"/>
      <c r="H424" s="322"/>
      <c r="I424" s="338"/>
      <c r="J424" s="221"/>
      <c r="K424" s="303"/>
      <c r="L424" s="303"/>
      <c r="M424" s="303"/>
      <c r="N424" s="303"/>
      <c r="O424" s="262"/>
      <c r="P424" s="262"/>
      <c r="Q424" s="262"/>
      <c r="R424" s="262"/>
      <c r="S424" s="262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</row>
    <row r="425" spans="1:29" ht="18.75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346"/>
      <c r="G425" s="339"/>
      <c r="H425" s="322"/>
      <c r="I425" s="338"/>
      <c r="J425" s="221"/>
      <c r="K425" s="303"/>
      <c r="L425" s="303"/>
      <c r="M425" s="303"/>
      <c r="N425" s="303"/>
      <c r="O425" s="262"/>
      <c r="P425" s="262"/>
      <c r="Q425" s="262"/>
      <c r="R425" s="262"/>
      <c r="S425" s="262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</row>
    <row r="426" spans="1:29" ht="31.5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345"/>
      <c r="G426" s="339"/>
      <c r="H426" s="322"/>
      <c r="I426" s="338"/>
      <c r="J426" s="221"/>
      <c r="K426" s="303"/>
      <c r="L426" s="303"/>
      <c r="M426" s="303"/>
      <c r="N426" s="303"/>
      <c r="O426" s="262"/>
      <c r="P426" s="262"/>
      <c r="Q426" s="262"/>
      <c r="R426" s="262"/>
      <c r="S426" s="262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</row>
    <row r="427" spans="1:29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345"/>
      <c r="G427" s="339"/>
      <c r="H427" s="322"/>
      <c r="I427" s="338"/>
      <c r="J427" s="221"/>
      <c r="K427" s="305"/>
      <c r="L427" s="305"/>
      <c r="M427" s="303"/>
      <c r="N427" s="303"/>
      <c r="O427" s="262"/>
      <c r="P427" s="261"/>
      <c r="Q427" s="261"/>
      <c r="R427" s="261"/>
      <c r="S427" s="261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</row>
    <row r="428" spans="1:29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345"/>
      <c r="G428" s="339"/>
      <c r="H428" s="322"/>
      <c r="I428" s="338"/>
      <c r="J428" s="221"/>
      <c r="K428" s="305"/>
      <c r="L428" s="305"/>
      <c r="M428" s="303"/>
      <c r="N428" s="303"/>
      <c r="O428" s="262"/>
      <c r="P428" s="261"/>
      <c r="Q428" s="261"/>
      <c r="R428" s="261"/>
      <c r="S428" s="261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</row>
    <row r="429" spans="1:29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345"/>
      <c r="G429" s="339"/>
      <c r="H429" s="322"/>
      <c r="I429" s="338"/>
      <c r="J429" s="221"/>
      <c r="K429" s="305"/>
      <c r="L429" s="305"/>
      <c r="M429" s="303"/>
      <c r="N429" s="303"/>
      <c r="O429" s="262"/>
      <c r="P429" s="261"/>
      <c r="Q429" s="261"/>
      <c r="R429" s="261"/>
      <c r="S429" s="261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</row>
    <row r="430" spans="1:29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345"/>
      <c r="G430" s="339"/>
      <c r="H430" s="322"/>
      <c r="I430" s="338"/>
      <c r="J430" s="221"/>
      <c r="K430" s="305"/>
      <c r="L430" s="305"/>
      <c r="M430" s="303"/>
      <c r="N430" s="303"/>
      <c r="O430" s="262"/>
      <c r="P430" s="261"/>
      <c r="Q430" s="261"/>
      <c r="R430" s="261"/>
      <c r="S430" s="261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</row>
    <row r="431" spans="1:29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345"/>
      <c r="G431" s="339"/>
      <c r="H431" s="322"/>
      <c r="I431" s="338"/>
      <c r="J431" s="221"/>
      <c r="K431" s="305"/>
      <c r="L431" s="305"/>
      <c r="M431" s="303"/>
      <c r="N431" s="303"/>
      <c r="O431" s="262"/>
      <c r="P431" s="261"/>
      <c r="Q431" s="261"/>
      <c r="R431" s="261"/>
      <c r="S431" s="26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</row>
    <row r="432" spans="1:29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345"/>
      <c r="G432" s="339"/>
      <c r="H432" s="322"/>
      <c r="I432" s="338"/>
      <c r="J432" s="221"/>
      <c r="K432" s="305"/>
      <c r="L432" s="305"/>
      <c r="M432" s="303"/>
      <c r="N432" s="303"/>
      <c r="O432" s="262"/>
      <c r="P432" s="261"/>
      <c r="Q432" s="261"/>
      <c r="R432" s="261"/>
      <c r="S432" s="26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</row>
    <row r="433" spans="1:29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345"/>
      <c r="G433" s="339"/>
      <c r="H433" s="322"/>
      <c r="I433" s="338"/>
      <c r="J433" s="221"/>
      <c r="K433" s="305"/>
      <c r="L433" s="305"/>
      <c r="M433" s="303"/>
      <c r="N433" s="303"/>
      <c r="O433" s="262"/>
      <c r="P433" s="261"/>
      <c r="Q433" s="261"/>
      <c r="R433" s="261"/>
      <c r="S433" s="261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</row>
    <row r="434" spans="1:29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345"/>
      <c r="G434" s="339"/>
      <c r="H434" s="322"/>
      <c r="I434" s="338"/>
      <c r="J434" s="221"/>
      <c r="K434" s="305"/>
      <c r="L434" s="305"/>
      <c r="M434" s="303"/>
      <c r="N434" s="303"/>
      <c r="O434" s="262"/>
      <c r="P434" s="261"/>
      <c r="Q434" s="261"/>
      <c r="R434" s="261"/>
      <c r="S434" s="261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</row>
    <row r="435" spans="1:29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345"/>
      <c r="G435" s="339"/>
      <c r="H435" s="322"/>
      <c r="I435" s="338"/>
      <c r="J435" s="221"/>
      <c r="K435" s="305"/>
      <c r="L435" s="305"/>
      <c r="M435" s="303"/>
      <c r="N435" s="303"/>
      <c r="O435" s="262"/>
      <c r="P435" s="261"/>
      <c r="Q435" s="261"/>
      <c r="R435" s="261"/>
      <c r="S435" s="261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</row>
    <row r="436" spans="1:29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345"/>
      <c r="G436" s="339"/>
      <c r="H436" s="322"/>
      <c r="I436" s="338"/>
      <c r="J436" s="221"/>
      <c r="K436" s="305"/>
      <c r="L436" s="305"/>
      <c r="M436" s="303"/>
      <c r="N436" s="303"/>
      <c r="O436" s="262"/>
      <c r="P436" s="261"/>
      <c r="Q436" s="261"/>
      <c r="R436" s="261"/>
      <c r="S436" s="261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</row>
    <row r="437" spans="1:29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345"/>
      <c r="G437" s="339"/>
      <c r="H437" s="322"/>
      <c r="I437" s="338"/>
      <c r="J437" s="221"/>
      <c r="K437" s="305"/>
      <c r="L437" s="305"/>
      <c r="M437" s="303"/>
      <c r="N437" s="303"/>
      <c r="O437" s="262"/>
      <c r="P437" s="261"/>
      <c r="Q437" s="261"/>
      <c r="R437" s="261"/>
      <c r="S437" s="261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</row>
    <row r="438" spans="1:29" ht="18.75" customHeight="1">
      <c r="A438" s="101"/>
      <c r="B438" s="53" t="s">
        <v>947</v>
      </c>
      <c r="C438" s="87" t="s">
        <v>948</v>
      </c>
      <c r="D438" s="61" t="s">
        <v>1244</v>
      </c>
      <c r="E438" s="200">
        <f t="shared" si="1"/>
        <v>0</v>
      </c>
      <c r="F438" s="345"/>
      <c r="G438" s="339"/>
      <c r="H438" s="322"/>
      <c r="I438" s="338"/>
      <c r="J438" s="221"/>
      <c r="K438" s="305"/>
      <c r="L438" s="305"/>
      <c r="M438" s="303"/>
      <c r="N438" s="303"/>
      <c r="O438" s="262"/>
      <c r="P438" s="261"/>
      <c r="Q438" s="261"/>
      <c r="R438" s="261"/>
      <c r="S438" s="261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</row>
    <row r="439" spans="1:29" ht="18.75" customHeight="1">
      <c r="A439" s="42"/>
      <c r="B439" s="59" t="s">
        <v>951</v>
      </c>
      <c r="C439" s="113" t="s">
        <v>131</v>
      </c>
      <c r="D439" s="61" t="s">
        <v>1245</v>
      </c>
      <c r="E439" s="200">
        <f t="shared" si="1"/>
        <v>0</v>
      </c>
      <c r="F439" s="345"/>
      <c r="G439" s="339"/>
      <c r="H439" s="322"/>
      <c r="I439" s="338"/>
      <c r="J439" s="221"/>
      <c r="K439" s="305"/>
      <c r="L439" s="305"/>
      <c r="M439" s="303"/>
      <c r="N439" s="303"/>
      <c r="O439" s="262"/>
      <c r="P439" s="261"/>
      <c r="Q439" s="261"/>
      <c r="R439" s="261"/>
      <c r="S439" s="261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</row>
    <row r="440" spans="1:29" ht="18.75" customHeight="1">
      <c r="A440" s="42"/>
      <c r="B440" s="59" t="s">
        <v>953</v>
      </c>
      <c r="C440" s="113" t="s">
        <v>200</v>
      </c>
      <c r="D440" s="61" t="s">
        <v>1246</v>
      </c>
      <c r="E440" s="200">
        <f t="shared" si="1"/>
        <v>0</v>
      </c>
      <c r="F440" s="345"/>
      <c r="G440" s="339"/>
      <c r="H440" s="322"/>
      <c r="I440" s="338"/>
      <c r="J440" s="221"/>
      <c r="K440" s="305"/>
      <c r="L440" s="305"/>
      <c r="M440" s="303"/>
      <c r="N440" s="303"/>
      <c r="O440" s="262"/>
      <c r="P440" s="261"/>
      <c r="Q440" s="261"/>
      <c r="R440" s="261"/>
      <c r="S440" s="261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</row>
    <row r="441" spans="1:29" ht="18.75" customHeight="1">
      <c r="A441" s="42"/>
      <c r="B441" s="59" t="s">
        <v>955</v>
      </c>
      <c r="C441" s="113" t="s">
        <v>203</v>
      </c>
      <c r="D441" s="61" t="s">
        <v>1247</v>
      </c>
      <c r="E441" s="200">
        <f t="shared" si="1"/>
        <v>0</v>
      </c>
      <c r="F441" s="345"/>
      <c r="G441" s="339"/>
      <c r="H441" s="322"/>
      <c r="I441" s="338"/>
      <c r="J441" s="221"/>
      <c r="K441" s="305"/>
      <c r="L441" s="305"/>
      <c r="M441" s="303"/>
      <c r="N441" s="303"/>
      <c r="O441" s="262"/>
      <c r="P441" s="261"/>
      <c r="Q441" s="261"/>
      <c r="R441" s="261"/>
      <c r="S441" s="26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</row>
    <row r="442" spans="1:29" ht="18.75" customHeight="1">
      <c r="A442" s="42"/>
      <c r="B442" s="59" t="s">
        <v>957</v>
      </c>
      <c r="C442" s="113" t="s">
        <v>159</v>
      </c>
      <c r="D442" s="61" t="s">
        <v>1248</v>
      </c>
      <c r="E442" s="200">
        <f t="shared" si="1"/>
        <v>0</v>
      </c>
      <c r="F442" s="345"/>
      <c r="G442" s="339"/>
      <c r="H442" s="322"/>
      <c r="I442" s="338"/>
      <c r="J442" s="221"/>
      <c r="K442" s="305"/>
      <c r="L442" s="305"/>
      <c r="M442" s="303"/>
      <c r="N442" s="303"/>
      <c r="O442" s="262"/>
      <c r="P442" s="261"/>
      <c r="Q442" s="261"/>
      <c r="R442" s="261"/>
      <c r="S442" s="261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</row>
    <row r="443" spans="1:29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345"/>
      <c r="G443" s="339"/>
      <c r="H443" s="322"/>
      <c r="I443" s="338"/>
      <c r="J443" s="221"/>
      <c r="K443" s="305"/>
      <c r="L443" s="305"/>
      <c r="M443" s="303"/>
      <c r="N443" s="303"/>
      <c r="O443" s="262"/>
      <c r="P443" s="261"/>
      <c r="Q443" s="261"/>
      <c r="R443" s="261"/>
      <c r="S443" s="261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</row>
    <row r="444" spans="1:29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345"/>
      <c r="G444" s="339"/>
      <c r="H444" s="322"/>
      <c r="I444" s="338"/>
      <c r="J444" s="221"/>
      <c r="K444" s="305"/>
      <c r="L444" s="305"/>
      <c r="M444" s="303"/>
      <c r="N444" s="303"/>
      <c r="O444" s="262"/>
      <c r="P444" s="261"/>
      <c r="Q444" s="261"/>
      <c r="R444" s="261"/>
      <c r="S444" s="261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</row>
    <row r="445" spans="1:29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345"/>
      <c r="G445" s="339"/>
      <c r="H445" s="322"/>
      <c r="I445" s="338"/>
      <c r="J445" s="221"/>
      <c r="K445" s="305"/>
      <c r="L445" s="305"/>
      <c r="M445" s="303"/>
      <c r="N445" s="303"/>
      <c r="O445" s="262"/>
      <c r="P445" s="261"/>
      <c r="Q445" s="261"/>
      <c r="R445" s="261"/>
      <c r="S445" s="261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</row>
    <row r="446" spans="1:29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345"/>
      <c r="G446" s="339"/>
      <c r="H446" s="322"/>
      <c r="I446" s="338"/>
      <c r="J446" s="221"/>
      <c r="K446" s="305"/>
      <c r="L446" s="305"/>
      <c r="M446" s="303"/>
      <c r="N446" s="303"/>
      <c r="O446" s="262"/>
      <c r="P446" s="261"/>
      <c r="Q446" s="261"/>
      <c r="R446" s="261"/>
      <c r="S446" s="261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</row>
    <row r="447" spans="1:29" ht="18.75" customHeight="1">
      <c r="A447" s="101"/>
      <c r="B447" s="773" t="s">
        <v>969</v>
      </c>
      <c r="C447" s="771"/>
      <c r="D447" s="229" t="s">
        <v>183</v>
      </c>
      <c r="E447" s="200">
        <f t="shared" si="1"/>
        <v>0</v>
      </c>
      <c r="F447" s="306"/>
      <c r="G447" s="306"/>
      <c r="H447" s="306"/>
      <c r="I447" s="347"/>
      <c r="J447" s="310"/>
      <c r="K447" s="318"/>
      <c r="L447" s="318"/>
      <c r="M447" s="303"/>
      <c r="N447" s="303"/>
      <c r="O447" s="262"/>
      <c r="P447" s="276"/>
      <c r="Q447" s="276"/>
      <c r="R447" s="276"/>
      <c r="S447" s="276"/>
      <c r="T447" s="277"/>
      <c r="U447" s="277"/>
      <c r="V447" s="277"/>
      <c r="W447" s="277"/>
      <c r="X447" s="277"/>
      <c r="Y447" s="277"/>
      <c r="Z447" s="277"/>
      <c r="AA447" s="277"/>
      <c r="AB447" s="277"/>
      <c r="AC447" s="277"/>
    </row>
    <row r="448" spans="1:29" ht="15.75" customHeight="1">
      <c r="A448" s="177"/>
      <c r="B448" s="239"/>
      <c r="C448" s="260"/>
      <c r="D448" s="278"/>
      <c r="E448" s="260"/>
      <c r="F448" s="239"/>
      <c r="G448" s="239"/>
      <c r="H448" s="239"/>
      <c r="I448" s="239"/>
      <c r="J448" s="239"/>
      <c r="K448" s="239"/>
      <c r="L448" s="240"/>
      <c r="M448" s="239"/>
      <c r="N448" s="239"/>
      <c r="O448" s="239"/>
      <c r="P448" s="239"/>
      <c r="Q448" s="239"/>
      <c r="R448" s="239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167"/>
    </row>
    <row r="449" spans="1:29" ht="15.75" customHeight="1">
      <c r="A449" s="177"/>
      <c r="B449" s="239"/>
      <c r="C449" s="260"/>
      <c r="D449" s="278"/>
      <c r="E449" s="260"/>
      <c r="F449" s="239"/>
      <c r="G449" s="239"/>
      <c r="H449" s="239"/>
      <c r="I449" s="239"/>
      <c r="J449" s="239"/>
      <c r="K449" s="239"/>
      <c r="L449" s="240"/>
      <c r="M449" s="239"/>
      <c r="N449" s="239"/>
      <c r="O449" s="239"/>
      <c r="P449" s="239"/>
      <c r="Q449" s="239"/>
      <c r="R449" s="239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167"/>
    </row>
    <row r="450" spans="1:29" ht="15.75" customHeight="1">
      <c r="A450" s="177"/>
      <c r="B450" s="239"/>
      <c r="C450" s="241" t="s">
        <v>12</v>
      </c>
      <c r="D450" s="242">
        <f>COUNTIF($D$11:$FM$11,"Hà Giang")</f>
        <v>0</v>
      </c>
      <c r="E450" s="260"/>
      <c r="F450" s="239"/>
      <c r="G450" s="239"/>
      <c r="H450" s="239"/>
      <c r="I450" s="239"/>
      <c r="J450" s="239"/>
      <c r="K450" s="239"/>
      <c r="L450" s="240"/>
      <c r="M450" s="239"/>
      <c r="N450" s="239"/>
      <c r="O450" s="239"/>
      <c r="P450" s="239"/>
      <c r="Q450" s="239"/>
      <c r="R450" s="239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167"/>
    </row>
    <row r="451" spans="1:29" ht="15.75" customHeight="1">
      <c r="A451" s="177"/>
      <c r="B451" s="239"/>
      <c r="C451" s="241" t="s">
        <v>14</v>
      </c>
      <c r="D451" s="242">
        <f>COUNTIF($D$11:$FM$11,"Lào Cai")</f>
        <v>0</v>
      </c>
      <c r="E451" s="260"/>
      <c r="F451" s="239"/>
      <c r="G451" s="239"/>
      <c r="H451" s="239"/>
      <c r="I451" s="239"/>
      <c r="J451" s="239"/>
      <c r="K451" s="239"/>
      <c r="L451" s="240"/>
      <c r="M451" s="239"/>
      <c r="N451" s="239"/>
      <c r="O451" s="239"/>
      <c r="P451" s="239"/>
      <c r="Q451" s="239"/>
      <c r="R451" s="239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167"/>
    </row>
    <row r="452" spans="1:29" ht="15.75" customHeight="1">
      <c r="A452" s="177"/>
      <c r="B452" s="239"/>
      <c r="C452" s="241" t="s">
        <v>23</v>
      </c>
      <c r="D452" s="242">
        <f>COUNTIF($D$11:$FM$11,"Lai Châu")</f>
        <v>0</v>
      </c>
      <c r="E452" s="260"/>
      <c r="F452" s="239"/>
      <c r="G452" s="239"/>
      <c r="H452" s="239"/>
      <c r="I452" s="239"/>
      <c r="J452" s="239"/>
      <c r="K452" s="239"/>
      <c r="L452" s="240"/>
      <c r="M452" s="239"/>
      <c r="N452" s="239"/>
      <c r="O452" s="239"/>
      <c r="P452" s="239"/>
      <c r="Q452" s="239"/>
      <c r="R452" s="239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167"/>
    </row>
    <row r="453" spans="1:29" ht="15.75" customHeight="1">
      <c r="A453" s="177"/>
      <c r="B453" s="239"/>
      <c r="C453" s="243" t="s">
        <v>17</v>
      </c>
      <c r="D453" s="242">
        <f>COUNTIF($D$11:$FM$11,"Điện Biên")</f>
        <v>0</v>
      </c>
      <c r="E453" s="260"/>
      <c r="F453" s="239"/>
      <c r="G453" s="239"/>
      <c r="H453" s="239"/>
      <c r="I453" s="239"/>
      <c r="J453" s="239"/>
      <c r="K453" s="239"/>
      <c r="L453" s="240"/>
      <c r="M453" s="239"/>
      <c r="N453" s="239"/>
      <c r="O453" s="239"/>
      <c r="P453" s="239"/>
      <c r="Q453" s="239"/>
      <c r="R453" s="239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167"/>
    </row>
    <row r="454" spans="1:29" ht="15.75" customHeight="1">
      <c r="A454" s="177"/>
      <c r="B454" s="239"/>
      <c r="C454" s="243" t="s">
        <v>16</v>
      </c>
      <c r="D454" s="242">
        <f>COUNTIF($D$11:$FM$11,"Lạng Sơn")</f>
        <v>0</v>
      </c>
      <c r="E454" s="260"/>
      <c r="F454" s="239"/>
      <c r="G454" s="239"/>
      <c r="H454" s="239"/>
      <c r="I454" s="239"/>
      <c r="J454" s="239"/>
      <c r="K454" s="239"/>
      <c r="L454" s="240"/>
      <c r="M454" s="239"/>
      <c r="N454" s="239"/>
      <c r="O454" s="239"/>
      <c r="P454" s="239"/>
      <c r="Q454" s="239"/>
      <c r="R454" s="239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167"/>
    </row>
    <row r="455" spans="1:29" ht="15.75" customHeight="1">
      <c r="A455" s="177"/>
      <c r="B455" s="239"/>
      <c r="C455" s="243" t="s">
        <v>13</v>
      </c>
      <c r="D455" s="242">
        <f>COUNTIF($D$11:$FM$11,"Cao Bằng")</f>
        <v>0</v>
      </c>
      <c r="E455" s="260"/>
      <c r="F455" s="239"/>
      <c r="G455" s="239"/>
      <c r="H455" s="239"/>
      <c r="I455" s="239"/>
      <c r="J455" s="239"/>
      <c r="K455" s="239"/>
      <c r="L455" s="240"/>
      <c r="M455" s="239"/>
      <c r="N455" s="239"/>
      <c r="O455" s="239"/>
      <c r="P455" s="239"/>
      <c r="Q455" s="239"/>
      <c r="R455" s="239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167"/>
    </row>
    <row r="456" spans="1:29" ht="15.75" customHeight="1">
      <c r="A456" s="177"/>
      <c r="B456" s="239"/>
      <c r="C456" s="243" t="s">
        <v>1090</v>
      </c>
      <c r="D456" s="242">
        <f>COUNTIF($D$11:$FM$11,"Sơn La")</f>
        <v>0</v>
      </c>
      <c r="E456" s="260"/>
      <c r="F456" s="239"/>
      <c r="G456" s="239"/>
      <c r="H456" s="239"/>
      <c r="I456" s="239"/>
      <c r="J456" s="239"/>
      <c r="K456" s="239"/>
      <c r="L456" s="240"/>
      <c r="M456" s="239"/>
      <c r="N456" s="239"/>
      <c r="O456" s="239"/>
      <c r="P456" s="239"/>
      <c r="Q456" s="239"/>
      <c r="R456" s="239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167"/>
    </row>
    <row r="457" spans="1:29" ht="15.75" customHeight="1">
      <c r="A457" s="177"/>
      <c r="B457" s="239"/>
      <c r="C457" s="243" t="s">
        <v>19</v>
      </c>
      <c r="D457" s="242">
        <f>COUNTIF($D$11:$FM$11,"Yên Bái")</f>
        <v>0</v>
      </c>
      <c r="E457" s="260"/>
      <c r="F457" s="239"/>
      <c r="G457" s="239"/>
      <c r="H457" s="239"/>
      <c r="I457" s="239"/>
      <c r="J457" s="239"/>
      <c r="K457" s="239"/>
      <c r="L457" s="240"/>
      <c r="M457" s="239"/>
      <c r="N457" s="239"/>
      <c r="O457" s="239"/>
      <c r="P457" s="239"/>
      <c r="Q457" s="239"/>
      <c r="R457" s="239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167"/>
    </row>
    <row r="458" spans="1:29" ht="15.75" customHeight="1">
      <c r="A458" s="177"/>
      <c r="B458" s="239"/>
      <c r="C458" s="243" t="s">
        <v>18</v>
      </c>
      <c r="D458" s="242">
        <f>COUNTIF($D$11:$FM$11,"Tuyên Quang")</f>
        <v>0</v>
      </c>
      <c r="E458" s="260"/>
      <c r="F458" s="239"/>
      <c r="G458" s="239"/>
      <c r="H458" s="239"/>
      <c r="I458" s="239"/>
      <c r="J458" s="239"/>
      <c r="K458" s="239"/>
      <c r="L458" s="240"/>
      <c r="M458" s="239"/>
      <c r="N458" s="239"/>
      <c r="O458" s="239"/>
      <c r="P458" s="239"/>
      <c r="Q458" s="239"/>
      <c r="R458" s="239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167"/>
    </row>
    <row r="459" spans="1:29" ht="15.75" customHeight="1">
      <c r="A459" s="177"/>
      <c r="B459" s="239"/>
      <c r="C459" s="243" t="s">
        <v>1091</v>
      </c>
      <c r="D459" s="242">
        <f>COUNTIF($D$11:$FM$11,"Thái Nguyên")</f>
        <v>0</v>
      </c>
      <c r="E459" s="260"/>
      <c r="F459" s="239"/>
      <c r="G459" s="239"/>
      <c r="H459" s="239"/>
      <c r="I459" s="239"/>
      <c r="J459" s="239"/>
      <c r="K459" s="239"/>
      <c r="L459" s="240"/>
      <c r="M459" s="239"/>
      <c r="N459" s="239"/>
      <c r="O459" s="239"/>
      <c r="P459" s="239"/>
      <c r="Q459" s="239"/>
      <c r="R459" s="239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167"/>
    </row>
    <row r="460" spans="1:29" ht="15.75" customHeight="1">
      <c r="A460" s="177"/>
      <c r="B460" s="239"/>
      <c r="C460" s="243" t="s">
        <v>15</v>
      </c>
      <c r="D460" s="242">
        <f>COUNTIF($D$11:$FM$11,"Bắc Kạn")</f>
        <v>0</v>
      </c>
      <c r="E460" s="260"/>
      <c r="F460" s="239"/>
      <c r="G460" s="239"/>
      <c r="H460" s="239"/>
      <c r="I460" s="239"/>
      <c r="J460" s="239"/>
      <c r="K460" s="239"/>
      <c r="L460" s="240"/>
      <c r="M460" s="239"/>
      <c r="N460" s="239"/>
      <c r="O460" s="239"/>
      <c r="P460" s="239"/>
      <c r="Q460" s="239"/>
      <c r="R460" s="239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167"/>
    </row>
    <row r="461" spans="1:29" ht="15.75" customHeight="1">
      <c r="A461" s="177"/>
      <c r="B461" s="239"/>
      <c r="C461" s="243" t="s">
        <v>25</v>
      </c>
      <c r="D461" s="242">
        <f>COUNTIF($D$11:$FM$11,"Hoà Bình")</f>
        <v>0</v>
      </c>
      <c r="E461" s="260"/>
      <c r="F461" s="239"/>
      <c r="G461" s="239"/>
      <c r="H461" s="239"/>
      <c r="I461" s="239"/>
      <c r="J461" s="239"/>
      <c r="K461" s="239"/>
      <c r="L461" s="240"/>
      <c r="M461" s="239"/>
      <c r="N461" s="239"/>
      <c r="O461" s="239"/>
      <c r="P461" s="239"/>
      <c r="Q461" s="239"/>
      <c r="R461" s="239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167"/>
    </row>
    <row r="462" spans="1:29" ht="15.75" customHeight="1">
      <c r="A462" s="177"/>
      <c r="B462" s="239"/>
      <c r="C462" s="243" t="s">
        <v>1092</v>
      </c>
      <c r="D462" s="242">
        <f>COUNTIF($D$11:$FM$11,"Bắc Giang")</f>
        <v>0</v>
      </c>
      <c r="E462" s="260"/>
      <c r="F462" s="239"/>
      <c r="G462" s="239"/>
      <c r="H462" s="239"/>
      <c r="I462" s="239"/>
      <c r="J462" s="239"/>
      <c r="K462" s="239"/>
      <c r="L462" s="240"/>
      <c r="M462" s="239"/>
      <c r="N462" s="239"/>
      <c r="O462" s="239"/>
      <c r="P462" s="239"/>
      <c r="Q462" s="239"/>
      <c r="R462" s="239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167"/>
    </row>
    <row r="463" spans="1:29" ht="15.75" customHeight="1">
      <c r="A463" s="177"/>
      <c r="B463" s="239"/>
      <c r="C463" s="243" t="s">
        <v>28</v>
      </c>
      <c r="D463" s="242">
        <f>COUNTIF($D$11:$FM$11,"Quảng Ninh")</f>
        <v>0</v>
      </c>
      <c r="E463" s="260"/>
      <c r="F463" s="239"/>
      <c r="G463" s="239"/>
      <c r="H463" s="239"/>
      <c r="I463" s="239"/>
      <c r="J463" s="239"/>
      <c r="K463" s="239"/>
      <c r="L463" s="240"/>
      <c r="M463" s="239"/>
      <c r="N463" s="239"/>
      <c r="O463" s="239"/>
      <c r="P463" s="239"/>
      <c r="Q463" s="239"/>
      <c r="R463" s="239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167"/>
    </row>
    <row r="464" spans="1:29" ht="15.75" customHeight="1">
      <c r="A464" s="177"/>
      <c r="B464" s="239"/>
      <c r="C464" s="243" t="s">
        <v>26</v>
      </c>
      <c r="D464" s="242">
        <f>COUNTIF($D$11:$FM$11,"Hà Nội")</f>
        <v>0</v>
      </c>
      <c r="E464" s="260"/>
      <c r="F464" s="239"/>
      <c r="G464" s="239"/>
      <c r="H464" s="239"/>
      <c r="I464" s="239"/>
      <c r="J464" s="239"/>
      <c r="K464" s="239"/>
      <c r="L464" s="240"/>
      <c r="M464" s="239"/>
      <c r="N464" s="239"/>
      <c r="O464" s="239"/>
      <c r="P464" s="239"/>
      <c r="Q464" s="239"/>
      <c r="R464" s="239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167"/>
    </row>
    <row r="465" spans="1:29" ht="15.75" customHeight="1">
      <c r="A465" s="177"/>
      <c r="B465" s="239"/>
      <c r="C465" s="243" t="s">
        <v>21</v>
      </c>
      <c r="D465" s="242">
        <f>COUNTIF($D$11:$FM$11,"Phú Thọ")</f>
        <v>0</v>
      </c>
      <c r="E465" s="260"/>
      <c r="F465" s="239"/>
      <c r="G465" s="239"/>
      <c r="H465" s="239"/>
      <c r="I465" s="239"/>
      <c r="J465" s="239"/>
      <c r="K465" s="239"/>
      <c r="L465" s="240"/>
      <c r="M465" s="239"/>
      <c r="N465" s="239"/>
      <c r="O465" s="239"/>
      <c r="P465" s="239"/>
      <c r="Q465" s="239"/>
      <c r="R465" s="239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167"/>
    </row>
    <row r="466" spans="1:29" ht="15.75" customHeight="1">
      <c r="A466" s="177"/>
      <c r="B466" s="239"/>
      <c r="C466" s="243" t="s">
        <v>1093</v>
      </c>
      <c r="D466" s="242">
        <f>COUNTIF($D$11:$FM$11,"Vĩnh Phúc")</f>
        <v>0</v>
      </c>
      <c r="E466" s="260"/>
      <c r="F466" s="239"/>
      <c r="G466" s="239"/>
      <c r="H466" s="239"/>
      <c r="I466" s="239"/>
      <c r="J466" s="239"/>
      <c r="K466" s="239"/>
      <c r="L466" s="240"/>
      <c r="M466" s="239"/>
      <c r="N466" s="239"/>
      <c r="O466" s="239"/>
      <c r="P466" s="239"/>
      <c r="Q466" s="239"/>
      <c r="R466" s="239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167"/>
    </row>
    <row r="467" spans="1:29" ht="15.75" customHeight="1">
      <c r="A467" s="177"/>
      <c r="B467" s="239"/>
      <c r="C467" s="243" t="s">
        <v>32</v>
      </c>
      <c r="D467" s="242">
        <f>COUNTIF($D$11:$FM$11,"Bắc Ninh")</f>
        <v>0</v>
      </c>
      <c r="E467" s="260"/>
      <c r="F467" s="239"/>
      <c r="G467" s="239"/>
      <c r="H467" s="239"/>
      <c r="I467" s="239"/>
      <c r="J467" s="239"/>
      <c r="K467" s="239"/>
      <c r="L467" s="240"/>
      <c r="M467" s="239"/>
      <c r="N467" s="239"/>
      <c r="O467" s="239"/>
      <c r="P467" s="239"/>
      <c r="Q467" s="239"/>
      <c r="R467" s="239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167"/>
    </row>
    <row r="468" spans="1:29" ht="15.75" customHeight="1">
      <c r="A468" s="177"/>
      <c r="B468" s="239"/>
      <c r="C468" s="243" t="s">
        <v>29</v>
      </c>
      <c r="D468" s="242">
        <f>COUNTIF($D$11:$FM$11,"Hải Dương")</f>
        <v>0</v>
      </c>
      <c r="E468" s="260"/>
      <c r="F468" s="239"/>
      <c r="G468" s="239"/>
      <c r="H468" s="239"/>
      <c r="I468" s="239"/>
      <c r="J468" s="239"/>
      <c r="K468" s="239"/>
      <c r="L468" s="240"/>
      <c r="M468" s="239"/>
      <c r="N468" s="239"/>
      <c r="O468" s="239"/>
      <c r="P468" s="239"/>
      <c r="Q468" s="239"/>
      <c r="R468" s="239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167"/>
    </row>
    <row r="469" spans="1:29" ht="15.75" customHeight="1">
      <c r="A469" s="177"/>
      <c r="B469" s="239"/>
      <c r="C469" s="243" t="s">
        <v>30</v>
      </c>
      <c r="D469" s="242">
        <f>COUNTIF($D$11:$FM$11,"Hưng Yên")</f>
        <v>0</v>
      </c>
      <c r="E469" s="260"/>
      <c r="F469" s="239"/>
      <c r="G469" s="239"/>
      <c r="H469" s="239"/>
      <c r="I469" s="239"/>
      <c r="J469" s="239"/>
      <c r="K469" s="239"/>
      <c r="L469" s="240"/>
      <c r="M469" s="239"/>
      <c r="N469" s="239"/>
      <c r="O469" s="239"/>
      <c r="P469" s="239"/>
      <c r="Q469" s="239"/>
      <c r="R469" s="239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167"/>
    </row>
    <row r="470" spans="1:29" ht="15.75" customHeight="1">
      <c r="A470" s="177"/>
      <c r="B470" s="239"/>
      <c r="C470" s="243" t="s">
        <v>27</v>
      </c>
      <c r="D470" s="242">
        <f>COUNTIF($D$11:$FM$11,"Hải Phòng")</f>
        <v>0</v>
      </c>
      <c r="E470" s="260"/>
      <c r="F470" s="239"/>
      <c r="G470" s="239"/>
      <c r="H470" s="239"/>
      <c r="I470" s="239"/>
      <c r="J470" s="239"/>
      <c r="K470" s="239"/>
      <c r="L470" s="240"/>
      <c r="M470" s="239"/>
      <c r="N470" s="239"/>
      <c r="O470" s="239"/>
      <c r="P470" s="239"/>
      <c r="Q470" s="239"/>
      <c r="R470" s="239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167"/>
    </row>
    <row r="471" spans="1:29" ht="15.75" customHeight="1">
      <c r="A471" s="177"/>
      <c r="B471" s="239"/>
      <c r="C471" s="243" t="s">
        <v>33</v>
      </c>
      <c r="D471" s="242">
        <f>COUNTIF($D$11:$FM$11,"Hà Nam")</f>
        <v>0</v>
      </c>
      <c r="E471" s="260"/>
      <c r="F471" s="239"/>
      <c r="G471" s="239"/>
      <c r="H471" s="239"/>
      <c r="I471" s="239"/>
      <c r="J471" s="239"/>
      <c r="K471" s="239"/>
      <c r="L471" s="240"/>
      <c r="M471" s="239"/>
      <c r="N471" s="239"/>
      <c r="O471" s="239"/>
      <c r="P471" s="239"/>
      <c r="Q471" s="239"/>
      <c r="R471" s="239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167"/>
    </row>
    <row r="472" spans="1:29" ht="15.75" customHeight="1">
      <c r="A472" s="177"/>
      <c r="B472" s="239"/>
      <c r="C472" s="243" t="s">
        <v>36</v>
      </c>
      <c r="D472" s="242">
        <f>COUNTIF($D$11:$FM$11,"Nam Định")</f>
        <v>0</v>
      </c>
      <c r="E472" s="260"/>
      <c r="F472" s="239"/>
      <c r="G472" s="239"/>
      <c r="H472" s="239"/>
      <c r="I472" s="239"/>
      <c r="J472" s="239"/>
      <c r="K472" s="239"/>
      <c r="L472" s="240"/>
      <c r="M472" s="239"/>
      <c r="N472" s="239"/>
      <c r="O472" s="239"/>
      <c r="P472" s="239"/>
      <c r="Q472" s="239"/>
      <c r="R472" s="239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167"/>
    </row>
    <row r="473" spans="1:29" ht="15.75" customHeight="1">
      <c r="A473" s="177"/>
      <c r="B473" s="239"/>
      <c r="C473" s="243" t="s">
        <v>1094</v>
      </c>
      <c r="D473" s="242">
        <f>COUNTIF($D$11:$FM$11,"Thái Bình")</f>
        <v>0</v>
      </c>
      <c r="E473" s="260"/>
      <c r="F473" s="239"/>
      <c r="G473" s="239"/>
      <c r="H473" s="239"/>
      <c r="I473" s="239"/>
      <c r="J473" s="239"/>
      <c r="K473" s="239"/>
      <c r="L473" s="240"/>
      <c r="M473" s="239"/>
      <c r="N473" s="239"/>
      <c r="O473" s="239"/>
      <c r="P473" s="239"/>
      <c r="Q473" s="239"/>
      <c r="R473" s="239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167"/>
    </row>
    <row r="474" spans="1:29" ht="15.75" customHeight="1">
      <c r="A474" s="177"/>
      <c r="B474" s="239"/>
      <c r="C474" s="243" t="s">
        <v>34</v>
      </c>
      <c r="D474" s="242">
        <f>COUNTIF($D$11:$FM$11,"Ninh Bình")</f>
        <v>0</v>
      </c>
      <c r="E474" s="260"/>
      <c r="F474" s="239"/>
      <c r="G474" s="239"/>
      <c r="H474" s="239"/>
      <c r="I474" s="239"/>
      <c r="J474" s="239"/>
      <c r="K474" s="239"/>
      <c r="L474" s="240"/>
      <c r="M474" s="239"/>
      <c r="N474" s="239"/>
      <c r="O474" s="239"/>
      <c r="P474" s="239"/>
      <c r="Q474" s="239"/>
      <c r="R474" s="239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167"/>
    </row>
    <row r="475" spans="1:29" ht="15.75" customHeight="1">
      <c r="A475" s="177"/>
      <c r="B475" s="239"/>
      <c r="C475" s="243" t="s">
        <v>37</v>
      </c>
      <c r="D475" s="242">
        <f>COUNTIF($D$11:$FM$11,"Thanh Hoá")</f>
        <v>0</v>
      </c>
      <c r="E475" s="260"/>
      <c r="F475" s="239"/>
      <c r="G475" s="239"/>
      <c r="H475" s="239"/>
      <c r="I475" s="239"/>
      <c r="J475" s="239"/>
      <c r="K475" s="239"/>
      <c r="L475" s="240"/>
      <c r="M475" s="239"/>
      <c r="N475" s="239"/>
      <c r="O475" s="239"/>
      <c r="P475" s="239"/>
      <c r="Q475" s="239"/>
      <c r="R475" s="239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167"/>
    </row>
    <row r="476" spans="1:29" ht="15.75" customHeight="1">
      <c r="A476" s="177"/>
      <c r="B476" s="239"/>
      <c r="C476" s="243" t="s">
        <v>1095</v>
      </c>
      <c r="D476" s="242">
        <f>COUNTIF($D$11:$FM$11,"Nghệ An")</f>
        <v>0</v>
      </c>
      <c r="E476" s="260"/>
      <c r="F476" s="239"/>
      <c r="G476" s="239"/>
      <c r="H476" s="239"/>
      <c r="I476" s="239"/>
      <c r="J476" s="239"/>
      <c r="K476" s="239"/>
      <c r="L476" s="240"/>
      <c r="M476" s="239"/>
      <c r="N476" s="239"/>
      <c r="O476" s="239"/>
      <c r="P476" s="239"/>
      <c r="Q476" s="239"/>
      <c r="R476" s="239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167"/>
    </row>
    <row r="477" spans="1:29" ht="15.75" customHeight="1">
      <c r="A477" s="177"/>
      <c r="B477" s="239"/>
      <c r="C477" s="243" t="s">
        <v>1096</v>
      </c>
      <c r="D477" s="242">
        <f>COUNTIF($D$11:$FM$11,"Hà Tĩnh")</f>
        <v>0</v>
      </c>
      <c r="E477" s="260"/>
      <c r="F477" s="239"/>
      <c r="G477" s="239"/>
      <c r="H477" s="239"/>
      <c r="I477" s="239"/>
      <c r="J477" s="239"/>
      <c r="K477" s="239"/>
      <c r="L477" s="240"/>
      <c r="M477" s="239"/>
      <c r="N477" s="239"/>
      <c r="O477" s="239"/>
      <c r="P477" s="239"/>
      <c r="Q477" s="239"/>
      <c r="R477" s="239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167"/>
    </row>
    <row r="478" spans="1:29" ht="15.75" customHeight="1">
      <c r="A478" s="177"/>
      <c r="B478" s="239"/>
      <c r="C478" s="243" t="s">
        <v>1097</v>
      </c>
      <c r="D478" s="242">
        <f>COUNTIF($D$11:$FM$11,"Quảng Bình")</f>
        <v>0</v>
      </c>
      <c r="E478" s="260"/>
      <c r="F478" s="239"/>
      <c r="G478" s="239"/>
      <c r="H478" s="239"/>
      <c r="I478" s="239"/>
      <c r="J478" s="239"/>
      <c r="K478" s="239"/>
      <c r="L478" s="240"/>
      <c r="M478" s="239"/>
      <c r="N478" s="239"/>
      <c r="O478" s="239"/>
      <c r="P478" s="239"/>
      <c r="Q478" s="239"/>
      <c r="R478" s="239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167"/>
    </row>
    <row r="479" spans="1:29" ht="15.75" customHeight="1">
      <c r="A479" s="177"/>
      <c r="B479" s="239"/>
      <c r="C479" s="243" t="s">
        <v>1098</v>
      </c>
      <c r="D479" s="242">
        <f>COUNTIF($D$11:$FM$11,"Quảng Trị")</f>
        <v>0</v>
      </c>
      <c r="E479" s="260"/>
      <c r="F479" s="239"/>
      <c r="G479" s="239"/>
      <c r="H479" s="239"/>
      <c r="I479" s="239"/>
      <c r="J479" s="239"/>
      <c r="K479" s="239"/>
      <c r="L479" s="240"/>
      <c r="M479" s="239"/>
      <c r="N479" s="239"/>
      <c r="O479" s="239"/>
      <c r="P479" s="239"/>
      <c r="Q479" s="239"/>
      <c r="R479" s="239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167"/>
    </row>
    <row r="480" spans="1:29" ht="15.75" customHeight="1">
      <c r="A480" s="177"/>
      <c r="B480" s="239"/>
      <c r="C480" s="243" t="s">
        <v>1099</v>
      </c>
      <c r="D480" s="242">
        <f>COUNTIF($D$11:$FM$11,"Thừa Thiên Huế")</f>
        <v>0</v>
      </c>
      <c r="E480" s="260"/>
      <c r="F480" s="239"/>
      <c r="G480" s="239"/>
      <c r="H480" s="239"/>
      <c r="I480" s="239"/>
      <c r="J480" s="239"/>
      <c r="K480" s="239"/>
      <c r="L480" s="240"/>
      <c r="M480" s="239"/>
      <c r="N480" s="239"/>
      <c r="O480" s="239"/>
      <c r="P480" s="239"/>
      <c r="Q480" s="239"/>
      <c r="R480" s="239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167"/>
    </row>
    <row r="481" spans="1:29" ht="15.75" customHeight="1">
      <c r="A481" s="177"/>
      <c r="B481" s="239"/>
      <c r="C481" s="243" t="s">
        <v>1100</v>
      </c>
      <c r="D481" s="242">
        <f>COUNTIF($D$11:$FM$11,"Đà Nẵng")</f>
        <v>0</v>
      </c>
      <c r="E481" s="260"/>
      <c r="F481" s="239"/>
      <c r="G481" s="239"/>
      <c r="H481" s="239"/>
      <c r="I481" s="239"/>
      <c r="J481" s="239"/>
      <c r="K481" s="239"/>
      <c r="L481" s="240"/>
      <c r="M481" s="239"/>
      <c r="N481" s="239"/>
      <c r="O481" s="239"/>
      <c r="P481" s="239"/>
      <c r="Q481" s="239"/>
      <c r="R481" s="239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167"/>
    </row>
    <row r="482" spans="1:29" ht="15.75" customHeight="1">
      <c r="A482" s="177"/>
      <c r="B482" s="239"/>
      <c r="C482" s="243" t="s">
        <v>1101</v>
      </c>
      <c r="D482" s="242">
        <f>COUNTIF($D$11:$FM$11,"Quảng Nam")</f>
        <v>0</v>
      </c>
      <c r="E482" s="260"/>
      <c r="F482" s="239"/>
      <c r="G482" s="239"/>
      <c r="H482" s="239"/>
      <c r="I482" s="239"/>
      <c r="J482" s="239"/>
      <c r="K482" s="239"/>
      <c r="L482" s="240"/>
      <c r="M482" s="239"/>
      <c r="N482" s="239"/>
      <c r="O482" s="239"/>
      <c r="P482" s="239"/>
      <c r="Q482" s="239"/>
      <c r="R482" s="239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167"/>
    </row>
    <row r="483" spans="1:29" ht="15.75" customHeight="1">
      <c r="A483" s="177"/>
      <c r="B483" s="239"/>
      <c r="C483" s="243" t="s">
        <v>1102</v>
      </c>
      <c r="D483" s="242">
        <f>COUNTIF($D$11:$FM$11,"Quảng Ngãi")</f>
        <v>0</v>
      </c>
      <c r="E483" s="260"/>
      <c r="F483" s="239"/>
      <c r="G483" s="239"/>
      <c r="H483" s="239"/>
      <c r="I483" s="239"/>
      <c r="J483" s="239"/>
      <c r="K483" s="239"/>
      <c r="L483" s="240"/>
      <c r="M483" s="239"/>
      <c r="N483" s="239"/>
      <c r="O483" s="239"/>
      <c r="P483" s="239"/>
      <c r="Q483" s="239"/>
      <c r="R483" s="239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167"/>
    </row>
    <row r="484" spans="1:29" ht="15.75" customHeight="1">
      <c r="A484" s="177"/>
      <c r="B484" s="239"/>
      <c r="C484" s="243" t="s">
        <v>1103</v>
      </c>
      <c r="D484" s="242">
        <f>COUNTIF($D$11:$FM$11,"Bình Định")</f>
        <v>0</v>
      </c>
      <c r="E484" s="260"/>
      <c r="F484" s="239"/>
      <c r="G484" s="239"/>
      <c r="H484" s="239"/>
      <c r="I484" s="239"/>
      <c r="J484" s="239"/>
      <c r="K484" s="239"/>
      <c r="L484" s="240"/>
      <c r="M484" s="239"/>
      <c r="N484" s="239"/>
      <c r="O484" s="239"/>
      <c r="P484" s="239"/>
      <c r="Q484" s="239"/>
      <c r="R484" s="239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167"/>
    </row>
    <row r="485" spans="1:29" ht="15.75" customHeight="1">
      <c r="A485" s="177"/>
      <c r="B485" s="239"/>
      <c r="C485" s="243" t="s">
        <v>1104</v>
      </c>
      <c r="D485" s="242">
        <f>COUNTIF($D$11:$FM$11,"Phú Yên")</f>
        <v>0</v>
      </c>
      <c r="E485" s="260"/>
      <c r="F485" s="239"/>
      <c r="G485" s="239"/>
      <c r="H485" s="239"/>
      <c r="I485" s="239"/>
      <c r="J485" s="239"/>
      <c r="K485" s="239"/>
      <c r="L485" s="240"/>
      <c r="M485" s="239"/>
      <c r="N485" s="239"/>
      <c r="O485" s="239"/>
      <c r="P485" s="239"/>
      <c r="Q485" s="239"/>
      <c r="R485" s="239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167"/>
    </row>
    <row r="486" spans="1:29" ht="15.75" customHeight="1">
      <c r="A486" s="177"/>
      <c r="B486" s="239"/>
      <c r="C486" s="243" t="s">
        <v>1105</v>
      </c>
      <c r="D486" s="242">
        <f>COUNTIF($D$11:$FM$11,"Khánh Hoà")</f>
        <v>0</v>
      </c>
      <c r="E486" s="260"/>
      <c r="F486" s="239"/>
      <c r="G486" s="239"/>
      <c r="H486" s="239"/>
      <c r="I486" s="239"/>
      <c r="J486" s="239"/>
      <c r="K486" s="239"/>
      <c r="L486" s="240"/>
      <c r="M486" s="239"/>
      <c r="N486" s="239"/>
      <c r="O486" s="239"/>
      <c r="P486" s="239"/>
      <c r="Q486" s="239"/>
      <c r="R486" s="239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167"/>
    </row>
    <row r="487" spans="1:29" ht="15.75" customHeight="1">
      <c r="A487" s="177"/>
      <c r="B487" s="239"/>
      <c r="C487" s="243" t="s">
        <v>1106</v>
      </c>
      <c r="D487" s="242">
        <f>COUNTIF($D$11:$FM$11,"Ninh Thuận")</f>
        <v>0</v>
      </c>
      <c r="E487" s="260"/>
      <c r="F487" s="239"/>
      <c r="G487" s="239"/>
      <c r="H487" s="239"/>
      <c r="I487" s="239"/>
      <c r="J487" s="239"/>
      <c r="K487" s="239"/>
      <c r="L487" s="240"/>
      <c r="M487" s="239"/>
      <c r="N487" s="239"/>
      <c r="O487" s="239"/>
      <c r="P487" s="239"/>
      <c r="Q487" s="239"/>
      <c r="R487" s="239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167"/>
    </row>
    <row r="488" spans="1:29" ht="15.75" customHeight="1">
      <c r="A488" s="177"/>
      <c r="B488" s="239"/>
      <c r="C488" s="243" t="s">
        <v>1107</v>
      </c>
      <c r="D488" s="242">
        <f>COUNTIF($D$11:$FM$11,"Bình Thuận")</f>
        <v>0</v>
      </c>
      <c r="E488" s="260"/>
      <c r="F488" s="239"/>
      <c r="G488" s="239"/>
      <c r="H488" s="239"/>
      <c r="I488" s="239"/>
      <c r="J488" s="239"/>
      <c r="K488" s="239"/>
      <c r="L488" s="240"/>
      <c r="M488" s="239"/>
      <c r="N488" s="239"/>
      <c r="O488" s="239"/>
      <c r="P488" s="239"/>
      <c r="Q488" s="239"/>
      <c r="R488" s="239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167"/>
    </row>
    <row r="489" spans="1:29" ht="15.75" customHeight="1">
      <c r="A489" s="177"/>
      <c r="B489" s="239"/>
      <c r="C489" s="243" t="s">
        <v>1108</v>
      </c>
      <c r="D489" s="242">
        <f>COUNTIF($D$11:$FM$11,"Kon Tum")</f>
        <v>0</v>
      </c>
      <c r="E489" s="260"/>
      <c r="F489" s="239"/>
      <c r="G489" s="239"/>
      <c r="H489" s="239"/>
      <c r="I489" s="239"/>
      <c r="J489" s="239"/>
      <c r="K489" s="239"/>
      <c r="L489" s="240"/>
      <c r="M489" s="239"/>
      <c r="N489" s="239"/>
      <c r="O489" s="239"/>
      <c r="P489" s="239"/>
      <c r="Q489" s="239"/>
      <c r="R489" s="239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167"/>
    </row>
    <row r="490" spans="1:29" ht="15.75" customHeight="1">
      <c r="A490" s="177"/>
      <c r="B490" s="239"/>
      <c r="C490" s="243" t="s">
        <v>1109</v>
      </c>
      <c r="D490" s="242">
        <f>COUNTIF($D$11:$FM$11,"Gia Lai")</f>
        <v>0</v>
      </c>
      <c r="E490" s="260"/>
      <c r="F490" s="239"/>
      <c r="G490" s="239"/>
      <c r="H490" s="239"/>
      <c r="I490" s="239"/>
      <c r="J490" s="239"/>
      <c r="K490" s="239"/>
      <c r="L490" s="240"/>
      <c r="M490" s="239"/>
      <c r="N490" s="239"/>
      <c r="O490" s="239"/>
      <c r="P490" s="239"/>
      <c r="Q490" s="239"/>
      <c r="R490" s="239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167"/>
    </row>
    <row r="491" spans="1:29" ht="15.75" customHeight="1">
      <c r="A491" s="177"/>
      <c r="B491" s="239"/>
      <c r="C491" s="243" t="s">
        <v>1110</v>
      </c>
      <c r="D491" s="242">
        <f>COUNTIF($D$11:$FM$11,"Đắk Lắk")</f>
        <v>0</v>
      </c>
      <c r="E491" s="260"/>
      <c r="F491" s="239"/>
      <c r="G491" s="239"/>
      <c r="H491" s="239"/>
      <c r="I491" s="239"/>
      <c r="J491" s="239"/>
      <c r="K491" s="239"/>
      <c r="L491" s="240"/>
      <c r="M491" s="239"/>
      <c r="N491" s="239"/>
      <c r="O491" s="239"/>
      <c r="P491" s="239"/>
      <c r="Q491" s="239"/>
      <c r="R491" s="239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167"/>
    </row>
    <row r="492" spans="1:29" ht="15.75" customHeight="1">
      <c r="A492" s="177"/>
      <c r="B492" s="239"/>
      <c r="C492" s="243" t="s">
        <v>1111</v>
      </c>
      <c r="D492" s="242">
        <f>COUNTIF($D$11:$FM$11,"Đắk Nông")</f>
        <v>0</v>
      </c>
      <c r="E492" s="260"/>
      <c r="F492" s="239"/>
      <c r="G492" s="239"/>
      <c r="H492" s="239"/>
      <c r="I492" s="239"/>
      <c r="J492" s="239"/>
      <c r="K492" s="239"/>
      <c r="L492" s="240"/>
      <c r="M492" s="239"/>
      <c r="N492" s="239"/>
      <c r="O492" s="239"/>
      <c r="P492" s="239"/>
      <c r="Q492" s="239"/>
      <c r="R492" s="239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167"/>
    </row>
    <row r="493" spans="1:29" ht="15.75" customHeight="1">
      <c r="A493" s="177"/>
      <c r="B493" s="239"/>
      <c r="C493" s="243" t="s">
        <v>1112</v>
      </c>
      <c r="D493" s="242">
        <f>COUNTIF($D$11:$FM$11,"Lâm Đồng")</f>
        <v>0</v>
      </c>
      <c r="E493" s="260"/>
      <c r="F493" s="239"/>
      <c r="G493" s="239"/>
      <c r="H493" s="239"/>
      <c r="I493" s="239"/>
      <c r="J493" s="239"/>
      <c r="K493" s="239"/>
      <c r="L493" s="240"/>
      <c r="M493" s="239"/>
      <c r="N493" s="239"/>
      <c r="O493" s="239"/>
      <c r="P493" s="239"/>
      <c r="Q493" s="239"/>
      <c r="R493" s="239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167"/>
    </row>
    <row r="494" spans="1:29" ht="15.75" customHeight="1">
      <c r="A494" s="177"/>
      <c r="B494" s="239"/>
      <c r="C494" s="243" t="s">
        <v>1113</v>
      </c>
      <c r="D494" s="242">
        <f>COUNTIF($D$11:$FM$11,"Tây Ninh")</f>
        <v>0</v>
      </c>
      <c r="E494" s="260"/>
      <c r="F494" s="239"/>
      <c r="G494" s="239"/>
      <c r="H494" s="239"/>
      <c r="I494" s="239"/>
      <c r="J494" s="239"/>
      <c r="K494" s="239"/>
      <c r="L494" s="240"/>
      <c r="M494" s="239"/>
      <c r="N494" s="239"/>
      <c r="O494" s="239"/>
      <c r="P494" s="239"/>
      <c r="Q494" s="239"/>
      <c r="R494" s="239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167"/>
    </row>
    <row r="495" spans="1:29" ht="15.75" customHeight="1">
      <c r="A495" s="177"/>
      <c r="B495" s="239"/>
      <c r="C495" s="243" t="s">
        <v>1114</v>
      </c>
      <c r="D495" s="242">
        <f>COUNTIF($D$11:$FM$11,"Bình Phước")</f>
        <v>0</v>
      </c>
      <c r="E495" s="260"/>
      <c r="F495" s="239"/>
      <c r="G495" s="239"/>
      <c r="H495" s="239"/>
      <c r="I495" s="239"/>
      <c r="J495" s="239"/>
      <c r="K495" s="239"/>
      <c r="L495" s="240"/>
      <c r="M495" s="239"/>
      <c r="N495" s="239"/>
      <c r="O495" s="239"/>
      <c r="P495" s="239"/>
      <c r="Q495" s="239"/>
      <c r="R495" s="239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167"/>
    </row>
    <row r="496" spans="1:29" ht="15.75" customHeight="1">
      <c r="A496" s="177"/>
      <c r="B496" s="239"/>
      <c r="C496" s="243" t="s">
        <v>1115</v>
      </c>
      <c r="D496" s="242">
        <f>COUNTIF($D$11:$FM$11,"Bình Dương")</f>
        <v>0</v>
      </c>
      <c r="E496" s="260"/>
      <c r="F496" s="239"/>
      <c r="G496" s="239"/>
      <c r="H496" s="239"/>
      <c r="I496" s="239"/>
      <c r="J496" s="239"/>
      <c r="K496" s="239"/>
      <c r="L496" s="240"/>
      <c r="M496" s="239"/>
      <c r="N496" s="239"/>
      <c r="O496" s="239"/>
      <c r="P496" s="239"/>
      <c r="Q496" s="239"/>
      <c r="R496" s="239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167"/>
    </row>
    <row r="497" spans="1:29" ht="15.75" customHeight="1">
      <c r="A497" s="177"/>
      <c r="B497" s="239"/>
      <c r="C497" s="243" t="s">
        <v>1116</v>
      </c>
      <c r="D497" s="242">
        <f>COUNTIF($D$11:$FM$11,"Bà Rịa - Vũng Tàu")</f>
        <v>0</v>
      </c>
      <c r="E497" s="260"/>
      <c r="F497" s="239"/>
      <c r="G497" s="239"/>
      <c r="H497" s="239"/>
      <c r="I497" s="239"/>
      <c r="J497" s="239"/>
      <c r="K497" s="239"/>
      <c r="L497" s="240"/>
      <c r="M497" s="239"/>
      <c r="N497" s="239"/>
      <c r="O497" s="239"/>
      <c r="P497" s="239"/>
      <c r="Q497" s="239"/>
      <c r="R497" s="239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167"/>
    </row>
    <row r="498" spans="1:29" ht="15.75" customHeight="1">
      <c r="A498" s="177"/>
      <c r="B498" s="239"/>
      <c r="C498" s="243" t="s">
        <v>1117</v>
      </c>
      <c r="D498" s="242">
        <f>COUNTIF($D$11:$FM$11,"Bến Tre")</f>
        <v>0</v>
      </c>
      <c r="E498" s="260"/>
      <c r="F498" s="239"/>
      <c r="G498" s="239"/>
      <c r="H498" s="239"/>
      <c r="I498" s="239"/>
      <c r="J498" s="239"/>
      <c r="K498" s="239"/>
      <c r="L498" s="240"/>
      <c r="M498" s="239"/>
      <c r="N498" s="239"/>
      <c r="O498" s="239"/>
      <c r="P498" s="239"/>
      <c r="Q498" s="239"/>
      <c r="R498" s="239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167"/>
    </row>
    <row r="499" spans="1:29" ht="15.75" customHeight="1">
      <c r="A499" s="177"/>
      <c r="B499" s="239"/>
      <c r="C499" s="243" t="s">
        <v>1118</v>
      </c>
      <c r="D499" s="242">
        <f>COUNTIF($D$11:$FM$11,"An Giang")</f>
        <v>0</v>
      </c>
      <c r="E499" s="260"/>
      <c r="F499" s="239"/>
      <c r="G499" s="239"/>
      <c r="H499" s="239"/>
      <c r="I499" s="239"/>
      <c r="J499" s="239"/>
      <c r="K499" s="239"/>
      <c r="L499" s="240"/>
      <c r="M499" s="239"/>
      <c r="N499" s="239"/>
      <c r="O499" s="239"/>
      <c r="P499" s="239"/>
      <c r="Q499" s="239"/>
      <c r="R499" s="239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167"/>
    </row>
    <row r="500" spans="1:29" ht="15.75" customHeight="1">
      <c r="A500" s="177"/>
      <c r="B500" s="239"/>
      <c r="C500" s="243" t="s">
        <v>1119</v>
      </c>
      <c r="D500" s="242">
        <f>COUNTIF($D$11:$FM$11,"Vĩnh Long")</f>
        <v>0</v>
      </c>
      <c r="E500" s="260"/>
      <c r="F500" s="239"/>
      <c r="G500" s="239"/>
      <c r="H500" s="239"/>
      <c r="I500" s="239"/>
      <c r="J500" s="239"/>
      <c r="K500" s="239"/>
      <c r="L500" s="240"/>
      <c r="M500" s="239"/>
      <c r="N500" s="239"/>
      <c r="O500" s="239"/>
      <c r="P500" s="239"/>
      <c r="Q500" s="239"/>
      <c r="R500" s="239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167"/>
    </row>
    <row r="501" spans="1:29" ht="15.75" customHeight="1">
      <c r="A501" s="177"/>
      <c r="B501" s="239"/>
      <c r="C501" s="243" t="s">
        <v>1120</v>
      </c>
      <c r="D501" s="242">
        <f>COUNTIF($D$11:$FM$11,"Cần Thơ")</f>
        <v>0</v>
      </c>
      <c r="E501" s="260"/>
      <c r="F501" s="239"/>
      <c r="G501" s="239"/>
      <c r="H501" s="239"/>
      <c r="I501" s="239"/>
      <c r="J501" s="239"/>
      <c r="K501" s="239"/>
      <c r="L501" s="240"/>
      <c r="M501" s="239"/>
      <c r="N501" s="239"/>
      <c r="O501" s="239"/>
      <c r="P501" s="239"/>
      <c r="Q501" s="239"/>
      <c r="R501" s="239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167"/>
    </row>
    <row r="502" spans="1:29" ht="15.75" customHeight="1">
      <c r="A502" s="177"/>
      <c r="B502" s="239"/>
      <c r="C502" s="243" t="s">
        <v>1121</v>
      </c>
      <c r="D502" s="242">
        <f>COUNTIF($D$11:$FM$11,"Hậu Giang")</f>
        <v>0</v>
      </c>
      <c r="E502" s="260"/>
      <c r="F502" s="239"/>
      <c r="G502" s="239"/>
      <c r="H502" s="239"/>
      <c r="I502" s="239"/>
      <c r="J502" s="239"/>
      <c r="K502" s="239"/>
      <c r="L502" s="240"/>
      <c r="M502" s="239"/>
      <c r="N502" s="239"/>
      <c r="O502" s="239"/>
      <c r="P502" s="239"/>
      <c r="Q502" s="239"/>
      <c r="R502" s="239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167"/>
    </row>
    <row r="503" spans="1:29" ht="15.75" customHeight="1">
      <c r="A503" s="177"/>
      <c r="B503" s="239"/>
      <c r="C503" s="243" t="s">
        <v>1122</v>
      </c>
      <c r="D503" s="242">
        <f>COUNTIF($D$11:$FM$11,"Sóc Trăng")</f>
        <v>0</v>
      </c>
      <c r="E503" s="260"/>
      <c r="F503" s="239"/>
      <c r="G503" s="239"/>
      <c r="H503" s="239"/>
      <c r="I503" s="239"/>
      <c r="J503" s="239"/>
      <c r="K503" s="239"/>
      <c r="L503" s="240"/>
      <c r="M503" s="239"/>
      <c r="N503" s="239"/>
      <c r="O503" s="239"/>
      <c r="P503" s="239"/>
      <c r="Q503" s="239"/>
      <c r="R503" s="239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167"/>
    </row>
    <row r="504" spans="1:29" ht="15.75" customHeight="1">
      <c r="A504" s="177"/>
      <c r="B504" s="239"/>
      <c r="C504" s="243" t="s">
        <v>1123</v>
      </c>
      <c r="D504" s="242">
        <f>COUNTIF($D$11:$FM$11,"Bạc Liêu")</f>
        <v>0</v>
      </c>
      <c r="E504" s="260"/>
      <c r="F504" s="239"/>
      <c r="G504" s="239"/>
      <c r="H504" s="239"/>
      <c r="I504" s="239"/>
      <c r="J504" s="239"/>
      <c r="K504" s="239"/>
      <c r="L504" s="240"/>
      <c r="M504" s="239"/>
      <c r="N504" s="239"/>
      <c r="O504" s="239"/>
      <c r="P504" s="239"/>
      <c r="Q504" s="239"/>
      <c r="R504" s="239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167"/>
    </row>
    <row r="505" spans="1:29" ht="15.75" customHeight="1">
      <c r="A505" s="177"/>
      <c r="B505" s="239"/>
      <c r="C505" s="243" t="s">
        <v>1124</v>
      </c>
      <c r="D505" s="242">
        <f>COUNTIF($D$11:$FM$11,"Cà Mau")</f>
        <v>0</v>
      </c>
      <c r="E505" s="260"/>
      <c r="F505" s="239"/>
      <c r="G505" s="239"/>
      <c r="H505" s="239"/>
      <c r="I505" s="239"/>
      <c r="J505" s="239"/>
      <c r="K505" s="239"/>
      <c r="L505" s="240"/>
      <c r="M505" s="239"/>
      <c r="N505" s="239"/>
      <c r="O505" s="239"/>
      <c r="P505" s="239"/>
      <c r="Q505" s="239"/>
      <c r="R505" s="239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167"/>
    </row>
    <row r="506" spans="1:29" ht="15.75" customHeight="1">
      <c r="A506" s="177"/>
      <c r="B506" s="239"/>
      <c r="C506" s="243" t="s">
        <v>1125</v>
      </c>
      <c r="D506" s="242">
        <f>COUNTIF($D$11:$FM$11,"Kiên Giang")</f>
        <v>0</v>
      </c>
      <c r="E506" s="260"/>
      <c r="F506" s="239"/>
      <c r="G506" s="239"/>
      <c r="H506" s="239"/>
      <c r="I506" s="239"/>
      <c r="J506" s="239"/>
      <c r="K506" s="239"/>
      <c r="L506" s="240"/>
      <c r="M506" s="239"/>
      <c r="N506" s="239"/>
      <c r="O506" s="239"/>
      <c r="P506" s="239"/>
      <c r="Q506" s="239"/>
      <c r="R506" s="239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167"/>
    </row>
    <row r="507" spans="1:29" ht="15.75" customHeight="1">
      <c r="A507" s="177"/>
      <c r="B507" s="239"/>
      <c r="C507" s="243" t="s">
        <v>1126</v>
      </c>
      <c r="D507" s="242">
        <f>COUNTIF($D$11:$FM$11,"Đồng Tháp")</f>
        <v>0</v>
      </c>
      <c r="E507" s="260"/>
      <c r="F507" s="239"/>
      <c r="G507" s="239"/>
      <c r="H507" s="239"/>
      <c r="I507" s="239"/>
      <c r="J507" s="239"/>
      <c r="K507" s="239"/>
      <c r="L507" s="240"/>
      <c r="M507" s="239"/>
      <c r="N507" s="239"/>
      <c r="O507" s="239"/>
      <c r="P507" s="239"/>
      <c r="Q507" s="239"/>
      <c r="R507" s="239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167"/>
    </row>
    <row r="508" spans="1:29" ht="15.75" customHeight="1">
      <c r="A508" s="177"/>
      <c r="B508" s="239"/>
      <c r="C508" s="243" t="s">
        <v>1127</v>
      </c>
      <c r="D508" s="242">
        <f>COUNTIF($D$11:$FM$11,"Trà Vinh")</f>
        <v>0</v>
      </c>
      <c r="E508" s="260"/>
      <c r="F508" s="239"/>
      <c r="G508" s="239"/>
      <c r="H508" s="239"/>
      <c r="I508" s="239"/>
      <c r="J508" s="239"/>
      <c r="K508" s="239"/>
      <c r="L508" s="240"/>
      <c r="M508" s="239"/>
      <c r="N508" s="239"/>
      <c r="O508" s="239"/>
      <c r="P508" s="239"/>
      <c r="Q508" s="239"/>
      <c r="R508" s="239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167"/>
    </row>
    <row r="509" spans="1:29" ht="15.75" customHeight="1">
      <c r="A509" s="177"/>
      <c r="B509" s="239"/>
      <c r="C509" s="243" t="s">
        <v>1128</v>
      </c>
      <c r="D509" s="242">
        <f>COUNTIF($D$11:$FM$11,"Tiền Giang")</f>
        <v>0</v>
      </c>
      <c r="E509" s="260"/>
      <c r="F509" s="239"/>
      <c r="G509" s="239"/>
      <c r="H509" s="239"/>
      <c r="I509" s="239"/>
      <c r="J509" s="239"/>
      <c r="K509" s="239"/>
      <c r="L509" s="240"/>
      <c r="M509" s="239"/>
      <c r="N509" s="239"/>
      <c r="O509" s="239"/>
      <c r="P509" s="239"/>
      <c r="Q509" s="239"/>
      <c r="R509" s="239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167"/>
    </row>
    <row r="510" spans="1:29" ht="15.75" customHeight="1">
      <c r="A510" s="177"/>
      <c r="B510" s="239"/>
      <c r="C510" s="243" t="s">
        <v>1129</v>
      </c>
      <c r="D510" s="242">
        <f>COUNTIF($D$11:$FM$11,"Long An")</f>
        <v>0</v>
      </c>
      <c r="E510" s="260"/>
      <c r="F510" s="239"/>
      <c r="G510" s="239"/>
      <c r="H510" s="239"/>
      <c r="I510" s="239"/>
      <c r="J510" s="239"/>
      <c r="K510" s="239"/>
      <c r="L510" s="240"/>
      <c r="M510" s="239"/>
      <c r="N510" s="239"/>
      <c r="O510" s="239"/>
      <c r="P510" s="239"/>
      <c r="Q510" s="239"/>
      <c r="R510" s="239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167"/>
    </row>
    <row r="511" spans="1:29" ht="15.75" customHeight="1">
      <c r="A511" s="177"/>
      <c r="B511" s="239"/>
      <c r="C511" s="243" t="s">
        <v>1130</v>
      </c>
      <c r="D511" s="242">
        <f>COUNTIF($D$11:$FM$11,"Đồng Nai")</f>
        <v>0</v>
      </c>
      <c r="E511" s="260"/>
      <c r="F511" s="239"/>
      <c r="G511" s="239"/>
      <c r="H511" s="239"/>
      <c r="I511" s="239"/>
      <c r="J511" s="239"/>
      <c r="K511" s="239"/>
      <c r="L511" s="240"/>
      <c r="M511" s="239"/>
      <c r="N511" s="239"/>
      <c r="O511" s="239"/>
      <c r="P511" s="239"/>
      <c r="Q511" s="239"/>
      <c r="R511" s="239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167"/>
    </row>
    <row r="512" spans="1:29" ht="15.75" customHeight="1">
      <c r="A512" s="177"/>
      <c r="B512" s="239"/>
      <c r="C512" s="243" t="s">
        <v>1131</v>
      </c>
      <c r="D512" s="242">
        <f>COUNTIF($D$11:$FM$11,"TP Hồ Chí Minh")</f>
        <v>0</v>
      </c>
      <c r="E512" s="260"/>
      <c r="F512" s="239"/>
      <c r="G512" s="239"/>
      <c r="H512" s="239"/>
      <c r="I512" s="239"/>
      <c r="J512" s="239"/>
      <c r="K512" s="239"/>
      <c r="L512" s="240"/>
      <c r="M512" s="239"/>
      <c r="N512" s="239"/>
      <c r="O512" s="239"/>
      <c r="P512" s="239"/>
      <c r="Q512" s="239"/>
      <c r="R512" s="239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167"/>
    </row>
    <row r="513" spans="1:29" ht="15.75" customHeight="1">
      <c r="A513" s="177"/>
      <c r="B513" s="239"/>
      <c r="C513" s="243"/>
      <c r="D513" s="244"/>
      <c r="E513" s="260"/>
      <c r="F513" s="239"/>
      <c r="G513" s="239"/>
      <c r="H513" s="239"/>
      <c r="I513" s="239"/>
      <c r="J513" s="239"/>
      <c r="K513" s="239"/>
      <c r="L513" s="240"/>
      <c r="M513" s="239"/>
      <c r="N513" s="239"/>
      <c r="O513" s="239"/>
      <c r="P513" s="239"/>
      <c r="Q513" s="239"/>
      <c r="R513" s="239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167"/>
    </row>
    <row r="514" spans="1:29" ht="15.75" customHeight="1">
      <c r="A514" s="177"/>
      <c r="B514" s="239"/>
      <c r="C514" s="243"/>
      <c r="D514" s="245">
        <f>SUM(D450:D512)</f>
        <v>0</v>
      </c>
      <c r="E514" s="260"/>
      <c r="F514" s="239"/>
      <c r="G514" s="239"/>
      <c r="H514" s="239"/>
      <c r="I514" s="239"/>
      <c r="J514" s="239"/>
      <c r="K514" s="239"/>
      <c r="L514" s="240"/>
      <c r="M514" s="239"/>
      <c r="N514" s="239"/>
      <c r="O514" s="239"/>
      <c r="P514" s="239"/>
      <c r="Q514" s="239"/>
      <c r="R514" s="239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167"/>
    </row>
    <row r="515" spans="1:29" ht="15.75" customHeight="1">
      <c r="A515" s="177"/>
      <c r="B515" s="239"/>
      <c r="C515" s="260"/>
      <c r="D515" s="278"/>
      <c r="E515" s="260"/>
      <c r="F515" s="239"/>
      <c r="G515" s="239"/>
      <c r="H515" s="239"/>
      <c r="I515" s="239"/>
      <c r="J515" s="239"/>
      <c r="K515" s="239"/>
      <c r="L515" s="240"/>
      <c r="M515" s="239"/>
      <c r="N515" s="239"/>
      <c r="O515" s="239"/>
      <c r="P515" s="239"/>
      <c r="Q515" s="239"/>
      <c r="R515" s="239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167"/>
    </row>
    <row r="516" spans="1:29" ht="15.75" customHeight="1">
      <c r="A516" s="177"/>
      <c r="B516" s="239"/>
      <c r="C516" s="260"/>
      <c r="D516" s="278"/>
      <c r="E516" s="260"/>
      <c r="F516" s="239"/>
      <c r="G516" s="239"/>
      <c r="H516" s="239"/>
      <c r="I516" s="239"/>
      <c r="J516" s="239"/>
      <c r="K516" s="239"/>
      <c r="L516" s="240"/>
      <c r="M516" s="239"/>
      <c r="N516" s="239"/>
      <c r="O516" s="239"/>
      <c r="P516" s="239"/>
      <c r="Q516" s="239"/>
      <c r="R516" s="239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167"/>
    </row>
    <row r="517" spans="1:29" ht="15.75" customHeight="1">
      <c r="A517" s="177"/>
      <c r="B517" s="239"/>
      <c r="C517" s="260"/>
      <c r="D517" s="278"/>
      <c r="E517" s="260"/>
      <c r="F517" s="239"/>
      <c r="G517" s="239"/>
      <c r="H517" s="239"/>
      <c r="I517" s="239"/>
      <c r="J517" s="239"/>
      <c r="K517" s="239"/>
      <c r="L517" s="240"/>
      <c r="M517" s="239"/>
      <c r="N517" s="239"/>
      <c r="O517" s="239"/>
      <c r="P517" s="239"/>
      <c r="Q517" s="239"/>
      <c r="R517" s="239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167"/>
    </row>
    <row r="518" spans="1:29" ht="15.75" customHeight="1">
      <c r="A518" s="177"/>
      <c r="B518" s="239"/>
      <c r="C518" s="260"/>
      <c r="D518" s="278"/>
      <c r="E518" s="260"/>
      <c r="F518" s="239"/>
      <c r="G518" s="239"/>
      <c r="H518" s="239"/>
      <c r="I518" s="239"/>
      <c r="J518" s="239"/>
      <c r="K518" s="239"/>
      <c r="L518" s="240"/>
      <c r="M518" s="239"/>
      <c r="N518" s="239"/>
      <c r="O518" s="239"/>
      <c r="P518" s="239"/>
      <c r="Q518" s="239"/>
      <c r="R518" s="239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167"/>
    </row>
    <row r="519" spans="1:29" ht="15.75" customHeight="1">
      <c r="A519" s="177"/>
      <c r="B519" s="239"/>
      <c r="C519" s="260"/>
      <c r="D519" s="278"/>
      <c r="E519" s="260"/>
      <c r="F519" s="239"/>
      <c r="G519" s="239"/>
      <c r="H519" s="239"/>
      <c r="I519" s="239"/>
      <c r="J519" s="239"/>
      <c r="K519" s="239"/>
      <c r="L519" s="240"/>
      <c r="M519" s="239"/>
      <c r="N519" s="239"/>
      <c r="O519" s="239"/>
      <c r="P519" s="239"/>
      <c r="Q519" s="239"/>
      <c r="R519" s="239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167"/>
    </row>
    <row r="520" spans="1:29" ht="15.75" customHeight="1">
      <c r="A520" s="177"/>
      <c r="B520" s="239"/>
      <c r="C520" s="260"/>
      <c r="D520" s="278"/>
      <c r="E520" s="260"/>
      <c r="F520" s="239"/>
      <c r="G520" s="239"/>
      <c r="H520" s="239"/>
      <c r="I520" s="239"/>
      <c r="J520" s="239"/>
      <c r="K520" s="239"/>
      <c r="L520" s="240"/>
      <c r="M520" s="239"/>
      <c r="N520" s="239"/>
      <c r="O520" s="239"/>
      <c r="P520" s="239"/>
      <c r="Q520" s="239"/>
      <c r="R520" s="239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167"/>
    </row>
    <row r="521" spans="1:29" ht="15.75" customHeight="1">
      <c r="A521" s="177"/>
      <c r="B521" s="239"/>
      <c r="C521" s="260"/>
      <c r="D521" s="278"/>
      <c r="E521" s="260"/>
      <c r="F521" s="239"/>
      <c r="G521" s="239"/>
      <c r="H521" s="239"/>
      <c r="I521" s="239"/>
      <c r="J521" s="239"/>
      <c r="K521" s="239"/>
      <c r="L521" s="240"/>
      <c r="M521" s="239"/>
      <c r="N521" s="239"/>
      <c r="O521" s="239"/>
      <c r="P521" s="239"/>
      <c r="Q521" s="239"/>
      <c r="R521" s="239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167"/>
    </row>
    <row r="522" spans="1:29" ht="15.75" customHeight="1">
      <c r="A522" s="177"/>
      <c r="B522" s="239"/>
      <c r="C522" s="260"/>
      <c r="D522" s="278"/>
      <c r="E522" s="260"/>
      <c r="F522" s="239"/>
      <c r="G522" s="239"/>
      <c r="H522" s="239"/>
      <c r="I522" s="239"/>
      <c r="J522" s="239"/>
      <c r="K522" s="239"/>
      <c r="L522" s="240"/>
      <c r="M522" s="239"/>
      <c r="N522" s="239"/>
      <c r="O522" s="239"/>
      <c r="P522" s="239"/>
      <c r="Q522" s="239"/>
      <c r="R522" s="239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167"/>
    </row>
    <row r="523" spans="1:29" ht="15.75" customHeight="1">
      <c r="A523" s="177"/>
      <c r="B523" s="239"/>
      <c r="C523" s="260"/>
      <c r="D523" s="278"/>
      <c r="E523" s="260"/>
      <c r="F523" s="239"/>
      <c r="G523" s="239"/>
      <c r="H523" s="239"/>
      <c r="I523" s="239"/>
      <c r="J523" s="239"/>
      <c r="K523" s="239"/>
      <c r="L523" s="240"/>
      <c r="M523" s="239"/>
      <c r="N523" s="239"/>
      <c r="O523" s="239"/>
      <c r="P523" s="239"/>
      <c r="Q523" s="239"/>
      <c r="R523" s="239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167"/>
    </row>
    <row r="524" spans="1:29" ht="15.75" customHeight="1">
      <c r="A524" s="177"/>
      <c r="B524" s="239"/>
      <c r="C524" s="260"/>
      <c r="D524" s="278"/>
      <c r="E524" s="260"/>
      <c r="F524" s="239"/>
      <c r="G524" s="239"/>
      <c r="H524" s="239"/>
      <c r="I524" s="239"/>
      <c r="J524" s="239"/>
      <c r="K524" s="239"/>
      <c r="L524" s="240"/>
      <c r="M524" s="239"/>
      <c r="N524" s="239"/>
      <c r="O524" s="239"/>
      <c r="P524" s="239"/>
      <c r="Q524" s="239"/>
      <c r="R524" s="239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167"/>
    </row>
    <row r="525" spans="1:29" ht="15.75" customHeight="1">
      <c r="A525" s="177"/>
      <c r="B525" s="239"/>
      <c r="C525" s="260"/>
      <c r="D525" s="278"/>
      <c r="E525" s="260"/>
      <c r="F525" s="239"/>
      <c r="G525" s="239"/>
      <c r="H525" s="239"/>
      <c r="I525" s="239"/>
      <c r="J525" s="239"/>
      <c r="K525" s="239"/>
      <c r="L525" s="240"/>
      <c r="M525" s="239"/>
      <c r="N525" s="239"/>
      <c r="O525" s="239"/>
      <c r="P525" s="239"/>
      <c r="Q525" s="239"/>
      <c r="R525" s="239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167"/>
    </row>
    <row r="526" spans="1:29" ht="15.75" customHeight="1">
      <c r="A526" s="177"/>
      <c r="B526" s="239"/>
      <c r="C526" s="260"/>
      <c r="D526" s="278"/>
      <c r="E526" s="260"/>
      <c r="F526" s="239"/>
      <c r="G526" s="239"/>
      <c r="H526" s="239"/>
      <c r="I526" s="239"/>
      <c r="J526" s="239"/>
      <c r="K526" s="239"/>
      <c r="L526" s="240"/>
      <c r="M526" s="239"/>
      <c r="N526" s="239"/>
      <c r="O526" s="239"/>
      <c r="P526" s="239"/>
      <c r="Q526" s="239"/>
      <c r="R526" s="239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167"/>
    </row>
    <row r="527" spans="1:29" ht="15.75" customHeight="1">
      <c r="A527" s="177"/>
      <c r="B527" s="239"/>
      <c r="C527" s="260"/>
      <c r="D527" s="278"/>
      <c r="E527" s="260"/>
      <c r="F527" s="239"/>
      <c r="G527" s="239"/>
      <c r="H527" s="239"/>
      <c r="I527" s="239"/>
      <c r="J527" s="239"/>
      <c r="K527" s="239"/>
      <c r="L527" s="240"/>
      <c r="M527" s="239"/>
      <c r="N527" s="239"/>
      <c r="O527" s="239"/>
      <c r="P527" s="239"/>
      <c r="Q527" s="239"/>
      <c r="R527" s="239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167"/>
    </row>
    <row r="528" spans="1:29" ht="15.75" customHeight="1">
      <c r="A528" s="177"/>
      <c r="B528" s="239"/>
      <c r="C528" s="260"/>
      <c r="D528" s="278"/>
      <c r="E528" s="260"/>
      <c r="F528" s="239"/>
      <c r="G528" s="239"/>
      <c r="H528" s="239"/>
      <c r="I528" s="239"/>
      <c r="J528" s="239"/>
      <c r="K528" s="239"/>
      <c r="L528" s="240"/>
      <c r="M528" s="239"/>
      <c r="N528" s="239"/>
      <c r="O528" s="239"/>
      <c r="P528" s="239"/>
      <c r="Q528" s="239"/>
      <c r="R528" s="239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167"/>
    </row>
    <row r="529" spans="1:29" ht="15.75" customHeight="1">
      <c r="A529" s="177"/>
      <c r="B529" s="239"/>
      <c r="C529" s="260"/>
      <c r="D529" s="278"/>
      <c r="E529" s="260"/>
      <c r="F529" s="239"/>
      <c r="G529" s="239"/>
      <c r="H529" s="239"/>
      <c r="I529" s="239"/>
      <c r="J529" s="239"/>
      <c r="K529" s="239"/>
      <c r="L529" s="240"/>
      <c r="M529" s="239"/>
      <c r="N529" s="239"/>
      <c r="O529" s="239"/>
      <c r="P529" s="239"/>
      <c r="Q529" s="239"/>
      <c r="R529" s="239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167"/>
    </row>
    <row r="530" spans="1:29" ht="15.75" customHeight="1">
      <c r="A530" s="177"/>
      <c r="B530" s="239"/>
      <c r="C530" s="260"/>
      <c r="D530" s="278"/>
      <c r="E530" s="260"/>
      <c r="F530" s="239"/>
      <c r="G530" s="239"/>
      <c r="H530" s="239"/>
      <c r="I530" s="239"/>
      <c r="J530" s="239"/>
      <c r="K530" s="239"/>
      <c r="L530" s="240"/>
      <c r="M530" s="239"/>
      <c r="N530" s="239"/>
      <c r="O530" s="239"/>
      <c r="P530" s="239"/>
      <c r="Q530" s="239"/>
      <c r="R530" s="239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167"/>
    </row>
    <row r="531" spans="1:29" ht="15.75" customHeight="1">
      <c r="A531" s="177"/>
      <c r="B531" s="239"/>
      <c r="C531" s="260"/>
      <c r="D531" s="278"/>
      <c r="E531" s="260"/>
      <c r="F531" s="239"/>
      <c r="G531" s="239"/>
      <c r="H531" s="239"/>
      <c r="I531" s="239"/>
      <c r="J531" s="239"/>
      <c r="K531" s="239"/>
      <c r="L531" s="240"/>
      <c r="M531" s="239"/>
      <c r="N531" s="239"/>
      <c r="O531" s="239"/>
      <c r="P531" s="239"/>
      <c r="Q531" s="239"/>
      <c r="R531" s="239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167"/>
    </row>
    <row r="532" spans="1:29" ht="15.75" customHeight="1">
      <c r="A532" s="177"/>
      <c r="B532" s="239"/>
      <c r="C532" s="260"/>
      <c r="D532" s="278"/>
      <c r="E532" s="260"/>
      <c r="F532" s="239"/>
      <c r="G532" s="239"/>
      <c r="H532" s="239"/>
      <c r="I532" s="239"/>
      <c r="J532" s="239"/>
      <c r="K532" s="239"/>
      <c r="L532" s="240"/>
      <c r="M532" s="239"/>
      <c r="N532" s="239"/>
      <c r="O532" s="239"/>
      <c r="P532" s="239"/>
      <c r="Q532" s="239"/>
      <c r="R532" s="239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167"/>
    </row>
    <row r="533" spans="1:29" ht="15.75" customHeight="1">
      <c r="A533" s="177"/>
      <c r="B533" s="239"/>
      <c r="C533" s="260"/>
      <c r="D533" s="278"/>
      <c r="E533" s="260"/>
      <c r="F533" s="239"/>
      <c r="G533" s="239"/>
      <c r="H533" s="239"/>
      <c r="I533" s="239"/>
      <c r="J533" s="239"/>
      <c r="K533" s="239"/>
      <c r="L533" s="240"/>
      <c r="M533" s="239"/>
      <c r="N533" s="239"/>
      <c r="O533" s="239"/>
      <c r="P533" s="239"/>
      <c r="Q533" s="239"/>
      <c r="R533" s="239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167"/>
    </row>
    <row r="534" spans="1:29" ht="15.75" customHeight="1">
      <c r="A534" s="177"/>
      <c r="B534" s="239"/>
      <c r="C534" s="260"/>
      <c r="D534" s="278"/>
      <c r="E534" s="260"/>
      <c r="F534" s="239"/>
      <c r="G534" s="239"/>
      <c r="H534" s="239"/>
      <c r="I534" s="239"/>
      <c r="J534" s="239"/>
      <c r="K534" s="239"/>
      <c r="L534" s="240"/>
      <c r="M534" s="239"/>
      <c r="N534" s="239"/>
      <c r="O534" s="239"/>
      <c r="P534" s="239"/>
      <c r="Q534" s="239"/>
      <c r="R534" s="239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167"/>
    </row>
    <row r="535" spans="1:29" ht="15.75" customHeight="1">
      <c r="A535" s="177"/>
      <c r="B535" s="239"/>
      <c r="C535" s="260"/>
      <c r="D535" s="278"/>
      <c r="E535" s="260"/>
      <c r="F535" s="239"/>
      <c r="G535" s="239"/>
      <c r="H535" s="239"/>
      <c r="I535" s="239"/>
      <c r="J535" s="239"/>
      <c r="K535" s="239"/>
      <c r="L535" s="240"/>
      <c r="M535" s="239"/>
      <c r="N535" s="239"/>
      <c r="O535" s="239"/>
      <c r="P535" s="239"/>
      <c r="Q535" s="239"/>
      <c r="R535" s="239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167"/>
    </row>
    <row r="536" spans="1:29" ht="15.75" customHeight="1">
      <c r="A536" s="177"/>
      <c r="B536" s="239"/>
      <c r="C536" s="260"/>
      <c r="D536" s="278"/>
      <c r="E536" s="260"/>
      <c r="F536" s="239"/>
      <c r="G536" s="239"/>
      <c r="H536" s="239"/>
      <c r="I536" s="239"/>
      <c r="J536" s="239"/>
      <c r="K536" s="239"/>
      <c r="L536" s="240"/>
      <c r="M536" s="239"/>
      <c r="N536" s="239"/>
      <c r="O536" s="239"/>
      <c r="P536" s="239"/>
      <c r="Q536" s="239"/>
      <c r="R536" s="239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167"/>
    </row>
    <row r="537" spans="1:29" ht="15.75" customHeight="1">
      <c r="A537" s="177"/>
      <c r="B537" s="239"/>
      <c r="C537" s="260"/>
      <c r="D537" s="278"/>
      <c r="E537" s="260"/>
      <c r="F537" s="239"/>
      <c r="G537" s="239"/>
      <c r="H537" s="239"/>
      <c r="I537" s="239"/>
      <c r="J537" s="239"/>
      <c r="K537" s="239"/>
      <c r="L537" s="240"/>
      <c r="M537" s="239"/>
      <c r="N537" s="239"/>
      <c r="O537" s="239"/>
      <c r="P537" s="239"/>
      <c r="Q537" s="239"/>
      <c r="R537" s="239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167"/>
    </row>
    <row r="538" spans="1:29" ht="15.75" customHeight="1">
      <c r="A538" s="177"/>
      <c r="B538" s="239"/>
      <c r="C538" s="260"/>
      <c r="D538" s="278"/>
      <c r="E538" s="260"/>
      <c r="F538" s="239"/>
      <c r="G538" s="239"/>
      <c r="H538" s="239"/>
      <c r="I538" s="239"/>
      <c r="J538" s="239"/>
      <c r="K538" s="239"/>
      <c r="L538" s="240"/>
      <c r="M538" s="239"/>
      <c r="N538" s="239"/>
      <c r="O538" s="239"/>
      <c r="P538" s="239"/>
      <c r="Q538" s="239"/>
      <c r="R538" s="239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167"/>
    </row>
    <row r="539" spans="1:29" ht="15.75" customHeight="1">
      <c r="A539" s="177"/>
      <c r="B539" s="239"/>
      <c r="C539" s="260"/>
      <c r="D539" s="278"/>
      <c r="E539" s="260"/>
      <c r="F539" s="239"/>
      <c r="G539" s="239"/>
      <c r="H539" s="239"/>
      <c r="I539" s="239"/>
      <c r="J539" s="239"/>
      <c r="K539" s="239"/>
      <c r="L539" s="240"/>
      <c r="M539" s="239"/>
      <c r="N539" s="239"/>
      <c r="O539" s="239"/>
      <c r="P539" s="239"/>
      <c r="Q539" s="239"/>
      <c r="R539" s="239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167"/>
    </row>
    <row r="540" spans="1:29" ht="15.75" customHeight="1">
      <c r="A540" s="177"/>
      <c r="B540" s="239"/>
      <c r="C540" s="260"/>
      <c r="D540" s="278"/>
      <c r="E540" s="260"/>
      <c r="F540" s="239"/>
      <c r="G540" s="239"/>
      <c r="H540" s="239"/>
      <c r="I540" s="239"/>
      <c r="J540" s="239"/>
      <c r="K540" s="239"/>
      <c r="L540" s="240"/>
      <c r="M540" s="239"/>
      <c r="N540" s="239"/>
      <c r="O540" s="239"/>
      <c r="P540" s="239"/>
      <c r="Q540" s="239"/>
      <c r="R540" s="239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167"/>
    </row>
    <row r="541" spans="1:29" ht="15.75" customHeight="1">
      <c r="A541" s="177"/>
      <c r="B541" s="239"/>
      <c r="C541" s="260"/>
      <c r="D541" s="278"/>
      <c r="E541" s="260"/>
      <c r="F541" s="239"/>
      <c r="G541" s="239"/>
      <c r="H541" s="239"/>
      <c r="I541" s="239"/>
      <c r="J541" s="239"/>
      <c r="K541" s="239"/>
      <c r="L541" s="240"/>
      <c r="M541" s="239"/>
      <c r="N541" s="239"/>
      <c r="O541" s="239"/>
      <c r="P541" s="239"/>
      <c r="Q541" s="239"/>
      <c r="R541" s="239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167"/>
    </row>
    <row r="542" spans="1:29" ht="15.75" customHeight="1">
      <c r="A542" s="177"/>
      <c r="B542" s="239"/>
      <c r="C542" s="260"/>
      <c r="D542" s="278"/>
      <c r="E542" s="260"/>
      <c r="F542" s="239"/>
      <c r="G542" s="239"/>
      <c r="H542" s="239"/>
      <c r="I542" s="239"/>
      <c r="J542" s="239"/>
      <c r="K542" s="239"/>
      <c r="L542" s="240"/>
      <c r="M542" s="239"/>
      <c r="N542" s="239"/>
      <c r="O542" s="239"/>
      <c r="P542" s="239"/>
      <c r="Q542" s="239"/>
      <c r="R542" s="239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167"/>
    </row>
    <row r="543" spans="1:29" ht="15.75" customHeight="1">
      <c r="A543" s="177"/>
      <c r="B543" s="239"/>
      <c r="C543" s="260"/>
      <c r="D543" s="278"/>
      <c r="E543" s="260"/>
      <c r="F543" s="239"/>
      <c r="G543" s="239"/>
      <c r="H543" s="239"/>
      <c r="I543" s="239"/>
      <c r="J543" s="239"/>
      <c r="K543" s="239"/>
      <c r="L543" s="240"/>
      <c r="M543" s="239"/>
      <c r="N543" s="239"/>
      <c r="O543" s="239"/>
      <c r="P543" s="239"/>
      <c r="Q543" s="239"/>
      <c r="R543" s="239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167"/>
    </row>
    <row r="544" spans="1:29" ht="15.75" customHeight="1">
      <c r="A544" s="177"/>
      <c r="B544" s="239"/>
      <c r="C544" s="260"/>
      <c r="D544" s="278"/>
      <c r="E544" s="260"/>
      <c r="F544" s="239"/>
      <c r="G544" s="239"/>
      <c r="H544" s="239"/>
      <c r="I544" s="239"/>
      <c r="J544" s="239"/>
      <c r="K544" s="239"/>
      <c r="L544" s="240"/>
      <c r="M544" s="239"/>
      <c r="N544" s="239"/>
      <c r="O544" s="239"/>
      <c r="P544" s="239"/>
      <c r="Q544" s="239"/>
      <c r="R544" s="239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167"/>
    </row>
    <row r="545" spans="1:29" ht="15.75" customHeight="1">
      <c r="A545" s="177"/>
      <c r="B545" s="239"/>
      <c r="C545" s="260"/>
      <c r="D545" s="278"/>
      <c r="E545" s="260"/>
      <c r="F545" s="239"/>
      <c r="G545" s="239"/>
      <c r="H545" s="239"/>
      <c r="I545" s="239"/>
      <c r="J545" s="239"/>
      <c r="K545" s="239"/>
      <c r="L545" s="240"/>
      <c r="M545" s="239"/>
      <c r="N545" s="239"/>
      <c r="O545" s="239"/>
      <c r="P545" s="239"/>
      <c r="Q545" s="239"/>
      <c r="R545" s="239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167"/>
    </row>
    <row r="546" spans="1:29" ht="15.75" customHeight="1">
      <c r="A546" s="177"/>
      <c r="B546" s="239"/>
      <c r="C546" s="260"/>
      <c r="D546" s="278"/>
      <c r="E546" s="260"/>
      <c r="F546" s="239"/>
      <c r="G546" s="239"/>
      <c r="H546" s="239"/>
      <c r="I546" s="239"/>
      <c r="J546" s="239"/>
      <c r="K546" s="239"/>
      <c r="L546" s="240"/>
      <c r="M546" s="239"/>
      <c r="N546" s="239"/>
      <c r="O546" s="239"/>
      <c r="P546" s="239"/>
      <c r="Q546" s="239"/>
      <c r="R546" s="239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167"/>
    </row>
    <row r="547" spans="1:29" ht="15.75" customHeight="1">
      <c r="A547" s="177"/>
      <c r="B547" s="239"/>
      <c r="C547" s="260"/>
      <c r="D547" s="278"/>
      <c r="E547" s="260"/>
      <c r="F547" s="239"/>
      <c r="G547" s="239"/>
      <c r="H547" s="239"/>
      <c r="I547" s="239"/>
      <c r="J547" s="239"/>
      <c r="K547" s="239"/>
      <c r="L547" s="240"/>
      <c r="M547" s="239"/>
      <c r="N547" s="239"/>
      <c r="O547" s="239"/>
      <c r="P547" s="239"/>
      <c r="Q547" s="239"/>
      <c r="R547" s="239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167"/>
    </row>
    <row r="548" spans="1:29" ht="15.75" customHeight="1">
      <c r="A548" s="177"/>
      <c r="B548" s="239"/>
      <c r="C548" s="260"/>
      <c r="D548" s="278"/>
      <c r="E548" s="260"/>
      <c r="F548" s="239"/>
      <c r="G548" s="239"/>
      <c r="H548" s="239"/>
      <c r="I548" s="239"/>
      <c r="J548" s="239"/>
      <c r="K548" s="239"/>
      <c r="L548" s="240"/>
      <c r="M548" s="239"/>
      <c r="N548" s="239"/>
      <c r="O548" s="239"/>
      <c r="P548" s="239"/>
      <c r="Q548" s="239"/>
      <c r="R548" s="239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167"/>
    </row>
    <row r="549" spans="1:29" ht="15.75" customHeight="1">
      <c r="A549" s="177"/>
      <c r="B549" s="239"/>
      <c r="C549" s="260"/>
      <c r="D549" s="278"/>
      <c r="E549" s="260"/>
      <c r="F549" s="239"/>
      <c r="G549" s="239"/>
      <c r="H549" s="239"/>
      <c r="I549" s="239"/>
      <c r="J549" s="239"/>
      <c r="K549" s="239"/>
      <c r="L549" s="240"/>
      <c r="M549" s="239"/>
      <c r="N549" s="239"/>
      <c r="O549" s="239"/>
      <c r="P549" s="239"/>
      <c r="Q549" s="239"/>
      <c r="R549" s="239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167"/>
    </row>
    <row r="550" spans="1:29" ht="15.75" customHeight="1">
      <c r="A550" s="177"/>
      <c r="B550" s="239"/>
      <c r="C550" s="260"/>
      <c r="D550" s="278"/>
      <c r="E550" s="260"/>
      <c r="F550" s="239"/>
      <c r="G550" s="239"/>
      <c r="H550" s="239"/>
      <c r="I550" s="239"/>
      <c r="J550" s="239"/>
      <c r="K550" s="239"/>
      <c r="L550" s="240"/>
      <c r="M550" s="239"/>
      <c r="N550" s="239"/>
      <c r="O550" s="239"/>
      <c r="P550" s="239"/>
      <c r="Q550" s="239"/>
      <c r="R550" s="239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167"/>
    </row>
    <row r="551" spans="1:29" ht="15.75" customHeight="1">
      <c r="A551" s="177"/>
      <c r="B551" s="239"/>
      <c r="C551" s="260"/>
      <c r="D551" s="278"/>
      <c r="E551" s="260"/>
      <c r="F551" s="239"/>
      <c r="G551" s="239"/>
      <c r="H551" s="239"/>
      <c r="I551" s="239"/>
      <c r="J551" s="239"/>
      <c r="K551" s="239"/>
      <c r="L551" s="240"/>
      <c r="M551" s="239"/>
      <c r="N551" s="239"/>
      <c r="O551" s="239"/>
      <c r="P551" s="239"/>
      <c r="Q551" s="239"/>
      <c r="R551" s="239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167"/>
    </row>
    <row r="552" spans="1:29" ht="15.75" customHeight="1">
      <c r="A552" s="177"/>
      <c r="B552" s="239"/>
      <c r="C552" s="260"/>
      <c r="D552" s="278"/>
      <c r="E552" s="260"/>
      <c r="F552" s="239"/>
      <c r="G552" s="239"/>
      <c r="H552" s="239"/>
      <c r="I552" s="239"/>
      <c r="J552" s="239"/>
      <c r="K552" s="239"/>
      <c r="L552" s="240"/>
      <c r="M552" s="239"/>
      <c r="N552" s="239"/>
      <c r="O552" s="239"/>
      <c r="P552" s="239"/>
      <c r="Q552" s="239"/>
      <c r="R552" s="239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167"/>
    </row>
    <row r="553" spans="1:29" ht="15.75" customHeight="1">
      <c r="A553" s="177"/>
      <c r="B553" s="239"/>
      <c r="C553" s="260"/>
      <c r="D553" s="278"/>
      <c r="E553" s="260"/>
      <c r="F553" s="239"/>
      <c r="G553" s="239"/>
      <c r="H553" s="239"/>
      <c r="I553" s="239"/>
      <c r="J553" s="239"/>
      <c r="K553" s="239"/>
      <c r="L553" s="240"/>
      <c r="M553" s="239"/>
      <c r="N553" s="239"/>
      <c r="O553" s="239"/>
      <c r="P553" s="239"/>
      <c r="Q553" s="239"/>
      <c r="R553" s="239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167"/>
    </row>
    <row r="554" spans="1:29" ht="15.75" customHeight="1">
      <c r="A554" s="177"/>
      <c r="B554" s="239"/>
      <c r="C554" s="260"/>
      <c r="D554" s="278"/>
      <c r="E554" s="260"/>
      <c r="F554" s="239"/>
      <c r="G554" s="239"/>
      <c r="H554" s="239"/>
      <c r="I554" s="239"/>
      <c r="J554" s="239"/>
      <c r="K554" s="239"/>
      <c r="L554" s="240"/>
      <c r="M554" s="239"/>
      <c r="N554" s="239"/>
      <c r="O554" s="239"/>
      <c r="P554" s="239"/>
      <c r="Q554" s="239"/>
      <c r="R554" s="239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167"/>
    </row>
    <row r="555" spans="1:29" ht="15.75" customHeight="1">
      <c r="A555" s="177"/>
      <c r="B555" s="239"/>
      <c r="C555" s="260"/>
      <c r="D555" s="278"/>
      <c r="E555" s="260"/>
      <c r="F555" s="239"/>
      <c r="G555" s="239"/>
      <c r="H555" s="239"/>
      <c r="I555" s="239"/>
      <c r="J555" s="239"/>
      <c r="K555" s="239"/>
      <c r="L555" s="240"/>
      <c r="M555" s="239"/>
      <c r="N555" s="239"/>
      <c r="O555" s="239"/>
      <c r="P555" s="239"/>
      <c r="Q555" s="239"/>
      <c r="R555" s="239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167"/>
    </row>
    <row r="556" spans="1:29" ht="15.75" customHeight="1">
      <c r="A556" s="177"/>
      <c r="B556" s="239"/>
      <c r="C556" s="260"/>
      <c r="D556" s="278"/>
      <c r="E556" s="260"/>
      <c r="F556" s="239"/>
      <c r="G556" s="239"/>
      <c r="H556" s="239"/>
      <c r="I556" s="239"/>
      <c r="J556" s="239"/>
      <c r="K556" s="239"/>
      <c r="L556" s="240"/>
      <c r="M556" s="239"/>
      <c r="N556" s="239"/>
      <c r="O556" s="239"/>
      <c r="P556" s="239"/>
      <c r="Q556" s="239"/>
      <c r="R556" s="239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167"/>
    </row>
    <row r="557" spans="1:29" ht="15.75" customHeight="1">
      <c r="A557" s="177"/>
      <c r="B557" s="239"/>
      <c r="C557" s="260"/>
      <c r="D557" s="278"/>
      <c r="E557" s="260"/>
      <c r="F557" s="239"/>
      <c r="G557" s="239"/>
      <c r="H557" s="239"/>
      <c r="I557" s="239"/>
      <c r="J557" s="239"/>
      <c r="K557" s="239"/>
      <c r="L557" s="240"/>
      <c r="M557" s="239"/>
      <c r="N557" s="239"/>
      <c r="O557" s="239"/>
      <c r="P557" s="239"/>
      <c r="Q557" s="239"/>
      <c r="R557" s="239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167"/>
    </row>
    <row r="558" spans="1:29" ht="15.75" customHeight="1">
      <c r="A558" s="177"/>
      <c r="B558" s="239"/>
      <c r="C558" s="260"/>
      <c r="D558" s="278"/>
      <c r="E558" s="260"/>
      <c r="F558" s="239"/>
      <c r="G558" s="239"/>
      <c r="H558" s="239"/>
      <c r="I558" s="239"/>
      <c r="J558" s="239"/>
      <c r="K558" s="239"/>
      <c r="L558" s="240"/>
      <c r="M558" s="239"/>
      <c r="N558" s="239"/>
      <c r="O558" s="239"/>
      <c r="P558" s="239"/>
      <c r="Q558" s="239"/>
      <c r="R558" s="239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167"/>
    </row>
    <row r="559" spans="1:29" ht="15.75" customHeight="1">
      <c r="A559" s="177"/>
      <c r="B559" s="239"/>
      <c r="C559" s="260"/>
      <c r="D559" s="278"/>
      <c r="E559" s="260"/>
      <c r="F559" s="239"/>
      <c r="G559" s="239"/>
      <c r="H559" s="239"/>
      <c r="I559" s="239"/>
      <c r="J559" s="239"/>
      <c r="K559" s="239"/>
      <c r="L559" s="240"/>
      <c r="M559" s="239"/>
      <c r="N559" s="239"/>
      <c r="O559" s="239"/>
      <c r="P559" s="239"/>
      <c r="Q559" s="239"/>
      <c r="R559" s="239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167"/>
    </row>
    <row r="560" spans="1:29" ht="15.75" customHeight="1">
      <c r="A560" s="177"/>
      <c r="B560" s="239"/>
      <c r="C560" s="260"/>
      <c r="D560" s="278"/>
      <c r="E560" s="260"/>
      <c r="F560" s="239"/>
      <c r="G560" s="239"/>
      <c r="H560" s="239"/>
      <c r="I560" s="239"/>
      <c r="J560" s="239"/>
      <c r="K560" s="239"/>
      <c r="L560" s="240"/>
      <c r="M560" s="239"/>
      <c r="N560" s="239"/>
      <c r="O560" s="239"/>
      <c r="P560" s="239"/>
      <c r="Q560" s="239"/>
      <c r="R560" s="239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167"/>
    </row>
    <row r="561" spans="1:29" ht="15.75" customHeight="1">
      <c r="A561" s="177"/>
      <c r="B561" s="239"/>
      <c r="C561" s="260"/>
      <c r="D561" s="278"/>
      <c r="E561" s="260"/>
      <c r="F561" s="239"/>
      <c r="G561" s="239"/>
      <c r="H561" s="239"/>
      <c r="I561" s="239"/>
      <c r="J561" s="239"/>
      <c r="K561" s="239"/>
      <c r="L561" s="240"/>
      <c r="M561" s="239"/>
      <c r="N561" s="239"/>
      <c r="O561" s="239"/>
      <c r="P561" s="239"/>
      <c r="Q561" s="239"/>
      <c r="R561" s="239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167"/>
    </row>
    <row r="562" spans="1:29" ht="15.75" customHeight="1">
      <c r="A562" s="177"/>
      <c r="B562" s="239"/>
      <c r="C562" s="260"/>
      <c r="D562" s="278"/>
      <c r="E562" s="260"/>
      <c r="F562" s="239"/>
      <c r="G562" s="239"/>
      <c r="H562" s="239"/>
      <c r="I562" s="239"/>
      <c r="J562" s="239"/>
      <c r="K562" s="239"/>
      <c r="L562" s="240"/>
      <c r="M562" s="239"/>
      <c r="N562" s="239"/>
      <c r="O562" s="239"/>
      <c r="P562" s="239"/>
      <c r="Q562" s="239"/>
      <c r="R562" s="239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167"/>
    </row>
    <row r="563" spans="1:29" ht="15.75" customHeight="1">
      <c r="A563" s="177"/>
      <c r="B563" s="239"/>
      <c r="C563" s="260"/>
      <c r="D563" s="278"/>
      <c r="E563" s="260"/>
      <c r="F563" s="239"/>
      <c r="G563" s="239"/>
      <c r="H563" s="239"/>
      <c r="I563" s="239"/>
      <c r="J563" s="239"/>
      <c r="K563" s="239"/>
      <c r="L563" s="240"/>
      <c r="M563" s="239"/>
      <c r="N563" s="239"/>
      <c r="O563" s="239"/>
      <c r="P563" s="239"/>
      <c r="Q563" s="239"/>
      <c r="R563" s="239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167"/>
    </row>
    <row r="564" spans="1:29" ht="15.75" customHeight="1">
      <c r="A564" s="177"/>
      <c r="B564" s="239"/>
      <c r="C564" s="260"/>
      <c r="D564" s="278"/>
      <c r="E564" s="260"/>
      <c r="F564" s="239"/>
      <c r="G564" s="239"/>
      <c r="H564" s="239"/>
      <c r="I564" s="239"/>
      <c r="J564" s="239"/>
      <c r="K564" s="239"/>
      <c r="L564" s="240"/>
      <c r="M564" s="239"/>
      <c r="N564" s="239"/>
      <c r="O564" s="239"/>
      <c r="P564" s="239"/>
      <c r="Q564" s="239"/>
      <c r="R564" s="239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167"/>
    </row>
    <row r="565" spans="1:29" ht="15.75" customHeight="1">
      <c r="A565" s="177"/>
      <c r="B565" s="239"/>
      <c r="C565" s="260"/>
      <c r="D565" s="278"/>
      <c r="E565" s="260"/>
      <c r="F565" s="239"/>
      <c r="G565" s="239"/>
      <c r="H565" s="239"/>
      <c r="I565" s="239"/>
      <c r="J565" s="239"/>
      <c r="K565" s="239"/>
      <c r="L565" s="240"/>
      <c r="M565" s="239"/>
      <c r="N565" s="239"/>
      <c r="O565" s="239"/>
      <c r="P565" s="239"/>
      <c r="Q565" s="239"/>
      <c r="R565" s="239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167"/>
    </row>
    <row r="566" spans="1:29" ht="15.75" customHeight="1">
      <c r="A566" s="177"/>
      <c r="B566" s="239"/>
      <c r="C566" s="260"/>
      <c r="D566" s="278"/>
      <c r="E566" s="260"/>
      <c r="F566" s="239"/>
      <c r="G566" s="239"/>
      <c r="H566" s="239"/>
      <c r="I566" s="239"/>
      <c r="J566" s="239"/>
      <c r="K566" s="239"/>
      <c r="L566" s="240"/>
      <c r="M566" s="239"/>
      <c r="N566" s="239"/>
      <c r="O566" s="239"/>
      <c r="P566" s="239"/>
      <c r="Q566" s="239"/>
      <c r="R566" s="239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167"/>
    </row>
    <row r="567" spans="1:29" ht="15.75" customHeight="1">
      <c r="A567" s="177"/>
      <c r="B567" s="239"/>
      <c r="C567" s="260"/>
      <c r="D567" s="278"/>
      <c r="E567" s="260"/>
      <c r="F567" s="239"/>
      <c r="G567" s="239"/>
      <c r="H567" s="239"/>
      <c r="I567" s="239"/>
      <c r="J567" s="239"/>
      <c r="K567" s="239"/>
      <c r="L567" s="240"/>
      <c r="M567" s="239"/>
      <c r="N567" s="239"/>
      <c r="O567" s="239"/>
      <c r="P567" s="239"/>
      <c r="Q567" s="239"/>
      <c r="R567" s="239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167"/>
    </row>
    <row r="568" spans="1:29" ht="15.75" customHeight="1">
      <c r="A568" s="177"/>
      <c r="B568" s="239"/>
      <c r="C568" s="260"/>
      <c r="D568" s="278"/>
      <c r="E568" s="260"/>
      <c r="F568" s="239"/>
      <c r="G568" s="239"/>
      <c r="H568" s="239"/>
      <c r="I568" s="239"/>
      <c r="J568" s="239"/>
      <c r="K568" s="239"/>
      <c r="L568" s="240"/>
      <c r="M568" s="239"/>
      <c r="N568" s="239"/>
      <c r="O568" s="239"/>
      <c r="P568" s="239"/>
      <c r="Q568" s="239"/>
      <c r="R568" s="239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167"/>
    </row>
    <row r="569" spans="1:29" ht="15.75" customHeight="1">
      <c r="A569" s="177"/>
      <c r="B569" s="239"/>
      <c r="C569" s="260"/>
      <c r="D569" s="278"/>
      <c r="E569" s="260"/>
      <c r="F569" s="239"/>
      <c r="G569" s="239"/>
      <c r="H569" s="239"/>
      <c r="I569" s="239"/>
      <c r="J569" s="239"/>
      <c r="K569" s="239"/>
      <c r="L569" s="240"/>
      <c r="M569" s="239"/>
      <c r="N569" s="239"/>
      <c r="O569" s="239"/>
      <c r="P569" s="239"/>
      <c r="Q569" s="239"/>
      <c r="R569" s="239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167"/>
    </row>
    <row r="570" spans="1:29" ht="15.75" customHeight="1">
      <c r="A570" s="177"/>
      <c r="B570" s="239"/>
      <c r="C570" s="260"/>
      <c r="D570" s="278"/>
      <c r="E570" s="260"/>
      <c r="F570" s="239"/>
      <c r="G570" s="239"/>
      <c r="H570" s="239"/>
      <c r="I570" s="239"/>
      <c r="J570" s="239"/>
      <c r="K570" s="239"/>
      <c r="L570" s="240"/>
      <c r="M570" s="239"/>
      <c r="N570" s="239"/>
      <c r="O570" s="239"/>
      <c r="P570" s="239"/>
      <c r="Q570" s="239"/>
      <c r="R570" s="239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167"/>
    </row>
    <row r="571" spans="1:29" ht="15.75" customHeight="1">
      <c r="A571" s="177"/>
      <c r="B571" s="239"/>
      <c r="C571" s="260"/>
      <c r="D571" s="278"/>
      <c r="E571" s="260"/>
      <c r="F571" s="239"/>
      <c r="G571" s="239"/>
      <c r="H571" s="239"/>
      <c r="I571" s="239"/>
      <c r="J571" s="239"/>
      <c r="K571" s="239"/>
      <c r="L571" s="240"/>
      <c r="M571" s="239"/>
      <c r="N571" s="239"/>
      <c r="O571" s="239"/>
      <c r="P571" s="239"/>
      <c r="Q571" s="239"/>
      <c r="R571" s="239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167"/>
    </row>
    <row r="572" spans="1:29" ht="15.75" customHeight="1">
      <c r="A572" s="177"/>
      <c r="B572" s="239"/>
      <c r="C572" s="260"/>
      <c r="D572" s="278"/>
      <c r="E572" s="260"/>
      <c r="F572" s="239"/>
      <c r="G572" s="239"/>
      <c r="H572" s="239"/>
      <c r="I572" s="239"/>
      <c r="J572" s="239"/>
      <c r="K572" s="239"/>
      <c r="L572" s="240"/>
      <c r="M572" s="239"/>
      <c r="N572" s="239"/>
      <c r="O572" s="239"/>
      <c r="P572" s="239"/>
      <c r="Q572" s="239"/>
      <c r="R572" s="239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167"/>
    </row>
    <row r="573" spans="1:29" ht="15.75" customHeight="1">
      <c r="A573" s="177"/>
      <c r="B573" s="239"/>
      <c r="C573" s="260"/>
      <c r="D573" s="278"/>
      <c r="E573" s="260"/>
      <c r="F573" s="239"/>
      <c r="G573" s="239"/>
      <c r="H573" s="239"/>
      <c r="I573" s="239"/>
      <c r="J573" s="239"/>
      <c r="K573" s="239"/>
      <c r="L573" s="240"/>
      <c r="M573" s="239"/>
      <c r="N573" s="239"/>
      <c r="O573" s="239"/>
      <c r="P573" s="239"/>
      <c r="Q573" s="239"/>
      <c r="R573" s="239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167"/>
    </row>
    <row r="574" spans="1:29" ht="15.75" customHeight="1">
      <c r="A574" s="177"/>
      <c r="B574" s="239"/>
      <c r="C574" s="260"/>
      <c r="D574" s="278"/>
      <c r="E574" s="260"/>
      <c r="F574" s="239"/>
      <c r="G574" s="239"/>
      <c r="H574" s="239"/>
      <c r="I574" s="239"/>
      <c r="J574" s="239"/>
      <c r="K574" s="239"/>
      <c r="L574" s="240"/>
      <c r="M574" s="239"/>
      <c r="N574" s="239"/>
      <c r="O574" s="239"/>
      <c r="P574" s="239"/>
      <c r="Q574" s="239"/>
      <c r="R574" s="239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167"/>
    </row>
    <row r="575" spans="1:29" ht="15.75" customHeight="1">
      <c r="A575" s="177"/>
      <c r="B575" s="239"/>
      <c r="C575" s="260"/>
      <c r="D575" s="278"/>
      <c r="E575" s="260"/>
      <c r="F575" s="239"/>
      <c r="G575" s="239"/>
      <c r="H575" s="239"/>
      <c r="I575" s="239"/>
      <c r="J575" s="239"/>
      <c r="K575" s="239"/>
      <c r="L575" s="240"/>
      <c r="M575" s="239"/>
      <c r="N575" s="239"/>
      <c r="O575" s="239"/>
      <c r="P575" s="239"/>
      <c r="Q575" s="239"/>
      <c r="R575" s="239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167"/>
    </row>
    <row r="576" spans="1:29" ht="15.75" customHeight="1">
      <c r="A576" s="177"/>
      <c r="B576" s="239"/>
      <c r="C576" s="260"/>
      <c r="D576" s="278"/>
      <c r="E576" s="260"/>
      <c r="F576" s="239"/>
      <c r="G576" s="239"/>
      <c r="H576" s="239"/>
      <c r="I576" s="239"/>
      <c r="J576" s="239"/>
      <c r="K576" s="239"/>
      <c r="L576" s="240"/>
      <c r="M576" s="239"/>
      <c r="N576" s="239"/>
      <c r="O576" s="239"/>
      <c r="P576" s="239"/>
      <c r="Q576" s="239"/>
      <c r="R576" s="239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167"/>
    </row>
    <row r="577" spans="1:29" ht="15.75" customHeight="1">
      <c r="A577" s="177"/>
      <c r="B577" s="239"/>
      <c r="C577" s="260"/>
      <c r="D577" s="278"/>
      <c r="E577" s="260"/>
      <c r="F577" s="239"/>
      <c r="G577" s="239"/>
      <c r="H577" s="239"/>
      <c r="I577" s="239"/>
      <c r="J577" s="239"/>
      <c r="K577" s="239"/>
      <c r="L577" s="240"/>
      <c r="M577" s="239"/>
      <c r="N577" s="239"/>
      <c r="O577" s="239"/>
      <c r="P577" s="239"/>
      <c r="Q577" s="239"/>
      <c r="R577" s="239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167"/>
    </row>
    <row r="578" spans="1:29" ht="15.75" customHeight="1">
      <c r="A578" s="177"/>
      <c r="B578" s="239"/>
      <c r="C578" s="260"/>
      <c r="D578" s="278"/>
      <c r="E578" s="260"/>
      <c r="F578" s="239"/>
      <c r="G578" s="239"/>
      <c r="H578" s="239"/>
      <c r="I578" s="239"/>
      <c r="J578" s="239"/>
      <c r="K578" s="239"/>
      <c r="L578" s="240"/>
      <c r="M578" s="239"/>
      <c r="N578" s="239"/>
      <c r="O578" s="239"/>
      <c r="P578" s="239"/>
      <c r="Q578" s="239"/>
      <c r="R578" s="239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167"/>
    </row>
    <row r="579" spans="1:29" ht="15.75" customHeight="1">
      <c r="A579" s="177"/>
      <c r="B579" s="239"/>
      <c r="C579" s="260"/>
      <c r="D579" s="278"/>
      <c r="E579" s="260"/>
      <c r="F579" s="239"/>
      <c r="G579" s="239"/>
      <c r="H579" s="239"/>
      <c r="I579" s="239"/>
      <c r="J579" s="239"/>
      <c r="K579" s="239"/>
      <c r="L579" s="240"/>
      <c r="M579" s="239"/>
      <c r="N579" s="239"/>
      <c r="O579" s="239"/>
      <c r="P579" s="239"/>
      <c r="Q579" s="239"/>
      <c r="R579" s="239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167"/>
    </row>
    <row r="580" spans="1:29" ht="15.75" customHeight="1">
      <c r="A580" s="177"/>
      <c r="B580" s="239"/>
      <c r="C580" s="260"/>
      <c r="D580" s="278"/>
      <c r="E580" s="260"/>
      <c r="F580" s="239"/>
      <c r="G580" s="239"/>
      <c r="H580" s="239"/>
      <c r="I580" s="239"/>
      <c r="J580" s="239"/>
      <c r="K580" s="239"/>
      <c r="L580" s="240"/>
      <c r="M580" s="239"/>
      <c r="N580" s="239"/>
      <c r="O580" s="239"/>
      <c r="P580" s="239"/>
      <c r="Q580" s="239"/>
      <c r="R580" s="239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167"/>
    </row>
    <row r="581" spans="1:29" ht="15.75" customHeight="1">
      <c r="A581" s="177"/>
      <c r="B581" s="239"/>
      <c r="C581" s="260"/>
      <c r="D581" s="278"/>
      <c r="E581" s="260"/>
      <c r="F581" s="239"/>
      <c r="G581" s="239"/>
      <c r="H581" s="239"/>
      <c r="I581" s="239"/>
      <c r="J581" s="239"/>
      <c r="K581" s="239"/>
      <c r="L581" s="240"/>
      <c r="M581" s="239"/>
      <c r="N581" s="239"/>
      <c r="O581" s="239"/>
      <c r="P581" s="239"/>
      <c r="Q581" s="239"/>
      <c r="R581" s="239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167"/>
    </row>
    <row r="582" spans="1:29" ht="15.75" customHeight="1">
      <c r="A582" s="177"/>
      <c r="B582" s="239"/>
      <c r="C582" s="260"/>
      <c r="D582" s="278"/>
      <c r="E582" s="260"/>
      <c r="F582" s="239"/>
      <c r="G582" s="239"/>
      <c r="H582" s="239"/>
      <c r="I582" s="239"/>
      <c r="J582" s="239"/>
      <c r="K582" s="239"/>
      <c r="L582" s="240"/>
      <c r="M582" s="239"/>
      <c r="N582" s="239"/>
      <c r="O582" s="239"/>
      <c r="P582" s="239"/>
      <c r="Q582" s="239"/>
      <c r="R582" s="239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167"/>
    </row>
    <row r="583" spans="1:29" ht="15.75" customHeight="1">
      <c r="A583" s="177"/>
      <c r="B583" s="239"/>
      <c r="C583" s="260"/>
      <c r="D583" s="278"/>
      <c r="E583" s="260"/>
      <c r="F583" s="239"/>
      <c r="G583" s="239"/>
      <c r="H583" s="239"/>
      <c r="I583" s="239"/>
      <c r="J583" s="239"/>
      <c r="K583" s="239"/>
      <c r="L583" s="240"/>
      <c r="M583" s="239"/>
      <c r="N583" s="239"/>
      <c r="O583" s="239"/>
      <c r="P583" s="239"/>
      <c r="Q583" s="239"/>
      <c r="R583" s="239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167"/>
    </row>
    <row r="584" spans="1:29" ht="15.75" customHeight="1">
      <c r="A584" s="177"/>
      <c r="B584" s="239"/>
      <c r="C584" s="260"/>
      <c r="D584" s="278"/>
      <c r="E584" s="260"/>
      <c r="F584" s="239"/>
      <c r="G584" s="239"/>
      <c r="H584" s="239"/>
      <c r="I584" s="239"/>
      <c r="J584" s="239"/>
      <c r="K584" s="239"/>
      <c r="L584" s="240"/>
      <c r="M584" s="239"/>
      <c r="N584" s="239"/>
      <c r="O584" s="239"/>
      <c r="P584" s="239"/>
      <c r="Q584" s="239"/>
      <c r="R584" s="239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167"/>
    </row>
    <row r="585" spans="1:29" ht="15.75" customHeight="1">
      <c r="A585" s="177"/>
      <c r="B585" s="239"/>
      <c r="C585" s="260"/>
      <c r="D585" s="278"/>
      <c r="E585" s="260"/>
      <c r="F585" s="239"/>
      <c r="G585" s="239"/>
      <c r="H585" s="239"/>
      <c r="I585" s="239"/>
      <c r="J585" s="239"/>
      <c r="K585" s="239"/>
      <c r="L585" s="240"/>
      <c r="M585" s="239"/>
      <c r="N585" s="239"/>
      <c r="O585" s="239"/>
      <c r="P585" s="239"/>
      <c r="Q585" s="239"/>
      <c r="R585" s="239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167"/>
    </row>
    <row r="586" spans="1:29" ht="15.75" customHeight="1">
      <c r="A586" s="177"/>
      <c r="B586" s="239"/>
      <c r="C586" s="260"/>
      <c r="D586" s="278"/>
      <c r="E586" s="260"/>
      <c r="F586" s="239"/>
      <c r="G586" s="239"/>
      <c r="H586" s="239"/>
      <c r="I586" s="239"/>
      <c r="J586" s="239"/>
      <c r="K586" s="239"/>
      <c r="L586" s="240"/>
      <c r="M586" s="239"/>
      <c r="N586" s="239"/>
      <c r="O586" s="239"/>
      <c r="P586" s="239"/>
      <c r="Q586" s="239"/>
      <c r="R586" s="239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167"/>
    </row>
    <row r="587" spans="1:29" ht="15.75" customHeight="1">
      <c r="A587" s="177"/>
      <c r="B587" s="239"/>
      <c r="C587" s="260"/>
      <c r="D587" s="278"/>
      <c r="E587" s="260"/>
      <c r="F587" s="239"/>
      <c r="G587" s="239"/>
      <c r="H587" s="239"/>
      <c r="I587" s="239"/>
      <c r="J587" s="239"/>
      <c r="K587" s="239"/>
      <c r="L587" s="240"/>
      <c r="M587" s="239"/>
      <c r="N587" s="239"/>
      <c r="O587" s="239"/>
      <c r="P587" s="239"/>
      <c r="Q587" s="239"/>
      <c r="R587" s="239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167"/>
    </row>
    <row r="588" spans="1:29" ht="15.75" customHeight="1">
      <c r="A588" s="177"/>
      <c r="B588" s="239"/>
      <c r="C588" s="260"/>
      <c r="D588" s="278"/>
      <c r="E588" s="260"/>
      <c r="F588" s="239"/>
      <c r="G588" s="239"/>
      <c r="H588" s="239"/>
      <c r="I588" s="239"/>
      <c r="J588" s="239"/>
      <c r="K588" s="239"/>
      <c r="L588" s="240"/>
      <c r="M588" s="239"/>
      <c r="N588" s="239"/>
      <c r="O588" s="239"/>
      <c r="P588" s="239"/>
      <c r="Q588" s="239"/>
      <c r="R588" s="239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167"/>
    </row>
    <row r="589" spans="1:29" ht="15.75" customHeight="1">
      <c r="A589" s="177"/>
      <c r="B589" s="239"/>
      <c r="C589" s="260"/>
      <c r="D589" s="278"/>
      <c r="E589" s="260"/>
      <c r="F589" s="239"/>
      <c r="G589" s="239"/>
      <c r="H589" s="239"/>
      <c r="I589" s="239"/>
      <c r="J589" s="239"/>
      <c r="K589" s="239"/>
      <c r="L589" s="240"/>
      <c r="M589" s="239"/>
      <c r="N589" s="239"/>
      <c r="O589" s="239"/>
      <c r="P589" s="239"/>
      <c r="Q589" s="239"/>
      <c r="R589" s="239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167"/>
    </row>
    <row r="590" spans="1:29" ht="15.75" customHeight="1">
      <c r="A590" s="177"/>
      <c r="B590" s="239"/>
      <c r="C590" s="260"/>
      <c r="D590" s="278"/>
      <c r="E590" s="260"/>
      <c r="F590" s="239"/>
      <c r="G590" s="239"/>
      <c r="H590" s="239"/>
      <c r="I590" s="239"/>
      <c r="J590" s="239"/>
      <c r="K590" s="239"/>
      <c r="L590" s="240"/>
      <c r="M590" s="239"/>
      <c r="N590" s="239"/>
      <c r="O590" s="239"/>
      <c r="P590" s="239"/>
      <c r="Q590" s="239"/>
      <c r="R590" s="239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167"/>
    </row>
    <row r="591" spans="1:29" ht="15.75" customHeight="1">
      <c r="A591" s="177"/>
      <c r="B591" s="239"/>
      <c r="C591" s="260"/>
      <c r="D591" s="278"/>
      <c r="E591" s="260"/>
      <c r="F591" s="239"/>
      <c r="G591" s="239"/>
      <c r="H591" s="239"/>
      <c r="I591" s="239"/>
      <c r="J591" s="239"/>
      <c r="K591" s="239"/>
      <c r="L591" s="240"/>
      <c r="M591" s="239"/>
      <c r="N591" s="239"/>
      <c r="O591" s="239"/>
      <c r="P591" s="239"/>
      <c r="Q591" s="239"/>
      <c r="R591" s="239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167"/>
    </row>
    <row r="592" spans="1:29" ht="15.75" customHeight="1">
      <c r="A592" s="177"/>
      <c r="B592" s="239"/>
      <c r="C592" s="260"/>
      <c r="D592" s="278"/>
      <c r="E592" s="260"/>
      <c r="F592" s="239"/>
      <c r="G592" s="239"/>
      <c r="H592" s="239"/>
      <c r="I592" s="239"/>
      <c r="J592" s="239"/>
      <c r="K592" s="239"/>
      <c r="L592" s="240"/>
      <c r="M592" s="239"/>
      <c r="N592" s="239"/>
      <c r="O592" s="239"/>
      <c r="P592" s="239"/>
      <c r="Q592" s="239"/>
      <c r="R592" s="239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167"/>
    </row>
    <row r="593" spans="1:29" ht="15.75" customHeight="1">
      <c r="A593" s="177"/>
      <c r="B593" s="239"/>
      <c r="C593" s="260"/>
      <c r="D593" s="278"/>
      <c r="E593" s="260"/>
      <c r="F593" s="239"/>
      <c r="G593" s="239"/>
      <c r="H593" s="239"/>
      <c r="I593" s="239"/>
      <c r="J593" s="239"/>
      <c r="K593" s="239"/>
      <c r="L593" s="240"/>
      <c r="M593" s="239"/>
      <c r="N593" s="239"/>
      <c r="O593" s="239"/>
      <c r="P593" s="239"/>
      <c r="Q593" s="239"/>
      <c r="R593" s="239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167"/>
    </row>
    <row r="594" spans="1:29" ht="15.75" customHeight="1">
      <c r="A594" s="177"/>
      <c r="B594" s="239"/>
      <c r="C594" s="260"/>
      <c r="D594" s="278"/>
      <c r="E594" s="260"/>
      <c r="F594" s="239"/>
      <c r="G594" s="239"/>
      <c r="H594" s="239"/>
      <c r="I594" s="239"/>
      <c r="J594" s="239"/>
      <c r="K594" s="239"/>
      <c r="L594" s="240"/>
      <c r="M594" s="239"/>
      <c r="N594" s="239"/>
      <c r="O594" s="239"/>
      <c r="P594" s="239"/>
      <c r="Q594" s="239"/>
      <c r="R594" s="239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167"/>
    </row>
    <row r="595" spans="1:29" ht="15.75" customHeight="1">
      <c r="A595" s="177"/>
      <c r="B595" s="239"/>
      <c r="C595" s="260"/>
      <c r="D595" s="278"/>
      <c r="E595" s="260"/>
      <c r="F595" s="239"/>
      <c r="G595" s="239"/>
      <c r="H595" s="239"/>
      <c r="I595" s="239"/>
      <c r="J595" s="239"/>
      <c r="K595" s="239"/>
      <c r="L595" s="240"/>
      <c r="M595" s="239"/>
      <c r="N595" s="239"/>
      <c r="O595" s="239"/>
      <c r="P595" s="239"/>
      <c r="Q595" s="239"/>
      <c r="R595" s="239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167"/>
    </row>
    <row r="596" spans="1:29" ht="15.75" customHeight="1">
      <c r="A596" s="177"/>
      <c r="B596" s="239"/>
      <c r="C596" s="260"/>
      <c r="D596" s="278"/>
      <c r="E596" s="260"/>
      <c r="F596" s="239"/>
      <c r="G596" s="239"/>
      <c r="H596" s="239"/>
      <c r="I596" s="239"/>
      <c r="J596" s="239"/>
      <c r="K596" s="239"/>
      <c r="L596" s="240"/>
      <c r="M596" s="239"/>
      <c r="N596" s="239"/>
      <c r="O596" s="239"/>
      <c r="P596" s="239"/>
      <c r="Q596" s="239"/>
      <c r="R596" s="239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167"/>
    </row>
    <row r="597" spans="1:29" ht="15.75" customHeight="1">
      <c r="A597" s="177"/>
      <c r="B597" s="239"/>
      <c r="C597" s="260"/>
      <c r="D597" s="278"/>
      <c r="E597" s="260"/>
      <c r="F597" s="239"/>
      <c r="G597" s="239"/>
      <c r="H597" s="239"/>
      <c r="I597" s="239"/>
      <c r="J597" s="239"/>
      <c r="K597" s="239"/>
      <c r="L597" s="240"/>
      <c r="M597" s="239"/>
      <c r="N597" s="239"/>
      <c r="O597" s="239"/>
      <c r="P597" s="239"/>
      <c r="Q597" s="239"/>
      <c r="R597" s="239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167"/>
    </row>
    <row r="598" spans="1:29" ht="15.75" customHeight="1">
      <c r="A598" s="177"/>
      <c r="B598" s="239"/>
      <c r="C598" s="260"/>
      <c r="D598" s="278"/>
      <c r="E598" s="260"/>
      <c r="F598" s="239"/>
      <c r="G598" s="239"/>
      <c r="H598" s="239"/>
      <c r="I598" s="239"/>
      <c r="J598" s="239"/>
      <c r="K598" s="239"/>
      <c r="L598" s="240"/>
      <c r="M598" s="239"/>
      <c r="N598" s="239"/>
      <c r="O598" s="239"/>
      <c r="P598" s="239"/>
      <c r="Q598" s="239"/>
      <c r="R598" s="239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167"/>
    </row>
    <row r="599" spans="1:29" ht="15.75" customHeight="1">
      <c r="A599" s="177"/>
      <c r="B599" s="239"/>
      <c r="C599" s="260"/>
      <c r="D599" s="278"/>
      <c r="E599" s="260"/>
      <c r="F599" s="239"/>
      <c r="G599" s="239"/>
      <c r="H599" s="239"/>
      <c r="I599" s="239"/>
      <c r="J599" s="239"/>
      <c r="K599" s="239"/>
      <c r="L599" s="240"/>
      <c r="M599" s="239"/>
      <c r="N599" s="239"/>
      <c r="O599" s="239"/>
      <c r="P599" s="239"/>
      <c r="Q599" s="239"/>
      <c r="R599" s="239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167"/>
    </row>
    <row r="600" spans="1:29" ht="15.75" customHeight="1">
      <c r="A600" s="177"/>
      <c r="B600" s="239"/>
      <c r="C600" s="260"/>
      <c r="D600" s="278"/>
      <c r="E600" s="260"/>
      <c r="F600" s="239"/>
      <c r="G600" s="239"/>
      <c r="H600" s="239"/>
      <c r="I600" s="239"/>
      <c r="J600" s="239"/>
      <c r="K600" s="239"/>
      <c r="L600" s="240"/>
      <c r="M600" s="239"/>
      <c r="N600" s="239"/>
      <c r="O600" s="239"/>
      <c r="P600" s="239"/>
      <c r="Q600" s="239"/>
      <c r="R600" s="239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167"/>
    </row>
    <row r="601" spans="1:29" ht="15.75" customHeight="1">
      <c r="A601" s="177"/>
      <c r="B601" s="239"/>
      <c r="C601" s="260"/>
      <c r="D601" s="278"/>
      <c r="E601" s="260"/>
      <c r="F601" s="239"/>
      <c r="G601" s="239"/>
      <c r="H601" s="239"/>
      <c r="I601" s="239"/>
      <c r="J601" s="239"/>
      <c r="K601" s="239"/>
      <c r="L601" s="240"/>
      <c r="M601" s="239"/>
      <c r="N601" s="239"/>
      <c r="O601" s="239"/>
      <c r="P601" s="239"/>
      <c r="Q601" s="239"/>
      <c r="R601" s="239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167"/>
    </row>
    <row r="602" spans="1:29" ht="15.75" customHeight="1">
      <c r="A602" s="177"/>
      <c r="B602" s="239"/>
      <c r="C602" s="260"/>
      <c r="D602" s="278"/>
      <c r="E602" s="260"/>
      <c r="F602" s="239"/>
      <c r="G602" s="239"/>
      <c r="H602" s="239"/>
      <c r="I602" s="239"/>
      <c r="J602" s="239"/>
      <c r="K602" s="239"/>
      <c r="L602" s="240"/>
      <c r="M602" s="239"/>
      <c r="N602" s="239"/>
      <c r="O602" s="239"/>
      <c r="P602" s="239"/>
      <c r="Q602" s="239"/>
      <c r="R602" s="239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167"/>
    </row>
    <row r="603" spans="1:29" ht="15.75" customHeight="1">
      <c r="A603" s="177"/>
      <c r="B603" s="239"/>
      <c r="C603" s="260"/>
      <c r="D603" s="278"/>
      <c r="E603" s="260"/>
      <c r="F603" s="239"/>
      <c r="G603" s="239"/>
      <c r="H603" s="239"/>
      <c r="I603" s="239"/>
      <c r="J603" s="239"/>
      <c r="K603" s="239"/>
      <c r="L603" s="240"/>
      <c r="M603" s="239"/>
      <c r="N603" s="239"/>
      <c r="O603" s="239"/>
      <c r="P603" s="239"/>
      <c r="Q603" s="239"/>
      <c r="R603" s="239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167"/>
    </row>
    <row r="604" spans="1:29" ht="15.75" customHeight="1">
      <c r="A604" s="177"/>
      <c r="B604" s="239"/>
      <c r="C604" s="260"/>
      <c r="D604" s="278"/>
      <c r="E604" s="260"/>
      <c r="F604" s="239"/>
      <c r="G604" s="239"/>
      <c r="H604" s="239"/>
      <c r="I604" s="239"/>
      <c r="J604" s="239"/>
      <c r="K604" s="239"/>
      <c r="L604" s="240"/>
      <c r="M604" s="239"/>
      <c r="N604" s="239"/>
      <c r="O604" s="239"/>
      <c r="P604" s="239"/>
      <c r="Q604" s="239"/>
      <c r="R604" s="239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167"/>
    </row>
    <row r="605" spans="1:29" ht="15.75" customHeight="1">
      <c r="A605" s="177"/>
      <c r="B605" s="239"/>
      <c r="C605" s="260"/>
      <c r="D605" s="278"/>
      <c r="E605" s="260"/>
      <c r="F605" s="239"/>
      <c r="G605" s="239"/>
      <c r="H605" s="239"/>
      <c r="I605" s="239"/>
      <c r="J605" s="239"/>
      <c r="K605" s="239"/>
      <c r="L605" s="240"/>
      <c r="M605" s="239"/>
      <c r="N605" s="239"/>
      <c r="O605" s="239"/>
      <c r="P605" s="239"/>
      <c r="Q605" s="239"/>
      <c r="R605" s="239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167"/>
    </row>
    <row r="606" spans="1:29" ht="15.75" customHeight="1">
      <c r="A606" s="177"/>
      <c r="B606" s="239"/>
      <c r="C606" s="260"/>
      <c r="D606" s="278"/>
      <c r="E606" s="260"/>
      <c r="F606" s="239"/>
      <c r="G606" s="239"/>
      <c r="H606" s="239"/>
      <c r="I606" s="239"/>
      <c r="J606" s="239"/>
      <c r="K606" s="239"/>
      <c r="L606" s="240"/>
      <c r="M606" s="239"/>
      <c r="N606" s="239"/>
      <c r="O606" s="239"/>
      <c r="P606" s="239"/>
      <c r="Q606" s="239"/>
      <c r="R606" s="239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167"/>
    </row>
    <row r="607" spans="1:29" ht="15.75" customHeight="1">
      <c r="A607" s="177"/>
      <c r="B607" s="239"/>
      <c r="C607" s="260"/>
      <c r="D607" s="278"/>
      <c r="E607" s="260"/>
      <c r="F607" s="239"/>
      <c r="G607" s="239"/>
      <c r="H607" s="239"/>
      <c r="I607" s="239"/>
      <c r="J607" s="239"/>
      <c r="K607" s="239"/>
      <c r="L607" s="240"/>
      <c r="M607" s="239"/>
      <c r="N607" s="239"/>
      <c r="O607" s="239"/>
      <c r="P607" s="239"/>
      <c r="Q607" s="239"/>
      <c r="R607" s="239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167"/>
    </row>
    <row r="608" spans="1:29" ht="15.75" customHeight="1">
      <c r="A608" s="177"/>
      <c r="B608" s="239"/>
      <c r="C608" s="260"/>
      <c r="D608" s="278"/>
      <c r="E608" s="260"/>
      <c r="F608" s="239"/>
      <c r="G608" s="239"/>
      <c r="H608" s="239"/>
      <c r="I608" s="239"/>
      <c r="J608" s="239"/>
      <c r="K608" s="239"/>
      <c r="L608" s="240"/>
      <c r="M608" s="239"/>
      <c r="N608" s="239"/>
      <c r="O608" s="239"/>
      <c r="P608" s="239"/>
      <c r="Q608" s="239"/>
      <c r="R608" s="239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167"/>
    </row>
    <row r="609" spans="1:29" ht="15.75" customHeight="1">
      <c r="A609" s="177"/>
      <c r="B609" s="239"/>
      <c r="C609" s="260"/>
      <c r="D609" s="278"/>
      <c r="E609" s="260"/>
      <c r="F609" s="239"/>
      <c r="G609" s="239"/>
      <c r="H609" s="239"/>
      <c r="I609" s="239"/>
      <c r="J609" s="239"/>
      <c r="K609" s="239"/>
      <c r="L609" s="240"/>
      <c r="M609" s="239"/>
      <c r="N609" s="239"/>
      <c r="O609" s="239"/>
      <c r="P609" s="239"/>
      <c r="Q609" s="239"/>
      <c r="R609" s="239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167"/>
    </row>
    <row r="610" spans="1:29" ht="15.75" customHeight="1">
      <c r="A610" s="177"/>
      <c r="B610" s="239"/>
      <c r="C610" s="260"/>
      <c r="D610" s="278"/>
      <c r="E610" s="260"/>
      <c r="F610" s="239"/>
      <c r="G610" s="239"/>
      <c r="H610" s="239"/>
      <c r="I610" s="239"/>
      <c r="J610" s="239"/>
      <c r="K610" s="239"/>
      <c r="L610" s="240"/>
      <c r="M610" s="239"/>
      <c r="N610" s="239"/>
      <c r="O610" s="239"/>
      <c r="P610" s="239"/>
      <c r="Q610" s="239"/>
      <c r="R610" s="239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167"/>
    </row>
    <row r="611" spans="1:29" ht="15.75" customHeight="1">
      <c r="A611" s="177"/>
      <c r="B611" s="239"/>
      <c r="C611" s="260"/>
      <c r="D611" s="278"/>
      <c r="E611" s="260"/>
      <c r="F611" s="239"/>
      <c r="G611" s="239"/>
      <c r="H611" s="239"/>
      <c r="I611" s="239"/>
      <c r="J611" s="239"/>
      <c r="K611" s="239"/>
      <c r="L611" s="240"/>
      <c r="M611" s="239"/>
      <c r="N611" s="239"/>
      <c r="O611" s="239"/>
      <c r="P611" s="239"/>
      <c r="Q611" s="239"/>
      <c r="R611" s="239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167"/>
    </row>
    <row r="612" spans="1:29" ht="15.75" customHeight="1">
      <c r="A612" s="177"/>
      <c r="B612" s="239"/>
      <c r="C612" s="260"/>
      <c r="D612" s="278"/>
      <c r="E612" s="260"/>
      <c r="F612" s="239"/>
      <c r="G612" s="239"/>
      <c r="H612" s="239"/>
      <c r="I612" s="239"/>
      <c r="J612" s="239"/>
      <c r="K612" s="239"/>
      <c r="L612" s="240"/>
      <c r="M612" s="239"/>
      <c r="N612" s="239"/>
      <c r="O612" s="239"/>
      <c r="P612" s="239"/>
      <c r="Q612" s="239"/>
      <c r="R612" s="239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167"/>
    </row>
    <row r="613" spans="1:29" ht="15.75" customHeight="1">
      <c r="A613" s="177"/>
      <c r="B613" s="239"/>
      <c r="C613" s="260"/>
      <c r="D613" s="278"/>
      <c r="E613" s="260"/>
      <c r="F613" s="239"/>
      <c r="G613" s="239"/>
      <c r="H613" s="239"/>
      <c r="I613" s="239"/>
      <c r="J613" s="239"/>
      <c r="K613" s="239"/>
      <c r="L613" s="240"/>
      <c r="M613" s="239"/>
      <c r="N613" s="239"/>
      <c r="O613" s="239"/>
      <c r="P613" s="239"/>
      <c r="Q613" s="239"/>
      <c r="R613" s="239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167"/>
    </row>
    <row r="614" spans="1:29" ht="15.75" customHeight="1">
      <c r="A614" s="177"/>
      <c r="B614" s="239"/>
      <c r="C614" s="260"/>
      <c r="D614" s="278"/>
      <c r="E614" s="260"/>
      <c r="F614" s="239"/>
      <c r="G614" s="239"/>
      <c r="H614" s="239"/>
      <c r="I614" s="239"/>
      <c r="J614" s="239"/>
      <c r="K614" s="239"/>
      <c r="L614" s="240"/>
      <c r="M614" s="239"/>
      <c r="N614" s="239"/>
      <c r="O614" s="239"/>
      <c r="P614" s="239"/>
      <c r="Q614" s="239"/>
      <c r="R614" s="239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167"/>
    </row>
    <row r="615" spans="1:29" ht="15.75" customHeight="1">
      <c r="A615" s="177"/>
      <c r="B615" s="239"/>
      <c r="C615" s="260"/>
      <c r="D615" s="278"/>
      <c r="E615" s="260"/>
      <c r="F615" s="239"/>
      <c r="G615" s="239"/>
      <c r="H615" s="239"/>
      <c r="I615" s="239"/>
      <c r="J615" s="239"/>
      <c r="K615" s="239"/>
      <c r="L615" s="240"/>
      <c r="M615" s="239"/>
      <c r="N615" s="239"/>
      <c r="O615" s="239"/>
      <c r="P615" s="239"/>
      <c r="Q615" s="239"/>
      <c r="R615" s="239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167"/>
    </row>
    <row r="616" spans="1:29" ht="15.75" customHeight="1">
      <c r="A616" s="177"/>
      <c r="B616" s="239"/>
      <c r="C616" s="260"/>
      <c r="D616" s="278"/>
      <c r="E616" s="260"/>
      <c r="F616" s="239"/>
      <c r="G616" s="239"/>
      <c r="H616" s="239"/>
      <c r="I616" s="239"/>
      <c r="J616" s="239"/>
      <c r="K616" s="239"/>
      <c r="L616" s="240"/>
      <c r="M616" s="239"/>
      <c r="N616" s="239"/>
      <c r="O616" s="239"/>
      <c r="P616" s="239"/>
      <c r="Q616" s="239"/>
      <c r="R616" s="239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167"/>
    </row>
    <row r="617" spans="1:29" ht="15.75" customHeight="1">
      <c r="A617" s="177"/>
      <c r="B617" s="239"/>
      <c r="C617" s="260"/>
      <c r="D617" s="278"/>
      <c r="E617" s="260"/>
      <c r="F617" s="239"/>
      <c r="G617" s="239"/>
      <c r="H617" s="239"/>
      <c r="I617" s="239"/>
      <c r="J617" s="239"/>
      <c r="K617" s="239"/>
      <c r="L617" s="240"/>
      <c r="M617" s="239"/>
      <c r="N617" s="239"/>
      <c r="O617" s="239"/>
      <c r="P617" s="239"/>
      <c r="Q617" s="239"/>
      <c r="R617" s="239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167"/>
    </row>
    <row r="618" spans="1:29" ht="15.75" customHeight="1">
      <c r="A618" s="177"/>
      <c r="B618" s="239"/>
      <c r="C618" s="260"/>
      <c r="D618" s="278"/>
      <c r="E618" s="260"/>
      <c r="F618" s="239"/>
      <c r="G618" s="239"/>
      <c r="H618" s="239"/>
      <c r="I618" s="239"/>
      <c r="J618" s="239"/>
      <c r="K618" s="239"/>
      <c r="L618" s="240"/>
      <c r="M618" s="239"/>
      <c r="N618" s="239"/>
      <c r="O618" s="239"/>
      <c r="P618" s="239"/>
      <c r="Q618" s="239"/>
      <c r="R618" s="239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167"/>
    </row>
    <row r="619" spans="1:29" ht="15.75" customHeight="1">
      <c r="A619" s="177"/>
      <c r="B619" s="239"/>
      <c r="C619" s="260"/>
      <c r="D619" s="278"/>
      <c r="E619" s="260"/>
      <c r="F619" s="239"/>
      <c r="G619" s="239"/>
      <c r="H619" s="239"/>
      <c r="I619" s="239"/>
      <c r="J619" s="239"/>
      <c r="K619" s="239"/>
      <c r="L619" s="240"/>
      <c r="M619" s="239"/>
      <c r="N619" s="239"/>
      <c r="O619" s="239"/>
      <c r="P619" s="239"/>
      <c r="Q619" s="239"/>
      <c r="R619" s="239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167"/>
    </row>
    <row r="620" spans="1:29" ht="15.75" customHeight="1">
      <c r="A620" s="177"/>
      <c r="B620" s="239"/>
      <c r="C620" s="260"/>
      <c r="D620" s="278"/>
      <c r="E620" s="260"/>
      <c r="F620" s="239"/>
      <c r="G620" s="239"/>
      <c r="H620" s="239"/>
      <c r="I620" s="239"/>
      <c r="J620" s="239"/>
      <c r="K620" s="239"/>
      <c r="L620" s="240"/>
      <c r="M620" s="239"/>
      <c r="N620" s="239"/>
      <c r="O620" s="239"/>
      <c r="P620" s="239"/>
      <c r="Q620" s="239"/>
      <c r="R620" s="239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167"/>
    </row>
    <row r="621" spans="1:29" ht="15.75" customHeight="1">
      <c r="A621" s="177"/>
      <c r="B621" s="239"/>
      <c r="C621" s="260"/>
      <c r="D621" s="278"/>
      <c r="E621" s="260"/>
      <c r="F621" s="239"/>
      <c r="G621" s="239"/>
      <c r="H621" s="239"/>
      <c r="I621" s="239"/>
      <c r="J621" s="239"/>
      <c r="K621" s="239"/>
      <c r="L621" s="240"/>
      <c r="M621" s="239"/>
      <c r="N621" s="239"/>
      <c r="O621" s="239"/>
      <c r="P621" s="239"/>
      <c r="Q621" s="239"/>
      <c r="R621" s="239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167"/>
    </row>
    <row r="622" spans="1:29" ht="15.75" customHeight="1">
      <c r="A622" s="177"/>
      <c r="B622" s="239"/>
      <c r="C622" s="260"/>
      <c r="D622" s="278"/>
      <c r="E622" s="260"/>
      <c r="F622" s="239"/>
      <c r="G622" s="239"/>
      <c r="H622" s="239"/>
      <c r="I622" s="239"/>
      <c r="J622" s="239"/>
      <c r="K622" s="239"/>
      <c r="L622" s="240"/>
      <c r="M622" s="239"/>
      <c r="N622" s="239"/>
      <c r="O622" s="239"/>
      <c r="P622" s="239"/>
      <c r="Q622" s="239"/>
      <c r="R622" s="239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167"/>
    </row>
    <row r="623" spans="1:29" ht="15.75" customHeight="1">
      <c r="A623" s="177"/>
      <c r="B623" s="239"/>
      <c r="C623" s="260"/>
      <c r="D623" s="278"/>
      <c r="E623" s="260"/>
      <c r="F623" s="239"/>
      <c r="G623" s="239"/>
      <c r="H623" s="239"/>
      <c r="I623" s="239"/>
      <c r="J623" s="239"/>
      <c r="K623" s="239"/>
      <c r="L623" s="240"/>
      <c r="M623" s="239"/>
      <c r="N623" s="239"/>
      <c r="O623" s="239"/>
      <c r="P623" s="239"/>
      <c r="Q623" s="239"/>
      <c r="R623" s="239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167"/>
    </row>
    <row r="624" spans="1:29" ht="15.75" customHeight="1">
      <c r="A624" s="177"/>
      <c r="B624" s="239"/>
      <c r="C624" s="260"/>
      <c r="D624" s="278"/>
      <c r="E624" s="260"/>
      <c r="F624" s="239"/>
      <c r="G624" s="239"/>
      <c r="H624" s="239"/>
      <c r="I624" s="239"/>
      <c r="J624" s="239"/>
      <c r="K624" s="239"/>
      <c r="L624" s="240"/>
      <c r="M624" s="239"/>
      <c r="N624" s="239"/>
      <c r="O624" s="239"/>
      <c r="P624" s="239"/>
      <c r="Q624" s="239"/>
      <c r="R624" s="239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167"/>
    </row>
    <row r="625" spans="1:29" ht="15.75" customHeight="1">
      <c r="A625" s="177"/>
      <c r="B625" s="239"/>
      <c r="C625" s="260"/>
      <c r="D625" s="278"/>
      <c r="E625" s="260"/>
      <c r="F625" s="239"/>
      <c r="G625" s="239"/>
      <c r="H625" s="239"/>
      <c r="I625" s="239"/>
      <c r="J625" s="239"/>
      <c r="K625" s="239"/>
      <c r="L625" s="240"/>
      <c r="M625" s="239"/>
      <c r="N625" s="239"/>
      <c r="O625" s="239"/>
      <c r="P625" s="239"/>
      <c r="Q625" s="239"/>
      <c r="R625" s="239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167"/>
    </row>
    <row r="626" spans="1:29" ht="15.75" customHeight="1">
      <c r="A626" s="177"/>
      <c r="B626" s="239"/>
      <c r="C626" s="260"/>
      <c r="D626" s="278"/>
      <c r="E626" s="260"/>
      <c r="F626" s="239"/>
      <c r="G626" s="239"/>
      <c r="H626" s="239"/>
      <c r="I626" s="239"/>
      <c r="J626" s="239"/>
      <c r="K626" s="239"/>
      <c r="L626" s="240"/>
      <c r="M626" s="239"/>
      <c r="N626" s="239"/>
      <c r="O626" s="239"/>
      <c r="P626" s="239"/>
      <c r="Q626" s="239"/>
      <c r="R626" s="239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167"/>
    </row>
    <row r="627" spans="1:29" ht="15.75" customHeight="1">
      <c r="A627" s="177"/>
      <c r="B627" s="239"/>
      <c r="C627" s="260"/>
      <c r="D627" s="278"/>
      <c r="E627" s="260"/>
      <c r="F627" s="239"/>
      <c r="G627" s="239"/>
      <c r="H627" s="239"/>
      <c r="I627" s="239"/>
      <c r="J627" s="239"/>
      <c r="K627" s="239"/>
      <c r="L627" s="240"/>
      <c r="M627" s="239"/>
      <c r="N627" s="239"/>
      <c r="O627" s="239"/>
      <c r="P627" s="239"/>
      <c r="Q627" s="239"/>
      <c r="R627" s="239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167"/>
    </row>
    <row r="628" spans="1:29" ht="15.75" customHeight="1">
      <c r="A628" s="177"/>
      <c r="B628" s="239"/>
      <c r="C628" s="260"/>
      <c r="D628" s="278"/>
      <c r="E628" s="260"/>
      <c r="F628" s="239"/>
      <c r="G628" s="239"/>
      <c r="H628" s="239"/>
      <c r="I628" s="239"/>
      <c r="J628" s="239"/>
      <c r="K628" s="239"/>
      <c r="L628" s="240"/>
      <c r="M628" s="239"/>
      <c r="N628" s="239"/>
      <c r="O628" s="239"/>
      <c r="P628" s="239"/>
      <c r="Q628" s="239"/>
      <c r="R628" s="239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167"/>
    </row>
    <row r="629" spans="1:29" ht="15.75" customHeight="1">
      <c r="A629" s="177"/>
      <c r="B629" s="239"/>
      <c r="C629" s="260"/>
      <c r="D629" s="278"/>
      <c r="E629" s="260"/>
      <c r="F629" s="239"/>
      <c r="G629" s="239"/>
      <c r="H629" s="239"/>
      <c r="I629" s="239"/>
      <c r="J629" s="239"/>
      <c r="K629" s="239"/>
      <c r="L629" s="240"/>
      <c r="M629" s="239"/>
      <c r="N629" s="239"/>
      <c r="O629" s="239"/>
      <c r="P629" s="239"/>
      <c r="Q629" s="239"/>
      <c r="R629" s="239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167"/>
    </row>
    <row r="630" spans="1:29" ht="15.75" customHeight="1">
      <c r="A630" s="177"/>
      <c r="B630" s="239"/>
      <c r="C630" s="260"/>
      <c r="D630" s="278"/>
      <c r="E630" s="260"/>
      <c r="F630" s="239"/>
      <c r="G630" s="239"/>
      <c r="H630" s="239"/>
      <c r="I630" s="239"/>
      <c r="J630" s="239"/>
      <c r="K630" s="239"/>
      <c r="L630" s="240"/>
      <c r="M630" s="239"/>
      <c r="N630" s="239"/>
      <c r="O630" s="239"/>
      <c r="P630" s="239"/>
      <c r="Q630" s="239"/>
      <c r="R630" s="239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167"/>
    </row>
    <row r="631" spans="1:29" ht="15.75" customHeight="1">
      <c r="A631" s="177"/>
      <c r="B631" s="239"/>
      <c r="C631" s="260"/>
      <c r="D631" s="278"/>
      <c r="E631" s="260"/>
      <c r="F631" s="239"/>
      <c r="G631" s="239"/>
      <c r="H631" s="239"/>
      <c r="I631" s="239"/>
      <c r="J631" s="239"/>
      <c r="K631" s="239"/>
      <c r="L631" s="240"/>
      <c r="M631" s="239"/>
      <c r="N631" s="239"/>
      <c r="O631" s="239"/>
      <c r="P631" s="239"/>
      <c r="Q631" s="239"/>
      <c r="R631" s="239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167"/>
    </row>
    <row r="632" spans="1:29" ht="15.75" customHeight="1">
      <c r="A632" s="177"/>
      <c r="B632" s="239"/>
      <c r="C632" s="260"/>
      <c r="D632" s="278"/>
      <c r="E632" s="260"/>
      <c r="F632" s="239"/>
      <c r="G632" s="239"/>
      <c r="H632" s="239"/>
      <c r="I632" s="239"/>
      <c r="J632" s="239"/>
      <c r="K632" s="239"/>
      <c r="L632" s="240"/>
      <c r="M632" s="239"/>
      <c r="N632" s="239"/>
      <c r="O632" s="239"/>
      <c r="P632" s="239"/>
      <c r="Q632" s="239"/>
      <c r="R632" s="239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167"/>
    </row>
    <row r="633" spans="1:29" ht="15.75" customHeight="1">
      <c r="A633" s="177"/>
      <c r="B633" s="239"/>
      <c r="C633" s="260"/>
      <c r="D633" s="278"/>
      <c r="E633" s="260"/>
      <c r="F633" s="239"/>
      <c r="G633" s="239"/>
      <c r="H633" s="239"/>
      <c r="I633" s="239"/>
      <c r="J633" s="239"/>
      <c r="K633" s="239"/>
      <c r="L633" s="240"/>
      <c r="M633" s="239"/>
      <c r="N633" s="239"/>
      <c r="O633" s="239"/>
      <c r="P633" s="239"/>
      <c r="Q633" s="239"/>
      <c r="R633" s="239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167"/>
    </row>
    <row r="634" spans="1:29" ht="15.75" customHeight="1">
      <c r="A634" s="177"/>
      <c r="B634" s="239"/>
      <c r="C634" s="260"/>
      <c r="D634" s="278"/>
      <c r="E634" s="260"/>
      <c r="F634" s="239"/>
      <c r="G634" s="239"/>
      <c r="H634" s="239"/>
      <c r="I634" s="239"/>
      <c r="J634" s="239"/>
      <c r="K634" s="239"/>
      <c r="L634" s="240"/>
      <c r="M634" s="239"/>
      <c r="N634" s="239"/>
      <c r="O634" s="239"/>
      <c r="P634" s="239"/>
      <c r="Q634" s="239"/>
      <c r="R634" s="239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167"/>
    </row>
    <row r="635" spans="1:29" ht="15.75" customHeight="1">
      <c r="A635" s="177"/>
      <c r="B635" s="239"/>
      <c r="C635" s="260"/>
      <c r="D635" s="278"/>
      <c r="E635" s="260"/>
      <c r="F635" s="239"/>
      <c r="G635" s="239"/>
      <c r="H635" s="239"/>
      <c r="I635" s="239"/>
      <c r="J635" s="239"/>
      <c r="K635" s="239"/>
      <c r="L635" s="240"/>
      <c r="M635" s="239"/>
      <c r="N635" s="239"/>
      <c r="O635" s="239"/>
      <c r="P635" s="239"/>
      <c r="Q635" s="239"/>
      <c r="R635" s="239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167"/>
    </row>
    <row r="636" spans="1:29" ht="15.75" customHeight="1">
      <c r="A636" s="177"/>
      <c r="B636" s="239"/>
      <c r="C636" s="260"/>
      <c r="D636" s="278"/>
      <c r="E636" s="260"/>
      <c r="F636" s="239"/>
      <c r="G636" s="239"/>
      <c r="H636" s="239"/>
      <c r="I636" s="239"/>
      <c r="J636" s="239"/>
      <c r="K636" s="239"/>
      <c r="L636" s="240"/>
      <c r="M636" s="239"/>
      <c r="N636" s="239"/>
      <c r="O636" s="239"/>
      <c r="P636" s="239"/>
      <c r="Q636" s="239"/>
      <c r="R636" s="239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167"/>
    </row>
    <row r="637" spans="1:29" ht="15.75" customHeight="1">
      <c r="A637" s="177"/>
      <c r="B637" s="239"/>
      <c r="C637" s="260"/>
      <c r="D637" s="278"/>
      <c r="E637" s="260"/>
      <c r="F637" s="239"/>
      <c r="G637" s="239"/>
      <c r="H637" s="239"/>
      <c r="I637" s="239"/>
      <c r="J637" s="239"/>
      <c r="K637" s="239"/>
      <c r="L637" s="240"/>
      <c r="M637" s="239"/>
      <c r="N637" s="239"/>
      <c r="O637" s="239"/>
      <c r="P637" s="239"/>
      <c r="Q637" s="239"/>
      <c r="R637" s="239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167"/>
    </row>
    <row r="638" spans="1:29" ht="15.75" customHeight="1">
      <c r="A638" s="167"/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spans="1:29" ht="15.75" customHeight="1">
      <c r="A639" s="167"/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spans="1:29" ht="15.75" customHeight="1">
      <c r="A640" s="167"/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spans="1:29" ht="15.75" customHeight="1">
      <c r="A641" s="167"/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spans="1:29" ht="15.75" customHeight="1">
      <c r="A642" s="167"/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spans="1:29" ht="15.75" customHeight="1">
      <c r="A643" s="167"/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spans="1:29" ht="15.75" customHeight="1">
      <c r="A644" s="167"/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spans="1:29" ht="15.75" customHeight="1">
      <c r="A645" s="167"/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spans="1:29" ht="15.75" customHeight="1">
      <c r="A646" s="167"/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spans="1:29" ht="15.75" customHeight="1">
      <c r="A647" s="167"/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spans="1:29" ht="14.2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4.2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4.2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4.2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4.2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4.2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4.2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4.2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4.2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4.2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4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4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4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4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4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4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4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4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4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4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4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4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4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4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4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4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4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4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4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4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4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4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4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4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4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4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4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4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4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4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4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4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4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4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4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4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4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4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4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4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4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4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4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4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4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4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4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4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4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4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4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4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4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4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4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4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4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5.75" customHeight="1"/>
    <row r="716" spans="1:29" ht="15.75" customHeight="1"/>
    <row r="717" spans="1:29" ht="15.75" customHeight="1"/>
    <row r="718" spans="1:29" ht="15.75" customHeight="1"/>
    <row r="719" spans="1:29" ht="15.75" customHeight="1"/>
    <row r="720" spans="1:29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R7"/>
    <mergeCell ref="A8:R8"/>
    <mergeCell ref="A10:A17"/>
    <mergeCell ref="C10:C11"/>
    <mergeCell ref="D10:D17"/>
    <mergeCell ref="E10:E17"/>
    <mergeCell ref="F10:S10"/>
  </mergeCells>
  <conditionalFormatting sqref="F11:J11">
    <cfRule type="containsText" dxfId="70" priority="1" operator="containsText" text="&quot;quảng ngãi&quot;">
      <formula>NOT(ISERROR(SEARCH(("""quảng ngãi"""),(F11))))</formula>
    </cfRule>
  </conditionalFormatting>
  <conditionalFormatting sqref="N11:R11">
    <cfRule type="containsText" dxfId="69" priority="2" operator="containsText" text="&quot;quảng ngãi&quot;">
      <formula>NOT(ISERROR(SEARCH(("""quảng ngãi"""),(N11))))</formula>
    </cfRule>
  </conditionalFormatting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  <pageSetUpPr fitToPage="1"/>
  </sheetPr>
  <dimension ref="A1:AD1000"/>
  <sheetViews>
    <sheetView workbookViewId="0">
      <pane xSplit="5" ySplit="14" topLeftCell="F15" activePane="bottomRight" state="frozen"/>
      <selection pane="topRight" activeCell="F1" sqref="F1"/>
      <selection pane="bottomLeft" activeCell="A15" sqref="A15"/>
      <selection pane="bottomRight" activeCell="F15" sqref="F15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15" width="13.7265625" customWidth="1"/>
    <col min="16" max="18" width="13.7265625" hidden="1" customWidth="1"/>
    <col min="19" max="19" width="9.08984375" hidden="1" customWidth="1"/>
    <col min="20" max="23" width="9.08984375" customWidth="1"/>
    <col min="24" max="28" width="8" customWidth="1"/>
  </cols>
  <sheetData>
    <row r="1" spans="1:30" ht="24.75" hidden="1" customHeight="1">
      <c r="A1" s="175" t="s">
        <v>973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67"/>
    </row>
    <row r="2" spans="1:30" ht="33" hidden="1" customHeight="1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67"/>
    </row>
    <row r="3" spans="1:30" ht="23.25" hidden="1" customHeight="1">
      <c r="A3" s="175"/>
      <c r="B3" s="175"/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67"/>
    </row>
    <row r="4" spans="1:30" ht="23.25" hidden="1" customHeight="1">
      <c r="A4" s="175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67"/>
      <c r="AD4" s="7"/>
    </row>
    <row r="5" spans="1:30" ht="23.25" hidden="1" customHeight="1">
      <c r="A5" s="17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67"/>
      <c r="AD5" s="7"/>
    </row>
    <row r="6" spans="1:30" ht="23.25" hidden="1" customHeight="1">
      <c r="A6" s="175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67"/>
      <c r="AD6" s="7"/>
    </row>
    <row r="7" spans="1:30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R7" s="760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67"/>
    </row>
    <row r="8" spans="1:30" ht="22.5" customHeight="1">
      <c r="A8" s="775" t="s">
        <v>1249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67"/>
    </row>
    <row r="9" spans="1:30" ht="16.5" customHeight="1">
      <c r="A9" s="177"/>
      <c r="B9" s="178"/>
      <c r="C9" s="176"/>
      <c r="D9" s="179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67"/>
    </row>
    <row r="10" spans="1:30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3"/>
      <c r="G10" s="779"/>
      <c r="H10" s="779"/>
      <c r="I10" s="779"/>
      <c r="J10" s="779"/>
      <c r="K10" s="779"/>
      <c r="L10" s="779"/>
      <c r="M10" s="779"/>
      <c r="N10" s="779"/>
      <c r="O10" s="779"/>
      <c r="P10" s="779"/>
      <c r="Q10" s="779"/>
      <c r="R10" s="779"/>
      <c r="S10" s="771"/>
      <c r="T10" s="176"/>
      <c r="U10" s="176"/>
      <c r="V10" s="176"/>
      <c r="W10" s="176"/>
      <c r="X10" s="176"/>
      <c r="Y10" s="176"/>
      <c r="Z10" s="176"/>
      <c r="AA10" s="176"/>
      <c r="AB10" s="176"/>
      <c r="AC10" s="167"/>
    </row>
    <row r="11" spans="1:30" ht="37.5" customHeight="1">
      <c r="A11" s="767"/>
      <c r="B11" s="767"/>
      <c r="C11" s="768"/>
      <c r="D11" s="767"/>
      <c r="E11" s="781"/>
      <c r="F11" s="348"/>
      <c r="G11" s="348"/>
      <c r="H11" s="348"/>
      <c r="I11" s="21"/>
      <c r="J11" s="348"/>
      <c r="K11" s="349"/>
      <c r="L11" s="349"/>
      <c r="M11" s="349"/>
      <c r="N11" s="349"/>
      <c r="O11" s="22"/>
      <c r="P11" s="201"/>
      <c r="Q11" s="22"/>
      <c r="R11" s="22"/>
      <c r="S11" s="201"/>
      <c r="T11" s="184"/>
      <c r="U11" s="184"/>
      <c r="V11" s="184">
        <f>COUNTA(F11:S11)</f>
        <v>0</v>
      </c>
      <c r="W11" s="184"/>
      <c r="X11" s="184"/>
      <c r="Y11" s="184"/>
      <c r="Z11" s="184"/>
      <c r="AA11" s="184"/>
      <c r="AB11" s="184"/>
      <c r="AC11" s="184"/>
    </row>
    <row r="12" spans="1:30" ht="18.75" customHeight="1">
      <c r="A12" s="767"/>
      <c r="B12" s="767"/>
      <c r="C12" s="25" t="s">
        <v>39</v>
      </c>
      <c r="D12" s="767"/>
      <c r="E12" s="781"/>
      <c r="F12" s="350"/>
      <c r="G12" s="351"/>
      <c r="H12" s="351"/>
      <c r="I12" s="293"/>
      <c r="J12" s="352"/>
      <c r="K12" s="291"/>
      <c r="L12" s="291"/>
      <c r="M12" s="291"/>
      <c r="N12" s="291"/>
      <c r="O12" s="324"/>
      <c r="P12" s="325"/>
      <c r="Q12" s="324"/>
      <c r="R12" s="324"/>
      <c r="S12" s="325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</row>
    <row r="13" spans="1:30" ht="47.25" customHeight="1">
      <c r="A13" s="767"/>
      <c r="B13" s="767"/>
      <c r="C13" s="25" t="s">
        <v>40</v>
      </c>
      <c r="D13" s="767"/>
      <c r="E13" s="781"/>
      <c r="F13" s="352"/>
      <c r="G13" s="352"/>
      <c r="H13" s="350"/>
      <c r="I13" s="30"/>
      <c r="J13" s="30"/>
      <c r="K13" s="296"/>
      <c r="L13" s="296"/>
      <c r="M13" s="296"/>
      <c r="N13" s="296"/>
      <c r="O13" s="192"/>
      <c r="P13" s="250"/>
      <c r="Q13" s="192"/>
      <c r="R13" s="250"/>
      <c r="S13" s="250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spans="1:30" ht="38.25" hidden="1" customHeight="1">
      <c r="A14" s="767"/>
      <c r="B14" s="767"/>
      <c r="C14" s="25" t="s">
        <v>41</v>
      </c>
      <c r="D14" s="767"/>
      <c r="E14" s="781"/>
      <c r="F14" s="353"/>
      <c r="G14" s="350"/>
      <c r="H14" s="350"/>
      <c r="I14" s="186"/>
      <c r="J14" s="186"/>
      <c r="K14" s="298"/>
      <c r="L14" s="298"/>
      <c r="M14" s="298"/>
      <c r="N14" s="298"/>
      <c r="O14" s="247"/>
      <c r="P14" s="249"/>
      <c r="Q14" s="247"/>
      <c r="R14" s="247"/>
      <c r="S14" s="249"/>
      <c r="T14" s="184"/>
      <c r="U14" s="184"/>
      <c r="V14" s="184"/>
      <c r="W14" s="184"/>
      <c r="X14" s="184"/>
      <c r="Y14" s="184"/>
      <c r="Z14" s="184"/>
      <c r="AA14" s="184"/>
      <c r="AB14" s="184"/>
      <c r="AC14" s="184"/>
    </row>
    <row r="15" spans="1:30" ht="33" customHeight="1">
      <c r="A15" s="767"/>
      <c r="B15" s="767"/>
      <c r="C15" s="24" t="s">
        <v>42</v>
      </c>
      <c r="D15" s="767"/>
      <c r="E15" s="781"/>
      <c r="F15" s="353"/>
      <c r="G15" s="350"/>
      <c r="H15" s="350"/>
      <c r="I15" s="190"/>
      <c r="J15" s="190"/>
      <c r="K15" s="298"/>
      <c r="L15" s="298"/>
      <c r="M15" s="298"/>
      <c r="N15" s="296"/>
      <c r="O15" s="247"/>
      <c r="P15" s="247"/>
      <c r="Q15" s="247"/>
      <c r="R15" s="247"/>
      <c r="S15" s="249"/>
      <c r="T15" s="184"/>
      <c r="U15" s="184"/>
      <c r="V15" s="184"/>
      <c r="W15" s="184"/>
      <c r="X15" s="184"/>
      <c r="Y15" s="184"/>
      <c r="Z15" s="184"/>
      <c r="AA15" s="184"/>
      <c r="AB15" s="184"/>
      <c r="AC15" s="184"/>
    </row>
    <row r="16" spans="1:30" ht="30.75" customHeight="1">
      <c r="A16" s="767"/>
      <c r="B16" s="767"/>
      <c r="C16" s="25" t="s">
        <v>977</v>
      </c>
      <c r="D16" s="767"/>
      <c r="E16" s="781"/>
      <c r="F16" s="352"/>
      <c r="G16" s="350"/>
      <c r="H16" s="350"/>
      <c r="I16" s="354"/>
      <c r="J16" s="354"/>
      <c r="K16" s="296"/>
      <c r="L16" s="296"/>
      <c r="M16" s="298"/>
      <c r="N16" s="296"/>
      <c r="O16" s="247"/>
      <c r="P16" s="253"/>
      <c r="Q16" s="247"/>
      <c r="R16" s="247"/>
      <c r="S16" s="249"/>
      <c r="T16" s="184"/>
      <c r="U16" s="184"/>
      <c r="V16" s="184"/>
      <c r="W16" s="184"/>
      <c r="X16" s="184"/>
      <c r="Y16" s="184"/>
      <c r="Z16" s="184"/>
      <c r="AA16" s="184"/>
      <c r="AB16" s="184"/>
      <c r="AC16" s="184"/>
    </row>
    <row r="17" spans="1:29" ht="36" customHeight="1">
      <c r="A17" s="768"/>
      <c r="B17" s="768"/>
      <c r="C17" s="25" t="s">
        <v>70</v>
      </c>
      <c r="D17" s="768"/>
      <c r="E17" s="782"/>
      <c r="F17" s="295"/>
      <c r="G17" s="295"/>
      <c r="H17" s="355"/>
      <c r="I17" s="295"/>
      <c r="J17" s="32"/>
      <c r="K17" s="295"/>
      <c r="L17" s="295"/>
      <c r="M17" s="295"/>
      <c r="N17" s="295"/>
      <c r="O17" s="32"/>
      <c r="P17" s="32"/>
      <c r="Q17" s="32"/>
      <c r="R17" s="32"/>
      <c r="S17" s="25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</row>
    <row r="18" spans="1:29" ht="16.5" customHeight="1">
      <c r="A18" s="41"/>
      <c r="B18" s="42" t="s">
        <v>85</v>
      </c>
      <c r="C18" s="42"/>
      <c r="D18" s="42"/>
      <c r="E18" s="195"/>
      <c r="F18" s="356"/>
      <c r="G18" s="357"/>
      <c r="H18" s="358"/>
      <c r="I18" s="196"/>
      <c r="J18" s="196"/>
      <c r="K18" s="301"/>
      <c r="L18" s="301"/>
      <c r="M18" s="301"/>
      <c r="N18" s="301"/>
      <c r="O18" s="255"/>
      <c r="P18" s="257"/>
      <c r="Q18" s="255"/>
      <c r="R18" s="255"/>
      <c r="S18" s="35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</row>
    <row r="19" spans="1:29" ht="26.25" customHeight="1">
      <c r="A19" s="46">
        <v>1</v>
      </c>
      <c r="B19" s="47" t="s">
        <v>87</v>
      </c>
      <c r="C19" s="47" t="s">
        <v>88</v>
      </c>
      <c r="D19" s="46"/>
      <c r="E19" s="200"/>
      <c r="F19" s="19"/>
      <c r="G19" s="360"/>
      <c r="H19" s="361"/>
      <c r="I19" s="202"/>
      <c r="J19" s="202"/>
      <c r="K19" s="362"/>
      <c r="L19" s="362"/>
      <c r="M19" s="362"/>
      <c r="N19" s="362"/>
      <c r="O19" s="258"/>
      <c r="P19" s="258"/>
      <c r="Q19" s="258"/>
      <c r="R19" s="258"/>
      <c r="S19" s="363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</row>
    <row r="20" spans="1:29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SUM(F20:R20)</f>
        <v>0</v>
      </c>
      <c r="F20" s="211"/>
      <c r="G20" s="211"/>
      <c r="H20" s="364"/>
      <c r="I20" s="210"/>
      <c r="J20" s="365"/>
      <c r="K20" s="366"/>
      <c r="L20" s="367"/>
      <c r="M20" s="367"/>
      <c r="N20" s="367"/>
      <c r="O20" s="286"/>
      <c r="P20" s="286"/>
      <c r="Q20" s="286"/>
      <c r="R20" s="286"/>
      <c r="S20" s="286"/>
      <c r="T20" s="263"/>
      <c r="U20" s="263"/>
      <c r="V20" s="263"/>
      <c r="W20" s="263"/>
      <c r="X20" s="263"/>
      <c r="Y20" s="263"/>
      <c r="Z20" s="263"/>
      <c r="AA20" s="263"/>
      <c r="AB20" s="263"/>
      <c r="AC20" s="263"/>
    </row>
    <row r="21" spans="1:29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368"/>
      <c r="G21" s="369"/>
      <c r="H21" s="351"/>
      <c r="I21" s="214"/>
      <c r="J21" s="368"/>
      <c r="K21" s="362"/>
      <c r="L21" s="362"/>
      <c r="M21" s="362"/>
      <c r="N21" s="362"/>
      <c r="O21" s="262"/>
      <c r="P21" s="262"/>
      <c r="Q21" s="262"/>
      <c r="R21" s="262"/>
      <c r="S21" s="37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</row>
    <row r="22" spans="1:29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368"/>
      <c r="G22" s="369"/>
      <c r="H22" s="351"/>
      <c r="I22" s="214"/>
      <c r="J22" s="368"/>
      <c r="K22" s="362"/>
      <c r="L22" s="362"/>
      <c r="M22" s="362"/>
      <c r="N22" s="362"/>
      <c r="O22" s="262"/>
      <c r="P22" s="262"/>
      <c r="Q22" s="262"/>
      <c r="R22" s="262"/>
      <c r="S22" s="37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</row>
    <row r="23" spans="1:29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368"/>
      <c r="G23" s="369"/>
      <c r="H23" s="351"/>
      <c r="I23" s="214"/>
      <c r="J23" s="368"/>
      <c r="K23" s="362"/>
      <c r="L23" s="362"/>
      <c r="M23" s="362"/>
      <c r="N23" s="362"/>
      <c r="O23" s="262"/>
      <c r="P23" s="262"/>
      <c r="Q23" s="262"/>
      <c r="R23" s="262"/>
      <c r="S23" s="37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</row>
    <row r="24" spans="1:29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368"/>
      <c r="G24" s="369"/>
      <c r="H24" s="351"/>
      <c r="I24" s="214"/>
      <c r="J24" s="368"/>
      <c r="K24" s="362"/>
      <c r="L24" s="362"/>
      <c r="M24" s="362"/>
      <c r="N24" s="362"/>
      <c r="O24" s="262"/>
      <c r="P24" s="262"/>
      <c r="Q24" s="262"/>
      <c r="R24" s="262"/>
      <c r="S24" s="37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</row>
    <row r="25" spans="1:29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211"/>
      <c r="G25" s="211"/>
      <c r="H25" s="364"/>
      <c r="I25" s="210"/>
      <c r="J25" s="211"/>
      <c r="K25" s="367"/>
      <c r="L25" s="367"/>
      <c r="M25" s="367"/>
      <c r="N25" s="367"/>
      <c r="O25" s="286"/>
      <c r="P25" s="286"/>
      <c r="Q25" s="286"/>
      <c r="R25" s="286"/>
      <c r="S25" s="286"/>
      <c r="T25" s="263"/>
      <c r="U25" s="263"/>
      <c r="V25" s="263"/>
      <c r="W25" s="263"/>
      <c r="X25" s="263"/>
      <c r="Y25" s="263"/>
      <c r="Z25" s="263"/>
      <c r="AA25" s="263"/>
      <c r="AB25" s="263"/>
      <c r="AC25" s="263"/>
    </row>
    <row r="26" spans="1:29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368"/>
      <c r="G26" s="369"/>
      <c r="H26" s="351"/>
      <c r="I26" s="214"/>
      <c r="J26" s="214"/>
      <c r="K26" s="362"/>
      <c r="L26" s="362"/>
      <c r="M26" s="362"/>
      <c r="N26" s="362"/>
      <c r="O26" s="262"/>
      <c r="P26" s="262"/>
      <c r="Q26" s="262"/>
      <c r="R26" s="262"/>
      <c r="S26" s="37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</row>
    <row r="27" spans="1:29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368"/>
      <c r="G27" s="369"/>
      <c r="H27" s="351"/>
      <c r="I27" s="214"/>
      <c r="J27" s="214"/>
      <c r="K27" s="362"/>
      <c r="L27" s="362"/>
      <c r="M27" s="362"/>
      <c r="N27" s="362"/>
      <c r="O27" s="262"/>
      <c r="P27" s="262"/>
      <c r="Q27" s="262"/>
      <c r="R27" s="262"/>
      <c r="S27" s="37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368"/>
      <c r="G28" s="369"/>
      <c r="H28" s="351"/>
      <c r="I28" s="214"/>
      <c r="J28" s="214"/>
      <c r="K28" s="362"/>
      <c r="L28" s="362"/>
      <c r="M28" s="362"/>
      <c r="N28" s="362"/>
      <c r="O28" s="262"/>
      <c r="P28" s="262"/>
      <c r="Q28" s="262"/>
      <c r="R28" s="262"/>
      <c r="S28" s="37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</row>
    <row r="29" spans="1:29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368"/>
      <c r="G29" s="369"/>
      <c r="H29" s="351"/>
      <c r="I29" s="214"/>
      <c r="J29" s="214"/>
      <c r="K29" s="362"/>
      <c r="L29" s="362"/>
      <c r="M29" s="362"/>
      <c r="N29" s="362"/>
      <c r="O29" s="262"/>
      <c r="P29" s="262"/>
      <c r="Q29" s="262"/>
      <c r="R29" s="262"/>
      <c r="S29" s="37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</row>
    <row r="30" spans="1:29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211"/>
      <c r="G30" s="211"/>
      <c r="H30" s="364"/>
      <c r="I30" s="210"/>
      <c r="J30" s="210"/>
      <c r="K30" s="367"/>
      <c r="L30" s="367"/>
      <c r="M30" s="367"/>
      <c r="N30" s="367"/>
      <c r="O30" s="286"/>
      <c r="P30" s="286"/>
      <c r="Q30" s="286"/>
      <c r="R30" s="286"/>
      <c r="S30" s="286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</row>
    <row r="31" spans="1:29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368"/>
      <c r="G31" s="369"/>
      <c r="H31" s="351"/>
      <c r="I31" s="214"/>
      <c r="J31" s="214"/>
      <c r="K31" s="362"/>
      <c r="L31" s="362"/>
      <c r="M31" s="362"/>
      <c r="N31" s="362"/>
      <c r="O31" s="262"/>
      <c r="P31" s="262"/>
      <c r="Q31" s="262"/>
      <c r="R31" s="262"/>
      <c r="S31" s="37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</row>
    <row r="32" spans="1:29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368"/>
      <c r="G32" s="369"/>
      <c r="H32" s="351"/>
      <c r="I32" s="214"/>
      <c r="J32" s="214"/>
      <c r="K32" s="362"/>
      <c r="L32" s="362"/>
      <c r="M32" s="362"/>
      <c r="N32" s="362"/>
      <c r="O32" s="262"/>
      <c r="P32" s="262"/>
      <c r="Q32" s="262"/>
      <c r="R32" s="262"/>
      <c r="S32" s="37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</row>
    <row r="33" spans="1:29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368"/>
      <c r="G33" s="369"/>
      <c r="H33" s="351"/>
      <c r="I33" s="214"/>
      <c r="J33" s="214"/>
      <c r="K33" s="362"/>
      <c r="L33" s="362"/>
      <c r="M33" s="362"/>
      <c r="N33" s="362"/>
      <c r="O33" s="262"/>
      <c r="P33" s="262"/>
      <c r="Q33" s="262"/>
      <c r="R33" s="262"/>
      <c r="S33" s="37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</row>
    <row r="34" spans="1:29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368"/>
      <c r="G34" s="369"/>
      <c r="H34" s="351"/>
      <c r="I34" s="214"/>
      <c r="J34" s="214"/>
      <c r="K34" s="362"/>
      <c r="L34" s="362"/>
      <c r="M34" s="362"/>
      <c r="N34" s="362"/>
      <c r="O34" s="262"/>
      <c r="P34" s="262"/>
      <c r="Q34" s="262"/>
      <c r="R34" s="262"/>
      <c r="S34" s="37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</row>
    <row r="35" spans="1:29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215"/>
      <c r="G35" s="369"/>
      <c r="H35" s="351"/>
      <c r="I35" s="214"/>
      <c r="J35" s="214"/>
      <c r="K35" s="362"/>
      <c r="L35" s="362"/>
      <c r="M35" s="362"/>
      <c r="N35" s="362"/>
      <c r="O35" s="262"/>
      <c r="P35" s="262"/>
      <c r="Q35" s="262"/>
      <c r="R35" s="262"/>
      <c r="S35" s="37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</row>
    <row r="36" spans="1:29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368"/>
      <c r="G36" s="369"/>
      <c r="H36" s="351"/>
      <c r="I36" s="214"/>
      <c r="J36" s="214"/>
      <c r="K36" s="362"/>
      <c r="L36" s="362"/>
      <c r="M36" s="362"/>
      <c r="N36" s="362"/>
      <c r="O36" s="262"/>
      <c r="P36" s="262"/>
      <c r="Q36" s="262"/>
      <c r="R36" s="262"/>
      <c r="S36" s="37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</row>
    <row r="37" spans="1:29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368"/>
      <c r="G37" s="369"/>
      <c r="H37" s="351"/>
      <c r="I37" s="214"/>
      <c r="J37" s="214"/>
      <c r="K37" s="371"/>
      <c r="L37" s="371"/>
      <c r="M37" s="371"/>
      <c r="N37" s="371"/>
      <c r="O37" s="261"/>
      <c r="P37" s="261"/>
      <c r="Q37" s="261"/>
      <c r="R37" s="261"/>
      <c r="S37" s="372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</row>
    <row r="38" spans="1:29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211"/>
      <c r="G38" s="211"/>
      <c r="H38" s="364"/>
      <c r="I38" s="210"/>
      <c r="J38" s="210"/>
      <c r="K38" s="367"/>
      <c r="L38" s="367"/>
      <c r="M38" s="367"/>
      <c r="N38" s="367"/>
      <c r="O38" s="286"/>
      <c r="P38" s="286"/>
      <c r="Q38" s="286"/>
      <c r="R38" s="286"/>
      <c r="S38" s="286"/>
      <c r="T38" s="263"/>
      <c r="U38" s="263"/>
      <c r="V38" s="263"/>
      <c r="W38" s="263"/>
      <c r="X38" s="263"/>
      <c r="Y38" s="263"/>
      <c r="Z38" s="263"/>
      <c r="AA38" s="263"/>
      <c r="AB38" s="263"/>
      <c r="AC38" s="263"/>
    </row>
    <row r="39" spans="1:29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368"/>
      <c r="G39" s="369"/>
      <c r="H39" s="351"/>
      <c r="I39" s="214"/>
      <c r="J39" s="214"/>
      <c r="K39" s="362"/>
      <c r="L39" s="362"/>
      <c r="M39" s="362"/>
      <c r="N39" s="362"/>
      <c r="O39" s="262"/>
      <c r="P39" s="262"/>
      <c r="Q39" s="262"/>
      <c r="R39" s="262"/>
      <c r="S39" s="37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</row>
    <row r="40" spans="1:29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368"/>
      <c r="G40" s="369"/>
      <c r="H40" s="351"/>
      <c r="I40" s="214"/>
      <c r="J40" s="214"/>
      <c r="K40" s="362"/>
      <c r="L40" s="362"/>
      <c r="M40" s="362"/>
      <c r="N40" s="362"/>
      <c r="O40" s="262"/>
      <c r="P40" s="262"/>
      <c r="Q40" s="262"/>
      <c r="R40" s="262"/>
      <c r="S40" s="37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</row>
    <row r="41" spans="1:29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368"/>
      <c r="G41" s="369"/>
      <c r="H41" s="351"/>
      <c r="I41" s="214"/>
      <c r="J41" s="214"/>
      <c r="K41" s="362"/>
      <c r="L41" s="362"/>
      <c r="M41" s="362"/>
      <c r="N41" s="362"/>
      <c r="O41" s="262"/>
      <c r="P41" s="262"/>
      <c r="Q41" s="262"/>
      <c r="R41" s="262"/>
      <c r="S41" s="37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</row>
    <row r="42" spans="1:29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368"/>
      <c r="G42" s="369"/>
      <c r="H42" s="351"/>
      <c r="I42" s="214"/>
      <c r="J42" s="214"/>
      <c r="K42" s="362"/>
      <c r="L42" s="362"/>
      <c r="M42" s="362"/>
      <c r="N42" s="362"/>
      <c r="O42" s="262"/>
      <c r="P42" s="262"/>
      <c r="Q42" s="262"/>
      <c r="R42" s="262"/>
      <c r="S42" s="37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</row>
    <row r="43" spans="1:29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368"/>
      <c r="G43" s="369"/>
      <c r="H43" s="351"/>
      <c r="I43" s="214"/>
      <c r="J43" s="214"/>
      <c r="K43" s="371"/>
      <c r="L43" s="371"/>
      <c r="M43" s="362"/>
      <c r="N43" s="371"/>
      <c r="O43" s="262"/>
      <c r="P43" s="261"/>
      <c r="Q43" s="261"/>
      <c r="R43" s="261"/>
      <c r="S43" s="372"/>
      <c r="T43" s="264"/>
      <c r="U43" s="264"/>
      <c r="V43" s="264"/>
      <c r="W43" s="264"/>
      <c r="X43" s="264"/>
      <c r="Y43" s="264"/>
      <c r="Z43" s="264"/>
      <c r="AA43" s="264"/>
      <c r="AB43" s="264"/>
      <c r="AC43" s="264"/>
    </row>
    <row r="44" spans="1:29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368"/>
      <c r="G44" s="369"/>
      <c r="H44" s="351"/>
      <c r="I44" s="214"/>
      <c r="J44" s="214"/>
      <c r="K44" s="362"/>
      <c r="L44" s="362"/>
      <c r="M44" s="362"/>
      <c r="N44" s="362"/>
      <c r="O44" s="262"/>
      <c r="P44" s="262"/>
      <c r="Q44" s="262"/>
      <c r="R44" s="262"/>
      <c r="S44" s="37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</row>
    <row r="45" spans="1:29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368"/>
      <c r="G45" s="369"/>
      <c r="H45" s="351"/>
      <c r="I45" s="214"/>
      <c r="J45" s="214"/>
      <c r="K45" s="362"/>
      <c r="L45" s="362"/>
      <c r="M45" s="362"/>
      <c r="N45" s="362"/>
      <c r="O45" s="262"/>
      <c r="P45" s="262"/>
      <c r="Q45" s="262"/>
      <c r="R45" s="262"/>
      <c r="S45" s="37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</row>
    <row r="46" spans="1:29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368"/>
      <c r="G46" s="369"/>
      <c r="H46" s="351"/>
      <c r="I46" s="214"/>
      <c r="J46" s="214"/>
      <c r="K46" s="362"/>
      <c r="L46" s="362"/>
      <c r="M46" s="362"/>
      <c r="N46" s="362"/>
      <c r="O46" s="262"/>
      <c r="P46" s="262"/>
      <c r="Q46" s="262"/>
      <c r="R46" s="262"/>
      <c r="S46" s="37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</row>
    <row r="47" spans="1:29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368"/>
      <c r="G47" s="369"/>
      <c r="H47" s="351"/>
      <c r="I47" s="214"/>
      <c r="J47" s="214"/>
      <c r="K47" s="362"/>
      <c r="L47" s="362"/>
      <c r="M47" s="362"/>
      <c r="N47" s="362"/>
      <c r="O47" s="262"/>
      <c r="P47" s="262"/>
      <c r="Q47" s="262"/>
      <c r="R47" s="262"/>
      <c r="S47" s="37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</row>
    <row r="48" spans="1:29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368"/>
      <c r="G48" s="369"/>
      <c r="H48" s="351"/>
      <c r="I48" s="214"/>
      <c r="J48" s="214"/>
      <c r="K48" s="371"/>
      <c r="L48" s="371"/>
      <c r="M48" s="362"/>
      <c r="N48" s="362"/>
      <c r="O48" s="262"/>
      <c r="P48" s="261"/>
      <c r="Q48" s="261"/>
      <c r="R48" s="261"/>
      <c r="S48" s="372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</row>
    <row r="49" spans="1:29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368"/>
      <c r="G49" s="369"/>
      <c r="H49" s="351"/>
      <c r="I49" s="214"/>
      <c r="J49" s="214"/>
      <c r="K49" s="362"/>
      <c r="L49" s="362"/>
      <c r="M49" s="362"/>
      <c r="N49" s="362"/>
      <c r="O49" s="262"/>
      <c r="P49" s="262"/>
      <c r="Q49" s="262"/>
      <c r="R49" s="262"/>
      <c r="S49" s="37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</row>
    <row r="50" spans="1:29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368"/>
      <c r="G50" s="369"/>
      <c r="H50" s="351"/>
      <c r="I50" s="214"/>
      <c r="J50" s="214"/>
      <c r="K50" s="362"/>
      <c r="L50" s="362"/>
      <c r="M50" s="362"/>
      <c r="N50" s="362"/>
      <c r="O50" s="262"/>
      <c r="P50" s="262"/>
      <c r="Q50" s="262"/>
      <c r="R50" s="262"/>
      <c r="S50" s="37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</row>
    <row r="51" spans="1:29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368"/>
      <c r="G51" s="369"/>
      <c r="H51" s="351"/>
      <c r="I51" s="214"/>
      <c r="J51" s="214"/>
      <c r="K51" s="362"/>
      <c r="L51" s="362"/>
      <c r="M51" s="362"/>
      <c r="N51" s="362"/>
      <c r="O51" s="262"/>
      <c r="P51" s="262"/>
      <c r="Q51" s="262"/>
      <c r="R51" s="262"/>
      <c r="S51" s="37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</row>
    <row r="52" spans="1:29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368"/>
      <c r="G52" s="369"/>
      <c r="H52" s="351"/>
      <c r="I52" s="214"/>
      <c r="J52" s="214"/>
      <c r="K52" s="362"/>
      <c r="L52" s="362"/>
      <c r="M52" s="362"/>
      <c r="N52" s="362"/>
      <c r="O52" s="262"/>
      <c r="P52" s="262"/>
      <c r="Q52" s="262"/>
      <c r="R52" s="262"/>
      <c r="S52" s="37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</row>
    <row r="53" spans="1:29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368"/>
      <c r="G53" s="369"/>
      <c r="H53" s="351"/>
      <c r="I53" s="214"/>
      <c r="J53" s="214"/>
      <c r="K53" s="373"/>
      <c r="L53" s="371"/>
      <c r="M53" s="373"/>
      <c r="N53" s="362"/>
      <c r="O53" s="262"/>
      <c r="P53" s="261"/>
      <c r="Q53" s="261"/>
      <c r="R53" s="261"/>
      <c r="S53" s="372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</row>
    <row r="54" spans="1:29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368"/>
      <c r="G54" s="369"/>
      <c r="H54" s="351"/>
      <c r="I54" s="214"/>
      <c r="J54" s="214"/>
      <c r="K54" s="362"/>
      <c r="L54" s="362"/>
      <c r="M54" s="362"/>
      <c r="N54" s="362"/>
      <c r="O54" s="262"/>
      <c r="P54" s="262"/>
      <c r="Q54" s="262"/>
      <c r="R54" s="262"/>
      <c r="S54" s="37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</row>
    <row r="55" spans="1:29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368"/>
      <c r="G55" s="369"/>
      <c r="H55" s="351"/>
      <c r="I55" s="214"/>
      <c r="J55" s="214"/>
      <c r="K55" s="362"/>
      <c r="L55" s="362"/>
      <c r="M55" s="362"/>
      <c r="N55" s="362"/>
      <c r="O55" s="262"/>
      <c r="P55" s="262"/>
      <c r="Q55" s="262"/>
      <c r="R55" s="262"/>
      <c r="S55" s="37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</row>
    <row r="56" spans="1:29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368"/>
      <c r="G56" s="369"/>
      <c r="H56" s="351"/>
      <c r="I56" s="214"/>
      <c r="J56" s="214"/>
      <c r="K56" s="362"/>
      <c r="L56" s="362"/>
      <c r="M56" s="362"/>
      <c r="N56" s="362"/>
      <c r="O56" s="262"/>
      <c r="P56" s="262"/>
      <c r="Q56" s="262"/>
      <c r="R56" s="262"/>
      <c r="S56" s="37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</row>
    <row r="57" spans="1:29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368"/>
      <c r="G57" s="369"/>
      <c r="H57" s="351"/>
      <c r="I57" s="214"/>
      <c r="J57" s="214"/>
      <c r="K57" s="362"/>
      <c r="L57" s="362"/>
      <c r="M57" s="362"/>
      <c r="N57" s="362"/>
      <c r="O57" s="262"/>
      <c r="P57" s="262"/>
      <c r="Q57" s="262"/>
      <c r="R57" s="262"/>
      <c r="S57" s="37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</row>
    <row r="58" spans="1:29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368"/>
      <c r="G58" s="369"/>
      <c r="H58" s="351"/>
      <c r="I58" s="374"/>
      <c r="J58" s="374"/>
      <c r="K58" s="371"/>
      <c r="L58" s="371"/>
      <c r="M58" s="362"/>
      <c r="N58" s="362"/>
      <c r="O58" s="262"/>
      <c r="P58" s="261"/>
      <c r="Q58" s="261"/>
      <c r="R58" s="261"/>
      <c r="S58" s="37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</row>
    <row r="59" spans="1:29" ht="18.75" hidden="1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368"/>
      <c r="G59" s="369"/>
      <c r="H59" s="351"/>
      <c r="I59" s="214"/>
      <c r="J59" s="214"/>
      <c r="K59" s="362"/>
      <c r="L59" s="362"/>
      <c r="M59" s="362"/>
      <c r="N59" s="362"/>
      <c r="O59" s="262"/>
      <c r="P59" s="262"/>
      <c r="Q59" s="262"/>
      <c r="R59" s="262"/>
      <c r="S59" s="37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</row>
    <row r="60" spans="1:29" ht="18.75" hidden="1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368"/>
      <c r="G60" s="369"/>
      <c r="H60" s="351"/>
      <c r="I60" s="214"/>
      <c r="J60" s="214"/>
      <c r="K60" s="362"/>
      <c r="L60" s="362"/>
      <c r="M60" s="362"/>
      <c r="N60" s="362"/>
      <c r="O60" s="262"/>
      <c r="P60" s="262"/>
      <c r="Q60" s="262"/>
      <c r="R60" s="262"/>
      <c r="S60" s="37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</row>
    <row r="61" spans="1:29" ht="18.75" hidden="1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368"/>
      <c r="G61" s="369"/>
      <c r="H61" s="351"/>
      <c r="I61" s="214"/>
      <c r="J61" s="214"/>
      <c r="K61" s="362"/>
      <c r="L61" s="362"/>
      <c r="M61" s="362"/>
      <c r="N61" s="362"/>
      <c r="O61" s="262"/>
      <c r="P61" s="262"/>
      <c r="Q61" s="262"/>
      <c r="R61" s="262"/>
      <c r="S61" s="37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</row>
    <row r="62" spans="1:29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368"/>
      <c r="G62" s="369"/>
      <c r="H62" s="351"/>
      <c r="I62" s="214"/>
      <c r="J62" s="214"/>
      <c r="K62" s="371"/>
      <c r="L62" s="371"/>
      <c r="M62" s="362"/>
      <c r="N62" s="362"/>
      <c r="O62" s="262"/>
      <c r="P62" s="261"/>
      <c r="Q62" s="261"/>
      <c r="R62" s="261"/>
      <c r="S62" s="372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</row>
    <row r="63" spans="1:29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368"/>
      <c r="G63" s="369"/>
      <c r="H63" s="351"/>
      <c r="I63" s="214"/>
      <c r="J63" s="214"/>
      <c r="K63" s="371"/>
      <c r="L63" s="371"/>
      <c r="M63" s="362"/>
      <c r="N63" s="362"/>
      <c r="O63" s="262"/>
      <c r="P63" s="261"/>
      <c r="Q63" s="261"/>
      <c r="R63" s="261"/>
      <c r="S63" s="372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</row>
    <row r="64" spans="1:29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368"/>
      <c r="G64" s="369"/>
      <c r="H64" s="351"/>
      <c r="I64" s="214"/>
      <c r="J64" s="214"/>
      <c r="K64" s="371"/>
      <c r="L64" s="371"/>
      <c r="M64" s="362"/>
      <c r="N64" s="362"/>
      <c r="O64" s="262"/>
      <c r="P64" s="261"/>
      <c r="Q64" s="261"/>
      <c r="R64" s="261"/>
      <c r="S64" s="372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</row>
    <row r="65" spans="1:29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368"/>
      <c r="G65" s="369"/>
      <c r="H65" s="351"/>
      <c r="I65" s="214"/>
      <c r="J65" s="214"/>
      <c r="K65" s="371"/>
      <c r="L65" s="371"/>
      <c r="M65" s="362"/>
      <c r="N65" s="362"/>
      <c r="O65" s="262"/>
      <c r="P65" s="261"/>
      <c r="Q65" s="261"/>
      <c r="R65" s="261"/>
      <c r="S65" s="372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</row>
    <row r="66" spans="1:29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368"/>
      <c r="G66" s="369"/>
      <c r="H66" s="351"/>
      <c r="I66" s="214"/>
      <c r="J66" s="214"/>
      <c r="K66" s="371"/>
      <c r="L66" s="371"/>
      <c r="M66" s="362"/>
      <c r="N66" s="362"/>
      <c r="O66" s="262"/>
      <c r="P66" s="261"/>
      <c r="Q66" s="261"/>
      <c r="R66" s="261"/>
      <c r="S66" s="372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</row>
    <row r="67" spans="1:29" ht="18.75" hidden="1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368"/>
      <c r="G67" s="369"/>
      <c r="H67" s="351"/>
      <c r="I67" s="214"/>
      <c r="J67" s="214"/>
      <c r="K67" s="362"/>
      <c r="L67" s="362"/>
      <c r="M67" s="362"/>
      <c r="N67" s="362"/>
      <c r="O67" s="262"/>
      <c r="P67" s="262"/>
      <c r="Q67" s="262"/>
      <c r="R67" s="262"/>
      <c r="S67" s="37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</row>
    <row r="68" spans="1:29" ht="18.75" hidden="1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368"/>
      <c r="G68" s="369"/>
      <c r="H68" s="351"/>
      <c r="I68" s="214"/>
      <c r="J68" s="214"/>
      <c r="K68" s="362"/>
      <c r="L68" s="362"/>
      <c r="M68" s="362"/>
      <c r="N68" s="362"/>
      <c r="O68" s="262"/>
      <c r="P68" s="262"/>
      <c r="Q68" s="262"/>
      <c r="R68" s="262"/>
      <c r="S68" s="37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</row>
    <row r="69" spans="1:29" ht="18.75" hidden="1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368"/>
      <c r="G69" s="369"/>
      <c r="H69" s="351"/>
      <c r="I69" s="214"/>
      <c r="J69" s="214"/>
      <c r="K69" s="362"/>
      <c r="L69" s="362"/>
      <c r="M69" s="362"/>
      <c r="N69" s="362"/>
      <c r="O69" s="262"/>
      <c r="P69" s="262"/>
      <c r="Q69" s="262"/>
      <c r="R69" s="262"/>
      <c r="S69" s="37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</row>
    <row r="70" spans="1:29" ht="18.75" hidden="1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368"/>
      <c r="G70" s="369"/>
      <c r="H70" s="351"/>
      <c r="I70" s="214"/>
      <c r="J70" s="214"/>
      <c r="K70" s="362"/>
      <c r="L70" s="362"/>
      <c r="M70" s="362"/>
      <c r="N70" s="362"/>
      <c r="O70" s="262"/>
      <c r="P70" s="262"/>
      <c r="Q70" s="262"/>
      <c r="R70" s="262"/>
      <c r="S70" s="37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</row>
    <row r="71" spans="1:29" ht="63" hidden="1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368"/>
      <c r="G71" s="369"/>
      <c r="H71" s="351"/>
      <c r="I71" s="214"/>
      <c r="J71" s="214"/>
      <c r="K71" s="362"/>
      <c r="L71" s="362"/>
      <c r="M71" s="362"/>
      <c r="N71" s="362"/>
      <c r="O71" s="262"/>
      <c r="P71" s="262"/>
      <c r="Q71" s="262"/>
      <c r="R71" s="262"/>
      <c r="S71" s="370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</row>
    <row r="72" spans="1:29" ht="18.75" hidden="1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368"/>
      <c r="G72" s="369"/>
      <c r="H72" s="351"/>
      <c r="I72" s="214"/>
      <c r="J72" s="214"/>
      <c r="K72" s="362"/>
      <c r="L72" s="362"/>
      <c r="M72" s="362"/>
      <c r="N72" s="362"/>
      <c r="O72" s="262"/>
      <c r="P72" s="262"/>
      <c r="Q72" s="262"/>
      <c r="R72" s="262"/>
      <c r="S72" s="37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</row>
    <row r="73" spans="1:29" ht="18.75" hidden="1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368"/>
      <c r="G73" s="369"/>
      <c r="H73" s="351"/>
      <c r="I73" s="214"/>
      <c r="J73" s="214"/>
      <c r="K73" s="362"/>
      <c r="L73" s="362"/>
      <c r="M73" s="362"/>
      <c r="N73" s="362"/>
      <c r="O73" s="262"/>
      <c r="P73" s="262"/>
      <c r="Q73" s="262"/>
      <c r="R73" s="262"/>
      <c r="S73" s="37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</row>
    <row r="74" spans="1:29" ht="18.75" hidden="1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368"/>
      <c r="G74" s="369"/>
      <c r="H74" s="351"/>
      <c r="I74" s="214"/>
      <c r="J74" s="214"/>
      <c r="K74" s="362"/>
      <c r="L74" s="362"/>
      <c r="M74" s="362"/>
      <c r="N74" s="362"/>
      <c r="O74" s="262"/>
      <c r="P74" s="262"/>
      <c r="Q74" s="262"/>
      <c r="R74" s="262"/>
      <c r="S74" s="37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</row>
    <row r="75" spans="1:29" ht="35.25" hidden="1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368"/>
      <c r="G75" s="369"/>
      <c r="H75" s="351"/>
      <c r="I75" s="214"/>
      <c r="J75" s="214"/>
      <c r="K75" s="362"/>
      <c r="L75" s="362"/>
      <c r="M75" s="362"/>
      <c r="N75" s="362"/>
      <c r="O75" s="262"/>
      <c r="P75" s="262"/>
      <c r="Q75" s="262"/>
      <c r="R75" s="262"/>
      <c r="S75" s="37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</row>
    <row r="76" spans="1:29" ht="15.7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368"/>
      <c r="G76" s="369"/>
      <c r="H76" s="351"/>
      <c r="I76" s="214"/>
      <c r="J76" s="214"/>
      <c r="K76" s="371"/>
      <c r="L76" s="371"/>
      <c r="M76" s="362"/>
      <c r="N76" s="375"/>
      <c r="O76" s="262"/>
      <c r="P76" s="261"/>
      <c r="Q76" s="261"/>
      <c r="R76" s="261"/>
      <c r="S76" s="372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</row>
    <row r="77" spans="1:29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368"/>
      <c r="G77" s="369"/>
      <c r="H77" s="351"/>
      <c r="I77" s="214"/>
      <c r="J77" s="214"/>
      <c r="K77" s="371"/>
      <c r="L77" s="371"/>
      <c r="M77" s="362"/>
      <c r="N77" s="362"/>
      <c r="O77" s="262"/>
      <c r="P77" s="261"/>
      <c r="Q77" s="261"/>
      <c r="R77" s="261"/>
      <c r="S77" s="372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</row>
    <row r="78" spans="1:29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368"/>
      <c r="G78" s="369"/>
      <c r="H78" s="351"/>
      <c r="I78" s="214"/>
      <c r="J78" s="214"/>
      <c r="K78" s="371"/>
      <c r="L78" s="371"/>
      <c r="M78" s="362"/>
      <c r="N78" s="362"/>
      <c r="O78" s="262"/>
      <c r="P78" s="261"/>
      <c r="Q78" s="261"/>
      <c r="R78" s="261"/>
      <c r="S78" s="372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</row>
    <row r="79" spans="1:29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368"/>
      <c r="G79" s="369"/>
      <c r="H79" s="351"/>
      <c r="I79" s="214"/>
      <c r="J79" s="214"/>
      <c r="K79" s="371"/>
      <c r="L79" s="371"/>
      <c r="M79" s="362"/>
      <c r="N79" s="362"/>
      <c r="O79" s="262"/>
      <c r="P79" s="261"/>
      <c r="Q79" s="261"/>
      <c r="R79" s="261"/>
      <c r="S79" s="372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</row>
    <row r="80" spans="1:29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368"/>
      <c r="G80" s="369"/>
      <c r="H80" s="351"/>
      <c r="I80" s="214"/>
      <c r="J80" s="214"/>
      <c r="K80" s="371"/>
      <c r="L80" s="371"/>
      <c r="M80" s="362"/>
      <c r="N80" s="362"/>
      <c r="O80" s="262"/>
      <c r="P80" s="261"/>
      <c r="Q80" s="261"/>
      <c r="R80" s="261"/>
      <c r="S80" s="372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</row>
    <row r="81" spans="1:29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368"/>
      <c r="G81" s="369"/>
      <c r="H81" s="351"/>
      <c r="I81" s="214"/>
      <c r="J81" s="214"/>
      <c r="K81" s="371"/>
      <c r="L81" s="371"/>
      <c r="M81" s="362"/>
      <c r="N81" s="362"/>
      <c r="O81" s="262"/>
      <c r="P81" s="261"/>
      <c r="Q81" s="261"/>
      <c r="R81" s="261"/>
      <c r="S81" s="372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</row>
    <row r="82" spans="1:29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368"/>
      <c r="G82" s="369"/>
      <c r="H82" s="351"/>
      <c r="I82" s="214"/>
      <c r="J82" s="214"/>
      <c r="K82" s="371"/>
      <c r="L82" s="371"/>
      <c r="M82" s="362"/>
      <c r="N82" s="362"/>
      <c r="O82" s="262"/>
      <c r="P82" s="261"/>
      <c r="Q82" s="261"/>
      <c r="R82" s="261"/>
      <c r="S82" s="372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</row>
    <row r="83" spans="1:29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368"/>
      <c r="G83" s="369"/>
      <c r="H83" s="351"/>
      <c r="I83" s="214"/>
      <c r="J83" s="214"/>
      <c r="K83" s="371"/>
      <c r="L83" s="371"/>
      <c r="M83" s="362"/>
      <c r="N83" s="362"/>
      <c r="O83" s="262"/>
      <c r="P83" s="261"/>
      <c r="Q83" s="261"/>
      <c r="R83" s="261"/>
      <c r="S83" s="372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</row>
    <row r="84" spans="1:29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368"/>
      <c r="G84" s="369"/>
      <c r="H84" s="351"/>
      <c r="I84" s="214"/>
      <c r="J84" s="214"/>
      <c r="K84" s="371"/>
      <c r="L84" s="371"/>
      <c r="M84" s="362"/>
      <c r="N84" s="362"/>
      <c r="O84" s="262"/>
      <c r="P84" s="261"/>
      <c r="Q84" s="261"/>
      <c r="R84" s="261"/>
      <c r="S84" s="372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</row>
    <row r="85" spans="1:29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368"/>
      <c r="G85" s="369"/>
      <c r="H85" s="351"/>
      <c r="I85" s="214"/>
      <c r="J85" s="214"/>
      <c r="K85" s="371"/>
      <c r="L85" s="371"/>
      <c r="M85" s="362"/>
      <c r="N85" s="362"/>
      <c r="O85" s="262"/>
      <c r="P85" s="261"/>
      <c r="Q85" s="261"/>
      <c r="R85" s="261"/>
      <c r="S85" s="372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</row>
    <row r="86" spans="1:29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368"/>
      <c r="G86" s="369"/>
      <c r="H86" s="351"/>
      <c r="I86" s="214"/>
      <c r="J86" s="214"/>
      <c r="K86" s="371"/>
      <c r="L86" s="371"/>
      <c r="M86" s="362"/>
      <c r="N86" s="362"/>
      <c r="O86" s="262"/>
      <c r="P86" s="261"/>
      <c r="Q86" s="261"/>
      <c r="R86" s="261"/>
      <c r="S86" s="372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</row>
    <row r="87" spans="1:29" ht="18.75" hidden="1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368"/>
      <c r="G87" s="369"/>
      <c r="H87" s="351"/>
      <c r="I87" s="214"/>
      <c r="J87" s="214"/>
      <c r="K87" s="362"/>
      <c r="L87" s="362"/>
      <c r="M87" s="362"/>
      <c r="N87" s="362"/>
      <c r="O87" s="262"/>
      <c r="P87" s="262"/>
      <c r="Q87" s="262"/>
      <c r="R87" s="262"/>
      <c r="S87" s="37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</row>
    <row r="88" spans="1:29" ht="31.5" hidden="1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368"/>
      <c r="G88" s="369"/>
      <c r="H88" s="351"/>
      <c r="I88" s="214"/>
      <c r="J88" s="214"/>
      <c r="K88" s="362"/>
      <c r="L88" s="362"/>
      <c r="M88" s="362"/>
      <c r="N88" s="362"/>
      <c r="O88" s="262"/>
      <c r="P88" s="262"/>
      <c r="Q88" s="262"/>
      <c r="R88" s="262"/>
      <c r="S88" s="37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</row>
    <row r="89" spans="1:29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368"/>
      <c r="G89" s="369"/>
      <c r="H89" s="351"/>
      <c r="I89" s="214"/>
      <c r="J89" s="214"/>
      <c r="K89" s="371"/>
      <c r="L89" s="371"/>
      <c r="M89" s="362"/>
      <c r="N89" s="362"/>
      <c r="O89" s="262"/>
      <c r="P89" s="261"/>
      <c r="Q89" s="261"/>
      <c r="R89" s="261"/>
      <c r="S89" s="372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</row>
    <row r="90" spans="1:29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368"/>
      <c r="G90" s="369"/>
      <c r="H90" s="351"/>
      <c r="I90" s="214"/>
      <c r="J90" s="214"/>
      <c r="K90" s="371"/>
      <c r="L90" s="371"/>
      <c r="M90" s="362"/>
      <c r="N90" s="362"/>
      <c r="O90" s="262"/>
      <c r="P90" s="261"/>
      <c r="Q90" s="261"/>
      <c r="R90" s="261"/>
      <c r="S90" s="372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</row>
    <row r="91" spans="1:29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368"/>
      <c r="G91" s="369"/>
      <c r="H91" s="351"/>
      <c r="I91" s="214"/>
      <c r="J91" s="214"/>
      <c r="K91" s="371"/>
      <c r="L91" s="371"/>
      <c r="M91" s="362"/>
      <c r="N91" s="362"/>
      <c r="O91" s="262"/>
      <c r="P91" s="261"/>
      <c r="Q91" s="261"/>
      <c r="R91" s="261"/>
      <c r="S91" s="372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</row>
    <row r="92" spans="1:29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368"/>
      <c r="G92" s="369"/>
      <c r="H92" s="351"/>
      <c r="I92" s="214"/>
      <c r="J92" s="214"/>
      <c r="K92" s="371"/>
      <c r="L92" s="371"/>
      <c r="M92" s="362"/>
      <c r="N92" s="362"/>
      <c r="O92" s="262"/>
      <c r="P92" s="261"/>
      <c r="Q92" s="261"/>
      <c r="R92" s="261"/>
      <c r="S92" s="372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</row>
    <row r="93" spans="1:29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368"/>
      <c r="G93" s="369"/>
      <c r="H93" s="351"/>
      <c r="I93" s="214"/>
      <c r="J93" s="214"/>
      <c r="K93" s="371"/>
      <c r="L93" s="371"/>
      <c r="M93" s="362"/>
      <c r="N93" s="362"/>
      <c r="O93" s="262"/>
      <c r="P93" s="261"/>
      <c r="Q93" s="261"/>
      <c r="R93" s="261"/>
      <c r="S93" s="372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</row>
    <row r="94" spans="1:29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368"/>
      <c r="G94" s="369"/>
      <c r="H94" s="351"/>
      <c r="I94" s="214"/>
      <c r="J94" s="214"/>
      <c r="K94" s="371"/>
      <c r="L94" s="371"/>
      <c r="M94" s="362"/>
      <c r="N94" s="362"/>
      <c r="O94" s="262"/>
      <c r="P94" s="261"/>
      <c r="Q94" s="261"/>
      <c r="R94" s="261"/>
      <c r="S94" s="372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</row>
    <row r="95" spans="1:29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368"/>
      <c r="G95" s="369"/>
      <c r="H95" s="351"/>
      <c r="I95" s="214"/>
      <c r="J95" s="214"/>
      <c r="K95" s="371"/>
      <c r="L95" s="371"/>
      <c r="M95" s="362"/>
      <c r="N95" s="362"/>
      <c r="O95" s="262"/>
      <c r="P95" s="261"/>
      <c r="Q95" s="261"/>
      <c r="R95" s="261"/>
      <c r="S95" s="372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</row>
    <row r="96" spans="1:29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368"/>
      <c r="G96" s="369"/>
      <c r="H96" s="351"/>
      <c r="I96" s="214"/>
      <c r="J96" s="214"/>
      <c r="K96" s="371"/>
      <c r="L96" s="371"/>
      <c r="M96" s="362"/>
      <c r="N96" s="362"/>
      <c r="O96" s="262"/>
      <c r="P96" s="261"/>
      <c r="Q96" s="261"/>
      <c r="R96" s="261"/>
      <c r="S96" s="372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</row>
    <row r="97" spans="1:29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368"/>
      <c r="G97" s="369"/>
      <c r="H97" s="351"/>
      <c r="I97" s="214"/>
      <c r="J97" s="214"/>
      <c r="K97" s="371"/>
      <c r="L97" s="371"/>
      <c r="M97" s="362"/>
      <c r="N97" s="362"/>
      <c r="O97" s="262"/>
      <c r="P97" s="261"/>
      <c r="Q97" s="261"/>
      <c r="R97" s="261"/>
      <c r="S97" s="372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</row>
    <row r="98" spans="1:29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368"/>
      <c r="G98" s="369"/>
      <c r="H98" s="351"/>
      <c r="I98" s="214"/>
      <c r="J98" s="214"/>
      <c r="K98" s="371"/>
      <c r="L98" s="371"/>
      <c r="M98" s="362"/>
      <c r="N98" s="362"/>
      <c r="O98" s="262"/>
      <c r="P98" s="261"/>
      <c r="Q98" s="261"/>
      <c r="R98" s="261"/>
      <c r="S98" s="372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</row>
    <row r="99" spans="1:29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368"/>
      <c r="G99" s="369"/>
      <c r="H99" s="351"/>
      <c r="I99" s="214"/>
      <c r="J99" s="214"/>
      <c r="K99" s="371"/>
      <c r="L99" s="371"/>
      <c r="M99" s="362"/>
      <c r="N99" s="362"/>
      <c r="O99" s="262"/>
      <c r="P99" s="261"/>
      <c r="Q99" s="261"/>
      <c r="R99" s="261"/>
      <c r="S99" s="372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</row>
    <row r="100" spans="1:29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368"/>
      <c r="G100" s="369"/>
      <c r="H100" s="351"/>
      <c r="I100" s="214"/>
      <c r="J100" s="214"/>
      <c r="K100" s="371"/>
      <c r="L100" s="371"/>
      <c r="M100" s="362"/>
      <c r="N100" s="362"/>
      <c r="O100" s="262"/>
      <c r="P100" s="261"/>
      <c r="Q100" s="261"/>
      <c r="R100" s="261"/>
      <c r="S100" s="372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</row>
    <row r="101" spans="1:29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368"/>
      <c r="G101" s="369"/>
      <c r="H101" s="351"/>
      <c r="I101" s="214"/>
      <c r="J101" s="214"/>
      <c r="K101" s="371"/>
      <c r="L101" s="371"/>
      <c r="M101" s="362"/>
      <c r="N101" s="362"/>
      <c r="O101" s="262"/>
      <c r="P101" s="261"/>
      <c r="Q101" s="261"/>
      <c r="R101" s="261"/>
      <c r="S101" s="372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</row>
    <row r="102" spans="1:29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368"/>
      <c r="G102" s="369"/>
      <c r="H102" s="351"/>
      <c r="I102" s="214"/>
      <c r="J102" s="214"/>
      <c r="K102" s="371"/>
      <c r="L102" s="371"/>
      <c r="M102" s="362"/>
      <c r="N102" s="362"/>
      <c r="O102" s="262"/>
      <c r="P102" s="261"/>
      <c r="Q102" s="261"/>
      <c r="R102" s="261"/>
      <c r="S102" s="372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</row>
    <row r="103" spans="1:29" ht="18.75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368"/>
      <c r="G103" s="369"/>
      <c r="H103" s="351"/>
      <c r="I103" s="214"/>
      <c r="J103" s="214"/>
      <c r="K103" s="371"/>
      <c r="L103" s="371"/>
      <c r="M103" s="362"/>
      <c r="N103" s="373"/>
      <c r="O103" s="262"/>
      <c r="P103" s="261"/>
      <c r="Q103" s="261"/>
      <c r="R103" s="261"/>
      <c r="S103" s="372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</row>
    <row r="104" spans="1:29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368"/>
      <c r="G104" s="369"/>
      <c r="H104" s="361"/>
      <c r="I104" s="214"/>
      <c r="J104" s="214"/>
      <c r="K104" s="373"/>
      <c r="L104" s="371"/>
      <c r="M104" s="362"/>
      <c r="N104" s="362"/>
      <c r="O104" s="273"/>
      <c r="P104" s="261"/>
      <c r="Q104" s="261"/>
      <c r="R104" s="261"/>
      <c r="S104" s="372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</row>
    <row r="105" spans="1:29" ht="18.75" hidden="1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368"/>
      <c r="G105" s="369"/>
      <c r="H105" s="361"/>
      <c r="I105" s="214"/>
      <c r="J105" s="214"/>
      <c r="K105" s="362"/>
      <c r="L105" s="362"/>
      <c r="M105" s="362"/>
      <c r="N105" s="362"/>
      <c r="O105" s="270"/>
      <c r="P105" s="262"/>
      <c r="Q105" s="262"/>
      <c r="R105" s="262"/>
      <c r="S105" s="37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</row>
    <row r="106" spans="1:29" ht="18.75" hidden="1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368"/>
      <c r="G106" s="369"/>
      <c r="H106" s="361"/>
      <c r="I106" s="214"/>
      <c r="J106" s="214"/>
      <c r="K106" s="362"/>
      <c r="L106" s="362"/>
      <c r="M106" s="362"/>
      <c r="N106" s="362"/>
      <c r="O106" s="270"/>
      <c r="P106" s="262"/>
      <c r="Q106" s="262"/>
      <c r="R106" s="262"/>
      <c r="S106" s="37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</row>
    <row r="107" spans="1:29" ht="18.75" hidden="1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368"/>
      <c r="G107" s="369"/>
      <c r="H107" s="351"/>
      <c r="I107" s="214"/>
      <c r="J107" s="214"/>
      <c r="K107" s="362"/>
      <c r="L107" s="362"/>
      <c r="M107" s="362"/>
      <c r="N107" s="362"/>
      <c r="O107" s="270"/>
      <c r="P107" s="262"/>
      <c r="Q107" s="262"/>
      <c r="R107" s="262"/>
      <c r="S107" s="37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</row>
    <row r="108" spans="1:29" ht="18.75" hidden="1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368"/>
      <c r="G108" s="369"/>
      <c r="H108" s="351"/>
      <c r="I108" s="214"/>
      <c r="J108" s="214"/>
      <c r="K108" s="362"/>
      <c r="L108" s="362"/>
      <c r="M108" s="362"/>
      <c r="N108" s="362"/>
      <c r="O108" s="270"/>
      <c r="P108" s="262"/>
      <c r="Q108" s="262"/>
      <c r="R108" s="262"/>
      <c r="S108" s="37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</row>
    <row r="109" spans="1:29" ht="18.75" hidden="1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368"/>
      <c r="G109" s="369"/>
      <c r="H109" s="351"/>
      <c r="I109" s="214"/>
      <c r="J109" s="214"/>
      <c r="K109" s="362"/>
      <c r="L109" s="362"/>
      <c r="M109" s="362"/>
      <c r="N109" s="362"/>
      <c r="O109" s="270"/>
      <c r="P109" s="262"/>
      <c r="Q109" s="262"/>
      <c r="R109" s="262"/>
      <c r="S109" s="37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</row>
    <row r="110" spans="1:29" ht="18.75" hidden="1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368"/>
      <c r="G110" s="369"/>
      <c r="H110" s="351"/>
      <c r="I110" s="214"/>
      <c r="J110" s="214"/>
      <c r="K110" s="362"/>
      <c r="L110" s="362"/>
      <c r="M110" s="362"/>
      <c r="N110" s="362"/>
      <c r="O110" s="270"/>
      <c r="P110" s="262"/>
      <c r="Q110" s="262"/>
      <c r="R110" s="262"/>
      <c r="S110" s="37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</row>
    <row r="111" spans="1:29" ht="18.75" hidden="1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368"/>
      <c r="G111" s="369"/>
      <c r="H111" s="351"/>
      <c r="I111" s="214"/>
      <c r="J111" s="214"/>
      <c r="K111" s="362"/>
      <c r="L111" s="362"/>
      <c r="M111" s="362"/>
      <c r="N111" s="362"/>
      <c r="O111" s="270"/>
      <c r="P111" s="262"/>
      <c r="Q111" s="262"/>
      <c r="R111" s="262"/>
      <c r="S111" s="37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</row>
    <row r="112" spans="1:29" ht="18.75" hidden="1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368"/>
      <c r="G112" s="369"/>
      <c r="H112" s="351"/>
      <c r="I112" s="214"/>
      <c r="J112" s="214"/>
      <c r="K112" s="362"/>
      <c r="L112" s="362"/>
      <c r="M112" s="362"/>
      <c r="N112" s="362"/>
      <c r="O112" s="270"/>
      <c r="P112" s="262"/>
      <c r="Q112" s="262"/>
      <c r="R112" s="262"/>
      <c r="S112" s="37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</row>
    <row r="113" spans="1:29" ht="18.75" hidden="1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368"/>
      <c r="G113" s="369"/>
      <c r="H113" s="351"/>
      <c r="I113" s="214"/>
      <c r="J113" s="214"/>
      <c r="K113" s="362"/>
      <c r="L113" s="362"/>
      <c r="M113" s="362"/>
      <c r="N113" s="362"/>
      <c r="O113" s="270"/>
      <c r="P113" s="262"/>
      <c r="Q113" s="262"/>
      <c r="R113" s="262"/>
      <c r="S113" s="37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</row>
    <row r="114" spans="1:29" ht="18.75" hidden="1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368"/>
      <c r="G114" s="369"/>
      <c r="H114" s="351"/>
      <c r="I114" s="214"/>
      <c r="J114" s="214"/>
      <c r="K114" s="362"/>
      <c r="L114" s="362"/>
      <c r="M114" s="362"/>
      <c r="N114" s="362"/>
      <c r="O114" s="270"/>
      <c r="P114" s="262"/>
      <c r="Q114" s="262"/>
      <c r="R114" s="262"/>
      <c r="S114" s="37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</row>
    <row r="115" spans="1:29" ht="18.75" hidden="1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368"/>
      <c r="G115" s="369"/>
      <c r="H115" s="351"/>
      <c r="I115" s="214"/>
      <c r="J115" s="214"/>
      <c r="K115" s="362"/>
      <c r="L115" s="362"/>
      <c r="M115" s="362"/>
      <c r="N115" s="362"/>
      <c r="O115" s="270"/>
      <c r="P115" s="262"/>
      <c r="Q115" s="262"/>
      <c r="R115" s="262"/>
      <c r="S115" s="37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</row>
    <row r="116" spans="1:29" ht="18.75" hidden="1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368"/>
      <c r="G116" s="369"/>
      <c r="H116" s="351"/>
      <c r="I116" s="214"/>
      <c r="J116" s="214"/>
      <c r="K116" s="362"/>
      <c r="L116" s="362"/>
      <c r="M116" s="362"/>
      <c r="N116" s="362"/>
      <c r="O116" s="270"/>
      <c r="P116" s="262"/>
      <c r="Q116" s="262"/>
      <c r="R116" s="262"/>
      <c r="S116" s="37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</row>
    <row r="117" spans="1:29" ht="18.75" hidden="1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368"/>
      <c r="G117" s="369"/>
      <c r="H117" s="351"/>
      <c r="I117" s="214"/>
      <c r="J117" s="214"/>
      <c r="K117" s="362"/>
      <c r="L117" s="362"/>
      <c r="M117" s="362"/>
      <c r="N117" s="362"/>
      <c r="O117" s="270"/>
      <c r="P117" s="262"/>
      <c r="Q117" s="262"/>
      <c r="R117" s="262"/>
      <c r="S117" s="37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</row>
    <row r="118" spans="1:29" ht="18.75" hidden="1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368"/>
      <c r="G118" s="369"/>
      <c r="H118" s="351"/>
      <c r="I118" s="214"/>
      <c r="J118" s="214"/>
      <c r="K118" s="362"/>
      <c r="L118" s="362"/>
      <c r="M118" s="362"/>
      <c r="N118" s="362"/>
      <c r="O118" s="270"/>
      <c r="P118" s="262"/>
      <c r="Q118" s="262"/>
      <c r="R118" s="262"/>
      <c r="S118" s="37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</row>
    <row r="119" spans="1:29" ht="18.75" hidden="1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368"/>
      <c r="G119" s="369"/>
      <c r="H119" s="351"/>
      <c r="I119" s="214"/>
      <c r="J119" s="214"/>
      <c r="K119" s="362"/>
      <c r="L119" s="362"/>
      <c r="M119" s="362"/>
      <c r="N119" s="362"/>
      <c r="O119" s="270"/>
      <c r="P119" s="262"/>
      <c r="Q119" s="262"/>
      <c r="R119" s="262"/>
      <c r="S119" s="37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</row>
    <row r="120" spans="1:29" ht="18.75" hidden="1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368"/>
      <c r="G120" s="369"/>
      <c r="H120" s="351"/>
      <c r="I120" s="214"/>
      <c r="J120" s="214"/>
      <c r="K120" s="362"/>
      <c r="L120" s="362"/>
      <c r="M120" s="362"/>
      <c r="N120" s="362"/>
      <c r="O120" s="270"/>
      <c r="P120" s="262"/>
      <c r="Q120" s="262"/>
      <c r="R120" s="262"/>
      <c r="S120" s="37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</row>
    <row r="121" spans="1:29" ht="18.75" hidden="1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368"/>
      <c r="G121" s="369"/>
      <c r="H121" s="351"/>
      <c r="I121" s="214"/>
      <c r="J121" s="214"/>
      <c r="K121" s="362"/>
      <c r="L121" s="362"/>
      <c r="M121" s="362"/>
      <c r="N121" s="362"/>
      <c r="O121" s="270"/>
      <c r="P121" s="262"/>
      <c r="Q121" s="262"/>
      <c r="R121" s="262"/>
      <c r="S121" s="37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</row>
    <row r="122" spans="1:29" ht="18.75" hidden="1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368"/>
      <c r="G122" s="369"/>
      <c r="H122" s="351"/>
      <c r="I122" s="214"/>
      <c r="J122" s="214"/>
      <c r="K122" s="362"/>
      <c r="L122" s="362"/>
      <c r="M122" s="362"/>
      <c r="N122" s="362"/>
      <c r="O122" s="270"/>
      <c r="P122" s="262"/>
      <c r="Q122" s="262"/>
      <c r="R122" s="262"/>
      <c r="S122" s="37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</row>
    <row r="123" spans="1:29" ht="18.75" hidden="1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368"/>
      <c r="G123" s="369"/>
      <c r="H123" s="351"/>
      <c r="I123" s="214"/>
      <c r="J123" s="214"/>
      <c r="K123" s="362"/>
      <c r="L123" s="362"/>
      <c r="M123" s="362"/>
      <c r="N123" s="362"/>
      <c r="O123" s="270"/>
      <c r="P123" s="262"/>
      <c r="Q123" s="262"/>
      <c r="R123" s="262"/>
      <c r="S123" s="37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</row>
    <row r="124" spans="1:29" ht="18.75" hidden="1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368"/>
      <c r="G124" s="369"/>
      <c r="H124" s="351"/>
      <c r="I124" s="214"/>
      <c r="J124" s="214"/>
      <c r="K124" s="362"/>
      <c r="L124" s="362"/>
      <c r="M124" s="362"/>
      <c r="N124" s="362"/>
      <c r="O124" s="270"/>
      <c r="P124" s="262"/>
      <c r="Q124" s="262"/>
      <c r="R124" s="262"/>
      <c r="S124" s="37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</row>
    <row r="125" spans="1:29" ht="18.75" hidden="1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368"/>
      <c r="G125" s="369"/>
      <c r="H125" s="351"/>
      <c r="I125" s="214"/>
      <c r="J125" s="214"/>
      <c r="K125" s="362"/>
      <c r="L125" s="362"/>
      <c r="M125" s="362"/>
      <c r="N125" s="362"/>
      <c r="O125" s="270"/>
      <c r="P125" s="262"/>
      <c r="Q125" s="262"/>
      <c r="R125" s="262"/>
      <c r="S125" s="37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</row>
    <row r="126" spans="1:29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368"/>
      <c r="G126" s="376"/>
      <c r="H126" s="377"/>
      <c r="I126" s="214"/>
      <c r="J126" s="214"/>
      <c r="K126" s="371"/>
      <c r="L126" s="371"/>
      <c r="M126" s="362"/>
      <c r="N126" s="362"/>
      <c r="O126" s="273"/>
      <c r="P126" s="261"/>
      <c r="Q126" s="261"/>
      <c r="R126" s="261"/>
      <c r="S126" s="372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</row>
    <row r="127" spans="1:29" ht="18.75" hidden="1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368"/>
      <c r="G127" s="369"/>
      <c r="H127" s="351"/>
      <c r="I127" s="214"/>
      <c r="J127" s="214"/>
      <c r="K127" s="362"/>
      <c r="L127" s="362"/>
      <c r="M127" s="362"/>
      <c r="N127" s="362"/>
      <c r="O127" s="262"/>
      <c r="P127" s="262"/>
      <c r="Q127" s="262"/>
      <c r="R127" s="262"/>
      <c r="S127" s="37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</row>
    <row r="128" spans="1:29" ht="18.75" hidden="1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368"/>
      <c r="G128" s="369"/>
      <c r="H128" s="351"/>
      <c r="I128" s="214"/>
      <c r="J128" s="214"/>
      <c r="K128" s="362"/>
      <c r="L128" s="362"/>
      <c r="M128" s="362"/>
      <c r="N128" s="362"/>
      <c r="O128" s="262"/>
      <c r="P128" s="262"/>
      <c r="Q128" s="262"/>
      <c r="R128" s="262"/>
      <c r="S128" s="37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</row>
    <row r="129" spans="1:29" ht="18.75" hidden="1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368"/>
      <c r="G129" s="369"/>
      <c r="H129" s="351"/>
      <c r="I129" s="214"/>
      <c r="J129" s="214"/>
      <c r="K129" s="362"/>
      <c r="L129" s="362"/>
      <c r="M129" s="362"/>
      <c r="N129" s="362"/>
      <c r="O129" s="262"/>
      <c r="P129" s="262"/>
      <c r="Q129" s="262"/>
      <c r="R129" s="262"/>
      <c r="S129" s="37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</row>
    <row r="130" spans="1:29" ht="18.75" hidden="1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368"/>
      <c r="G130" s="369"/>
      <c r="H130" s="351"/>
      <c r="I130" s="214"/>
      <c r="J130" s="214"/>
      <c r="K130" s="362"/>
      <c r="L130" s="362"/>
      <c r="M130" s="362"/>
      <c r="N130" s="362"/>
      <c r="O130" s="262"/>
      <c r="P130" s="262"/>
      <c r="Q130" s="262"/>
      <c r="R130" s="262"/>
      <c r="S130" s="37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</row>
    <row r="131" spans="1:29" ht="18.75" hidden="1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368"/>
      <c r="G131" s="369"/>
      <c r="H131" s="351"/>
      <c r="I131" s="214"/>
      <c r="J131" s="214"/>
      <c r="K131" s="362"/>
      <c r="L131" s="362"/>
      <c r="M131" s="362"/>
      <c r="N131" s="362"/>
      <c r="O131" s="262"/>
      <c r="P131" s="262"/>
      <c r="Q131" s="262"/>
      <c r="R131" s="262"/>
      <c r="S131" s="37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</row>
    <row r="132" spans="1:29" ht="18.75" hidden="1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368"/>
      <c r="G132" s="369"/>
      <c r="H132" s="351"/>
      <c r="I132" s="214"/>
      <c r="J132" s="214"/>
      <c r="K132" s="362"/>
      <c r="L132" s="362"/>
      <c r="M132" s="362"/>
      <c r="N132" s="362"/>
      <c r="O132" s="262"/>
      <c r="P132" s="262"/>
      <c r="Q132" s="262"/>
      <c r="R132" s="262"/>
      <c r="S132" s="37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</row>
    <row r="133" spans="1:29" ht="18.75" hidden="1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368"/>
      <c r="G133" s="369"/>
      <c r="H133" s="351"/>
      <c r="I133" s="214"/>
      <c r="J133" s="214"/>
      <c r="K133" s="362"/>
      <c r="L133" s="362"/>
      <c r="M133" s="362"/>
      <c r="N133" s="362"/>
      <c r="O133" s="262"/>
      <c r="P133" s="262"/>
      <c r="Q133" s="262"/>
      <c r="R133" s="262"/>
      <c r="S133" s="37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</row>
    <row r="134" spans="1:29" ht="18.75" hidden="1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368"/>
      <c r="G134" s="369"/>
      <c r="H134" s="351"/>
      <c r="I134" s="214"/>
      <c r="J134" s="214"/>
      <c r="K134" s="362"/>
      <c r="L134" s="362"/>
      <c r="M134" s="362"/>
      <c r="N134" s="362"/>
      <c r="O134" s="262"/>
      <c r="P134" s="262"/>
      <c r="Q134" s="262"/>
      <c r="R134" s="262"/>
      <c r="S134" s="37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</row>
    <row r="135" spans="1:29" ht="18.75" hidden="1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368"/>
      <c r="G135" s="369"/>
      <c r="H135" s="351"/>
      <c r="I135" s="214"/>
      <c r="J135" s="214"/>
      <c r="K135" s="362"/>
      <c r="L135" s="362"/>
      <c r="M135" s="362"/>
      <c r="N135" s="362"/>
      <c r="O135" s="262"/>
      <c r="P135" s="262"/>
      <c r="Q135" s="262"/>
      <c r="R135" s="262"/>
      <c r="S135" s="37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</row>
    <row r="136" spans="1:29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368"/>
      <c r="G136" s="369"/>
      <c r="H136" s="351"/>
      <c r="I136" s="214"/>
      <c r="J136" s="214"/>
      <c r="K136" s="371"/>
      <c r="L136" s="371"/>
      <c r="M136" s="362"/>
      <c r="N136" s="362"/>
      <c r="O136" s="262"/>
      <c r="P136" s="261"/>
      <c r="Q136" s="261"/>
      <c r="R136" s="261"/>
      <c r="S136" s="372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</row>
    <row r="137" spans="1:29" ht="18.75" hidden="1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368"/>
      <c r="G137" s="369"/>
      <c r="H137" s="351"/>
      <c r="I137" s="214"/>
      <c r="J137" s="214"/>
      <c r="K137" s="362"/>
      <c r="L137" s="362"/>
      <c r="M137" s="362"/>
      <c r="N137" s="362"/>
      <c r="O137" s="262"/>
      <c r="P137" s="262"/>
      <c r="Q137" s="262"/>
      <c r="R137" s="262"/>
      <c r="S137" s="37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</row>
    <row r="138" spans="1:29" ht="18.75" hidden="1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368"/>
      <c r="G138" s="369"/>
      <c r="H138" s="351"/>
      <c r="I138" s="214"/>
      <c r="J138" s="214"/>
      <c r="K138" s="362"/>
      <c r="L138" s="362"/>
      <c r="M138" s="362"/>
      <c r="N138" s="362"/>
      <c r="O138" s="262"/>
      <c r="P138" s="262"/>
      <c r="Q138" s="262"/>
      <c r="R138" s="262"/>
      <c r="S138" s="37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</row>
    <row r="139" spans="1:29" ht="18.75" hidden="1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368"/>
      <c r="G139" s="369"/>
      <c r="H139" s="351"/>
      <c r="I139" s="214"/>
      <c r="J139" s="214"/>
      <c r="K139" s="362"/>
      <c r="L139" s="362"/>
      <c r="M139" s="362"/>
      <c r="N139" s="362"/>
      <c r="O139" s="262"/>
      <c r="P139" s="262"/>
      <c r="Q139" s="262"/>
      <c r="R139" s="262"/>
      <c r="S139" s="37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</row>
    <row r="140" spans="1:29" ht="18.75" hidden="1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368"/>
      <c r="G140" s="369"/>
      <c r="H140" s="351"/>
      <c r="I140" s="214"/>
      <c r="J140" s="214"/>
      <c r="K140" s="362"/>
      <c r="L140" s="362"/>
      <c r="M140" s="362"/>
      <c r="N140" s="362"/>
      <c r="O140" s="262"/>
      <c r="P140" s="262"/>
      <c r="Q140" s="262"/>
      <c r="R140" s="262"/>
      <c r="S140" s="37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</row>
    <row r="141" spans="1:29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368"/>
      <c r="G141" s="369"/>
      <c r="H141" s="351"/>
      <c r="I141" s="214"/>
      <c r="J141" s="214"/>
      <c r="K141" s="371"/>
      <c r="L141" s="371"/>
      <c r="M141" s="362"/>
      <c r="N141" s="362"/>
      <c r="O141" s="262"/>
      <c r="P141" s="261"/>
      <c r="Q141" s="261"/>
      <c r="R141" s="261"/>
      <c r="S141" s="372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</row>
    <row r="142" spans="1:29" ht="18.75" hidden="1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368"/>
      <c r="G142" s="369"/>
      <c r="H142" s="351"/>
      <c r="I142" s="214"/>
      <c r="J142" s="214"/>
      <c r="K142" s="362"/>
      <c r="L142" s="362"/>
      <c r="M142" s="362"/>
      <c r="N142" s="362"/>
      <c r="O142" s="262"/>
      <c r="P142" s="262"/>
      <c r="Q142" s="262"/>
      <c r="R142" s="262"/>
      <c r="S142" s="37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</row>
    <row r="143" spans="1:29" ht="18.75" hidden="1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368"/>
      <c r="G143" s="369"/>
      <c r="H143" s="351"/>
      <c r="I143" s="214"/>
      <c r="J143" s="214"/>
      <c r="K143" s="362"/>
      <c r="L143" s="362"/>
      <c r="M143" s="362"/>
      <c r="N143" s="362"/>
      <c r="O143" s="262"/>
      <c r="P143" s="262"/>
      <c r="Q143" s="262"/>
      <c r="R143" s="262"/>
      <c r="S143" s="37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</row>
    <row r="144" spans="1:29" ht="18.75" hidden="1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368"/>
      <c r="G144" s="369"/>
      <c r="H144" s="351"/>
      <c r="I144" s="214"/>
      <c r="J144" s="214"/>
      <c r="K144" s="362"/>
      <c r="L144" s="362"/>
      <c r="M144" s="362"/>
      <c r="N144" s="362"/>
      <c r="O144" s="262"/>
      <c r="P144" s="262"/>
      <c r="Q144" s="262"/>
      <c r="R144" s="262"/>
      <c r="S144" s="37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</row>
    <row r="145" spans="1:29" ht="18.75" hidden="1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368"/>
      <c r="G145" s="369"/>
      <c r="H145" s="351"/>
      <c r="I145" s="214"/>
      <c r="J145" s="214"/>
      <c r="K145" s="362"/>
      <c r="L145" s="362"/>
      <c r="M145" s="362"/>
      <c r="N145" s="362"/>
      <c r="O145" s="262"/>
      <c r="P145" s="262"/>
      <c r="Q145" s="262"/>
      <c r="R145" s="262"/>
      <c r="S145" s="37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</row>
    <row r="146" spans="1:29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368"/>
      <c r="G146" s="369"/>
      <c r="H146" s="351"/>
      <c r="I146" s="214"/>
      <c r="J146" s="214"/>
      <c r="K146" s="371"/>
      <c r="L146" s="371"/>
      <c r="M146" s="362"/>
      <c r="N146" s="362"/>
      <c r="O146" s="262"/>
      <c r="P146" s="261"/>
      <c r="Q146" s="261"/>
      <c r="R146" s="261"/>
      <c r="S146" s="372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</row>
    <row r="147" spans="1:29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368"/>
      <c r="G147" s="369"/>
      <c r="H147" s="351"/>
      <c r="I147" s="214"/>
      <c r="J147" s="214"/>
      <c r="K147" s="371"/>
      <c r="L147" s="371"/>
      <c r="M147" s="362"/>
      <c r="N147" s="362"/>
      <c r="O147" s="262"/>
      <c r="P147" s="261"/>
      <c r="Q147" s="261"/>
      <c r="R147" s="261"/>
      <c r="S147" s="372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</row>
    <row r="148" spans="1:29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368"/>
      <c r="G148" s="369"/>
      <c r="H148" s="351"/>
      <c r="I148" s="214"/>
      <c r="J148" s="214"/>
      <c r="K148" s="371"/>
      <c r="L148" s="371"/>
      <c r="M148" s="362"/>
      <c r="N148" s="362"/>
      <c r="O148" s="262"/>
      <c r="P148" s="261"/>
      <c r="Q148" s="261"/>
      <c r="R148" s="261"/>
      <c r="S148" s="372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</row>
    <row r="149" spans="1:29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368"/>
      <c r="G149" s="369"/>
      <c r="H149" s="351"/>
      <c r="I149" s="214"/>
      <c r="J149" s="214"/>
      <c r="K149" s="371"/>
      <c r="L149" s="371"/>
      <c r="M149" s="362"/>
      <c r="N149" s="362"/>
      <c r="O149" s="262"/>
      <c r="P149" s="261"/>
      <c r="Q149" s="261"/>
      <c r="R149" s="261"/>
      <c r="S149" s="372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</row>
    <row r="150" spans="1:29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368"/>
      <c r="G150" s="369"/>
      <c r="H150" s="351"/>
      <c r="I150" s="214"/>
      <c r="J150" s="214"/>
      <c r="K150" s="371"/>
      <c r="L150" s="371"/>
      <c r="M150" s="362"/>
      <c r="N150" s="362"/>
      <c r="O150" s="262"/>
      <c r="P150" s="261"/>
      <c r="Q150" s="261"/>
      <c r="R150" s="261"/>
      <c r="S150" s="372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</row>
    <row r="151" spans="1:29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368"/>
      <c r="G151" s="369"/>
      <c r="H151" s="351"/>
      <c r="I151" s="214"/>
      <c r="J151" s="214"/>
      <c r="K151" s="371"/>
      <c r="L151" s="371"/>
      <c r="M151" s="362"/>
      <c r="N151" s="362"/>
      <c r="O151" s="262"/>
      <c r="P151" s="261"/>
      <c r="Q151" s="261"/>
      <c r="R151" s="261"/>
      <c r="S151" s="372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</row>
    <row r="152" spans="1:29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368"/>
      <c r="G152" s="369"/>
      <c r="H152" s="351"/>
      <c r="I152" s="214"/>
      <c r="J152" s="214"/>
      <c r="K152" s="371"/>
      <c r="L152" s="371"/>
      <c r="M152" s="362"/>
      <c r="N152" s="362"/>
      <c r="O152" s="262"/>
      <c r="P152" s="261"/>
      <c r="Q152" s="261"/>
      <c r="R152" s="261"/>
      <c r="S152" s="372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</row>
    <row r="153" spans="1:29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368"/>
      <c r="G153" s="369"/>
      <c r="H153" s="351"/>
      <c r="I153" s="214"/>
      <c r="J153" s="214"/>
      <c r="K153" s="371"/>
      <c r="L153" s="371"/>
      <c r="M153" s="362"/>
      <c r="N153" s="362"/>
      <c r="O153" s="262"/>
      <c r="P153" s="261"/>
      <c r="Q153" s="261"/>
      <c r="R153" s="261"/>
      <c r="S153" s="372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</row>
    <row r="154" spans="1:29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368"/>
      <c r="G154" s="369"/>
      <c r="H154" s="351"/>
      <c r="I154" s="214"/>
      <c r="J154" s="214"/>
      <c r="K154" s="371"/>
      <c r="L154" s="371"/>
      <c r="M154" s="362"/>
      <c r="N154" s="362"/>
      <c r="O154" s="262"/>
      <c r="P154" s="261"/>
      <c r="Q154" s="261"/>
      <c r="R154" s="261"/>
      <c r="S154" s="372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</row>
    <row r="155" spans="1:29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368"/>
      <c r="G155" s="369"/>
      <c r="H155" s="351"/>
      <c r="I155" s="214"/>
      <c r="J155" s="214"/>
      <c r="K155" s="371"/>
      <c r="L155" s="371"/>
      <c r="M155" s="362"/>
      <c r="N155" s="362"/>
      <c r="O155" s="262"/>
      <c r="P155" s="261"/>
      <c r="Q155" s="261"/>
      <c r="R155" s="261"/>
      <c r="S155" s="372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</row>
    <row r="156" spans="1:29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368"/>
      <c r="G156" s="369"/>
      <c r="H156" s="351"/>
      <c r="I156" s="214"/>
      <c r="J156" s="214"/>
      <c r="K156" s="371"/>
      <c r="L156" s="371"/>
      <c r="M156" s="362"/>
      <c r="N156" s="362"/>
      <c r="O156" s="262"/>
      <c r="P156" s="261"/>
      <c r="Q156" s="261"/>
      <c r="R156" s="261"/>
      <c r="S156" s="372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</row>
    <row r="157" spans="1:29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368"/>
      <c r="G157" s="369"/>
      <c r="H157" s="351"/>
      <c r="I157" s="214"/>
      <c r="J157" s="214"/>
      <c r="K157" s="371"/>
      <c r="L157" s="371"/>
      <c r="M157" s="362"/>
      <c r="N157" s="362"/>
      <c r="O157" s="262"/>
      <c r="P157" s="261"/>
      <c r="Q157" s="261"/>
      <c r="R157" s="261"/>
      <c r="S157" s="372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</row>
    <row r="158" spans="1:29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368"/>
      <c r="G158" s="369"/>
      <c r="H158" s="351"/>
      <c r="I158" s="214"/>
      <c r="J158" s="214"/>
      <c r="K158" s="371"/>
      <c r="L158" s="371"/>
      <c r="M158" s="362"/>
      <c r="N158" s="362"/>
      <c r="O158" s="262"/>
      <c r="P158" s="261"/>
      <c r="Q158" s="261"/>
      <c r="R158" s="261"/>
      <c r="S158" s="372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</row>
    <row r="159" spans="1:29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368"/>
      <c r="G159" s="369"/>
      <c r="H159" s="351"/>
      <c r="I159" s="214"/>
      <c r="J159" s="214"/>
      <c r="K159" s="371"/>
      <c r="L159" s="371"/>
      <c r="M159" s="362"/>
      <c r="N159" s="362"/>
      <c r="O159" s="262"/>
      <c r="P159" s="261"/>
      <c r="Q159" s="261"/>
      <c r="R159" s="261"/>
      <c r="S159" s="372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</row>
    <row r="160" spans="1:29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368"/>
      <c r="G160" s="369"/>
      <c r="H160" s="351"/>
      <c r="I160" s="214"/>
      <c r="J160" s="214"/>
      <c r="K160" s="371"/>
      <c r="L160" s="371"/>
      <c r="M160" s="362"/>
      <c r="N160" s="362"/>
      <c r="O160" s="262"/>
      <c r="P160" s="261"/>
      <c r="Q160" s="261"/>
      <c r="R160" s="261"/>
      <c r="S160" s="372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</row>
    <row r="161" spans="1:29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368"/>
      <c r="G161" s="369"/>
      <c r="H161" s="351"/>
      <c r="I161" s="214"/>
      <c r="J161" s="214"/>
      <c r="K161" s="371"/>
      <c r="L161" s="371"/>
      <c r="M161" s="362"/>
      <c r="N161" s="362"/>
      <c r="O161" s="262"/>
      <c r="P161" s="261"/>
      <c r="Q161" s="261"/>
      <c r="R161" s="261"/>
      <c r="S161" s="372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</row>
    <row r="162" spans="1:29" ht="18.75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368"/>
      <c r="G162" s="369"/>
      <c r="H162" s="351"/>
      <c r="I162" s="214"/>
      <c r="J162" s="214"/>
      <c r="K162" s="362"/>
      <c r="L162" s="362"/>
      <c r="M162" s="362"/>
      <c r="N162" s="362"/>
      <c r="O162" s="262"/>
      <c r="P162" s="262"/>
      <c r="Q162" s="262"/>
      <c r="R162" s="262"/>
      <c r="S162" s="37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</row>
    <row r="163" spans="1:29" ht="18.75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368"/>
      <c r="G163" s="369"/>
      <c r="H163" s="351"/>
      <c r="I163" s="214"/>
      <c r="J163" s="214"/>
      <c r="K163" s="362"/>
      <c r="L163" s="362"/>
      <c r="M163" s="362"/>
      <c r="N163" s="362"/>
      <c r="O163" s="262"/>
      <c r="P163" s="262"/>
      <c r="Q163" s="262"/>
      <c r="R163" s="262"/>
      <c r="S163" s="37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</row>
    <row r="164" spans="1:29" ht="31.5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368"/>
      <c r="G164" s="369"/>
      <c r="H164" s="351"/>
      <c r="I164" s="214"/>
      <c r="J164" s="214"/>
      <c r="K164" s="362"/>
      <c r="L164" s="362"/>
      <c r="M164" s="362"/>
      <c r="N164" s="362"/>
      <c r="O164" s="262"/>
      <c r="P164" s="262"/>
      <c r="Q164" s="262"/>
      <c r="R164" s="262"/>
      <c r="S164" s="37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</row>
    <row r="165" spans="1:29" ht="18.75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368"/>
      <c r="G165" s="369"/>
      <c r="H165" s="351"/>
      <c r="I165" s="214"/>
      <c r="J165" s="214"/>
      <c r="K165" s="362"/>
      <c r="L165" s="362"/>
      <c r="M165" s="362"/>
      <c r="N165" s="362"/>
      <c r="O165" s="262"/>
      <c r="P165" s="262"/>
      <c r="Q165" s="262"/>
      <c r="R165" s="262"/>
      <c r="S165" s="37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</row>
    <row r="166" spans="1:29" ht="31.5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368"/>
      <c r="G166" s="369"/>
      <c r="H166" s="351"/>
      <c r="I166" s="214"/>
      <c r="J166" s="214"/>
      <c r="K166" s="362"/>
      <c r="L166" s="362"/>
      <c r="M166" s="362"/>
      <c r="N166" s="362"/>
      <c r="O166" s="262"/>
      <c r="P166" s="262"/>
      <c r="Q166" s="262"/>
      <c r="R166" s="262"/>
      <c r="S166" s="37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</row>
    <row r="167" spans="1:29" ht="18.75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368"/>
      <c r="G167" s="369"/>
      <c r="H167" s="351"/>
      <c r="I167" s="214"/>
      <c r="J167" s="214"/>
      <c r="K167" s="362"/>
      <c r="L167" s="362"/>
      <c r="M167" s="362"/>
      <c r="N167" s="362"/>
      <c r="O167" s="262"/>
      <c r="P167" s="262"/>
      <c r="Q167" s="262"/>
      <c r="R167" s="262"/>
      <c r="S167" s="37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</row>
    <row r="168" spans="1:29" ht="18.75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368"/>
      <c r="G168" s="369"/>
      <c r="H168" s="351"/>
      <c r="I168" s="214"/>
      <c r="J168" s="214"/>
      <c r="K168" s="362"/>
      <c r="L168" s="362"/>
      <c r="M168" s="362"/>
      <c r="N168" s="362"/>
      <c r="O168" s="262"/>
      <c r="P168" s="262"/>
      <c r="Q168" s="262"/>
      <c r="R168" s="262"/>
      <c r="S168" s="37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</row>
    <row r="169" spans="1:29" ht="15.75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368"/>
      <c r="G169" s="369"/>
      <c r="H169" s="351"/>
      <c r="I169" s="214"/>
      <c r="J169" s="214"/>
      <c r="K169" s="362"/>
      <c r="L169" s="362"/>
      <c r="M169" s="362"/>
      <c r="N169" s="362"/>
      <c r="O169" s="262"/>
      <c r="P169" s="262"/>
      <c r="Q169" s="262"/>
      <c r="R169" s="262"/>
      <c r="S169" s="37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</row>
    <row r="170" spans="1:29" ht="31.5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368"/>
      <c r="G170" s="369"/>
      <c r="H170" s="351"/>
      <c r="I170" s="214"/>
      <c r="J170" s="214"/>
      <c r="K170" s="362"/>
      <c r="L170" s="362"/>
      <c r="M170" s="362"/>
      <c r="N170" s="362"/>
      <c r="O170" s="262"/>
      <c r="P170" s="262"/>
      <c r="Q170" s="262"/>
      <c r="R170" s="262"/>
      <c r="S170" s="37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</row>
    <row r="171" spans="1:29" ht="31.5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368"/>
      <c r="G171" s="369"/>
      <c r="H171" s="351"/>
      <c r="I171" s="214"/>
      <c r="J171" s="214"/>
      <c r="K171" s="362"/>
      <c r="L171" s="362"/>
      <c r="M171" s="362"/>
      <c r="N171" s="362"/>
      <c r="O171" s="262"/>
      <c r="P171" s="262"/>
      <c r="Q171" s="262"/>
      <c r="R171" s="262"/>
      <c r="S171" s="37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</row>
    <row r="172" spans="1:29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368"/>
      <c r="G172" s="369"/>
      <c r="H172" s="351"/>
      <c r="I172" s="214"/>
      <c r="J172" s="214"/>
      <c r="K172" s="371"/>
      <c r="L172" s="371"/>
      <c r="M172" s="362"/>
      <c r="N172" s="362"/>
      <c r="O172" s="262"/>
      <c r="P172" s="261"/>
      <c r="Q172" s="261"/>
      <c r="R172" s="261"/>
      <c r="S172" s="372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</row>
    <row r="173" spans="1:29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368"/>
      <c r="G173" s="369"/>
      <c r="H173" s="351"/>
      <c r="I173" s="214"/>
      <c r="J173" s="214"/>
      <c r="K173" s="371"/>
      <c r="L173" s="371"/>
      <c r="M173" s="362"/>
      <c r="N173" s="362"/>
      <c r="O173" s="262"/>
      <c r="P173" s="261"/>
      <c r="Q173" s="261"/>
      <c r="R173" s="261"/>
      <c r="S173" s="372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</row>
    <row r="174" spans="1:29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368"/>
      <c r="G174" s="369"/>
      <c r="H174" s="351"/>
      <c r="I174" s="214"/>
      <c r="J174" s="214"/>
      <c r="K174" s="371"/>
      <c r="L174" s="371"/>
      <c r="M174" s="362"/>
      <c r="N174" s="362"/>
      <c r="O174" s="262"/>
      <c r="P174" s="261"/>
      <c r="Q174" s="261"/>
      <c r="R174" s="261"/>
      <c r="S174" s="372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</row>
    <row r="175" spans="1:29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368"/>
      <c r="G175" s="369"/>
      <c r="H175" s="351"/>
      <c r="I175" s="214"/>
      <c r="J175" s="214"/>
      <c r="K175" s="371"/>
      <c r="L175" s="371"/>
      <c r="M175" s="362"/>
      <c r="N175" s="362"/>
      <c r="O175" s="262"/>
      <c r="P175" s="261"/>
      <c r="Q175" s="261"/>
      <c r="R175" s="261"/>
      <c r="S175" s="372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</row>
    <row r="176" spans="1:29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368"/>
      <c r="G176" s="369"/>
      <c r="H176" s="351"/>
      <c r="I176" s="214"/>
      <c r="J176" s="214"/>
      <c r="K176" s="371"/>
      <c r="L176" s="371"/>
      <c r="M176" s="362"/>
      <c r="N176" s="362"/>
      <c r="O176" s="262"/>
      <c r="P176" s="261"/>
      <c r="Q176" s="261"/>
      <c r="R176" s="261"/>
      <c r="S176" s="372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</row>
    <row r="177" spans="1:29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368"/>
      <c r="G177" s="369"/>
      <c r="H177" s="351"/>
      <c r="I177" s="214"/>
      <c r="J177" s="214"/>
      <c r="K177" s="371"/>
      <c r="L177" s="371"/>
      <c r="M177" s="362"/>
      <c r="N177" s="362"/>
      <c r="O177" s="262"/>
      <c r="P177" s="261"/>
      <c r="Q177" s="261"/>
      <c r="R177" s="261"/>
      <c r="S177" s="372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</row>
    <row r="178" spans="1:29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368"/>
      <c r="G178" s="369"/>
      <c r="H178" s="351"/>
      <c r="I178" s="214"/>
      <c r="J178" s="214"/>
      <c r="K178" s="371"/>
      <c r="L178" s="371"/>
      <c r="M178" s="371"/>
      <c r="N178" s="371"/>
      <c r="O178" s="261"/>
      <c r="P178" s="261"/>
      <c r="Q178" s="261"/>
      <c r="R178" s="261"/>
      <c r="S178" s="372">
        <f>SUM(S179:S180)</f>
        <v>0</v>
      </c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</row>
    <row r="179" spans="1:29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368"/>
      <c r="G179" s="369"/>
      <c r="H179" s="351"/>
      <c r="I179" s="214"/>
      <c r="J179" s="214"/>
      <c r="K179" s="371"/>
      <c r="L179" s="371"/>
      <c r="M179" s="362"/>
      <c r="N179" s="362"/>
      <c r="O179" s="262"/>
      <c r="P179" s="261"/>
      <c r="Q179" s="261"/>
      <c r="R179" s="261"/>
      <c r="S179" s="372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</row>
    <row r="180" spans="1:29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368"/>
      <c r="G180" s="369"/>
      <c r="H180" s="351"/>
      <c r="I180" s="214"/>
      <c r="J180" s="214"/>
      <c r="K180" s="371"/>
      <c r="L180" s="371"/>
      <c r="M180" s="362"/>
      <c r="N180" s="362"/>
      <c r="O180" s="262"/>
      <c r="P180" s="261"/>
      <c r="Q180" s="261"/>
      <c r="R180" s="261"/>
      <c r="S180" s="372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</row>
    <row r="181" spans="1:29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368"/>
      <c r="G181" s="369"/>
      <c r="H181" s="351"/>
      <c r="I181" s="214"/>
      <c r="J181" s="214"/>
      <c r="K181" s="371"/>
      <c r="L181" s="371"/>
      <c r="M181" s="362"/>
      <c r="N181" s="362"/>
      <c r="O181" s="262"/>
      <c r="P181" s="261"/>
      <c r="Q181" s="261"/>
      <c r="R181" s="261"/>
      <c r="S181" s="372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</row>
    <row r="182" spans="1:29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368"/>
      <c r="G182" s="369"/>
      <c r="H182" s="351"/>
      <c r="I182" s="214"/>
      <c r="J182" s="214"/>
      <c r="K182" s="371"/>
      <c r="L182" s="371"/>
      <c r="M182" s="362"/>
      <c r="N182" s="362"/>
      <c r="O182" s="262"/>
      <c r="P182" s="261"/>
      <c r="Q182" s="261"/>
      <c r="R182" s="261"/>
      <c r="S182" s="372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</row>
    <row r="183" spans="1:29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368"/>
      <c r="G183" s="369"/>
      <c r="H183" s="351"/>
      <c r="I183" s="214"/>
      <c r="J183" s="214"/>
      <c r="K183" s="371"/>
      <c r="L183" s="371"/>
      <c r="M183" s="362"/>
      <c r="N183" s="362"/>
      <c r="O183" s="262"/>
      <c r="P183" s="261"/>
      <c r="Q183" s="261"/>
      <c r="R183" s="261"/>
      <c r="S183" s="372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</row>
    <row r="184" spans="1:29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368"/>
      <c r="G184" s="369"/>
      <c r="H184" s="351"/>
      <c r="I184" s="214"/>
      <c r="J184" s="214"/>
      <c r="K184" s="371"/>
      <c r="L184" s="371"/>
      <c r="M184" s="362"/>
      <c r="N184" s="362"/>
      <c r="O184" s="262"/>
      <c r="P184" s="261"/>
      <c r="Q184" s="261"/>
      <c r="R184" s="261"/>
      <c r="S184" s="372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</row>
    <row r="185" spans="1:29" ht="31.5" customHeight="1">
      <c r="A185" s="101">
        <v>7.7</v>
      </c>
      <c r="B185" s="53" t="s">
        <v>412</v>
      </c>
      <c r="C185" s="87" t="s">
        <v>413</v>
      </c>
      <c r="D185" s="61" t="s">
        <v>1250</v>
      </c>
      <c r="E185" s="200">
        <f t="shared" si="0"/>
        <v>0</v>
      </c>
      <c r="F185" s="368"/>
      <c r="G185" s="369"/>
      <c r="H185" s="351"/>
      <c r="I185" s="214"/>
      <c r="J185" s="214"/>
      <c r="K185" s="371"/>
      <c r="L185" s="371"/>
      <c r="M185" s="362"/>
      <c r="N185" s="362"/>
      <c r="O185" s="262"/>
      <c r="P185" s="261"/>
      <c r="Q185" s="261"/>
      <c r="R185" s="261"/>
      <c r="S185" s="372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</row>
    <row r="186" spans="1:29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368"/>
      <c r="G186" s="369"/>
      <c r="H186" s="351"/>
      <c r="I186" s="214"/>
      <c r="J186" s="214"/>
      <c r="K186" s="371"/>
      <c r="L186" s="371"/>
      <c r="M186" s="362"/>
      <c r="N186" s="362"/>
      <c r="O186" s="262"/>
      <c r="P186" s="261"/>
      <c r="Q186" s="261"/>
      <c r="R186" s="261"/>
      <c r="S186" s="372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</row>
    <row r="187" spans="1:29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368"/>
      <c r="G187" s="369"/>
      <c r="H187" s="351"/>
      <c r="I187" s="214"/>
      <c r="J187" s="214"/>
      <c r="K187" s="371"/>
      <c r="L187" s="371"/>
      <c r="M187" s="362"/>
      <c r="N187" s="362"/>
      <c r="O187" s="262"/>
      <c r="P187" s="261"/>
      <c r="Q187" s="261"/>
      <c r="R187" s="261"/>
      <c r="S187" s="372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</row>
    <row r="188" spans="1:29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368"/>
      <c r="G188" s="369"/>
      <c r="H188" s="351"/>
      <c r="I188" s="214"/>
      <c r="J188" s="214"/>
      <c r="K188" s="371"/>
      <c r="L188" s="371"/>
      <c r="M188" s="362"/>
      <c r="N188" s="362"/>
      <c r="O188" s="262"/>
      <c r="P188" s="261"/>
      <c r="Q188" s="261"/>
      <c r="R188" s="261"/>
      <c r="S188" s="372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</row>
    <row r="189" spans="1:29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368"/>
      <c r="G189" s="369"/>
      <c r="H189" s="351"/>
      <c r="I189" s="214"/>
      <c r="J189" s="214"/>
      <c r="K189" s="371"/>
      <c r="L189" s="371"/>
      <c r="M189" s="362"/>
      <c r="N189" s="362"/>
      <c r="O189" s="262"/>
      <c r="P189" s="174"/>
      <c r="Q189" s="261"/>
      <c r="R189" s="261"/>
      <c r="S189" s="372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</row>
    <row r="190" spans="1:29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368"/>
      <c r="G190" s="369"/>
      <c r="H190" s="351"/>
      <c r="I190" s="214"/>
      <c r="J190" s="214"/>
      <c r="K190" s="371"/>
      <c r="L190" s="371"/>
      <c r="M190" s="362"/>
      <c r="N190" s="362"/>
      <c r="O190" s="262"/>
      <c r="P190" s="261"/>
      <c r="Q190" s="261"/>
      <c r="R190" s="261"/>
      <c r="S190" s="372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</row>
    <row r="191" spans="1:29" ht="18.75" customHeight="1">
      <c r="A191" s="42" t="s">
        <v>991</v>
      </c>
      <c r="B191" s="59" t="s">
        <v>428</v>
      </c>
      <c r="C191" s="111" t="s">
        <v>429</v>
      </c>
      <c r="D191" s="61" t="s">
        <v>1251</v>
      </c>
      <c r="E191" s="200">
        <f t="shared" si="0"/>
        <v>0</v>
      </c>
      <c r="F191" s="368"/>
      <c r="G191" s="369"/>
      <c r="H191" s="351"/>
      <c r="I191" s="214"/>
      <c r="J191" s="214"/>
      <c r="K191" s="371"/>
      <c r="L191" s="371"/>
      <c r="M191" s="362"/>
      <c r="N191" s="362"/>
      <c r="O191" s="262"/>
      <c r="P191" s="261"/>
      <c r="Q191" s="261"/>
      <c r="R191" s="261"/>
      <c r="S191" s="372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</row>
    <row r="192" spans="1:29" ht="18.75" customHeight="1">
      <c r="A192" s="42" t="s">
        <v>990</v>
      </c>
      <c r="B192" s="59" t="s">
        <v>426</v>
      </c>
      <c r="C192" s="111" t="s">
        <v>431</v>
      </c>
      <c r="D192" s="61" t="s">
        <v>1252</v>
      </c>
      <c r="E192" s="200">
        <f t="shared" si="0"/>
        <v>0</v>
      </c>
      <c r="F192" s="368"/>
      <c r="G192" s="369"/>
      <c r="H192" s="351"/>
      <c r="I192" s="214"/>
      <c r="J192" s="214"/>
      <c r="K192" s="371"/>
      <c r="L192" s="371"/>
      <c r="M192" s="362"/>
      <c r="N192" s="362"/>
      <c r="O192" s="262"/>
      <c r="P192" s="261"/>
      <c r="Q192" s="261"/>
      <c r="R192" s="261"/>
      <c r="S192" s="372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</row>
    <row r="193" spans="1:29" ht="18.75" customHeight="1">
      <c r="A193" s="42" t="s">
        <v>991</v>
      </c>
      <c r="B193" s="59" t="s">
        <v>428</v>
      </c>
      <c r="C193" s="111" t="s">
        <v>433</v>
      </c>
      <c r="D193" s="61" t="s">
        <v>1253</v>
      </c>
      <c r="E193" s="200">
        <f t="shared" si="0"/>
        <v>0</v>
      </c>
      <c r="F193" s="368"/>
      <c r="G193" s="369"/>
      <c r="H193" s="351"/>
      <c r="I193" s="214"/>
      <c r="J193" s="214"/>
      <c r="K193" s="371"/>
      <c r="L193" s="371"/>
      <c r="M193" s="362"/>
      <c r="N193" s="362"/>
      <c r="O193" s="262"/>
      <c r="P193" s="261"/>
      <c r="Q193" s="261"/>
      <c r="R193" s="261"/>
      <c r="S193" s="372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</row>
    <row r="194" spans="1:29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368"/>
      <c r="G194" s="369"/>
      <c r="H194" s="351"/>
      <c r="I194" s="214"/>
      <c r="J194" s="214"/>
      <c r="K194" s="371"/>
      <c r="L194" s="371"/>
      <c r="M194" s="362"/>
      <c r="N194" s="362"/>
      <c r="O194" s="262"/>
      <c r="P194" s="261"/>
      <c r="Q194" s="261"/>
      <c r="R194" s="261"/>
      <c r="S194" s="372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</row>
    <row r="195" spans="1:29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368"/>
      <c r="G195" s="369"/>
      <c r="H195" s="351"/>
      <c r="I195" s="214"/>
      <c r="J195" s="214"/>
      <c r="K195" s="371"/>
      <c r="L195" s="371"/>
      <c r="M195" s="362"/>
      <c r="N195" s="362"/>
      <c r="O195" s="261"/>
      <c r="P195" s="272"/>
      <c r="Q195" s="261"/>
      <c r="R195" s="261"/>
      <c r="S195" s="372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</row>
    <row r="196" spans="1:29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368"/>
      <c r="G196" s="369"/>
      <c r="H196" s="351"/>
      <c r="I196" s="214"/>
      <c r="J196" s="214"/>
      <c r="K196" s="371"/>
      <c r="L196" s="371"/>
      <c r="M196" s="362"/>
      <c r="N196" s="362"/>
      <c r="O196" s="262"/>
      <c r="P196" s="261"/>
      <c r="Q196" s="261"/>
      <c r="R196" s="261"/>
      <c r="S196" s="372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</row>
    <row r="197" spans="1:29" ht="18.75" customHeight="1">
      <c r="A197" s="42" t="s">
        <v>997</v>
      </c>
      <c r="B197" s="59" t="s">
        <v>440</v>
      </c>
      <c r="C197" s="111" t="s">
        <v>429</v>
      </c>
      <c r="D197" s="61" t="s">
        <v>1254</v>
      </c>
      <c r="E197" s="200">
        <f t="shared" si="0"/>
        <v>0</v>
      </c>
      <c r="F197" s="368"/>
      <c r="G197" s="369"/>
      <c r="H197" s="351"/>
      <c r="I197" s="214"/>
      <c r="J197" s="214"/>
      <c r="K197" s="371"/>
      <c r="L197" s="371"/>
      <c r="M197" s="362"/>
      <c r="N197" s="362"/>
      <c r="O197" s="262"/>
      <c r="P197" s="261"/>
      <c r="Q197" s="261"/>
      <c r="R197" s="261"/>
      <c r="S197" s="372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</row>
    <row r="198" spans="1:29" ht="18.75" customHeight="1">
      <c r="A198" s="42" t="s">
        <v>996</v>
      </c>
      <c r="B198" s="59" t="s">
        <v>439</v>
      </c>
      <c r="C198" s="111" t="s">
        <v>431</v>
      </c>
      <c r="D198" s="61" t="s">
        <v>1255</v>
      </c>
      <c r="E198" s="200">
        <f t="shared" si="0"/>
        <v>0</v>
      </c>
      <c r="F198" s="368"/>
      <c r="G198" s="369"/>
      <c r="H198" s="351"/>
      <c r="I198" s="214"/>
      <c r="J198" s="214"/>
      <c r="K198" s="371"/>
      <c r="L198" s="371"/>
      <c r="M198" s="362"/>
      <c r="N198" s="362"/>
      <c r="O198" s="262"/>
      <c r="P198" s="261"/>
      <c r="Q198" s="261"/>
      <c r="R198" s="261"/>
      <c r="S198" s="372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</row>
    <row r="199" spans="1:29" ht="18.75" customHeight="1">
      <c r="A199" s="42" t="s">
        <v>997</v>
      </c>
      <c r="B199" s="59" t="s">
        <v>440</v>
      </c>
      <c r="C199" s="111" t="s">
        <v>433</v>
      </c>
      <c r="D199" s="61" t="s">
        <v>1256</v>
      </c>
      <c r="E199" s="200">
        <f t="shared" si="0"/>
        <v>0</v>
      </c>
      <c r="F199" s="368"/>
      <c r="G199" s="369"/>
      <c r="H199" s="351"/>
      <c r="I199" s="214"/>
      <c r="J199" s="214"/>
      <c r="K199" s="371"/>
      <c r="L199" s="371"/>
      <c r="M199" s="362"/>
      <c r="N199" s="362"/>
      <c r="O199" s="262"/>
      <c r="P199" s="261"/>
      <c r="Q199" s="261"/>
      <c r="R199" s="261"/>
      <c r="S199" s="372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</row>
    <row r="200" spans="1:29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368"/>
      <c r="G200" s="369"/>
      <c r="H200" s="351"/>
      <c r="I200" s="214"/>
      <c r="J200" s="214"/>
      <c r="K200" s="371"/>
      <c r="L200" s="371"/>
      <c r="M200" s="362"/>
      <c r="N200" s="362"/>
      <c r="O200" s="262"/>
      <c r="P200" s="261"/>
      <c r="Q200" s="261"/>
      <c r="R200" s="261"/>
      <c r="S200" s="372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</row>
    <row r="201" spans="1:29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368"/>
      <c r="G201" s="369"/>
      <c r="H201" s="351"/>
      <c r="I201" s="214"/>
      <c r="J201" s="214"/>
      <c r="K201" s="371"/>
      <c r="L201" s="371"/>
      <c r="M201" s="362"/>
      <c r="N201" s="362"/>
      <c r="O201" s="262"/>
      <c r="P201" s="261"/>
      <c r="Q201" s="261"/>
      <c r="R201" s="261"/>
      <c r="S201" s="372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</row>
    <row r="202" spans="1:29" ht="18.75" customHeight="1">
      <c r="A202" s="42"/>
      <c r="B202" s="59" t="s">
        <v>449</v>
      </c>
      <c r="C202" s="111" t="s">
        <v>450</v>
      </c>
      <c r="D202" s="61" t="s">
        <v>1257</v>
      </c>
      <c r="E202" s="200">
        <f t="shared" si="0"/>
        <v>0</v>
      </c>
      <c r="F202" s="368"/>
      <c r="G202" s="369"/>
      <c r="H202" s="351"/>
      <c r="I202" s="214"/>
      <c r="J202" s="214"/>
      <c r="K202" s="371"/>
      <c r="L202" s="371"/>
      <c r="M202" s="362"/>
      <c r="N202" s="362"/>
      <c r="O202" s="262"/>
      <c r="P202" s="261"/>
      <c r="Q202" s="261"/>
      <c r="R202" s="261"/>
      <c r="S202" s="372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</row>
    <row r="203" spans="1:29" ht="18.75" customHeight="1">
      <c r="A203" s="42"/>
      <c r="B203" s="59" t="s">
        <v>449</v>
      </c>
      <c r="C203" s="111" t="s">
        <v>431</v>
      </c>
      <c r="D203" s="61" t="s">
        <v>1258</v>
      </c>
      <c r="E203" s="200">
        <f t="shared" si="0"/>
        <v>0</v>
      </c>
      <c r="F203" s="368"/>
      <c r="G203" s="369"/>
      <c r="H203" s="351"/>
      <c r="I203" s="214"/>
      <c r="J203" s="214"/>
      <c r="K203" s="371"/>
      <c r="L203" s="371"/>
      <c r="M203" s="362"/>
      <c r="N203" s="362"/>
      <c r="O203" s="262"/>
      <c r="P203" s="261"/>
      <c r="Q203" s="261"/>
      <c r="R203" s="261"/>
      <c r="S203" s="372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</row>
    <row r="204" spans="1:29" ht="18.75" customHeight="1">
      <c r="A204" s="42"/>
      <c r="B204" s="59" t="s">
        <v>453</v>
      </c>
      <c r="C204" s="111" t="s">
        <v>433</v>
      </c>
      <c r="D204" s="61" t="s">
        <v>1259</v>
      </c>
      <c r="E204" s="200">
        <f t="shared" si="0"/>
        <v>0</v>
      </c>
      <c r="F204" s="368"/>
      <c r="G204" s="369"/>
      <c r="H204" s="351"/>
      <c r="I204" s="214"/>
      <c r="J204" s="214"/>
      <c r="K204" s="371"/>
      <c r="L204" s="371"/>
      <c r="M204" s="362"/>
      <c r="N204" s="362"/>
      <c r="O204" s="262"/>
      <c r="P204" s="261"/>
      <c r="Q204" s="261"/>
      <c r="R204" s="261"/>
      <c r="S204" s="372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</row>
    <row r="205" spans="1:29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368"/>
      <c r="G205" s="369"/>
      <c r="H205" s="351"/>
      <c r="I205" s="214"/>
      <c r="J205" s="214"/>
      <c r="K205" s="371"/>
      <c r="L205" s="371"/>
      <c r="M205" s="362"/>
      <c r="N205" s="362"/>
      <c r="O205" s="262"/>
      <c r="P205" s="261"/>
      <c r="Q205" s="261"/>
      <c r="R205" s="261"/>
      <c r="S205" s="372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</row>
    <row r="206" spans="1:29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368"/>
      <c r="G206" s="369"/>
      <c r="H206" s="351"/>
      <c r="I206" s="214"/>
      <c r="J206" s="214"/>
      <c r="K206" s="371"/>
      <c r="L206" s="371"/>
      <c r="M206" s="362"/>
      <c r="N206" s="362"/>
      <c r="O206" s="262"/>
      <c r="P206" s="261"/>
      <c r="Q206" s="261"/>
      <c r="R206" s="261"/>
      <c r="S206" s="372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</row>
    <row r="207" spans="1:29" ht="18.75" customHeight="1">
      <c r="A207" s="42"/>
      <c r="B207" s="59" t="s">
        <v>461</v>
      </c>
      <c r="C207" s="111" t="s">
        <v>431</v>
      </c>
      <c r="D207" s="61" t="s">
        <v>1260</v>
      </c>
      <c r="E207" s="200">
        <f t="shared" si="0"/>
        <v>0</v>
      </c>
      <c r="F207" s="368"/>
      <c r="G207" s="369"/>
      <c r="H207" s="351"/>
      <c r="I207" s="214"/>
      <c r="J207" s="214"/>
      <c r="K207" s="371"/>
      <c r="L207" s="371"/>
      <c r="M207" s="362"/>
      <c r="N207" s="362"/>
      <c r="O207" s="262"/>
      <c r="P207" s="261"/>
      <c r="Q207" s="261"/>
      <c r="R207" s="261"/>
      <c r="S207" s="37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</row>
    <row r="208" spans="1:29" ht="18.75" customHeight="1">
      <c r="A208" s="42"/>
      <c r="B208" s="59" t="s">
        <v>464</v>
      </c>
      <c r="C208" s="111" t="s">
        <v>433</v>
      </c>
      <c r="D208" s="61" t="s">
        <v>1261</v>
      </c>
      <c r="E208" s="200">
        <f t="shared" si="0"/>
        <v>0</v>
      </c>
      <c r="F208" s="368"/>
      <c r="G208" s="369"/>
      <c r="H208" s="351"/>
      <c r="I208" s="214"/>
      <c r="J208" s="214"/>
      <c r="K208" s="371"/>
      <c r="L208" s="371"/>
      <c r="M208" s="362"/>
      <c r="N208" s="362"/>
      <c r="O208" s="262"/>
      <c r="P208" s="261"/>
      <c r="Q208" s="261"/>
      <c r="R208" s="261"/>
      <c r="S208" s="372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</row>
    <row r="209" spans="1:29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368"/>
      <c r="G209" s="369"/>
      <c r="H209" s="351"/>
      <c r="I209" s="214"/>
      <c r="J209" s="214"/>
      <c r="K209" s="371"/>
      <c r="L209" s="371"/>
      <c r="M209" s="362"/>
      <c r="N209" s="362"/>
      <c r="O209" s="262"/>
      <c r="P209" s="261"/>
      <c r="Q209" s="261"/>
      <c r="R209" s="261"/>
      <c r="S209" s="372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</row>
    <row r="210" spans="1:29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368"/>
      <c r="G210" s="369"/>
      <c r="H210" s="351"/>
      <c r="I210" s="214"/>
      <c r="J210" s="214"/>
      <c r="K210" s="371"/>
      <c r="L210" s="371"/>
      <c r="M210" s="362"/>
      <c r="N210" s="362"/>
      <c r="O210" s="262"/>
      <c r="P210" s="261"/>
      <c r="Q210" s="261"/>
      <c r="R210" s="261"/>
      <c r="S210" s="372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</row>
    <row r="211" spans="1:29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368"/>
      <c r="G211" s="369"/>
      <c r="H211" s="351"/>
      <c r="I211" s="214"/>
      <c r="J211" s="214"/>
      <c r="K211" s="371"/>
      <c r="L211" s="371"/>
      <c r="M211" s="362"/>
      <c r="N211" s="362"/>
      <c r="O211" s="262"/>
      <c r="P211" s="261"/>
      <c r="Q211" s="261"/>
      <c r="R211" s="261"/>
      <c r="S211" s="372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</row>
    <row r="212" spans="1:29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368"/>
      <c r="G212" s="369"/>
      <c r="H212" s="351"/>
      <c r="I212" s="214"/>
      <c r="J212" s="214"/>
      <c r="K212" s="371"/>
      <c r="L212" s="371"/>
      <c r="M212" s="362"/>
      <c r="N212" s="362"/>
      <c r="O212" s="262"/>
      <c r="P212" s="261"/>
      <c r="Q212" s="261"/>
      <c r="R212" s="261"/>
      <c r="S212" s="372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</row>
    <row r="213" spans="1:29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368"/>
      <c r="G213" s="368"/>
      <c r="H213" s="351"/>
      <c r="I213" s="214"/>
      <c r="J213" s="214"/>
      <c r="K213" s="371"/>
      <c r="L213" s="371"/>
      <c r="M213" s="362"/>
      <c r="N213" s="362"/>
      <c r="O213" s="262"/>
      <c r="P213" s="261"/>
      <c r="Q213" s="261"/>
      <c r="R213" s="261"/>
      <c r="S213" s="372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</row>
    <row r="214" spans="1:29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368"/>
      <c r="G214" s="369"/>
      <c r="H214" s="351"/>
      <c r="I214" s="214"/>
      <c r="J214" s="214"/>
      <c r="K214" s="371"/>
      <c r="L214" s="371"/>
      <c r="M214" s="362"/>
      <c r="N214" s="362"/>
      <c r="O214" s="262"/>
      <c r="P214" s="261"/>
      <c r="Q214" s="261"/>
      <c r="R214" s="261"/>
      <c r="S214" s="372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</row>
    <row r="215" spans="1:29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368"/>
      <c r="G215" s="369"/>
      <c r="H215" s="351"/>
      <c r="I215" s="214"/>
      <c r="J215" s="214"/>
      <c r="K215" s="371"/>
      <c r="L215" s="371"/>
      <c r="M215" s="362"/>
      <c r="N215" s="362"/>
      <c r="O215" s="262"/>
      <c r="P215" s="261"/>
      <c r="Q215" s="261"/>
      <c r="R215" s="261"/>
      <c r="S215" s="372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</row>
    <row r="216" spans="1:29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368"/>
      <c r="G216" s="369"/>
      <c r="H216" s="351"/>
      <c r="I216" s="214"/>
      <c r="J216" s="214"/>
      <c r="K216" s="371"/>
      <c r="L216" s="371"/>
      <c r="M216" s="362"/>
      <c r="N216" s="362"/>
      <c r="O216" s="262"/>
      <c r="P216" s="261"/>
      <c r="Q216" s="261"/>
      <c r="R216" s="261"/>
      <c r="S216" s="372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</row>
    <row r="217" spans="1:29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368"/>
      <c r="G217" s="369"/>
      <c r="H217" s="351"/>
      <c r="I217" s="214"/>
      <c r="J217" s="214"/>
      <c r="K217" s="371"/>
      <c r="L217" s="371"/>
      <c r="M217" s="362"/>
      <c r="N217" s="362"/>
      <c r="O217" s="262"/>
      <c r="P217" s="261"/>
      <c r="Q217" s="261"/>
      <c r="R217" s="261"/>
      <c r="S217" s="372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</row>
    <row r="218" spans="1:29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368"/>
      <c r="G218" s="369"/>
      <c r="H218" s="351"/>
      <c r="I218" s="214"/>
      <c r="J218" s="214"/>
      <c r="K218" s="371"/>
      <c r="L218" s="371"/>
      <c r="M218" s="362"/>
      <c r="N218" s="362"/>
      <c r="O218" s="262"/>
      <c r="P218" s="261"/>
      <c r="Q218" s="261"/>
      <c r="R218" s="261"/>
      <c r="S218" s="372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</row>
    <row r="219" spans="1:29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368"/>
      <c r="G219" s="369"/>
      <c r="H219" s="351"/>
      <c r="I219" s="214"/>
      <c r="J219" s="214"/>
      <c r="K219" s="371"/>
      <c r="L219" s="371"/>
      <c r="M219" s="362"/>
      <c r="N219" s="362"/>
      <c r="O219" s="262"/>
      <c r="P219" s="261"/>
      <c r="Q219" s="261"/>
      <c r="R219" s="261"/>
      <c r="S219" s="372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</row>
    <row r="220" spans="1:29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368"/>
      <c r="G220" s="369"/>
      <c r="H220" s="351"/>
      <c r="I220" s="214"/>
      <c r="J220" s="214"/>
      <c r="K220" s="371"/>
      <c r="L220" s="371"/>
      <c r="M220" s="362"/>
      <c r="N220" s="362"/>
      <c r="O220" s="262"/>
      <c r="P220" s="261"/>
      <c r="Q220" s="261"/>
      <c r="R220" s="261"/>
      <c r="S220" s="372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</row>
    <row r="221" spans="1:29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368"/>
      <c r="G221" s="369"/>
      <c r="H221" s="351"/>
      <c r="I221" s="214"/>
      <c r="J221" s="214"/>
      <c r="K221" s="371"/>
      <c r="L221" s="371"/>
      <c r="M221" s="362"/>
      <c r="N221" s="362"/>
      <c r="O221" s="262"/>
      <c r="P221" s="261"/>
      <c r="Q221" s="261"/>
      <c r="R221" s="261"/>
      <c r="S221" s="372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</row>
    <row r="222" spans="1:29" ht="18.75" customHeight="1">
      <c r="A222" s="118" t="s">
        <v>1007</v>
      </c>
      <c r="B222" s="59" t="s">
        <v>502</v>
      </c>
      <c r="C222" s="113" t="s">
        <v>503</v>
      </c>
      <c r="D222" s="61" t="s">
        <v>1262</v>
      </c>
      <c r="E222" s="200">
        <f t="shared" si="0"/>
        <v>0</v>
      </c>
      <c r="F222" s="368"/>
      <c r="G222" s="369"/>
      <c r="H222" s="351"/>
      <c r="I222" s="214"/>
      <c r="J222" s="214"/>
      <c r="K222" s="371"/>
      <c r="L222" s="371"/>
      <c r="M222" s="362"/>
      <c r="N222" s="362"/>
      <c r="O222" s="262"/>
      <c r="P222" s="261"/>
      <c r="Q222" s="261"/>
      <c r="R222" s="261"/>
      <c r="S222" s="372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</row>
    <row r="223" spans="1:29" ht="18.75" customHeight="1">
      <c r="A223" s="118" t="s">
        <v>1009</v>
      </c>
      <c r="B223" s="59" t="s">
        <v>506</v>
      </c>
      <c r="C223" s="113" t="s">
        <v>507</v>
      </c>
      <c r="D223" s="61" t="s">
        <v>1263</v>
      </c>
      <c r="E223" s="200">
        <f t="shared" si="0"/>
        <v>0</v>
      </c>
      <c r="F223" s="368"/>
      <c r="G223" s="369"/>
      <c r="H223" s="351"/>
      <c r="I223" s="214"/>
      <c r="J223" s="214"/>
      <c r="K223" s="371"/>
      <c r="L223" s="371"/>
      <c r="M223" s="362"/>
      <c r="N223" s="362"/>
      <c r="O223" s="262"/>
      <c r="P223" s="261"/>
      <c r="Q223" s="261"/>
      <c r="R223" s="261"/>
      <c r="S223" s="372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</row>
    <row r="224" spans="1:29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368"/>
      <c r="G224" s="369"/>
      <c r="H224" s="351"/>
      <c r="I224" s="214"/>
      <c r="J224" s="214"/>
      <c r="K224" s="371"/>
      <c r="L224" s="371"/>
      <c r="M224" s="362"/>
      <c r="N224" s="362"/>
      <c r="O224" s="262"/>
      <c r="P224" s="261"/>
      <c r="Q224" s="261"/>
      <c r="R224" s="261"/>
      <c r="S224" s="372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</row>
    <row r="225" spans="1:29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368"/>
      <c r="G225" s="369"/>
      <c r="H225" s="351"/>
      <c r="I225" s="214"/>
      <c r="J225" s="214"/>
      <c r="K225" s="371"/>
      <c r="L225" s="371"/>
      <c r="M225" s="362"/>
      <c r="N225" s="362"/>
      <c r="O225" s="262"/>
      <c r="P225" s="261"/>
      <c r="Q225" s="261"/>
      <c r="R225" s="261"/>
      <c r="S225" s="372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</row>
    <row r="226" spans="1:29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368"/>
      <c r="G226" s="369"/>
      <c r="H226" s="351"/>
      <c r="I226" s="214"/>
      <c r="J226" s="214"/>
      <c r="K226" s="371"/>
      <c r="L226" s="371"/>
      <c r="M226" s="362"/>
      <c r="N226" s="362"/>
      <c r="O226" s="262"/>
      <c r="P226" s="261"/>
      <c r="Q226" s="261"/>
      <c r="R226" s="261"/>
      <c r="S226" s="372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</row>
    <row r="227" spans="1:29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368"/>
      <c r="G227" s="369"/>
      <c r="H227" s="351"/>
      <c r="I227" s="214"/>
      <c r="J227" s="214"/>
      <c r="K227" s="371"/>
      <c r="L227" s="371"/>
      <c r="M227" s="362"/>
      <c r="N227" s="362"/>
      <c r="O227" s="262"/>
      <c r="P227" s="261"/>
      <c r="Q227" s="261"/>
      <c r="R227" s="261"/>
      <c r="S227" s="372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</row>
    <row r="228" spans="1:29" ht="18.75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368"/>
      <c r="G228" s="369"/>
      <c r="H228" s="351"/>
      <c r="I228" s="214"/>
      <c r="J228" s="214"/>
      <c r="K228" s="371"/>
      <c r="L228" s="371"/>
      <c r="M228" s="362"/>
      <c r="N228" s="362"/>
      <c r="O228" s="262"/>
      <c r="P228" s="261"/>
      <c r="Q228" s="261"/>
      <c r="R228" s="261"/>
      <c r="S228" s="372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</row>
    <row r="229" spans="1:29" ht="18.75" customHeight="1">
      <c r="A229" s="42"/>
      <c r="B229" s="59" t="s">
        <v>523</v>
      </c>
      <c r="C229" s="113" t="s">
        <v>524</v>
      </c>
      <c r="D229" s="61" t="s">
        <v>1264</v>
      </c>
      <c r="E229" s="200">
        <f t="shared" si="0"/>
        <v>0</v>
      </c>
      <c r="F229" s="368"/>
      <c r="G229" s="369"/>
      <c r="H229" s="351"/>
      <c r="I229" s="214"/>
      <c r="J229" s="214"/>
      <c r="K229" s="371"/>
      <c r="L229" s="371"/>
      <c r="M229" s="362"/>
      <c r="N229" s="362"/>
      <c r="O229" s="262"/>
      <c r="P229" s="261"/>
      <c r="Q229" s="261"/>
      <c r="R229" s="261"/>
      <c r="S229" s="372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</row>
    <row r="230" spans="1:29" ht="18.75" customHeight="1">
      <c r="A230" s="42"/>
      <c r="B230" s="59" t="s">
        <v>526</v>
      </c>
      <c r="C230" s="113" t="s">
        <v>527</v>
      </c>
      <c r="D230" s="61" t="s">
        <v>1265</v>
      </c>
      <c r="E230" s="200">
        <f t="shared" si="0"/>
        <v>0</v>
      </c>
      <c r="F230" s="368"/>
      <c r="G230" s="369"/>
      <c r="H230" s="351"/>
      <c r="I230" s="214"/>
      <c r="J230" s="214"/>
      <c r="K230" s="371"/>
      <c r="L230" s="371"/>
      <c r="M230" s="362"/>
      <c r="N230" s="362"/>
      <c r="O230" s="262"/>
      <c r="P230" s="261"/>
      <c r="Q230" s="261"/>
      <c r="R230" s="261"/>
      <c r="S230" s="372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</row>
    <row r="231" spans="1:29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368"/>
      <c r="G231" s="369"/>
      <c r="H231" s="351"/>
      <c r="I231" s="214"/>
      <c r="J231" s="214"/>
      <c r="K231" s="371"/>
      <c r="L231" s="371"/>
      <c r="M231" s="362"/>
      <c r="N231" s="362"/>
      <c r="O231" s="262"/>
      <c r="P231" s="261"/>
      <c r="Q231" s="261"/>
      <c r="R231" s="261"/>
      <c r="S231" s="372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</row>
    <row r="232" spans="1:29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368"/>
      <c r="G232" s="369"/>
      <c r="H232" s="351"/>
      <c r="I232" s="214"/>
      <c r="J232" s="214"/>
      <c r="K232" s="371"/>
      <c r="L232" s="371"/>
      <c r="M232" s="362"/>
      <c r="N232" s="362"/>
      <c r="O232" s="262"/>
      <c r="P232" s="261"/>
      <c r="Q232" s="261"/>
      <c r="R232" s="261"/>
      <c r="S232" s="372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</row>
    <row r="233" spans="1:29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368"/>
      <c r="G233" s="369"/>
      <c r="H233" s="351"/>
      <c r="I233" s="214"/>
      <c r="J233" s="214"/>
      <c r="K233" s="378"/>
      <c r="L233" s="378"/>
      <c r="M233" s="379"/>
      <c r="N233" s="379"/>
      <c r="O233" s="262"/>
      <c r="P233" s="261"/>
      <c r="Q233" s="261"/>
      <c r="R233" s="261"/>
      <c r="S233" s="372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</row>
    <row r="234" spans="1:29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368"/>
      <c r="G234" s="369"/>
      <c r="H234" s="351"/>
      <c r="I234" s="214"/>
      <c r="J234" s="214"/>
      <c r="K234" s="371"/>
      <c r="L234" s="371"/>
      <c r="M234" s="362"/>
      <c r="N234" s="362"/>
      <c r="O234" s="262"/>
      <c r="P234" s="261"/>
      <c r="Q234" s="261"/>
      <c r="R234" s="261"/>
      <c r="S234" s="372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</row>
    <row r="235" spans="1:29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368"/>
      <c r="G235" s="369"/>
      <c r="H235" s="351"/>
      <c r="I235" s="214"/>
      <c r="J235" s="214"/>
      <c r="K235" s="371"/>
      <c r="L235" s="371"/>
      <c r="M235" s="362"/>
      <c r="N235" s="362"/>
      <c r="O235" s="262"/>
      <c r="P235" s="261"/>
      <c r="Q235" s="261"/>
      <c r="R235" s="261"/>
      <c r="S235" s="372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</row>
    <row r="236" spans="1:29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368"/>
      <c r="G236" s="369"/>
      <c r="H236" s="351"/>
      <c r="I236" s="214"/>
      <c r="J236" s="214"/>
      <c r="K236" s="371"/>
      <c r="L236" s="371"/>
      <c r="M236" s="362"/>
      <c r="N236" s="362"/>
      <c r="O236" s="262"/>
      <c r="P236" s="261"/>
      <c r="Q236" s="261"/>
      <c r="R236" s="261"/>
      <c r="S236" s="372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</row>
    <row r="237" spans="1:29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368"/>
      <c r="G237" s="369"/>
      <c r="H237" s="351"/>
      <c r="I237" s="214"/>
      <c r="J237" s="214"/>
      <c r="K237" s="371"/>
      <c r="L237" s="371"/>
      <c r="M237" s="362"/>
      <c r="N237" s="362"/>
      <c r="O237" s="262"/>
      <c r="P237" s="261"/>
      <c r="Q237" s="261"/>
      <c r="R237" s="261"/>
      <c r="S237" s="372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</row>
    <row r="238" spans="1:29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368"/>
      <c r="G238" s="369"/>
      <c r="H238" s="351"/>
      <c r="I238" s="214"/>
      <c r="J238" s="214"/>
      <c r="K238" s="371"/>
      <c r="L238" s="371"/>
      <c r="M238" s="362"/>
      <c r="N238" s="362"/>
      <c r="O238" s="262"/>
      <c r="P238" s="261"/>
      <c r="Q238" s="261"/>
      <c r="R238" s="261"/>
      <c r="S238" s="372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</row>
    <row r="239" spans="1:29" ht="18.75" customHeight="1">
      <c r="A239" s="42"/>
      <c r="B239" s="59" t="s">
        <v>551</v>
      </c>
      <c r="C239" s="113" t="s">
        <v>524</v>
      </c>
      <c r="D239" s="61" t="s">
        <v>1266</v>
      </c>
      <c r="E239" s="200">
        <f t="shared" si="0"/>
        <v>0</v>
      </c>
      <c r="F239" s="368"/>
      <c r="G239" s="369"/>
      <c r="H239" s="351"/>
      <c r="I239" s="214"/>
      <c r="J239" s="214"/>
      <c r="K239" s="371"/>
      <c r="L239" s="371"/>
      <c r="M239" s="362"/>
      <c r="N239" s="362"/>
      <c r="O239" s="262"/>
      <c r="P239" s="261"/>
      <c r="Q239" s="261"/>
      <c r="R239" s="261"/>
      <c r="S239" s="372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</row>
    <row r="240" spans="1:29" ht="18.75" customHeight="1">
      <c r="A240" s="42"/>
      <c r="B240" s="59" t="s">
        <v>553</v>
      </c>
      <c r="C240" s="113" t="s">
        <v>527</v>
      </c>
      <c r="D240" s="61" t="s">
        <v>1267</v>
      </c>
      <c r="E240" s="200">
        <f t="shared" si="0"/>
        <v>0</v>
      </c>
      <c r="F240" s="368"/>
      <c r="G240" s="369"/>
      <c r="H240" s="351"/>
      <c r="I240" s="214"/>
      <c r="J240" s="214"/>
      <c r="K240" s="371"/>
      <c r="L240" s="371"/>
      <c r="M240" s="362"/>
      <c r="N240" s="362"/>
      <c r="O240" s="262"/>
      <c r="P240" s="261"/>
      <c r="Q240" s="261"/>
      <c r="R240" s="261"/>
      <c r="S240" s="372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</row>
    <row r="241" spans="1:29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368"/>
      <c r="G241" s="369"/>
      <c r="H241" s="351"/>
      <c r="I241" s="214"/>
      <c r="J241" s="214"/>
      <c r="K241" s="371"/>
      <c r="L241" s="371"/>
      <c r="M241" s="362"/>
      <c r="N241" s="362"/>
      <c r="O241" s="262"/>
      <c r="P241" s="261"/>
      <c r="Q241" s="261"/>
      <c r="R241" s="261"/>
      <c r="S241" s="372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</row>
    <row r="242" spans="1:29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368"/>
      <c r="G242" s="369"/>
      <c r="H242" s="351"/>
      <c r="I242" s="214"/>
      <c r="J242" s="214"/>
      <c r="K242" s="371"/>
      <c r="L242" s="371"/>
      <c r="M242" s="362"/>
      <c r="N242" s="362"/>
      <c r="O242" s="262"/>
      <c r="P242" s="261"/>
      <c r="Q242" s="261"/>
      <c r="R242" s="261"/>
      <c r="S242" s="372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</row>
    <row r="243" spans="1:29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368"/>
      <c r="G243" s="369"/>
      <c r="H243" s="351"/>
      <c r="I243" s="214"/>
      <c r="J243" s="214"/>
      <c r="K243" s="371"/>
      <c r="L243" s="371"/>
      <c r="M243" s="362"/>
      <c r="N243" s="362"/>
      <c r="O243" s="262"/>
      <c r="P243" s="261"/>
      <c r="Q243" s="261"/>
      <c r="R243" s="261"/>
      <c r="S243" s="372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</row>
    <row r="244" spans="1:29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368"/>
      <c r="G244" s="369"/>
      <c r="H244" s="351"/>
      <c r="I244" s="214"/>
      <c r="J244" s="214"/>
      <c r="K244" s="371"/>
      <c r="L244" s="371"/>
      <c r="M244" s="362"/>
      <c r="N244" s="362"/>
      <c r="O244" s="262"/>
      <c r="P244" s="261"/>
      <c r="Q244" s="261"/>
      <c r="R244" s="261"/>
      <c r="S244" s="372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</row>
    <row r="245" spans="1:29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368"/>
      <c r="G245" s="369"/>
      <c r="H245" s="351"/>
      <c r="I245" s="214"/>
      <c r="J245" s="214"/>
      <c r="K245" s="371"/>
      <c r="L245" s="371"/>
      <c r="M245" s="362"/>
      <c r="N245" s="362"/>
      <c r="O245" s="262"/>
      <c r="P245" s="261"/>
      <c r="Q245" s="261"/>
      <c r="R245" s="261"/>
      <c r="S245" s="372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</row>
    <row r="246" spans="1:29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368"/>
      <c r="G246" s="369"/>
      <c r="H246" s="351"/>
      <c r="I246" s="214"/>
      <c r="J246" s="214"/>
      <c r="K246" s="371"/>
      <c r="L246" s="371"/>
      <c r="M246" s="362"/>
      <c r="N246" s="362"/>
      <c r="O246" s="262"/>
      <c r="P246" s="261"/>
      <c r="Q246" s="261"/>
      <c r="R246" s="261"/>
      <c r="S246" s="372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</row>
    <row r="247" spans="1:29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368"/>
      <c r="G247" s="369"/>
      <c r="H247" s="351"/>
      <c r="I247" s="214"/>
      <c r="J247" s="214"/>
      <c r="K247" s="371"/>
      <c r="L247" s="371"/>
      <c r="M247" s="362"/>
      <c r="N247" s="362"/>
      <c r="O247" s="262"/>
      <c r="P247" s="261"/>
      <c r="Q247" s="261"/>
      <c r="R247" s="261"/>
      <c r="S247" s="372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</row>
    <row r="248" spans="1:29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368"/>
      <c r="G248" s="369"/>
      <c r="H248" s="351"/>
      <c r="I248" s="214"/>
      <c r="J248" s="214"/>
      <c r="K248" s="371"/>
      <c r="L248" s="371"/>
      <c r="M248" s="362"/>
      <c r="N248" s="362"/>
      <c r="O248" s="262"/>
      <c r="P248" s="261"/>
      <c r="Q248" s="261"/>
      <c r="R248" s="261"/>
      <c r="S248" s="372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</row>
    <row r="249" spans="1:29" ht="18.75" customHeight="1">
      <c r="A249" s="42" t="s">
        <v>1020</v>
      </c>
      <c r="B249" s="59" t="s">
        <v>566</v>
      </c>
      <c r="C249" s="113" t="s">
        <v>567</v>
      </c>
      <c r="D249" s="61" t="s">
        <v>1268</v>
      </c>
      <c r="E249" s="200">
        <f t="shared" si="0"/>
        <v>0</v>
      </c>
      <c r="F249" s="368"/>
      <c r="G249" s="369"/>
      <c r="H249" s="351"/>
      <c r="I249" s="214"/>
      <c r="J249" s="214"/>
      <c r="K249" s="371"/>
      <c r="L249" s="371"/>
      <c r="M249" s="362"/>
      <c r="N249" s="362"/>
      <c r="O249" s="262"/>
      <c r="P249" s="261"/>
      <c r="Q249" s="261"/>
      <c r="R249" s="261"/>
      <c r="S249" s="372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</row>
    <row r="250" spans="1:29" ht="18.75" customHeight="1">
      <c r="A250" s="42" t="s">
        <v>1022</v>
      </c>
      <c r="B250" s="59" t="s">
        <v>569</v>
      </c>
      <c r="C250" s="113" t="s">
        <v>570</v>
      </c>
      <c r="D250" s="61" t="s">
        <v>1269</v>
      </c>
      <c r="E250" s="200">
        <f t="shared" si="0"/>
        <v>0</v>
      </c>
      <c r="F250" s="368"/>
      <c r="G250" s="369"/>
      <c r="H250" s="351"/>
      <c r="I250" s="214"/>
      <c r="J250" s="214"/>
      <c r="K250" s="371"/>
      <c r="L250" s="371"/>
      <c r="M250" s="362"/>
      <c r="N250" s="362"/>
      <c r="O250" s="262"/>
      <c r="P250" s="261"/>
      <c r="Q250" s="261"/>
      <c r="R250" s="261"/>
      <c r="S250" s="372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</row>
    <row r="251" spans="1:29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368"/>
      <c r="G251" s="369"/>
      <c r="H251" s="351"/>
      <c r="I251" s="214"/>
      <c r="J251" s="214"/>
      <c r="K251" s="371"/>
      <c r="L251" s="371"/>
      <c r="M251" s="362"/>
      <c r="N251" s="362"/>
      <c r="O251" s="262"/>
      <c r="P251" s="261"/>
      <c r="Q251" s="261"/>
      <c r="R251" s="261"/>
      <c r="S251" s="372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</row>
    <row r="252" spans="1:29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368"/>
      <c r="G252" s="369"/>
      <c r="H252" s="351"/>
      <c r="I252" s="214"/>
      <c r="J252" s="214"/>
      <c r="K252" s="371"/>
      <c r="L252" s="371"/>
      <c r="M252" s="362"/>
      <c r="N252" s="362"/>
      <c r="O252" s="262"/>
      <c r="P252" s="261"/>
      <c r="Q252" s="261"/>
      <c r="R252" s="261"/>
      <c r="S252" s="372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</row>
    <row r="253" spans="1:29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368"/>
      <c r="G253" s="369"/>
      <c r="H253" s="351"/>
      <c r="I253" s="214"/>
      <c r="J253" s="214"/>
      <c r="K253" s="371"/>
      <c r="L253" s="371"/>
      <c r="M253" s="362"/>
      <c r="N253" s="362"/>
      <c r="O253" s="262"/>
      <c r="P253" s="261"/>
      <c r="Q253" s="261"/>
      <c r="R253" s="261"/>
      <c r="S253" s="372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</row>
    <row r="254" spans="1:29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368"/>
      <c r="G254" s="369"/>
      <c r="H254" s="351"/>
      <c r="I254" s="214"/>
      <c r="J254" s="214"/>
      <c r="K254" s="371"/>
      <c r="L254" s="371"/>
      <c r="M254" s="362"/>
      <c r="N254" s="362"/>
      <c r="O254" s="262"/>
      <c r="P254" s="261"/>
      <c r="Q254" s="261"/>
      <c r="R254" s="261"/>
      <c r="S254" s="372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</row>
    <row r="255" spans="1:29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368"/>
      <c r="G255" s="369"/>
      <c r="H255" s="351"/>
      <c r="I255" s="214"/>
      <c r="J255" s="214"/>
      <c r="K255" s="371"/>
      <c r="L255" s="371"/>
      <c r="M255" s="362"/>
      <c r="N255" s="362"/>
      <c r="O255" s="262"/>
      <c r="P255" s="261"/>
      <c r="Q255" s="261"/>
      <c r="R255" s="261"/>
      <c r="S255" s="372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</row>
    <row r="256" spans="1:29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368"/>
      <c r="G256" s="369"/>
      <c r="H256" s="351"/>
      <c r="I256" s="214"/>
      <c r="J256" s="214"/>
      <c r="K256" s="371"/>
      <c r="L256" s="371"/>
      <c r="M256" s="362"/>
      <c r="N256" s="362"/>
      <c r="O256" s="262"/>
      <c r="P256" s="261"/>
      <c r="Q256" s="261"/>
      <c r="R256" s="261"/>
      <c r="S256" s="372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</row>
    <row r="257" spans="1:29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368"/>
      <c r="G257" s="369"/>
      <c r="H257" s="351"/>
      <c r="I257" s="214"/>
      <c r="J257" s="214"/>
      <c r="K257" s="371"/>
      <c r="L257" s="371"/>
      <c r="M257" s="362"/>
      <c r="N257" s="362"/>
      <c r="O257" s="262"/>
      <c r="P257" s="261"/>
      <c r="Q257" s="261"/>
      <c r="R257" s="261"/>
      <c r="S257" s="372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</row>
    <row r="258" spans="1:29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368"/>
      <c r="G258" s="369"/>
      <c r="H258" s="351"/>
      <c r="I258" s="214"/>
      <c r="J258" s="214"/>
      <c r="K258" s="371"/>
      <c r="L258" s="371"/>
      <c r="M258" s="362"/>
      <c r="N258" s="362"/>
      <c r="O258" s="262"/>
      <c r="P258" s="261"/>
      <c r="Q258" s="261"/>
      <c r="R258" s="261"/>
      <c r="S258" s="372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</row>
    <row r="259" spans="1:29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368"/>
      <c r="G259" s="369"/>
      <c r="H259" s="351"/>
      <c r="I259" s="214"/>
      <c r="J259" s="214"/>
      <c r="K259" s="371"/>
      <c r="L259" s="371"/>
      <c r="M259" s="362"/>
      <c r="N259" s="362"/>
      <c r="O259" s="262"/>
      <c r="P259" s="261"/>
      <c r="Q259" s="261"/>
      <c r="R259" s="261"/>
      <c r="S259" s="372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</row>
    <row r="260" spans="1:29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368"/>
      <c r="G260" s="369"/>
      <c r="H260" s="351"/>
      <c r="I260" s="214"/>
      <c r="J260" s="214"/>
      <c r="K260" s="371"/>
      <c r="L260" s="371"/>
      <c r="M260" s="362"/>
      <c r="N260" s="362"/>
      <c r="O260" s="262"/>
      <c r="P260" s="261"/>
      <c r="Q260" s="261"/>
      <c r="R260" s="261"/>
      <c r="S260" s="372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</row>
    <row r="261" spans="1:29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368"/>
      <c r="G261" s="369"/>
      <c r="H261" s="351"/>
      <c r="I261" s="214"/>
      <c r="J261" s="214"/>
      <c r="K261" s="371"/>
      <c r="L261" s="371"/>
      <c r="M261" s="362"/>
      <c r="N261" s="362"/>
      <c r="O261" s="262"/>
      <c r="P261" s="261"/>
      <c r="Q261" s="261"/>
      <c r="R261" s="261"/>
      <c r="S261" s="372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</row>
    <row r="262" spans="1:29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368"/>
      <c r="G262" s="369"/>
      <c r="H262" s="351"/>
      <c r="I262" s="214"/>
      <c r="J262" s="214"/>
      <c r="K262" s="371"/>
      <c r="L262" s="371"/>
      <c r="M262" s="362"/>
      <c r="N262" s="362"/>
      <c r="O262" s="262"/>
      <c r="P262" s="261"/>
      <c r="Q262" s="261"/>
      <c r="R262" s="261"/>
      <c r="S262" s="372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</row>
    <row r="263" spans="1:29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368"/>
      <c r="G263" s="369"/>
      <c r="H263" s="351"/>
      <c r="I263" s="214"/>
      <c r="J263" s="214"/>
      <c r="K263" s="371"/>
      <c r="L263" s="371"/>
      <c r="M263" s="362"/>
      <c r="N263" s="362"/>
      <c r="O263" s="262"/>
      <c r="P263" s="261"/>
      <c r="Q263" s="261"/>
      <c r="R263" s="261"/>
      <c r="S263" s="372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</row>
    <row r="264" spans="1:29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368"/>
      <c r="G264" s="369"/>
      <c r="H264" s="351"/>
      <c r="I264" s="214"/>
      <c r="J264" s="214"/>
      <c r="K264" s="371"/>
      <c r="L264" s="371"/>
      <c r="M264" s="362"/>
      <c r="N264" s="362"/>
      <c r="O264" s="262"/>
      <c r="P264" s="261"/>
      <c r="Q264" s="261"/>
      <c r="R264" s="261"/>
      <c r="S264" s="372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</row>
    <row r="265" spans="1:29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368"/>
      <c r="G265" s="369"/>
      <c r="H265" s="351"/>
      <c r="I265" s="214"/>
      <c r="J265" s="214"/>
      <c r="K265" s="371"/>
      <c r="L265" s="371"/>
      <c r="M265" s="362"/>
      <c r="N265" s="362"/>
      <c r="O265" s="262"/>
      <c r="P265" s="261"/>
      <c r="Q265" s="261"/>
      <c r="R265" s="261"/>
      <c r="S265" s="372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</row>
    <row r="266" spans="1:29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368"/>
      <c r="G266" s="369"/>
      <c r="H266" s="351"/>
      <c r="I266" s="214"/>
      <c r="J266" s="214"/>
      <c r="K266" s="371"/>
      <c r="L266" s="371"/>
      <c r="M266" s="362"/>
      <c r="N266" s="362"/>
      <c r="O266" s="262"/>
      <c r="P266" s="261"/>
      <c r="Q266" s="261"/>
      <c r="R266" s="261"/>
      <c r="S266" s="372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</row>
    <row r="267" spans="1:29" ht="18.75" customHeight="1">
      <c r="A267" s="42" t="s">
        <v>605</v>
      </c>
      <c r="B267" s="59" t="s">
        <v>606</v>
      </c>
      <c r="C267" s="113" t="s">
        <v>593</v>
      </c>
      <c r="D267" s="61" t="s">
        <v>1270</v>
      </c>
      <c r="E267" s="200">
        <f t="shared" si="0"/>
        <v>0</v>
      </c>
      <c r="F267" s="368"/>
      <c r="G267" s="369"/>
      <c r="H267" s="351"/>
      <c r="I267" s="214"/>
      <c r="J267" s="214"/>
      <c r="K267" s="371"/>
      <c r="L267" s="371"/>
      <c r="M267" s="362"/>
      <c r="N267" s="362"/>
      <c r="O267" s="262"/>
      <c r="P267" s="261"/>
      <c r="Q267" s="261"/>
      <c r="R267" s="261"/>
      <c r="S267" s="372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</row>
    <row r="268" spans="1:29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368"/>
      <c r="G268" s="369"/>
      <c r="H268" s="351"/>
      <c r="I268" s="214"/>
      <c r="J268" s="214"/>
      <c r="K268" s="371"/>
      <c r="L268" s="371"/>
      <c r="M268" s="362"/>
      <c r="N268" s="362"/>
      <c r="O268" s="262"/>
      <c r="P268" s="261"/>
      <c r="Q268" s="261"/>
      <c r="R268" s="261"/>
      <c r="S268" s="372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</row>
    <row r="269" spans="1:29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368"/>
      <c r="G269" s="369"/>
      <c r="H269" s="351"/>
      <c r="I269" s="214"/>
      <c r="J269" s="214"/>
      <c r="K269" s="371"/>
      <c r="L269" s="371"/>
      <c r="M269" s="362"/>
      <c r="N269" s="362"/>
      <c r="O269" s="262"/>
      <c r="P269" s="261"/>
      <c r="Q269" s="261"/>
      <c r="R269" s="261"/>
      <c r="S269" s="372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</row>
    <row r="270" spans="1:29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368"/>
      <c r="G270" s="369"/>
      <c r="H270" s="351"/>
      <c r="I270" s="214"/>
      <c r="J270" s="214"/>
      <c r="K270" s="371"/>
      <c r="L270" s="371"/>
      <c r="M270" s="362"/>
      <c r="N270" s="362"/>
      <c r="O270" s="262"/>
      <c r="P270" s="261"/>
      <c r="Q270" s="261"/>
      <c r="R270" s="261"/>
      <c r="S270" s="372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</row>
    <row r="271" spans="1:29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368"/>
      <c r="G271" s="369"/>
      <c r="H271" s="351"/>
      <c r="I271" s="214"/>
      <c r="J271" s="214"/>
      <c r="K271" s="371"/>
      <c r="L271" s="371"/>
      <c r="M271" s="362"/>
      <c r="N271" s="362"/>
      <c r="O271" s="262"/>
      <c r="P271" s="261"/>
      <c r="Q271" s="261"/>
      <c r="R271" s="261"/>
      <c r="S271" s="372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</row>
    <row r="272" spans="1:29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368"/>
      <c r="G272" s="369"/>
      <c r="H272" s="351"/>
      <c r="I272" s="214"/>
      <c r="J272" s="214"/>
      <c r="K272" s="371"/>
      <c r="L272" s="371"/>
      <c r="M272" s="362"/>
      <c r="N272" s="362"/>
      <c r="O272" s="262"/>
      <c r="P272" s="261"/>
      <c r="Q272" s="261"/>
      <c r="R272" s="261"/>
      <c r="S272" s="372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</row>
    <row r="273" spans="1:29" ht="18.75" customHeight="1">
      <c r="A273" s="42" t="s">
        <v>620</v>
      </c>
      <c r="B273" s="59" t="s">
        <v>621</v>
      </c>
      <c r="C273" s="113" t="s">
        <v>622</v>
      </c>
      <c r="D273" s="61" t="s">
        <v>1271</v>
      </c>
      <c r="E273" s="200">
        <f t="shared" si="0"/>
        <v>0</v>
      </c>
      <c r="F273" s="368"/>
      <c r="G273" s="369"/>
      <c r="H273" s="351"/>
      <c r="I273" s="214"/>
      <c r="J273" s="214"/>
      <c r="K273" s="371"/>
      <c r="L273" s="371"/>
      <c r="M273" s="362"/>
      <c r="N273" s="362"/>
      <c r="O273" s="262"/>
      <c r="P273" s="261"/>
      <c r="Q273" s="261"/>
      <c r="R273" s="261"/>
      <c r="S273" s="372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</row>
    <row r="274" spans="1:29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368"/>
      <c r="G274" s="369"/>
      <c r="H274" s="351"/>
      <c r="I274" s="214"/>
      <c r="J274" s="214"/>
      <c r="K274" s="371"/>
      <c r="L274" s="371"/>
      <c r="M274" s="362"/>
      <c r="N274" s="362"/>
      <c r="O274" s="262"/>
      <c r="P274" s="261"/>
      <c r="Q274" s="261"/>
      <c r="R274" s="261"/>
      <c r="S274" s="372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</row>
    <row r="275" spans="1:29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SUM(F275:R275)</f>
        <v>0</v>
      </c>
      <c r="F275" s="368"/>
      <c r="G275" s="369"/>
      <c r="H275" s="351"/>
      <c r="I275" s="214"/>
      <c r="J275" s="214"/>
      <c r="K275" s="371"/>
      <c r="L275" s="371"/>
      <c r="M275" s="362"/>
      <c r="N275" s="362"/>
      <c r="O275" s="262"/>
      <c r="P275" s="261"/>
      <c r="Q275" s="261"/>
      <c r="R275" s="261"/>
      <c r="S275" s="372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</row>
    <row r="276" spans="1:29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368"/>
      <c r="G276" s="369"/>
      <c r="H276" s="351"/>
      <c r="I276" s="214"/>
      <c r="J276" s="214"/>
      <c r="K276" s="371"/>
      <c r="L276" s="371"/>
      <c r="M276" s="362"/>
      <c r="N276" s="362"/>
      <c r="O276" s="262"/>
      <c r="P276" s="261"/>
      <c r="Q276" s="261"/>
      <c r="R276" s="261"/>
      <c r="S276" s="372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</row>
    <row r="277" spans="1:29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368"/>
      <c r="G277" s="369"/>
      <c r="H277" s="351"/>
      <c r="I277" s="214"/>
      <c r="J277" s="214"/>
      <c r="K277" s="371"/>
      <c r="L277" s="371"/>
      <c r="M277" s="362"/>
      <c r="N277" s="362"/>
      <c r="O277" s="262"/>
      <c r="P277" s="261"/>
      <c r="Q277" s="261"/>
      <c r="R277" s="261"/>
      <c r="S277" s="372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</row>
    <row r="278" spans="1:29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368"/>
      <c r="G278" s="369"/>
      <c r="H278" s="351"/>
      <c r="I278" s="214"/>
      <c r="J278" s="214"/>
      <c r="K278" s="371"/>
      <c r="L278" s="371"/>
      <c r="M278" s="362"/>
      <c r="N278" s="362"/>
      <c r="O278" s="262"/>
      <c r="P278" s="261"/>
      <c r="Q278" s="261"/>
      <c r="R278" s="261"/>
      <c r="S278" s="372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</row>
    <row r="279" spans="1:29" ht="18.75" customHeight="1">
      <c r="A279" s="42" t="s">
        <v>636</v>
      </c>
      <c r="B279" s="59" t="s">
        <v>637</v>
      </c>
      <c r="C279" s="113" t="s">
        <v>638</v>
      </c>
      <c r="D279" s="61" t="s">
        <v>1272</v>
      </c>
      <c r="E279" s="200">
        <f t="shared" si="1"/>
        <v>0</v>
      </c>
      <c r="F279" s="368"/>
      <c r="G279" s="369"/>
      <c r="H279" s="351"/>
      <c r="I279" s="214"/>
      <c r="J279" s="214"/>
      <c r="K279" s="371"/>
      <c r="L279" s="371"/>
      <c r="M279" s="362"/>
      <c r="N279" s="362"/>
      <c r="O279" s="262"/>
      <c r="P279" s="261"/>
      <c r="Q279" s="261"/>
      <c r="R279" s="261"/>
      <c r="S279" s="372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</row>
    <row r="280" spans="1:29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368"/>
      <c r="G280" s="369"/>
      <c r="H280" s="351"/>
      <c r="I280" s="214"/>
      <c r="J280" s="214"/>
      <c r="K280" s="371"/>
      <c r="L280" s="371"/>
      <c r="M280" s="362"/>
      <c r="N280" s="362"/>
      <c r="O280" s="262"/>
      <c r="P280" s="261"/>
      <c r="Q280" s="261"/>
      <c r="R280" s="261"/>
      <c r="S280" s="372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</row>
    <row r="281" spans="1:29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368"/>
      <c r="G281" s="369"/>
      <c r="H281" s="351"/>
      <c r="I281" s="214"/>
      <c r="J281" s="214"/>
      <c r="K281" s="371"/>
      <c r="L281" s="371"/>
      <c r="M281" s="362"/>
      <c r="N281" s="362"/>
      <c r="O281" s="262"/>
      <c r="P281" s="261"/>
      <c r="Q281" s="261"/>
      <c r="R281" s="261"/>
      <c r="S281" s="372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</row>
    <row r="282" spans="1:29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368"/>
      <c r="G282" s="369"/>
      <c r="H282" s="351"/>
      <c r="I282" s="214"/>
      <c r="J282" s="214"/>
      <c r="K282" s="371"/>
      <c r="L282" s="371"/>
      <c r="M282" s="362"/>
      <c r="N282" s="362"/>
      <c r="O282" s="262"/>
      <c r="P282" s="274"/>
      <c r="Q282" s="261"/>
      <c r="R282" s="261"/>
      <c r="S282" s="372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</row>
    <row r="283" spans="1:29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368"/>
      <c r="G283" s="369"/>
      <c r="H283" s="351"/>
      <c r="I283" s="214"/>
      <c r="J283" s="214"/>
      <c r="K283" s="362"/>
      <c r="L283" s="362"/>
      <c r="M283" s="362"/>
      <c r="N283" s="362"/>
      <c r="O283" s="270"/>
      <c r="P283" s="270"/>
      <c r="Q283" s="261"/>
      <c r="R283" s="261"/>
      <c r="S283" s="372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</row>
    <row r="284" spans="1:29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368"/>
      <c r="G284" s="369"/>
      <c r="H284" s="351"/>
      <c r="I284" s="214"/>
      <c r="J284" s="214"/>
      <c r="K284" s="371"/>
      <c r="L284" s="371"/>
      <c r="M284" s="362"/>
      <c r="N284" s="362"/>
      <c r="O284" s="262"/>
      <c r="P284" s="261"/>
      <c r="Q284" s="261"/>
      <c r="R284" s="261"/>
      <c r="S284" s="372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</row>
    <row r="285" spans="1:29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368"/>
      <c r="G285" s="369"/>
      <c r="H285" s="351"/>
      <c r="I285" s="214"/>
      <c r="J285" s="214"/>
      <c r="K285" s="371"/>
      <c r="L285" s="371"/>
      <c r="M285" s="362"/>
      <c r="N285" s="362"/>
      <c r="O285" s="262"/>
      <c r="P285" s="261"/>
      <c r="Q285" s="261"/>
      <c r="R285" s="261"/>
      <c r="S285" s="372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</row>
    <row r="286" spans="1:29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368"/>
      <c r="G286" s="369"/>
      <c r="H286" s="351"/>
      <c r="I286" s="214"/>
      <c r="J286" s="214"/>
      <c r="K286" s="371"/>
      <c r="L286" s="371"/>
      <c r="M286" s="362"/>
      <c r="N286" s="362"/>
      <c r="O286" s="262"/>
      <c r="P286" s="261"/>
      <c r="Q286" s="261"/>
      <c r="R286" s="261"/>
      <c r="S286" s="372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</row>
    <row r="287" spans="1:29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368"/>
      <c r="G287" s="369"/>
      <c r="H287" s="351"/>
      <c r="I287" s="214"/>
      <c r="J287" s="214"/>
      <c r="K287" s="371"/>
      <c r="L287" s="371"/>
      <c r="M287" s="362"/>
      <c r="N287" s="362"/>
      <c r="O287" s="262"/>
      <c r="P287" s="261"/>
      <c r="Q287" s="261"/>
      <c r="R287" s="261"/>
      <c r="S287" s="372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</row>
    <row r="288" spans="1:29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368"/>
      <c r="G288" s="369"/>
      <c r="H288" s="351"/>
      <c r="I288" s="214"/>
      <c r="J288" s="214"/>
      <c r="K288" s="371"/>
      <c r="L288" s="371"/>
      <c r="M288" s="362"/>
      <c r="N288" s="362"/>
      <c r="O288" s="262"/>
      <c r="P288" s="261"/>
      <c r="Q288" s="261"/>
      <c r="R288" s="261"/>
      <c r="S288" s="372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</row>
    <row r="289" spans="1:29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368"/>
      <c r="G289" s="369"/>
      <c r="H289" s="351"/>
      <c r="I289" s="214"/>
      <c r="J289" s="214"/>
      <c r="K289" s="371"/>
      <c r="L289" s="371"/>
      <c r="M289" s="362"/>
      <c r="N289" s="362"/>
      <c r="O289" s="262"/>
      <c r="P289" s="261"/>
      <c r="Q289" s="261"/>
      <c r="R289" s="261"/>
      <c r="S289" s="372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</row>
    <row r="290" spans="1:29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368"/>
      <c r="G290" s="369"/>
      <c r="H290" s="351"/>
      <c r="I290" s="214"/>
      <c r="J290" s="214"/>
      <c r="K290" s="371"/>
      <c r="L290" s="371"/>
      <c r="M290" s="362"/>
      <c r="N290" s="362"/>
      <c r="O290" s="262"/>
      <c r="P290" s="261"/>
      <c r="Q290" s="261"/>
      <c r="R290" s="261"/>
      <c r="S290" s="372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</row>
    <row r="291" spans="1:29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368"/>
      <c r="G291" s="369"/>
      <c r="H291" s="351"/>
      <c r="I291" s="214"/>
      <c r="J291" s="214"/>
      <c r="K291" s="371"/>
      <c r="L291" s="371"/>
      <c r="M291" s="362"/>
      <c r="N291" s="362"/>
      <c r="O291" s="262"/>
      <c r="P291" s="261"/>
      <c r="Q291" s="261"/>
      <c r="R291" s="261"/>
      <c r="S291" s="372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</row>
    <row r="292" spans="1:29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368"/>
      <c r="G292" s="369"/>
      <c r="H292" s="351"/>
      <c r="I292" s="214"/>
      <c r="J292" s="214"/>
      <c r="K292" s="371"/>
      <c r="L292" s="371"/>
      <c r="M292" s="362"/>
      <c r="N292" s="362"/>
      <c r="O292" s="262"/>
      <c r="P292" s="261"/>
      <c r="Q292" s="261"/>
      <c r="R292" s="261"/>
      <c r="S292" s="372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</row>
    <row r="293" spans="1:29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368"/>
      <c r="G293" s="369"/>
      <c r="H293" s="351"/>
      <c r="I293" s="214"/>
      <c r="J293" s="214"/>
      <c r="K293" s="371"/>
      <c r="L293" s="371"/>
      <c r="M293" s="362"/>
      <c r="N293" s="362"/>
      <c r="O293" s="262"/>
      <c r="P293" s="261"/>
      <c r="Q293" s="261"/>
      <c r="R293" s="261"/>
      <c r="S293" s="372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</row>
    <row r="294" spans="1:29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368"/>
      <c r="G294" s="369"/>
      <c r="H294" s="351"/>
      <c r="I294" s="214"/>
      <c r="J294" s="214"/>
      <c r="K294" s="371"/>
      <c r="L294" s="371"/>
      <c r="M294" s="362"/>
      <c r="N294" s="362"/>
      <c r="O294" s="262"/>
      <c r="P294" s="274"/>
      <c r="Q294" s="261"/>
      <c r="R294" s="261"/>
      <c r="S294" s="372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</row>
    <row r="295" spans="1:29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368"/>
      <c r="G295" s="369"/>
      <c r="H295" s="351"/>
      <c r="I295" s="214"/>
      <c r="J295" s="214"/>
      <c r="K295" s="371"/>
      <c r="L295" s="371"/>
      <c r="M295" s="362"/>
      <c r="N295" s="362"/>
      <c r="O295" s="262"/>
      <c r="P295" s="261"/>
      <c r="Q295" s="261"/>
      <c r="R295" s="261"/>
      <c r="S295" s="372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</row>
    <row r="296" spans="1:29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368"/>
      <c r="G296" s="369"/>
      <c r="H296" s="351"/>
      <c r="I296" s="214"/>
      <c r="J296" s="214"/>
      <c r="K296" s="371"/>
      <c r="L296" s="371"/>
      <c r="M296" s="362"/>
      <c r="N296" s="362"/>
      <c r="O296" s="262"/>
      <c r="P296" s="261"/>
      <c r="Q296" s="261"/>
      <c r="R296" s="261"/>
      <c r="S296" s="372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</row>
    <row r="297" spans="1:29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368"/>
      <c r="G297" s="369"/>
      <c r="H297" s="351"/>
      <c r="I297" s="214"/>
      <c r="J297" s="214"/>
      <c r="K297" s="371"/>
      <c r="L297" s="371"/>
      <c r="M297" s="362"/>
      <c r="N297" s="362"/>
      <c r="O297" s="262"/>
      <c r="P297" s="261"/>
      <c r="Q297" s="261"/>
      <c r="R297" s="261"/>
      <c r="S297" s="372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</row>
    <row r="298" spans="1:29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368"/>
      <c r="G298" s="369"/>
      <c r="H298" s="351"/>
      <c r="I298" s="214"/>
      <c r="J298" s="214"/>
      <c r="K298" s="371"/>
      <c r="L298" s="371"/>
      <c r="M298" s="362"/>
      <c r="N298" s="362"/>
      <c r="O298" s="262"/>
      <c r="P298" s="261"/>
      <c r="Q298" s="261"/>
      <c r="R298" s="261"/>
      <c r="S298" s="372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</row>
    <row r="299" spans="1:29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368"/>
      <c r="G299" s="369"/>
      <c r="H299" s="351"/>
      <c r="I299" s="214"/>
      <c r="J299" s="214"/>
      <c r="K299" s="371"/>
      <c r="L299" s="371"/>
      <c r="M299" s="362"/>
      <c r="N299" s="362"/>
      <c r="O299" s="262"/>
      <c r="P299" s="261"/>
      <c r="Q299" s="261"/>
      <c r="R299" s="261"/>
      <c r="S299" s="372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</row>
    <row r="300" spans="1:29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368"/>
      <c r="G300" s="369"/>
      <c r="H300" s="351"/>
      <c r="I300" s="214"/>
      <c r="J300" s="214"/>
      <c r="K300" s="371"/>
      <c r="L300" s="371"/>
      <c r="M300" s="362"/>
      <c r="N300" s="362"/>
      <c r="O300" s="262"/>
      <c r="P300" s="261"/>
      <c r="Q300" s="261"/>
      <c r="R300" s="261"/>
      <c r="S300" s="372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</row>
    <row r="301" spans="1:29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368"/>
      <c r="G301" s="369"/>
      <c r="H301" s="351"/>
      <c r="I301" s="214"/>
      <c r="J301" s="214"/>
      <c r="K301" s="371"/>
      <c r="L301" s="371"/>
      <c r="M301" s="362"/>
      <c r="N301" s="362"/>
      <c r="O301" s="262"/>
      <c r="P301" s="261"/>
      <c r="Q301" s="261"/>
      <c r="R301" s="261"/>
      <c r="S301" s="372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</row>
    <row r="302" spans="1:29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368"/>
      <c r="G302" s="369"/>
      <c r="H302" s="351"/>
      <c r="I302" s="214"/>
      <c r="J302" s="214"/>
      <c r="K302" s="371"/>
      <c r="L302" s="371"/>
      <c r="M302" s="362"/>
      <c r="N302" s="362"/>
      <c r="O302" s="262"/>
      <c r="P302" s="261"/>
      <c r="Q302" s="261"/>
      <c r="R302" s="261"/>
      <c r="S302" s="372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</row>
    <row r="303" spans="1:29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368"/>
      <c r="G303" s="369"/>
      <c r="H303" s="351"/>
      <c r="I303" s="214"/>
      <c r="J303" s="214"/>
      <c r="K303" s="371"/>
      <c r="L303" s="371"/>
      <c r="M303" s="362"/>
      <c r="N303" s="362"/>
      <c r="O303" s="262"/>
      <c r="P303" s="261"/>
      <c r="Q303" s="261"/>
      <c r="R303" s="261"/>
      <c r="S303" s="372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</row>
    <row r="304" spans="1:29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368"/>
      <c r="G304" s="369"/>
      <c r="H304" s="351"/>
      <c r="I304" s="214"/>
      <c r="J304" s="214"/>
      <c r="K304" s="371"/>
      <c r="L304" s="371"/>
      <c r="M304" s="362"/>
      <c r="N304" s="362"/>
      <c r="O304" s="262"/>
      <c r="P304" s="261"/>
      <c r="Q304" s="261"/>
      <c r="R304" s="261"/>
      <c r="S304" s="372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</row>
    <row r="305" spans="1:29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368"/>
      <c r="G305" s="369"/>
      <c r="H305" s="351"/>
      <c r="I305" s="214"/>
      <c r="J305" s="214"/>
      <c r="K305" s="371"/>
      <c r="L305" s="371"/>
      <c r="M305" s="362"/>
      <c r="N305" s="362"/>
      <c r="O305" s="262"/>
      <c r="P305" s="261"/>
      <c r="Q305" s="261"/>
      <c r="R305" s="261"/>
      <c r="S305" s="372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</row>
    <row r="306" spans="1:29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368"/>
      <c r="G306" s="369"/>
      <c r="H306" s="351"/>
      <c r="I306" s="214"/>
      <c r="J306" s="214"/>
      <c r="K306" s="371"/>
      <c r="L306" s="371"/>
      <c r="M306" s="362"/>
      <c r="N306" s="362"/>
      <c r="O306" s="262"/>
      <c r="P306" s="261"/>
      <c r="Q306" s="261"/>
      <c r="R306" s="261"/>
      <c r="S306" s="372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</row>
    <row r="307" spans="1:29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368"/>
      <c r="G307" s="369"/>
      <c r="H307" s="351"/>
      <c r="I307" s="214"/>
      <c r="J307" s="214"/>
      <c r="K307" s="371"/>
      <c r="L307" s="371"/>
      <c r="M307" s="362"/>
      <c r="N307" s="362"/>
      <c r="O307" s="262"/>
      <c r="P307" s="274"/>
      <c r="Q307" s="261"/>
      <c r="R307" s="261"/>
      <c r="S307" s="372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</row>
    <row r="308" spans="1:29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368"/>
      <c r="G308" s="369"/>
      <c r="H308" s="351"/>
      <c r="I308" s="214"/>
      <c r="J308" s="214"/>
      <c r="K308" s="371"/>
      <c r="L308" s="371"/>
      <c r="M308" s="362"/>
      <c r="N308" s="362"/>
      <c r="O308" s="262"/>
      <c r="P308" s="261"/>
      <c r="Q308" s="261"/>
      <c r="R308" s="261"/>
      <c r="S308" s="372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</row>
    <row r="309" spans="1:29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368"/>
      <c r="G309" s="369"/>
      <c r="H309" s="351"/>
      <c r="I309" s="214"/>
      <c r="J309" s="214"/>
      <c r="K309" s="371"/>
      <c r="L309" s="371"/>
      <c r="M309" s="362"/>
      <c r="N309" s="362"/>
      <c r="O309" s="262"/>
      <c r="P309" s="261"/>
      <c r="Q309" s="261"/>
      <c r="R309" s="261"/>
      <c r="S309" s="372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</row>
    <row r="310" spans="1:29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368"/>
      <c r="G310" s="369"/>
      <c r="H310" s="351"/>
      <c r="I310" s="214"/>
      <c r="J310" s="214"/>
      <c r="K310" s="371"/>
      <c r="L310" s="371"/>
      <c r="M310" s="362"/>
      <c r="N310" s="362"/>
      <c r="O310" s="262"/>
      <c r="P310" s="261"/>
      <c r="Q310" s="261"/>
      <c r="R310" s="261"/>
      <c r="S310" s="372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</row>
    <row r="311" spans="1:29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368"/>
      <c r="G311" s="369"/>
      <c r="H311" s="351"/>
      <c r="I311" s="214"/>
      <c r="J311" s="214"/>
      <c r="K311" s="371"/>
      <c r="L311" s="371"/>
      <c r="M311" s="362"/>
      <c r="N311" s="362"/>
      <c r="O311" s="262"/>
      <c r="P311" s="261"/>
      <c r="Q311" s="261"/>
      <c r="R311" s="261"/>
      <c r="S311" s="372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</row>
    <row r="312" spans="1:29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368"/>
      <c r="G312" s="369"/>
      <c r="H312" s="351"/>
      <c r="I312" s="214"/>
      <c r="J312" s="214"/>
      <c r="K312" s="371"/>
      <c r="L312" s="371"/>
      <c r="M312" s="362"/>
      <c r="N312" s="362"/>
      <c r="O312" s="262"/>
      <c r="P312" s="261"/>
      <c r="Q312" s="261"/>
      <c r="R312" s="261"/>
      <c r="S312" s="372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</row>
    <row r="313" spans="1:29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368"/>
      <c r="G313" s="369"/>
      <c r="H313" s="351"/>
      <c r="I313" s="214"/>
      <c r="J313" s="214"/>
      <c r="K313" s="371"/>
      <c r="L313" s="371"/>
      <c r="M313" s="362"/>
      <c r="N313" s="362"/>
      <c r="O313" s="262"/>
      <c r="P313" s="261"/>
      <c r="Q313" s="261"/>
      <c r="R313" s="261"/>
      <c r="S313" s="372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</row>
    <row r="314" spans="1:29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368"/>
      <c r="G314" s="369"/>
      <c r="H314" s="351"/>
      <c r="I314" s="214"/>
      <c r="J314" s="214"/>
      <c r="K314" s="371"/>
      <c r="L314" s="371"/>
      <c r="M314" s="362"/>
      <c r="N314" s="362"/>
      <c r="O314" s="262"/>
      <c r="P314" s="261"/>
      <c r="Q314" s="261"/>
      <c r="R314" s="261"/>
      <c r="S314" s="372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</row>
    <row r="315" spans="1:29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368"/>
      <c r="G315" s="369"/>
      <c r="H315" s="351"/>
      <c r="I315" s="214"/>
      <c r="J315" s="214"/>
      <c r="K315" s="371"/>
      <c r="L315" s="371"/>
      <c r="M315" s="362"/>
      <c r="N315" s="362"/>
      <c r="O315" s="262"/>
      <c r="P315" s="261"/>
      <c r="Q315" s="261"/>
      <c r="R315" s="261"/>
      <c r="S315" s="372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</row>
    <row r="316" spans="1:29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368"/>
      <c r="G316" s="369"/>
      <c r="H316" s="351"/>
      <c r="I316" s="214"/>
      <c r="J316" s="214"/>
      <c r="K316" s="371"/>
      <c r="L316" s="371"/>
      <c r="M316" s="362"/>
      <c r="N316" s="362"/>
      <c r="O316" s="262"/>
      <c r="P316" s="261"/>
      <c r="Q316" s="261"/>
      <c r="R316" s="261"/>
      <c r="S316" s="372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</row>
    <row r="317" spans="1:29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368"/>
      <c r="G317" s="369"/>
      <c r="H317" s="351"/>
      <c r="I317" s="214"/>
      <c r="J317" s="214"/>
      <c r="K317" s="371"/>
      <c r="L317" s="371"/>
      <c r="M317" s="362"/>
      <c r="N317" s="362"/>
      <c r="O317" s="262"/>
      <c r="P317" s="261"/>
      <c r="Q317" s="261"/>
      <c r="R317" s="261"/>
      <c r="S317" s="372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</row>
    <row r="318" spans="1:29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368"/>
      <c r="G318" s="369"/>
      <c r="H318" s="351"/>
      <c r="I318" s="214"/>
      <c r="J318" s="214"/>
      <c r="K318" s="371"/>
      <c r="L318" s="371"/>
      <c r="M318" s="362"/>
      <c r="N318" s="362"/>
      <c r="O318" s="262"/>
      <c r="P318" s="261"/>
      <c r="Q318" s="261"/>
      <c r="R318" s="261"/>
      <c r="S318" s="372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</row>
    <row r="319" spans="1:29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368"/>
      <c r="G319" s="369"/>
      <c r="H319" s="351"/>
      <c r="I319" s="214"/>
      <c r="J319" s="214"/>
      <c r="K319" s="371"/>
      <c r="L319" s="371"/>
      <c r="M319" s="362"/>
      <c r="N319" s="362"/>
      <c r="O319" s="262"/>
      <c r="P319" s="261"/>
      <c r="Q319" s="261"/>
      <c r="R319" s="261"/>
      <c r="S319" s="372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</row>
    <row r="320" spans="1:29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368"/>
      <c r="G320" s="369"/>
      <c r="H320" s="351"/>
      <c r="I320" s="214"/>
      <c r="J320" s="214"/>
      <c r="K320" s="371"/>
      <c r="L320" s="371"/>
      <c r="M320" s="362"/>
      <c r="N320" s="362"/>
      <c r="O320" s="262"/>
      <c r="P320" s="274"/>
      <c r="Q320" s="261"/>
      <c r="R320" s="261"/>
      <c r="S320" s="372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</row>
    <row r="321" spans="1:29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368"/>
      <c r="G321" s="369"/>
      <c r="H321" s="351"/>
      <c r="I321" s="214"/>
      <c r="J321" s="214"/>
      <c r="K321" s="371"/>
      <c r="L321" s="371"/>
      <c r="M321" s="362"/>
      <c r="N321" s="362"/>
      <c r="O321" s="262"/>
      <c r="P321" s="261"/>
      <c r="Q321" s="261"/>
      <c r="R321" s="261"/>
      <c r="S321" s="372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</row>
    <row r="322" spans="1:29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368"/>
      <c r="G322" s="369"/>
      <c r="H322" s="351"/>
      <c r="I322" s="214"/>
      <c r="J322" s="214"/>
      <c r="K322" s="371"/>
      <c r="L322" s="371"/>
      <c r="M322" s="362"/>
      <c r="N322" s="362"/>
      <c r="O322" s="262"/>
      <c r="P322" s="261"/>
      <c r="Q322" s="261"/>
      <c r="R322" s="261"/>
      <c r="S322" s="372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</row>
    <row r="323" spans="1:29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368"/>
      <c r="G323" s="369"/>
      <c r="H323" s="351"/>
      <c r="I323" s="214"/>
      <c r="J323" s="214"/>
      <c r="K323" s="371"/>
      <c r="L323" s="371"/>
      <c r="M323" s="362"/>
      <c r="N323" s="362"/>
      <c r="O323" s="262"/>
      <c r="P323" s="261"/>
      <c r="Q323" s="261"/>
      <c r="R323" s="261"/>
      <c r="S323" s="372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</row>
    <row r="324" spans="1:29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368"/>
      <c r="G324" s="369"/>
      <c r="H324" s="351"/>
      <c r="I324" s="214"/>
      <c r="J324" s="214"/>
      <c r="K324" s="371"/>
      <c r="L324" s="371"/>
      <c r="M324" s="362"/>
      <c r="N324" s="362"/>
      <c r="O324" s="262"/>
      <c r="P324" s="261"/>
      <c r="Q324" s="261"/>
      <c r="R324" s="261"/>
      <c r="S324" s="372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</row>
    <row r="325" spans="1:29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368"/>
      <c r="G325" s="369"/>
      <c r="H325" s="351"/>
      <c r="I325" s="214"/>
      <c r="J325" s="214"/>
      <c r="K325" s="371"/>
      <c r="L325" s="371"/>
      <c r="M325" s="362"/>
      <c r="N325" s="362"/>
      <c r="O325" s="262"/>
      <c r="P325" s="261"/>
      <c r="Q325" s="261"/>
      <c r="R325" s="261"/>
      <c r="S325" s="372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</row>
    <row r="326" spans="1:29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368"/>
      <c r="G326" s="369"/>
      <c r="H326" s="351"/>
      <c r="I326" s="214"/>
      <c r="J326" s="214"/>
      <c r="K326" s="371"/>
      <c r="L326" s="371"/>
      <c r="M326" s="362"/>
      <c r="N326" s="362"/>
      <c r="O326" s="262"/>
      <c r="P326" s="261"/>
      <c r="Q326" s="261"/>
      <c r="R326" s="261"/>
      <c r="S326" s="372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</row>
    <row r="327" spans="1:29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368"/>
      <c r="G327" s="369"/>
      <c r="H327" s="351"/>
      <c r="I327" s="214"/>
      <c r="J327" s="214"/>
      <c r="K327" s="371"/>
      <c r="L327" s="371"/>
      <c r="M327" s="362"/>
      <c r="N327" s="362"/>
      <c r="O327" s="262"/>
      <c r="P327" s="261"/>
      <c r="Q327" s="261"/>
      <c r="R327" s="261"/>
      <c r="S327" s="372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</row>
    <row r="328" spans="1:29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368"/>
      <c r="G328" s="369"/>
      <c r="H328" s="351"/>
      <c r="I328" s="214"/>
      <c r="J328" s="214"/>
      <c r="K328" s="371"/>
      <c r="L328" s="371"/>
      <c r="M328" s="362"/>
      <c r="N328" s="362"/>
      <c r="O328" s="262"/>
      <c r="P328" s="261"/>
      <c r="Q328" s="261"/>
      <c r="R328" s="261"/>
      <c r="S328" s="372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</row>
    <row r="329" spans="1:29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368"/>
      <c r="G329" s="369"/>
      <c r="H329" s="351"/>
      <c r="I329" s="214"/>
      <c r="J329" s="214"/>
      <c r="K329" s="371"/>
      <c r="L329" s="371"/>
      <c r="M329" s="362"/>
      <c r="N329" s="362"/>
      <c r="O329" s="262"/>
      <c r="P329" s="261"/>
      <c r="Q329" s="261"/>
      <c r="R329" s="261"/>
      <c r="S329" s="372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</row>
    <row r="330" spans="1:29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368"/>
      <c r="G330" s="369"/>
      <c r="H330" s="351"/>
      <c r="I330" s="214"/>
      <c r="J330" s="214"/>
      <c r="K330" s="371"/>
      <c r="L330" s="371"/>
      <c r="M330" s="362"/>
      <c r="N330" s="362"/>
      <c r="O330" s="262"/>
      <c r="P330" s="261"/>
      <c r="Q330" s="261"/>
      <c r="R330" s="261"/>
      <c r="S330" s="372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</row>
    <row r="331" spans="1:29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368"/>
      <c r="G331" s="369"/>
      <c r="H331" s="351"/>
      <c r="I331" s="214"/>
      <c r="J331" s="214"/>
      <c r="K331" s="371"/>
      <c r="L331" s="371"/>
      <c r="M331" s="362"/>
      <c r="N331" s="362"/>
      <c r="O331" s="262"/>
      <c r="P331" s="261"/>
      <c r="Q331" s="261"/>
      <c r="R331" s="261"/>
      <c r="S331" s="372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</row>
    <row r="332" spans="1:29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368"/>
      <c r="G332" s="369"/>
      <c r="H332" s="351"/>
      <c r="I332" s="214"/>
      <c r="J332" s="214"/>
      <c r="K332" s="371"/>
      <c r="L332" s="371"/>
      <c r="M332" s="362"/>
      <c r="N332" s="362"/>
      <c r="O332" s="262"/>
      <c r="P332" s="261"/>
      <c r="Q332" s="261"/>
      <c r="R332" s="261"/>
      <c r="S332" s="372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</row>
    <row r="333" spans="1:29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368"/>
      <c r="G333" s="369"/>
      <c r="H333" s="351"/>
      <c r="I333" s="214"/>
      <c r="J333" s="214"/>
      <c r="K333" s="371"/>
      <c r="L333" s="371"/>
      <c r="M333" s="362"/>
      <c r="N333" s="362"/>
      <c r="O333" s="262"/>
      <c r="P333" s="261"/>
      <c r="Q333" s="261"/>
      <c r="R333" s="261"/>
      <c r="S333" s="37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</row>
    <row r="334" spans="1:29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368"/>
      <c r="G334" s="369"/>
      <c r="H334" s="351"/>
      <c r="I334" s="214"/>
      <c r="J334" s="214"/>
      <c r="K334" s="371"/>
      <c r="L334" s="371"/>
      <c r="M334" s="362"/>
      <c r="N334" s="362"/>
      <c r="O334" s="262"/>
      <c r="P334" s="261"/>
      <c r="Q334" s="261"/>
      <c r="R334" s="261"/>
      <c r="S334" s="372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</row>
    <row r="335" spans="1:29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368"/>
      <c r="G335" s="369"/>
      <c r="H335" s="351"/>
      <c r="I335" s="214"/>
      <c r="J335" s="214"/>
      <c r="K335" s="371"/>
      <c r="L335" s="371"/>
      <c r="M335" s="362"/>
      <c r="N335" s="362"/>
      <c r="O335" s="262"/>
      <c r="P335" s="261"/>
      <c r="Q335" s="261"/>
      <c r="R335" s="261"/>
      <c r="S335" s="372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</row>
    <row r="336" spans="1:29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368"/>
      <c r="G336" s="369"/>
      <c r="H336" s="351"/>
      <c r="I336" s="214"/>
      <c r="J336" s="214"/>
      <c r="K336" s="371"/>
      <c r="L336" s="371"/>
      <c r="M336" s="362"/>
      <c r="N336" s="362"/>
      <c r="O336" s="262"/>
      <c r="P336" s="261"/>
      <c r="Q336" s="261"/>
      <c r="R336" s="261"/>
      <c r="S336" s="372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</row>
    <row r="337" spans="1:29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368"/>
      <c r="G337" s="369"/>
      <c r="H337" s="351"/>
      <c r="I337" s="214"/>
      <c r="J337" s="214"/>
      <c r="K337" s="371"/>
      <c r="L337" s="371"/>
      <c r="M337" s="362"/>
      <c r="N337" s="362"/>
      <c r="O337" s="262"/>
      <c r="P337" s="261"/>
      <c r="Q337" s="261"/>
      <c r="R337" s="261"/>
      <c r="S337" s="372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</row>
    <row r="338" spans="1:29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368"/>
      <c r="G338" s="369"/>
      <c r="H338" s="351"/>
      <c r="I338" s="214"/>
      <c r="J338" s="214"/>
      <c r="K338" s="371"/>
      <c r="L338" s="371"/>
      <c r="M338" s="362"/>
      <c r="N338" s="362"/>
      <c r="O338" s="262"/>
      <c r="P338" s="261"/>
      <c r="Q338" s="261"/>
      <c r="R338" s="261"/>
      <c r="S338" s="372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</row>
    <row r="339" spans="1:29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368"/>
      <c r="G339" s="369"/>
      <c r="H339" s="351"/>
      <c r="I339" s="214"/>
      <c r="J339" s="214"/>
      <c r="K339" s="371"/>
      <c r="L339" s="371"/>
      <c r="M339" s="362"/>
      <c r="N339" s="362"/>
      <c r="O339" s="262"/>
      <c r="P339" s="261"/>
      <c r="Q339" s="261"/>
      <c r="R339" s="261"/>
      <c r="S339" s="372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</row>
    <row r="340" spans="1:29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368"/>
      <c r="G340" s="369"/>
      <c r="H340" s="351"/>
      <c r="I340" s="214"/>
      <c r="J340" s="214"/>
      <c r="K340" s="371"/>
      <c r="L340" s="371"/>
      <c r="M340" s="362"/>
      <c r="N340" s="362"/>
      <c r="O340" s="262"/>
      <c r="P340" s="261"/>
      <c r="Q340" s="261"/>
      <c r="R340" s="261"/>
      <c r="S340" s="372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</row>
    <row r="341" spans="1:29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368"/>
      <c r="G341" s="369"/>
      <c r="H341" s="351"/>
      <c r="I341" s="214"/>
      <c r="J341" s="214"/>
      <c r="K341" s="371"/>
      <c r="L341" s="371"/>
      <c r="M341" s="362"/>
      <c r="N341" s="362"/>
      <c r="O341" s="262"/>
      <c r="P341" s="261"/>
      <c r="Q341" s="261"/>
      <c r="R341" s="261"/>
      <c r="S341" s="372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</row>
    <row r="342" spans="1:29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368"/>
      <c r="G342" s="369"/>
      <c r="H342" s="351"/>
      <c r="I342" s="214"/>
      <c r="J342" s="214"/>
      <c r="K342" s="371"/>
      <c r="L342" s="371"/>
      <c r="M342" s="362"/>
      <c r="N342" s="362"/>
      <c r="O342" s="262"/>
      <c r="P342" s="261"/>
      <c r="Q342" s="261"/>
      <c r="R342" s="261"/>
      <c r="S342" s="372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</row>
    <row r="343" spans="1:29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368"/>
      <c r="G343" s="369"/>
      <c r="H343" s="351"/>
      <c r="I343" s="214"/>
      <c r="J343" s="214"/>
      <c r="K343" s="371"/>
      <c r="L343" s="371"/>
      <c r="M343" s="362"/>
      <c r="N343" s="362"/>
      <c r="O343" s="262"/>
      <c r="P343" s="261"/>
      <c r="Q343" s="261"/>
      <c r="R343" s="261"/>
      <c r="S343" s="372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</row>
    <row r="344" spans="1:29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368"/>
      <c r="G344" s="369"/>
      <c r="H344" s="351"/>
      <c r="I344" s="214"/>
      <c r="J344" s="214"/>
      <c r="K344" s="371"/>
      <c r="L344" s="371"/>
      <c r="M344" s="362"/>
      <c r="N344" s="362"/>
      <c r="O344" s="262"/>
      <c r="P344" s="261"/>
      <c r="Q344" s="261"/>
      <c r="R344" s="261"/>
      <c r="S344" s="372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</row>
    <row r="345" spans="1:29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368"/>
      <c r="G345" s="369"/>
      <c r="H345" s="351"/>
      <c r="I345" s="214"/>
      <c r="J345" s="214"/>
      <c r="K345" s="371"/>
      <c r="L345" s="371"/>
      <c r="M345" s="362"/>
      <c r="N345" s="362"/>
      <c r="O345" s="262"/>
      <c r="P345" s="261"/>
      <c r="Q345" s="261"/>
      <c r="R345" s="261"/>
      <c r="S345" s="372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</row>
    <row r="346" spans="1:29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368"/>
      <c r="G346" s="369"/>
      <c r="H346" s="351"/>
      <c r="I346" s="214"/>
      <c r="J346" s="214"/>
      <c r="K346" s="371"/>
      <c r="L346" s="371"/>
      <c r="M346" s="362"/>
      <c r="N346" s="362"/>
      <c r="O346" s="262"/>
      <c r="P346" s="261"/>
      <c r="Q346" s="261"/>
      <c r="R346" s="261"/>
      <c r="S346" s="372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</row>
    <row r="347" spans="1:29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368"/>
      <c r="G347" s="369"/>
      <c r="H347" s="351"/>
      <c r="I347" s="214"/>
      <c r="J347" s="214"/>
      <c r="K347" s="371"/>
      <c r="L347" s="371"/>
      <c r="M347" s="362"/>
      <c r="N347" s="362"/>
      <c r="O347" s="262"/>
      <c r="P347" s="261"/>
      <c r="Q347" s="261"/>
      <c r="R347" s="261"/>
      <c r="S347" s="372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</row>
    <row r="348" spans="1:29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368"/>
      <c r="G348" s="369"/>
      <c r="H348" s="351"/>
      <c r="I348" s="214"/>
      <c r="J348" s="214"/>
      <c r="K348" s="371"/>
      <c r="L348" s="371"/>
      <c r="M348" s="362"/>
      <c r="N348" s="362"/>
      <c r="O348" s="262"/>
      <c r="P348" s="261"/>
      <c r="Q348" s="261"/>
      <c r="R348" s="261"/>
      <c r="S348" s="372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</row>
    <row r="349" spans="1:29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368"/>
      <c r="G349" s="369"/>
      <c r="H349" s="351"/>
      <c r="I349" s="214"/>
      <c r="J349" s="214"/>
      <c r="K349" s="371"/>
      <c r="L349" s="371"/>
      <c r="M349" s="362"/>
      <c r="N349" s="362"/>
      <c r="O349" s="262"/>
      <c r="P349" s="261"/>
      <c r="Q349" s="261"/>
      <c r="R349" s="261"/>
      <c r="S349" s="372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</row>
    <row r="350" spans="1:29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368"/>
      <c r="G350" s="369"/>
      <c r="H350" s="351"/>
      <c r="I350" s="214"/>
      <c r="J350" s="214"/>
      <c r="K350" s="371"/>
      <c r="L350" s="371"/>
      <c r="M350" s="362"/>
      <c r="N350" s="362"/>
      <c r="O350" s="262"/>
      <c r="P350" s="261"/>
      <c r="Q350" s="261"/>
      <c r="R350" s="261"/>
      <c r="S350" s="372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</row>
    <row r="351" spans="1:29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368"/>
      <c r="G351" s="369"/>
      <c r="H351" s="351"/>
      <c r="I351" s="214"/>
      <c r="J351" s="214"/>
      <c r="K351" s="371"/>
      <c r="L351" s="371"/>
      <c r="M351" s="362"/>
      <c r="N351" s="362"/>
      <c r="O351" s="262"/>
      <c r="P351" s="261"/>
      <c r="Q351" s="261"/>
      <c r="R351" s="261"/>
      <c r="S351" s="372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</row>
    <row r="352" spans="1:29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368"/>
      <c r="G352" s="369"/>
      <c r="H352" s="351"/>
      <c r="I352" s="214"/>
      <c r="J352" s="214"/>
      <c r="K352" s="371"/>
      <c r="L352" s="371"/>
      <c r="M352" s="362"/>
      <c r="N352" s="362"/>
      <c r="O352" s="262"/>
      <c r="P352" s="261"/>
      <c r="Q352" s="261"/>
      <c r="R352" s="261"/>
      <c r="S352" s="372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</row>
    <row r="353" spans="1:29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368"/>
      <c r="G353" s="369"/>
      <c r="H353" s="351"/>
      <c r="I353" s="214"/>
      <c r="J353" s="214"/>
      <c r="K353" s="371"/>
      <c r="L353" s="371"/>
      <c r="M353" s="362"/>
      <c r="N353" s="362"/>
      <c r="O353" s="262"/>
      <c r="P353" s="261"/>
      <c r="Q353" s="261"/>
      <c r="R353" s="261"/>
      <c r="S353" s="372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</row>
    <row r="354" spans="1:29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368"/>
      <c r="G354" s="369"/>
      <c r="H354" s="351"/>
      <c r="I354" s="214"/>
      <c r="J354" s="214"/>
      <c r="K354" s="371"/>
      <c r="L354" s="371"/>
      <c r="M354" s="362"/>
      <c r="N354" s="362"/>
      <c r="O354" s="262"/>
      <c r="P354" s="261"/>
      <c r="Q354" s="261"/>
      <c r="R354" s="261"/>
      <c r="S354" s="372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</row>
    <row r="355" spans="1:29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368"/>
      <c r="G355" s="369"/>
      <c r="H355" s="351"/>
      <c r="I355" s="214"/>
      <c r="J355" s="214"/>
      <c r="K355" s="371"/>
      <c r="L355" s="371"/>
      <c r="M355" s="362"/>
      <c r="N355" s="362"/>
      <c r="O355" s="262"/>
      <c r="P355" s="261"/>
      <c r="Q355" s="261"/>
      <c r="R355" s="261"/>
      <c r="S355" s="372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</row>
    <row r="356" spans="1:29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368"/>
      <c r="G356" s="369"/>
      <c r="H356" s="351"/>
      <c r="I356" s="214"/>
      <c r="J356" s="214"/>
      <c r="K356" s="371"/>
      <c r="L356" s="371"/>
      <c r="M356" s="362"/>
      <c r="N356" s="362"/>
      <c r="O356" s="262"/>
      <c r="P356" s="261"/>
      <c r="Q356" s="261"/>
      <c r="R356" s="261"/>
      <c r="S356" s="372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</row>
    <row r="357" spans="1:29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368"/>
      <c r="G357" s="369"/>
      <c r="H357" s="351"/>
      <c r="I357" s="214"/>
      <c r="J357" s="214"/>
      <c r="K357" s="371"/>
      <c r="L357" s="371"/>
      <c r="M357" s="362"/>
      <c r="N357" s="362"/>
      <c r="O357" s="262"/>
      <c r="P357" s="261"/>
      <c r="Q357" s="261"/>
      <c r="R357" s="261"/>
      <c r="S357" s="372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</row>
    <row r="358" spans="1:29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368"/>
      <c r="G358" s="369"/>
      <c r="H358" s="351"/>
      <c r="I358" s="214"/>
      <c r="J358" s="214"/>
      <c r="K358" s="371"/>
      <c r="L358" s="371"/>
      <c r="M358" s="362"/>
      <c r="N358" s="362"/>
      <c r="O358" s="262"/>
      <c r="P358" s="261"/>
      <c r="Q358" s="261"/>
      <c r="R358" s="261"/>
      <c r="S358" s="372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</row>
    <row r="359" spans="1:29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368"/>
      <c r="G359" s="369"/>
      <c r="H359" s="351"/>
      <c r="I359" s="214"/>
      <c r="J359" s="214"/>
      <c r="K359" s="371"/>
      <c r="L359" s="371"/>
      <c r="M359" s="362"/>
      <c r="N359" s="362"/>
      <c r="O359" s="262"/>
      <c r="P359" s="261"/>
      <c r="Q359" s="261"/>
      <c r="R359" s="261"/>
      <c r="S359" s="372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</row>
    <row r="360" spans="1:29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368"/>
      <c r="G360" s="369"/>
      <c r="H360" s="351"/>
      <c r="I360" s="214"/>
      <c r="J360" s="214"/>
      <c r="K360" s="371"/>
      <c r="L360" s="371"/>
      <c r="M360" s="362"/>
      <c r="N360" s="362"/>
      <c r="O360" s="262"/>
      <c r="P360" s="261"/>
      <c r="Q360" s="261"/>
      <c r="R360" s="261"/>
      <c r="S360" s="372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</row>
    <row r="361" spans="1:29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368"/>
      <c r="G361" s="369"/>
      <c r="H361" s="351"/>
      <c r="I361" s="214"/>
      <c r="J361" s="214"/>
      <c r="K361" s="371"/>
      <c r="L361" s="371"/>
      <c r="M361" s="362"/>
      <c r="N361" s="362"/>
      <c r="O361" s="262"/>
      <c r="P361" s="261"/>
      <c r="Q361" s="261"/>
      <c r="R361" s="261"/>
      <c r="S361" s="372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</row>
    <row r="362" spans="1:29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368"/>
      <c r="G362" s="369"/>
      <c r="H362" s="351"/>
      <c r="I362" s="214"/>
      <c r="J362" s="214"/>
      <c r="K362" s="371"/>
      <c r="L362" s="371"/>
      <c r="M362" s="362"/>
      <c r="N362" s="362"/>
      <c r="O362" s="262"/>
      <c r="P362" s="261"/>
      <c r="Q362" s="261"/>
      <c r="R362" s="261"/>
      <c r="S362" s="372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</row>
    <row r="363" spans="1:29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368"/>
      <c r="G363" s="369"/>
      <c r="H363" s="351"/>
      <c r="I363" s="214"/>
      <c r="J363" s="214"/>
      <c r="K363" s="371"/>
      <c r="L363" s="371"/>
      <c r="M363" s="362"/>
      <c r="N363" s="362"/>
      <c r="O363" s="262"/>
      <c r="P363" s="261"/>
      <c r="Q363" s="261"/>
      <c r="R363" s="261"/>
      <c r="S363" s="372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</row>
    <row r="364" spans="1:29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368"/>
      <c r="G364" s="369"/>
      <c r="H364" s="351"/>
      <c r="I364" s="214"/>
      <c r="J364" s="214"/>
      <c r="K364" s="371"/>
      <c r="L364" s="371"/>
      <c r="M364" s="362"/>
      <c r="N364" s="362"/>
      <c r="O364" s="262"/>
      <c r="P364" s="261"/>
      <c r="Q364" s="261"/>
      <c r="R364" s="261"/>
      <c r="S364" s="372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</row>
    <row r="365" spans="1:29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368"/>
      <c r="G365" s="369"/>
      <c r="H365" s="351"/>
      <c r="I365" s="214"/>
      <c r="J365" s="214"/>
      <c r="K365" s="371"/>
      <c r="L365" s="371"/>
      <c r="M365" s="362"/>
      <c r="N365" s="362"/>
      <c r="O365" s="262"/>
      <c r="P365" s="261"/>
      <c r="Q365" s="261"/>
      <c r="R365" s="261"/>
      <c r="S365" s="372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</row>
    <row r="366" spans="1:29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368"/>
      <c r="G366" s="369"/>
      <c r="H366" s="351"/>
      <c r="I366" s="214"/>
      <c r="J366" s="214"/>
      <c r="K366" s="371"/>
      <c r="L366" s="371"/>
      <c r="M366" s="362"/>
      <c r="N366" s="362"/>
      <c r="O366" s="262"/>
      <c r="P366" s="261"/>
      <c r="Q366" s="261"/>
      <c r="R366" s="261"/>
      <c r="S366" s="372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</row>
    <row r="367" spans="1:29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368"/>
      <c r="G367" s="369"/>
      <c r="H367" s="351"/>
      <c r="I367" s="214"/>
      <c r="J367" s="214"/>
      <c r="K367" s="371"/>
      <c r="L367" s="371"/>
      <c r="M367" s="362"/>
      <c r="N367" s="362"/>
      <c r="O367" s="262"/>
      <c r="P367" s="261"/>
      <c r="Q367" s="261"/>
      <c r="R367" s="261"/>
      <c r="S367" s="372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</row>
    <row r="368" spans="1:29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368"/>
      <c r="G368" s="369"/>
      <c r="H368" s="351"/>
      <c r="I368" s="214"/>
      <c r="J368" s="214"/>
      <c r="K368" s="371"/>
      <c r="L368" s="371"/>
      <c r="M368" s="362"/>
      <c r="N368" s="362"/>
      <c r="O368" s="262"/>
      <c r="P368" s="261"/>
      <c r="Q368" s="261"/>
      <c r="R368" s="261"/>
      <c r="S368" s="372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</row>
    <row r="369" spans="1:29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368"/>
      <c r="G369" s="369"/>
      <c r="H369" s="351"/>
      <c r="I369" s="214"/>
      <c r="J369" s="214"/>
      <c r="K369" s="371"/>
      <c r="L369" s="371"/>
      <c r="M369" s="362"/>
      <c r="N369" s="362"/>
      <c r="O369" s="262"/>
      <c r="P369" s="261"/>
      <c r="Q369" s="261"/>
      <c r="R369" s="261"/>
      <c r="S369" s="372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</row>
    <row r="370" spans="1:29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380"/>
      <c r="G370" s="369"/>
      <c r="H370" s="351"/>
      <c r="I370" s="214"/>
      <c r="J370" s="214"/>
      <c r="K370" s="371"/>
      <c r="L370" s="371"/>
      <c r="M370" s="362"/>
      <c r="N370" s="362"/>
      <c r="O370" s="262"/>
      <c r="P370" s="261"/>
      <c r="Q370" s="261"/>
      <c r="R370" s="261"/>
      <c r="S370" s="372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</row>
    <row r="371" spans="1:29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380"/>
      <c r="G371" s="369"/>
      <c r="H371" s="351"/>
      <c r="I371" s="214"/>
      <c r="J371" s="214"/>
      <c r="K371" s="371"/>
      <c r="L371" s="371"/>
      <c r="M371" s="362"/>
      <c r="N371" s="362"/>
      <c r="O371" s="262"/>
      <c r="P371" s="261"/>
      <c r="Q371" s="261"/>
      <c r="R371" s="261"/>
      <c r="S371" s="372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</row>
    <row r="372" spans="1:29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380"/>
      <c r="G372" s="369"/>
      <c r="H372" s="351"/>
      <c r="I372" s="214"/>
      <c r="J372" s="214"/>
      <c r="K372" s="371"/>
      <c r="L372" s="371"/>
      <c r="M372" s="362"/>
      <c r="N372" s="362"/>
      <c r="O372" s="262"/>
      <c r="P372" s="261"/>
      <c r="Q372" s="261"/>
      <c r="R372" s="261"/>
      <c r="S372" s="372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</row>
    <row r="373" spans="1:29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380"/>
      <c r="G373" s="369"/>
      <c r="H373" s="351"/>
      <c r="I373" s="214"/>
      <c r="J373" s="214"/>
      <c r="K373" s="371"/>
      <c r="L373" s="371"/>
      <c r="M373" s="362"/>
      <c r="N373" s="362"/>
      <c r="O373" s="262"/>
      <c r="P373" s="261"/>
      <c r="Q373" s="261"/>
      <c r="R373" s="261"/>
      <c r="S373" s="372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</row>
    <row r="374" spans="1:29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380"/>
      <c r="G374" s="369"/>
      <c r="H374" s="351"/>
      <c r="I374" s="214"/>
      <c r="J374" s="214"/>
      <c r="K374" s="371"/>
      <c r="L374" s="371"/>
      <c r="M374" s="362"/>
      <c r="N374" s="362"/>
      <c r="O374" s="262"/>
      <c r="P374" s="261"/>
      <c r="Q374" s="261"/>
      <c r="R374" s="261"/>
      <c r="S374" s="372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</row>
    <row r="375" spans="1:29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380"/>
      <c r="G375" s="369"/>
      <c r="H375" s="351"/>
      <c r="I375" s="214"/>
      <c r="J375" s="214"/>
      <c r="K375" s="371"/>
      <c r="L375" s="371"/>
      <c r="M375" s="362"/>
      <c r="N375" s="362"/>
      <c r="O375" s="262"/>
      <c r="P375" s="261"/>
      <c r="Q375" s="261"/>
      <c r="R375" s="261"/>
      <c r="S375" s="372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</row>
    <row r="376" spans="1:29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380"/>
      <c r="G376" s="369"/>
      <c r="H376" s="351"/>
      <c r="I376" s="214"/>
      <c r="J376" s="214"/>
      <c r="K376" s="371"/>
      <c r="L376" s="371"/>
      <c r="M376" s="362"/>
      <c r="N376" s="362"/>
      <c r="O376" s="262"/>
      <c r="P376" s="261"/>
      <c r="Q376" s="261"/>
      <c r="R376" s="261"/>
      <c r="S376" s="372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</row>
    <row r="377" spans="1:29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380"/>
      <c r="G377" s="369"/>
      <c r="H377" s="351"/>
      <c r="I377" s="214"/>
      <c r="J377" s="214"/>
      <c r="K377" s="371"/>
      <c r="L377" s="371"/>
      <c r="M377" s="362"/>
      <c r="N377" s="362"/>
      <c r="O377" s="262"/>
      <c r="P377" s="261"/>
      <c r="Q377" s="261"/>
      <c r="R377" s="261"/>
      <c r="S377" s="372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</row>
    <row r="378" spans="1:29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380"/>
      <c r="G378" s="369"/>
      <c r="H378" s="351"/>
      <c r="I378" s="214"/>
      <c r="J378" s="214"/>
      <c r="K378" s="371"/>
      <c r="L378" s="371"/>
      <c r="M378" s="362"/>
      <c r="N378" s="362"/>
      <c r="O378" s="262"/>
      <c r="P378" s="261"/>
      <c r="Q378" s="261"/>
      <c r="R378" s="261"/>
      <c r="S378" s="372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</row>
    <row r="379" spans="1:29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380"/>
      <c r="G379" s="369"/>
      <c r="H379" s="351"/>
      <c r="I379" s="214"/>
      <c r="J379" s="214"/>
      <c r="K379" s="371"/>
      <c r="L379" s="371"/>
      <c r="M379" s="362"/>
      <c r="N379" s="362"/>
      <c r="O379" s="262"/>
      <c r="P379" s="261"/>
      <c r="Q379" s="261"/>
      <c r="R379" s="261"/>
      <c r="S379" s="372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</row>
    <row r="380" spans="1:29" ht="18.75" customHeight="1">
      <c r="A380" s="42"/>
      <c r="B380" s="59" t="s">
        <v>828</v>
      </c>
      <c r="C380" s="111" t="s">
        <v>829</v>
      </c>
      <c r="D380" s="61" t="s">
        <v>1273</v>
      </c>
      <c r="E380" s="200">
        <f t="shared" si="1"/>
        <v>0</v>
      </c>
      <c r="F380" s="380"/>
      <c r="G380" s="369"/>
      <c r="H380" s="351"/>
      <c r="I380" s="214"/>
      <c r="J380" s="214"/>
      <c r="K380" s="371"/>
      <c r="L380" s="371"/>
      <c r="M380" s="362"/>
      <c r="N380" s="362"/>
      <c r="O380" s="262"/>
      <c r="P380" s="261"/>
      <c r="Q380" s="261"/>
      <c r="R380" s="261"/>
      <c r="S380" s="372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</row>
    <row r="381" spans="1:29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380"/>
      <c r="G381" s="369"/>
      <c r="H381" s="351"/>
      <c r="I381" s="214"/>
      <c r="J381" s="214"/>
      <c r="K381" s="371"/>
      <c r="L381" s="371"/>
      <c r="M381" s="362"/>
      <c r="N381" s="362"/>
      <c r="O381" s="262"/>
      <c r="P381" s="261"/>
      <c r="Q381" s="261"/>
      <c r="R381" s="261"/>
      <c r="S381" s="372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</row>
    <row r="382" spans="1:29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380"/>
      <c r="G382" s="369"/>
      <c r="H382" s="351"/>
      <c r="I382" s="214"/>
      <c r="J382" s="214"/>
      <c r="K382" s="371"/>
      <c r="L382" s="371"/>
      <c r="M382" s="362"/>
      <c r="N382" s="362"/>
      <c r="O382" s="262"/>
      <c r="P382" s="261"/>
      <c r="Q382" s="261"/>
      <c r="R382" s="261"/>
      <c r="S382" s="372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</row>
    <row r="383" spans="1:29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380"/>
      <c r="G383" s="369"/>
      <c r="H383" s="351"/>
      <c r="I383" s="214"/>
      <c r="J383" s="214"/>
      <c r="K383" s="371"/>
      <c r="L383" s="371"/>
      <c r="M383" s="362"/>
      <c r="N383" s="362"/>
      <c r="O383" s="262"/>
      <c r="P383" s="261"/>
      <c r="Q383" s="261"/>
      <c r="R383" s="261"/>
      <c r="S383" s="372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</row>
    <row r="384" spans="1:29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380"/>
      <c r="G384" s="369"/>
      <c r="H384" s="351"/>
      <c r="I384" s="214"/>
      <c r="J384" s="214"/>
      <c r="K384" s="371"/>
      <c r="L384" s="371"/>
      <c r="M384" s="362"/>
      <c r="N384" s="362"/>
      <c r="O384" s="262"/>
      <c r="P384" s="261"/>
      <c r="Q384" s="261"/>
      <c r="R384" s="261"/>
      <c r="S384" s="372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</row>
    <row r="385" spans="1:29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380"/>
      <c r="G385" s="369"/>
      <c r="H385" s="351"/>
      <c r="I385" s="214"/>
      <c r="J385" s="214"/>
      <c r="K385" s="371"/>
      <c r="L385" s="371"/>
      <c r="M385" s="362"/>
      <c r="N385" s="362"/>
      <c r="O385" s="262"/>
      <c r="P385" s="261"/>
      <c r="Q385" s="261"/>
      <c r="R385" s="261"/>
      <c r="S385" s="372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</row>
    <row r="386" spans="1:29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380"/>
      <c r="G386" s="369"/>
      <c r="H386" s="351"/>
      <c r="I386" s="214"/>
      <c r="J386" s="214"/>
      <c r="K386" s="371"/>
      <c r="L386" s="371"/>
      <c r="M386" s="362"/>
      <c r="N386" s="362"/>
      <c r="O386" s="262"/>
      <c r="P386" s="261"/>
      <c r="Q386" s="261"/>
      <c r="R386" s="261"/>
      <c r="S386" s="372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</row>
    <row r="387" spans="1:29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380"/>
      <c r="G387" s="369"/>
      <c r="H387" s="351"/>
      <c r="I387" s="214"/>
      <c r="J387" s="214"/>
      <c r="K387" s="371"/>
      <c r="L387" s="371"/>
      <c r="M387" s="362"/>
      <c r="N387" s="362"/>
      <c r="O387" s="262"/>
      <c r="P387" s="261"/>
      <c r="Q387" s="261"/>
      <c r="R387" s="261"/>
      <c r="S387" s="372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</row>
    <row r="388" spans="1:29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380"/>
      <c r="G388" s="369"/>
      <c r="H388" s="351"/>
      <c r="I388" s="214"/>
      <c r="J388" s="214"/>
      <c r="K388" s="371"/>
      <c r="L388" s="371"/>
      <c r="M388" s="362"/>
      <c r="N388" s="362"/>
      <c r="O388" s="262"/>
      <c r="P388" s="261"/>
      <c r="Q388" s="261"/>
      <c r="R388" s="261"/>
      <c r="S388" s="372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</row>
    <row r="389" spans="1:29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380"/>
      <c r="G389" s="369"/>
      <c r="H389" s="351"/>
      <c r="I389" s="214"/>
      <c r="J389" s="214"/>
      <c r="K389" s="371"/>
      <c r="L389" s="371"/>
      <c r="M389" s="362"/>
      <c r="N389" s="362"/>
      <c r="O389" s="262"/>
      <c r="P389" s="261"/>
      <c r="Q389" s="261"/>
      <c r="R389" s="261"/>
      <c r="S389" s="372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</row>
    <row r="390" spans="1:29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380"/>
      <c r="G390" s="369"/>
      <c r="H390" s="351"/>
      <c r="I390" s="214"/>
      <c r="J390" s="214"/>
      <c r="K390" s="371"/>
      <c r="L390" s="371"/>
      <c r="M390" s="362"/>
      <c r="N390" s="362"/>
      <c r="O390" s="262"/>
      <c r="P390" s="261"/>
      <c r="Q390" s="261"/>
      <c r="R390" s="261"/>
      <c r="S390" s="372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</row>
    <row r="391" spans="1:29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380"/>
      <c r="G391" s="369"/>
      <c r="H391" s="351"/>
      <c r="I391" s="214"/>
      <c r="J391" s="214"/>
      <c r="K391" s="371"/>
      <c r="L391" s="371"/>
      <c r="M391" s="362"/>
      <c r="N391" s="362"/>
      <c r="O391" s="262"/>
      <c r="P391" s="261"/>
      <c r="Q391" s="261"/>
      <c r="R391" s="261"/>
      <c r="S391" s="372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</row>
    <row r="392" spans="1:29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380"/>
      <c r="G392" s="369"/>
      <c r="H392" s="351"/>
      <c r="I392" s="214"/>
      <c r="J392" s="214"/>
      <c r="K392" s="371"/>
      <c r="L392" s="371"/>
      <c r="M392" s="362"/>
      <c r="N392" s="362"/>
      <c r="O392" s="262"/>
      <c r="P392" s="261"/>
      <c r="Q392" s="261"/>
      <c r="R392" s="261"/>
      <c r="S392" s="372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</row>
    <row r="393" spans="1:29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380"/>
      <c r="G393" s="369"/>
      <c r="H393" s="351"/>
      <c r="I393" s="214"/>
      <c r="J393" s="214"/>
      <c r="K393" s="371"/>
      <c r="L393" s="371"/>
      <c r="M393" s="362"/>
      <c r="N393" s="362"/>
      <c r="O393" s="262"/>
      <c r="P393" s="261"/>
      <c r="Q393" s="261"/>
      <c r="R393" s="261"/>
      <c r="S393" s="372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</row>
    <row r="394" spans="1:29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380"/>
      <c r="G394" s="369"/>
      <c r="H394" s="351"/>
      <c r="I394" s="214"/>
      <c r="J394" s="214"/>
      <c r="K394" s="371"/>
      <c r="L394" s="371"/>
      <c r="M394" s="362"/>
      <c r="N394" s="362"/>
      <c r="O394" s="262"/>
      <c r="P394" s="261"/>
      <c r="Q394" s="261"/>
      <c r="R394" s="261"/>
      <c r="S394" s="372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</row>
    <row r="395" spans="1:29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380"/>
      <c r="G395" s="369"/>
      <c r="H395" s="351"/>
      <c r="I395" s="214"/>
      <c r="J395" s="214"/>
      <c r="K395" s="371"/>
      <c r="L395" s="371"/>
      <c r="M395" s="362"/>
      <c r="N395" s="362"/>
      <c r="O395" s="262"/>
      <c r="P395" s="261"/>
      <c r="Q395" s="261"/>
      <c r="R395" s="261"/>
      <c r="S395" s="372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</row>
    <row r="396" spans="1:29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380"/>
      <c r="G396" s="369"/>
      <c r="H396" s="351"/>
      <c r="I396" s="214"/>
      <c r="J396" s="214"/>
      <c r="K396" s="371"/>
      <c r="L396" s="371"/>
      <c r="M396" s="362"/>
      <c r="N396" s="362"/>
      <c r="O396" s="262"/>
      <c r="P396" s="261"/>
      <c r="Q396" s="261"/>
      <c r="R396" s="261"/>
      <c r="S396" s="372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</row>
    <row r="397" spans="1:29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380"/>
      <c r="G397" s="369"/>
      <c r="H397" s="351"/>
      <c r="I397" s="214"/>
      <c r="J397" s="214"/>
      <c r="K397" s="371"/>
      <c r="L397" s="371"/>
      <c r="M397" s="362"/>
      <c r="N397" s="362"/>
      <c r="O397" s="262"/>
      <c r="P397" s="261"/>
      <c r="Q397" s="261"/>
      <c r="R397" s="261"/>
      <c r="S397" s="372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</row>
    <row r="398" spans="1:29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380"/>
      <c r="G398" s="369"/>
      <c r="H398" s="351"/>
      <c r="I398" s="214"/>
      <c r="J398" s="214"/>
      <c r="K398" s="371"/>
      <c r="L398" s="371"/>
      <c r="M398" s="362"/>
      <c r="N398" s="362"/>
      <c r="O398" s="262"/>
      <c r="P398" s="261"/>
      <c r="Q398" s="261"/>
      <c r="R398" s="261"/>
      <c r="S398" s="372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</row>
    <row r="399" spans="1:29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380"/>
      <c r="G399" s="369"/>
      <c r="H399" s="351"/>
      <c r="I399" s="214"/>
      <c r="J399" s="214"/>
      <c r="K399" s="371"/>
      <c r="L399" s="371"/>
      <c r="M399" s="362"/>
      <c r="N399" s="362"/>
      <c r="O399" s="262"/>
      <c r="P399" s="261"/>
      <c r="Q399" s="261"/>
      <c r="R399" s="261"/>
      <c r="S399" s="372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</row>
    <row r="400" spans="1:29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380"/>
      <c r="G400" s="369"/>
      <c r="H400" s="351"/>
      <c r="I400" s="214"/>
      <c r="J400" s="214"/>
      <c r="K400" s="371"/>
      <c r="L400" s="371"/>
      <c r="M400" s="362"/>
      <c r="N400" s="362"/>
      <c r="O400" s="262"/>
      <c r="P400" s="261"/>
      <c r="Q400" s="261"/>
      <c r="R400" s="261"/>
      <c r="S400" s="372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</row>
    <row r="401" spans="1:29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380"/>
      <c r="G401" s="369"/>
      <c r="H401" s="351"/>
      <c r="I401" s="214"/>
      <c r="J401" s="214"/>
      <c r="K401" s="371"/>
      <c r="L401" s="371"/>
      <c r="M401" s="362"/>
      <c r="N401" s="362"/>
      <c r="O401" s="262"/>
      <c r="P401" s="261"/>
      <c r="Q401" s="261"/>
      <c r="R401" s="261"/>
      <c r="S401" s="372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</row>
    <row r="402" spans="1:29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380"/>
      <c r="G402" s="369"/>
      <c r="H402" s="351"/>
      <c r="I402" s="214"/>
      <c r="J402" s="214"/>
      <c r="K402" s="371"/>
      <c r="L402" s="371"/>
      <c r="M402" s="362"/>
      <c r="N402" s="362"/>
      <c r="O402" s="262"/>
      <c r="P402" s="261"/>
      <c r="Q402" s="261"/>
      <c r="R402" s="261"/>
      <c r="S402" s="372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</row>
    <row r="403" spans="1:29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380"/>
      <c r="G403" s="369"/>
      <c r="H403" s="351"/>
      <c r="I403" s="214"/>
      <c r="J403" s="214"/>
      <c r="K403" s="371"/>
      <c r="L403" s="371"/>
      <c r="M403" s="362"/>
      <c r="N403" s="362"/>
      <c r="O403" s="262"/>
      <c r="P403" s="261"/>
      <c r="Q403" s="261"/>
      <c r="R403" s="261"/>
      <c r="S403" s="372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</row>
    <row r="404" spans="1:29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380"/>
      <c r="G404" s="369"/>
      <c r="H404" s="351"/>
      <c r="I404" s="214"/>
      <c r="J404" s="214"/>
      <c r="K404" s="371"/>
      <c r="L404" s="371"/>
      <c r="M404" s="362"/>
      <c r="N404" s="362"/>
      <c r="O404" s="262"/>
      <c r="P404" s="261"/>
      <c r="Q404" s="261"/>
      <c r="R404" s="261"/>
      <c r="S404" s="372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</row>
    <row r="405" spans="1:29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380"/>
      <c r="G405" s="369"/>
      <c r="H405" s="351"/>
      <c r="I405" s="214"/>
      <c r="J405" s="214"/>
      <c r="K405" s="371"/>
      <c r="L405" s="371"/>
      <c r="M405" s="362"/>
      <c r="N405" s="362"/>
      <c r="O405" s="262"/>
      <c r="P405" s="261"/>
      <c r="Q405" s="261"/>
      <c r="R405" s="261"/>
      <c r="S405" s="372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</row>
    <row r="406" spans="1:29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380"/>
      <c r="G406" s="369"/>
      <c r="H406" s="351"/>
      <c r="I406" s="214"/>
      <c r="J406" s="214"/>
      <c r="K406" s="371"/>
      <c r="L406" s="371"/>
      <c r="M406" s="362"/>
      <c r="N406" s="362"/>
      <c r="O406" s="262"/>
      <c r="P406" s="261"/>
      <c r="Q406" s="261"/>
      <c r="R406" s="261"/>
      <c r="S406" s="372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</row>
    <row r="407" spans="1:29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380"/>
      <c r="G407" s="369"/>
      <c r="H407" s="351"/>
      <c r="I407" s="214"/>
      <c r="J407" s="214"/>
      <c r="K407" s="371"/>
      <c r="L407" s="371"/>
      <c r="M407" s="362"/>
      <c r="N407" s="362"/>
      <c r="O407" s="262"/>
      <c r="P407" s="261"/>
      <c r="Q407" s="261"/>
      <c r="R407" s="261"/>
      <c r="S407" s="372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</row>
    <row r="408" spans="1:29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380"/>
      <c r="G408" s="369"/>
      <c r="H408" s="351"/>
      <c r="I408" s="214"/>
      <c r="J408" s="214"/>
      <c r="K408" s="371"/>
      <c r="L408" s="371"/>
      <c r="M408" s="362"/>
      <c r="N408" s="362"/>
      <c r="O408" s="262"/>
      <c r="P408" s="261"/>
      <c r="Q408" s="261"/>
      <c r="R408" s="261"/>
      <c r="S408" s="372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</row>
    <row r="409" spans="1:29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380"/>
      <c r="G409" s="369"/>
      <c r="H409" s="351"/>
      <c r="I409" s="214"/>
      <c r="J409" s="214"/>
      <c r="K409" s="371"/>
      <c r="L409" s="371"/>
      <c r="M409" s="362"/>
      <c r="N409" s="362"/>
      <c r="O409" s="262"/>
      <c r="P409" s="261"/>
      <c r="Q409" s="261"/>
      <c r="R409" s="261"/>
      <c r="S409" s="372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</row>
    <row r="410" spans="1:29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380"/>
      <c r="G410" s="369"/>
      <c r="H410" s="351"/>
      <c r="I410" s="214"/>
      <c r="J410" s="214"/>
      <c r="K410" s="371"/>
      <c r="L410" s="371"/>
      <c r="M410" s="362"/>
      <c r="N410" s="362"/>
      <c r="O410" s="262"/>
      <c r="P410" s="261"/>
      <c r="Q410" s="261"/>
      <c r="R410" s="261"/>
      <c r="S410" s="372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</row>
    <row r="411" spans="1:29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380"/>
      <c r="G411" s="369"/>
      <c r="H411" s="351"/>
      <c r="I411" s="214"/>
      <c r="J411" s="214"/>
      <c r="K411" s="371"/>
      <c r="L411" s="371"/>
      <c r="M411" s="362"/>
      <c r="N411" s="362"/>
      <c r="O411" s="262"/>
      <c r="P411" s="261"/>
      <c r="Q411" s="261"/>
      <c r="R411" s="261"/>
      <c r="S411" s="372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</row>
    <row r="412" spans="1:29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380"/>
      <c r="G412" s="369"/>
      <c r="H412" s="351"/>
      <c r="I412" s="214"/>
      <c r="J412" s="214"/>
      <c r="K412" s="371"/>
      <c r="L412" s="371"/>
      <c r="M412" s="362"/>
      <c r="N412" s="362"/>
      <c r="O412" s="262"/>
      <c r="P412" s="261"/>
      <c r="Q412" s="261"/>
      <c r="R412" s="261"/>
      <c r="S412" s="372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</row>
    <row r="413" spans="1:29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380"/>
      <c r="G413" s="369"/>
      <c r="H413" s="351"/>
      <c r="I413" s="214"/>
      <c r="J413" s="214"/>
      <c r="K413" s="371"/>
      <c r="L413" s="371"/>
      <c r="M413" s="362"/>
      <c r="N413" s="362"/>
      <c r="O413" s="262"/>
      <c r="P413" s="261"/>
      <c r="Q413" s="261"/>
      <c r="R413" s="261"/>
      <c r="S413" s="372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</row>
    <row r="414" spans="1:29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380"/>
      <c r="G414" s="369"/>
      <c r="H414" s="351"/>
      <c r="I414" s="214"/>
      <c r="J414" s="214"/>
      <c r="K414" s="371"/>
      <c r="L414" s="371"/>
      <c r="M414" s="362"/>
      <c r="N414" s="362"/>
      <c r="O414" s="262"/>
      <c r="P414" s="261"/>
      <c r="Q414" s="261"/>
      <c r="R414" s="261"/>
      <c r="S414" s="372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</row>
    <row r="415" spans="1:29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380"/>
      <c r="G415" s="369"/>
      <c r="H415" s="351"/>
      <c r="I415" s="214"/>
      <c r="J415" s="214"/>
      <c r="K415" s="371"/>
      <c r="L415" s="371"/>
      <c r="M415" s="362"/>
      <c r="N415" s="362"/>
      <c r="O415" s="262"/>
      <c r="P415" s="261"/>
      <c r="Q415" s="261"/>
      <c r="R415" s="261"/>
      <c r="S415" s="372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</row>
    <row r="416" spans="1:29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380"/>
      <c r="G416" s="369"/>
      <c r="H416" s="351"/>
      <c r="I416" s="214"/>
      <c r="J416" s="214"/>
      <c r="K416" s="371"/>
      <c r="L416" s="371"/>
      <c r="M416" s="362"/>
      <c r="N416" s="362"/>
      <c r="O416" s="262"/>
      <c r="P416" s="261"/>
      <c r="Q416" s="261"/>
      <c r="R416" s="261"/>
      <c r="S416" s="372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</row>
    <row r="417" spans="1:29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380"/>
      <c r="G417" s="369"/>
      <c r="H417" s="351"/>
      <c r="I417" s="214"/>
      <c r="J417" s="214"/>
      <c r="K417" s="371"/>
      <c r="L417" s="371"/>
      <c r="M417" s="362"/>
      <c r="N417" s="362"/>
      <c r="O417" s="262"/>
      <c r="P417" s="261"/>
      <c r="Q417" s="261"/>
      <c r="R417" s="261"/>
      <c r="S417" s="372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</row>
    <row r="418" spans="1:29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380"/>
      <c r="G418" s="369"/>
      <c r="H418" s="351"/>
      <c r="I418" s="214"/>
      <c r="J418" s="214"/>
      <c r="K418" s="371"/>
      <c r="L418" s="371"/>
      <c r="M418" s="362"/>
      <c r="N418" s="362"/>
      <c r="O418" s="262"/>
      <c r="P418" s="261"/>
      <c r="Q418" s="261"/>
      <c r="R418" s="261"/>
      <c r="S418" s="372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</row>
    <row r="419" spans="1:29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380"/>
      <c r="G419" s="369"/>
      <c r="H419" s="351"/>
      <c r="I419" s="214"/>
      <c r="J419" s="214"/>
      <c r="K419" s="371"/>
      <c r="L419" s="371"/>
      <c r="M419" s="362"/>
      <c r="N419" s="362"/>
      <c r="O419" s="262"/>
      <c r="P419" s="261"/>
      <c r="Q419" s="261"/>
      <c r="R419" s="261"/>
      <c r="S419" s="372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</row>
    <row r="420" spans="1:29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380"/>
      <c r="G420" s="369"/>
      <c r="H420" s="351"/>
      <c r="I420" s="214"/>
      <c r="J420" s="214"/>
      <c r="K420" s="371"/>
      <c r="L420" s="371"/>
      <c r="M420" s="362"/>
      <c r="N420" s="362"/>
      <c r="O420" s="262"/>
      <c r="P420" s="261"/>
      <c r="Q420" s="261"/>
      <c r="R420" s="261"/>
      <c r="S420" s="372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</row>
    <row r="421" spans="1:29" ht="18.75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380"/>
      <c r="G421" s="369"/>
      <c r="H421" s="351"/>
      <c r="I421" s="214"/>
      <c r="J421" s="214"/>
      <c r="K421" s="362"/>
      <c r="L421" s="362"/>
      <c r="M421" s="362"/>
      <c r="N421" s="362"/>
      <c r="O421" s="262"/>
      <c r="P421" s="262"/>
      <c r="Q421" s="262"/>
      <c r="R421" s="262"/>
      <c r="S421" s="37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</row>
    <row r="422" spans="1:29" ht="31.5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381"/>
      <c r="G422" s="369"/>
      <c r="H422" s="351"/>
      <c r="I422" s="214"/>
      <c r="J422" s="214"/>
      <c r="K422" s="362"/>
      <c r="L422" s="362"/>
      <c r="M422" s="362"/>
      <c r="N422" s="362"/>
      <c r="O422" s="262"/>
      <c r="P422" s="262"/>
      <c r="Q422" s="262"/>
      <c r="R422" s="262"/>
      <c r="S422" s="37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</row>
    <row r="423" spans="1:29" ht="18.75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381"/>
      <c r="G423" s="369"/>
      <c r="H423" s="351"/>
      <c r="I423" s="214"/>
      <c r="J423" s="214"/>
      <c r="K423" s="362"/>
      <c r="L423" s="362"/>
      <c r="M423" s="362"/>
      <c r="N423" s="362"/>
      <c r="O423" s="262"/>
      <c r="P423" s="262"/>
      <c r="Q423" s="262"/>
      <c r="R423" s="262"/>
      <c r="S423" s="37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</row>
    <row r="424" spans="1:29" ht="18.75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381"/>
      <c r="G424" s="369"/>
      <c r="H424" s="351"/>
      <c r="I424" s="214"/>
      <c r="J424" s="214"/>
      <c r="K424" s="362"/>
      <c r="L424" s="362"/>
      <c r="M424" s="362"/>
      <c r="N424" s="362"/>
      <c r="O424" s="262"/>
      <c r="P424" s="262"/>
      <c r="Q424" s="262"/>
      <c r="R424" s="262"/>
      <c r="S424" s="37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</row>
    <row r="425" spans="1:29" ht="18.75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381"/>
      <c r="G425" s="369"/>
      <c r="H425" s="351"/>
      <c r="I425" s="214"/>
      <c r="J425" s="214"/>
      <c r="K425" s="362"/>
      <c r="L425" s="362"/>
      <c r="M425" s="362"/>
      <c r="N425" s="362"/>
      <c r="O425" s="262"/>
      <c r="P425" s="262"/>
      <c r="Q425" s="262"/>
      <c r="R425" s="262"/>
      <c r="S425" s="37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</row>
    <row r="426" spans="1:29" ht="31.5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380"/>
      <c r="G426" s="369"/>
      <c r="H426" s="351"/>
      <c r="I426" s="214"/>
      <c r="J426" s="214"/>
      <c r="K426" s="362"/>
      <c r="L426" s="362"/>
      <c r="M426" s="362"/>
      <c r="N426" s="362"/>
      <c r="O426" s="262"/>
      <c r="P426" s="262"/>
      <c r="Q426" s="262"/>
      <c r="R426" s="262"/>
      <c r="S426" s="37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</row>
    <row r="427" spans="1:29" ht="18.7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380"/>
      <c r="G427" s="369"/>
      <c r="H427" s="351"/>
      <c r="I427" s="214"/>
      <c r="J427" s="214"/>
      <c r="K427" s="371"/>
      <c r="L427" s="371"/>
      <c r="M427" s="362"/>
      <c r="N427" s="362"/>
      <c r="O427" s="262"/>
      <c r="P427" s="261"/>
      <c r="Q427" s="261"/>
      <c r="R427" s="261"/>
      <c r="S427" s="372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</row>
    <row r="428" spans="1:29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380"/>
      <c r="G428" s="369"/>
      <c r="H428" s="351"/>
      <c r="I428" s="214"/>
      <c r="J428" s="214"/>
      <c r="K428" s="371"/>
      <c r="L428" s="371"/>
      <c r="M428" s="362"/>
      <c r="N428" s="362"/>
      <c r="O428" s="262"/>
      <c r="P428" s="261"/>
      <c r="Q428" s="261"/>
      <c r="R428" s="261"/>
      <c r="S428" s="372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</row>
    <row r="429" spans="1:29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380"/>
      <c r="G429" s="369"/>
      <c r="H429" s="351"/>
      <c r="I429" s="214"/>
      <c r="J429" s="214"/>
      <c r="K429" s="371"/>
      <c r="L429" s="371"/>
      <c r="M429" s="362"/>
      <c r="N429" s="362"/>
      <c r="O429" s="262"/>
      <c r="P429" s="261"/>
      <c r="Q429" s="261"/>
      <c r="R429" s="261"/>
      <c r="S429" s="372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</row>
    <row r="430" spans="1:29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380"/>
      <c r="G430" s="369"/>
      <c r="H430" s="351"/>
      <c r="I430" s="214"/>
      <c r="J430" s="214"/>
      <c r="K430" s="371"/>
      <c r="L430" s="371"/>
      <c r="M430" s="362"/>
      <c r="N430" s="362"/>
      <c r="O430" s="262"/>
      <c r="P430" s="261"/>
      <c r="Q430" s="261"/>
      <c r="R430" s="261"/>
      <c r="S430" s="372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</row>
    <row r="431" spans="1:29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380"/>
      <c r="G431" s="369"/>
      <c r="H431" s="351"/>
      <c r="I431" s="214"/>
      <c r="J431" s="214"/>
      <c r="K431" s="371"/>
      <c r="L431" s="371"/>
      <c r="M431" s="362"/>
      <c r="N431" s="362"/>
      <c r="O431" s="262"/>
      <c r="P431" s="261"/>
      <c r="Q431" s="261"/>
      <c r="R431" s="261"/>
      <c r="S431" s="37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</row>
    <row r="432" spans="1:29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380"/>
      <c r="G432" s="369"/>
      <c r="H432" s="351"/>
      <c r="I432" s="214"/>
      <c r="J432" s="214"/>
      <c r="K432" s="371"/>
      <c r="L432" s="371"/>
      <c r="M432" s="362"/>
      <c r="N432" s="362"/>
      <c r="O432" s="262"/>
      <c r="P432" s="261"/>
      <c r="Q432" s="261"/>
      <c r="R432" s="261"/>
      <c r="S432" s="372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</row>
    <row r="433" spans="1:29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380"/>
      <c r="G433" s="369"/>
      <c r="H433" s="351"/>
      <c r="I433" s="214"/>
      <c r="J433" s="214"/>
      <c r="K433" s="371"/>
      <c r="L433" s="371"/>
      <c r="M433" s="362"/>
      <c r="N433" s="362"/>
      <c r="O433" s="262"/>
      <c r="P433" s="261"/>
      <c r="Q433" s="261"/>
      <c r="R433" s="261"/>
      <c r="S433" s="372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</row>
    <row r="434" spans="1:29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380"/>
      <c r="G434" s="369"/>
      <c r="H434" s="351"/>
      <c r="I434" s="214"/>
      <c r="J434" s="214"/>
      <c r="K434" s="371"/>
      <c r="L434" s="371"/>
      <c r="M434" s="362"/>
      <c r="N434" s="362"/>
      <c r="O434" s="262"/>
      <c r="P434" s="261"/>
      <c r="Q434" s="261"/>
      <c r="R434" s="261"/>
      <c r="S434" s="372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</row>
    <row r="435" spans="1:29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380"/>
      <c r="G435" s="369"/>
      <c r="H435" s="351"/>
      <c r="I435" s="214"/>
      <c r="J435" s="214"/>
      <c r="K435" s="371"/>
      <c r="L435" s="371"/>
      <c r="M435" s="362"/>
      <c r="N435" s="362"/>
      <c r="O435" s="262"/>
      <c r="P435" s="261"/>
      <c r="Q435" s="261"/>
      <c r="R435" s="261"/>
      <c r="S435" s="372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</row>
    <row r="436" spans="1:29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380"/>
      <c r="G436" s="369"/>
      <c r="H436" s="351"/>
      <c r="I436" s="214"/>
      <c r="J436" s="214"/>
      <c r="K436" s="371"/>
      <c r="L436" s="371"/>
      <c r="M436" s="362"/>
      <c r="N436" s="362"/>
      <c r="O436" s="262"/>
      <c r="P436" s="261"/>
      <c r="Q436" s="261"/>
      <c r="R436" s="261"/>
      <c r="S436" s="372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</row>
    <row r="437" spans="1:29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380"/>
      <c r="G437" s="369"/>
      <c r="H437" s="351"/>
      <c r="I437" s="214"/>
      <c r="J437" s="214"/>
      <c r="K437" s="371"/>
      <c r="L437" s="371"/>
      <c r="M437" s="362"/>
      <c r="N437" s="362"/>
      <c r="O437" s="262"/>
      <c r="P437" s="261"/>
      <c r="Q437" s="261"/>
      <c r="R437" s="261"/>
      <c r="S437" s="372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</row>
    <row r="438" spans="1:29" ht="18.75" customHeight="1">
      <c r="A438" s="101"/>
      <c r="B438" s="53" t="s">
        <v>947</v>
      </c>
      <c r="C438" s="87" t="s">
        <v>948</v>
      </c>
      <c r="D438" s="61" t="s">
        <v>1274</v>
      </c>
      <c r="E438" s="200">
        <f t="shared" si="1"/>
        <v>0</v>
      </c>
      <c r="F438" s="380"/>
      <c r="G438" s="369"/>
      <c r="H438" s="351"/>
      <c r="I438" s="214"/>
      <c r="J438" s="214"/>
      <c r="K438" s="371"/>
      <c r="L438" s="371"/>
      <c r="M438" s="362"/>
      <c r="N438" s="362"/>
      <c r="O438" s="262"/>
      <c r="P438" s="261"/>
      <c r="Q438" s="261"/>
      <c r="R438" s="261"/>
      <c r="S438" s="372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</row>
    <row r="439" spans="1:29" ht="18.75" customHeight="1">
      <c r="A439" s="42"/>
      <c r="B439" s="59" t="s">
        <v>951</v>
      </c>
      <c r="C439" s="113" t="s">
        <v>131</v>
      </c>
      <c r="D439" s="61" t="s">
        <v>1275</v>
      </c>
      <c r="E439" s="200">
        <f t="shared" si="1"/>
        <v>0</v>
      </c>
      <c r="F439" s="380"/>
      <c r="G439" s="369"/>
      <c r="H439" s="351"/>
      <c r="I439" s="214"/>
      <c r="J439" s="214"/>
      <c r="K439" s="371"/>
      <c r="L439" s="371"/>
      <c r="M439" s="362"/>
      <c r="N439" s="362"/>
      <c r="O439" s="262"/>
      <c r="P439" s="261"/>
      <c r="Q439" s="261"/>
      <c r="R439" s="261"/>
      <c r="S439" s="372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</row>
    <row r="440" spans="1:29" ht="18.75" customHeight="1">
      <c r="A440" s="42"/>
      <c r="B440" s="59" t="s">
        <v>953</v>
      </c>
      <c r="C440" s="113" t="s">
        <v>200</v>
      </c>
      <c r="D440" s="61" t="s">
        <v>1276</v>
      </c>
      <c r="E440" s="200">
        <f t="shared" si="1"/>
        <v>0</v>
      </c>
      <c r="F440" s="380"/>
      <c r="G440" s="369"/>
      <c r="H440" s="351"/>
      <c r="I440" s="214"/>
      <c r="J440" s="214"/>
      <c r="K440" s="371"/>
      <c r="L440" s="371"/>
      <c r="M440" s="362"/>
      <c r="N440" s="362"/>
      <c r="O440" s="262"/>
      <c r="P440" s="261"/>
      <c r="Q440" s="261"/>
      <c r="R440" s="261"/>
      <c r="S440" s="372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</row>
    <row r="441" spans="1:29" ht="18.75" customHeight="1">
      <c r="A441" s="42"/>
      <c r="B441" s="59" t="s">
        <v>955</v>
      </c>
      <c r="C441" s="113" t="s">
        <v>203</v>
      </c>
      <c r="D441" s="61" t="s">
        <v>1277</v>
      </c>
      <c r="E441" s="200">
        <f t="shared" si="1"/>
        <v>0</v>
      </c>
      <c r="F441" s="380"/>
      <c r="G441" s="369"/>
      <c r="H441" s="351"/>
      <c r="I441" s="214"/>
      <c r="J441" s="214"/>
      <c r="K441" s="371"/>
      <c r="L441" s="371"/>
      <c r="M441" s="362"/>
      <c r="N441" s="362"/>
      <c r="O441" s="262"/>
      <c r="P441" s="261"/>
      <c r="Q441" s="261"/>
      <c r="R441" s="261"/>
      <c r="S441" s="37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</row>
    <row r="442" spans="1:29" ht="18.75" customHeight="1">
      <c r="A442" s="42"/>
      <c r="B442" s="59" t="s">
        <v>957</v>
      </c>
      <c r="C442" s="113" t="s">
        <v>159</v>
      </c>
      <c r="D442" s="61" t="s">
        <v>1278</v>
      </c>
      <c r="E442" s="200">
        <f t="shared" si="1"/>
        <v>0</v>
      </c>
      <c r="F442" s="380"/>
      <c r="G442" s="369"/>
      <c r="H442" s="351"/>
      <c r="I442" s="214"/>
      <c r="J442" s="214"/>
      <c r="K442" s="371"/>
      <c r="L442" s="371"/>
      <c r="M442" s="362"/>
      <c r="N442" s="362"/>
      <c r="O442" s="262"/>
      <c r="P442" s="261"/>
      <c r="Q442" s="261"/>
      <c r="R442" s="261"/>
      <c r="S442" s="37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</row>
    <row r="443" spans="1:29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380"/>
      <c r="G443" s="369"/>
      <c r="H443" s="351"/>
      <c r="I443" s="214"/>
      <c r="J443" s="214"/>
      <c r="K443" s="371"/>
      <c r="L443" s="371"/>
      <c r="M443" s="362"/>
      <c r="N443" s="362"/>
      <c r="O443" s="262"/>
      <c r="P443" s="261"/>
      <c r="Q443" s="261"/>
      <c r="R443" s="261"/>
      <c r="S443" s="372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</row>
    <row r="444" spans="1:29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380"/>
      <c r="G444" s="369"/>
      <c r="H444" s="351"/>
      <c r="I444" s="214"/>
      <c r="J444" s="214"/>
      <c r="K444" s="371"/>
      <c r="L444" s="371"/>
      <c r="M444" s="362"/>
      <c r="N444" s="362"/>
      <c r="O444" s="262"/>
      <c r="P444" s="261"/>
      <c r="Q444" s="261"/>
      <c r="R444" s="261"/>
      <c r="S444" s="372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</row>
    <row r="445" spans="1:29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380"/>
      <c r="G445" s="369"/>
      <c r="H445" s="351"/>
      <c r="I445" s="214"/>
      <c r="J445" s="214"/>
      <c r="K445" s="371"/>
      <c r="L445" s="371"/>
      <c r="M445" s="362"/>
      <c r="N445" s="362"/>
      <c r="O445" s="262"/>
      <c r="P445" s="261"/>
      <c r="Q445" s="261"/>
      <c r="R445" s="261"/>
      <c r="S445" s="372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</row>
    <row r="446" spans="1:29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380"/>
      <c r="G446" s="369"/>
      <c r="H446" s="351"/>
      <c r="I446" s="214"/>
      <c r="J446" s="214"/>
      <c r="K446" s="371"/>
      <c r="L446" s="371"/>
      <c r="M446" s="362"/>
      <c r="N446" s="362"/>
      <c r="O446" s="262"/>
      <c r="P446" s="261"/>
      <c r="Q446" s="261"/>
      <c r="R446" s="261"/>
      <c r="S446" s="372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</row>
    <row r="447" spans="1:29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382"/>
      <c r="G447" s="383"/>
      <c r="H447" s="383"/>
      <c r="I447" s="374"/>
      <c r="J447" s="374"/>
      <c r="K447" s="384"/>
      <c r="L447" s="384"/>
      <c r="M447" s="362"/>
      <c r="N447" s="362"/>
      <c r="O447" s="262"/>
      <c r="P447" s="276"/>
      <c r="Q447" s="276"/>
      <c r="R447" s="276"/>
      <c r="S447" s="385"/>
      <c r="T447" s="277"/>
      <c r="U447" s="277"/>
      <c r="V447" s="277"/>
      <c r="W447" s="277"/>
      <c r="X447" s="277"/>
      <c r="Y447" s="277"/>
      <c r="Z447" s="277"/>
      <c r="AA447" s="277"/>
      <c r="AB447" s="277"/>
      <c r="AC447" s="277"/>
    </row>
    <row r="448" spans="1:29" ht="15.75" customHeight="1">
      <c r="A448" s="177"/>
      <c r="B448" s="239"/>
      <c r="C448" s="260"/>
      <c r="D448" s="278"/>
      <c r="E448" s="260"/>
      <c r="F448" s="239"/>
      <c r="G448" s="239"/>
      <c r="H448" s="239"/>
      <c r="I448" s="239"/>
      <c r="J448" s="239"/>
      <c r="K448" s="239"/>
      <c r="L448" s="240"/>
      <c r="M448" s="239"/>
      <c r="N448" s="239"/>
      <c r="O448" s="239"/>
      <c r="P448" s="239"/>
      <c r="Q448" s="239"/>
      <c r="R448" s="239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167"/>
    </row>
    <row r="449" spans="1:29" ht="15.75" customHeight="1">
      <c r="A449" s="177"/>
      <c r="B449" s="239"/>
      <c r="C449" s="260"/>
      <c r="D449" s="278"/>
      <c r="E449" s="260"/>
      <c r="F449" s="239"/>
      <c r="G449" s="239"/>
      <c r="H449" s="239"/>
      <c r="I449" s="239"/>
      <c r="J449" s="239"/>
      <c r="K449" s="239"/>
      <c r="L449" s="240"/>
      <c r="M449" s="239"/>
      <c r="N449" s="239"/>
      <c r="O449" s="239"/>
      <c r="P449" s="239"/>
      <c r="Q449" s="239"/>
      <c r="R449" s="239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167"/>
    </row>
    <row r="450" spans="1:29" ht="15.75" customHeight="1">
      <c r="A450" s="177"/>
      <c r="B450" s="239"/>
      <c r="C450" s="241" t="s">
        <v>12</v>
      </c>
      <c r="D450" s="242">
        <f>COUNTIF($D$11:$FM$11,"Hà Giang")</f>
        <v>0</v>
      </c>
      <c r="E450" s="260"/>
      <c r="F450" s="239"/>
      <c r="G450" s="239"/>
      <c r="H450" s="239"/>
      <c r="I450" s="239"/>
      <c r="J450" s="239"/>
      <c r="K450" s="239"/>
      <c r="L450" s="240"/>
      <c r="M450" s="239"/>
      <c r="N450" s="239"/>
      <c r="O450" s="239"/>
      <c r="P450" s="239"/>
      <c r="Q450" s="239"/>
      <c r="R450" s="239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167"/>
    </row>
    <row r="451" spans="1:29" ht="15.75" customHeight="1">
      <c r="A451" s="177"/>
      <c r="B451" s="239"/>
      <c r="C451" s="241" t="s">
        <v>14</v>
      </c>
      <c r="D451" s="242">
        <f>COUNTIF($D$11:$FM$11,"Lào Cai")</f>
        <v>0</v>
      </c>
      <c r="E451" s="260"/>
      <c r="F451" s="239"/>
      <c r="G451" s="239"/>
      <c r="H451" s="239"/>
      <c r="I451" s="239"/>
      <c r="J451" s="239"/>
      <c r="K451" s="239"/>
      <c r="L451" s="240"/>
      <c r="M451" s="239"/>
      <c r="N451" s="239"/>
      <c r="O451" s="239"/>
      <c r="P451" s="239"/>
      <c r="Q451" s="239"/>
      <c r="R451" s="239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167"/>
    </row>
    <row r="452" spans="1:29" ht="15.75" customHeight="1">
      <c r="A452" s="177"/>
      <c r="B452" s="239"/>
      <c r="C452" s="241" t="s">
        <v>23</v>
      </c>
      <c r="D452" s="242">
        <f>COUNTIF($D$11:$FM$11,"Lai Châu")</f>
        <v>0</v>
      </c>
      <c r="E452" s="260"/>
      <c r="F452" s="239"/>
      <c r="G452" s="239"/>
      <c r="H452" s="239"/>
      <c r="I452" s="239"/>
      <c r="J452" s="239"/>
      <c r="K452" s="239"/>
      <c r="L452" s="240"/>
      <c r="M452" s="239"/>
      <c r="N452" s="239"/>
      <c r="O452" s="239"/>
      <c r="P452" s="239"/>
      <c r="Q452" s="239"/>
      <c r="R452" s="239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167"/>
    </row>
    <row r="453" spans="1:29" ht="15.75" customHeight="1">
      <c r="A453" s="177"/>
      <c r="B453" s="239"/>
      <c r="C453" s="243" t="s">
        <v>17</v>
      </c>
      <c r="D453" s="242">
        <f>COUNTIF($D$11:$FM$11,"Điện Biên")</f>
        <v>0</v>
      </c>
      <c r="E453" s="260"/>
      <c r="F453" s="239"/>
      <c r="G453" s="239"/>
      <c r="H453" s="239"/>
      <c r="I453" s="239"/>
      <c r="J453" s="239"/>
      <c r="K453" s="239"/>
      <c r="L453" s="240"/>
      <c r="M453" s="239"/>
      <c r="N453" s="239"/>
      <c r="O453" s="239"/>
      <c r="P453" s="239"/>
      <c r="Q453" s="239"/>
      <c r="R453" s="239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167"/>
    </row>
    <row r="454" spans="1:29" ht="15.75" customHeight="1">
      <c r="A454" s="177"/>
      <c r="B454" s="239"/>
      <c r="C454" s="243" t="s">
        <v>16</v>
      </c>
      <c r="D454" s="242">
        <f>COUNTIF($D$11:$FM$11,"Lạng Sơn")</f>
        <v>0</v>
      </c>
      <c r="E454" s="260"/>
      <c r="F454" s="239"/>
      <c r="G454" s="239"/>
      <c r="H454" s="239"/>
      <c r="I454" s="239"/>
      <c r="J454" s="239"/>
      <c r="K454" s="239"/>
      <c r="L454" s="240"/>
      <c r="M454" s="239"/>
      <c r="N454" s="239"/>
      <c r="O454" s="239"/>
      <c r="P454" s="239"/>
      <c r="Q454" s="239"/>
      <c r="R454" s="239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167"/>
    </row>
    <row r="455" spans="1:29" ht="15.75" customHeight="1">
      <c r="A455" s="177"/>
      <c r="B455" s="239"/>
      <c r="C455" s="243" t="s">
        <v>13</v>
      </c>
      <c r="D455" s="242">
        <f>COUNTIF($D$11:$FM$11,"Cao Bằng")</f>
        <v>0</v>
      </c>
      <c r="E455" s="260"/>
      <c r="F455" s="239"/>
      <c r="G455" s="239"/>
      <c r="H455" s="239"/>
      <c r="I455" s="239"/>
      <c r="J455" s="239"/>
      <c r="K455" s="239"/>
      <c r="L455" s="240"/>
      <c r="M455" s="239"/>
      <c r="N455" s="239"/>
      <c r="O455" s="239"/>
      <c r="P455" s="239"/>
      <c r="Q455" s="239"/>
      <c r="R455" s="239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167"/>
    </row>
    <row r="456" spans="1:29" ht="15.75" customHeight="1">
      <c r="A456" s="177"/>
      <c r="B456" s="239"/>
      <c r="C456" s="243" t="s">
        <v>1090</v>
      </c>
      <c r="D456" s="242">
        <f>COUNTIF($D$11:$FM$11,"Sơn La")</f>
        <v>0</v>
      </c>
      <c r="E456" s="260"/>
      <c r="F456" s="239"/>
      <c r="G456" s="239"/>
      <c r="H456" s="239"/>
      <c r="I456" s="239"/>
      <c r="J456" s="239"/>
      <c r="K456" s="239"/>
      <c r="L456" s="240"/>
      <c r="M456" s="239"/>
      <c r="N456" s="239"/>
      <c r="O456" s="239"/>
      <c r="P456" s="239"/>
      <c r="Q456" s="239"/>
      <c r="R456" s="239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167"/>
    </row>
    <row r="457" spans="1:29" ht="15.75" customHeight="1">
      <c r="A457" s="177"/>
      <c r="B457" s="239"/>
      <c r="C457" s="243" t="s">
        <v>19</v>
      </c>
      <c r="D457" s="242">
        <f>COUNTIF($D$11:$FM$11,"Yên Bái")</f>
        <v>0</v>
      </c>
      <c r="E457" s="260"/>
      <c r="F457" s="239"/>
      <c r="G457" s="239"/>
      <c r="H457" s="239"/>
      <c r="I457" s="239"/>
      <c r="J457" s="239"/>
      <c r="K457" s="239"/>
      <c r="L457" s="240"/>
      <c r="M457" s="239"/>
      <c r="N457" s="239"/>
      <c r="O457" s="239"/>
      <c r="P457" s="239"/>
      <c r="Q457" s="239"/>
      <c r="R457" s="239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167"/>
    </row>
    <row r="458" spans="1:29" ht="15.75" customHeight="1">
      <c r="A458" s="177"/>
      <c r="B458" s="239"/>
      <c r="C458" s="243" t="s">
        <v>18</v>
      </c>
      <c r="D458" s="242">
        <f>COUNTIF($D$11:$FM$11,"Tuyên Quang")</f>
        <v>0</v>
      </c>
      <c r="E458" s="260"/>
      <c r="F458" s="239"/>
      <c r="G458" s="239"/>
      <c r="H458" s="239"/>
      <c r="I458" s="239"/>
      <c r="J458" s="239"/>
      <c r="K458" s="239"/>
      <c r="L458" s="240"/>
      <c r="M458" s="239"/>
      <c r="N458" s="239"/>
      <c r="O458" s="239"/>
      <c r="P458" s="239"/>
      <c r="Q458" s="239"/>
      <c r="R458" s="239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167"/>
    </row>
    <row r="459" spans="1:29" ht="15.75" customHeight="1">
      <c r="A459" s="177"/>
      <c r="B459" s="239"/>
      <c r="C459" s="243" t="s">
        <v>1091</v>
      </c>
      <c r="D459" s="242">
        <f>COUNTIF($D$11:$FM$11,"Thái Nguyên")</f>
        <v>0</v>
      </c>
      <c r="E459" s="260"/>
      <c r="F459" s="239"/>
      <c r="G459" s="239"/>
      <c r="H459" s="239"/>
      <c r="I459" s="239"/>
      <c r="J459" s="239"/>
      <c r="K459" s="239"/>
      <c r="L459" s="240"/>
      <c r="M459" s="239"/>
      <c r="N459" s="239"/>
      <c r="O459" s="239"/>
      <c r="P459" s="239"/>
      <c r="Q459" s="239"/>
      <c r="R459" s="239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167"/>
    </row>
    <row r="460" spans="1:29" ht="15.75" customHeight="1">
      <c r="A460" s="177"/>
      <c r="B460" s="239"/>
      <c r="C460" s="243" t="s">
        <v>15</v>
      </c>
      <c r="D460" s="242">
        <f>COUNTIF($D$11:$FM$11,"Bắc Kạn")</f>
        <v>0</v>
      </c>
      <c r="E460" s="260"/>
      <c r="F460" s="239"/>
      <c r="G460" s="239"/>
      <c r="H460" s="239"/>
      <c r="I460" s="239"/>
      <c r="J460" s="239"/>
      <c r="K460" s="239"/>
      <c r="L460" s="240"/>
      <c r="M460" s="239"/>
      <c r="N460" s="239"/>
      <c r="O460" s="239"/>
      <c r="P460" s="239"/>
      <c r="Q460" s="239"/>
      <c r="R460" s="239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167"/>
    </row>
    <row r="461" spans="1:29" ht="15.75" customHeight="1">
      <c r="A461" s="177"/>
      <c r="B461" s="239"/>
      <c r="C461" s="243" t="s">
        <v>25</v>
      </c>
      <c r="D461" s="242">
        <f>COUNTIF($D$11:$FM$11,"Hoà Bình")</f>
        <v>0</v>
      </c>
      <c r="E461" s="260"/>
      <c r="F461" s="239"/>
      <c r="G461" s="239"/>
      <c r="H461" s="239"/>
      <c r="I461" s="239"/>
      <c r="J461" s="239"/>
      <c r="K461" s="239"/>
      <c r="L461" s="240"/>
      <c r="M461" s="239"/>
      <c r="N461" s="239"/>
      <c r="O461" s="239"/>
      <c r="P461" s="239"/>
      <c r="Q461" s="239"/>
      <c r="R461" s="239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167"/>
    </row>
    <row r="462" spans="1:29" ht="15.75" customHeight="1">
      <c r="A462" s="177"/>
      <c r="B462" s="239"/>
      <c r="C462" s="243" t="s">
        <v>1092</v>
      </c>
      <c r="D462" s="242">
        <f>COUNTIF($D$11:$FM$11,"Bắc Giang")</f>
        <v>0</v>
      </c>
      <c r="E462" s="260"/>
      <c r="F462" s="239"/>
      <c r="G462" s="239"/>
      <c r="H462" s="239"/>
      <c r="I462" s="239"/>
      <c r="J462" s="239"/>
      <c r="K462" s="239"/>
      <c r="L462" s="240"/>
      <c r="M462" s="239"/>
      <c r="N462" s="239"/>
      <c r="O462" s="239"/>
      <c r="P462" s="239"/>
      <c r="Q462" s="239"/>
      <c r="R462" s="239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167"/>
    </row>
    <row r="463" spans="1:29" ht="15.75" customHeight="1">
      <c r="A463" s="177"/>
      <c r="B463" s="239"/>
      <c r="C463" s="243" t="s">
        <v>28</v>
      </c>
      <c r="D463" s="242">
        <f>COUNTIF($D$11:$FM$11,"Quảng Ninh")</f>
        <v>0</v>
      </c>
      <c r="E463" s="260"/>
      <c r="F463" s="239"/>
      <c r="G463" s="239"/>
      <c r="H463" s="239"/>
      <c r="I463" s="239"/>
      <c r="J463" s="239"/>
      <c r="K463" s="239"/>
      <c r="L463" s="240"/>
      <c r="M463" s="239"/>
      <c r="N463" s="239"/>
      <c r="O463" s="239"/>
      <c r="P463" s="239"/>
      <c r="Q463" s="239"/>
      <c r="R463" s="239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167"/>
    </row>
    <row r="464" spans="1:29" ht="15.75" customHeight="1">
      <c r="A464" s="177"/>
      <c r="B464" s="239"/>
      <c r="C464" s="243" t="s">
        <v>26</v>
      </c>
      <c r="D464" s="242">
        <f>COUNTIF($D$11:$FM$11,"Hà Nội")</f>
        <v>0</v>
      </c>
      <c r="E464" s="260"/>
      <c r="F464" s="239"/>
      <c r="G464" s="239"/>
      <c r="H464" s="239"/>
      <c r="I464" s="239"/>
      <c r="J464" s="239"/>
      <c r="K464" s="239"/>
      <c r="L464" s="240"/>
      <c r="M464" s="239"/>
      <c r="N464" s="239"/>
      <c r="O464" s="239"/>
      <c r="P464" s="239"/>
      <c r="Q464" s="239"/>
      <c r="R464" s="239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167"/>
    </row>
    <row r="465" spans="1:29" ht="15.75" customHeight="1">
      <c r="A465" s="177"/>
      <c r="B465" s="239"/>
      <c r="C465" s="243" t="s">
        <v>21</v>
      </c>
      <c r="D465" s="242">
        <f>COUNTIF($D$11:$FM$11,"Phú Thọ")</f>
        <v>0</v>
      </c>
      <c r="E465" s="260"/>
      <c r="F465" s="239"/>
      <c r="G465" s="239"/>
      <c r="H465" s="239"/>
      <c r="I465" s="239"/>
      <c r="J465" s="239"/>
      <c r="K465" s="239"/>
      <c r="L465" s="240"/>
      <c r="M465" s="239"/>
      <c r="N465" s="239"/>
      <c r="O465" s="239"/>
      <c r="P465" s="239"/>
      <c r="Q465" s="239"/>
      <c r="R465" s="239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167"/>
    </row>
    <row r="466" spans="1:29" ht="15.75" customHeight="1">
      <c r="A466" s="177"/>
      <c r="B466" s="239"/>
      <c r="C466" s="243" t="s">
        <v>1093</v>
      </c>
      <c r="D466" s="242">
        <f>COUNTIF($D$11:$FM$11,"Vĩnh Phúc")</f>
        <v>0</v>
      </c>
      <c r="E466" s="260"/>
      <c r="F466" s="239"/>
      <c r="G466" s="239"/>
      <c r="H466" s="239"/>
      <c r="I466" s="239"/>
      <c r="J466" s="239"/>
      <c r="K466" s="239"/>
      <c r="L466" s="240"/>
      <c r="M466" s="239"/>
      <c r="N466" s="239"/>
      <c r="O466" s="239"/>
      <c r="P466" s="239"/>
      <c r="Q466" s="239"/>
      <c r="R466" s="239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167"/>
    </row>
    <row r="467" spans="1:29" ht="15.75" customHeight="1">
      <c r="A467" s="177"/>
      <c r="B467" s="239"/>
      <c r="C467" s="243" t="s">
        <v>32</v>
      </c>
      <c r="D467" s="242">
        <f>COUNTIF($D$11:$FM$11,"Bắc Ninh")</f>
        <v>0</v>
      </c>
      <c r="E467" s="260"/>
      <c r="F467" s="239"/>
      <c r="G467" s="239"/>
      <c r="H467" s="239"/>
      <c r="I467" s="239"/>
      <c r="J467" s="239"/>
      <c r="K467" s="239"/>
      <c r="L467" s="240"/>
      <c r="M467" s="239"/>
      <c r="N467" s="239"/>
      <c r="O467" s="239"/>
      <c r="P467" s="239"/>
      <c r="Q467" s="239"/>
      <c r="R467" s="239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167"/>
    </row>
    <row r="468" spans="1:29" ht="15.75" customHeight="1">
      <c r="A468" s="177"/>
      <c r="B468" s="239"/>
      <c r="C468" s="243" t="s">
        <v>29</v>
      </c>
      <c r="D468" s="242">
        <f>COUNTIF($D$11:$FM$11,"Hải Dương")</f>
        <v>0</v>
      </c>
      <c r="E468" s="260"/>
      <c r="F468" s="239"/>
      <c r="G468" s="239"/>
      <c r="H468" s="239"/>
      <c r="I468" s="239"/>
      <c r="J468" s="239"/>
      <c r="K468" s="239"/>
      <c r="L468" s="240"/>
      <c r="M468" s="239"/>
      <c r="N468" s="239"/>
      <c r="O468" s="239"/>
      <c r="P468" s="239"/>
      <c r="Q468" s="239"/>
      <c r="R468" s="239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167"/>
    </row>
    <row r="469" spans="1:29" ht="15.75" customHeight="1">
      <c r="A469" s="177"/>
      <c r="B469" s="239"/>
      <c r="C469" s="243" t="s">
        <v>30</v>
      </c>
      <c r="D469" s="242">
        <f>COUNTIF($D$11:$FM$11,"Hưng Yên")</f>
        <v>0</v>
      </c>
      <c r="E469" s="260"/>
      <c r="F469" s="239"/>
      <c r="G469" s="239"/>
      <c r="H469" s="239"/>
      <c r="I469" s="239"/>
      <c r="J469" s="239"/>
      <c r="K469" s="239"/>
      <c r="L469" s="240"/>
      <c r="M469" s="239"/>
      <c r="N469" s="239"/>
      <c r="O469" s="239"/>
      <c r="P469" s="239"/>
      <c r="Q469" s="239"/>
      <c r="R469" s="239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167"/>
    </row>
    <row r="470" spans="1:29" ht="15.75" customHeight="1">
      <c r="A470" s="177"/>
      <c r="B470" s="239"/>
      <c r="C470" s="243" t="s">
        <v>27</v>
      </c>
      <c r="D470" s="242">
        <f>COUNTIF($D$11:$FM$11,"Hải Phòng")</f>
        <v>0</v>
      </c>
      <c r="E470" s="260"/>
      <c r="F470" s="239"/>
      <c r="G470" s="239"/>
      <c r="H470" s="239"/>
      <c r="I470" s="239"/>
      <c r="J470" s="239"/>
      <c r="K470" s="239"/>
      <c r="L470" s="240"/>
      <c r="M470" s="239"/>
      <c r="N470" s="239"/>
      <c r="O470" s="239"/>
      <c r="P470" s="239"/>
      <c r="Q470" s="239"/>
      <c r="R470" s="239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167"/>
    </row>
    <row r="471" spans="1:29" ht="15.75" customHeight="1">
      <c r="A471" s="177"/>
      <c r="B471" s="239"/>
      <c r="C471" s="243" t="s">
        <v>33</v>
      </c>
      <c r="D471" s="242">
        <f>COUNTIF($D$11:$FM$11,"Hà Nam")</f>
        <v>0</v>
      </c>
      <c r="E471" s="260"/>
      <c r="F471" s="239"/>
      <c r="G471" s="239"/>
      <c r="H471" s="239"/>
      <c r="I471" s="239"/>
      <c r="J471" s="239"/>
      <c r="K471" s="239"/>
      <c r="L471" s="240"/>
      <c r="M471" s="239"/>
      <c r="N471" s="239"/>
      <c r="O471" s="239"/>
      <c r="P471" s="239"/>
      <c r="Q471" s="239"/>
      <c r="R471" s="239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167"/>
    </row>
    <row r="472" spans="1:29" ht="15.75" customHeight="1">
      <c r="A472" s="177"/>
      <c r="B472" s="239"/>
      <c r="C472" s="243" t="s">
        <v>36</v>
      </c>
      <c r="D472" s="242">
        <f>COUNTIF($D$11:$FM$11,"Nam Định")</f>
        <v>0</v>
      </c>
      <c r="E472" s="260"/>
      <c r="F472" s="239"/>
      <c r="G472" s="239"/>
      <c r="H472" s="239"/>
      <c r="I472" s="239"/>
      <c r="J472" s="239"/>
      <c r="K472" s="239"/>
      <c r="L472" s="240"/>
      <c r="M472" s="239"/>
      <c r="N472" s="239"/>
      <c r="O472" s="239"/>
      <c r="P472" s="239"/>
      <c r="Q472" s="239"/>
      <c r="R472" s="239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167"/>
    </row>
    <row r="473" spans="1:29" ht="15.75" customHeight="1">
      <c r="A473" s="177"/>
      <c r="B473" s="239"/>
      <c r="C473" s="243" t="s">
        <v>1094</v>
      </c>
      <c r="D473" s="242">
        <f>COUNTIF($D$11:$FM$11,"Thái Bình")</f>
        <v>0</v>
      </c>
      <c r="E473" s="260"/>
      <c r="F473" s="239"/>
      <c r="G473" s="239"/>
      <c r="H473" s="239"/>
      <c r="I473" s="239"/>
      <c r="J473" s="239"/>
      <c r="K473" s="239"/>
      <c r="L473" s="240"/>
      <c r="M473" s="239"/>
      <c r="N473" s="239"/>
      <c r="O473" s="239"/>
      <c r="P473" s="239"/>
      <c r="Q473" s="239"/>
      <c r="R473" s="239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167"/>
    </row>
    <row r="474" spans="1:29" ht="15.75" customHeight="1">
      <c r="A474" s="177"/>
      <c r="B474" s="239"/>
      <c r="C474" s="243" t="s">
        <v>34</v>
      </c>
      <c r="D474" s="242">
        <f>COUNTIF($D$11:$FM$11,"Ninh Bình")</f>
        <v>0</v>
      </c>
      <c r="E474" s="260"/>
      <c r="F474" s="239"/>
      <c r="G474" s="239"/>
      <c r="H474" s="239"/>
      <c r="I474" s="239"/>
      <c r="J474" s="239"/>
      <c r="K474" s="239"/>
      <c r="L474" s="240"/>
      <c r="M474" s="239"/>
      <c r="N474" s="239"/>
      <c r="O474" s="239"/>
      <c r="P474" s="239"/>
      <c r="Q474" s="239"/>
      <c r="R474" s="239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167"/>
    </row>
    <row r="475" spans="1:29" ht="15.75" customHeight="1">
      <c r="A475" s="177"/>
      <c r="B475" s="239"/>
      <c r="C475" s="243" t="s">
        <v>37</v>
      </c>
      <c r="D475" s="242">
        <f>COUNTIF($D$11:$FM$11,"Thanh Hoá")</f>
        <v>0</v>
      </c>
      <c r="E475" s="260"/>
      <c r="F475" s="239"/>
      <c r="G475" s="239"/>
      <c r="H475" s="239"/>
      <c r="I475" s="239"/>
      <c r="J475" s="239"/>
      <c r="K475" s="239"/>
      <c r="L475" s="240"/>
      <c r="M475" s="239"/>
      <c r="N475" s="239"/>
      <c r="O475" s="239"/>
      <c r="P475" s="239"/>
      <c r="Q475" s="239"/>
      <c r="R475" s="239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167"/>
    </row>
    <row r="476" spans="1:29" ht="15.75" customHeight="1">
      <c r="A476" s="177"/>
      <c r="B476" s="239"/>
      <c r="C476" s="243" t="s">
        <v>1095</v>
      </c>
      <c r="D476" s="242">
        <f>COUNTIF($D$11:$FM$11,"Nghệ An")</f>
        <v>0</v>
      </c>
      <c r="E476" s="260"/>
      <c r="F476" s="239"/>
      <c r="G476" s="239"/>
      <c r="H476" s="239"/>
      <c r="I476" s="239"/>
      <c r="J476" s="239"/>
      <c r="K476" s="239"/>
      <c r="L476" s="240"/>
      <c r="M476" s="239"/>
      <c r="N476" s="239"/>
      <c r="O476" s="239"/>
      <c r="P476" s="239"/>
      <c r="Q476" s="239"/>
      <c r="R476" s="239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167"/>
    </row>
    <row r="477" spans="1:29" ht="15.75" customHeight="1">
      <c r="A477" s="177"/>
      <c r="B477" s="239"/>
      <c r="C477" s="243" t="s">
        <v>1096</v>
      </c>
      <c r="D477" s="242">
        <f>COUNTIF($D$11:$FM$11,"Hà Tĩnh")</f>
        <v>0</v>
      </c>
      <c r="E477" s="260"/>
      <c r="F477" s="239"/>
      <c r="G477" s="239"/>
      <c r="H477" s="239"/>
      <c r="I477" s="239"/>
      <c r="J477" s="239"/>
      <c r="K477" s="239"/>
      <c r="L477" s="240"/>
      <c r="M477" s="239"/>
      <c r="N477" s="239"/>
      <c r="O477" s="239"/>
      <c r="P477" s="239"/>
      <c r="Q477" s="239"/>
      <c r="R477" s="239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167"/>
    </row>
    <row r="478" spans="1:29" ht="15.75" customHeight="1">
      <c r="A478" s="177"/>
      <c r="B478" s="239"/>
      <c r="C478" s="243" t="s">
        <v>1097</v>
      </c>
      <c r="D478" s="242">
        <f>COUNTIF($D$11:$FM$11,"Quảng Bình")</f>
        <v>0</v>
      </c>
      <c r="E478" s="260"/>
      <c r="F478" s="239"/>
      <c r="G478" s="239"/>
      <c r="H478" s="239"/>
      <c r="I478" s="239"/>
      <c r="J478" s="239"/>
      <c r="K478" s="239"/>
      <c r="L478" s="240"/>
      <c r="M478" s="239"/>
      <c r="N478" s="239"/>
      <c r="O478" s="239"/>
      <c r="P478" s="239"/>
      <c r="Q478" s="239"/>
      <c r="R478" s="239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167"/>
    </row>
    <row r="479" spans="1:29" ht="15.75" customHeight="1">
      <c r="A479" s="177"/>
      <c r="B479" s="239"/>
      <c r="C479" s="243" t="s">
        <v>1098</v>
      </c>
      <c r="D479" s="242">
        <f>COUNTIF($D$11:$FM$11,"Quảng Trị")</f>
        <v>0</v>
      </c>
      <c r="E479" s="260"/>
      <c r="F479" s="239"/>
      <c r="G479" s="239"/>
      <c r="H479" s="239"/>
      <c r="I479" s="239"/>
      <c r="J479" s="239"/>
      <c r="K479" s="239"/>
      <c r="L479" s="240"/>
      <c r="M479" s="239"/>
      <c r="N479" s="239"/>
      <c r="O479" s="239"/>
      <c r="P479" s="239"/>
      <c r="Q479" s="239"/>
      <c r="R479" s="239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167"/>
    </row>
    <row r="480" spans="1:29" ht="15.75" customHeight="1">
      <c r="A480" s="177"/>
      <c r="B480" s="239"/>
      <c r="C480" s="243" t="s">
        <v>1099</v>
      </c>
      <c r="D480" s="242">
        <f>COUNTIF($D$11:$FM$11,"Thừa Thiên Huế")</f>
        <v>0</v>
      </c>
      <c r="E480" s="260"/>
      <c r="F480" s="239"/>
      <c r="G480" s="239"/>
      <c r="H480" s="239"/>
      <c r="I480" s="239"/>
      <c r="J480" s="239"/>
      <c r="K480" s="239"/>
      <c r="L480" s="240"/>
      <c r="M480" s="239"/>
      <c r="N480" s="239"/>
      <c r="O480" s="239"/>
      <c r="P480" s="239"/>
      <c r="Q480" s="239"/>
      <c r="R480" s="239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167"/>
    </row>
    <row r="481" spans="1:29" ht="15.75" customHeight="1">
      <c r="A481" s="177"/>
      <c r="B481" s="239"/>
      <c r="C481" s="243" t="s">
        <v>1100</v>
      </c>
      <c r="D481" s="242">
        <f>COUNTIF($D$11:$FM$11,"Đà Nẵng")</f>
        <v>0</v>
      </c>
      <c r="E481" s="260"/>
      <c r="F481" s="239"/>
      <c r="G481" s="239"/>
      <c r="H481" s="239"/>
      <c r="I481" s="239"/>
      <c r="J481" s="239"/>
      <c r="K481" s="239"/>
      <c r="L481" s="240"/>
      <c r="M481" s="239"/>
      <c r="N481" s="239"/>
      <c r="O481" s="239"/>
      <c r="P481" s="239"/>
      <c r="Q481" s="239"/>
      <c r="R481" s="239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167"/>
    </row>
    <row r="482" spans="1:29" ht="15.75" customHeight="1">
      <c r="A482" s="177"/>
      <c r="B482" s="239"/>
      <c r="C482" s="243" t="s">
        <v>1101</v>
      </c>
      <c r="D482" s="242">
        <f>COUNTIF($D$11:$FM$11,"Quảng Nam")</f>
        <v>0</v>
      </c>
      <c r="E482" s="260"/>
      <c r="F482" s="239"/>
      <c r="G482" s="239"/>
      <c r="H482" s="239"/>
      <c r="I482" s="239"/>
      <c r="J482" s="239"/>
      <c r="K482" s="239"/>
      <c r="L482" s="240"/>
      <c r="M482" s="239"/>
      <c r="N482" s="239"/>
      <c r="O482" s="239"/>
      <c r="P482" s="239"/>
      <c r="Q482" s="239"/>
      <c r="R482" s="239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167"/>
    </row>
    <row r="483" spans="1:29" ht="15.75" customHeight="1">
      <c r="A483" s="177"/>
      <c r="B483" s="239"/>
      <c r="C483" s="243" t="s">
        <v>1102</v>
      </c>
      <c r="D483" s="242">
        <f>COUNTIF($D$11:$FM$11,"Quảng Ngãi")</f>
        <v>0</v>
      </c>
      <c r="E483" s="260"/>
      <c r="F483" s="239"/>
      <c r="G483" s="239"/>
      <c r="H483" s="239"/>
      <c r="I483" s="239"/>
      <c r="J483" s="239"/>
      <c r="K483" s="239"/>
      <c r="L483" s="240"/>
      <c r="M483" s="239"/>
      <c r="N483" s="239"/>
      <c r="O483" s="239"/>
      <c r="P483" s="239"/>
      <c r="Q483" s="239"/>
      <c r="R483" s="239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167"/>
    </row>
    <row r="484" spans="1:29" ht="15.75" customHeight="1">
      <c r="A484" s="177"/>
      <c r="B484" s="239"/>
      <c r="C484" s="243" t="s">
        <v>1103</v>
      </c>
      <c r="D484" s="242">
        <f>COUNTIF($D$11:$FM$11,"Bình Định")</f>
        <v>0</v>
      </c>
      <c r="E484" s="260"/>
      <c r="F484" s="239"/>
      <c r="G484" s="239"/>
      <c r="H484" s="239"/>
      <c r="I484" s="239"/>
      <c r="J484" s="239"/>
      <c r="K484" s="239"/>
      <c r="L484" s="240"/>
      <c r="M484" s="239"/>
      <c r="N484" s="239"/>
      <c r="O484" s="239"/>
      <c r="P484" s="239"/>
      <c r="Q484" s="239"/>
      <c r="R484" s="239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167"/>
    </row>
    <row r="485" spans="1:29" ht="15.75" customHeight="1">
      <c r="A485" s="177"/>
      <c r="B485" s="239"/>
      <c r="C485" s="243" t="s">
        <v>1104</v>
      </c>
      <c r="D485" s="242">
        <f>COUNTIF($D$11:$FM$11,"Phú Yên")</f>
        <v>0</v>
      </c>
      <c r="E485" s="260"/>
      <c r="F485" s="239"/>
      <c r="G485" s="239"/>
      <c r="H485" s="239"/>
      <c r="I485" s="239"/>
      <c r="J485" s="239"/>
      <c r="K485" s="239"/>
      <c r="L485" s="240"/>
      <c r="M485" s="239"/>
      <c r="N485" s="239"/>
      <c r="O485" s="239"/>
      <c r="P485" s="239"/>
      <c r="Q485" s="239"/>
      <c r="R485" s="239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167"/>
    </row>
    <row r="486" spans="1:29" ht="15.75" customHeight="1">
      <c r="A486" s="177"/>
      <c r="B486" s="239"/>
      <c r="C486" s="243" t="s">
        <v>1105</v>
      </c>
      <c r="D486" s="242">
        <f>COUNTIF($D$11:$FM$11,"Khánh Hoà")</f>
        <v>0</v>
      </c>
      <c r="E486" s="260"/>
      <c r="F486" s="239"/>
      <c r="G486" s="239"/>
      <c r="H486" s="239"/>
      <c r="I486" s="239"/>
      <c r="J486" s="239"/>
      <c r="K486" s="239"/>
      <c r="L486" s="240"/>
      <c r="M486" s="239"/>
      <c r="N486" s="239"/>
      <c r="O486" s="239"/>
      <c r="P486" s="239"/>
      <c r="Q486" s="239"/>
      <c r="R486" s="239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167"/>
    </row>
    <row r="487" spans="1:29" ht="15.75" customHeight="1">
      <c r="A487" s="177"/>
      <c r="B487" s="239"/>
      <c r="C487" s="243" t="s">
        <v>1106</v>
      </c>
      <c r="D487" s="242">
        <f>COUNTIF($D$11:$FM$11,"Ninh Thuận")</f>
        <v>0</v>
      </c>
      <c r="E487" s="260"/>
      <c r="F487" s="239"/>
      <c r="G487" s="239"/>
      <c r="H487" s="239"/>
      <c r="I487" s="239"/>
      <c r="J487" s="239"/>
      <c r="K487" s="239"/>
      <c r="L487" s="240"/>
      <c r="M487" s="239"/>
      <c r="N487" s="239"/>
      <c r="O487" s="239"/>
      <c r="P487" s="239"/>
      <c r="Q487" s="239"/>
      <c r="R487" s="239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167"/>
    </row>
    <row r="488" spans="1:29" ht="15.75" customHeight="1">
      <c r="A488" s="177"/>
      <c r="B488" s="239"/>
      <c r="C488" s="243" t="s">
        <v>1107</v>
      </c>
      <c r="D488" s="242">
        <f>COUNTIF($D$11:$FM$11,"Bình Thuận")</f>
        <v>0</v>
      </c>
      <c r="E488" s="260"/>
      <c r="F488" s="239"/>
      <c r="G488" s="239"/>
      <c r="H488" s="239"/>
      <c r="I488" s="239"/>
      <c r="J488" s="239"/>
      <c r="K488" s="239"/>
      <c r="L488" s="240"/>
      <c r="M488" s="239"/>
      <c r="N488" s="239"/>
      <c r="O488" s="239"/>
      <c r="P488" s="239"/>
      <c r="Q488" s="239"/>
      <c r="R488" s="239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167"/>
    </row>
    <row r="489" spans="1:29" ht="15.75" customHeight="1">
      <c r="A489" s="177"/>
      <c r="B489" s="239"/>
      <c r="C489" s="243" t="s">
        <v>1108</v>
      </c>
      <c r="D489" s="242">
        <f>COUNTIF($D$11:$FM$11,"Kon Tum")</f>
        <v>0</v>
      </c>
      <c r="E489" s="260"/>
      <c r="F489" s="239"/>
      <c r="G489" s="239"/>
      <c r="H489" s="239"/>
      <c r="I489" s="239"/>
      <c r="J489" s="239"/>
      <c r="K489" s="239"/>
      <c r="L489" s="240"/>
      <c r="M489" s="239"/>
      <c r="N489" s="239"/>
      <c r="O489" s="239"/>
      <c r="P489" s="239"/>
      <c r="Q489" s="239"/>
      <c r="R489" s="239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167"/>
    </row>
    <row r="490" spans="1:29" ht="15.75" customHeight="1">
      <c r="A490" s="177"/>
      <c r="B490" s="239"/>
      <c r="C490" s="243" t="s">
        <v>1109</v>
      </c>
      <c r="D490" s="242">
        <f>COUNTIF($D$11:$FM$11,"Gia Lai")</f>
        <v>0</v>
      </c>
      <c r="E490" s="260"/>
      <c r="F490" s="239"/>
      <c r="G490" s="239"/>
      <c r="H490" s="239"/>
      <c r="I490" s="239"/>
      <c r="J490" s="239"/>
      <c r="K490" s="239"/>
      <c r="L490" s="240"/>
      <c r="M490" s="239"/>
      <c r="N490" s="239"/>
      <c r="O490" s="239"/>
      <c r="P490" s="239"/>
      <c r="Q490" s="239"/>
      <c r="R490" s="239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167"/>
    </row>
    <row r="491" spans="1:29" ht="15.75" customHeight="1">
      <c r="A491" s="177"/>
      <c r="B491" s="239"/>
      <c r="C491" s="243" t="s">
        <v>1110</v>
      </c>
      <c r="D491" s="242">
        <f>COUNTIF($D$11:$FM$11,"Đắk Lắk")</f>
        <v>0</v>
      </c>
      <c r="E491" s="260"/>
      <c r="F491" s="239"/>
      <c r="G491" s="239"/>
      <c r="H491" s="239"/>
      <c r="I491" s="239"/>
      <c r="J491" s="239"/>
      <c r="K491" s="239"/>
      <c r="L491" s="240"/>
      <c r="M491" s="239"/>
      <c r="N491" s="239"/>
      <c r="O491" s="239"/>
      <c r="P491" s="239"/>
      <c r="Q491" s="239"/>
      <c r="R491" s="239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167"/>
    </row>
    <row r="492" spans="1:29" ht="15.75" customHeight="1">
      <c r="A492" s="177"/>
      <c r="B492" s="239"/>
      <c r="C492" s="243" t="s">
        <v>1111</v>
      </c>
      <c r="D492" s="242">
        <f>COUNTIF($D$11:$FM$11,"Đắk Nông")</f>
        <v>0</v>
      </c>
      <c r="E492" s="260"/>
      <c r="F492" s="239"/>
      <c r="G492" s="239"/>
      <c r="H492" s="239"/>
      <c r="I492" s="239"/>
      <c r="J492" s="239"/>
      <c r="K492" s="239"/>
      <c r="L492" s="240"/>
      <c r="M492" s="239"/>
      <c r="N492" s="239"/>
      <c r="O492" s="239"/>
      <c r="P492" s="239"/>
      <c r="Q492" s="239"/>
      <c r="R492" s="239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167"/>
    </row>
    <row r="493" spans="1:29" ht="15.75" customHeight="1">
      <c r="A493" s="177"/>
      <c r="B493" s="239"/>
      <c r="C493" s="243" t="s">
        <v>1112</v>
      </c>
      <c r="D493" s="242">
        <f>COUNTIF($D$11:$FM$11,"Lâm Đồng")</f>
        <v>0</v>
      </c>
      <c r="E493" s="260"/>
      <c r="F493" s="239"/>
      <c r="G493" s="239"/>
      <c r="H493" s="239"/>
      <c r="I493" s="239"/>
      <c r="J493" s="239"/>
      <c r="K493" s="239"/>
      <c r="L493" s="240"/>
      <c r="M493" s="239"/>
      <c r="N493" s="239"/>
      <c r="O493" s="239"/>
      <c r="P493" s="239"/>
      <c r="Q493" s="239"/>
      <c r="R493" s="239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167"/>
    </row>
    <row r="494" spans="1:29" ht="15.75" customHeight="1">
      <c r="A494" s="177"/>
      <c r="B494" s="239"/>
      <c r="C494" s="243" t="s">
        <v>1113</v>
      </c>
      <c r="D494" s="242">
        <f>COUNTIF($D$11:$FM$11,"Tây Ninh")</f>
        <v>0</v>
      </c>
      <c r="E494" s="260"/>
      <c r="F494" s="239"/>
      <c r="G494" s="239"/>
      <c r="H494" s="239"/>
      <c r="I494" s="239"/>
      <c r="J494" s="239"/>
      <c r="K494" s="239"/>
      <c r="L494" s="240"/>
      <c r="M494" s="239"/>
      <c r="N494" s="239"/>
      <c r="O494" s="239"/>
      <c r="P494" s="239"/>
      <c r="Q494" s="239"/>
      <c r="R494" s="239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167"/>
    </row>
    <row r="495" spans="1:29" ht="15.75" customHeight="1">
      <c r="A495" s="177"/>
      <c r="B495" s="239"/>
      <c r="C495" s="243" t="s">
        <v>1114</v>
      </c>
      <c r="D495" s="242">
        <f>COUNTIF($D$11:$FM$11,"Bình Phước")</f>
        <v>0</v>
      </c>
      <c r="E495" s="260"/>
      <c r="F495" s="239"/>
      <c r="G495" s="239"/>
      <c r="H495" s="239"/>
      <c r="I495" s="239"/>
      <c r="J495" s="239"/>
      <c r="K495" s="239"/>
      <c r="L495" s="240"/>
      <c r="M495" s="239"/>
      <c r="N495" s="239"/>
      <c r="O495" s="239"/>
      <c r="P495" s="239"/>
      <c r="Q495" s="239"/>
      <c r="R495" s="239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167"/>
    </row>
    <row r="496" spans="1:29" ht="15.75" customHeight="1">
      <c r="A496" s="177"/>
      <c r="B496" s="239"/>
      <c r="C496" s="243" t="s">
        <v>1115</v>
      </c>
      <c r="D496" s="242">
        <f>COUNTIF($D$11:$FM$11,"Bình Dương")</f>
        <v>0</v>
      </c>
      <c r="E496" s="260"/>
      <c r="F496" s="239"/>
      <c r="G496" s="239"/>
      <c r="H496" s="239"/>
      <c r="I496" s="239"/>
      <c r="J496" s="239"/>
      <c r="K496" s="239"/>
      <c r="L496" s="240"/>
      <c r="M496" s="239"/>
      <c r="N496" s="239"/>
      <c r="O496" s="239"/>
      <c r="P496" s="239"/>
      <c r="Q496" s="239"/>
      <c r="R496" s="239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167"/>
    </row>
    <row r="497" spans="1:29" ht="15.75" customHeight="1">
      <c r="A497" s="177"/>
      <c r="B497" s="239"/>
      <c r="C497" s="243" t="s">
        <v>1116</v>
      </c>
      <c r="D497" s="242">
        <f>COUNTIF($D$11:$FM$11,"Bà Rịa - Vũng Tàu")</f>
        <v>0</v>
      </c>
      <c r="E497" s="260"/>
      <c r="F497" s="239"/>
      <c r="G497" s="239"/>
      <c r="H497" s="239"/>
      <c r="I497" s="239"/>
      <c r="J497" s="239"/>
      <c r="K497" s="239"/>
      <c r="L497" s="240"/>
      <c r="M497" s="239"/>
      <c r="N497" s="239"/>
      <c r="O497" s="239"/>
      <c r="P497" s="239"/>
      <c r="Q497" s="239"/>
      <c r="R497" s="239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167"/>
    </row>
    <row r="498" spans="1:29" ht="15.75" customHeight="1">
      <c r="A498" s="177"/>
      <c r="B498" s="239"/>
      <c r="C498" s="243" t="s">
        <v>1117</v>
      </c>
      <c r="D498" s="242">
        <f>COUNTIF($D$11:$FM$11,"Bến Tre")</f>
        <v>0</v>
      </c>
      <c r="E498" s="260"/>
      <c r="F498" s="239"/>
      <c r="G498" s="239"/>
      <c r="H498" s="239"/>
      <c r="I498" s="239"/>
      <c r="J498" s="239"/>
      <c r="K498" s="239"/>
      <c r="L498" s="240"/>
      <c r="M498" s="239"/>
      <c r="N498" s="239"/>
      <c r="O498" s="239"/>
      <c r="P498" s="239"/>
      <c r="Q498" s="239"/>
      <c r="R498" s="239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167"/>
    </row>
    <row r="499" spans="1:29" ht="15.75" customHeight="1">
      <c r="A499" s="177"/>
      <c r="B499" s="239"/>
      <c r="C499" s="243" t="s">
        <v>1118</v>
      </c>
      <c r="D499" s="242">
        <f>COUNTIF($D$11:$FM$11,"An Giang")</f>
        <v>0</v>
      </c>
      <c r="E499" s="260"/>
      <c r="F499" s="239"/>
      <c r="G499" s="239"/>
      <c r="H499" s="239"/>
      <c r="I499" s="239"/>
      <c r="J499" s="239"/>
      <c r="K499" s="239"/>
      <c r="L499" s="240"/>
      <c r="M499" s="239"/>
      <c r="N499" s="239"/>
      <c r="O499" s="239"/>
      <c r="P499" s="239"/>
      <c r="Q499" s="239"/>
      <c r="R499" s="239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167"/>
    </row>
    <row r="500" spans="1:29" ht="15.75" customHeight="1">
      <c r="A500" s="177"/>
      <c r="B500" s="239"/>
      <c r="C500" s="243" t="s">
        <v>1119</v>
      </c>
      <c r="D500" s="242">
        <f>COUNTIF($D$11:$FM$11,"Vĩnh Long")</f>
        <v>0</v>
      </c>
      <c r="E500" s="260"/>
      <c r="F500" s="239"/>
      <c r="G500" s="239"/>
      <c r="H500" s="239"/>
      <c r="I500" s="239"/>
      <c r="J500" s="239"/>
      <c r="K500" s="239"/>
      <c r="L500" s="240"/>
      <c r="M500" s="239"/>
      <c r="N500" s="239"/>
      <c r="O500" s="239"/>
      <c r="P500" s="239"/>
      <c r="Q500" s="239"/>
      <c r="R500" s="239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167"/>
    </row>
    <row r="501" spans="1:29" ht="15.75" customHeight="1">
      <c r="A501" s="177"/>
      <c r="B501" s="239"/>
      <c r="C501" s="243" t="s">
        <v>1120</v>
      </c>
      <c r="D501" s="242">
        <f>COUNTIF($D$11:$FM$11,"Cần Thơ")</f>
        <v>0</v>
      </c>
      <c r="E501" s="260"/>
      <c r="F501" s="239"/>
      <c r="G501" s="239"/>
      <c r="H501" s="239"/>
      <c r="I501" s="239"/>
      <c r="J501" s="239"/>
      <c r="K501" s="239"/>
      <c r="L501" s="240"/>
      <c r="M501" s="239"/>
      <c r="N501" s="239"/>
      <c r="O501" s="239"/>
      <c r="P501" s="239"/>
      <c r="Q501" s="239"/>
      <c r="R501" s="239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167"/>
    </row>
    <row r="502" spans="1:29" ht="15.75" customHeight="1">
      <c r="A502" s="177"/>
      <c r="B502" s="239"/>
      <c r="C502" s="243" t="s">
        <v>1121</v>
      </c>
      <c r="D502" s="242">
        <f>COUNTIF($D$11:$FM$11,"Hậu Giang")</f>
        <v>0</v>
      </c>
      <c r="E502" s="260"/>
      <c r="F502" s="239"/>
      <c r="G502" s="239"/>
      <c r="H502" s="239"/>
      <c r="I502" s="239"/>
      <c r="J502" s="239"/>
      <c r="K502" s="239"/>
      <c r="L502" s="240"/>
      <c r="M502" s="239"/>
      <c r="N502" s="239"/>
      <c r="O502" s="239"/>
      <c r="P502" s="239"/>
      <c r="Q502" s="239"/>
      <c r="R502" s="239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167"/>
    </row>
    <row r="503" spans="1:29" ht="15.75" customHeight="1">
      <c r="A503" s="177"/>
      <c r="B503" s="239"/>
      <c r="C503" s="243" t="s">
        <v>1122</v>
      </c>
      <c r="D503" s="242">
        <f>COUNTIF($D$11:$FM$11,"Sóc Trăng")</f>
        <v>0</v>
      </c>
      <c r="E503" s="260"/>
      <c r="F503" s="239"/>
      <c r="G503" s="239"/>
      <c r="H503" s="239"/>
      <c r="I503" s="239"/>
      <c r="J503" s="239"/>
      <c r="K503" s="239"/>
      <c r="L503" s="240"/>
      <c r="M503" s="239"/>
      <c r="N503" s="239"/>
      <c r="O503" s="239"/>
      <c r="P503" s="239"/>
      <c r="Q503" s="239"/>
      <c r="R503" s="239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167"/>
    </row>
    <row r="504" spans="1:29" ht="15.75" customHeight="1">
      <c r="A504" s="177"/>
      <c r="B504" s="239"/>
      <c r="C504" s="243" t="s">
        <v>1123</v>
      </c>
      <c r="D504" s="242">
        <f>COUNTIF($D$11:$FM$11,"Bạc Liêu")</f>
        <v>0</v>
      </c>
      <c r="E504" s="260"/>
      <c r="F504" s="239"/>
      <c r="G504" s="239"/>
      <c r="H504" s="239"/>
      <c r="I504" s="239"/>
      <c r="J504" s="239"/>
      <c r="K504" s="239"/>
      <c r="L504" s="240"/>
      <c r="M504" s="239"/>
      <c r="N504" s="239"/>
      <c r="O504" s="239"/>
      <c r="P504" s="239"/>
      <c r="Q504" s="239"/>
      <c r="R504" s="239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167"/>
    </row>
    <row r="505" spans="1:29" ht="15.75" customHeight="1">
      <c r="A505" s="177"/>
      <c r="B505" s="239"/>
      <c r="C505" s="243" t="s">
        <v>1124</v>
      </c>
      <c r="D505" s="242">
        <f>COUNTIF($D$11:$FM$11,"Cà Mau")</f>
        <v>0</v>
      </c>
      <c r="E505" s="260"/>
      <c r="F505" s="239"/>
      <c r="G505" s="239"/>
      <c r="H505" s="239"/>
      <c r="I505" s="239"/>
      <c r="J505" s="239"/>
      <c r="K505" s="239"/>
      <c r="L505" s="240"/>
      <c r="M505" s="239"/>
      <c r="N505" s="239"/>
      <c r="O505" s="239"/>
      <c r="P505" s="239"/>
      <c r="Q505" s="239"/>
      <c r="R505" s="239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167"/>
    </row>
    <row r="506" spans="1:29" ht="15.75" customHeight="1">
      <c r="A506" s="177"/>
      <c r="B506" s="239"/>
      <c r="C506" s="243" t="s">
        <v>1125</v>
      </c>
      <c r="D506" s="242">
        <f>COUNTIF($D$11:$FM$11,"Kiên Giang")</f>
        <v>0</v>
      </c>
      <c r="E506" s="260"/>
      <c r="F506" s="239"/>
      <c r="G506" s="239"/>
      <c r="H506" s="239"/>
      <c r="I506" s="239"/>
      <c r="J506" s="239"/>
      <c r="K506" s="239"/>
      <c r="L506" s="240"/>
      <c r="M506" s="239"/>
      <c r="N506" s="239"/>
      <c r="O506" s="239"/>
      <c r="P506" s="239"/>
      <c r="Q506" s="239"/>
      <c r="R506" s="239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167"/>
    </row>
    <row r="507" spans="1:29" ht="15.75" customHeight="1">
      <c r="A507" s="177"/>
      <c r="B507" s="239"/>
      <c r="C507" s="243" t="s">
        <v>1126</v>
      </c>
      <c r="D507" s="242">
        <f>COUNTIF($D$11:$FM$11,"Đồng Tháp")</f>
        <v>0</v>
      </c>
      <c r="E507" s="260"/>
      <c r="F507" s="239"/>
      <c r="G507" s="239"/>
      <c r="H507" s="239"/>
      <c r="I507" s="239"/>
      <c r="J507" s="239"/>
      <c r="K507" s="239"/>
      <c r="L507" s="240"/>
      <c r="M507" s="239"/>
      <c r="N507" s="239"/>
      <c r="O507" s="239"/>
      <c r="P507" s="239"/>
      <c r="Q507" s="239"/>
      <c r="R507" s="239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167"/>
    </row>
    <row r="508" spans="1:29" ht="15.75" customHeight="1">
      <c r="A508" s="177"/>
      <c r="B508" s="239"/>
      <c r="C508" s="243" t="s">
        <v>1127</v>
      </c>
      <c r="D508" s="242">
        <f>COUNTIF($D$11:$FM$11,"Trà Vinh")</f>
        <v>0</v>
      </c>
      <c r="E508" s="260"/>
      <c r="F508" s="239"/>
      <c r="G508" s="239"/>
      <c r="H508" s="239"/>
      <c r="I508" s="239"/>
      <c r="J508" s="239"/>
      <c r="K508" s="239"/>
      <c r="L508" s="240"/>
      <c r="M508" s="239"/>
      <c r="N508" s="239"/>
      <c r="O508" s="239"/>
      <c r="P508" s="239"/>
      <c r="Q508" s="239"/>
      <c r="R508" s="239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167"/>
    </row>
    <row r="509" spans="1:29" ht="15.75" customHeight="1">
      <c r="A509" s="177"/>
      <c r="B509" s="239"/>
      <c r="C509" s="243" t="s">
        <v>1128</v>
      </c>
      <c r="D509" s="242">
        <f>COUNTIF($D$11:$FM$11,"Tiền Giang")</f>
        <v>0</v>
      </c>
      <c r="E509" s="260"/>
      <c r="F509" s="239"/>
      <c r="G509" s="239"/>
      <c r="H509" s="239"/>
      <c r="I509" s="239"/>
      <c r="J509" s="239"/>
      <c r="K509" s="239"/>
      <c r="L509" s="240"/>
      <c r="M509" s="239"/>
      <c r="N509" s="239"/>
      <c r="O509" s="239"/>
      <c r="P509" s="239"/>
      <c r="Q509" s="239"/>
      <c r="R509" s="239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167"/>
    </row>
    <row r="510" spans="1:29" ht="15.75" customHeight="1">
      <c r="A510" s="177"/>
      <c r="B510" s="239"/>
      <c r="C510" s="243" t="s">
        <v>1129</v>
      </c>
      <c r="D510" s="242">
        <f>COUNTIF($D$11:$FM$11,"Long An")</f>
        <v>0</v>
      </c>
      <c r="E510" s="260"/>
      <c r="F510" s="239"/>
      <c r="G510" s="239"/>
      <c r="H510" s="239"/>
      <c r="I510" s="239"/>
      <c r="J510" s="239"/>
      <c r="K510" s="239"/>
      <c r="L510" s="240"/>
      <c r="M510" s="239"/>
      <c r="N510" s="239"/>
      <c r="O510" s="239"/>
      <c r="P510" s="239"/>
      <c r="Q510" s="239"/>
      <c r="R510" s="239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167"/>
    </row>
    <row r="511" spans="1:29" ht="15.75" customHeight="1">
      <c r="A511" s="177"/>
      <c r="B511" s="239"/>
      <c r="C511" s="243" t="s">
        <v>1130</v>
      </c>
      <c r="D511" s="242">
        <f>COUNTIF($D$11:$FM$11,"Đồng Nai")</f>
        <v>0</v>
      </c>
      <c r="E511" s="260"/>
      <c r="F511" s="239"/>
      <c r="G511" s="239"/>
      <c r="H511" s="239"/>
      <c r="I511" s="239"/>
      <c r="J511" s="239"/>
      <c r="K511" s="239"/>
      <c r="L511" s="240"/>
      <c r="M511" s="239"/>
      <c r="N511" s="239"/>
      <c r="O511" s="239"/>
      <c r="P511" s="239"/>
      <c r="Q511" s="239"/>
      <c r="R511" s="239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167"/>
    </row>
    <row r="512" spans="1:29" ht="15.75" customHeight="1">
      <c r="A512" s="177"/>
      <c r="B512" s="239"/>
      <c r="C512" s="243" t="s">
        <v>1131</v>
      </c>
      <c r="D512" s="242">
        <f>COUNTIF($D$11:$FM$11,"TP Hồ Chí Minh")</f>
        <v>0</v>
      </c>
      <c r="E512" s="260"/>
      <c r="F512" s="239"/>
      <c r="G512" s="239"/>
      <c r="H512" s="239"/>
      <c r="I512" s="239"/>
      <c r="J512" s="239"/>
      <c r="K512" s="239"/>
      <c r="L512" s="240"/>
      <c r="M512" s="239"/>
      <c r="N512" s="239"/>
      <c r="O512" s="239"/>
      <c r="P512" s="239"/>
      <c r="Q512" s="239"/>
      <c r="R512" s="239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167"/>
    </row>
    <row r="513" spans="1:29" ht="15.75" customHeight="1">
      <c r="A513" s="177"/>
      <c r="B513" s="239"/>
      <c r="C513" s="243"/>
      <c r="D513" s="244"/>
      <c r="E513" s="260"/>
      <c r="F513" s="239"/>
      <c r="G513" s="239"/>
      <c r="H513" s="239"/>
      <c r="I513" s="239"/>
      <c r="J513" s="239"/>
      <c r="K513" s="239"/>
      <c r="L513" s="240"/>
      <c r="M513" s="239"/>
      <c r="N513" s="239"/>
      <c r="O513" s="239"/>
      <c r="P513" s="239"/>
      <c r="Q513" s="239"/>
      <c r="R513" s="239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167"/>
    </row>
    <row r="514" spans="1:29" ht="15.75" customHeight="1">
      <c r="A514" s="177"/>
      <c r="B514" s="239"/>
      <c r="C514" s="243"/>
      <c r="D514" s="245">
        <f>SUM(D450:D512)</f>
        <v>0</v>
      </c>
      <c r="E514" s="260"/>
      <c r="F514" s="239"/>
      <c r="G514" s="239"/>
      <c r="H514" s="239"/>
      <c r="I514" s="239"/>
      <c r="J514" s="239"/>
      <c r="K514" s="239"/>
      <c r="L514" s="240"/>
      <c r="M514" s="239"/>
      <c r="N514" s="239"/>
      <c r="O514" s="239"/>
      <c r="P514" s="239"/>
      <c r="Q514" s="239"/>
      <c r="R514" s="239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167"/>
    </row>
    <row r="515" spans="1:29" ht="15.75" customHeight="1">
      <c r="A515" s="177"/>
      <c r="B515" s="239"/>
      <c r="C515" s="260"/>
      <c r="D515" s="278"/>
      <c r="E515" s="260"/>
      <c r="F515" s="239"/>
      <c r="G515" s="239"/>
      <c r="H515" s="239"/>
      <c r="I515" s="239"/>
      <c r="J515" s="239"/>
      <c r="K515" s="239"/>
      <c r="L515" s="240"/>
      <c r="M515" s="239"/>
      <c r="N515" s="239"/>
      <c r="O515" s="239"/>
      <c r="P515" s="239"/>
      <c r="Q515" s="239"/>
      <c r="R515" s="239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167"/>
    </row>
    <row r="516" spans="1:29" ht="15.75" customHeight="1">
      <c r="A516" s="177"/>
      <c r="B516" s="239"/>
      <c r="C516" s="260"/>
      <c r="D516" s="278"/>
      <c r="E516" s="260"/>
      <c r="F516" s="239"/>
      <c r="G516" s="239"/>
      <c r="H516" s="239"/>
      <c r="I516" s="239"/>
      <c r="J516" s="239"/>
      <c r="K516" s="239"/>
      <c r="L516" s="240"/>
      <c r="M516" s="239"/>
      <c r="N516" s="239"/>
      <c r="O516" s="239"/>
      <c r="P516" s="239"/>
      <c r="Q516" s="239"/>
      <c r="R516" s="239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167"/>
    </row>
    <row r="517" spans="1:29" ht="15.75" customHeight="1">
      <c r="A517" s="177"/>
      <c r="B517" s="239"/>
      <c r="C517" s="260"/>
      <c r="D517" s="278"/>
      <c r="E517" s="260"/>
      <c r="F517" s="239"/>
      <c r="G517" s="239"/>
      <c r="H517" s="239"/>
      <c r="I517" s="239"/>
      <c r="J517" s="239"/>
      <c r="K517" s="239"/>
      <c r="L517" s="240"/>
      <c r="M517" s="239"/>
      <c r="N517" s="239"/>
      <c r="O517" s="239"/>
      <c r="P517" s="239"/>
      <c r="Q517" s="239"/>
      <c r="R517" s="239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167"/>
    </row>
    <row r="518" spans="1:29" ht="15.75" customHeight="1">
      <c r="A518" s="177"/>
      <c r="B518" s="239"/>
      <c r="C518" s="260"/>
      <c r="D518" s="278"/>
      <c r="E518" s="260"/>
      <c r="F518" s="239"/>
      <c r="G518" s="239"/>
      <c r="H518" s="239"/>
      <c r="I518" s="239"/>
      <c r="J518" s="239"/>
      <c r="K518" s="239"/>
      <c r="L518" s="240"/>
      <c r="M518" s="239"/>
      <c r="N518" s="239"/>
      <c r="O518" s="239"/>
      <c r="P518" s="239"/>
      <c r="Q518" s="239"/>
      <c r="R518" s="239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167"/>
    </row>
    <row r="519" spans="1:29" ht="15.75" customHeight="1">
      <c r="A519" s="177"/>
      <c r="B519" s="239"/>
      <c r="C519" s="260"/>
      <c r="D519" s="278"/>
      <c r="E519" s="260"/>
      <c r="F519" s="239"/>
      <c r="G519" s="239"/>
      <c r="H519" s="239"/>
      <c r="I519" s="239"/>
      <c r="J519" s="239"/>
      <c r="K519" s="239"/>
      <c r="L519" s="240"/>
      <c r="M519" s="239"/>
      <c r="N519" s="239"/>
      <c r="O519" s="239"/>
      <c r="P519" s="239"/>
      <c r="Q519" s="239"/>
      <c r="R519" s="239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167"/>
    </row>
    <row r="520" spans="1:29" ht="15.75" customHeight="1">
      <c r="A520" s="177"/>
      <c r="B520" s="239"/>
      <c r="C520" s="260"/>
      <c r="D520" s="278"/>
      <c r="E520" s="260"/>
      <c r="F520" s="239"/>
      <c r="G520" s="239"/>
      <c r="H520" s="239"/>
      <c r="I520" s="239"/>
      <c r="J520" s="239"/>
      <c r="K520" s="239"/>
      <c r="L520" s="240"/>
      <c r="M520" s="239"/>
      <c r="N520" s="239"/>
      <c r="O520" s="239"/>
      <c r="P520" s="239"/>
      <c r="Q520" s="239"/>
      <c r="R520" s="239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167"/>
    </row>
    <row r="521" spans="1:29" ht="15.75" customHeight="1">
      <c r="A521" s="177"/>
      <c r="B521" s="239"/>
      <c r="C521" s="260"/>
      <c r="D521" s="278"/>
      <c r="E521" s="260"/>
      <c r="F521" s="239"/>
      <c r="G521" s="239"/>
      <c r="H521" s="239"/>
      <c r="I521" s="239"/>
      <c r="J521" s="239"/>
      <c r="K521" s="239"/>
      <c r="L521" s="240"/>
      <c r="M521" s="239"/>
      <c r="N521" s="239"/>
      <c r="O521" s="239"/>
      <c r="P521" s="239"/>
      <c r="Q521" s="239"/>
      <c r="R521" s="239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167"/>
    </row>
    <row r="522" spans="1:29" ht="15.75" customHeight="1">
      <c r="A522" s="177"/>
      <c r="B522" s="239"/>
      <c r="C522" s="260"/>
      <c r="D522" s="278"/>
      <c r="E522" s="260"/>
      <c r="F522" s="239"/>
      <c r="G522" s="239"/>
      <c r="H522" s="239"/>
      <c r="I522" s="239"/>
      <c r="J522" s="239"/>
      <c r="K522" s="239"/>
      <c r="L522" s="240"/>
      <c r="M522" s="239"/>
      <c r="N522" s="239"/>
      <c r="O522" s="239"/>
      <c r="P522" s="239"/>
      <c r="Q522" s="239"/>
      <c r="R522" s="239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167"/>
    </row>
    <row r="523" spans="1:29" ht="15.75" customHeight="1">
      <c r="A523" s="177"/>
      <c r="B523" s="239"/>
      <c r="C523" s="260"/>
      <c r="D523" s="278"/>
      <c r="E523" s="260"/>
      <c r="F523" s="239"/>
      <c r="G523" s="239"/>
      <c r="H523" s="239"/>
      <c r="I523" s="239"/>
      <c r="J523" s="239"/>
      <c r="K523" s="239"/>
      <c r="L523" s="240"/>
      <c r="M523" s="239"/>
      <c r="N523" s="239"/>
      <c r="O523" s="239"/>
      <c r="P523" s="239"/>
      <c r="Q523" s="239"/>
      <c r="R523" s="239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167"/>
    </row>
    <row r="524" spans="1:29" ht="15.75" customHeight="1">
      <c r="A524" s="177"/>
      <c r="B524" s="239"/>
      <c r="C524" s="260"/>
      <c r="D524" s="278"/>
      <c r="E524" s="260"/>
      <c r="F524" s="239"/>
      <c r="G524" s="239"/>
      <c r="H524" s="239"/>
      <c r="I524" s="239"/>
      <c r="J524" s="239"/>
      <c r="K524" s="239"/>
      <c r="L524" s="240"/>
      <c r="M524" s="239"/>
      <c r="N524" s="239"/>
      <c r="O524" s="239"/>
      <c r="P524" s="239"/>
      <c r="Q524" s="239"/>
      <c r="R524" s="239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167"/>
    </row>
    <row r="525" spans="1:29" ht="15.75" customHeight="1">
      <c r="A525" s="177"/>
      <c r="B525" s="239"/>
      <c r="C525" s="260"/>
      <c r="D525" s="278"/>
      <c r="E525" s="260"/>
      <c r="F525" s="239"/>
      <c r="G525" s="239"/>
      <c r="H525" s="239"/>
      <c r="I525" s="239"/>
      <c r="J525" s="239"/>
      <c r="K525" s="239"/>
      <c r="L525" s="240"/>
      <c r="M525" s="239"/>
      <c r="N525" s="239"/>
      <c r="O525" s="239"/>
      <c r="P525" s="239"/>
      <c r="Q525" s="239"/>
      <c r="R525" s="239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167"/>
    </row>
    <row r="526" spans="1:29" ht="15.75" customHeight="1">
      <c r="A526" s="177"/>
      <c r="B526" s="239"/>
      <c r="C526" s="260"/>
      <c r="D526" s="278"/>
      <c r="E526" s="260"/>
      <c r="F526" s="239"/>
      <c r="G526" s="239"/>
      <c r="H526" s="239"/>
      <c r="I526" s="239"/>
      <c r="J526" s="239"/>
      <c r="K526" s="239"/>
      <c r="L526" s="240"/>
      <c r="M526" s="239"/>
      <c r="N526" s="239"/>
      <c r="O526" s="239"/>
      <c r="P526" s="239"/>
      <c r="Q526" s="239"/>
      <c r="R526" s="239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167"/>
    </row>
    <row r="527" spans="1:29" ht="15.75" customHeight="1">
      <c r="A527" s="177"/>
      <c r="B527" s="239"/>
      <c r="C527" s="260"/>
      <c r="D527" s="278"/>
      <c r="E527" s="260"/>
      <c r="F527" s="239"/>
      <c r="G527" s="239"/>
      <c r="H527" s="239"/>
      <c r="I527" s="239"/>
      <c r="J527" s="239"/>
      <c r="K527" s="239"/>
      <c r="L527" s="240"/>
      <c r="M527" s="239"/>
      <c r="N527" s="239"/>
      <c r="O527" s="239"/>
      <c r="P527" s="239"/>
      <c r="Q527" s="239"/>
      <c r="R527" s="239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167"/>
    </row>
    <row r="528" spans="1:29" ht="15.75" customHeight="1">
      <c r="A528" s="177"/>
      <c r="B528" s="239"/>
      <c r="C528" s="260"/>
      <c r="D528" s="278"/>
      <c r="E528" s="260"/>
      <c r="F528" s="239"/>
      <c r="G528" s="239"/>
      <c r="H528" s="239"/>
      <c r="I528" s="239"/>
      <c r="J528" s="239"/>
      <c r="K528" s="239"/>
      <c r="L528" s="240"/>
      <c r="M528" s="239"/>
      <c r="N528" s="239"/>
      <c r="O528" s="239"/>
      <c r="P528" s="239"/>
      <c r="Q528" s="239"/>
      <c r="R528" s="239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167"/>
    </row>
    <row r="529" spans="1:29" ht="15.75" customHeight="1">
      <c r="A529" s="177"/>
      <c r="B529" s="239"/>
      <c r="C529" s="260"/>
      <c r="D529" s="278"/>
      <c r="E529" s="260"/>
      <c r="F529" s="239"/>
      <c r="G529" s="239"/>
      <c r="H529" s="239"/>
      <c r="I529" s="239"/>
      <c r="J529" s="239"/>
      <c r="K529" s="239"/>
      <c r="L529" s="240"/>
      <c r="M529" s="239"/>
      <c r="N529" s="239"/>
      <c r="O529" s="239"/>
      <c r="P529" s="239"/>
      <c r="Q529" s="239"/>
      <c r="R529" s="239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167"/>
    </row>
    <row r="530" spans="1:29" ht="15.75" customHeight="1">
      <c r="A530" s="177"/>
      <c r="B530" s="239"/>
      <c r="C530" s="260"/>
      <c r="D530" s="278"/>
      <c r="E530" s="260"/>
      <c r="F530" s="239"/>
      <c r="G530" s="239"/>
      <c r="H530" s="239"/>
      <c r="I530" s="239"/>
      <c r="J530" s="239"/>
      <c r="K530" s="239"/>
      <c r="L530" s="240"/>
      <c r="M530" s="239"/>
      <c r="N530" s="239"/>
      <c r="O530" s="239"/>
      <c r="P530" s="239"/>
      <c r="Q530" s="239"/>
      <c r="R530" s="239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167"/>
    </row>
    <row r="531" spans="1:29" ht="15.75" customHeight="1">
      <c r="A531" s="177"/>
      <c r="B531" s="239"/>
      <c r="C531" s="260"/>
      <c r="D531" s="278"/>
      <c r="E531" s="260"/>
      <c r="F531" s="239"/>
      <c r="G531" s="239"/>
      <c r="H531" s="239"/>
      <c r="I531" s="239"/>
      <c r="J531" s="239"/>
      <c r="K531" s="239"/>
      <c r="L531" s="240"/>
      <c r="M531" s="239"/>
      <c r="N531" s="239"/>
      <c r="O531" s="239"/>
      <c r="P531" s="239"/>
      <c r="Q531" s="239"/>
      <c r="R531" s="239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167"/>
    </row>
    <row r="532" spans="1:29" ht="15.75" customHeight="1">
      <c r="A532" s="177"/>
      <c r="B532" s="239"/>
      <c r="C532" s="260"/>
      <c r="D532" s="278"/>
      <c r="E532" s="260"/>
      <c r="F532" s="239"/>
      <c r="G532" s="239"/>
      <c r="H532" s="239"/>
      <c r="I532" s="239"/>
      <c r="J532" s="239"/>
      <c r="K532" s="239"/>
      <c r="L532" s="240"/>
      <c r="M532" s="239"/>
      <c r="N532" s="239"/>
      <c r="O532" s="239"/>
      <c r="P532" s="239"/>
      <c r="Q532" s="239"/>
      <c r="R532" s="239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167"/>
    </row>
    <row r="533" spans="1:29" ht="15.75" customHeight="1">
      <c r="A533" s="177"/>
      <c r="B533" s="239"/>
      <c r="C533" s="260"/>
      <c r="D533" s="278"/>
      <c r="E533" s="260"/>
      <c r="F533" s="239"/>
      <c r="G533" s="239"/>
      <c r="H533" s="239"/>
      <c r="I533" s="239"/>
      <c r="J533" s="239"/>
      <c r="K533" s="239"/>
      <c r="L533" s="240"/>
      <c r="M533" s="239"/>
      <c r="N533" s="239"/>
      <c r="O533" s="239"/>
      <c r="P533" s="239"/>
      <c r="Q533" s="239"/>
      <c r="R533" s="239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167"/>
    </row>
    <row r="534" spans="1:29" ht="15.75" customHeight="1">
      <c r="A534" s="177"/>
      <c r="B534" s="239"/>
      <c r="C534" s="260"/>
      <c r="D534" s="278"/>
      <c r="E534" s="260"/>
      <c r="F534" s="239"/>
      <c r="G534" s="239"/>
      <c r="H534" s="239"/>
      <c r="I534" s="239"/>
      <c r="J534" s="239"/>
      <c r="K534" s="239"/>
      <c r="L534" s="240"/>
      <c r="M534" s="239"/>
      <c r="N534" s="239"/>
      <c r="O534" s="239"/>
      <c r="P534" s="239"/>
      <c r="Q534" s="239"/>
      <c r="R534" s="239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167"/>
    </row>
    <row r="535" spans="1:29" ht="15.75" customHeight="1">
      <c r="A535" s="177"/>
      <c r="B535" s="239"/>
      <c r="C535" s="260"/>
      <c r="D535" s="278"/>
      <c r="E535" s="260"/>
      <c r="F535" s="239"/>
      <c r="G535" s="239"/>
      <c r="H535" s="239"/>
      <c r="I535" s="239"/>
      <c r="J535" s="239"/>
      <c r="K535" s="239"/>
      <c r="L535" s="240"/>
      <c r="M535" s="239"/>
      <c r="N535" s="239"/>
      <c r="O535" s="239"/>
      <c r="P535" s="239"/>
      <c r="Q535" s="239"/>
      <c r="R535" s="239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167"/>
    </row>
    <row r="536" spans="1:29" ht="15.75" customHeight="1">
      <c r="A536" s="177"/>
      <c r="B536" s="239"/>
      <c r="C536" s="260"/>
      <c r="D536" s="278"/>
      <c r="E536" s="260"/>
      <c r="F536" s="239"/>
      <c r="G536" s="239"/>
      <c r="H536" s="239"/>
      <c r="I536" s="239"/>
      <c r="J536" s="239"/>
      <c r="K536" s="239"/>
      <c r="L536" s="240"/>
      <c r="M536" s="239"/>
      <c r="N536" s="239"/>
      <c r="O536" s="239"/>
      <c r="P536" s="239"/>
      <c r="Q536" s="239"/>
      <c r="R536" s="239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167"/>
    </row>
    <row r="537" spans="1:29" ht="15.75" customHeight="1">
      <c r="A537" s="177"/>
      <c r="B537" s="239"/>
      <c r="C537" s="260"/>
      <c r="D537" s="278"/>
      <c r="E537" s="260"/>
      <c r="F537" s="239"/>
      <c r="G537" s="239"/>
      <c r="H537" s="239"/>
      <c r="I537" s="239"/>
      <c r="J537" s="239"/>
      <c r="K537" s="239"/>
      <c r="L537" s="240"/>
      <c r="M537" s="239"/>
      <c r="N537" s="239"/>
      <c r="O537" s="239"/>
      <c r="P537" s="239"/>
      <c r="Q537" s="239"/>
      <c r="R537" s="239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167"/>
    </row>
    <row r="538" spans="1:29" ht="15.75" customHeight="1">
      <c r="A538" s="177"/>
      <c r="B538" s="239"/>
      <c r="C538" s="260"/>
      <c r="D538" s="278"/>
      <c r="E538" s="260"/>
      <c r="F538" s="239"/>
      <c r="G538" s="239"/>
      <c r="H538" s="239"/>
      <c r="I538" s="239"/>
      <c r="J538" s="239"/>
      <c r="K538" s="239"/>
      <c r="L538" s="240"/>
      <c r="M538" s="239"/>
      <c r="N538" s="239"/>
      <c r="O538" s="239"/>
      <c r="P538" s="239"/>
      <c r="Q538" s="239"/>
      <c r="R538" s="239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167"/>
    </row>
    <row r="539" spans="1:29" ht="15.75" customHeight="1">
      <c r="A539" s="177"/>
      <c r="B539" s="239"/>
      <c r="C539" s="260"/>
      <c r="D539" s="278"/>
      <c r="E539" s="260"/>
      <c r="F539" s="239"/>
      <c r="G539" s="239"/>
      <c r="H539" s="239"/>
      <c r="I539" s="239"/>
      <c r="J539" s="239"/>
      <c r="K539" s="239"/>
      <c r="L539" s="240"/>
      <c r="M539" s="239"/>
      <c r="N539" s="239"/>
      <c r="O539" s="239"/>
      <c r="P539" s="239"/>
      <c r="Q539" s="239"/>
      <c r="R539" s="239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167"/>
    </row>
    <row r="540" spans="1:29" ht="15.75" customHeight="1">
      <c r="A540" s="177"/>
      <c r="B540" s="239"/>
      <c r="C540" s="260"/>
      <c r="D540" s="278"/>
      <c r="E540" s="260"/>
      <c r="F540" s="239"/>
      <c r="G540" s="239"/>
      <c r="H540" s="239"/>
      <c r="I540" s="239"/>
      <c r="J540" s="239"/>
      <c r="K540" s="239"/>
      <c r="L540" s="240"/>
      <c r="M540" s="239"/>
      <c r="N540" s="239"/>
      <c r="O540" s="239"/>
      <c r="P540" s="239"/>
      <c r="Q540" s="239"/>
      <c r="R540" s="239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167"/>
    </row>
    <row r="541" spans="1:29" ht="15.75" customHeight="1">
      <c r="A541" s="177"/>
      <c r="B541" s="239"/>
      <c r="C541" s="260"/>
      <c r="D541" s="278"/>
      <c r="E541" s="260"/>
      <c r="F541" s="239"/>
      <c r="G541" s="239"/>
      <c r="H541" s="239"/>
      <c r="I541" s="239"/>
      <c r="J541" s="239"/>
      <c r="K541" s="239"/>
      <c r="L541" s="240"/>
      <c r="M541" s="239"/>
      <c r="N541" s="239"/>
      <c r="O541" s="239"/>
      <c r="P541" s="239"/>
      <c r="Q541" s="239"/>
      <c r="R541" s="239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167"/>
    </row>
    <row r="542" spans="1:29" ht="15.75" customHeight="1">
      <c r="A542" s="177"/>
      <c r="B542" s="239"/>
      <c r="C542" s="260"/>
      <c r="D542" s="278"/>
      <c r="E542" s="260"/>
      <c r="F542" s="239"/>
      <c r="G542" s="239"/>
      <c r="H542" s="239"/>
      <c r="I542" s="239"/>
      <c r="J542" s="239"/>
      <c r="K542" s="239"/>
      <c r="L542" s="240"/>
      <c r="M542" s="239"/>
      <c r="N542" s="239"/>
      <c r="O542" s="239"/>
      <c r="P542" s="239"/>
      <c r="Q542" s="239"/>
      <c r="R542" s="239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167"/>
    </row>
    <row r="543" spans="1:29" ht="15.75" customHeight="1">
      <c r="A543" s="177"/>
      <c r="B543" s="239"/>
      <c r="C543" s="260"/>
      <c r="D543" s="278"/>
      <c r="E543" s="260"/>
      <c r="F543" s="239"/>
      <c r="G543" s="239"/>
      <c r="H543" s="239"/>
      <c r="I543" s="239"/>
      <c r="J543" s="239"/>
      <c r="K543" s="239"/>
      <c r="L543" s="240"/>
      <c r="M543" s="239"/>
      <c r="N543" s="239"/>
      <c r="O543" s="239"/>
      <c r="P543" s="239"/>
      <c r="Q543" s="239"/>
      <c r="R543" s="239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167"/>
    </row>
    <row r="544" spans="1:29" ht="15.75" customHeight="1">
      <c r="A544" s="177"/>
      <c r="B544" s="239"/>
      <c r="C544" s="260"/>
      <c r="D544" s="278"/>
      <c r="E544" s="260"/>
      <c r="F544" s="239"/>
      <c r="G544" s="239"/>
      <c r="H544" s="239"/>
      <c r="I544" s="239"/>
      <c r="J544" s="239"/>
      <c r="K544" s="239"/>
      <c r="L544" s="240"/>
      <c r="M544" s="239"/>
      <c r="N544" s="239"/>
      <c r="O544" s="239"/>
      <c r="P544" s="239"/>
      <c r="Q544" s="239"/>
      <c r="R544" s="239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167"/>
    </row>
    <row r="545" spans="1:29" ht="15.75" customHeight="1">
      <c r="A545" s="177"/>
      <c r="B545" s="239"/>
      <c r="C545" s="260"/>
      <c r="D545" s="278"/>
      <c r="E545" s="260"/>
      <c r="F545" s="239"/>
      <c r="G545" s="239"/>
      <c r="H545" s="239"/>
      <c r="I545" s="239"/>
      <c r="J545" s="239"/>
      <c r="K545" s="239"/>
      <c r="L545" s="240"/>
      <c r="M545" s="239"/>
      <c r="N545" s="239"/>
      <c r="O545" s="239"/>
      <c r="P545" s="239"/>
      <c r="Q545" s="239"/>
      <c r="R545" s="239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167"/>
    </row>
    <row r="546" spans="1:29" ht="15.75" customHeight="1">
      <c r="A546" s="177"/>
      <c r="B546" s="239"/>
      <c r="C546" s="260"/>
      <c r="D546" s="278"/>
      <c r="E546" s="260"/>
      <c r="F546" s="239"/>
      <c r="G546" s="239"/>
      <c r="H546" s="239"/>
      <c r="I546" s="239"/>
      <c r="J546" s="239"/>
      <c r="K546" s="239"/>
      <c r="L546" s="240"/>
      <c r="M546" s="239"/>
      <c r="N546" s="239"/>
      <c r="O546" s="239"/>
      <c r="P546" s="239"/>
      <c r="Q546" s="239"/>
      <c r="R546" s="239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167"/>
    </row>
    <row r="547" spans="1:29" ht="15.75" customHeight="1">
      <c r="A547" s="177"/>
      <c r="B547" s="239"/>
      <c r="C547" s="260"/>
      <c r="D547" s="278"/>
      <c r="E547" s="260"/>
      <c r="F547" s="239"/>
      <c r="G547" s="239"/>
      <c r="H547" s="239"/>
      <c r="I547" s="239"/>
      <c r="J547" s="239"/>
      <c r="K547" s="239"/>
      <c r="L547" s="240"/>
      <c r="M547" s="239"/>
      <c r="N547" s="239"/>
      <c r="O547" s="239"/>
      <c r="P547" s="239"/>
      <c r="Q547" s="239"/>
      <c r="R547" s="239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167"/>
    </row>
    <row r="548" spans="1:29" ht="15.75" customHeight="1">
      <c r="A548" s="177"/>
      <c r="B548" s="239"/>
      <c r="C548" s="260"/>
      <c r="D548" s="278"/>
      <c r="E548" s="260"/>
      <c r="F548" s="239"/>
      <c r="G548" s="239"/>
      <c r="H548" s="239"/>
      <c r="I548" s="239"/>
      <c r="J548" s="239"/>
      <c r="K548" s="239"/>
      <c r="L548" s="240"/>
      <c r="M548" s="239"/>
      <c r="N548" s="239"/>
      <c r="O548" s="239"/>
      <c r="P548" s="239"/>
      <c r="Q548" s="239"/>
      <c r="R548" s="239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167"/>
    </row>
    <row r="549" spans="1:29" ht="15.75" customHeight="1">
      <c r="A549" s="177"/>
      <c r="B549" s="239"/>
      <c r="C549" s="260"/>
      <c r="D549" s="278"/>
      <c r="E549" s="260"/>
      <c r="F549" s="239"/>
      <c r="G549" s="239"/>
      <c r="H549" s="239"/>
      <c r="I549" s="239"/>
      <c r="J549" s="239"/>
      <c r="K549" s="239"/>
      <c r="L549" s="240"/>
      <c r="M549" s="239"/>
      <c r="N549" s="239"/>
      <c r="O549" s="239"/>
      <c r="P549" s="239"/>
      <c r="Q549" s="239"/>
      <c r="R549" s="239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167"/>
    </row>
    <row r="550" spans="1:29" ht="15.75" customHeight="1">
      <c r="A550" s="177"/>
      <c r="B550" s="239"/>
      <c r="C550" s="260"/>
      <c r="D550" s="278"/>
      <c r="E550" s="260"/>
      <c r="F550" s="239"/>
      <c r="G550" s="239"/>
      <c r="H550" s="239"/>
      <c r="I550" s="239"/>
      <c r="J550" s="239"/>
      <c r="K550" s="239"/>
      <c r="L550" s="240"/>
      <c r="M550" s="239"/>
      <c r="N550" s="239"/>
      <c r="O550" s="239"/>
      <c r="P550" s="239"/>
      <c r="Q550" s="239"/>
      <c r="R550" s="239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167"/>
    </row>
    <row r="551" spans="1:29" ht="15.75" customHeight="1">
      <c r="A551" s="177"/>
      <c r="B551" s="239"/>
      <c r="C551" s="260"/>
      <c r="D551" s="278"/>
      <c r="E551" s="260"/>
      <c r="F551" s="239"/>
      <c r="G551" s="239"/>
      <c r="H551" s="239"/>
      <c r="I551" s="239"/>
      <c r="J551" s="239"/>
      <c r="K551" s="239"/>
      <c r="L551" s="240"/>
      <c r="M551" s="239"/>
      <c r="N551" s="239"/>
      <c r="O551" s="239"/>
      <c r="P551" s="239"/>
      <c r="Q551" s="239"/>
      <c r="R551" s="239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167"/>
    </row>
    <row r="552" spans="1:29" ht="15.75" customHeight="1">
      <c r="A552" s="177"/>
      <c r="B552" s="239"/>
      <c r="C552" s="260"/>
      <c r="D552" s="278"/>
      <c r="E552" s="260"/>
      <c r="F552" s="239"/>
      <c r="G552" s="239"/>
      <c r="H552" s="239"/>
      <c r="I552" s="239"/>
      <c r="J552" s="239"/>
      <c r="K552" s="239"/>
      <c r="L552" s="240"/>
      <c r="M552" s="239"/>
      <c r="N552" s="239"/>
      <c r="O552" s="239"/>
      <c r="P552" s="239"/>
      <c r="Q552" s="239"/>
      <c r="R552" s="239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167"/>
    </row>
    <row r="553" spans="1:29" ht="15.75" customHeight="1">
      <c r="A553" s="177"/>
      <c r="B553" s="239"/>
      <c r="C553" s="260"/>
      <c r="D553" s="278"/>
      <c r="E553" s="260"/>
      <c r="F553" s="239"/>
      <c r="G553" s="239"/>
      <c r="H553" s="239"/>
      <c r="I553" s="239"/>
      <c r="J553" s="239"/>
      <c r="K553" s="239"/>
      <c r="L553" s="240"/>
      <c r="M553" s="239"/>
      <c r="N553" s="239"/>
      <c r="O553" s="239"/>
      <c r="P553" s="239"/>
      <c r="Q553" s="239"/>
      <c r="R553" s="239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167"/>
    </row>
    <row r="554" spans="1:29" ht="15.75" customHeight="1">
      <c r="A554" s="177"/>
      <c r="B554" s="239"/>
      <c r="C554" s="260"/>
      <c r="D554" s="278"/>
      <c r="E554" s="260"/>
      <c r="F554" s="239"/>
      <c r="G554" s="239"/>
      <c r="H554" s="239"/>
      <c r="I554" s="239"/>
      <c r="J554" s="239"/>
      <c r="K554" s="239"/>
      <c r="L554" s="240"/>
      <c r="M554" s="239"/>
      <c r="N554" s="239"/>
      <c r="O554" s="239"/>
      <c r="P554" s="239"/>
      <c r="Q554" s="239"/>
      <c r="R554" s="239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167"/>
    </row>
    <row r="555" spans="1:29" ht="15.75" customHeight="1">
      <c r="A555" s="177"/>
      <c r="B555" s="239"/>
      <c r="C555" s="260"/>
      <c r="D555" s="278"/>
      <c r="E555" s="260"/>
      <c r="F555" s="239"/>
      <c r="G555" s="239"/>
      <c r="H555" s="239"/>
      <c r="I555" s="239"/>
      <c r="J555" s="239"/>
      <c r="K555" s="239"/>
      <c r="L555" s="240"/>
      <c r="M555" s="239"/>
      <c r="N555" s="239"/>
      <c r="O555" s="239"/>
      <c r="P555" s="239"/>
      <c r="Q555" s="239"/>
      <c r="R555" s="239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167"/>
    </row>
    <row r="556" spans="1:29" ht="15.75" customHeight="1">
      <c r="A556" s="177"/>
      <c r="B556" s="239"/>
      <c r="C556" s="260"/>
      <c r="D556" s="278"/>
      <c r="E556" s="260"/>
      <c r="F556" s="239"/>
      <c r="G556" s="239"/>
      <c r="H556" s="239"/>
      <c r="I556" s="239"/>
      <c r="J556" s="239"/>
      <c r="K556" s="239"/>
      <c r="L556" s="240"/>
      <c r="M556" s="239"/>
      <c r="N556" s="239"/>
      <c r="O556" s="239"/>
      <c r="P556" s="239"/>
      <c r="Q556" s="239"/>
      <c r="R556" s="239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167"/>
    </row>
    <row r="557" spans="1:29" ht="15.75" customHeight="1">
      <c r="A557" s="177"/>
      <c r="B557" s="239"/>
      <c r="C557" s="260"/>
      <c r="D557" s="278"/>
      <c r="E557" s="260"/>
      <c r="F557" s="239"/>
      <c r="G557" s="239"/>
      <c r="H557" s="239"/>
      <c r="I557" s="239"/>
      <c r="J557" s="239"/>
      <c r="K557" s="239"/>
      <c r="L557" s="240"/>
      <c r="M557" s="239"/>
      <c r="N557" s="239"/>
      <c r="O557" s="239"/>
      <c r="P557" s="239"/>
      <c r="Q557" s="239"/>
      <c r="R557" s="239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167"/>
    </row>
    <row r="558" spans="1:29" ht="15.75" customHeight="1">
      <c r="A558" s="177"/>
      <c r="B558" s="239"/>
      <c r="C558" s="260"/>
      <c r="D558" s="278"/>
      <c r="E558" s="260"/>
      <c r="F558" s="239"/>
      <c r="G558" s="239"/>
      <c r="H558" s="239"/>
      <c r="I558" s="239"/>
      <c r="J558" s="239"/>
      <c r="K558" s="239"/>
      <c r="L558" s="240"/>
      <c r="M558" s="239"/>
      <c r="N558" s="239"/>
      <c r="O558" s="239"/>
      <c r="P558" s="239"/>
      <c r="Q558" s="239"/>
      <c r="R558" s="239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167"/>
    </row>
    <row r="559" spans="1:29" ht="15.75" customHeight="1">
      <c r="A559" s="177"/>
      <c r="B559" s="239"/>
      <c r="C559" s="260"/>
      <c r="D559" s="278"/>
      <c r="E559" s="260"/>
      <c r="F559" s="239"/>
      <c r="G559" s="239"/>
      <c r="H559" s="239"/>
      <c r="I559" s="239"/>
      <c r="J559" s="239"/>
      <c r="K559" s="239"/>
      <c r="L559" s="240"/>
      <c r="M559" s="239"/>
      <c r="N559" s="239"/>
      <c r="O559" s="239"/>
      <c r="P559" s="239"/>
      <c r="Q559" s="239"/>
      <c r="R559" s="239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167"/>
    </row>
    <row r="560" spans="1:29" ht="15.75" customHeight="1">
      <c r="A560" s="177"/>
      <c r="B560" s="239"/>
      <c r="C560" s="260"/>
      <c r="D560" s="278"/>
      <c r="E560" s="260"/>
      <c r="F560" s="239"/>
      <c r="G560" s="239"/>
      <c r="H560" s="239"/>
      <c r="I560" s="239"/>
      <c r="J560" s="239"/>
      <c r="K560" s="239"/>
      <c r="L560" s="240"/>
      <c r="M560" s="239"/>
      <c r="N560" s="239"/>
      <c r="O560" s="239"/>
      <c r="P560" s="239"/>
      <c r="Q560" s="239"/>
      <c r="R560" s="239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167"/>
    </row>
    <row r="561" spans="1:29" ht="15.75" customHeight="1">
      <c r="A561" s="177"/>
      <c r="B561" s="239"/>
      <c r="C561" s="260"/>
      <c r="D561" s="278"/>
      <c r="E561" s="260"/>
      <c r="F561" s="239"/>
      <c r="G561" s="239"/>
      <c r="H561" s="239"/>
      <c r="I561" s="239"/>
      <c r="J561" s="239"/>
      <c r="K561" s="239"/>
      <c r="L561" s="240"/>
      <c r="M561" s="239"/>
      <c r="N561" s="239"/>
      <c r="O561" s="239"/>
      <c r="P561" s="239"/>
      <c r="Q561" s="239"/>
      <c r="R561" s="239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167"/>
    </row>
    <row r="562" spans="1:29" ht="15.75" customHeight="1">
      <c r="A562" s="177"/>
      <c r="B562" s="239"/>
      <c r="C562" s="260"/>
      <c r="D562" s="278"/>
      <c r="E562" s="260"/>
      <c r="F562" s="239"/>
      <c r="G562" s="239"/>
      <c r="H562" s="239"/>
      <c r="I562" s="239"/>
      <c r="J562" s="239"/>
      <c r="K562" s="239"/>
      <c r="L562" s="240"/>
      <c r="M562" s="239"/>
      <c r="N562" s="239"/>
      <c r="O562" s="239"/>
      <c r="P562" s="239"/>
      <c r="Q562" s="239"/>
      <c r="R562" s="239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167"/>
    </row>
    <row r="563" spans="1:29" ht="15.75" customHeight="1">
      <c r="A563" s="177"/>
      <c r="B563" s="239"/>
      <c r="C563" s="260"/>
      <c r="D563" s="278"/>
      <c r="E563" s="260"/>
      <c r="F563" s="239"/>
      <c r="G563" s="239"/>
      <c r="H563" s="239"/>
      <c r="I563" s="239"/>
      <c r="J563" s="239"/>
      <c r="K563" s="239"/>
      <c r="L563" s="240"/>
      <c r="M563" s="239"/>
      <c r="N563" s="239"/>
      <c r="O563" s="239"/>
      <c r="P563" s="239"/>
      <c r="Q563" s="239"/>
      <c r="R563" s="239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167"/>
    </row>
    <row r="564" spans="1:29" ht="15.75" customHeight="1">
      <c r="A564" s="177"/>
      <c r="B564" s="239"/>
      <c r="C564" s="260"/>
      <c r="D564" s="278"/>
      <c r="E564" s="260"/>
      <c r="F564" s="239"/>
      <c r="G564" s="239"/>
      <c r="H564" s="239"/>
      <c r="I564" s="239"/>
      <c r="J564" s="239"/>
      <c r="K564" s="239"/>
      <c r="L564" s="240"/>
      <c r="M564" s="239"/>
      <c r="N564" s="239"/>
      <c r="O564" s="239"/>
      <c r="P564" s="239"/>
      <c r="Q564" s="239"/>
      <c r="R564" s="239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167"/>
    </row>
    <row r="565" spans="1:29" ht="15.75" customHeight="1">
      <c r="A565" s="177"/>
      <c r="B565" s="239"/>
      <c r="C565" s="260"/>
      <c r="D565" s="278"/>
      <c r="E565" s="260"/>
      <c r="F565" s="239"/>
      <c r="G565" s="239"/>
      <c r="H565" s="239"/>
      <c r="I565" s="239"/>
      <c r="J565" s="239"/>
      <c r="K565" s="239"/>
      <c r="L565" s="240"/>
      <c r="M565" s="239"/>
      <c r="N565" s="239"/>
      <c r="O565" s="239"/>
      <c r="P565" s="239"/>
      <c r="Q565" s="239"/>
      <c r="R565" s="239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167"/>
    </row>
    <row r="566" spans="1:29" ht="15.75" customHeight="1">
      <c r="A566" s="177"/>
      <c r="B566" s="239"/>
      <c r="C566" s="260"/>
      <c r="D566" s="278"/>
      <c r="E566" s="260"/>
      <c r="F566" s="239"/>
      <c r="G566" s="239"/>
      <c r="H566" s="239"/>
      <c r="I566" s="239"/>
      <c r="J566" s="239"/>
      <c r="K566" s="239"/>
      <c r="L566" s="240"/>
      <c r="M566" s="239"/>
      <c r="N566" s="239"/>
      <c r="O566" s="239"/>
      <c r="P566" s="239"/>
      <c r="Q566" s="239"/>
      <c r="R566" s="239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167"/>
    </row>
    <row r="567" spans="1:29" ht="15.75" customHeight="1">
      <c r="A567" s="177"/>
      <c r="B567" s="239"/>
      <c r="C567" s="260"/>
      <c r="D567" s="278"/>
      <c r="E567" s="260"/>
      <c r="F567" s="239"/>
      <c r="G567" s="239"/>
      <c r="H567" s="239"/>
      <c r="I567" s="239"/>
      <c r="J567" s="239"/>
      <c r="K567" s="239"/>
      <c r="L567" s="240"/>
      <c r="M567" s="239"/>
      <c r="N567" s="239"/>
      <c r="O567" s="239"/>
      <c r="P567" s="239"/>
      <c r="Q567" s="239"/>
      <c r="R567" s="239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167"/>
    </row>
    <row r="568" spans="1:29" ht="15.75" customHeight="1">
      <c r="A568" s="177"/>
      <c r="B568" s="239"/>
      <c r="C568" s="260"/>
      <c r="D568" s="278"/>
      <c r="E568" s="260"/>
      <c r="F568" s="239"/>
      <c r="G568" s="239"/>
      <c r="H568" s="239"/>
      <c r="I568" s="239"/>
      <c r="J568" s="239"/>
      <c r="K568" s="239"/>
      <c r="L568" s="240"/>
      <c r="M568" s="239"/>
      <c r="N568" s="239"/>
      <c r="O568" s="239"/>
      <c r="P568" s="239"/>
      <c r="Q568" s="239"/>
      <c r="R568" s="239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167"/>
    </row>
    <row r="569" spans="1:29" ht="15.75" customHeight="1">
      <c r="A569" s="177"/>
      <c r="B569" s="239"/>
      <c r="C569" s="260"/>
      <c r="D569" s="278"/>
      <c r="E569" s="260"/>
      <c r="F569" s="239"/>
      <c r="G569" s="239"/>
      <c r="H569" s="239"/>
      <c r="I569" s="239"/>
      <c r="J569" s="239"/>
      <c r="K569" s="239"/>
      <c r="L569" s="240"/>
      <c r="M569" s="239"/>
      <c r="N569" s="239"/>
      <c r="O569" s="239"/>
      <c r="P569" s="239"/>
      <c r="Q569" s="239"/>
      <c r="R569" s="239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167"/>
    </row>
    <row r="570" spans="1:29" ht="15.75" customHeight="1">
      <c r="A570" s="177"/>
      <c r="B570" s="239"/>
      <c r="C570" s="260"/>
      <c r="D570" s="278"/>
      <c r="E570" s="260"/>
      <c r="F570" s="239"/>
      <c r="G570" s="239"/>
      <c r="H570" s="239"/>
      <c r="I570" s="239"/>
      <c r="J570" s="239"/>
      <c r="K570" s="239"/>
      <c r="L570" s="240"/>
      <c r="M570" s="239"/>
      <c r="N570" s="239"/>
      <c r="O570" s="239"/>
      <c r="P570" s="239"/>
      <c r="Q570" s="239"/>
      <c r="R570" s="239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167"/>
    </row>
    <row r="571" spans="1:29" ht="15.75" customHeight="1">
      <c r="A571" s="177"/>
      <c r="B571" s="239"/>
      <c r="C571" s="260"/>
      <c r="D571" s="278"/>
      <c r="E571" s="260"/>
      <c r="F571" s="239"/>
      <c r="G571" s="239"/>
      <c r="H571" s="239"/>
      <c r="I571" s="239"/>
      <c r="J571" s="239"/>
      <c r="K571" s="239"/>
      <c r="L571" s="240"/>
      <c r="M571" s="239"/>
      <c r="N571" s="239"/>
      <c r="O571" s="239"/>
      <c r="P571" s="239"/>
      <c r="Q571" s="239"/>
      <c r="R571" s="239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167"/>
    </row>
    <row r="572" spans="1:29" ht="15.75" customHeight="1">
      <c r="A572" s="177"/>
      <c r="B572" s="239"/>
      <c r="C572" s="260"/>
      <c r="D572" s="278"/>
      <c r="E572" s="260"/>
      <c r="F572" s="239"/>
      <c r="G572" s="239"/>
      <c r="H572" s="239"/>
      <c r="I572" s="239"/>
      <c r="J572" s="239"/>
      <c r="K572" s="239"/>
      <c r="L572" s="240"/>
      <c r="M572" s="239"/>
      <c r="N572" s="239"/>
      <c r="O572" s="239"/>
      <c r="P572" s="239"/>
      <c r="Q572" s="239"/>
      <c r="R572" s="239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167"/>
    </row>
    <row r="573" spans="1:29" ht="15.75" customHeight="1">
      <c r="A573" s="177"/>
      <c r="B573" s="239"/>
      <c r="C573" s="260"/>
      <c r="D573" s="278"/>
      <c r="E573" s="260"/>
      <c r="F573" s="239"/>
      <c r="G573" s="239"/>
      <c r="H573" s="239"/>
      <c r="I573" s="239"/>
      <c r="J573" s="239"/>
      <c r="K573" s="239"/>
      <c r="L573" s="240"/>
      <c r="M573" s="239"/>
      <c r="N573" s="239"/>
      <c r="O573" s="239"/>
      <c r="P573" s="239"/>
      <c r="Q573" s="239"/>
      <c r="R573" s="239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167"/>
    </row>
    <row r="574" spans="1:29" ht="15.75" customHeight="1">
      <c r="A574" s="177"/>
      <c r="B574" s="239"/>
      <c r="C574" s="260"/>
      <c r="D574" s="278"/>
      <c r="E574" s="260"/>
      <c r="F574" s="239"/>
      <c r="G574" s="239"/>
      <c r="H574" s="239"/>
      <c r="I574" s="239"/>
      <c r="J574" s="239"/>
      <c r="K574" s="239"/>
      <c r="L574" s="240"/>
      <c r="M574" s="239"/>
      <c r="N574" s="239"/>
      <c r="O574" s="239"/>
      <c r="P574" s="239"/>
      <c r="Q574" s="239"/>
      <c r="R574" s="239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167"/>
    </row>
    <row r="575" spans="1:29" ht="15.75" customHeight="1">
      <c r="A575" s="177"/>
      <c r="B575" s="239"/>
      <c r="C575" s="260"/>
      <c r="D575" s="278"/>
      <c r="E575" s="260"/>
      <c r="F575" s="239"/>
      <c r="G575" s="239"/>
      <c r="H575" s="239"/>
      <c r="I575" s="239"/>
      <c r="J575" s="239"/>
      <c r="K575" s="239"/>
      <c r="L575" s="240"/>
      <c r="M575" s="239"/>
      <c r="N575" s="239"/>
      <c r="O575" s="239"/>
      <c r="P575" s="239"/>
      <c r="Q575" s="239"/>
      <c r="R575" s="239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167"/>
    </row>
    <row r="576" spans="1:29" ht="15.75" customHeight="1">
      <c r="A576" s="177"/>
      <c r="B576" s="239"/>
      <c r="C576" s="260"/>
      <c r="D576" s="278"/>
      <c r="E576" s="260"/>
      <c r="F576" s="239"/>
      <c r="G576" s="239"/>
      <c r="H576" s="239"/>
      <c r="I576" s="239"/>
      <c r="J576" s="239"/>
      <c r="K576" s="239"/>
      <c r="L576" s="240"/>
      <c r="M576" s="239"/>
      <c r="N576" s="239"/>
      <c r="O576" s="239"/>
      <c r="P576" s="239"/>
      <c r="Q576" s="239"/>
      <c r="R576" s="239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167"/>
    </row>
    <row r="577" spans="1:29" ht="15.75" customHeight="1">
      <c r="A577" s="177"/>
      <c r="B577" s="239"/>
      <c r="C577" s="260"/>
      <c r="D577" s="278"/>
      <c r="E577" s="260"/>
      <c r="F577" s="239"/>
      <c r="G577" s="239"/>
      <c r="H577" s="239"/>
      <c r="I577" s="239"/>
      <c r="J577" s="239"/>
      <c r="K577" s="239"/>
      <c r="L577" s="240"/>
      <c r="M577" s="239"/>
      <c r="N577" s="239"/>
      <c r="O577" s="239"/>
      <c r="P577" s="239"/>
      <c r="Q577" s="239"/>
      <c r="R577" s="239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167"/>
    </row>
    <row r="578" spans="1:29" ht="15.75" customHeight="1">
      <c r="A578" s="177"/>
      <c r="B578" s="239"/>
      <c r="C578" s="260"/>
      <c r="D578" s="278"/>
      <c r="E578" s="260"/>
      <c r="F578" s="239"/>
      <c r="G578" s="239"/>
      <c r="H578" s="239"/>
      <c r="I578" s="239"/>
      <c r="J578" s="239"/>
      <c r="K578" s="239"/>
      <c r="L578" s="240"/>
      <c r="M578" s="239"/>
      <c r="N578" s="239"/>
      <c r="O578" s="239"/>
      <c r="P578" s="239"/>
      <c r="Q578" s="239"/>
      <c r="R578" s="239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167"/>
    </row>
    <row r="579" spans="1:29" ht="15.75" customHeight="1">
      <c r="A579" s="177"/>
      <c r="B579" s="239"/>
      <c r="C579" s="260"/>
      <c r="D579" s="278"/>
      <c r="E579" s="260"/>
      <c r="F579" s="239"/>
      <c r="G579" s="239"/>
      <c r="H579" s="239"/>
      <c r="I579" s="239"/>
      <c r="J579" s="239"/>
      <c r="K579" s="239"/>
      <c r="L579" s="240"/>
      <c r="M579" s="239"/>
      <c r="N579" s="239"/>
      <c r="O579" s="239"/>
      <c r="P579" s="239"/>
      <c r="Q579" s="239"/>
      <c r="R579" s="239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167"/>
    </row>
    <row r="580" spans="1:29" ht="15.75" customHeight="1">
      <c r="A580" s="177"/>
      <c r="B580" s="239"/>
      <c r="C580" s="260"/>
      <c r="D580" s="278"/>
      <c r="E580" s="260"/>
      <c r="F580" s="239"/>
      <c r="G580" s="239"/>
      <c r="H580" s="239"/>
      <c r="I580" s="239"/>
      <c r="J580" s="239"/>
      <c r="K580" s="239"/>
      <c r="L580" s="240"/>
      <c r="M580" s="239"/>
      <c r="N580" s="239"/>
      <c r="O580" s="239"/>
      <c r="P580" s="239"/>
      <c r="Q580" s="239"/>
      <c r="R580" s="239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167"/>
    </row>
    <row r="581" spans="1:29" ht="15.75" customHeight="1">
      <c r="A581" s="177"/>
      <c r="B581" s="239"/>
      <c r="C581" s="260"/>
      <c r="D581" s="278"/>
      <c r="E581" s="260"/>
      <c r="F581" s="239"/>
      <c r="G581" s="239"/>
      <c r="H581" s="239"/>
      <c r="I581" s="239"/>
      <c r="J581" s="239"/>
      <c r="K581" s="239"/>
      <c r="L581" s="240"/>
      <c r="M581" s="239"/>
      <c r="N581" s="239"/>
      <c r="O581" s="239"/>
      <c r="P581" s="239"/>
      <c r="Q581" s="239"/>
      <c r="R581" s="239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167"/>
    </row>
    <row r="582" spans="1:29" ht="15.75" customHeight="1">
      <c r="A582" s="177"/>
      <c r="B582" s="239"/>
      <c r="C582" s="260"/>
      <c r="D582" s="278"/>
      <c r="E582" s="260"/>
      <c r="F582" s="239"/>
      <c r="G582" s="239"/>
      <c r="H582" s="239"/>
      <c r="I582" s="239"/>
      <c r="J582" s="239"/>
      <c r="K582" s="239"/>
      <c r="L582" s="240"/>
      <c r="M582" s="239"/>
      <c r="N582" s="239"/>
      <c r="O582" s="239"/>
      <c r="P582" s="239"/>
      <c r="Q582" s="239"/>
      <c r="R582" s="239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167"/>
    </row>
    <row r="583" spans="1:29" ht="15.75" customHeight="1">
      <c r="A583" s="177"/>
      <c r="B583" s="239"/>
      <c r="C583" s="260"/>
      <c r="D583" s="278"/>
      <c r="E583" s="260"/>
      <c r="F583" s="239"/>
      <c r="G583" s="239"/>
      <c r="H583" s="239"/>
      <c r="I583" s="239"/>
      <c r="J583" s="239"/>
      <c r="K583" s="239"/>
      <c r="L583" s="240"/>
      <c r="M583" s="239"/>
      <c r="N583" s="239"/>
      <c r="O583" s="239"/>
      <c r="P583" s="239"/>
      <c r="Q583" s="239"/>
      <c r="R583" s="239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167"/>
    </row>
    <row r="584" spans="1:29" ht="15.75" customHeight="1">
      <c r="A584" s="177"/>
      <c r="B584" s="239"/>
      <c r="C584" s="260"/>
      <c r="D584" s="278"/>
      <c r="E584" s="260"/>
      <c r="F584" s="239"/>
      <c r="G584" s="239"/>
      <c r="H584" s="239"/>
      <c r="I584" s="239"/>
      <c r="J584" s="239"/>
      <c r="K584" s="239"/>
      <c r="L584" s="240"/>
      <c r="M584" s="239"/>
      <c r="N584" s="239"/>
      <c r="O584" s="239"/>
      <c r="P584" s="239"/>
      <c r="Q584" s="239"/>
      <c r="R584" s="239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167"/>
    </row>
    <row r="585" spans="1:29" ht="15.75" customHeight="1">
      <c r="A585" s="177"/>
      <c r="B585" s="239"/>
      <c r="C585" s="260"/>
      <c r="D585" s="278"/>
      <c r="E585" s="260"/>
      <c r="F585" s="239"/>
      <c r="G585" s="239"/>
      <c r="H585" s="239"/>
      <c r="I585" s="239"/>
      <c r="J585" s="239"/>
      <c r="K585" s="239"/>
      <c r="L585" s="240"/>
      <c r="M585" s="239"/>
      <c r="N585" s="239"/>
      <c r="O585" s="239"/>
      <c r="P585" s="239"/>
      <c r="Q585" s="239"/>
      <c r="R585" s="239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167"/>
    </row>
    <row r="586" spans="1:29" ht="15.75" customHeight="1">
      <c r="A586" s="177"/>
      <c r="B586" s="239"/>
      <c r="C586" s="260"/>
      <c r="D586" s="278"/>
      <c r="E586" s="260"/>
      <c r="F586" s="239"/>
      <c r="G586" s="239"/>
      <c r="H586" s="239"/>
      <c r="I586" s="239"/>
      <c r="J586" s="239"/>
      <c r="K586" s="239"/>
      <c r="L586" s="240"/>
      <c r="M586" s="239"/>
      <c r="N586" s="239"/>
      <c r="O586" s="239"/>
      <c r="P586" s="239"/>
      <c r="Q586" s="239"/>
      <c r="R586" s="239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167"/>
    </row>
    <row r="587" spans="1:29" ht="15.75" customHeight="1">
      <c r="A587" s="177"/>
      <c r="B587" s="239"/>
      <c r="C587" s="260"/>
      <c r="D587" s="278"/>
      <c r="E587" s="260"/>
      <c r="F587" s="239"/>
      <c r="G587" s="239"/>
      <c r="H587" s="239"/>
      <c r="I587" s="239"/>
      <c r="J587" s="239"/>
      <c r="K587" s="239"/>
      <c r="L587" s="240"/>
      <c r="M587" s="239"/>
      <c r="N587" s="239"/>
      <c r="O587" s="239"/>
      <c r="P587" s="239"/>
      <c r="Q587" s="239"/>
      <c r="R587" s="239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167"/>
    </row>
    <row r="588" spans="1:29" ht="15.75" customHeight="1">
      <c r="A588" s="177"/>
      <c r="B588" s="239"/>
      <c r="C588" s="260"/>
      <c r="D588" s="278"/>
      <c r="E588" s="260"/>
      <c r="F588" s="239"/>
      <c r="G588" s="239"/>
      <c r="H588" s="239"/>
      <c r="I588" s="239"/>
      <c r="J588" s="239"/>
      <c r="K588" s="239"/>
      <c r="L588" s="240"/>
      <c r="M588" s="239"/>
      <c r="N588" s="239"/>
      <c r="O588" s="239"/>
      <c r="P588" s="239"/>
      <c r="Q588" s="239"/>
      <c r="R588" s="239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167"/>
    </row>
    <row r="589" spans="1:29" ht="15.75" customHeight="1">
      <c r="A589" s="177"/>
      <c r="B589" s="239"/>
      <c r="C589" s="260"/>
      <c r="D589" s="278"/>
      <c r="E589" s="260"/>
      <c r="F589" s="239"/>
      <c r="G589" s="239"/>
      <c r="H589" s="239"/>
      <c r="I589" s="239"/>
      <c r="J589" s="239"/>
      <c r="K589" s="239"/>
      <c r="L589" s="240"/>
      <c r="M589" s="239"/>
      <c r="N589" s="239"/>
      <c r="O589" s="239"/>
      <c r="P589" s="239"/>
      <c r="Q589" s="239"/>
      <c r="R589" s="239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167"/>
    </row>
    <row r="590" spans="1:29" ht="15.75" customHeight="1">
      <c r="A590" s="177"/>
      <c r="B590" s="239"/>
      <c r="C590" s="260"/>
      <c r="D590" s="278"/>
      <c r="E590" s="260"/>
      <c r="F590" s="239"/>
      <c r="G590" s="239"/>
      <c r="H590" s="239"/>
      <c r="I590" s="239"/>
      <c r="J590" s="239"/>
      <c r="K590" s="239"/>
      <c r="L590" s="240"/>
      <c r="M590" s="239"/>
      <c r="N590" s="239"/>
      <c r="O590" s="239"/>
      <c r="P590" s="239"/>
      <c r="Q590" s="239"/>
      <c r="R590" s="239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167"/>
    </row>
    <row r="591" spans="1:29" ht="15.75" customHeight="1">
      <c r="A591" s="177"/>
      <c r="B591" s="239"/>
      <c r="C591" s="260"/>
      <c r="D591" s="278"/>
      <c r="E591" s="260"/>
      <c r="F591" s="239"/>
      <c r="G591" s="239"/>
      <c r="H591" s="239"/>
      <c r="I591" s="239"/>
      <c r="J591" s="239"/>
      <c r="K591" s="239"/>
      <c r="L591" s="240"/>
      <c r="M591" s="239"/>
      <c r="N591" s="239"/>
      <c r="O591" s="239"/>
      <c r="P591" s="239"/>
      <c r="Q591" s="239"/>
      <c r="R591" s="239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167"/>
    </row>
    <row r="592" spans="1:29" ht="15.75" customHeight="1">
      <c r="A592" s="177"/>
      <c r="B592" s="239"/>
      <c r="C592" s="260"/>
      <c r="D592" s="278"/>
      <c r="E592" s="260"/>
      <c r="F592" s="239"/>
      <c r="G592" s="239"/>
      <c r="H592" s="239"/>
      <c r="I592" s="239"/>
      <c r="J592" s="239"/>
      <c r="K592" s="239"/>
      <c r="L592" s="240"/>
      <c r="M592" s="239"/>
      <c r="N592" s="239"/>
      <c r="O592" s="239"/>
      <c r="P592" s="239"/>
      <c r="Q592" s="239"/>
      <c r="R592" s="239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167"/>
    </row>
    <row r="593" spans="1:29" ht="15.75" customHeight="1">
      <c r="A593" s="177"/>
      <c r="B593" s="239"/>
      <c r="C593" s="260"/>
      <c r="D593" s="278"/>
      <c r="E593" s="260"/>
      <c r="F593" s="239"/>
      <c r="G593" s="239"/>
      <c r="H593" s="239"/>
      <c r="I593" s="239"/>
      <c r="J593" s="239"/>
      <c r="K593" s="239"/>
      <c r="L593" s="240"/>
      <c r="M593" s="239"/>
      <c r="N593" s="239"/>
      <c r="O593" s="239"/>
      <c r="P593" s="239"/>
      <c r="Q593" s="239"/>
      <c r="R593" s="239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167"/>
    </row>
    <row r="594" spans="1:29" ht="15.75" customHeight="1">
      <c r="A594" s="177"/>
      <c r="B594" s="239"/>
      <c r="C594" s="260"/>
      <c r="D594" s="278"/>
      <c r="E594" s="260"/>
      <c r="F594" s="239"/>
      <c r="G594" s="239"/>
      <c r="H594" s="239"/>
      <c r="I594" s="239"/>
      <c r="J594" s="239"/>
      <c r="K594" s="239"/>
      <c r="L594" s="240"/>
      <c r="M594" s="239"/>
      <c r="N594" s="239"/>
      <c r="O594" s="239"/>
      <c r="P594" s="239"/>
      <c r="Q594" s="239"/>
      <c r="R594" s="239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167"/>
    </row>
    <row r="595" spans="1:29" ht="15.75" customHeight="1">
      <c r="A595" s="177"/>
      <c r="B595" s="239"/>
      <c r="C595" s="260"/>
      <c r="D595" s="278"/>
      <c r="E595" s="260"/>
      <c r="F595" s="239"/>
      <c r="G595" s="239"/>
      <c r="H595" s="239"/>
      <c r="I595" s="239"/>
      <c r="J595" s="239"/>
      <c r="K595" s="239"/>
      <c r="L595" s="240"/>
      <c r="M595" s="239"/>
      <c r="N595" s="239"/>
      <c r="O595" s="239"/>
      <c r="P595" s="239"/>
      <c r="Q595" s="239"/>
      <c r="R595" s="239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167"/>
    </row>
    <row r="596" spans="1:29" ht="15.75" customHeight="1">
      <c r="A596" s="177"/>
      <c r="B596" s="239"/>
      <c r="C596" s="260"/>
      <c r="D596" s="278"/>
      <c r="E596" s="260"/>
      <c r="F596" s="239"/>
      <c r="G596" s="239"/>
      <c r="H596" s="239"/>
      <c r="I596" s="239"/>
      <c r="J596" s="239"/>
      <c r="K596" s="239"/>
      <c r="L596" s="240"/>
      <c r="M596" s="239"/>
      <c r="N596" s="239"/>
      <c r="O596" s="239"/>
      <c r="P596" s="239"/>
      <c r="Q596" s="239"/>
      <c r="R596" s="239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167"/>
    </row>
    <row r="597" spans="1:29" ht="15.75" customHeight="1">
      <c r="A597" s="177"/>
      <c r="B597" s="239"/>
      <c r="C597" s="260"/>
      <c r="D597" s="278"/>
      <c r="E597" s="260"/>
      <c r="F597" s="239"/>
      <c r="G597" s="239"/>
      <c r="H597" s="239"/>
      <c r="I597" s="239"/>
      <c r="J597" s="239"/>
      <c r="K597" s="239"/>
      <c r="L597" s="240"/>
      <c r="M597" s="239"/>
      <c r="N597" s="239"/>
      <c r="O597" s="239"/>
      <c r="P597" s="239"/>
      <c r="Q597" s="239"/>
      <c r="R597" s="239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167"/>
    </row>
    <row r="598" spans="1:29" ht="15.75" customHeight="1">
      <c r="A598" s="177"/>
      <c r="B598" s="239"/>
      <c r="C598" s="260"/>
      <c r="D598" s="278"/>
      <c r="E598" s="260"/>
      <c r="F598" s="239"/>
      <c r="G598" s="239"/>
      <c r="H598" s="239"/>
      <c r="I598" s="239"/>
      <c r="J598" s="239"/>
      <c r="K598" s="239"/>
      <c r="L598" s="240"/>
      <c r="M598" s="239"/>
      <c r="N598" s="239"/>
      <c r="O598" s="239"/>
      <c r="P598" s="239"/>
      <c r="Q598" s="239"/>
      <c r="R598" s="239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167"/>
    </row>
    <row r="599" spans="1:29" ht="15.75" customHeight="1">
      <c r="A599" s="177"/>
      <c r="B599" s="239"/>
      <c r="C599" s="260"/>
      <c r="D599" s="278"/>
      <c r="E599" s="260"/>
      <c r="F599" s="239"/>
      <c r="G599" s="239"/>
      <c r="H599" s="239"/>
      <c r="I599" s="239"/>
      <c r="J599" s="239"/>
      <c r="K599" s="239"/>
      <c r="L599" s="240"/>
      <c r="M599" s="239"/>
      <c r="N599" s="239"/>
      <c r="O599" s="239"/>
      <c r="P599" s="239"/>
      <c r="Q599" s="239"/>
      <c r="R599" s="239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167"/>
    </row>
    <row r="600" spans="1:29" ht="15.75" customHeight="1">
      <c r="A600" s="177"/>
      <c r="B600" s="239"/>
      <c r="C600" s="260"/>
      <c r="D600" s="278"/>
      <c r="E600" s="260"/>
      <c r="F600" s="239"/>
      <c r="G600" s="239"/>
      <c r="H600" s="239"/>
      <c r="I600" s="239"/>
      <c r="J600" s="239"/>
      <c r="K600" s="239"/>
      <c r="L600" s="240"/>
      <c r="M600" s="239"/>
      <c r="N600" s="239"/>
      <c r="O600" s="239"/>
      <c r="P600" s="239"/>
      <c r="Q600" s="239"/>
      <c r="R600" s="239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167"/>
    </row>
    <row r="601" spans="1:29" ht="15.75" customHeight="1">
      <c r="A601" s="177"/>
      <c r="B601" s="239"/>
      <c r="C601" s="260"/>
      <c r="D601" s="278"/>
      <c r="E601" s="260"/>
      <c r="F601" s="239"/>
      <c r="G601" s="239"/>
      <c r="H601" s="239"/>
      <c r="I601" s="239"/>
      <c r="J601" s="239"/>
      <c r="K601" s="239"/>
      <c r="L601" s="240"/>
      <c r="M601" s="239"/>
      <c r="N601" s="239"/>
      <c r="O601" s="239"/>
      <c r="P601" s="239"/>
      <c r="Q601" s="239"/>
      <c r="R601" s="239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167"/>
    </row>
    <row r="602" spans="1:29" ht="15.75" customHeight="1">
      <c r="A602" s="177"/>
      <c r="B602" s="239"/>
      <c r="C602" s="260"/>
      <c r="D602" s="278"/>
      <c r="E602" s="260"/>
      <c r="F602" s="239"/>
      <c r="G602" s="239"/>
      <c r="H602" s="239"/>
      <c r="I602" s="239"/>
      <c r="J602" s="239"/>
      <c r="K602" s="239"/>
      <c r="L602" s="240"/>
      <c r="M602" s="239"/>
      <c r="N602" s="239"/>
      <c r="O602" s="239"/>
      <c r="P602" s="239"/>
      <c r="Q602" s="239"/>
      <c r="R602" s="239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167"/>
    </row>
    <row r="603" spans="1:29" ht="15.75" customHeight="1">
      <c r="A603" s="177"/>
      <c r="B603" s="239"/>
      <c r="C603" s="260"/>
      <c r="D603" s="278"/>
      <c r="E603" s="260"/>
      <c r="F603" s="239"/>
      <c r="G603" s="239"/>
      <c r="H603" s="239"/>
      <c r="I603" s="239"/>
      <c r="J603" s="239"/>
      <c r="K603" s="239"/>
      <c r="L603" s="240"/>
      <c r="M603" s="239"/>
      <c r="N603" s="239"/>
      <c r="O603" s="239"/>
      <c r="P603" s="239"/>
      <c r="Q603" s="239"/>
      <c r="R603" s="239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167"/>
    </row>
    <row r="604" spans="1:29" ht="15.75" customHeight="1">
      <c r="A604" s="177"/>
      <c r="B604" s="239"/>
      <c r="C604" s="260"/>
      <c r="D604" s="278"/>
      <c r="E604" s="260"/>
      <c r="F604" s="239"/>
      <c r="G604" s="239"/>
      <c r="H604" s="239"/>
      <c r="I604" s="239"/>
      <c r="J604" s="239"/>
      <c r="K604" s="239"/>
      <c r="L604" s="240"/>
      <c r="M604" s="239"/>
      <c r="N604" s="239"/>
      <c r="O604" s="239"/>
      <c r="P604" s="239"/>
      <c r="Q604" s="239"/>
      <c r="R604" s="239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167"/>
    </row>
    <row r="605" spans="1:29" ht="15.75" customHeight="1">
      <c r="A605" s="177"/>
      <c r="B605" s="239"/>
      <c r="C605" s="260"/>
      <c r="D605" s="278"/>
      <c r="E605" s="260"/>
      <c r="F605" s="239"/>
      <c r="G605" s="239"/>
      <c r="H605" s="239"/>
      <c r="I605" s="239"/>
      <c r="J605" s="239"/>
      <c r="K605" s="239"/>
      <c r="L605" s="240"/>
      <c r="M605" s="239"/>
      <c r="N605" s="239"/>
      <c r="O605" s="239"/>
      <c r="P605" s="239"/>
      <c r="Q605" s="239"/>
      <c r="R605" s="239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167"/>
    </row>
    <row r="606" spans="1:29" ht="15.75" customHeight="1">
      <c r="A606" s="177"/>
      <c r="B606" s="239"/>
      <c r="C606" s="260"/>
      <c r="D606" s="278"/>
      <c r="E606" s="260"/>
      <c r="F606" s="239"/>
      <c r="G606" s="239"/>
      <c r="H606" s="239"/>
      <c r="I606" s="239"/>
      <c r="J606" s="239"/>
      <c r="K606" s="239"/>
      <c r="L606" s="240"/>
      <c r="M606" s="239"/>
      <c r="N606" s="239"/>
      <c r="O606" s="239"/>
      <c r="P606" s="239"/>
      <c r="Q606" s="239"/>
      <c r="R606" s="239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167"/>
    </row>
    <row r="607" spans="1:29" ht="15.75" customHeight="1">
      <c r="A607" s="177"/>
      <c r="B607" s="239"/>
      <c r="C607" s="260"/>
      <c r="D607" s="278"/>
      <c r="E607" s="260"/>
      <c r="F607" s="239"/>
      <c r="G607" s="239"/>
      <c r="H607" s="239"/>
      <c r="I607" s="239"/>
      <c r="J607" s="239"/>
      <c r="K607" s="239"/>
      <c r="L607" s="240"/>
      <c r="M607" s="239"/>
      <c r="N607" s="239"/>
      <c r="O607" s="239"/>
      <c r="P607" s="239"/>
      <c r="Q607" s="239"/>
      <c r="R607" s="239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167"/>
    </row>
    <row r="608" spans="1:29" ht="15.75" customHeight="1">
      <c r="A608" s="177"/>
      <c r="B608" s="239"/>
      <c r="C608" s="260"/>
      <c r="D608" s="278"/>
      <c r="E608" s="260"/>
      <c r="F608" s="239"/>
      <c r="G608" s="239"/>
      <c r="H608" s="239"/>
      <c r="I608" s="239"/>
      <c r="J608" s="239"/>
      <c r="K608" s="239"/>
      <c r="L608" s="240"/>
      <c r="M608" s="239"/>
      <c r="N608" s="239"/>
      <c r="O608" s="239"/>
      <c r="P608" s="239"/>
      <c r="Q608" s="239"/>
      <c r="R608" s="239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167"/>
    </row>
    <row r="609" spans="1:29" ht="15.75" customHeight="1">
      <c r="A609" s="177"/>
      <c r="B609" s="239"/>
      <c r="C609" s="260"/>
      <c r="D609" s="278"/>
      <c r="E609" s="260"/>
      <c r="F609" s="239"/>
      <c r="G609" s="239"/>
      <c r="H609" s="239"/>
      <c r="I609" s="239"/>
      <c r="J609" s="239"/>
      <c r="K609" s="239"/>
      <c r="L609" s="240"/>
      <c r="M609" s="239"/>
      <c r="N609" s="239"/>
      <c r="O609" s="239"/>
      <c r="P609" s="239"/>
      <c r="Q609" s="239"/>
      <c r="R609" s="239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167"/>
    </row>
    <row r="610" spans="1:29" ht="15.75" customHeight="1">
      <c r="A610" s="177"/>
      <c r="B610" s="239"/>
      <c r="C610" s="260"/>
      <c r="D610" s="278"/>
      <c r="E610" s="260"/>
      <c r="F610" s="239"/>
      <c r="G610" s="239"/>
      <c r="H610" s="239"/>
      <c r="I610" s="239"/>
      <c r="J610" s="239"/>
      <c r="K610" s="239"/>
      <c r="L610" s="240"/>
      <c r="M610" s="239"/>
      <c r="N610" s="239"/>
      <c r="O610" s="239"/>
      <c r="P610" s="239"/>
      <c r="Q610" s="239"/>
      <c r="R610" s="239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167"/>
    </row>
    <row r="611" spans="1:29" ht="15.75" customHeight="1">
      <c r="A611" s="177"/>
      <c r="B611" s="239"/>
      <c r="C611" s="260"/>
      <c r="D611" s="278"/>
      <c r="E611" s="260"/>
      <c r="F611" s="239"/>
      <c r="G611" s="239"/>
      <c r="H611" s="239"/>
      <c r="I611" s="239"/>
      <c r="J611" s="239"/>
      <c r="K611" s="239"/>
      <c r="L611" s="240"/>
      <c r="M611" s="239"/>
      <c r="N611" s="239"/>
      <c r="O611" s="239"/>
      <c r="P611" s="239"/>
      <c r="Q611" s="239"/>
      <c r="R611" s="239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167"/>
    </row>
    <row r="612" spans="1:29" ht="15.75" customHeight="1">
      <c r="A612" s="177"/>
      <c r="B612" s="239"/>
      <c r="C612" s="260"/>
      <c r="D612" s="278"/>
      <c r="E612" s="260"/>
      <c r="F612" s="239"/>
      <c r="G612" s="239"/>
      <c r="H612" s="239"/>
      <c r="I612" s="239"/>
      <c r="J612" s="239"/>
      <c r="K612" s="239"/>
      <c r="L612" s="240"/>
      <c r="M612" s="239"/>
      <c r="N612" s="239"/>
      <c r="O612" s="239"/>
      <c r="P612" s="239"/>
      <c r="Q612" s="239"/>
      <c r="R612" s="239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167"/>
    </row>
    <row r="613" spans="1:29" ht="15.75" customHeight="1">
      <c r="A613" s="177"/>
      <c r="B613" s="239"/>
      <c r="C613" s="260"/>
      <c r="D613" s="278"/>
      <c r="E613" s="260"/>
      <c r="F613" s="239"/>
      <c r="G613" s="239"/>
      <c r="H613" s="239"/>
      <c r="I613" s="239"/>
      <c r="J613" s="239"/>
      <c r="K613" s="239"/>
      <c r="L613" s="240"/>
      <c r="M613" s="239"/>
      <c r="N613" s="239"/>
      <c r="O613" s="239"/>
      <c r="P613" s="239"/>
      <c r="Q613" s="239"/>
      <c r="R613" s="239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167"/>
    </row>
    <row r="614" spans="1:29" ht="15.75" customHeight="1">
      <c r="A614" s="177"/>
      <c r="B614" s="239"/>
      <c r="C614" s="260"/>
      <c r="D614" s="278"/>
      <c r="E614" s="260"/>
      <c r="F614" s="239"/>
      <c r="G614" s="239"/>
      <c r="H614" s="239"/>
      <c r="I614" s="239"/>
      <c r="J614" s="239"/>
      <c r="K614" s="239"/>
      <c r="L614" s="240"/>
      <c r="M614" s="239"/>
      <c r="N614" s="239"/>
      <c r="O614" s="239"/>
      <c r="P614" s="239"/>
      <c r="Q614" s="239"/>
      <c r="R614" s="239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167"/>
    </row>
    <row r="615" spans="1:29" ht="15.75" customHeight="1">
      <c r="A615" s="177"/>
      <c r="B615" s="239"/>
      <c r="C615" s="260"/>
      <c r="D615" s="278"/>
      <c r="E615" s="260"/>
      <c r="F615" s="239"/>
      <c r="G615" s="239"/>
      <c r="H615" s="239"/>
      <c r="I615" s="239"/>
      <c r="J615" s="239"/>
      <c r="K615" s="239"/>
      <c r="L615" s="240"/>
      <c r="M615" s="239"/>
      <c r="N615" s="239"/>
      <c r="O615" s="239"/>
      <c r="P615" s="239"/>
      <c r="Q615" s="239"/>
      <c r="R615" s="239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167"/>
    </row>
    <row r="616" spans="1:29" ht="15.75" customHeight="1">
      <c r="A616" s="177"/>
      <c r="B616" s="239"/>
      <c r="C616" s="260"/>
      <c r="D616" s="278"/>
      <c r="E616" s="260"/>
      <c r="F616" s="239"/>
      <c r="G616" s="239"/>
      <c r="H616" s="239"/>
      <c r="I616" s="239"/>
      <c r="J616" s="239"/>
      <c r="K616" s="239"/>
      <c r="L616" s="240"/>
      <c r="M616" s="239"/>
      <c r="N616" s="239"/>
      <c r="O616" s="239"/>
      <c r="P616" s="239"/>
      <c r="Q616" s="239"/>
      <c r="R616" s="239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167"/>
    </row>
    <row r="617" spans="1:29" ht="15.75" customHeight="1">
      <c r="A617" s="177"/>
      <c r="B617" s="239"/>
      <c r="C617" s="260"/>
      <c r="D617" s="278"/>
      <c r="E617" s="260"/>
      <c r="F617" s="239"/>
      <c r="G617" s="239"/>
      <c r="H617" s="239"/>
      <c r="I617" s="239"/>
      <c r="J617" s="239"/>
      <c r="K617" s="239"/>
      <c r="L617" s="240"/>
      <c r="M617" s="239"/>
      <c r="N617" s="239"/>
      <c r="O617" s="239"/>
      <c r="P617" s="239"/>
      <c r="Q617" s="239"/>
      <c r="R617" s="239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167"/>
    </row>
    <row r="618" spans="1:29" ht="15.75" customHeight="1">
      <c r="A618" s="177"/>
      <c r="B618" s="239"/>
      <c r="C618" s="260"/>
      <c r="D618" s="278"/>
      <c r="E618" s="260"/>
      <c r="F618" s="239"/>
      <c r="G618" s="239"/>
      <c r="H618" s="239"/>
      <c r="I618" s="239"/>
      <c r="J618" s="239"/>
      <c r="K618" s="239"/>
      <c r="L618" s="240"/>
      <c r="M618" s="239"/>
      <c r="N618" s="239"/>
      <c r="O618" s="239"/>
      <c r="P618" s="239"/>
      <c r="Q618" s="239"/>
      <c r="R618" s="239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167"/>
    </row>
    <row r="619" spans="1:29" ht="15.75" customHeight="1">
      <c r="A619" s="177"/>
      <c r="B619" s="239"/>
      <c r="C619" s="260"/>
      <c r="D619" s="278"/>
      <c r="E619" s="260"/>
      <c r="F619" s="239"/>
      <c r="G619" s="239"/>
      <c r="H619" s="239"/>
      <c r="I619" s="239"/>
      <c r="J619" s="239"/>
      <c r="K619" s="239"/>
      <c r="L619" s="240"/>
      <c r="M619" s="239"/>
      <c r="N619" s="239"/>
      <c r="O619" s="239"/>
      <c r="P619" s="239"/>
      <c r="Q619" s="239"/>
      <c r="R619" s="239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167"/>
    </row>
    <row r="620" spans="1:29" ht="15.75" customHeight="1">
      <c r="A620" s="177"/>
      <c r="B620" s="239"/>
      <c r="C620" s="260"/>
      <c r="D620" s="278"/>
      <c r="E620" s="260"/>
      <c r="F620" s="239"/>
      <c r="G620" s="239"/>
      <c r="H620" s="239"/>
      <c r="I620" s="239"/>
      <c r="J620" s="239"/>
      <c r="K620" s="239"/>
      <c r="L620" s="240"/>
      <c r="M620" s="239"/>
      <c r="N620" s="239"/>
      <c r="O620" s="239"/>
      <c r="P620" s="239"/>
      <c r="Q620" s="239"/>
      <c r="R620" s="239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167"/>
    </row>
    <row r="621" spans="1:29" ht="15.75" customHeight="1">
      <c r="A621" s="177"/>
      <c r="B621" s="239"/>
      <c r="C621" s="260"/>
      <c r="D621" s="278"/>
      <c r="E621" s="260"/>
      <c r="F621" s="239"/>
      <c r="G621" s="239"/>
      <c r="H621" s="239"/>
      <c r="I621" s="239"/>
      <c r="J621" s="239"/>
      <c r="K621" s="239"/>
      <c r="L621" s="240"/>
      <c r="M621" s="239"/>
      <c r="N621" s="239"/>
      <c r="O621" s="239"/>
      <c r="P621" s="239"/>
      <c r="Q621" s="239"/>
      <c r="R621" s="239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167"/>
    </row>
    <row r="622" spans="1:29" ht="15.75" customHeight="1">
      <c r="A622" s="177"/>
      <c r="B622" s="239"/>
      <c r="C622" s="260"/>
      <c r="D622" s="278"/>
      <c r="E622" s="260"/>
      <c r="F622" s="239"/>
      <c r="G622" s="239"/>
      <c r="H622" s="239"/>
      <c r="I622" s="239"/>
      <c r="J622" s="239"/>
      <c r="K622" s="239"/>
      <c r="L622" s="240"/>
      <c r="M622" s="239"/>
      <c r="N622" s="239"/>
      <c r="O622" s="239"/>
      <c r="P622" s="239"/>
      <c r="Q622" s="239"/>
      <c r="R622" s="239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167"/>
    </row>
    <row r="623" spans="1:29" ht="15.75" customHeight="1">
      <c r="A623" s="177"/>
      <c r="B623" s="239"/>
      <c r="C623" s="260"/>
      <c r="D623" s="278"/>
      <c r="E623" s="260"/>
      <c r="F623" s="239"/>
      <c r="G623" s="239"/>
      <c r="H623" s="239"/>
      <c r="I623" s="239"/>
      <c r="J623" s="239"/>
      <c r="K623" s="239"/>
      <c r="L623" s="240"/>
      <c r="M623" s="239"/>
      <c r="N623" s="239"/>
      <c r="O623" s="239"/>
      <c r="P623" s="239"/>
      <c r="Q623" s="239"/>
      <c r="R623" s="239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167"/>
    </row>
    <row r="624" spans="1:29" ht="15.75" customHeight="1">
      <c r="A624" s="177"/>
      <c r="B624" s="239"/>
      <c r="C624" s="260"/>
      <c r="D624" s="278"/>
      <c r="E624" s="260"/>
      <c r="F624" s="239"/>
      <c r="G624" s="239"/>
      <c r="H624" s="239"/>
      <c r="I624" s="239"/>
      <c r="J624" s="239"/>
      <c r="K624" s="239"/>
      <c r="L624" s="240"/>
      <c r="M624" s="239"/>
      <c r="N624" s="239"/>
      <c r="O624" s="239"/>
      <c r="P624" s="239"/>
      <c r="Q624" s="239"/>
      <c r="R624" s="239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167"/>
    </row>
    <row r="625" spans="1:29" ht="15.75" customHeight="1">
      <c r="A625" s="177"/>
      <c r="B625" s="239"/>
      <c r="C625" s="260"/>
      <c r="D625" s="278"/>
      <c r="E625" s="260"/>
      <c r="F625" s="239"/>
      <c r="G625" s="239"/>
      <c r="H625" s="239"/>
      <c r="I625" s="239"/>
      <c r="J625" s="239"/>
      <c r="K625" s="239"/>
      <c r="L625" s="240"/>
      <c r="M625" s="239"/>
      <c r="N625" s="239"/>
      <c r="O625" s="239"/>
      <c r="P625" s="239"/>
      <c r="Q625" s="239"/>
      <c r="R625" s="239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167"/>
    </row>
    <row r="626" spans="1:29" ht="15.75" customHeight="1">
      <c r="A626" s="177"/>
      <c r="B626" s="239"/>
      <c r="C626" s="260"/>
      <c r="D626" s="278"/>
      <c r="E626" s="260"/>
      <c r="F626" s="239"/>
      <c r="G626" s="239"/>
      <c r="H626" s="239"/>
      <c r="I626" s="239"/>
      <c r="J626" s="239"/>
      <c r="K626" s="239"/>
      <c r="L626" s="240"/>
      <c r="M626" s="239"/>
      <c r="N626" s="239"/>
      <c r="O626" s="239"/>
      <c r="P626" s="239"/>
      <c r="Q626" s="239"/>
      <c r="R626" s="239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167"/>
    </row>
    <row r="627" spans="1:29" ht="15.75" customHeight="1">
      <c r="A627" s="177"/>
      <c r="B627" s="239"/>
      <c r="C627" s="260"/>
      <c r="D627" s="278"/>
      <c r="E627" s="260"/>
      <c r="F627" s="239"/>
      <c r="G627" s="239"/>
      <c r="H627" s="239"/>
      <c r="I627" s="239"/>
      <c r="J627" s="239"/>
      <c r="K627" s="239"/>
      <c r="L627" s="240"/>
      <c r="M627" s="239"/>
      <c r="N627" s="239"/>
      <c r="O627" s="239"/>
      <c r="P627" s="239"/>
      <c r="Q627" s="239"/>
      <c r="R627" s="239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167"/>
    </row>
    <row r="628" spans="1:29" ht="15.75" customHeight="1">
      <c r="A628" s="177"/>
      <c r="B628" s="239"/>
      <c r="C628" s="260"/>
      <c r="D628" s="278"/>
      <c r="E628" s="260"/>
      <c r="F628" s="239"/>
      <c r="G628" s="239"/>
      <c r="H628" s="239"/>
      <c r="I628" s="239"/>
      <c r="J628" s="239"/>
      <c r="K628" s="239"/>
      <c r="L628" s="240"/>
      <c r="M628" s="239"/>
      <c r="N628" s="239"/>
      <c r="O628" s="239"/>
      <c r="P628" s="239"/>
      <c r="Q628" s="239"/>
      <c r="R628" s="239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167"/>
    </row>
    <row r="629" spans="1:29" ht="15.75" customHeight="1">
      <c r="A629" s="177"/>
      <c r="B629" s="239"/>
      <c r="C629" s="260"/>
      <c r="D629" s="278"/>
      <c r="E629" s="260"/>
      <c r="F629" s="239"/>
      <c r="G629" s="239"/>
      <c r="H629" s="239"/>
      <c r="I629" s="239"/>
      <c r="J629" s="239"/>
      <c r="K629" s="239"/>
      <c r="L629" s="240"/>
      <c r="M629" s="239"/>
      <c r="N629" s="239"/>
      <c r="O629" s="239"/>
      <c r="P629" s="239"/>
      <c r="Q629" s="239"/>
      <c r="R629" s="239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167"/>
    </row>
    <row r="630" spans="1:29" ht="15.75" customHeight="1">
      <c r="A630" s="177"/>
      <c r="B630" s="239"/>
      <c r="C630" s="260"/>
      <c r="D630" s="278"/>
      <c r="E630" s="260"/>
      <c r="F630" s="239"/>
      <c r="G630" s="239"/>
      <c r="H630" s="239"/>
      <c r="I630" s="239"/>
      <c r="J630" s="239"/>
      <c r="K630" s="239"/>
      <c r="L630" s="240"/>
      <c r="M630" s="239"/>
      <c r="N630" s="239"/>
      <c r="O630" s="239"/>
      <c r="P630" s="239"/>
      <c r="Q630" s="239"/>
      <c r="R630" s="239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167"/>
    </row>
    <row r="631" spans="1:29" ht="15.75" customHeight="1">
      <c r="A631" s="177"/>
      <c r="B631" s="239"/>
      <c r="C631" s="260"/>
      <c r="D631" s="278"/>
      <c r="E631" s="260"/>
      <c r="F631" s="239"/>
      <c r="G631" s="239"/>
      <c r="H631" s="239"/>
      <c r="I631" s="239"/>
      <c r="J631" s="239"/>
      <c r="K631" s="239"/>
      <c r="L631" s="240"/>
      <c r="M631" s="239"/>
      <c r="N631" s="239"/>
      <c r="O631" s="239"/>
      <c r="P631" s="239"/>
      <c r="Q631" s="239"/>
      <c r="R631" s="239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167"/>
    </row>
    <row r="632" spans="1:29" ht="15.75" customHeight="1">
      <c r="A632" s="177"/>
      <c r="B632" s="239"/>
      <c r="C632" s="260"/>
      <c r="D632" s="278"/>
      <c r="E632" s="260"/>
      <c r="F632" s="239"/>
      <c r="G632" s="239"/>
      <c r="H632" s="239"/>
      <c r="I632" s="239"/>
      <c r="J632" s="239"/>
      <c r="K632" s="239"/>
      <c r="L632" s="240"/>
      <c r="M632" s="239"/>
      <c r="N632" s="239"/>
      <c r="O632" s="239"/>
      <c r="P632" s="239"/>
      <c r="Q632" s="239"/>
      <c r="R632" s="239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167"/>
    </row>
    <row r="633" spans="1:29" ht="15.75" customHeight="1">
      <c r="A633" s="177"/>
      <c r="B633" s="239"/>
      <c r="C633" s="260"/>
      <c r="D633" s="278"/>
      <c r="E633" s="260"/>
      <c r="F633" s="239"/>
      <c r="G633" s="239"/>
      <c r="H633" s="239"/>
      <c r="I633" s="239"/>
      <c r="J633" s="239"/>
      <c r="K633" s="239"/>
      <c r="L633" s="240"/>
      <c r="M633" s="239"/>
      <c r="N633" s="239"/>
      <c r="O633" s="239"/>
      <c r="P633" s="239"/>
      <c r="Q633" s="239"/>
      <c r="R633" s="239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167"/>
    </row>
    <row r="634" spans="1:29" ht="15.75" customHeight="1">
      <c r="A634" s="177"/>
      <c r="B634" s="239"/>
      <c r="C634" s="260"/>
      <c r="D634" s="278"/>
      <c r="E634" s="260"/>
      <c r="F634" s="239"/>
      <c r="G634" s="239"/>
      <c r="H634" s="239"/>
      <c r="I634" s="239"/>
      <c r="J634" s="239"/>
      <c r="K634" s="239"/>
      <c r="L634" s="240"/>
      <c r="M634" s="239"/>
      <c r="N634" s="239"/>
      <c r="O634" s="239"/>
      <c r="P634" s="239"/>
      <c r="Q634" s="239"/>
      <c r="R634" s="239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167"/>
    </row>
    <row r="635" spans="1:29" ht="15.75" customHeight="1">
      <c r="A635" s="177"/>
      <c r="B635" s="239"/>
      <c r="C635" s="260"/>
      <c r="D635" s="278"/>
      <c r="E635" s="260"/>
      <c r="F635" s="239"/>
      <c r="G635" s="239"/>
      <c r="H635" s="239"/>
      <c r="I635" s="239"/>
      <c r="J635" s="239"/>
      <c r="K635" s="239"/>
      <c r="L635" s="240"/>
      <c r="M635" s="239"/>
      <c r="N635" s="239"/>
      <c r="O635" s="239"/>
      <c r="P635" s="239"/>
      <c r="Q635" s="239"/>
      <c r="R635" s="239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167"/>
    </row>
    <row r="636" spans="1:29" ht="15.75" customHeight="1">
      <c r="A636" s="177"/>
      <c r="B636" s="239"/>
      <c r="C636" s="260"/>
      <c r="D636" s="278"/>
      <c r="E636" s="260"/>
      <c r="F636" s="239"/>
      <c r="G636" s="239"/>
      <c r="H636" s="239"/>
      <c r="I636" s="239"/>
      <c r="J636" s="239"/>
      <c r="K636" s="239"/>
      <c r="L636" s="240"/>
      <c r="M636" s="239"/>
      <c r="N636" s="239"/>
      <c r="O636" s="239"/>
      <c r="P636" s="239"/>
      <c r="Q636" s="239"/>
      <c r="R636" s="239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167"/>
    </row>
    <row r="637" spans="1:29" ht="15.75" customHeight="1">
      <c r="A637" s="177"/>
      <c r="B637" s="239"/>
      <c r="C637" s="260"/>
      <c r="D637" s="278"/>
      <c r="E637" s="260"/>
      <c r="F637" s="239"/>
      <c r="G637" s="239"/>
      <c r="H637" s="239"/>
      <c r="I637" s="239"/>
      <c r="J637" s="239"/>
      <c r="K637" s="239"/>
      <c r="L637" s="240"/>
      <c r="M637" s="239"/>
      <c r="N637" s="239"/>
      <c r="O637" s="239"/>
      <c r="P637" s="239"/>
      <c r="Q637" s="239"/>
      <c r="R637" s="239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167"/>
    </row>
    <row r="638" spans="1:29" ht="15.75" customHeight="1">
      <c r="A638" s="167"/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</row>
    <row r="639" spans="1:29" ht="15.75" customHeight="1">
      <c r="A639" s="167"/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</row>
    <row r="640" spans="1:29" ht="15.75" customHeight="1">
      <c r="A640" s="167"/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</row>
    <row r="641" spans="1:29" ht="15.75" customHeight="1">
      <c r="A641" s="167"/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</row>
    <row r="642" spans="1:29" ht="15.75" customHeight="1">
      <c r="A642" s="167"/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</row>
    <row r="643" spans="1:29" ht="15.75" customHeight="1">
      <c r="A643" s="167"/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</row>
    <row r="644" spans="1:29" ht="15.75" customHeight="1">
      <c r="A644" s="167"/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</row>
    <row r="645" spans="1:29" ht="15.75" customHeight="1">
      <c r="A645" s="167"/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</row>
    <row r="646" spans="1:29" ht="15.75" customHeight="1">
      <c r="A646" s="167"/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</row>
    <row r="647" spans="1:29" ht="15.75" customHeight="1">
      <c r="A647" s="167"/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</row>
    <row r="648" spans="1:29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spans="1:2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spans="1:29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spans="1:29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spans="1:29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spans="1:29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spans="1:29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spans="1:29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spans="1:29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spans="1:29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spans="1:29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spans="1:2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spans="1:29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spans="1:29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spans="1:29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spans="1:29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spans="1:29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spans="1:29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spans="1:29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spans="1:29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spans="1:29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spans="1:2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spans="1:29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spans="1:29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spans="1:29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spans="1:29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spans="1:29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spans="1:29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spans="1:29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spans="1:29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spans="1:29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spans="1:2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spans="1:29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spans="1:29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spans="1:29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spans="1:29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spans="1:29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spans="1:29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spans="1:29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spans="1:29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spans="1:29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spans="1:2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spans="1:29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spans="1:29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spans="1:29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spans="1:29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spans="1:29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spans="1:29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spans="1:29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spans="1:29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spans="1:29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spans="1:2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spans="1:29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spans="1:29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spans="1:29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spans="1:29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spans="1:29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spans="1:29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spans="1:29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spans="1:29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spans="1:29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spans="1:2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spans="1:29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spans="1:29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spans="1:29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spans="1:29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spans="1:29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spans="1:29" ht="15.75" customHeight="1"/>
    <row r="716" spans="1:29" ht="15.75" customHeight="1"/>
    <row r="717" spans="1:29" ht="15.75" customHeight="1"/>
    <row r="718" spans="1:29" ht="15.75" customHeight="1"/>
    <row r="719" spans="1:29" ht="15.75" customHeight="1"/>
    <row r="720" spans="1:29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R7"/>
    <mergeCell ref="A8:R8"/>
    <mergeCell ref="A10:A17"/>
    <mergeCell ref="C10:C11"/>
    <mergeCell ref="D10:D17"/>
    <mergeCell ref="E10:E17"/>
    <mergeCell ref="F10:S10"/>
  </mergeCells>
  <conditionalFormatting sqref="F11:J11">
    <cfRule type="containsText" dxfId="68" priority="1" operator="containsText" text="&quot;quảng ngãi&quot;">
      <formula>NOT(ISERROR(SEARCH(("""quảng ngãi"""),(F11))))</formula>
    </cfRule>
  </conditionalFormatting>
  <conditionalFormatting sqref="N11:R11">
    <cfRule type="containsText" dxfId="67" priority="2" operator="containsText" text="&quot;quảng ngãi&quot;">
      <formula>NOT(ISERROR(SEARCH(("""quảng ngãi"""),(N11))))</formula>
    </cfRule>
  </conditionalFormatting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1:Z1000"/>
  <sheetViews>
    <sheetView workbookViewId="0">
      <pane xSplit="5" ySplit="11" topLeftCell="F12" activePane="bottomRight" state="frozen"/>
      <selection pane="topRight" activeCell="F1" sqref="F1"/>
      <selection pane="bottomLeft" activeCell="A12" sqref="A12"/>
      <selection pane="bottomRight" activeCell="F12" sqref="F12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14" width="13.7265625" customWidth="1"/>
    <col min="15" max="19" width="9.08984375" customWidth="1"/>
    <col min="20" max="24" width="8" customWidth="1"/>
  </cols>
  <sheetData>
    <row r="1" spans="1:26" ht="24.75" hidden="1" customHeight="1">
      <c r="A1" s="175" t="s">
        <v>973</v>
      </c>
      <c r="B1" s="175"/>
      <c r="C1" s="175"/>
      <c r="D1" s="175"/>
      <c r="E1" s="175"/>
      <c r="F1" s="386"/>
      <c r="G1" s="175"/>
      <c r="H1" s="175"/>
      <c r="I1" s="175"/>
      <c r="J1" s="175"/>
      <c r="K1" s="175"/>
      <c r="L1" s="175"/>
      <c r="M1" s="175"/>
      <c r="N1" s="175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67"/>
      <c r="Z1" s="7"/>
    </row>
    <row r="2" spans="1:26" ht="33" hidden="1" customHeight="1">
      <c r="A2" s="175"/>
      <c r="B2" s="175"/>
      <c r="C2" s="175"/>
      <c r="D2" s="175"/>
      <c r="E2" s="175"/>
      <c r="F2" s="386"/>
      <c r="G2" s="175"/>
      <c r="H2" s="175"/>
      <c r="I2" s="175"/>
      <c r="J2" s="175"/>
      <c r="K2" s="175"/>
      <c r="L2" s="175"/>
      <c r="M2" s="175"/>
      <c r="N2" s="175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67"/>
      <c r="Z2" s="7"/>
    </row>
    <row r="3" spans="1:26" ht="23.25" hidden="1" customHeight="1">
      <c r="A3" s="175"/>
      <c r="B3" s="175"/>
      <c r="C3" s="175"/>
      <c r="D3" s="175"/>
      <c r="E3" s="175"/>
      <c r="F3" s="386"/>
      <c r="G3" s="175"/>
      <c r="H3" s="175"/>
      <c r="I3" s="175"/>
      <c r="J3" s="175"/>
      <c r="K3" s="175"/>
      <c r="L3" s="175"/>
      <c r="M3" s="175"/>
      <c r="N3" s="175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67"/>
      <c r="Z3" s="7"/>
    </row>
    <row r="4" spans="1:26" ht="23.25" hidden="1" customHeight="1">
      <c r="A4" s="175"/>
      <c r="B4" s="175"/>
      <c r="C4" s="175"/>
      <c r="D4" s="175"/>
      <c r="E4" s="175"/>
      <c r="F4" s="386"/>
      <c r="G4" s="175"/>
      <c r="H4" s="175"/>
      <c r="I4" s="175"/>
      <c r="J4" s="175"/>
      <c r="K4" s="175"/>
      <c r="L4" s="175"/>
      <c r="M4" s="175"/>
      <c r="N4" s="175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67"/>
      <c r="Z4" s="7"/>
    </row>
    <row r="5" spans="1:26" ht="23.25" hidden="1" customHeight="1">
      <c r="A5" s="175"/>
      <c r="B5" s="175"/>
      <c r="C5" s="175"/>
      <c r="D5" s="175"/>
      <c r="E5" s="175"/>
      <c r="F5" s="386"/>
      <c r="G5" s="175"/>
      <c r="H5" s="175"/>
      <c r="I5" s="175"/>
      <c r="J5" s="175"/>
      <c r="K5" s="175"/>
      <c r="L5" s="175"/>
      <c r="M5" s="175"/>
      <c r="N5" s="175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67"/>
      <c r="Z5" s="7"/>
    </row>
    <row r="6" spans="1:26" ht="23.25" hidden="1" customHeight="1">
      <c r="A6" s="175"/>
      <c r="B6" s="175"/>
      <c r="C6" s="175"/>
      <c r="D6" s="175"/>
      <c r="E6" s="175"/>
      <c r="F6" s="386"/>
      <c r="G6" s="175"/>
      <c r="H6" s="175"/>
      <c r="I6" s="175"/>
      <c r="J6" s="175"/>
      <c r="K6" s="175"/>
      <c r="L6" s="175"/>
      <c r="M6" s="175"/>
      <c r="N6" s="175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67"/>
      <c r="Z6" s="7"/>
    </row>
    <row r="7" spans="1:26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67"/>
      <c r="Z7" s="7"/>
    </row>
    <row r="8" spans="1:26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67"/>
      <c r="Z8" s="7"/>
    </row>
    <row r="9" spans="1:26" ht="16.5" customHeight="1">
      <c r="A9" s="177"/>
      <c r="B9" s="178"/>
      <c r="C9" s="176"/>
      <c r="D9" s="179"/>
      <c r="E9" s="176"/>
      <c r="F9" s="387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67"/>
      <c r="Z9" s="7"/>
    </row>
    <row r="10" spans="1:26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5"/>
      <c r="G10" s="779"/>
      <c r="H10" s="779"/>
      <c r="I10" s="779"/>
      <c r="J10" s="779"/>
      <c r="K10" s="779"/>
      <c r="L10" s="779"/>
      <c r="M10" s="779"/>
      <c r="N10" s="779"/>
      <c r="O10" s="771"/>
      <c r="P10" s="176"/>
      <c r="Q10" s="176"/>
      <c r="R10" s="176"/>
      <c r="S10" s="176"/>
      <c r="T10" s="176"/>
      <c r="U10" s="176"/>
      <c r="V10" s="176"/>
      <c r="W10" s="176"/>
      <c r="X10" s="176"/>
      <c r="Y10" s="167"/>
      <c r="Z10" s="7"/>
    </row>
    <row r="11" spans="1:26" ht="37.5" customHeight="1">
      <c r="A11" s="767"/>
      <c r="B11" s="767"/>
      <c r="C11" s="768"/>
      <c r="D11" s="767"/>
      <c r="E11" s="781"/>
      <c r="F11" s="21"/>
      <c r="G11" s="349"/>
      <c r="H11" s="349"/>
      <c r="I11" s="349"/>
      <c r="J11" s="349"/>
      <c r="K11" s="22"/>
      <c r="L11" s="201"/>
      <c r="M11" s="22"/>
      <c r="N11" s="22"/>
      <c r="O11" s="201"/>
      <c r="P11" s="184"/>
      <c r="Q11" s="184"/>
      <c r="R11" s="184">
        <f>COUNTA(F11:O11)</f>
        <v>0</v>
      </c>
      <c r="S11" s="184"/>
      <c r="T11" s="184"/>
      <c r="U11" s="184"/>
      <c r="V11" s="184"/>
      <c r="W11" s="184"/>
      <c r="X11" s="184"/>
      <c r="Y11" s="184"/>
      <c r="Z11" s="7"/>
    </row>
    <row r="12" spans="1:26" ht="18.75" hidden="1" customHeight="1">
      <c r="A12" s="767"/>
      <c r="B12" s="767"/>
      <c r="C12" s="25" t="s">
        <v>39</v>
      </c>
      <c r="D12" s="767"/>
      <c r="E12" s="781"/>
      <c r="F12" s="323"/>
      <c r="G12" s="291"/>
      <c r="H12" s="291"/>
      <c r="I12" s="291"/>
      <c r="J12" s="291"/>
      <c r="K12" s="324"/>
      <c r="L12" s="325"/>
      <c r="M12" s="324"/>
      <c r="N12" s="324"/>
      <c r="O12" s="325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7"/>
    </row>
    <row r="13" spans="1:26" ht="47.25" customHeight="1">
      <c r="A13" s="767"/>
      <c r="B13" s="767"/>
      <c r="C13" s="25" t="s">
        <v>40</v>
      </c>
      <c r="D13" s="767"/>
      <c r="E13" s="781"/>
      <c r="F13" s="327"/>
      <c r="G13" s="296"/>
      <c r="H13" s="296"/>
      <c r="I13" s="296"/>
      <c r="J13" s="296"/>
      <c r="K13" s="192"/>
      <c r="L13" s="250"/>
      <c r="M13" s="192"/>
      <c r="N13" s="250"/>
      <c r="O13" s="250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7"/>
    </row>
    <row r="14" spans="1:26" ht="38.25" hidden="1" customHeight="1">
      <c r="A14" s="767"/>
      <c r="B14" s="767"/>
      <c r="C14" s="25" t="s">
        <v>41</v>
      </c>
      <c r="D14" s="767"/>
      <c r="E14" s="781"/>
      <c r="F14" s="388"/>
      <c r="G14" s="298"/>
      <c r="H14" s="298"/>
      <c r="I14" s="298"/>
      <c r="J14" s="298"/>
      <c r="K14" s="247"/>
      <c r="L14" s="249"/>
      <c r="M14" s="247"/>
      <c r="N14" s="247"/>
      <c r="O14" s="249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7"/>
    </row>
    <row r="15" spans="1:26" ht="33" hidden="1" customHeight="1">
      <c r="A15" s="767"/>
      <c r="B15" s="767"/>
      <c r="C15" s="24" t="s">
        <v>42</v>
      </c>
      <c r="D15" s="767"/>
      <c r="E15" s="781"/>
      <c r="F15" s="321"/>
      <c r="G15" s="298"/>
      <c r="H15" s="298"/>
      <c r="I15" s="298"/>
      <c r="J15" s="296"/>
      <c r="K15" s="247"/>
      <c r="L15" s="247"/>
      <c r="M15" s="247"/>
      <c r="N15" s="247"/>
      <c r="O15" s="249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7"/>
    </row>
    <row r="16" spans="1:26" ht="30.75" customHeight="1">
      <c r="A16" s="767"/>
      <c r="B16" s="767"/>
      <c r="C16" s="25" t="s">
        <v>977</v>
      </c>
      <c r="D16" s="767"/>
      <c r="E16" s="781"/>
      <c r="F16" s="354"/>
      <c r="G16" s="296"/>
      <c r="H16" s="298"/>
      <c r="I16" s="298"/>
      <c r="J16" s="298"/>
      <c r="K16" s="247"/>
      <c r="L16" s="253"/>
      <c r="M16" s="247"/>
      <c r="N16" s="247"/>
      <c r="O16" s="249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7"/>
    </row>
    <row r="17" spans="1:26" ht="36" customHeight="1">
      <c r="A17" s="768"/>
      <c r="B17" s="768"/>
      <c r="C17" s="25" t="s">
        <v>70</v>
      </c>
      <c r="D17" s="768"/>
      <c r="E17" s="782"/>
      <c r="F17" s="330"/>
      <c r="G17" s="330"/>
      <c r="H17" s="330"/>
      <c r="I17" s="330"/>
      <c r="J17" s="330"/>
      <c r="K17" s="330"/>
      <c r="L17" s="32"/>
      <c r="M17" s="32"/>
      <c r="N17" s="32"/>
      <c r="O17" s="25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7"/>
    </row>
    <row r="18" spans="1:26" ht="16.5" customHeight="1">
      <c r="A18" s="41"/>
      <c r="B18" s="42" t="s">
        <v>85</v>
      </c>
      <c r="C18" s="42"/>
      <c r="D18" s="42"/>
      <c r="E18" s="195"/>
      <c r="F18" s="389"/>
      <c r="G18" s="301"/>
      <c r="H18" s="301"/>
      <c r="I18" s="301"/>
      <c r="J18" s="301"/>
      <c r="K18" s="255"/>
      <c r="L18" s="257"/>
      <c r="M18" s="255"/>
      <c r="N18" s="255"/>
      <c r="O18" s="35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7"/>
    </row>
    <row r="19" spans="1:26" ht="26.25" customHeight="1">
      <c r="A19" s="46">
        <v>1</v>
      </c>
      <c r="B19" s="47" t="s">
        <v>87</v>
      </c>
      <c r="C19" s="47" t="s">
        <v>88</v>
      </c>
      <c r="D19" s="46"/>
      <c r="E19" s="200"/>
      <c r="F19" s="390"/>
      <c r="G19" s="362"/>
      <c r="H19" s="362"/>
      <c r="I19" s="362"/>
      <c r="J19" s="362"/>
      <c r="K19" s="258"/>
      <c r="L19" s="258"/>
      <c r="M19" s="258"/>
      <c r="N19" s="258"/>
      <c r="O19" s="363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7"/>
    </row>
    <row r="20" spans="1:26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SUM(F20:N20)</f>
        <v>0</v>
      </c>
      <c r="F20" s="391"/>
      <c r="G20" s="367"/>
      <c r="H20" s="367"/>
      <c r="I20" s="367"/>
      <c r="J20" s="367"/>
      <c r="K20" s="286"/>
      <c r="L20" s="286"/>
      <c r="M20" s="286"/>
      <c r="N20" s="286"/>
      <c r="O20" s="286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7"/>
    </row>
    <row r="21" spans="1:26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392"/>
      <c r="G21" s="362"/>
      <c r="H21" s="362"/>
      <c r="I21" s="362"/>
      <c r="J21" s="362"/>
      <c r="K21" s="262"/>
      <c r="L21" s="262"/>
      <c r="M21" s="262"/>
      <c r="N21" s="262"/>
      <c r="O21" s="37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7"/>
    </row>
    <row r="22" spans="1:26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392"/>
      <c r="G22" s="362"/>
      <c r="H22" s="362"/>
      <c r="I22" s="362"/>
      <c r="J22" s="362"/>
      <c r="K22" s="262"/>
      <c r="L22" s="262"/>
      <c r="M22" s="262"/>
      <c r="N22" s="262"/>
      <c r="O22" s="37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7"/>
    </row>
    <row r="23" spans="1:26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392"/>
      <c r="G23" s="362"/>
      <c r="H23" s="362"/>
      <c r="I23" s="362"/>
      <c r="J23" s="362"/>
      <c r="K23" s="262"/>
      <c r="L23" s="262"/>
      <c r="M23" s="262"/>
      <c r="N23" s="262"/>
      <c r="O23" s="37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7"/>
    </row>
    <row r="24" spans="1:26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392"/>
      <c r="G24" s="362"/>
      <c r="H24" s="362"/>
      <c r="I24" s="362"/>
      <c r="J24" s="362"/>
      <c r="K24" s="262"/>
      <c r="L24" s="262"/>
      <c r="M24" s="262"/>
      <c r="N24" s="262"/>
      <c r="O24" s="37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7"/>
    </row>
    <row r="25" spans="1:26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391"/>
      <c r="G25" s="367"/>
      <c r="H25" s="367"/>
      <c r="I25" s="367"/>
      <c r="J25" s="367"/>
      <c r="K25" s="286"/>
      <c r="L25" s="286"/>
      <c r="M25" s="286"/>
      <c r="N25" s="286"/>
      <c r="O25" s="286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7"/>
    </row>
    <row r="26" spans="1:26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392"/>
      <c r="G26" s="362"/>
      <c r="H26" s="362"/>
      <c r="I26" s="362"/>
      <c r="J26" s="362"/>
      <c r="K26" s="262"/>
      <c r="L26" s="262"/>
      <c r="M26" s="262"/>
      <c r="N26" s="262"/>
      <c r="O26" s="37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7"/>
    </row>
    <row r="27" spans="1:26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392"/>
      <c r="G27" s="362"/>
      <c r="H27" s="362"/>
      <c r="I27" s="362"/>
      <c r="J27" s="362"/>
      <c r="K27" s="262"/>
      <c r="L27" s="262"/>
      <c r="M27" s="262"/>
      <c r="N27" s="262"/>
      <c r="O27" s="37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7"/>
    </row>
    <row r="28" spans="1:26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392"/>
      <c r="G28" s="362"/>
      <c r="H28" s="362"/>
      <c r="I28" s="362"/>
      <c r="J28" s="362"/>
      <c r="K28" s="262"/>
      <c r="L28" s="262"/>
      <c r="M28" s="262"/>
      <c r="N28" s="262"/>
      <c r="O28" s="37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7"/>
    </row>
    <row r="29" spans="1:26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392"/>
      <c r="G29" s="362"/>
      <c r="H29" s="362"/>
      <c r="I29" s="362"/>
      <c r="J29" s="362"/>
      <c r="K29" s="262"/>
      <c r="L29" s="262"/>
      <c r="M29" s="262"/>
      <c r="N29" s="262"/>
      <c r="O29" s="37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7"/>
    </row>
    <row r="30" spans="1:26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391"/>
      <c r="G30" s="367"/>
      <c r="H30" s="367"/>
      <c r="I30" s="367"/>
      <c r="J30" s="367"/>
      <c r="K30" s="286"/>
      <c r="L30" s="286"/>
      <c r="M30" s="286"/>
      <c r="N30" s="286"/>
      <c r="O30" s="286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7"/>
    </row>
    <row r="31" spans="1:26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392"/>
      <c r="G31" s="362"/>
      <c r="H31" s="362"/>
      <c r="I31" s="362"/>
      <c r="J31" s="362"/>
      <c r="K31" s="262"/>
      <c r="L31" s="262"/>
      <c r="M31" s="262"/>
      <c r="N31" s="262"/>
      <c r="O31" s="37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7"/>
    </row>
    <row r="32" spans="1:26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392"/>
      <c r="G32" s="362"/>
      <c r="H32" s="362"/>
      <c r="I32" s="362"/>
      <c r="J32" s="362"/>
      <c r="K32" s="262"/>
      <c r="L32" s="262"/>
      <c r="M32" s="262"/>
      <c r="N32" s="262"/>
      <c r="O32" s="37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7"/>
    </row>
    <row r="33" spans="1:26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392"/>
      <c r="G33" s="362"/>
      <c r="H33" s="362"/>
      <c r="I33" s="362"/>
      <c r="J33" s="362"/>
      <c r="K33" s="262"/>
      <c r="L33" s="262"/>
      <c r="M33" s="262"/>
      <c r="N33" s="262"/>
      <c r="O33" s="37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7"/>
    </row>
    <row r="34" spans="1:26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392"/>
      <c r="G34" s="362"/>
      <c r="H34" s="362"/>
      <c r="I34" s="362"/>
      <c r="J34" s="362"/>
      <c r="K34" s="262"/>
      <c r="L34" s="262"/>
      <c r="M34" s="262"/>
      <c r="N34" s="262"/>
      <c r="O34" s="37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7"/>
    </row>
    <row r="35" spans="1:26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392"/>
      <c r="G35" s="362"/>
      <c r="H35" s="362"/>
      <c r="I35" s="362"/>
      <c r="J35" s="362"/>
      <c r="K35" s="262"/>
      <c r="L35" s="262"/>
      <c r="M35" s="262"/>
      <c r="N35" s="262"/>
      <c r="O35" s="37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7"/>
    </row>
    <row r="36" spans="1:26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392"/>
      <c r="G36" s="362"/>
      <c r="H36" s="362"/>
      <c r="I36" s="362"/>
      <c r="J36" s="362"/>
      <c r="K36" s="262"/>
      <c r="L36" s="262"/>
      <c r="M36" s="262"/>
      <c r="N36" s="262"/>
      <c r="O36" s="37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7"/>
    </row>
    <row r="37" spans="1:26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392"/>
      <c r="G37" s="371"/>
      <c r="H37" s="371"/>
      <c r="I37" s="371"/>
      <c r="J37" s="371"/>
      <c r="K37" s="261"/>
      <c r="L37" s="261"/>
      <c r="M37" s="261"/>
      <c r="N37" s="261"/>
      <c r="O37" s="372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7"/>
    </row>
    <row r="38" spans="1:26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391"/>
      <c r="G38" s="367"/>
      <c r="H38" s="367"/>
      <c r="I38" s="367"/>
      <c r="J38" s="367"/>
      <c r="K38" s="286"/>
      <c r="L38" s="286"/>
      <c r="M38" s="286"/>
      <c r="N38" s="286"/>
      <c r="O38" s="286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7"/>
    </row>
    <row r="39" spans="1:26" ht="18.75" hidden="1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392"/>
      <c r="G39" s="362"/>
      <c r="H39" s="362"/>
      <c r="I39" s="362"/>
      <c r="J39" s="362"/>
      <c r="K39" s="262"/>
      <c r="L39" s="262"/>
      <c r="M39" s="262"/>
      <c r="N39" s="262"/>
      <c r="O39" s="37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7"/>
    </row>
    <row r="40" spans="1:26" ht="18.75" hidden="1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392"/>
      <c r="G40" s="362"/>
      <c r="H40" s="362"/>
      <c r="I40" s="362"/>
      <c r="J40" s="362"/>
      <c r="K40" s="262"/>
      <c r="L40" s="262"/>
      <c r="M40" s="262"/>
      <c r="N40" s="262"/>
      <c r="O40" s="37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7"/>
    </row>
    <row r="41" spans="1:26" ht="18.75" hidden="1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392"/>
      <c r="G41" s="362"/>
      <c r="H41" s="362"/>
      <c r="I41" s="362"/>
      <c r="J41" s="362"/>
      <c r="K41" s="262"/>
      <c r="L41" s="262"/>
      <c r="M41" s="262"/>
      <c r="N41" s="262"/>
      <c r="O41" s="37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7"/>
    </row>
    <row r="42" spans="1:26" ht="18.75" hidden="1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392"/>
      <c r="G42" s="362"/>
      <c r="H42" s="362"/>
      <c r="I42" s="362"/>
      <c r="J42" s="362"/>
      <c r="K42" s="262"/>
      <c r="L42" s="262"/>
      <c r="M42" s="262"/>
      <c r="N42" s="262"/>
      <c r="O42" s="37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7"/>
    </row>
    <row r="43" spans="1:26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392"/>
      <c r="G43" s="371"/>
      <c r="H43" s="371"/>
      <c r="I43" s="362"/>
      <c r="J43" s="371"/>
      <c r="K43" s="262"/>
      <c r="L43" s="261"/>
      <c r="M43" s="261"/>
      <c r="N43" s="261"/>
      <c r="O43" s="372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7"/>
    </row>
    <row r="44" spans="1:26" ht="18.75" hidden="1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392"/>
      <c r="G44" s="362"/>
      <c r="H44" s="362"/>
      <c r="I44" s="362"/>
      <c r="J44" s="362"/>
      <c r="K44" s="262"/>
      <c r="L44" s="262"/>
      <c r="M44" s="262"/>
      <c r="N44" s="262"/>
      <c r="O44" s="37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7"/>
    </row>
    <row r="45" spans="1:26" ht="18.75" hidden="1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392"/>
      <c r="G45" s="362"/>
      <c r="H45" s="362"/>
      <c r="I45" s="362"/>
      <c r="J45" s="362"/>
      <c r="K45" s="262"/>
      <c r="L45" s="262"/>
      <c r="M45" s="262"/>
      <c r="N45" s="262"/>
      <c r="O45" s="37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7"/>
    </row>
    <row r="46" spans="1:26" ht="18.75" hidden="1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392"/>
      <c r="G46" s="362"/>
      <c r="H46" s="362"/>
      <c r="I46" s="362"/>
      <c r="J46" s="362"/>
      <c r="K46" s="262"/>
      <c r="L46" s="262"/>
      <c r="M46" s="262"/>
      <c r="N46" s="262"/>
      <c r="O46" s="37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7"/>
    </row>
    <row r="47" spans="1:26" ht="18.75" hidden="1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392"/>
      <c r="G47" s="362"/>
      <c r="H47" s="362"/>
      <c r="I47" s="362"/>
      <c r="J47" s="362"/>
      <c r="K47" s="262"/>
      <c r="L47" s="262"/>
      <c r="M47" s="262"/>
      <c r="N47" s="262"/>
      <c r="O47" s="37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7"/>
    </row>
    <row r="48" spans="1:26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392"/>
      <c r="G48" s="371"/>
      <c r="H48" s="371"/>
      <c r="I48" s="362"/>
      <c r="J48" s="362"/>
      <c r="K48" s="262"/>
      <c r="L48" s="261"/>
      <c r="M48" s="261"/>
      <c r="N48" s="261"/>
      <c r="O48" s="372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7"/>
    </row>
    <row r="49" spans="1:26" ht="18.75" hidden="1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392"/>
      <c r="G49" s="362"/>
      <c r="H49" s="362"/>
      <c r="I49" s="362"/>
      <c r="J49" s="362"/>
      <c r="K49" s="262"/>
      <c r="L49" s="262"/>
      <c r="M49" s="262"/>
      <c r="N49" s="262"/>
      <c r="O49" s="37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7"/>
    </row>
    <row r="50" spans="1:26" ht="18.75" hidden="1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392"/>
      <c r="G50" s="362"/>
      <c r="H50" s="362"/>
      <c r="I50" s="362"/>
      <c r="J50" s="362"/>
      <c r="K50" s="262"/>
      <c r="L50" s="262"/>
      <c r="M50" s="262"/>
      <c r="N50" s="262"/>
      <c r="O50" s="37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7"/>
    </row>
    <row r="51" spans="1:26" ht="18.75" hidden="1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392"/>
      <c r="G51" s="362"/>
      <c r="H51" s="362"/>
      <c r="I51" s="362"/>
      <c r="J51" s="362"/>
      <c r="K51" s="262"/>
      <c r="L51" s="262"/>
      <c r="M51" s="262"/>
      <c r="N51" s="262"/>
      <c r="O51" s="37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7"/>
    </row>
    <row r="52" spans="1:26" ht="18.75" hidden="1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392"/>
      <c r="G52" s="362"/>
      <c r="H52" s="362"/>
      <c r="I52" s="362"/>
      <c r="J52" s="362"/>
      <c r="K52" s="262"/>
      <c r="L52" s="262"/>
      <c r="M52" s="262"/>
      <c r="N52" s="262"/>
      <c r="O52" s="37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7"/>
    </row>
    <row r="53" spans="1:26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392"/>
      <c r="G53" s="373"/>
      <c r="H53" s="371"/>
      <c r="I53" s="373"/>
      <c r="J53" s="362"/>
      <c r="K53" s="262"/>
      <c r="L53" s="261"/>
      <c r="M53" s="261"/>
      <c r="N53" s="261"/>
      <c r="O53" s="372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7"/>
    </row>
    <row r="54" spans="1:26" ht="18.75" hidden="1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392"/>
      <c r="G54" s="362"/>
      <c r="H54" s="362"/>
      <c r="I54" s="362"/>
      <c r="J54" s="362"/>
      <c r="K54" s="262"/>
      <c r="L54" s="262"/>
      <c r="M54" s="262"/>
      <c r="N54" s="262"/>
      <c r="O54" s="37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7"/>
    </row>
    <row r="55" spans="1:26" ht="18.75" hidden="1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392"/>
      <c r="G55" s="362"/>
      <c r="H55" s="362"/>
      <c r="I55" s="362"/>
      <c r="J55" s="362"/>
      <c r="K55" s="262"/>
      <c r="L55" s="262"/>
      <c r="M55" s="262"/>
      <c r="N55" s="262"/>
      <c r="O55" s="37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7"/>
    </row>
    <row r="56" spans="1:26" ht="18.75" hidden="1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392"/>
      <c r="G56" s="362"/>
      <c r="H56" s="362"/>
      <c r="I56" s="362"/>
      <c r="J56" s="362"/>
      <c r="K56" s="262"/>
      <c r="L56" s="262"/>
      <c r="M56" s="262"/>
      <c r="N56" s="262"/>
      <c r="O56" s="37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7"/>
    </row>
    <row r="57" spans="1:26" ht="18.75" hidden="1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392"/>
      <c r="G57" s="362"/>
      <c r="H57" s="362"/>
      <c r="I57" s="362"/>
      <c r="J57" s="362"/>
      <c r="K57" s="262"/>
      <c r="L57" s="262"/>
      <c r="M57" s="262"/>
      <c r="N57" s="262"/>
      <c r="O57" s="37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7"/>
    </row>
    <row r="58" spans="1:26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392"/>
      <c r="G58" s="371"/>
      <c r="H58" s="371"/>
      <c r="I58" s="362"/>
      <c r="J58" s="362"/>
      <c r="K58" s="262"/>
      <c r="L58" s="261"/>
      <c r="M58" s="261"/>
      <c r="N58" s="261"/>
      <c r="O58" s="37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7"/>
    </row>
    <row r="59" spans="1:26" ht="18.75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392"/>
      <c r="G59" s="362"/>
      <c r="H59" s="371"/>
      <c r="I59" s="362"/>
      <c r="J59" s="362"/>
      <c r="K59" s="262"/>
      <c r="L59" s="262"/>
      <c r="M59" s="262"/>
      <c r="N59" s="262"/>
      <c r="O59" s="37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7"/>
    </row>
    <row r="60" spans="1:26" ht="18.75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392"/>
      <c r="G60" s="362"/>
      <c r="H60" s="362"/>
      <c r="I60" s="362"/>
      <c r="J60" s="362"/>
      <c r="K60" s="262"/>
      <c r="L60" s="262"/>
      <c r="M60" s="262"/>
      <c r="N60" s="262"/>
      <c r="O60" s="37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7"/>
    </row>
    <row r="61" spans="1:26" ht="18.75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392"/>
      <c r="G61" s="362"/>
      <c r="H61" s="362"/>
      <c r="I61" s="362"/>
      <c r="J61" s="362"/>
      <c r="K61" s="262"/>
      <c r="L61" s="262"/>
      <c r="M61" s="262"/>
      <c r="N61" s="262"/>
      <c r="O61" s="37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7"/>
    </row>
    <row r="62" spans="1:26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392"/>
      <c r="G62" s="371"/>
      <c r="H62" s="371"/>
      <c r="I62" s="362"/>
      <c r="J62" s="362"/>
      <c r="K62" s="262"/>
      <c r="L62" s="261"/>
      <c r="M62" s="261"/>
      <c r="N62" s="261"/>
      <c r="O62" s="372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7"/>
    </row>
    <row r="63" spans="1:26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392"/>
      <c r="G63" s="371"/>
      <c r="H63" s="371"/>
      <c r="I63" s="362"/>
      <c r="J63" s="362"/>
      <c r="K63" s="262"/>
      <c r="L63" s="261"/>
      <c r="M63" s="261"/>
      <c r="N63" s="261"/>
      <c r="O63" s="372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7"/>
    </row>
    <row r="64" spans="1:26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392"/>
      <c r="G64" s="371"/>
      <c r="H64" s="371"/>
      <c r="I64" s="362"/>
      <c r="J64" s="362"/>
      <c r="K64" s="262"/>
      <c r="L64" s="261"/>
      <c r="M64" s="261"/>
      <c r="N64" s="261"/>
      <c r="O64" s="372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7"/>
    </row>
    <row r="65" spans="1:26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392"/>
      <c r="G65" s="371"/>
      <c r="H65" s="371"/>
      <c r="I65" s="362"/>
      <c r="J65" s="362"/>
      <c r="K65" s="262"/>
      <c r="L65" s="261"/>
      <c r="M65" s="261"/>
      <c r="N65" s="261"/>
      <c r="O65" s="372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7"/>
    </row>
    <row r="66" spans="1:26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392"/>
      <c r="G66" s="371"/>
      <c r="H66" s="371"/>
      <c r="I66" s="362"/>
      <c r="J66" s="362"/>
      <c r="K66" s="262"/>
      <c r="L66" s="261"/>
      <c r="M66" s="261"/>
      <c r="N66" s="261"/>
      <c r="O66" s="372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7"/>
    </row>
    <row r="67" spans="1:26" ht="18.75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392"/>
      <c r="G67" s="362"/>
      <c r="H67" s="362"/>
      <c r="I67" s="362"/>
      <c r="J67" s="362"/>
      <c r="K67" s="262"/>
      <c r="L67" s="262"/>
      <c r="M67" s="262"/>
      <c r="N67" s="262"/>
      <c r="O67" s="37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7"/>
    </row>
    <row r="68" spans="1:26" ht="18.75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392"/>
      <c r="G68" s="362"/>
      <c r="H68" s="362"/>
      <c r="I68" s="362"/>
      <c r="J68" s="362"/>
      <c r="K68" s="262"/>
      <c r="L68" s="262"/>
      <c r="M68" s="262"/>
      <c r="N68" s="262"/>
      <c r="O68" s="37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7"/>
    </row>
    <row r="69" spans="1:26" ht="18.75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392"/>
      <c r="G69" s="362"/>
      <c r="H69" s="362"/>
      <c r="I69" s="362"/>
      <c r="J69" s="362"/>
      <c r="K69" s="262"/>
      <c r="L69" s="262"/>
      <c r="M69" s="262"/>
      <c r="N69" s="262"/>
      <c r="O69" s="37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7"/>
    </row>
    <row r="70" spans="1:26" ht="18.75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392"/>
      <c r="G70" s="362"/>
      <c r="H70" s="362"/>
      <c r="I70" s="362"/>
      <c r="J70" s="362"/>
      <c r="K70" s="262"/>
      <c r="L70" s="262"/>
      <c r="M70" s="262"/>
      <c r="N70" s="262"/>
      <c r="O70" s="37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7"/>
    </row>
    <row r="71" spans="1:26" ht="63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392"/>
      <c r="G71" s="362"/>
      <c r="H71" s="362"/>
      <c r="I71" s="362"/>
      <c r="J71" s="362"/>
      <c r="K71" s="262"/>
      <c r="L71" s="262"/>
      <c r="M71" s="262"/>
      <c r="N71" s="262"/>
      <c r="O71" s="370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7"/>
    </row>
    <row r="72" spans="1:26" ht="18.75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392"/>
      <c r="G72" s="362"/>
      <c r="H72" s="362"/>
      <c r="I72" s="362"/>
      <c r="J72" s="362"/>
      <c r="K72" s="262"/>
      <c r="L72" s="262"/>
      <c r="M72" s="262"/>
      <c r="N72" s="262"/>
      <c r="O72" s="37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7"/>
    </row>
    <row r="73" spans="1:26" ht="18.75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392"/>
      <c r="G73" s="362"/>
      <c r="H73" s="362"/>
      <c r="I73" s="362"/>
      <c r="J73" s="362"/>
      <c r="K73" s="262"/>
      <c r="L73" s="262"/>
      <c r="M73" s="262"/>
      <c r="N73" s="262"/>
      <c r="O73" s="37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7"/>
    </row>
    <row r="74" spans="1:26" ht="18.75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392"/>
      <c r="G74" s="362"/>
      <c r="H74" s="362"/>
      <c r="I74" s="362"/>
      <c r="J74" s="362"/>
      <c r="K74" s="262"/>
      <c r="L74" s="262"/>
      <c r="M74" s="262"/>
      <c r="N74" s="262"/>
      <c r="O74" s="37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7"/>
    </row>
    <row r="75" spans="1:26" ht="35.25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392"/>
      <c r="G75" s="362"/>
      <c r="H75" s="362"/>
      <c r="I75" s="362"/>
      <c r="J75" s="362"/>
      <c r="K75" s="262"/>
      <c r="L75" s="262"/>
      <c r="M75" s="262"/>
      <c r="N75" s="262"/>
      <c r="O75" s="37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7"/>
    </row>
    <row r="76" spans="1:26" ht="14.2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392"/>
      <c r="G76" s="371"/>
      <c r="H76" s="371"/>
      <c r="I76" s="362"/>
      <c r="J76" s="375"/>
      <c r="K76" s="262"/>
      <c r="L76" s="261"/>
      <c r="M76" s="261"/>
      <c r="N76" s="261"/>
      <c r="O76" s="372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7"/>
    </row>
    <row r="77" spans="1:26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392"/>
      <c r="G77" s="371"/>
      <c r="H77" s="371"/>
      <c r="I77" s="362"/>
      <c r="J77" s="362"/>
      <c r="K77" s="262"/>
      <c r="L77" s="261"/>
      <c r="M77" s="261"/>
      <c r="N77" s="261"/>
      <c r="O77" s="372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7"/>
    </row>
    <row r="78" spans="1:26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392"/>
      <c r="G78" s="371"/>
      <c r="H78" s="371"/>
      <c r="I78" s="362"/>
      <c r="J78" s="362"/>
      <c r="K78" s="262"/>
      <c r="L78" s="261"/>
      <c r="M78" s="261"/>
      <c r="N78" s="261"/>
      <c r="O78" s="372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7"/>
    </row>
    <row r="79" spans="1:26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392"/>
      <c r="G79" s="371"/>
      <c r="H79" s="371"/>
      <c r="I79" s="362"/>
      <c r="J79" s="362"/>
      <c r="K79" s="262"/>
      <c r="L79" s="261"/>
      <c r="M79" s="261"/>
      <c r="N79" s="261"/>
      <c r="O79" s="372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7"/>
    </row>
    <row r="80" spans="1:26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392"/>
      <c r="G80" s="371"/>
      <c r="H80" s="371"/>
      <c r="I80" s="362"/>
      <c r="J80" s="362"/>
      <c r="K80" s="262"/>
      <c r="L80" s="261"/>
      <c r="M80" s="261"/>
      <c r="N80" s="261"/>
      <c r="O80" s="372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7"/>
    </row>
    <row r="81" spans="1:26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392"/>
      <c r="G81" s="371"/>
      <c r="H81" s="371"/>
      <c r="I81" s="362"/>
      <c r="J81" s="362"/>
      <c r="K81" s="262"/>
      <c r="L81" s="261"/>
      <c r="M81" s="261"/>
      <c r="N81" s="261"/>
      <c r="O81" s="372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7"/>
    </row>
    <row r="82" spans="1:26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392"/>
      <c r="G82" s="371"/>
      <c r="H82" s="371"/>
      <c r="I82" s="362"/>
      <c r="J82" s="362"/>
      <c r="K82" s="262"/>
      <c r="L82" s="261"/>
      <c r="M82" s="261"/>
      <c r="N82" s="261"/>
      <c r="O82" s="372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7"/>
    </row>
    <row r="83" spans="1:26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392"/>
      <c r="G83" s="371"/>
      <c r="H83" s="371"/>
      <c r="I83" s="362"/>
      <c r="J83" s="362"/>
      <c r="K83" s="262"/>
      <c r="L83" s="261"/>
      <c r="M83" s="261"/>
      <c r="N83" s="261"/>
      <c r="O83" s="372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7"/>
    </row>
    <row r="84" spans="1:26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392"/>
      <c r="G84" s="371"/>
      <c r="H84" s="371"/>
      <c r="I84" s="362"/>
      <c r="J84" s="362"/>
      <c r="K84" s="262"/>
      <c r="L84" s="261"/>
      <c r="M84" s="261"/>
      <c r="N84" s="261"/>
      <c r="O84" s="372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7"/>
    </row>
    <row r="85" spans="1:26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392"/>
      <c r="G85" s="371"/>
      <c r="H85" s="371"/>
      <c r="I85" s="362"/>
      <c r="J85" s="362"/>
      <c r="K85" s="262"/>
      <c r="L85" s="261"/>
      <c r="M85" s="261"/>
      <c r="N85" s="261"/>
      <c r="O85" s="372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7"/>
    </row>
    <row r="86" spans="1:26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392"/>
      <c r="G86" s="371"/>
      <c r="H86" s="371"/>
      <c r="I86" s="362"/>
      <c r="J86" s="362"/>
      <c r="K86" s="262"/>
      <c r="L86" s="261"/>
      <c r="M86" s="261"/>
      <c r="N86" s="261"/>
      <c r="O86" s="372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7"/>
    </row>
    <row r="87" spans="1:26" ht="18.75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392"/>
      <c r="G87" s="362"/>
      <c r="H87" s="362"/>
      <c r="I87" s="362"/>
      <c r="J87" s="362"/>
      <c r="K87" s="262"/>
      <c r="L87" s="262"/>
      <c r="M87" s="262"/>
      <c r="N87" s="262"/>
      <c r="O87" s="37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7"/>
    </row>
    <row r="88" spans="1:26" ht="31.5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392"/>
      <c r="G88" s="362"/>
      <c r="H88" s="362"/>
      <c r="I88" s="362"/>
      <c r="J88" s="362"/>
      <c r="K88" s="262"/>
      <c r="L88" s="262"/>
      <c r="M88" s="262"/>
      <c r="N88" s="262"/>
      <c r="O88" s="37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7"/>
    </row>
    <row r="89" spans="1:26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392"/>
      <c r="G89" s="371"/>
      <c r="H89" s="371"/>
      <c r="I89" s="362"/>
      <c r="J89" s="362"/>
      <c r="K89" s="262"/>
      <c r="L89" s="261"/>
      <c r="M89" s="261"/>
      <c r="N89" s="261"/>
      <c r="O89" s="372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7"/>
    </row>
    <row r="90" spans="1:26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392"/>
      <c r="G90" s="371"/>
      <c r="H90" s="371"/>
      <c r="I90" s="362"/>
      <c r="J90" s="362"/>
      <c r="K90" s="262"/>
      <c r="L90" s="261"/>
      <c r="M90" s="261"/>
      <c r="N90" s="261"/>
      <c r="O90" s="372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7"/>
    </row>
    <row r="91" spans="1:26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392"/>
      <c r="G91" s="371"/>
      <c r="H91" s="371"/>
      <c r="I91" s="362"/>
      <c r="J91" s="362"/>
      <c r="K91" s="262"/>
      <c r="L91" s="261"/>
      <c r="M91" s="261"/>
      <c r="N91" s="261"/>
      <c r="O91" s="372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7"/>
    </row>
    <row r="92" spans="1:26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392"/>
      <c r="G92" s="371"/>
      <c r="H92" s="371"/>
      <c r="I92" s="362"/>
      <c r="J92" s="362"/>
      <c r="K92" s="262"/>
      <c r="L92" s="261"/>
      <c r="M92" s="261"/>
      <c r="N92" s="261"/>
      <c r="O92" s="372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7"/>
    </row>
    <row r="93" spans="1:26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392"/>
      <c r="G93" s="371"/>
      <c r="H93" s="371"/>
      <c r="I93" s="362"/>
      <c r="J93" s="362"/>
      <c r="K93" s="262"/>
      <c r="L93" s="261"/>
      <c r="M93" s="261"/>
      <c r="N93" s="261"/>
      <c r="O93" s="372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7"/>
    </row>
    <row r="94" spans="1:26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392"/>
      <c r="G94" s="371"/>
      <c r="H94" s="371"/>
      <c r="I94" s="362"/>
      <c r="J94" s="362"/>
      <c r="K94" s="262"/>
      <c r="L94" s="261"/>
      <c r="M94" s="261"/>
      <c r="N94" s="261"/>
      <c r="O94" s="372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7"/>
    </row>
    <row r="95" spans="1:26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392"/>
      <c r="G95" s="371"/>
      <c r="H95" s="371"/>
      <c r="I95" s="362"/>
      <c r="J95" s="362"/>
      <c r="K95" s="262"/>
      <c r="L95" s="261"/>
      <c r="M95" s="261"/>
      <c r="N95" s="261"/>
      <c r="O95" s="372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7"/>
    </row>
    <row r="96" spans="1:26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392"/>
      <c r="G96" s="371"/>
      <c r="H96" s="371"/>
      <c r="I96" s="362"/>
      <c r="J96" s="362"/>
      <c r="K96" s="262"/>
      <c r="L96" s="261"/>
      <c r="M96" s="261"/>
      <c r="N96" s="261"/>
      <c r="O96" s="372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7"/>
    </row>
    <row r="97" spans="1:26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392"/>
      <c r="G97" s="371"/>
      <c r="H97" s="371"/>
      <c r="I97" s="362"/>
      <c r="J97" s="362"/>
      <c r="K97" s="262"/>
      <c r="L97" s="261"/>
      <c r="M97" s="261"/>
      <c r="N97" s="261"/>
      <c r="O97" s="372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7"/>
    </row>
    <row r="98" spans="1:26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392"/>
      <c r="G98" s="371"/>
      <c r="H98" s="371"/>
      <c r="I98" s="362"/>
      <c r="J98" s="362"/>
      <c r="K98" s="262"/>
      <c r="L98" s="261"/>
      <c r="M98" s="261"/>
      <c r="N98" s="261"/>
      <c r="O98" s="372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7"/>
    </row>
    <row r="99" spans="1:26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392"/>
      <c r="G99" s="371"/>
      <c r="H99" s="371"/>
      <c r="I99" s="362"/>
      <c r="J99" s="362"/>
      <c r="K99" s="262"/>
      <c r="L99" s="261"/>
      <c r="M99" s="261"/>
      <c r="N99" s="261"/>
      <c r="O99" s="372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7"/>
    </row>
    <row r="100" spans="1:26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392"/>
      <c r="G100" s="371"/>
      <c r="H100" s="371"/>
      <c r="I100" s="362"/>
      <c r="J100" s="362"/>
      <c r="K100" s="262"/>
      <c r="L100" s="261"/>
      <c r="M100" s="261"/>
      <c r="N100" s="261"/>
      <c r="O100" s="372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7"/>
    </row>
    <row r="101" spans="1:26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392"/>
      <c r="G101" s="371"/>
      <c r="H101" s="371"/>
      <c r="I101" s="362"/>
      <c r="J101" s="362"/>
      <c r="K101" s="262"/>
      <c r="L101" s="261"/>
      <c r="M101" s="261"/>
      <c r="N101" s="261"/>
      <c r="O101" s="372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7"/>
    </row>
    <row r="102" spans="1:26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392"/>
      <c r="G102" s="371"/>
      <c r="H102" s="371"/>
      <c r="I102" s="362"/>
      <c r="J102" s="362"/>
      <c r="K102" s="262"/>
      <c r="L102" s="261"/>
      <c r="M102" s="261"/>
      <c r="N102" s="261"/>
      <c r="O102" s="372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7"/>
    </row>
    <row r="103" spans="1:26" ht="18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392"/>
      <c r="G103" s="371"/>
      <c r="H103" s="371"/>
      <c r="I103" s="362"/>
      <c r="J103" s="373"/>
      <c r="K103" s="262"/>
      <c r="L103" s="261"/>
      <c r="M103" s="261"/>
      <c r="N103" s="261"/>
      <c r="O103" s="372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7"/>
    </row>
    <row r="104" spans="1:26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392"/>
      <c r="G104" s="373"/>
      <c r="H104" s="371"/>
      <c r="I104" s="373"/>
      <c r="J104" s="362"/>
      <c r="K104" s="273"/>
      <c r="L104" s="261"/>
      <c r="M104" s="261"/>
      <c r="N104" s="261"/>
      <c r="O104" s="372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7"/>
    </row>
    <row r="105" spans="1:26" ht="18.75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392"/>
      <c r="G105" s="362"/>
      <c r="H105" s="362"/>
      <c r="I105" s="362"/>
      <c r="J105" s="362"/>
      <c r="K105" s="270"/>
      <c r="L105" s="262"/>
      <c r="M105" s="262"/>
      <c r="N105" s="262"/>
      <c r="O105" s="37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7"/>
    </row>
    <row r="106" spans="1:26" ht="18.75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392"/>
      <c r="G106" s="362"/>
      <c r="H106" s="362"/>
      <c r="I106" s="362"/>
      <c r="J106" s="362"/>
      <c r="K106" s="270"/>
      <c r="L106" s="262"/>
      <c r="M106" s="262"/>
      <c r="N106" s="262"/>
      <c r="O106" s="37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7"/>
    </row>
    <row r="107" spans="1:26" ht="18.75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392"/>
      <c r="G107" s="362"/>
      <c r="H107" s="362"/>
      <c r="I107" s="362"/>
      <c r="J107" s="362"/>
      <c r="K107" s="270"/>
      <c r="L107" s="262"/>
      <c r="M107" s="262"/>
      <c r="N107" s="262"/>
      <c r="O107" s="37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7"/>
    </row>
    <row r="108" spans="1:26" ht="18.75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392"/>
      <c r="G108" s="362"/>
      <c r="H108" s="362"/>
      <c r="I108" s="362"/>
      <c r="J108" s="362"/>
      <c r="K108" s="270"/>
      <c r="L108" s="262"/>
      <c r="M108" s="262"/>
      <c r="N108" s="262"/>
      <c r="O108" s="37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7"/>
    </row>
    <row r="109" spans="1:26" ht="18.75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392"/>
      <c r="G109" s="362"/>
      <c r="H109" s="362"/>
      <c r="I109" s="362"/>
      <c r="J109" s="362"/>
      <c r="K109" s="270"/>
      <c r="L109" s="262"/>
      <c r="M109" s="262"/>
      <c r="N109" s="262"/>
      <c r="O109" s="37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7"/>
    </row>
    <row r="110" spans="1:26" ht="18.75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392"/>
      <c r="G110" s="362"/>
      <c r="H110" s="362"/>
      <c r="I110" s="362"/>
      <c r="J110" s="362"/>
      <c r="K110" s="270"/>
      <c r="L110" s="262"/>
      <c r="M110" s="262"/>
      <c r="N110" s="262"/>
      <c r="O110" s="37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7"/>
    </row>
    <row r="111" spans="1:26" ht="18.75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392"/>
      <c r="G111" s="362"/>
      <c r="H111" s="362"/>
      <c r="I111" s="362"/>
      <c r="J111" s="362"/>
      <c r="K111" s="270"/>
      <c r="L111" s="262"/>
      <c r="M111" s="262"/>
      <c r="N111" s="262"/>
      <c r="O111" s="37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7"/>
    </row>
    <row r="112" spans="1:26" ht="18.75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392"/>
      <c r="G112" s="362"/>
      <c r="H112" s="362"/>
      <c r="I112" s="362"/>
      <c r="J112" s="362"/>
      <c r="K112" s="270"/>
      <c r="L112" s="262"/>
      <c r="M112" s="262"/>
      <c r="N112" s="262"/>
      <c r="O112" s="37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7"/>
    </row>
    <row r="113" spans="1:26" ht="18.75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392"/>
      <c r="G113" s="362"/>
      <c r="H113" s="362"/>
      <c r="I113" s="362"/>
      <c r="J113" s="362"/>
      <c r="K113" s="270"/>
      <c r="L113" s="262"/>
      <c r="M113" s="262"/>
      <c r="N113" s="262"/>
      <c r="O113" s="37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7"/>
    </row>
    <row r="114" spans="1:26" ht="18.75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392"/>
      <c r="G114" s="362"/>
      <c r="H114" s="362"/>
      <c r="I114" s="362"/>
      <c r="J114" s="362"/>
      <c r="K114" s="270"/>
      <c r="L114" s="262"/>
      <c r="M114" s="262"/>
      <c r="N114" s="262"/>
      <c r="O114" s="37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7"/>
    </row>
    <row r="115" spans="1:26" ht="18.75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392"/>
      <c r="G115" s="362"/>
      <c r="H115" s="362"/>
      <c r="I115" s="362"/>
      <c r="J115" s="362"/>
      <c r="K115" s="270"/>
      <c r="L115" s="262"/>
      <c r="M115" s="262"/>
      <c r="N115" s="262"/>
      <c r="O115" s="37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7"/>
    </row>
    <row r="116" spans="1:26" ht="18.75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392"/>
      <c r="G116" s="362"/>
      <c r="H116" s="362"/>
      <c r="I116" s="362"/>
      <c r="J116" s="362"/>
      <c r="K116" s="270"/>
      <c r="L116" s="262"/>
      <c r="M116" s="262"/>
      <c r="N116" s="262"/>
      <c r="O116" s="37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7"/>
    </row>
    <row r="117" spans="1:26" ht="18.75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392"/>
      <c r="G117" s="362"/>
      <c r="H117" s="362"/>
      <c r="I117" s="362"/>
      <c r="J117" s="362"/>
      <c r="K117" s="270"/>
      <c r="L117" s="262"/>
      <c r="M117" s="262"/>
      <c r="N117" s="262"/>
      <c r="O117" s="37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7"/>
    </row>
    <row r="118" spans="1:26" ht="18.75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392"/>
      <c r="G118" s="362"/>
      <c r="H118" s="362"/>
      <c r="I118" s="362"/>
      <c r="J118" s="362"/>
      <c r="K118" s="270"/>
      <c r="L118" s="262"/>
      <c r="M118" s="262"/>
      <c r="N118" s="262"/>
      <c r="O118" s="37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7"/>
    </row>
    <row r="119" spans="1:26" ht="18.75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392"/>
      <c r="G119" s="362"/>
      <c r="H119" s="362"/>
      <c r="I119" s="362"/>
      <c r="J119" s="362"/>
      <c r="K119" s="270"/>
      <c r="L119" s="262"/>
      <c r="M119" s="262"/>
      <c r="N119" s="262"/>
      <c r="O119" s="37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7"/>
    </row>
    <row r="120" spans="1:26" ht="18.75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392"/>
      <c r="G120" s="362"/>
      <c r="H120" s="362"/>
      <c r="I120" s="362"/>
      <c r="J120" s="362"/>
      <c r="K120" s="270"/>
      <c r="L120" s="262"/>
      <c r="M120" s="262"/>
      <c r="N120" s="262"/>
      <c r="O120" s="37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7"/>
    </row>
    <row r="121" spans="1:26" ht="18.75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392"/>
      <c r="G121" s="362"/>
      <c r="H121" s="362"/>
      <c r="I121" s="362"/>
      <c r="J121" s="362"/>
      <c r="K121" s="270"/>
      <c r="L121" s="262"/>
      <c r="M121" s="262"/>
      <c r="N121" s="262"/>
      <c r="O121" s="37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7"/>
    </row>
    <row r="122" spans="1:26" ht="18.75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392"/>
      <c r="G122" s="362"/>
      <c r="H122" s="362"/>
      <c r="I122" s="362"/>
      <c r="J122" s="362"/>
      <c r="K122" s="270"/>
      <c r="L122" s="262"/>
      <c r="M122" s="262"/>
      <c r="N122" s="262"/>
      <c r="O122" s="37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7"/>
    </row>
    <row r="123" spans="1:26" ht="18.75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392"/>
      <c r="G123" s="362"/>
      <c r="H123" s="362"/>
      <c r="I123" s="362"/>
      <c r="J123" s="362"/>
      <c r="K123" s="270"/>
      <c r="L123" s="262"/>
      <c r="M123" s="262"/>
      <c r="N123" s="262"/>
      <c r="O123" s="37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7"/>
    </row>
    <row r="124" spans="1:26" ht="18.75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392"/>
      <c r="G124" s="362"/>
      <c r="H124" s="362"/>
      <c r="I124" s="362"/>
      <c r="J124" s="362"/>
      <c r="K124" s="270"/>
      <c r="L124" s="262"/>
      <c r="M124" s="262"/>
      <c r="N124" s="262"/>
      <c r="O124" s="37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7"/>
    </row>
    <row r="125" spans="1:26" ht="18.75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392"/>
      <c r="G125" s="362"/>
      <c r="H125" s="362"/>
      <c r="I125" s="362"/>
      <c r="J125" s="362"/>
      <c r="K125" s="270"/>
      <c r="L125" s="262"/>
      <c r="M125" s="262"/>
      <c r="N125" s="262"/>
      <c r="O125" s="37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7"/>
    </row>
    <row r="126" spans="1:26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392"/>
      <c r="G126" s="371"/>
      <c r="H126" s="371"/>
      <c r="I126" s="362"/>
      <c r="J126" s="362"/>
      <c r="K126" s="273"/>
      <c r="L126" s="261"/>
      <c r="M126" s="261"/>
      <c r="N126" s="261"/>
      <c r="O126" s="372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7"/>
    </row>
    <row r="127" spans="1:26" ht="18.75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392"/>
      <c r="G127" s="362"/>
      <c r="H127" s="362"/>
      <c r="I127" s="362"/>
      <c r="J127" s="362"/>
      <c r="K127" s="273"/>
      <c r="L127" s="262"/>
      <c r="M127" s="262"/>
      <c r="N127" s="262"/>
      <c r="O127" s="37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7"/>
    </row>
    <row r="128" spans="1:26" ht="18.75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392"/>
      <c r="G128" s="362"/>
      <c r="H128" s="362"/>
      <c r="I128" s="362"/>
      <c r="J128" s="362"/>
      <c r="K128" s="262"/>
      <c r="L128" s="262"/>
      <c r="M128" s="262"/>
      <c r="N128" s="262"/>
      <c r="O128" s="37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7"/>
    </row>
    <row r="129" spans="1:26" ht="18.75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392"/>
      <c r="G129" s="362"/>
      <c r="H129" s="362"/>
      <c r="I129" s="362"/>
      <c r="J129" s="362"/>
      <c r="K129" s="262"/>
      <c r="L129" s="262"/>
      <c r="M129" s="262"/>
      <c r="N129" s="262"/>
      <c r="O129" s="37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7"/>
    </row>
    <row r="130" spans="1:26" ht="18.75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392"/>
      <c r="G130" s="362"/>
      <c r="H130" s="362"/>
      <c r="I130" s="362"/>
      <c r="J130" s="362"/>
      <c r="K130" s="262"/>
      <c r="L130" s="262"/>
      <c r="M130" s="262"/>
      <c r="N130" s="262"/>
      <c r="O130" s="37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7"/>
    </row>
    <row r="131" spans="1:26" ht="18.75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392"/>
      <c r="G131" s="362"/>
      <c r="H131" s="362"/>
      <c r="I131" s="362"/>
      <c r="J131" s="362"/>
      <c r="K131" s="262"/>
      <c r="L131" s="262"/>
      <c r="M131" s="262"/>
      <c r="N131" s="262"/>
      <c r="O131" s="37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7"/>
    </row>
    <row r="132" spans="1:26" ht="18.75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392"/>
      <c r="G132" s="362"/>
      <c r="H132" s="362"/>
      <c r="I132" s="362"/>
      <c r="J132" s="362"/>
      <c r="K132" s="262"/>
      <c r="L132" s="262"/>
      <c r="M132" s="262"/>
      <c r="N132" s="262"/>
      <c r="O132" s="37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7"/>
    </row>
    <row r="133" spans="1:26" ht="18.75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392"/>
      <c r="G133" s="362"/>
      <c r="H133" s="362"/>
      <c r="I133" s="362"/>
      <c r="J133" s="362"/>
      <c r="K133" s="262"/>
      <c r="L133" s="262"/>
      <c r="M133" s="262"/>
      <c r="N133" s="262"/>
      <c r="O133" s="37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7"/>
    </row>
    <row r="134" spans="1:26" ht="18.75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392"/>
      <c r="G134" s="362"/>
      <c r="H134" s="362"/>
      <c r="I134" s="362"/>
      <c r="J134" s="362"/>
      <c r="K134" s="262"/>
      <c r="L134" s="262"/>
      <c r="M134" s="262"/>
      <c r="N134" s="262"/>
      <c r="O134" s="37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7"/>
    </row>
    <row r="135" spans="1:26" ht="18.75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392"/>
      <c r="G135" s="362"/>
      <c r="H135" s="362"/>
      <c r="I135" s="362"/>
      <c r="J135" s="362"/>
      <c r="K135" s="262"/>
      <c r="L135" s="262"/>
      <c r="M135" s="262"/>
      <c r="N135" s="262"/>
      <c r="O135" s="37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7"/>
    </row>
    <row r="136" spans="1:26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392"/>
      <c r="G136" s="371"/>
      <c r="H136" s="371"/>
      <c r="I136" s="362"/>
      <c r="J136" s="362"/>
      <c r="K136" s="262"/>
      <c r="L136" s="261"/>
      <c r="M136" s="261"/>
      <c r="N136" s="261"/>
      <c r="O136" s="372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7"/>
    </row>
    <row r="137" spans="1:26" ht="18.75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392"/>
      <c r="G137" s="362"/>
      <c r="H137" s="362"/>
      <c r="I137" s="362"/>
      <c r="J137" s="362"/>
      <c r="K137" s="262"/>
      <c r="L137" s="262"/>
      <c r="M137" s="262"/>
      <c r="N137" s="262"/>
      <c r="O137" s="37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7"/>
    </row>
    <row r="138" spans="1:26" ht="18.75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392"/>
      <c r="G138" s="362"/>
      <c r="H138" s="362"/>
      <c r="I138" s="362"/>
      <c r="J138" s="362"/>
      <c r="K138" s="262"/>
      <c r="L138" s="262"/>
      <c r="M138" s="262"/>
      <c r="N138" s="262"/>
      <c r="O138" s="37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7"/>
    </row>
    <row r="139" spans="1:26" ht="18.75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392"/>
      <c r="G139" s="362"/>
      <c r="H139" s="362"/>
      <c r="I139" s="362"/>
      <c r="J139" s="362"/>
      <c r="K139" s="262"/>
      <c r="L139" s="262"/>
      <c r="M139" s="262"/>
      <c r="N139" s="262"/>
      <c r="O139" s="37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7"/>
    </row>
    <row r="140" spans="1:26" ht="18.75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392"/>
      <c r="G140" s="362"/>
      <c r="H140" s="362"/>
      <c r="I140" s="362"/>
      <c r="J140" s="362"/>
      <c r="K140" s="262"/>
      <c r="L140" s="262"/>
      <c r="M140" s="262"/>
      <c r="N140" s="262"/>
      <c r="O140" s="37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7"/>
    </row>
    <row r="141" spans="1:26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392"/>
      <c r="G141" s="371"/>
      <c r="H141" s="371"/>
      <c r="I141" s="362"/>
      <c r="J141" s="362"/>
      <c r="K141" s="262"/>
      <c r="L141" s="261"/>
      <c r="M141" s="261"/>
      <c r="N141" s="261"/>
      <c r="O141" s="372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7"/>
    </row>
    <row r="142" spans="1:26" ht="18.75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392"/>
      <c r="G142" s="362"/>
      <c r="H142" s="362"/>
      <c r="I142" s="362"/>
      <c r="J142" s="362"/>
      <c r="K142" s="262"/>
      <c r="L142" s="262"/>
      <c r="M142" s="262"/>
      <c r="N142" s="262"/>
      <c r="O142" s="37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7"/>
    </row>
    <row r="143" spans="1:26" ht="18.75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392"/>
      <c r="G143" s="362"/>
      <c r="H143" s="362"/>
      <c r="I143" s="362"/>
      <c r="J143" s="362"/>
      <c r="K143" s="262"/>
      <c r="L143" s="262"/>
      <c r="M143" s="262"/>
      <c r="N143" s="262"/>
      <c r="O143" s="37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7"/>
    </row>
    <row r="144" spans="1:26" ht="18.75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392"/>
      <c r="G144" s="362"/>
      <c r="H144" s="362"/>
      <c r="I144" s="362"/>
      <c r="J144" s="362"/>
      <c r="K144" s="262"/>
      <c r="L144" s="262"/>
      <c r="M144" s="262"/>
      <c r="N144" s="262"/>
      <c r="O144" s="37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7"/>
    </row>
    <row r="145" spans="1:26" ht="18.75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392"/>
      <c r="G145" s="362"/>
      <c r="H145" s="362"/>
      <c r="I145" s="362"/>
      <c r="J145" s="362"/>
      <c r="K145" s="262"/>
      <c r="L145" s="262"/>
      <c r="M145" s="262"/>
      <c r="N145" s="262"/>
      <c r="O145" s="37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7"/>
    </row>
    <row r="146" spans="1:26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392"/>
      <c r="G146" s="371"/>
      <c r="H146" s="371"/>
      <c r="I146" s="362"/>
      <c r="J146" s="362"/>
      <c r="K146" s="262"/>
      <c r="L146" s="261"/>
      <c r="M146" s="261"/>
      <c r="N146" s="261"/>
      <c r="O146" s="372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7"/>
    </row>
    <row r="147" spans="1:26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392"/>
      <c r="G147" s="371"/>
      <c r="H147" s="371"/>
      <c r="I147" s="362"/>
      <c r="J147" s="362"/>
      <c r="K147" s="262"/>
      <c r="L147" s="261"/>
      <c r="M147" s="261"/>
      <c r="N147" s="261"/>
      <c r="O147" s="372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7"/>
    </row>
    <row r="148" spans="1:26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392"/>
      <c r="G148" s="371"/>
      <c r="H148" s="371"/>
      <c r="I148" s="362"/>
      <c r="J148" s="362"/>
      <c r="K148" s="262"/>
      <c r="L148" s="261"/>
      <c r="M148" s="261"/>
      <c r="N148" s="261"/>
      <c r="O148" s="372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7"/>
    </row>
    <row r="149" spans="1:26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392"/>
      <c r="G149" s="371"/>
      <c r="H149" s="371"/>
      <c r="I149" s="362"/>
      <c r="J149" s="362"/>
      <c r="K149" s="262"/>
      <c r="L149" s="261"/>
      <c r="M149" s="261"/>
      <c r="N149" s="261"/>
      <c r="O149" s="372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7"/>
    </row>
    <row r="150" spans="1:26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392"/>
      <c r="G150" s="371"/>
      <c r="H150" s="371"/>
      <c r="I150" s="362"/>
      <c r="J150" s="362"/>
      <c r="K150" s="262"/>
      <c r="L150" s="261"/>
      <c r="M150" s="261"/>
      <c r="N150" s="261"/>
      <c r="O150" s="372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7"/>
    </row>
    <row r="151" spans="1:26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392"/>
      <c r="G151" s="371"/>
      <c r="H151" s="371"/>
      <c r="I151" s="362"/>
      <c r="J151" s="362"/>
      <c r="K151" s="262"/>
      <c r="L151" s="261"/>
      <c r="M151" s="261"/>
      <c r="N151" s="261"/>
      <c r="O151" s="372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7"/>
    </row>
    <row r="152" spans="1:26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392"/>
      <c r="G152" s="371"/>
      <c r="H152" s="371"/>
      <c r="I152" s="362"/>
      <c r="J152" s="362"/>
      <c r="K152" s="262"/>
      <c r="L152" s="261"/>
      <c r="M152" s="261"/>
      <c r="N152" s="261"/>
      <c r="O152" s="372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7"/>
    </row>
    <row r="153" spans="1:26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392"/>
      <c r="G153" s="371"/>
      <c r="H153" s="371"/>
      <c r="I153" s="362"/>
      <c r="J153" s="362"/>
      <c r="K153" s="262"/>
      <c r="L153" s="261"/>
      <c r="M153" s="261"/>
      <c r="N153" s="261"/>
      <c r="O153" s="372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7"/>
    </row>
    <row r="154" spans="1:26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392"/>
      <c r="G154" s="371"/>
      <c r="H154" s="371"/>
      <c r="I154" s="362"/>
      <c r="J154" s="362"/>
      <c r="K154" s="262"/>
      <c r="L154" s="261"/>
      <c r="M154" s="261"/>
      <c r="N154" s="261"/>
      <c r="O154" s="372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7"/>
    </row>
    <row r="155" spans="1:26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392"/>
      <c r="G155" s="371"/>
      <c r="H155" s="371"/>
      <c r="I155" s="362"/>
      <c r="J155" s="362"/>
      <c r="K155" s="262"/>
      <c r="L155" s="261"/>
      <c r="M155" s="261"/>
      <c r="N155" s="261"/>
      <c r="O155" s="372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7"/>
    </row>
    <row r="156" spans="1:26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392"/>
      <c r="G156" s="371"/>
      <c r="H156" s="371"/>
      <c r="I156" s="362"/>
      <c r="J156" s="362"/>
      <c r="K156" s="262"/>
      <c r="L156" s="261"/>
      <c r="M156" s="261"/>
      <c r="N156" s="261"/>
      <c r="O156" s="372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7"/>
    </row>
    <row r="157" spans="1:26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392"/>
      <c r="G157" s="371"/>
      <c r="H157" s="371"/>
      <c r="I157" s="362"/>
      <c r="J157" s="362"/>
      <c r="K157" s="262"/>
      <c r="L157" s="261"/>
      <c r="M157" s="261"/>
      <c r="N157" s="261"/>
      <c r="O157" s="372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7"/>
    </row>
    <row r="158" spans="1:26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392"/>
      <c r="G158" s="371"/>
      <c r="H158" s="371"/>
      <c r="I158" s="362"/>
      <c r="J158" s="362"/>
      <c r="K158" s="262"/>
      <c r="L158" s="261"/>
      <c r="M158" s="261"/>
      <c r="N158" s="261"/>
      <c r="O158" s="372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7"/>
    </row>
    <row r="159" spans="1:26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392"/>
      <c r="G159" s="371"/>
      <c r="H159" s="371"/>
      <c r="I159" s="362"/>
      <c r="J159" s="362"/>
      <c r="K159" s="262"/>
      <c r="L159" s="261"/>
      <c r="M159" s="261"/>
      <c r="N159" s="261"/>
      <c r="O159" s="372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7"/>
    </row>
    <row r="160" spans="1:26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392"/>
      <c r="G160" s="371"/>
      <c r="H160" s="371"/>
      <c r="I160" s="362"/>
      <c r="J160" s="362"/>
      <c r="K160" s="262"/>
      <c r="L160" s="261"/>
      <c r="M160" s="261"/>
      <c r="N160" s="261"/>
      <c r="O160" s="372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7"/>
    </row>
    <row r="161" spans="1:26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392"/>
      <c r="G161" s="371"/>
      <c r="H161" s="371"/>
      <c r="I161" s="362"/>
      <c r="J161" s="362"/>
      <c r="K161" s="262"/>
      <c r="L161" s="261"/>
      <c r="M161" s="261"/>
      <c r="N161" s="261"/>
      <c r="O161" s="372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7"/>
    </row>
    <row r="162" spans="1:26" ht="18.75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392"/>
      <c r="G162" s="362"/>
      <c r="H162" s="362"/>
      <c r="I162" s="362"/>
      <c r="J162" s="362"/>
      <c r="K162" s="262"/>
      <c r="L162" s="262"/>
      <c r="M162" s="262"/>
      <c r="N162" s="262"/>
      <c r="O162" s="37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7"/>
    </row>
    <row r="163" spans="1:26" ht="18.75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392"/>
      <c r="G163" s="362"/>
      <c r="H163" s="362"/>
      <c r="I163" s="362"/>
      <c r="J163" s="362"/>
      <c r="K163" s="262"/>
      <c r="L163" s="262"/>
      <c r="M163" s="262"/>
      <c r="N163" s="262"/>
      <c r="O163" s="37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7"/>
    </row>
    <row r="164" spans="1:26" ht="31.5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392"/>
      <c r="G164" s="362"/>
      <c r="H164" s="362"/>
      <c r="I164" s="362"/>
      <c r="J164" s="362"/>
      <c r="K164" s="262"/>
      <c r="L164" s="262"/>
      <c r="M164" s="262"/>
      <c r="N164" s="262"/>
      <c r="O164" s="37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7"/>
    </row>
    <row r="165" spans="1:26" ht="18.75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392"/>
      <c r="G165" s="362"/>
      <c r="H165" s="362"/>
      <c r="I165" s="362"/>
      <c r="J165" s="362"/>
      <c r="K165" s="262"/>
      <c r="L165" s="262"/>
      <c r="M165" s="262"/>
      <c r="N165" s="262"/>
      <c r="O165" s="37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7"/>
    </row>
    <row r="166" spans="1:26" ht="31.5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392"/>
      <c r="G166" s="362"/>
      <c r="H166" s="362"/>
      <c r="I166" s="362"/>
      <c r="J166" s="362"/>
      <c r="K166" s="262"/>
      <c r="L166" s="262"/>
      <c r="M166" s="262"/>
      <c r="N166" s="262"/>
      <c r="O166" s="37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7"/>
    </row>
    <row r="167" spans="1:26" ht="18.75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392"/>
      <c r="G167" s="362"/>
      <c r="H167" s="362"/>
      <c r="I167" s="362"/>
      <c r="J167" s="362"/>
      <c r="K167" s="262"/>
      <c r="L167" s="262"/>
      <c r="M167" s="262"/>
      <c r="N167" s="262"/>
      <c r="O167" s="37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7"/>
    </row>
    <row r="168" spans="1:26" ht="18.75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392"/>
      <c r="G168" s="362"/>
      <c r="H168" s="362"/>
      <c r="I168" s="362"/>
      <c r="J168" s="362"/>
      <c r="K168" s="262"/>
      <c r="L168" s="262"/>
      <c r="M168" s="262"/>
      <c r="N168" s="262"/>
      <c r="O168" s="37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7"/>
    </row>
    <row r="169" spans="1:26" ht="15.75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392"/>
      <c r="G169" s="362"/>
      <c r="H169" s="362"/>
      <c r="I169" s="362"/>
      <c r="J169" s="362"/>
      <c r="K169" s="262"/>
      <c r="L169" s="262"/>
      <c r="M169" s="262"/>
      <c r="N169" s="262"/>
      <c r="O169" s="37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7"/>
    </row>
    <row r="170" spans="1:26" ht="31.5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392"/>
      <c r="G170" s="362"/>
      <c r="H170" s="362"/>
      <c r="I170" s="362"/>
      <c r="J170" s="362"/>
      <c r="K170" s="262"/>
      <c r="L170" s="262"/>
      <c r="M170" s="262"/>
      <c r="N170" s="262"/>
      <c r="O170" s="37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7"/>
    </row>
    <row r="171" spans="1:26" ht="31.5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392"/>
      <c r="G171" s="362"/>
      <c r="H171" s="362"/>
      <c r="I171" s="362"/>
      <c r="J171" s="362"/>
      <c r="K171" s="262"/>
      <c r="L171" s="262"/>
      <c r="M171" s="262"/>
      <c r="N171" s="262"/>
      <c r="O171" s="37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7"/>
    </row>
    <row r="172" spans="1:26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392"/>
      <c r="G172" s="371"/>
      <c r="H172" s="371"/>
      <c r="I172" s="362"/>
      <c r="J172" s="362"/>
      <c r="K172" s="262"/>
      <c r="L172" s="261"/>
      <c r="M172" s="261"/>
      <c r="N172" s="261"/>
      <c r="O172" s="372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7"/>
    </row>
    <row r="173" spans="1:26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392"/>
      <c r="G173" s="371"/>
      <c r="H173" s="371"/>
      <c r="I173" s="362"/>
      <c r="J173" s="362"/>
      <c r="K173" s="262"/>
      <c r="L173" s="261"/>
      <c r="M173" s="261"/>
      <c r="N173" s="261"/>
      <c r="O173" s="372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7"/>
    </row>
    <row r="174" spans="1:26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392"/>
      <c r="G174" s="371"/>
      <c r="H174" s="371"/>
      <c r="I174" s="362"/>
      <c r="J174" s="362"/>
      <c r="K174" s="262"/>
      <c r="L174" s="261"/>
      <c r="M174" s="261"/>
      <c r="N174" s="261"/>
      <c r="O174" s="372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7"/>
    </row>
    <row r="175" spans="1:26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392"/>
      <c r="G175" s="371"/>
      <c r="H175" s="371"/>
      <c r="I175" s="362"/>
      <c r="J175" s="362"/>
      <c r="K175" s="262"/>
      <c r="L175" s="261"/>
      <c r="M175" s="261"/>
      <c r="N175" s="261"/>
      <c r="O175" s="372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7"/>
    </row>
    <row r="176" spans="1:26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392"/>
      <c r="G176" s="371"/>
      <c r="H176" s="371"/>
      <c r="I176" s="362"/>
      <c r="J176" s="362"/>
      <c r="K176" s="262"/>
      <c r="L176" s="261"/>
      <c r="M176" s="261"/>
      <c r="N176" s="261"/>
      <c r="O176" s="372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7"/>
    </row>
    <row r="177" spans="1:26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392"/>
      <c r="G177" s="371"/>
      <c r="H177" s="371"/>
      <c r="I177" s="362"/>
      <c r="J177" s="362"/>
      <c r="K177" s="262"/>
      <c r="L177" s="261"/>
      <c r="M177" s="261"/>
      <c r="N177" s="261"/>
      <c r="O177" s="372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7"/>
    </row>
    <row r="178" spans="1:26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392"/>
      <c r="G178" s="371"/>
      <c r="H178" s="371"/>
      <c r="I178" s="371"/>
      <c r="J178" s="371"/>
      <c r="K178" s="261"/>
      <c r="L178" s="261"/>
      <c r="M178" s="261"/>
      <c r="N178" s="261"/>
      <c r="O178" s="372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7"/>
    </row>
    <row r="179" spans="1:26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392"/>
      <c r="G179" s="371"/>
      <c r="H179" s="371"/>
      <c r="I179" s="362"/>
      <c r="J179" s="362"/>
      <c r="K179" s="262"/>
      <c r="L179" s="261"/>
      <c r="M179" s="261"/>
      <c r="N179" s="261"/>
      <c r="O179" s="372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7"/>
    </row>
    <row r="180" spans="1:26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392"/>
      <c r="G180" s="371"/>
      <c r="H180" s="371"/>
      <c r="I180" s="362"/>
      <c r="J180" s="362"/>
      <c r="K180" s="262"/>
      <c r="L180" s="261"/>
      <c r="M180" s="261"/>
      <c r="N180" s="261"/>
      <c r="O180" s="372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7"/>
    </row>
    <row r="181" spans="1:26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392"/>
      <c r="G181" s="371"/>
      <c r="H181" s="371"/>
      <c r="I181" s="362"/>
      <c r="J181" s="362"/>
      <c r="K181" s="262"/>
      <c r="L181" s="261"/>
      <c r="M181" s="261"/>
      <c r="N181" s="261"/>
      <c r="O181" s="372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7"/>
    </row>
    <row r="182" spans="1:26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392"/>
      <c r="G182" s="371"/>
      <c r="H182" s="371"/>
      <c r="I182" s="362"/>
      <c r="J182" s="362"/>
      <c r="K182" s="262"/>
      <c r="L182" s="261"/>
      <c r="M182" s="261"/>
      <c r="N182" s="261"/>
      <c r="O182" s="372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7"/>
    </row>
    <row r="183" spans="1:26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392"/>
      <c r="G183" s="371"/>
      <c r="H183" s="371"/>
      <c r="I183" s="362"/>
      <c r="J183" s="362"/>
      <c r="K183" s="262"/>
      <c r="L183" s="261"/>
      <c r="M183" s="261"/>
      <c r="N183" s="261"/>
      <c r="O183" s="372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7"/>
    </row>
    <row r="184" spans="1:26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392"/>
      <c r="G184" s="371"/>
      <c r="H184" s="371"/>
      <c r="I184" s="362"/>
      <c r="J184" s="362"/>
      <c r="K184" s="262"/>
      <c r="L184" s="261"/>
      <c r="M184" s="261"/>
      <c r="N184" s="261"/>
      <c r="O184" s="372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7"/>
    </row>
    <row r="185" spans="1:26" ht="31.5" customHeight="1">
      <c r="A185" s="101">
        <v>7.7</v>
      </c>
      <c r="B185" s="53" t="s">
        <v>412</v>
      </c>
      <c r="C185" s="87" t="s">
        <v>413</v>
      </c>
      <c r="D185" s="61" t="s">
        <v>1279</v>
      </c>
      <c r="E185" s="200">
        <f t="shared" si="0"/>
        <v>0</v>
      </c>
      <c r="F185" s="392"/>
      <c r="G185" s="371"/>
      <c r="H185" s="371"/>
      <c r="I185" s="362"/>
      <c r="J185" s="362"/>
      <c r="K185" s="262"/>
      <c r="L185" s="261"/>
      <c r="M185" s="261"/>
      <c r="N185" s="261"/>
      <c r="O185" s="372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7"/>
    </row>
    <row r="186" spans="1:26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392"/>
      <c r="G186" s="371"/>
      <c r="H186" s="371"/>
      <c r="I186" s="362"/>
      <c r="J186" s="362"/>
      <c r="K186" s="262"/>
      <c r="L186" s="261"/>
      <c r="M186" s="261"/>
      <c r="N186" s="261"/>
      <c r="O186" s="372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7"/>
    </row>
    <row r="187" spans="1:26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392"/>
      <c r="G187" s="371"/>
      <c r="H187" s="371"/>
      <c r="I187" s="362"/>
      <c r="J187" s="362"/>
      <c r="K187" s="262"/>
      <c r="L187" s="261"/>
      <c r="M187" s="261"/>
      <c r="N187" s="261"/>
      <c r="O187" s="372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7"/>
    </row>
    <row r="188" spans="1:26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392"/>
      <c r="G188" s="371"/>
      <c r="H188" s="371"/>
      <c r="I188" s="362"/>
      <c r="J188" s="362"/>
      <c r="K188" s="262"/>
      <c r="L188" s="261"/>
      <c r="M188" s="261"/>
      <c r="N188" s="261"/>
      <c r="O188" s="372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7"/>
    </row>
    <row r="189" spans="1:26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392"/>
      <c r="G189" s="371"/>
      <c r="H189" s="371"/>
      <c r="I189" s="362"/>
      <c r="J189" s="362"/>
      <c r="K189" s="262"/>
      <c r="L189" s="174"/>
      <c r="M189" s="261"/>
      <c r="N189" s="261"/>
      <c r="O189" s="372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7"/>
    </row>
    <row r="190" spans="1:26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392"/>
      <c r="G190" s="371"/>
      <c r="H190" s="371"/>
      <c r="I190" s="362"/>
      <c r="J190" s="362"/>
      <c r="K190" s="262"/>
      <c r="L190" s="261"/>
      <c r="M190" s="261"/>
      <c r="N190" s="261"/>
      <c r="O190" s="372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7"/>
    </row>
    <row r="191" spans="1:26" ht="18.75" customHeight="1">
      <c r="A191" s="42" t="s">
        <v>991</v>
      </c>
      <c r="B191" s="59" t="s">
        <v>428</v>
      </c>
      <c r="C191" s="111" t="s">
        <v>429</v>
      </c>
      <c r="D191" s="61" t="s">
        <v>1280</v>
      </c>
      <c r="E191" s="200">
        <f t="shared" si="0"/>
        <v>0</v>
      </c>
      <c r="F191" s="392"/>
      <c r="G191" s="371"/>
      <c r="H191" s="371"/>
      <c r="I191" s="362"/>
      <c r="J191" s="362"/>
      <c r="K191" s="262"/>
      <c r="L191" s="261"/>
      <c r="M191" s="261"/>
      <c r="N191" s="261"/>
      <c r="O191" s="372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7"/>
    </row>
    <row r="192" spans="1:26" ht="18.75" customHeight="1">
      <c r="A192" s="42" t="s">
        <v>990</v>
      </c>
      <c r="B192" s="59" t="s">
        <v>426</v>
      </c>
      <c r="C192" s="111" t="s">
        <v>431</v>
      </c>
      <c r="D192" s="61" t="s">
        <v>1281</v>
      </c>
      <c r="E192" s="200">
        <f t="shared" si="0"/>
        <v>0</v>
      </c>
      <c r="F192" s="392"/>
      <c r="G192" s="371"/>
      <c r="H192" s="371"/>
      <c r="I192" s="362"/>
      <c r="J192" s="362"/>
      <c r="K192" s="262"/>
      <c r="L192" s="261"/>
      <c r="M192" s="261"/>
      <c r="N192" s="261"/>
      <c r="O192" s="372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7"/>
    </row>
    <row r="193" spans="1:26" ht="18.75" customHeight="1">
      <c r="A193" s="42" t="s">
        <v>991</v>
      </c>
      <c r="B193" s="59" t="s">
        <v>428</v>
      </c>
      <c r="C193" s="111" t="s">
        <v>433</v>
      </c>
      <c r="D193" s="61" t="s">
        <v>1282</v>
      </c>
      <c r="E193" s="200">
        <f t="shared" si="0"/>
        <v>0</v>
      </c>
      <c r="F193" s="392"/>
      <c r="G193" s="371"/>
      <c r="H193" s="371"/>
      <c r="I193" s="362"/>
      <c r="J193" s="362"/>
      <c r="K193" s="262"/>
      <c r="L193" s="261"/>
      <c r="M193" s="261"/>
      <c r="N193" s="261"/>
      <c r="O193" s="372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7"/>
    </row>
    <row r="194" spans="1:26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392"/>
      <c r="G194" s="371"/>
      <c r="H194" s="371"/>
      <c r="I194" s="362"/>
      <c r="J194" s="362"/>
      <c r="K194" s="262"/>
      <c r="L194" s="261"/>
      <c r="M194" s="261"/>
      <c r="N194" s="261"/>
      <c r="O194" s="372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7"/>
    </row>
    <row r="195" spans="1:26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392"/>
      <c r="G195" s="371"/>
      <c r="H195" s="371"/>
      <c r="I195" s="362"/>
      <c r="J195" s="362"/>
      <c r="K195" s="261"/>
      <c r="L195" s="272"/>
      <c r="M195" s="261"/>
      <c r="N195" s="261"/>
      <c r="O195" s="372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7"/>
    </row>
    <row r="196" spans="1:26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392"/>
      <c r="G196" s="371"/>
      <c r="H196" s="371"/>
      <c r="I196" s="362"/>
      <c r="J196" s="362"/>
      <c r="K196" s="262"/>
      <c r="L196" s="261"/>
      <c r="M196" s="261"/>
      <c r="N196" s="261"/>
      <c r="O196" s="372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7"/>
    </row>
    <row r="197" spans="1:26" ht="18.75" customHeight="1">
      <c r="A197" s="42" t="s">
        <v>997</v>
      </c>
      <c r="B197" s="59" t="s">
        <v>440</v>
      </c>
      <c r="C197" s="111" t="s">
        <v>429</v>
      </c>
      <c r="D197" s="61" t="s">
        <v>1283</v>
      </c>
      <c r="E197" s="200">
        <f t="shared" si="0"/>
        <v>0</v>
      </c>
      <c r="F197" s="392"/>
      <c r="G197" s="371"/>
      <c r="H197" s="371"/>
      <c r="I197" s="362"/>
      <c r="J197" s="362"/>
      <c r="K197" s="262"/>
      <c r="L197" s="261"/>
      <c r="M197" s="261"/>
      <c r="N197" s="261"/>
      <c r="O197" s="372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7"/>
    </row>
    <row r="198" spans="1:26" ht="18.75" customHeight="1">
      <c r="A198" s="42" t="s">
        <v>996</v>
      </c>
      <c r="B198" s="59" t="s">
        <v>439</v>
      </c>
      <c r="C198" s="111" t="s">
        <v>431</v>
      </c>
      <c r="D198" s="61" t="s">
        <v>1284</v>
      </c>
      <c r="E198" s="200">
        <f t="shared" si="0"/>
        <v>0</v>
      </c>
      <c r="F198" s="392"/>
      <c r="G198" s="371"/>
      <c r="H198" s="371"/>
      <c r="I198" s="362"/>
      <c r="J198" s="362"/>
      <c r="K198" s="262"/>
      <c r="L198" s="261"/>
      <c r="M198" s="261"/>
      <c r="N198" s="261"/>
      <c r="O198" s="372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7"/>
    </row>
    <row r="199" spans="1:26" ht="18.75" customHeight="1">
      <c r="A199" s="42" t="s">
        <v>997</v>
      </c>
      <c r="B199" s="59" t="s">
        <v>440</v>
      </c>
      <c r="C199" s="111" t="s">
        <v>433</v>
      </c>
      <c r="D199" s="61" t="s">
        <v>1285</v>
      </c>
      <c r="E199" s="200">
        <f t="shared" si="0"/>
        <v>0</v>
      </c>
      <c r="F199" s="392"/>
      <c r="G199" s="371"/>
      <c r="H199" s="371"/>
      <c r="I199" s="362"/>
      <c r="J199" s="362"/>
      <c r="K199" s="262"/>
      <c r="L199" s="261"/>
      <c r="M199" s="261"/>
      <c r="N199" s="261"/>
      <c r="O199" s="372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7"/>
    </row>
    <row r="200" spans="1:26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392"/>
      <c r="G200" s="371"/>
      <c r="H200" s="371"/>
      <c r="I200" s="362"/>
      <c r="J200" s="362"/>
      <c r="K200" s="262"/>
      <c r="L200" s="261"/>
      <c r="M200" s="261"/>
      <c r="N200" s="261"/>
      <c r="O200" s="372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7"/>
    </row>
    <row r="201" spans="1:26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392"/>
      <c r="G201" s="371"/>
      <c r="H201" s="371"/>
      <c r="I201" s="362"/>
      <c r="J201" s="362"/>
      <c r="K201" s="262"/>
      <c r="L201" s="261"/>
      <c r="M201" s="261"/>
      <c r="N201" s="261"/>
      <c r="O201" s="372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7"/>
    </row>
    <row r="202" spans="1:26" ht="18.75" customHeight="1">
      <c r="A202" s="42"/>
      <c r="B202" s="59" t="s">
        <v>449</v>
      </c>
      <c r="C202" s="111" t="s">
        <v>450</v>
      </c>
      <c r="D202" s="61" t="s">
        <v>1286</v>
      </c>
      <c r="E202" s="200">
        <f t="shared" si="0"/>
        <v>0</v>
      </c>
      <c r="F202" s="392"/>
      <c r="G202" s="371"/>
      <c r="H202" s="371"/>
      <c r="I202" s="362"/>
      <c r="J202" s="362"/>
      <c r="K202" s="262"/>
      <c r="L202" s="261"/>
      <c r="M202" s="261"/>
      <c r="N202" s="261"/>
      <c r="O202" s="372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7"/>
    </row>
    <row r="203" spans="1:26" ht="18.75" customHeight="1">
      <c r="A203" s="42"/>
      <c r="B203" s="59" t="s">
        <v>449</v>
      </c>
      <c r="C203" s="111" t="s">
        <v>431</v>
      </c>
      <c r="D203" s="61" t="s">
        <v>1287</v>
      </c>
      <c r="E203" s="200">
        <f t="shared" si="0"/>
        <v>0</v>
      </c>
      <c r="F203" s="392"/>
      <c r="G203" s="371"/>
      <c r="H203" s="371"/>
      <c r="I203" s="362"/>
      <c r="J203" s="362"/>
      <c r="K203" s="262"/>
      <c r="L203" s="261"/>
      <c r="M203" s="261"/>
      <c r="N203" s="261"/>
      <c r="O203" s="372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7"/>
    </row>
    <row r="204" spans="1:26" ht="18.75" customHeight="1">
      <c r="A204" s="42"/>
      <c r="B204" s="59" t="s">
        <v>453</v>
      </c>
      <c r="C204" s="111" t="s">
        <v>433</v>
      </c>
      <c r="D204" s="61" t="s">
        <v>1288</v>
      </c>
      <c r="E204" s="200">
        <f t="shared" si="0"/>
        <v>0</v>
      </c>
      <c r="F204" s="392"/>
      <c r="G204" s="371"/>
      <c r="H204" s="371"/>
      <c r="I204" s="362"/>
      <c r="J204" s="362"/>
      <c r="K204" s="262"/>
      <c r="L204" s="261"/>
      <c r="M204" s="261"/>
      <c r="N204" s="261"/>
      <c r="O204" s="372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7"/>
    </row>
    <row r="205" spans="1:26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392"/>
      <c r="G205" s="371"/>
      <c r="H205" s="371"/>
      <c r="I205" s="362"/>
      <c r="J205" s="362"/>
      <c r="K205" s="262"/>
      <c r="L205" s="261"/>
      <c r="M205" s="261"/>
      <c r="N205" s="261"/>
      <c r="O205" s="372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7"/>
    </row>
    <row r="206" spans="1:26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392"/>
      <c r="G206" s="371"/>
      <c r="H206" s="371"/>
      <c r="I206" s="362"/>
      <c r="J206" s="362"/>
      <c r="K206" s="262"/>
      <c r="L206" s="261"/>
      <c r="M206" s="261"/>
      <c r="N206" s="261"/>
      <c r="O206" s="372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7"/>
    </row>
    <row r="207" spans="1:26" ht="18.75" customHeight="1">
      <c r="A207" s="42"/>
      <c r="B207" s="59" t="s">
        <v>461</v>
      </c>
      <c r="C207" s="111" t="s">
        <v>431</v>
      </c>
      <c r="D207" s="61" t="s">
        <v>1289</v>
      </c>
      <c r="E207" s="200">
        <f t="shared" si="0"/>
        <v>0</v>
      </c>
      <c r="F207" s="392"/>
      <c r="G207" s="371"/>
      <c r="H207" s="371"/>
      <c r="I207" s="362"/>
      <c r="J207" s="362"/>
      <c r="K207" s="262"/>
      <c r="L207" s="261"/>
      <c r="M207" s="261"/>
      <c r="N207" s="261"/>
      <c r="O207" s="372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7"/>
    </row>
    <row r="208" spans="1:26" ht="18.75" customHeight="1">
      <c r="A208" s="42"/>
      <c r="B208" s="59" t="s">
        <v>464</v>
      </c>
      <c r="C208" s="111" t="s">
        <v>433</v>
      </c>
      <c r="D208" s="61" t="s">
        <v>1290</v>
      </c>
      <c r="E208" s="200">
        <f t="shared" si="0"/>
        <v>0</v>
      </c>
      <c r="F208" s="392"/>
      <c r="G208" s="371"/>
      <c r="H208" s="371"/>
      <c r="I208" s="362"/>
      <c r="J208" s="362"/>
      <c r="K208" s="262"/>
      <c r="L208" s="261"/>
      <c r="M208" s="261"/>
      <c r="N208" s="261"/>
      <c r="O208" s="372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7"/>
    </row>
    <row r="209" spans="1:26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392"/>
      <c r="G209" s="371"/>
      <c r="H209" s="371"/>
      <c r="I209" s="362"/>
      <c r="J209" s="362"/>
      <c r="K209" s="262"/>
      <c r="L209" s="261"/>
      <c r="M209" s="261"/>
      <c r="N209" s="261"/>
      <c r="O209" s="372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7"/>
    </row>
    <row r="210" spans="1:26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392"/>
      <c r="G210" s="371"/>
      <c r="H210" s="371"/>
      <c r="I210" s="362"/>
      <c r="J210" s="362"/>
      <c r="K210" s="262"/>
      <c r="L210" s="261"/>
      <c r="M210" s="261"/>
      <c r="N210" s="261"/>
      <c r="O210" s="372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7"/>
    </row>
    <row r="211" spans="1:26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392"/>
      <c r="G211" s="371"/>
      <c r="H211" s="371"/>
      <c r="I211" s="362"/>
      <c r="J211" s="362"/>
      <c r="K211" s="262"/>
      <c r="L211" s="261"/>
      <c r="M211" s="261"/>
      <c r="N211" s="261"/>
      <c r="O211" s="372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7"/>
    </row>
    <row r="212" spans="1:26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392"/>
      <c r="G212" s="371"/>
      <c r="H212" s="371"/>
      <c r="I212" s="362"/>
      <c r="J212" s="362"/>
      <c r="K212" s="262"/>
      <c r="L212" s="261"/>
      <c r="M212" s="261"/>
      <c r="N212" s="261"/>
      <c r="O212" s="372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7"/>
    </row>
    <row r="213" spans="1:26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392"/>
      <c r="G213" s="371"/>
      <c r="H213" s="371"/>
      <c r="I213" s="362"/>
      <c r="J213" s="362"/>
      <c r="K213" s="262"/>
      <c r="L213" s="261"/>
      <c r="M213" s="261"/>
      <c r="N213" s="261"/>
      <c r="O213" s="372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7"/>
    </row>
    <row r="214" spans="1:26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392"/>
      <c r="G214" s="371"/>
      <c r="H214" s="371"/>
      <c r="I214" s="362"/>
      <c r="J214" s="362"/>
      <c r="K214" s="262"/>
      <c r="L214" s="261"/>
      <c r="M214" s="261"/>
      <c r="N214" s="261"/>
      <c r="O214" s="372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7"/>
    </row>
    <row r="215" spans="1:26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392"/>
      <c r="G215" s="371"/>
      <c r="H215" s="371"/>
      <c r="I215" s="362"/>
      <c r="J215" s="362"/>
      <c r="K215" s="262"/>
      <c r="L215" s="261"/>
      <c r="M215" s="261"/>
      <c r="N215" s="261"/>
      <c r="O215" s="372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7"/>
    </row>
    <row r="216" spans="1:26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392"/>
      <c r="G216" s="371"/>
      <c r="H216" s="371"/>
      <c r="I216" s="362"/>
      <c r="J216" s="362"/>
      <c r="K216" s="262"/>
      <c r="L216" s="261"/>
      <c r="M216" s="261"/>
      <c r="N216" s="261"/>
      <c r="O216" s="372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7"/>
    </row>
    <row r="217" spans="1:26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392"/>
      <c r="G217" s="371"/>
      <c r="H217" s="371"/>
      <c r="I217" s="362"/>
      <c r="J217" s="362"/>
      <c r="K217" s="262"/>
      <c r="L217" s="261"/>
      <c r="M217" s="261"/>
      <c r="N217" s="261"/>
      <c r="O217" s="372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7"/>
    </row>
    <row r="218" spans="1:26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392"/>
      <c r="G218" s="371"/>
      <c r="H218" s="371"/>
      <c r="I218" s="362"/>
      <c r="J218" s="362"/>
      <c r="K218" s="262"/>
      <c r="L218" s="261"/>
      <c r="M218" s="261"/>
      <c r="N218" s="261"/>
      <c r="O218" s="372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7"/>
    </row>
    <row r="219" spans="1:26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392"/>
      <c r="G219" s="371"/>
      <c r="H219" s="371"/>
      <c r="I219" s="362"/>
      <c r="J219" s="362"/>
      <c r="K219" s="262"/>
      <c r="L219" s="261"/>
      <c r="M219" s="261"/>
      <c r="N219" s="261"/>
      <c r="O219" s="372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7"/>
    </row>
    <row r="220" spans="1:26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392"/>
      <c r="G220" s="371"/>
      <c r="H220" s="371"/>
      <c r="I220" s="362"/>
      <c r="J220" s="362"/>
      <c r="K220" s="262"/>
      <c r="L220" s="261"/>
      <c r="M220" s="261"/>
      <c r="N220" s="261"/>
      <c r="O220" s="372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7"/>
    </row>
    <row r="221" spans="1:26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392"/>
      <c r="G221" s="371"/>
      <c r="H221" s="371"/>
      <c r="I221" s="362"/>
      <c r="J221" s="362"/>
      <c r="K221" s="262"/>
      <c r="L221" s="261"/>
      <c r="M221" s="261"/>
      <c r="N221" s="261"/>
      <c r="O221" s="372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7"/>
    </row>
    <row r="222" spans="1:26" ht="18.75" customHeight="1">
      <c r="A222" s="118" t="s">
        <v>1007</v>
      </c>
      <c r="B222" s="59" t="s">
        <v>502</v>
      </c>
      <c r="C222" s="113" t="s">
        <v>503</v>
      </c>
      <c r="D222" s="61" t="s">
        <v>1291</v>
      </c>
      <c r="E222" s="200">
        <f t="shared" si="0"/>
        <v>0</v>
      </c>
      <c r="F222" s="392"/>
      <c r="G222" s="371"/>
      <c r="H222" s="371"/>
      <c r="I222" s="362"/>
      <c r="J222" s="362"/>
      <c r="K222" s="262"/>
      <c r="L222" s="261"/>
      <c r="M222" s="261"/>
      <c r="N222" s="261"/>
      <c r="O222" s="372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7"/>
    </row>
    <row r="223" spans="1:26" ht="18.75" customHeight="1">
      <c r="A223" s="118" t="s">
        <v>1009</v>
      </c>
      <c r="B223" s="59" t="s">
        <v>506</v>
      </c>
      <c r="C223" s="113" t="s">
        <v>507</v>
      </c>
      <c r="D223" s="61" t="s">
        <v>1292</v>
      </c>
      <c r="E223" s="200">
        <f t="shared" si="0"/>
        <v>0</v>
      </c>
      <c r="F223" s="392"/>
      <c r="G223" s="371"/>
      <c r="H223" s="371"/>
      <c r="I223" s="362"/>
      <c r="J223" s="362"/>
      <c r="K223" s="262"/>
      <c r="L223" s="261"/>
      <c r="M223" s="261"/>
      <c r="N223" s="261"/>
      <c r="O223" s="372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7"/>
    </row>
    <row r="224" spans="1:26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392"/>
      <c r="G224" s="371"/>
      <c r="H224" s="371"/>
      <c r="I224" s="362"/>
      <c r="J224" s="362"/>
      <c r="K224" s="262"/>
      <c r="L224" s="261"/>
      <c r="M224" s="261"/>
      <c r="N224" s="261"/>
      <c r="O224" s="372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7"/>
    </row>
    <row r="225" spans="1:26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392"/>
      <c r="G225" s="371"/>
      <c r="H225" s="371"/>
      <c r="I225" s="362"/>
      <c r="J225" s="362"/>
      <c r="K225" s="262"/>
      <c r="L225" s="261"/>
      <c r="M225" s="261"/>
      <c r="N225" s="261"/>
      <c r="O225" s="372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7"/>
    </row>
    <row r="226" spans="1:26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392"/>
      <c r="G226" s="371"/>
      <c r="H226" s="371"/>
      <c r="I226" s="362"/>
      <c r="J226" s="362"/>
      <c r="K226" s="262"/>
      <c r="L226" s="261"/>
      <c r="M226" s="261"/>
      <c r="N226" s="261"/>
      <c r="O226" s="372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7"/>
    </row>
    <row r="227" spans="1:26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392"/>
      <c r="G227" s="371"/>
      <c r="H227" s="371"/>
      <c r="I227" s="362"/>
      <c r="J227" s="362"/>
      <c r="K227" s="262"/>
      <c r="L227" s="261"/>
      <c r="M227" s="261"/>
      <c r="N227" s="261"/>
      <c r="O227" s="372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7"/>
    </row>
    <row r="228" spans="1:26" ht="18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392"/>
      <c r="G228" s="371"/>
      <c r="H228" s="371"/>
      <c r="I228" s="362"/>
      <c r="J228" s="362"/>
      <c r="K228" s="262"/>
      <c r="L228" s="261"/>
      <c r="M228" s="261"/>
      <c r="N228" s="261"/>
      <c r="O228" s="372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7"/>
    </row>
    <row r="229" spans="1:26" ht="18.75" customHeight="1">
      <c r="A229" s="42"/>
      <c r="B229" s="59" t="s">
        <v>523</v>
      </c>
      <c r="C229" s="113" t="s">
        <v>524</v>
      </c>
      <c r="D229" s="61" t="s">
        <v>1293</v>
      </c>
      <c r="E229" s="200">
        <f t="shared" si="0"/>
        <v>0</v>
      </c>
      <c r="F229" s="392"/>
      <c r="G229" s="371"/>
      <c r="H229" s="371"/>
      <c r="I229" s="362"/>
      <c r="J229" s="362"/>
      <c r="K229" s="262"/>
      <c r="L229" s="261"/>
      <c r="M229" s="261"/>
      <c r="N229" s="261"/>
      <c r="O229" s="372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7"/>
    </row>
    <row r="230" spans="1:26" ht="18.75" customHeight="1">
      <c r="A230" s="42"/>
      <c r="B230" s="59" t="s">
        <v>526</v>
      </c>
      <c r="C230" s="113" t="s">
        <v>527</v>
      </c>
      <c r="D230" s="61" t="s">
        <v>1294</v>
      </c>
      <c r="E230" s="200">
        <f t="shared" si="0"/>
        <v>0</v>
      </c>
      <c r="F230" s="392"/>
      <c r="G230" s="371"/>
      <c r="H230" s="371"/>
      <c r="I230" s="362"/>
      <c r="J230" s="362"/>
      <c r="K230" s="262"/>
      <c r="L230" s="261"/>
      <c r="M230" s="261"/>
      <c r="N230" s="261"/>
      <c r="O230" s="372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7"/>
    </row>
    <row r="231" spans="1:26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392"/>
      <c r="G231" s="371"/>
      <c r="H231" s="371"/>
      <c r="I231" s="362"/>
      <c r="J231" s="362"/>
      <c r="K231" s="262"/>
      <c r="L231" s="261"/>
      <c r="M231" s="261"/>
      <c r="N231" s="261"/>
      <c r="O231" s="372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7"/>
    </row>
    <row r="232" spans="1:26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392"/>
      <c r="G232" s="371"/>
      <c r="H232" s="371"/>
      <c r="I232" s="362"/>
      <c r="J232" s="362"/>
      <c r="K232" s="262"/>
      <c r="L232" s="261"/>
      <c r="M232" s="261"/>
      <c r="N232" s="261"/>
      <c r="O232" s="372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7"/>
    </row>
    <row r="233" spans="1:26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392"/>
      <c r="G233" s="378"/>
      <c r="H233" s="378"/>
      <c r="I233" s="379"/>
      <c r="J233" s="379"/>
      <c r="K233" s="262"/>
      <c r="L233" s="261"/>
      <c r="M233" s="261"/>
      <c r="N233" s="261"/>
      <c r="O233" s="372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7"/>
    </row>
    <row r="234" spans="1:26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392"/>
      <c r="G234" s="371"/>
      <c r="H234" s="371"/>
      <c r="I234" s="362"/>
      <c r="J234" s="362"/>
      <c r="K234" s="262"/>
      <c r="L234" s="261"/>
      <c r="M234" s="261"/>
      <c r="N234" s="261"/>
      <c r="O234" s="372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7"/>
    </row>
    <row r="235" spans="1:26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392"/>
      <c r="G235" s="371"/>
      <c r="H235" s="371"/>
      <c r="I235" s="362"/>
      <c r="J235" s="362"/>
      <c r="K235" s="262"/>
      <c r="L235" s="261"/>
      <c r="M235" s="261"/>
      <c r="N235" s="261"/>
      <c r="O235" s="372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7"/>
    </row>
    <row r="236" spans="1:26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392"/>
      <c r="G236" s="371"/>
      <c r="H236" s="371"/>
      <c r="I236" s="362"/>
      <c r="J236" s="362"/>
      <c r="K236" s="262"/>
      <c r="L236" s="261"/>
      <c r="M236" s="261"/>
      <c r="N236" s="261"/>
      <c r="O236" s="372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7"/>
    </row>
    <row r="237" spans="1:26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392"/>
      <c r="G237" s="371"/>
      <c r="H237" s="371"/>
      <c r="I237" s="362"/>
      <c r="J237" s="362"/>
      <c r="K237" s="262"/>
      <c r="L237" s="261"/>
      <c r="M237" s="261"/>
      <c r="N237" s="261"/>
      <c r="O237" s="372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7"/>
    </row>
    <row r="238" spans="1:26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392"/>
      <c r="G238" s="371"/>
      <c r="H238" s="371"/>
      <c r="I238" s="362"/>
      <c r="J238" s="362"/>
      <c r="K238" s="262"/>
      <c r="L238" s="261"/>
      <c r="M238" s="261"/>
      <c r="N238" s="261"/>
      <c r="O238" s="372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7"/>
    </row>
    <row r="239" spans="1:26" ht="18.75" customHeight="1">
      <c r="A239" s="42"/>
      <c r="B239" s="59" t="s">
        <v>551</v>
      </c>
      <c r="C239" s="113" t="s">
        <v>524</v>
      </c>
      <c r="D239" s="61" t="s">
        <v>1295</v>
      </c>
      <c r="E239" s="200">
        <f t="shared" si="0"/>
        <v>0</v>
      </c>
      <c r="F239" s="392"/>
      <c r="G239" s="371"/>
      <c r="H239" s="371"/>
      <c r="I239" s="362"/>
      <c r="J239" s="362"/>
      <c r="K239" s="262"/>
      <c r="L239" s="261"/>
      <c r="M239" s="261"/>
      <c r="N239" s="261"/>
      <c r="O239" s="372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7"/>
    </row>
    <row r="240" spans="1:26" ht="18.75" customHeight="1">
      <c r="A240" s="42"/>
      <c r="B240" s="59" t="s">
        <v>553</v>
      </c>
      <c r="C240" s="113" t="s">
        <v>527</v>
      </c>
      <c r="D240" s="61" t="s">
        <v>1296</v>
      </c>
      <c r="E240" s="200">
        <f t="shared" si="0"/>
        <v>0</v>
      </c>
      <c r="F240" s="392"/>
      <c r="G240" s="371"/>
      <c r="H240" s="371"/>
      <c r="I240" s="362"/>
      <c r="J240" s="362"/>
      <c r="K240" s="262"/>
      <c r="L240" s="261"/>
      <c r="M240" s="261"/>
      <c r="N240" s="261"/>
      <c r="O240" s="372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7"/>
    </row>
    <row r="241" spans="1:26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392"/>
      <c r="G241" s="371"/>
      <c r="H241" s="371"/>
      <c r="I241" s="362"/>
      <c r="J241" s="362"/>
      <c r="K241" s="262"/>
      <c r="L241" s="261"/>
      <c r="M241" s="261"/>
      <c r="N241" s="261"/>
      <c r="O241" s="372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7"/>
    </row>
    <row r="242" spans="1:26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392"/>
      <c r="G242" s="371"/>
      <c r="H242" s="371"/>
      <c r="I242" s="362"/>
      <c r="J242" s="362"/>
      <c r="K242" s="262"/>
      <c r="L242" s="261"/>
      <c r="M242" s="261"/>
      <c r="N242" s="261"/>
      <c r="O242" s="372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7"/>
    </row>
    <row r="243" spans="1:26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392"/>
      <c r="G243" s="371"/>
      <c r="H243" s="371"/>
      <c r="I243" s="362"/>
      <c r="J243" s="362"/>
      <c r="K243" s="262"/>
      <c r="L243" s="261"/>
      <c r="M243" s="261"/>
      <c r="N243" s="261"/>
      <c r="O243" s="372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7"/>
    </row>
    <row r="244" spans="1:26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392"/>
      <c r="G244" s="371"/>
      <c r="H244" s="371"/>
      <c r="I244" s="362"/>
      <c r="J244" s="362"/>
      <c r="K244" s="262"/>
      <c r="L244" s="261"/>
      <c r="M244" s="261"/>
      <c r="N244" s="261"/>
      <c r="O244" s="372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7"/>
    </row>
    <row r="245" spans="1:26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392"/>
      <c r="G245" s="371"/>
      <c r="H245" s="371"/>
      <c r="I245" s="362"/>
      <c r="J245" s="362"/>
      <c r="K245" s="262"/>
      <c r="L245" s="261"/>
      <c r="M245" s="261"/>
      <c r="N245" s="261"/>
      <c r="O245" s="372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7"/>
    </row>
    <row r="246" spans="1:26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392"/>
      <c r="G246" s="371"/>
      <c r="H246" s="371"/>
      <c r="I246" s="362"/>
      <c r="J246" s="362"/>
      <c r="K246" s="262"/>
      <c r="L246" s="261"/>
      <c r="M246" s="261"/>
      <c r="N246" s="261"/>
      <c r="O246" s="372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7"/>
    </row>
    <row r="247" spans="1:26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392"/>
      <c r="G247" s="371"/>
      <c r="H247" s="371"/>
      <c r="I247" s="362"/>
      <c r="J247" s="362"/>
      <c r="K247" s="262"/>
      <c r="L247" s="261"/>
      <c r="M247" s="261"/>
      <c r="N247" s="261"/>
      <c r="O247" s="372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7"/>
    </row>
    <row r="248" spans="1:26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392"/>
      <c r="G248" s="371"/>
      <c r="H248" s="371"/>
      <c r="I248" s="362"/>
      <c r="J248" s="362"/>
      <c r="K248" s="262"/>
      <c r="L248" s="261"/>
      <c r="M248" s="261"/>
      <c r="N248" s="261"/>
      <c r="O248" s="372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7"/>
    </row>
    <row r="249" spans="1:26" ht="18.75" customHeight="1">
      <c r="A249" s="42" t="s">
        <v>1020</v>
      </c>
      <c r="B249" s="59" t="s">
        <v>566</v>
      </c>
      <c r="C249" s="113" t="s">
        <v>567</v>
      </c>
      <c r="D249" s="61" t="s">
        <v>1297</v>
      </c>
      <c r="E249" s="200">
        <f t="shared" si="0"/>
        <v>0</v>
      </c>
      <c r="F249" s="392"/>
      <c r="G249" s="371"/>
      <c r="H249" s="371"/>
      <c r="I249" s="362"/>
      <c r="J249" s="362"/>
      <c r="K249" s="262"/>
      <c r="L249" s="261"/>
      <c r="M249" s="261"/>
      <c r="N249" s="261"/>
      <c r="O249" s="372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7"/>
    </row>
    <row r="250" spans="1:26" ht="18.75" customHeight="1">
      <c r="A250" s="42" t="s">
        <v>1022</v>
      </c>
      <c r="B250" s="59" t="s">
        <v>569</v>
      </c>
      <c r="C250" s="113" t="s">
        <v>570</v>
      </c>
      <c r="D250" s="61" t="s">
        <v>1298</v>
      </c>
      <c r="E250" s="200">
        <f t="shared" si="0"/>
        <v>0</v>
      </c>
      <c r="F250" s="392"/>
      <c r="G250" s="371"/>
      <c r="H250" s="371"/>
      <c r="I250" s="362"/>
      <c r="J250" s="362"/>
      <c r="K250" s="262"/>
      <c r="L250" s="261"/>
      <c r="M250" s="261"/>
      <c r="N250" s="261"/>
      <c r="O250" s="372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7"/>
    </row>
    <row r="251" spans="1:26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392"/>
      <c r="G251" s="371"/>
      <c r="H251" s="371"/>
      <c r="I251" s="362"/>
      <c r="J251" s="362"/>
      <c r="K251" s="262"/>
      <c r="L251" s="261"/>
      <c r="M251" s="261"/>
      <c r="N251" s="261"/>
      <c r="O251" s="372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7"/>
    </row>
    <row r="252" spans="1:26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392"/>
      <c r="G252" s="371"/>
      <c r="H252" s="371"/>
      <c r="I252" s="362"/>
      <c r="J252" s="362"/>
      <c r="K252" s="262"/>
      <c r="L252" s="261"/>
      <c r="M252" s="261"/>
      <c r="N252" s="261"/>
      <c r="O252" s="372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7"/>
    </row>
    <row r="253" spans="1:26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392"/>
      <c r="G253" s="371"/>
      <c r="H253" s="371"/>
      <c r="I253" s="362"/>
      <c r="J253" s="362"/>
      <c r="K253" s="262"/>
      <c r="L253" s="261"/>
      <c r="M253" s="261"/>
      <c r="N253" s="261"/>
      <c r="O253" s="372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7"/>
    </row>
    <row r="254" spans="1:26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392"/>
      <c r="G254" s="371"/>
      <c r="H254" s="371"/>
      <c r="I254" s="362"/>
      <c r="J254" s="362"/>
      <c r="K254" s="262"/>
      <c r="L254" s="261"/>
      <c r="M254" s="261"/>
      <c r="N254" s="261"/>
      <c r="O254" s="372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7"/>
    </row>
    <row r="255" spans="1:26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392"/>
      <c r="G255" s="371"/>
      <c r="H255" s="371"/>
      <c r="I255" s="362"/>
      <c r="J255" s="362"/>
      <c r="K255" s="262"/>
      <c r="L255" s="261"/>
      <c r="M255" s="261"/>
      <c r="N255" s="261"/>
      <c r="O255" s="372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7"/>
    </row>
    <row r="256" spans="1:26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392"/>
      <c r="G256" s="371"/>
      <c r="H256" s="371"/>
      <c r="I256" s="362"/>
      <c r="J256" s="362"/>
      <c r="K256" s="262"/>
      <c r="L256" s="261"/>
      <c r="M256" s="261"/>
      <c r="N256" s="261"/>
      <c r="O256" s="372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7"/>
    </row>
    <row r="257" spans="1:26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392"/>
      <c r="G257" s="371"/>
      <c r="H257" s="371"/>
      <c r="I257" s="362"/>
      <c r="J257" s="362"/>
      <c r="K257" s="262"/>
      <c r="L257" s="261"/>
      <c r="M257" s="261"/>
      <c r="N257" s="261"/>
      <c r="O257" s="372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7"/>
    </row>
    <row r="258" spans="1:26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392"/>
      <c r="G258" s="371"/>
      <c r="H258" s="371"/>
      <c r="I258" s="362"/>
      <c r="J258" s="362"/>
      <c r="K258" s="262"/>
      <c r="L258" s="261"/>
      <c r="M258" s="261"/>
      <c r="N258" s="261"/>
      <c r="O258" s="372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7"/>
    </row>
    <row r="259" spans="1:26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392"/>
      <c r="G259" s="371"/>
      <c r="H259" s="371"/>
      <c r="I259" s="362"/>
      <c r="J259" s="362"/>
      <c r="K259" s="262"/>
      <c r="L259" s="261"/>
      <c r="M259" s="261"/>
      <c r="N259" s="261"/>
      <c r="O259" s="372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7"/>
    </row>
    <row r="260" spans="1:26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392"/>
      <c r="G260" s="371"/>
      <c r="H260" s="371"/>
      <c r="I260" s="362"/>
      <c r="J260" s="362"/>
      <c r="K260" s="262"/>
      <c r="L260" s="261"/>
      <c r="M260" s="261"/>
      <c r="N260" s="261"/>
      <c r="O260" s="372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7"/>
    </row>
    <row r="261" spans="1:26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392"/>
      <c r="G261" s="371"/>
      <c r="H261" s="371"/>
      <c r="I261" s="362"/>
      <c r="J261" s="362"/>
      <c r="K261" s="262"/>
      <c r="L261" s="261"/>
      <c r="M261" s="261"/>
      <c r="N261" s="261"/>
      <c r="O261" s="372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7"/>
    </row>
    <row r="262" spans="1:26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392"/>
      <c r="G262" s="371"/>
      <c r="H262" s="371"/>
      <c r="I262" s="362"/>
      <c r="J262" s="362"/>
      <c r="K262" s="262"/>
      <c r="L262" s="261"/>
      <c r="M262" s="261"/>
      <c r="N262" s="261"/>
      <c r="O262" s="372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7"/>
    </row>
    <row r="263" spans="1:26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392"/>
      <c r="G263" s="371"/>
      <c r="H263" s="371"/>
      <c r="I263" s="362"/>
      <c r="J263" s="362"/>
      <c r="K263" s="262"/>
      <c r="L263" s="261"/>
      <c r="M263" s="261"/>
      <c r="N263" s="261"/>
      <c r="O263" s="372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7"/>
    </row>
    <row r="264" spans="1:26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392"/>
      <c r="G264" s="371"/>
      <c r="H264" s="371"/>
      <c r="I264" s="362"/>
      <c r="J264" s="362"/>
      <c r="K264" s="262"/>
      <c r="L264" s="261"/>
      <c r="M264" s="261"/>
      <c r="N264" s="261"/>
      <c r="O264" s="372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7"/>
    </row>
    <row r="265" spans="1:26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392"/>
      <c r="G265" s="371"/>
      <c r="H265" s="371"/>
      <c r="I265" s="362"/>
      <c r="J265" s="362"/>
      <c r="K265" s="262"/>
      <c r="L265" s="261"/>
      <c r="M265" s="261"/>
      <c r="N265" s="261"/>
      <c r="O265" s="372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7"/>
    </row>
    <row r="266" spans="1:26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392"/>
      <c r="G266" s="371"/>
      <c r="H266" s="371"/>
      <c r="I266" s="362"/>
      <c r="J266" s="362"/>
      <c r="K266" s="262"/>
      <c r="L266" s="261"/>
      <c r="M266" s="261"/>
      <c r="N266" s="261"/>
      <c r="O266" s="372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7"/>
    </row>
    <row r="267" spans="1:26" ht="18.75" customHeight="1">
      <c r="A267" s="42" t="s">
        <v>605</v>
      </c>
      <c r="B267" s="59" t="s">
        <v>606</v>
      </c>
      <c r="C267" s="113" t="s">
        <v>593</v>
      </c>
      <c r="D267" s="61" t="s">
        <v>1299</v>
      </c>
      <c r="E267" s="200">
        <f t="shared" si="0"/>
        <v>0</v>
      </c>
      <c r="F267" s="392"/>
      <c r="G267" s="371"/>
      <c r="H267" s="371"/>
      <c r="I267" s="362"/>
      <c r="J267" s="362"/>
      <c r="K267" s="262"/>
      <c r="L267" s="261"/>
      <c r="M267" s="261"/>
      <c r="N267" s="261"/>
      <c r="O267" s="372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7"/>
    </row>
    <row r="268" spans="1:26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392"/>
      <c r="G268" s="371"/>
      <c r="H268" s="371"/>
      <c r="I268" s="362"/>
      <c r="J268" s="362"/>
      <c r="K268" s="262"/>
      <c r="L268" s="261"/>
      <c r="M268" s="261"/>
      <c r="N268" s="261"/>
      <c r="O268" s="372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7"/>
    </row>
    <row r="269" spans="1:26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392"/>
      <c r="G269" s="371"/>
      <c r="H269" s="371"/>
      <c r="I269" s="362"/>
      <c r="J269" s="362"/>
      <c r="K269" s="262"/>
      <c r="L269" s="261"/>
      <c r="M269" s="261"/>
      <c r="N269" s="261"/>
      <c r="O269" s="372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7"/>
    </row>
    <row r="270" spans="1:26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392"/>
      <c r="G270" s="371"/>
      <c r="H270" s="371"/>
      <c r="I270" s="362"/>
      <c r="J270" s="362"/>
      <c r="K270" s="262"/>
      <c r="L270" s="261"/>
      <c r="M270" s="261"/>
      <c r="N270" s="261"/>
      <c r="O270" s="372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7"/>
    </row>
    <row r="271" spans="1:26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392"/>
      <c r="G271" s="371"/>
      <c r="H271" s="371"/>
      <c r="I271" s="362"/>
      <c r="J271" s="362"/>
      <c r="K271" s="262"/>
      <c r="L271" s="261"/>
      <c r="M271" s="261"/>
      <c r="N271" s="261"/>
      <c r="O271" s="372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7"/>
    </row>
    <row r="272" spans="1:26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392"/>
      <c r="G272" s="371"/>
      <c r="H272" s="371"/>
      <c r="I272" s="362"/>
      <c r="J272" s="362"/>
      <c r="K272" s="262"/>
      <c r="L272" s="261"/>
      <c r="M272" s="261"/>
      <c r="N272" s="261"/>
      <c r="O272" s="372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7"/>
    </row>
    <row r="273" spans="1:26" ht="18.75" customHeight="1">
      <c r="A273" s="42" t="s">
        <v>620</v>
      </c>
      <c r="B273" s="59" t="s">
        <v>621</v>
      </c>
      <c r="C273" s="113" t="s">
        <v>622</v>
      </c>
      <c r="D273" s="61" t="s">
        <v>1300</v>
      </c>
      <c r="E273" s="200">
        <f t="shared" si="0"/>
        <v>0</v>
      </c>
      <c r="F273" s="392"/>
      <c r="G273" s="371"/>
      <c r="H273" s="371"/>
      <c r="I273" s="362"/>
      <c r="J273" s="362"/>
      <c r="K273" s="262"/>
      <c r="L273" s="261"/>
      <c r="M273" s="261"/>
      <c r="N273" s="261"/>
      <c r="O273" s="372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7"/>
    </row>
    <row r="274" spans="1:26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392"/>
      <c r="G274" s="371"/>
      <c r="H274" s="371"/>
      <c r="I274" s="362"/>
      <c r="J274" s="362"/>
      <c r="K274" s="262"/>
      <c r="L274" s="261"/>
      <c r="M274" s="261"/>
      <c r="N274" s="261"/>
      <c r="O274" s="372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7"/>
    </row>
    <row r="275" spans="1:26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SUM(F275:N275)</f>
        <v>0</v>
      </c>
      <c r="F275" s="392"/>
      <c r="G275" s="371"/>
      <c r="H275" s="371"/>
      <c r="I275" s="362"/>
      <c r="J275" s="362"/>
      <c r="K275" s="262"/>
      <c r="L275" s="261"/>
      <c r="M275" s="261"/>
      <c r="N275" s="261"/>
      <c r="O275" s="372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7"/>
    </row>
    <row r="276" spans="1:26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392"/>
      <c r="G276" s="371"/>
      <c r="H276" s="371"/>
      <c r="I276" s="362"/>
      <c r="J276" s="362"/>
      <c r="K276" s="262"/>
      <c r="L276" s="261"/>
      <c r="M276" s="261"/>
      <c r="N276" s="261"/>
      <c r="O276" s="372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7"/>
    </row>
    <row r="277" spans="1:26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392"/>
      <c r="G277" s="371"/>
      <c r="H277" s="371"/>
      <c r="I277" s="362"/>
      <c r="J277" s="362"/>
      <c r="K277" s="262"/>
      <c r="L277" s="261"/>
      <c r="M277" s="261"/>
      <c r="N277" s="261"/>
      <c r="O277" s="372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7"/>
    </row>
    <row r="278" spans="1:26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392"/>
      <c r="G278" s="371"/>
      <c r="H278" s="371"/>
      <c r="I278" s="362"/>
      <c r="J278" s="362"/>
      <c r="K278" s="262"/>
      <c r="L278" s="261"/>
      <c r="M278" s="261"/>
      <c r="N278" s="261"/>
      <c r="O278" s="372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7"/>
    </row>
    <row r="279" spans="1:26" ht="18.75" customHeight="1">
      <c r="A279" s="42" t="s">
        <v>636</v>
      </c>
      <c r="B279" s="59" t="s">
        <v>637</v>
      </c>
      <c r="C279" s="113" t="s">
        <v>638</v>
      </c>
      <c r="D279" s="61" t="s">
        <v>1301</v>
      </c>
      <c r="E279" s="200">
        <f t="shared" si="1"/>
        <v>0</v>
      </c>
      <c r="F279" s="392"/>
      <c r="G279" s="371"/>
      <c r="H279" s="371"/>
      <c r="I279" s="362"/>
      <c r="J279" s="362"/>
      <c r="K279" s="262"/>
      <c r="L279" s="261"/>
      <c r="M279" s="261"/>
      <c r="N279" s="261"/>
      <c r="O279" s="372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7"/>
    </row>
    <row r="280" spans="1:26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392"/>
      <c r="G280" s="371"/>
      <c r="H280" s="371"/>
      <c r="I280" s="362"/>
      <c r="J280" s="362"/>
      <c r="K280" s="262"/>
      <c r="L280" s="261"/>
      <c r="M280" s="261"/>
      <c r="N280" s="261"/>
      <c r="O280" s="372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7"/>
    </row>
    <row r="281" spans="1:26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392"/>
      <c r="G281" s="371"/>
      <c r="H281" s="371"/>
      <c r="I281" s="362"/>
      <c r="J281" s="362"/>
      <c r="K281" s="262"/>
      <c r="L281" s="261"/>
      <c r="M281" s="261"/>
      <c r="N281" s="261"/>
      <c r="O281" s="372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7"/>
    </row>
    <row r="282" spans="1:26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392"/>
      <c r="G282" s="371"/>
      <c r="H282" s="371"/>
      <c r="I282" s="362"/>
      <c r="J282" s="362"/>
      <c r="K282" s="262"/>
      <c r="L282" s="274"/>
      <c r="M282" s="261"/>
      <c r="N282" s="261"/>
      <c r="O282" s="372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7"/>
    </row>
    <row r="283" spans="1:26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392"/>
      <c r="G283" s="362"/>
      <c r="H283" s="362"/>
      <c r="I283" s="362"/>
      <c r="J283" s="362"/>
      <c r="K283" s="270"/>
      <c r="L283" s="270"/>
      <c r="M283" s="261"/>
      <c r="N283" s="261"/>
      <c r="O283" s="372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7"/>
    </row>
    <row r="284" spans="1:26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392"/>
      <c r="G284" s="371"/>
      <c r="H284" s="371"/>
      <c r="I284" s="362"/>
      <c r="J284" s="362"/>
      <c r="K284" s="262"/>
      <c r="L284" s="261"/>
      <c r="M284" s="261"/>
      <c r="N284" s="261"/>
      <c r="O284" s="372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7"/>
    </row>
    <row r="285" spans="1:26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392"/>
      <c r="G285" s="371"/>
      <c r="H285" s="371"/>
      <c r="I285" s="362"/>
      <c r="J285" s="362"/>
      <c r="K285" s="262"/>
      <c r="L285" s="261"/>
      <c r="M285" s="261"/>
      <c r="N285" s="261"/>
      <c r="O285" s="372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7"/>
    </row>
    <row r="286" spans="1:26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392"/>
      <c r="G286" s="371"/>
      <c r="H286" s="371"/>
      <c r="I286" s="362"/>
      <c r="J286" s="362"/>
      <c r="K286" s="262"/>
      <c r="L286" s="261"/>
      <c r="M286" s="261"/>
      <c r="N286" s="261"/>
      <c r="O286" s="372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7"/>
    </row>
    <row r="287" spans="1:26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392"/>
      <c r="G287" s="371"/>
      <c r="H287" s="371"/>
      <c r="I287" s="362"/>
      <c r="J287" s="362"/>
      <c r="K287" s="262"/>
      <c r="L287" s="261"/>
      <c r="M287" s="261"/>
      <c r="N287" s="261"/>
      <c r="O287" s="372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7"/>
    </row>
    <row r="288" spans="1:26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392"/>
      <c r="G288" s="371"/>
      <c r="H288" s="371"/>
      <c r="I288" s="362"/>
      <c r="J288" s="362"/>
      <c r="K288" s="262"/>
      <c r="L288" s="261"/>
      <c r="M288" s="261"/>
      <c r="N288" s="261"/>
      <c r="O288" s="372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7"/>
    </row>
    <row r="289" spans="1:26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392"/>
      <c r="G289" s="371"/>
      <c r="H289" s="371"/>
      <c r="I289" s="362"/>
      <c r="J289" s="362"/>
      <c r="K289" s="262"/>
      <c r="L289" s="261"/>
      <c r="M289" s="261"/>
      <c r="N289" s="261"/>
      <c r="O289" s="372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7"/>
    </row>
    <row r="290" spans="1:26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392"/>
      <c r="G290" s="371"/>
      <c r="H290" s="371"/>
      <c r="I290" s="362"/>
      <c r="J290" s="362"/>
      <c r="K290" s="262"/>
      <c r="L290" s="261"/>
      <c r="M290" s="261"/>
      <c r="N290" s="261"/>
      <c r="O290" s="372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7"/>
    </row>
    <row r="291" spans="1:26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392"/>
      <c r="G291" s="371"/>
      <c r="H291" s="371"/>
      <c r="I291" s="362"/>
      <c r="J291" s="362"/>
      <c r="K291" s="262"/>
      <c r="L291" s="261"/>
      <c r="M291" s="261"/>
      <c r="N291" s="261"/>
      <c r="O291" s="372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7"/>
    </row>
    <row r="292" spans="1:26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392"/>
      <c r="G292" s="371"/>
      <c r="H292" s="371"/>
      <c r="I292" s="362"/>
      <c r="J292" s="362"/>
      <c r="K292" s="262"/>
      <c r="L292" s="261"/>
      <c r="M292" s="261"/>
      <c r="N292" s="261"/>
      <c r="O292" s="372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7"/>
    </row>
    <row r="293" spans="1:26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392"/>
      <c r="G293" s="371"/>
      <c r="H293" s="371"/>
      <c r="I293" s="362"/>
      <c r="J293" s="362"/>
      <c r="K293" s="262"/>
      <c r="L293" s="261"/>
      <c r="M293" s="261"/>
      <c r="N293" s="261"/>
      <c r="O293" s="372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7"/>
    </row>
    <row r="294" spans="1:26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392"/>
      <c r="G294" s="371"/>
      <c r="H294" s="371"/>
      <c r="I294" s="362"/>
      <c r="J294" s="362"/>
      <c r="K294" s="262"/>
      <c r="L294" s="274"/>
      <c r="M294" s="261"/>
      <c r="N294" s="261"/>
      <c r="O294" s="372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7"/>
    </row>
    <row r="295" spans="1:26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392"/>
      <c r="G295" s="371"/>
      <c r="H295" s="371"/>
      <c r="I295" s="362"/>
      <c r="J295" s="362"/>
      <c r="K295" s="262"/>
      <c r="L295" s="261"/>
      <c r="M295" s="261"/>
      <c r="N295" s="261"/>
      <c r="O295" s="372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7"/>
    </row>
    <row r="296" spans="1:26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392"/>
      <c r="G296" s="371"/>
      <c r="H296" s="371"/>
      <c r="I296" s="362"/>
      <c r="J296" s="362"/>
      <c r="K296" s="262"/>
      <c r="L296" s="261"/>
      <c r="M296" s="261"/>
      <c r="N296" s="261"/>
      <c r="O296" s="372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7"/>
    </row>
    <row r="297" spans="1:26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392"/>
      <c r="G297" s="371"/>
      <c r="H297" s="371"/>
      <c r="I297" s="362"/>
      <c r="J297" s="362"/>
      <c r="K297" s="262"/>
      <c r="L297" s="261"/>
      <c r="M297" s="261"/>
      <c r="N297" s="261"/>
      <c r="O297" s="372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7"/>
    </row>
    <row r="298" spans="1:26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392"/>
      <c r="G298" s="371"/>
      <c r="H298" s="371"/>
      <c r="I298" s="362"/>
      <c r="J298" s="362"/>
      <c r="K298" s="262"/>
      <c r="L298" s="261"/>
      <c r="M298" s="261"/>
      <c r="N298" s="261"/>
      <c r="O298" s="372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7"/>
    </row>
    <row r="299" spans="1:26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392"/>
      <c r="G299" s="371"/>
      <c r="H299" s="371"/>
      <c r="I299" s="362"/>
      <c r="J299" s="362"/>
      <c r="K299" s="262"/>
      <c r="L299" s="261"/>
      <c r="M299" s="261"/>
      <c r="N299" s="261"/>
      <c r="O299" s="372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7"/>
    </row>
    <row r="300" spans="1:26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392"/>
      <c r="G300" s="371"/>
      <c r="H300" s="371"/>
      <c r="I300" s="362"/>
      <c r="J300" s="362"/>
      <c r="K300" s="262"/>
      <c r="L300" s="261"/>
      <c r="M300" s="261"/>
      <c r="N300" s="261"/>
      <c r="O300" s="372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7"/>
    </row>
    <row r="301" spans="1:26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392"/>
      <c r="G301" s="371"/>
      <c r="H301" s="371"/>
      <c r="I301" s="362"/>
      <c r="J301" s="362"/>
      <c r="K301" s="262"/>
      <c r="L301" s="261"/>
      <c r="M301" s="261"/>
      <c r="N301" s="261"/>
      <c r="O301" s="372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7"/>
    </row>
    <row r="302" spans="1:26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392"/>
      <c r="G302" s="371"/>
      <c r="H302" s="371"/>
      <c r="I302" s="362"/>
      <c r="J302" s="362"/>
      <c r="K302" s="262"/>
      <c r="L302" s="261"/>
      <c r="M302" s="261"/>
      <c r="N302" s="261"/>
      <c r="O302" s="372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7"/>
    </row>
    <row r="303" spans="1:26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392"/>
      <c r="G303" s="371"/>
      <c r="H303" s="371"/>
      <c r="I303" s="362"/>
      <c r="J303" s="362"/>
      <c r="K303" s="262"/>
      <c r="L303" s="261"/>
      <c r="M303" s="261"/>
      <c r="N303" s="261"/>
      <c r="O303" s="372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7"/>
    </row>
    <row r="304" spans="1:26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392"/>
      <c r="G304" s="371"/>
      <c r="H304" s="371"/>
      <c r="I304" s="362"/>
      <c r="J304" s="362"/>
      <c r="K304" s="262"/>
      <c r="L304" s="261"/>
      <c r="M304" s="261"/>
      <c r="N304" s="261"/>
      <c r="O304" s="372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7"/>
    </row>
    <row r="305" spans="1:26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392"/>
      <c r="G305" s="371"/>
      <c r="H305" s="371"/>
      <c r="I305" s="362"/>
      <c r="J305" s="362"/>
      <c r="K305" s="262"/>
      <c r="L305" s="261"/>
      <c r="M305" s="261"/>
      <c r="N305" s="261"/>
      <c r="O305" s="372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7"/>
    </row>
    <row r="306" spans="1:26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392"/>
      <c r="G306" s="371"/>
      <c r="H306" s="371"/>
      <c r="I306" s="362"/>
      <c r="J306" s="362"/>
      <c r="K306" s="262"/>
      <c r="L306" s="261"/>
      <c r="M306" s="261"/>
      <c r="N306" s="261"/>
      <c r="O306" s="372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7"/>
    </row>
    <row r="307" spans="1:26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392"/>
      <c r="G307" s="371"/>
      <c r="H307" s="371"/>
      <c r="I307" s="362"/>
      <c r="J307" s="362"/>
      <c r="K307" s="262"/>
      <c r="L307" s="274"/>
      <c r="M307" s="261"/>
      <c r="N307" s="261"/>
      <c r="O307" s="372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7"/>
    </row>
    <row r="308" spans="1:26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392"/>
      <c r="G308" s="371"/>
      <c r="H308" s="371"/>
      <c r="I308" s="362"/>
      <c r="J308" s="362"/>
      <c r="K308" s="262"/>
      <c r="L308" s="261"/>
      <c r="M308" s="261"/>
      <c r="N308" s="261"/>
      <c r="O308" s="372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7"/>
    </row>
    <row r="309" spans="1:26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392"/>
      <c r="G309" s="371"/>
      <c r="H309" s="371"/>
      <c r="I309" s="362"/>
      <c r="J309" s="362"/>
      <c r="K309" s="262"/>
      <c r="L309" s="261"/>
      <c r="M309" s="261"/>
      <c r="N309" s="261"/>
      <c r="O309" s="372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7"/>
    </row>
    <row r="310" spans="1:26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392"/>
      <c r="G310" s="371"/>
      <c r="H310" s="371"/>
      <c r="I310" s="362"/>
      <c r="J310" s="362"/>
      <c r="K310" s="262"/>
      <c r="L310" s="261"/>
      <c r="M310" s="261"/>
      <c r="N310" s="261"/>
      <c r="O310" s="372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7"/>
    </row>
    <row r="311" spans="1:26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392"/>
      <c r="G311" s="371"/>
      <c r="H311" s="371"/>
      <c r="I311" s="362"/>
      <c r="J311" s="362"/>
      <c r="K311" s="262"/>
      <c r="L311" s="261"/>
      <c r="M311" s="261"/>
      <c r="N311" s="261"/>
      <c r="O311" s="372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7"/>
    </row>
    <row r="312" spans="1:26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392"/>
      <c r="G312" s="371"/>
      <c r="H312" s="371"/>
      <c r="I312" s="362"/>
      <c r="J312" s="362"/>
      <c r="K312" s="262"/>
      <c r="L312" s="261"/>
      <c r="M312" s="261"/>
      <c r="N312" s="261"/>
      <c r="O312" s="372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7"/>
    </row>
    <row r="313" spans="1:26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392"/>
      <c r="G313" s="371"/>
      <c r="H313" s="371"/>
      <c r="I313" s="362"/>
      <c r="J313" s="362"/>
      <c r="K313" s="262"/>
      <c r="L313" s="261"/>
      <c r="M313" s="261"/>
      <c r="N313" s="261"/>
      <c r="O313" s="372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7"/>
    </row>
    <row r="314" spans="1:26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392"/>
      <c r="G314" s="371"/>
      <c r="H314" s="371"/>
      <c r="I314" s="362"/>
      <c r="J314" s="362"/>
      <c r="K314" s="262"/>
      <c r="L314" s="261"/>
      <c r="M314" s="261"/>
      <c r="N314" s="261"/>
      <c r="O314" s="372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7"/>
    </row>
    <row r="315" spans="1:26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392"/>
      <c r="G315" s="371"/>
      <c r="H315" s="371"/>
      <c r="I315" s="362"/>
      <c r="J315" s="362"/>
      <c r="K315" s="262"/>
      <c r="L315" s="261"/>
      <c r="M315" s="261"/>
      <c r="N315" s="261"/>
      <c r="O315" s="372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7"/>
    </row>
    <row r="316" spans="1:26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392"/>
      <c r="G316" s="371"/>
      <c r="H316" s="371"/>
      <c r="I316" s="362"/>
      <c r="J316" s="362"/>
      <c r="K316" s="262"/>
      <c r="L316" s="261"/>
      <c r="M316" s="261"/>
      <c r="N316" s="261"/>
      <c r="O316" s="372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7"/>
    </row>
    <row r="317" spans="1:26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392"/>
      <c r="G317" s="371"/>
      <c r="H317" s="371"/>
      <c r="I317" s="362"/>
      <c r="J317" s="362"/>
      <c r="K317" s="262"/>
      <c r="L317" s="261"/>
      <c r="M317" s="261"/>
      <c r="N317" s="261"/>
      <c r="O317" s="372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7"/>
    </row>
    <row r="318" spans="1:26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392"/>
      <c r="G318" s="371"/>
      <c r="H318" s="371"/>
      <c r="I318" s="362"/>
      <c r="J318" s="362"/>
      <c r="K318" s="262"/>
      <c r="L318" s="261"/>
      <c r="M318" s="261"/>
      <c r="N318" s="261"/>
      <c r="O318" s="372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7"/>
    </row>
    <row r="319" spans="1:26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392"/>
      <c r="G319" s="371"/>
      <c r="H319" s="371"/>
      <c r="I319" s="362"/>
      <c r="J319" s="362"/>
      <c r="K319" s="262"/>
      <c r="L319" s="261"/>
      <c r="M319" s="261"/>
      <c r="N319" s="261"/>
      <c r="O319" s="372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7"/>
    </row>
    <row r="320" spans="1:26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392"/>
      <c r="G320" s="371"/>
      <c r="H320" s="371"/>
      <c r="I320" s="362"/>
      <c r="J320" s="362"/>
      <c r="K320" s="262"/>
      <c r="L320" s="274"/>
      <c r="M320" s="261"/>
      <c r="N320" s="261"/>
      <c r="O320" s="372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7"/>
    </row>
    <row r="321" spans="1:26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392"/>
      <c r="G321" s="371"/>
      <c r="H321" s="371"/>
      <c r="I321" s="362"/>
      <c r="J321" s="362"/>
      <c r="K321" s="262"/>
      <c r="L321" s="261"/>
      <c r="M321" s="261"/>
      <c r="N321" s="261"/>
      <c r="O321" s="372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7"/>
    </row>
    <row r="322" spans="1:26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392"/>
      <c r="G322" s="371"/>
      <c r="H322" s="371"/>
      <c r="I322" s="362"/>
      <c r="J322" s="362"/>
      <c r="K322" s="262"/>
      <c r="L322" s="261"/>
      <c r="M322" s="261"/>
      <c r="N322" s="261"/>
      <c r="O322" s="372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7"/>
    </row>
    <row r="323" spans="1:26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392"/>
      <c r="G323" s="371"/>
      <c r="H323" s="371"/>
      <c r="I323" s="362"/>
      <c r="J323" s="362"/>
      <c r="K323" s="262"/>
      <c r="L323" s="261"/>
      <c r="M323" s="261"/>
      <c r="N323" s="261"/>
      <c r="O323" s="372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7"/>
    </row>
    <row r="324" spans="1:26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392"/>
      <c r="G324" s="371"/>
      <c r="H324" s="371"/>
      <c r="I324" s="362"/>
      <c r="J324" s="362"/>
      <c r="K324" s="262"/>
      <c r="L324" s="261"/>
      <c r="M324" s="261"/>
      <c r="N324" s="261"/>
      <c r="O324" s="372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7"/>
    </row>
    <row r="325" spans="1:26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392"/>
      <c r="G325" s="371"/>
      <c r="H325" s="371"/>
      <c r="I325" s="362"/>
      <c r="J325" s="362"/>
      <c r="K325" s="262"/>
      <c r="L325" s="261"/>
      <c r="M325" s="261"/>
      <c r="N325" s="261"/>
      <c r="O325" s="372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7"/>
    </row>
    <row r="326" spans="1:26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392"/>
      <c r="G326" s="371"/>
      <c r="H326" s="371"/>
      <c r="I326" s="362"/>
      <c r="J326" s="362"/>
      <c r="K326" s="262"/>
      <c r="L326" s="261"/>
      <c r="M326" s="261"/>
      <c r="N326" s="261"/>
      <c r="O326" s="372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7"/>
    </row>
    <row r="327" spans="1:26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392"/>
      <c r="G327" s="371"/>
      <c r="H327" s="371"/>
      <c r="I327" s="362"/>
      <c r="J327" s="362"/>
      <c r="K327" s="262"/>
      <c r="L327" s="261"/>
      <c r="M327" s="261"/>
      <c r="N327" s="261"/>
      <c r="O327" s="372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7"/>
    </row>
    <row r="328" spans="1:26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392"/>
      <c r="G328" s="371"/>
      <c r="H328" s="371"/>
      <c r="I328" s="362"/>
      <c r="J328" s="362"/>
      <c r="K328" s="262"/>
      <c r="L328" s="261"/>
      <c r="M328" s="261"/>
      <c r="N328" s="261"/>
      <c r="O328" s="372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7"/>
    </row>
    <row r="329" spans="1:26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392"/>
      <c r="G329" s="371"/>
      <c r="H329" s="371"/>
      <c r="I329" s="362"/>
      <c r="J329" s="362"/>
      <c r="K329" s="262"/>
      <c r="L329" s="261"/>
      <c r="M329" s="261"/>
      <c r="N329" s="261"/>
      <c r="O329" s="372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7"/>
    </row>
    <row r="330" spans="1:26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392"/>
      <c r="G330" s="371"/>
      <c r="H330" s="371"/>
      <c r="I330" s="362"/>
      <c r="J330" s="362"/>
      <c r="K330" s="262"/>
      <c r="L330" s="261"/>
      <c r="M330" s="261"/>
      <c r="N330" s="261"/>
      <c r="O330" s="372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7"/>
    </row>
    <row r="331" spans="1:26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392"/>
      <c r="G331" s="371"/>
      <c r="H331" s="371"/>
      <c r="I331" s="362"/>
      <c r="J331" s="362"/>
      <c r="K331" s="262"/>
      <c r="L331" s="261"/>
      <c r="M331" s="261"/>
      <c r="N331" s="261"/>
      <c r="O331" s="372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7"/>
    </row>
    <row r="332" spans="1:26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392"/>
      <c r="G332" s="371"/>
      <c r="H332" s="371"/>
      <c r="I332" s="362"/>
      <c r="J332" s="362"/>
      <c r="K332" s="262"/>
      <c r="L332" s="261"/>
      <c r="M332" s="261"/>
      <c r="N332" s="261"/>
      <c r="O332" s="372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7"/>
    </row>
    <row r="333" spans="1:26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392"/>
      <c r="G333" s="371"/>
      <c r="H333" s="371"/>
      <c r="I333" s="362"/>
      <c r="J333" s="362"/>
      <c r="K333" s="262"/>
      <c r="L333" s="261"/>
      <c r="M333" s="261"/>
      <c r="N333" s="261"/>
      <c r="O333" s="372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7"/>
    </row>
    <row r="334" spans="1:26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392"/>
      <c r="G334" s="371"/>
      <c r="H334" s="371"/>
      <c r="I334" s="362"/>
      <c r="J334" s="362"/>
      <c r="K334" s="262"/>
      <c r="L334" s="261"/>
      <c r="M334" s="261"/>
      <c r="N334" s="261"/>
      <c r="O334" s="372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7"/>
    </row>
    <row r="335" spans="1:26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392"/>
      <c r="G335" s="371"/>
      <c r="H335" s="371"/>
      <c r="I335" s="362"/>
      <c r="J335" s="362"/>
      <c r="K335" s="262"/>
      <c r="L335" s="261"/>
      <c r="M335" s="261"/>
      <c r="N335" s="261"/>
      <c r="O335" s="372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7"/>
    </row>
    <row r="336" spans="1:26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392"/>
      <c r="G336" s="371"/>
      <c r="H336" s="371"/>
      <c r="I336" s="362"/>
      <c r="J336" s="362"/>
      <c r="K336" s="262"/>
      <c r="L336" s="261"/>
      <c r="M336" s="261"/>
      <c r="N336" s="261"/>
      <c r="O336" s="372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7"/>
    </row>
    <row r="337" spans="1:26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392"/>
      <c r="G337" s="371"/>
      <c r="H337" s="371"/>
      <c r="I337" s="362"/>
      <c r="J337" s="362"/>
      <c r="K337" s="262"/>
      <c r="L337" s="261"/>
      <c r="M337" s="261"/>
      <c r="N337" s="261"/>
      <c r="O337" s="372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7"/>
    </row>
    <row r="338" spans="1:26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392"/>
      <c r="G338" s="371"/>
      <c r="H338" s="371"/>
      <c r="I338" s="362"/>
      <c r="J338" s="362"/>
      <c r="K338" s="262"/>
      <c r="L338" s="261"/>
      <c r="M338" s="261"/>
      <c r="N338" s="261"/>
      <c r="O338" s="372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7"/>
    </row>
    <row r="339" spans="1:26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392"/>
      <c r="G339" s="371"/>
      <c r="H339" s="371"/>
      <c r="I339" s="362"/>
      <c r="J339" s="362"/>
      <c r="K339" s="262"/>
      <c r="L339" s="261"/>
      <c r="M339" s="261"/>
      <c r="N339" s="261"/>
      <c r="O339" s="372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7"/>
    </row>
    <row r="340" spans="1:26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392"/>
      <c r="G340" s="371"/>
      <c r="H340" s="371"/>
      <c r="I340" s="362"/>
      <c r="J340" s="362"/>
      <c r="K340" s="262"/>
      <c r="L340" s="261"/>
      <c r="M340" s="261"/>
      <c r="N340" s="261"/>
      <c r="O340" s="372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7"/>
    </row>
    <row r="341" spans="1:26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392"/>
      <c r="G341" s="371"/>
      <c r="H341" s="371"/>
      <c r="I341" s="362"/>
      <c r="J341" s="362"/>
      <c r="K341" s="262"/>
      <c r="L341" s="261"/>
      <c r="M341" s="261"/>
      <c r="N341" s="261"/>
      <c r="O341" s="372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7"/>
    </row>
    <row r="342" spans="1:26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392"/>
      <c r="G342" s="371"/>
      <c r="H342" s="371"/>
      <c r="I342" s="362"/>
      <c r="J342" s="362"/>
      <c r="K342" s="262"/>
      <c r="L342" s="261"/>
      <c r="M342" s="261"/>
      <c r="N342" s="261"/>
      <c r="O342" s="372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7"/>
    </row>
    <row r="343" spans="1:26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392"/>
      <c r="G343" s="371"/>
      <c r="H343" s="371"/>
      <c r="I343" s="362"/>
      <c r="J343" s="362"/>
      <c r="K343" s="262"/>
      <c r="L343" s="261"/>
      <c r="M343" s="261"/>
      <c r="N343" s="261"/>
      <c r="O343" s="372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7"/>
    </row>
    <row r="344" spans="1:26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392"/>
      <c r="G344" s="371"/>
      <c r="H344" s="371"/>
      <c r="I344" s="362"/>
      <c r="J344" s="362"/>
      <c r="K344" s="262"/>
      <c r="L344" s="261"/>
      <c r="M344" s="261"/>
      <c r="N344" s="261"/>
      <c r="O344" s="372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7"/>
    </row>
    <row r="345" spans="1:26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392"/>
      <c r="G345" s="371"/>
      <c r="H345" s="371"/>
      <c r="I345" s="362"/>
      <c r="J345" s="362"/>
      <c r="K345" s="262"/>
      <c r="L345" s="261"/>
      <c r="M345" s="261"/>
      <c r="N345" s="261"/>
      <c r="O345" s="372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7"/>
    </row>
    <row r="346" spans="1:26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392"/>
      <c r="G346" s="371"/>
      <c r="H346" s="371"/>
      <c r="I346" s="362"/>
      <c r="J346" s="362"/>
      <c r="K346" s="262"/>
      <c r="L346" s="261"/>
      <c r="M346" s="261"/>
      <c r="N346" s="261"/>
      <c r="O346" s="372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7"/>
    </row>
    <row r="347" spans="1:26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392"/>
      <c r="G347" s="371"/>
      <c r="H347" s="371"/>
      <c r="I347" s="362"/>
      <c r="J347" s="362"/>
      <c r="K347" s="262"/>
      <c r="L347" s="261"/>
      <c r="M347" s="261"/>
      <c r="N347" s="261"/>
      <c r="O347" s="372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7"/>
    </row>
    <row r="348" spans="1:26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392"/>
      <c r="G348" s="371"/>
      <c r="H348" s="371"/>
      <c r="I348" s="362"/>
      <c r="J348" s="362"/>
      <c r="K348" s="262"/>
      <c r="L348" s="261"/>
      <c r="M348" s="261"/>
      <c r="N348" s="261"/>
      <c r="O348" s="372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7"/>
    </row>
    <row r="349" spans="1:26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392"/>
      <c r="G349" s="371"/>
      <c r="H349" s="371"/>
      <c r="I349" s="362"/>
      <c r="J349" s="362"/>
      <c r="K349" s="262"/>
      <c r="L349" s="261"/>
      <c r="M349" s="261"/>
      <c r="N349" s="261"/>
      <c r="O349" s="372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7"/>
    </row>
    <row r="350" spans="1:26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392"/>
      <c r="G350" s="371"/>
      <c r="H350" s="371"/>
      <c r="I350" s="362"/>
      <c r="J350" s="362"/>
      <c r="K350" s="262"/>
      <c r="L350" s="261"/>
      <c r="M350" s="261"/>
      <c r="N350" s="261"/>
      <c r="O350" s="372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7"/>
    </row>
    <row r="351" spans="1:26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392"/>
      <c r="G351" s="371"/>
      <c r="H351" s="371"/>
      <c r="I351" s="362"/>
      <c r="J351" s="362"/>
      <c r="K351" s="262"/>
      <c r="L351" s="261"/>
      <c r="M351" s="261"/>
      <c r="N351" s="261"/>
      <c r="O351" s="372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7"/>
    </row>
    <row r="352" spans="1:26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392"/>
      <c r="G352" s="371"/>
      <c r="H352" s="371"/>
      <c r="I352" s="362"/>
      <c r="J352" s="362"/>
      <c r="K352" s="262"/>
      <c r="L352" s="261"/>
      <c r="M352" s="261"/>
      <c r="N352" s="261"/>
      <c r="O352" s="372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7"/>
    </row>
    <row r="353" spans="1:26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392"/>
      <c r="G353" s="371"/>
      <c r="H353" s="371"/>
      <c r="I353" s="362"/>
      <c r="J353" s="362"/>
      <c r="K353" s="262"/>
      <c r="L353" s="261"/>
      <c r="M353" s="261"/>
      <c r="N353" s="261"/>
      <c r="O353" s="372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7"/>
    </row>
    <row r="354" spans="1:26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392"/>
      <c r="G354" s="371"/>
      <c r="H354" s="371"/>
      <c r="I354" s="362"/>
      <c r="J354" s="362"/>
      <c r="K354" s="262"/>
      <c r="L354" s="261"/>
      <c r="M354" s="261"/>
      <c r="N354" s="261"/>
      <c r="O354" s="372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7"/>
    </row>
    <row r="355" spans="1:26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392"/>
      <c r="G355" s="371"/>
      <c r="H355" s="371"/>
      <c r="I355" s="362"/>
      <c r="J355" s="362"/>
      <c r="K355" s="262"/>
      <c r="L355" s="261"/>
      <c r="M355" s="261"/>
      <c r="N355" s="261"/>
      <c r="O355" s="372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7"/>
    </row>
    <row r="356" spans="1:26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392"/>
      <c r="G356" s="371"/>
      <c r="H356" s="371"/>
      <c r="I356" s="362"/>
      <c r="J356" s="362"/>
      <c r="K356" s="262"/>
      <c r="L356" s="261"/>
      <c r="M356" s="261"/>
      <c r="N356" s="261"/>
      <c r="O356" s="372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7"/>
    </row>
    <row r="357" spans="1:26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392"/>
      <c r="G357" s="371"/>
      <c r="H357" s="371"/>
      <c r="I357" s="362"/>
      <c r="J357" s="362"/>
      <c r="K357" s="262"/>
      <c r="L357" s="261"/>
      <c r="M357" s="261"/>
      <c r="N357" s="261"/>
      <c r="O357" s="372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7"/>
    </row>
    <row r="358" spans="1:26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392"/>
      <c r="G358" s="371"/>
      <c r="H358" s="371"/>
      <c r="I358" s="362"/>
      <c r="J358" s="362"/>
      <c r="K358" s="262"/>
      <c r="L358" s="261"/>
      <c r="M358" s="261"/>
      <c r="N358" s="261"/>
      <c r="O358" s="372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7"/>
    </row>
    <row r="359" spans="1:26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392"/>
      <c r="G359" s="371"/>
      <c r="H359" s="371"/>
      <c r="I359" s="362"/>
      <c r="J359" s="362"/>
      <c r="K359" s="262"/>
      <c r="L359" s="261"/>
      <c r="M359" s="261"/>
      <c r="N359" s="261"/>
      <c r="O359" s="372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7"/>
    </row>
    <row r="360" spans="1:26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392"/>
      <c r="G360" s="371"/>
      <c r="H360" s="371"/>
      <c r="I360" s="362"/>
      <c r="J360" s="362"/>
      <c r="K360" s="262"/>
      <c r="L360" s="261"/>
      <c r="M360" s="261"/>
      <c r="N360" s="261"/>
      <c r="O360" s="372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7"/>
    </row>
    <row r="361" spans="1:26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392"/>
      <c r="G361" s="371"/>
      <c r="H361" s="371"/>
      <c r="I361" s="362"/>
      <c r="J361" s="362"/>
      <c r="K361" s="262"/>
      <c r="L361" s="261"/>
      <c r="M361" s="261"/>
      <c r="N361" s="261"/>
      <c r="O361" s="372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7"/>
    </row>
    <row r="362" spans="1:26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392"/>
      <c r="G362" s="371"/>
      <c r="H362" s="371"/>
      <c r="I362" s="362"/>
      <c r="J362" s="362"/>
      <c r="K362" s="262"/>
      <c r="L362" s="261"/>
      <c r="M362" s="261"/>
      <c r="N362" s="261"/>
      <c r="O362" s="372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7"/>
    </row>
    <row r="363" spans="1:26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392"/>
      <c r="G363" s="371"/>
      <c r="H363" s="371"/>
      <c r="I363" s="362"/>
      <c r="J363" s="362"/>
      <c r="K363" s="262"/>
      <c r="L363" s="261"/>
      <c r="M363" s="261"/>
      <c r="N363" s="261"/>
      <c r="O363" s="372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7"/>
    </row>
    <row r="364" spans="1:26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392"/>
      <c r="G364" s="371"/>
      <c r="H364" s="371"/>
      <c r="I364" s="362"/>
      <c r="J364" s="362"/>
      <c r="K364" s="262"/>
      <c r="L364" s="261"/>
      <c r="M364" s="261"/>
      <c r="N364" s="261"/>
      <c r="O364" s="372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7"/>
    </row>
    <row r="365" spans="1:26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392"/>
      <c r="G365" s="371"/>
      <c r="H365" s="371"/>
      <c r="I365" s="362"/>
      <c r="J365" s="362"/>
      <c r="K365" s="262"/>
      <c r="L365" s="261"/>
      <c r="M365" s="261"/>
      <c r="N365" s="261"/>
      <c r="O365" s="372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7"/>
    </row>
    <row r="366" spans="1:26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392"/>
      <c r="G366" s="371"/>
      <c r="H366" s="371"/>
      <c r="I366" s="362"/>
      <c r="J366" s="362"/>
      <c r="K366" s="262"/>
      <c r="L366" s="261"/>
      <c r="M366" s="261"/>
      <c r="N366" s="261"/>
      <c r="O366" s="372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7"/>
    </row>
    <row r="367" spans="1:26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392"/>
      <c r="G367" s="371"/>
      <c r="H367" s="371"/>
      <c r="I367" s="362"/>
      <c r="J367" s="362"/>
      <c r="K367" s="262"/>
      <c r="L367" s="261"/>
      <c r="M367" s="261"/>
      <c r="N367" s="261"/>
      <c r="O367" s="372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7"/>
    </row>
    <row r="368" spans="1:26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392"/>
      <c r="G368" s="371"/>
      <c r="H368" s="371"/>
      <c r="I368" s="362"/>
      <c r="J368" s="362"/>
      <c r="K368" s="262"/>
      <c r="L368" s="261"/>
      <c r="M368" s="261"/>
      <c r="N368" s="261"/>
      <c r="O368" s="372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7"/>
    </row>
    <row r="369" spans="1:26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392"/>
      <c r="G369" s="371"/>
      <c r="H369" s="371"/>
      <c r="I369" s="362"/>
      <c r="J369" s="362"/>
      <c r="K369" s="262"/>
      <c r="L369" s="261"/>
      <c r="M369" s="261"/>
      <c r="N369" s="261"/>
      <c r="O369" s="372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7"/>
    </row>
    <row r="370" spans="1:26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392"/>
      <c r="G370" s="371"/>
      <c r="H370" s="371"/>
      <c r="I370" s="362"/>
      <c r="J370" s="362"/>
      <c r="K370" s="262"/>
      <c r="L370" s="261"/>
      <c r="M370" s="261"/>
      <c r="N370" s="261"/>
      <c r="O370" s="372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7"/>
    </row>
    <row r="371" spans="1:26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392"/>
      <c r="G371" s="371"/>
      <c r="H371" s="371"/>
      <c r="I371" s="362"/>
      <c r="J371" s="362"/>
      <c r="K371" s="262"/>
      <c r="L371" s="261"/>
      <c r="M371" s="261"/>
      <c r="N371" s="261"/>
      <c r="O371" s="372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7"/>
    </row>
    <row r="372" spans="1:26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392"/>
      <c r="G372" s="371"/>
      <c r="H372" s="371"/>
      <c r="I372" s="362"/>
      <c r="J372" s="362"/>
      <c r="K372" s="262"/>
      <c r="L372" s="261"/>
      <c r="M372" s="261"/>
      <c r="N372" s="261"/>
      <c r="O372" s="372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7"/>
    </row>
    <row r="373" spans="1:26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392"/>
      <c r="G373" s="371"/>
      <c r="H373" s="371"/>
      <c r="I373" s="362"/>
      <c r="J373" s="362"/>
      <c r="K373" s="262"/>
      <c r="L373" s="261"/>
      <c r="M373" s="261"/>
      <c r="N373" s="261"/>
      <c r="O373" s="372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7"/>
    </row>
    <row r="374" spans="1:26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392"/>
      <c r="G374" s="371"/>
      <c r="H374" s="371"/>
      <c r="I374" s="362"/>
      <c r="J374" s="362"/>
      <c r="K374" s="262"/>
      <c r="L374" s="261"/>
      <c r="M374" s="261"/>
      <c r="N374" s="261"/>
      <c r="O374" s="372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7"/>
    </row>
    <row r="375" spans="1:26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392"/>
      <c r="G375" s="371"/>
      <c r="H375" s="371"/>
      <c r="I375" s="362"/>
      <c r="J375" s="362"/>
      <c r="K375" s="262"/>
      <c r="L375" s="261"/>
      <c r="M375" s="261"/>
      <c r="N375" s="261"/>
      <c r="O375" s="372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7"/>
    </row>
    <row r="376" spans="1:26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392"/>
      <c r="G376" s="371"/>
      <c r="H376" s="371"/>
      <c r="I376" s="362"/>
      <c r="J376" s="362"/>
      <c r="K376" s="262"/>
      <c r="L376" s="261"/>
      <c r="M376" s="261"/>
      <c r="N376" s="261"/>
      <c r="O376" s="372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7"/>
    </row>
    <row r="377" spans="1:26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392"/>
      <c r="G377" s="371"/>
      <c r="H377" s="371"/>
      <c r="I377" s="362"/>
      <c r="J377" s="362"/>
      <c r="K377" s="262"/>
      <c r="L377" s="261"/>
      <c r="M377" s="261"/>
      <c r="N377" s="261"/>
      <c r="O377" s="372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7"/>
    </row>
    <row r="378" spans="1:26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392"/>
      <c r="G378" s="371"/>
      <c r="H378" s="371"/>
      <c r="I378" s="362"/>
      <c r="J378" s="362"/>
      <c r="K378" s="262"/>
      <c r="L378" s="261"/>
      <c r="M378" s="261"/>
      <c r="N378" s="261"/>
      <c r="O378" s="372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7"/>
    </row>
    <row r="379" spans="1:26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392"/>
      <c r="G379" s="371"/>
      <c r="H379" s="371"/>
      <c r="I379" s="362"/>
      <c r="J379" s="362"/>
      <c r="K379" s="262"/>
      <c r="L379" s="261"/>
      <c r="M379" s="261"/>
      <c r="N379" s="261"/>
      <c r="O379" s="372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7"/>
    </row>
    <row r="380" spans="1:26" ht="18.75" customHeight="1">
      <c r="A380" s="42"/>
      <c r="B380" s="59" t="s">
        <v>828</v>
      </c>
      <c r="C380" s="111" t="s">
        <v>829</v>
      </c>
      <c r="D380" s="61" t="s">
        <v>1302</v>
      </c>
      <c r="E380" s="200">
        <f t="shared" si="1"/>
        <v>0</v>
      </c>
      <c r="F380" s="392"/>
      <c r="G380" s="371"/>
      <c r="H380" s="371"/>
      <c r="I380" s="362"/>
      <c r="J380" s="362"/>
      <c r="K380" s="262"/>
      <c r="L380" s="261"/>
      <c r="M380" s="261"/>
      <c r="N380" s="261"/>
      <c r="O380" s="372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7"/>
    </row>
    <row r="381" spans="1:26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392"/>
      <c r="G381" s="371"/>
      <c r="H381" s="371"/>
      <c r="I381" s="362"/>
      <c r="J381" s="362"/>
      <c r="K381" s="262"/>
      <c r="L381" s="261"/>
      <c r="M381" s="261"/>
      <c r="N381" s="261"/>
      <c r="O381" s="372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7"/>
    </row>
    <row r="382" spans="1:26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392"/>
      <c r="G382" s="371"/>
      <c r="H382" s="371"/>
      <c r="I382" s="362"/>
      <c r="J382" s="362"/>
      <c r="K382" s="262"/>
      <c r="L382" s="261"/>
      <c r="M382" s="261"/>
      <c r="N382" s="261"/>
      <c r="O382" s="372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7"/>
    </row>
    <row r="383" spans="1:26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392"/>
      <c r="G383" s="371"/>
      <c r="H383" s="371"/>
      <c r="I383" s="362"/>
      <c r="J383" s="362"/>
      <c r="K383" s="262"/>
      <c r="L383" s="261"/>
      <c r="M383" s="261"/>
      <c r="N383" s="261"/>
      <c r="O383" s="372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7"/>
    </row>
    <row r="384" spans="1:26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392"/>
      <c r="G384" s="371"/>
      <c r="H384" s="371"/>
      <c r="I384" s="362"/>
      <c r="J384" s="362"/>
      <c r="K384" s="262"/>
      <c r="L384" s="261"/>
      <c r="M384" s="261"/>
      <c r="N384" s="261"/>
      <c r="O384" s="372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7"/>
    </row>
    <row r="385" spans="1:26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392"/>
      <c r="G385" s="371"/>
      <c r="H385" s="371"/>
      <c r="I385" s="362"/>
      <c r="J385" s="362"/>
      <c r="K385" s="262"/>
      <c r="L385" s="261"/>
      <c r="M385" s="261"/>
      <c r="N385" s="261"/>
      <c r="O385" s="372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7"/>
    </row>
    <row r="386" spans="1:26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392"/>
      <c r="G386" s="371"/>
      <c r="H386" s="371"/>
      <c r="I386" s="362"/>
      <c r="J386" s="362"/>
      <c r="K386" s="262"/>
      <c r="L386" s="261"/>
      <c r="M386" s="261"/>
      <c r="N386" s="261"/>
      <c r="O386" s="372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7"/>
    </row>
    <row r="387" spans="1:26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392"/>
      <c r="G387" s="371"/>
      <c r="H387" s="371"/>
      <c r="I387" s="362"/>
      <c r="J387" s="362"/>
      <c r="K387" s="262"/>
      <c r="L387" s="261"/>
      <c r="M387" s="261"/>
      <c r="N387" s="261"/>
      <c r="O387" s="372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7"/>
    </row>
    <row r="388" spans="1:26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392"/>
      <c r="G388" s="371"/>
      <c r="H388" s="371"/>
      <c r="I388" s="362"/>
      <c r="J388" s="362"/>
      <c r="K388" s="262"/>
      <c r="L388" s="261"/>
      <c r="M388" s="261"/>
      <c r="N388" s="261"/>
      <c r="O388" s="372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7"/>
    </row>
    <row r="389" spans="1:26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392"/>
      <c r="G389" s="371"/>
      <c r="H389" s="371"/>
      <c r="I389" s="362"/>
      <c r="J389" s="362"/>
      <c r="K389" s="262"/>
      <c r="L389" s="261"/>
      <c r="M389" s="261"/>
      <c r="N389" s="261"/>
      <c r="O389" s="372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7"/>
    </row>
    <row r="390" spans="1:26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392"/>
      <c r="G390" s="371"/>
      <c r="H390" s="371"/>
      <c r="I390" s="362"/>
      <c r="J390" s="362"/>
      <c r="K390" s="262"/>
      <c r="L390" s="261"/>
      <c r="M390" s="261"/>
      <c r="N390" s="261"/>
      <c r="O390" s="372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7"/>
    </row>
    <row r="391" spans="1:26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392"/>
      <c r="G391" s="371"/>
      <c r="H391" s="371"/>
      <c r="I391" s="362"/>
      <c r="J391" s="362"/>
      <c r="K391" s="262"/>
      <c r="L391" s="261"/>
      <c r="M391" s="261"/>
      <c r="N391" s="261"/>
      <c r="O391" s="372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7"/>
    </row>
    <row r="392" spans="1:26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392"/>
      <c r="G392" s="371"/>
      <c r="H392" s="371"/>
      <c r="I392" s="362"/>
      <c r="J392" s="362"/>
      <c r="K392" s="262"/>
      <c r="L392" s="261"/>
      <c r="M392" s="261"/>
      <c r="N392" s="261"/>
      <c r="O392" s="372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7"/>
    </row>
    <row r="393" spans="1:26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392"/>
      <c r="G393" s="371"/>
      <c r="H393" s="371"/>
      <c r="I393" s="362"/>
      <c r="J393" s="362"/>
      <c r="K393" s="262"/>
      <c r="L393" s="261"/>
      <c r="M393" s="261"/>
      <c r="N393" s="261"/>
      <c r="O393" s="372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7"/>
    </row>
    <row r="394" spans="1:26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392"/>
      <c r="G394" s="371"/>
      <c r="H394" s="371"/>
      <c r="I394" s="362"/>
      <c r="J394" s="362"/>
      <c r="K394" s="262"/>
      <c r="L394" s="261"/>
      <c r="M394" s="261"/>
      <c r="N394" s="261"/>
      <c r="O394" s="372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7"/>
    </row>
    <row r="395" spans="1:26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392"/>
      <c r="G395" s="371"/>
      <c r="H395" s="371"/>
      <c r="I395" s="362"/>
      <c r="J395" s="362"/>
      <c r="K395" s="262"/>
      <c r="L395" s="261"/>
      <c r="M395" s="261"/>
      <c r="N395" s="261"/>
      <c r="O395" s="372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7"/>
    </row>
    <row r="396" spans="1:26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392"/>
      <c r="G396" s="371"/>
      <c r="H396" s="371"/>
      <c r="I396" s="362"/>
      <c r="J396" s="362"/>
      <c r="K396" s="262"/>
      <c r="L396" s="261"/>
      <c r="M396" s="261"/>
      <c r="N396" s="261"/>
      <c r="O396" s="372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7"/>
    </row>
    <row r="397" spans="1:26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392"/>
      <c r="G397" s="371"/>
      <c r="H397" s="371"/>
      <c r="I397" s="362"/>
      <c r="J397" s="362"/>
      <c r="K397" s="262"/>
      <c r="L397" s="261"/>
      <c r="M397" s="261"/>
      <c r="N397" s="261"/>
      <c r="O397" s="372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7"/>
    </row>
    <row r="398" spans="1:26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392"/>
      <c r="G398" s="371"/>
      <c r="H398" s="371"/>
      <c r="I398" s="362"/>
      <c r="J398" s="362"/>
      <c r="K398" s="262"/>
      <c r="L398" s="261"/>
      <c r="M398" s="261"/>
      <c r="N398" s="261"/>
      <c r="O398" s="372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7"/>
    </row>
    <row r="399" spans="1:26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392"/>
      <c r="G399" s="371"/>
      <c r="H399" s="371"/>
      <c r="I399" s="362"/>
      <c r="J399" s="362"/>
      <c r="K399" s="262"/>
      <c r="L399" s="261"/>
      <c r="M399" s="261"/>
      <c r="N399" s="261"/>
      <c r="O399" s="372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7"/>
    </row>
    <row r="400" spans="1:26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392"/>
      <c r="G400" s="371"/>
      <c r="H400" s="371"/>
      <c r="I400" s="362"/>
      <c r="J400" s="362"/>
      <c r="K400" s="262"/>
      <c r="L400" s="261"/>
      <c r="M400" s="261"/>
      <c r="N400" s="261"/>
      <c r="O400" s="372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7"/>
    </row>
    <row r="401" spans="1:26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392"/>
      <c r="G401" s="371"/>
      <c r="H401" s="371"/>
      <c r="I401" s="362"/>
      <c r="J401" s="362"/>
      <c r="K401" s="262"/>
      <c r="L401" s="261"/>
      <c r="M401" s="261"/>
      <c r="N401" s="261"/>
      <c r="O401" s="372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7"/>
    </row>
    <row r="402" spans="1:26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392"/>
      <c r="G402" s="371"/>
      <c r="H402" s="371"/>
      <c r="I402" s="362"/>
      <c r="J402" s="362"/>
      <c r="K402" s="262"/>
      <c r="L402" s="261"/>
      <c r="M402" s="261"/>
      <c r="N402" s="261"/>
      <c r="O402" s="372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7"/>
    </row>
    <row r="403" spans="1:26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392"/>
      <c r="G403" s="371"/>
      <c r="H403" s="371"/>
      <c r="I403" s="362"/>
      <c r="J403" s="362"/>
      <c r="K403" s="262"/>
      <c r="L403" s="261"/>
      <c r="M403" s="261"/>
      <c r="N403" s="261"/>
      <c r="O403" s="372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7"/>
    </row>
    <row r="404" spans="1:26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392"/>
      <c r="G404" s="371"/>
      <c r="H404" s="371"/>
      <c r="I404" s="362"/>
      <c r="J404" s="362"/>
      <c r="K404" s="262"/>
      <c r="L404" s="261"/>
      <c r="M404" s="261"/>
      <c r="N404" s="261"/>
      <c r="O404" s="372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7"/>
    </row>
    <row r="405" spans="1:26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392"/>
      <c r="G405" s="371"/>
      <c r="H405" s="371"/>
      <c r="I405" s="362"/>
      <c r="J405" s="362"/>
      <c r="K405" s="262"/>
      <c r="L405" s="261"/>
      <c r="M405" s="261"/>
      <c r="N405" s="261"/>
      <c r="O405" s="372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7"/>
    </row>
    <row r="406" spans="1:26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392"/>
      <c r="G406" s="371"/>
      <c r="H406" s="371"/>
      <c r="I406" s="362"/>
      <c r="J406" s="362"/>
      <c r="K406" s="262"/>
      <c r="L406" s="261"/>
      <c r="M406" s="261"/>
      <c r="N406" s="261"/>
      <c r="O406" s="372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7"/>
    </row>
    <row r="407" spans="1:26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392"/>
      <c r="G407" s="371"/>
      <c r="H407" s="371"/>
      <c r="I407" s="362"/>
      <c r="J407" s="362"/>
      <c r="K407" s="262"/>
      <c r="L407" s="261"/>
      <c r="M407" s="261"/>
      <c r="N407" s="261"/>
      <c r="O407" s="372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7"/>
    </row>
    <row r="408" spans="1:26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392"/>
      <c r="G408" s="371"/>
      <c r="H408" s="371"/>
      <c r="I408" s="362"/>
      <c r="J408" s="362"/>
      <c r="K408" s="262"/>
      <c r="L408" s="261"/>
      <c r="M408" s="261"/>
      <c r="N408" s="261"/>
      <c r="O408" s="372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7"/>
    </row>
    <row r="409" spans="1:26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392"/>
      <c r="G409" s="371"/>
      <c r="H409" s="371"/>
      <c r="I409" s="362"/>
      <c r="J409" s="362"/>
      <c r="K409" s="262"/>
      <c r="L409" s="261"/>
      <c r="M409" s="261"/>
      <c r="N409" s="261"/>
      <c r="O409" s="372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7"/>
    </row>
    <row r="410" spans="1:26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392"/>
      <c r="G410" s="371"/>
      <c r="H410" s="371"/>
      <c r="I410" s="362"/>
      <c r="J410" s="362"/>
      <c r="K410" s="262"/>
      <c r="L410" s="261"/>
      <c r="M410" s="261"/>
      <c r="N410" s="261"/>
      <c r="O410" s="372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7"/>
    </row>
    <row r="411" spans="1:26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392"/>
      <c r="G411" s="371"/>
      <c r="H411" s="371"/>
      <c r="I411" s="362"/>
      <c r="J411" s="362"/>
      <c r="K411" s="262"/>
      <c r="L411" s="261"/>
      <c r="M411" s="261"/>
      <c r="N411" s="261"/>
      <c r="O411" s="372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7"/>
    </row>
    <row r="412" spans="1:26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392"/>
      <c r="G412" s="371"/>
      <c r="H412" s="371"/>
      <c r="I412" s="362"/>
      <c r="J412" s="362"/>
      <c r="K412" s="262"/>
      <c r="L412" s="261"/>
      <c r="M412" s="261"/>
      <c r="N412" s="261"/>
      <c r="O412" s="372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7"/>
    </row>
    <row r="413" spans="1:26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392"/>
      <c r="G413" s="371"/>
      <c r="H413" s="371"/>
      <c r="I413" s="362"/>
      <c r="J413" s="362"/>
      <c r="K413" s="262"/>
      <c r="L413" s="261"/>
      <c r="M413" s="261"/>
      <c r="N413" s="261"/>
      <c r="O413" s="372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7"/>
    </row>
    <row r="414" spans="1:26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392"/>
      <c r="G414" s="371"/>
      <c r="H414" s="371"/>
      <c r="I414" s="362"/>
      <c r="J414" s="362"/>
      <c r="K414" s="262"/>
      <c r="L414" s="261"/>
      <c r="M414" s="261"/>
      <c r="N414" s="261"/>
      <c r="O414" s="372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7"/>
    </row>
    <row r="415" spans="1:26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392"/>
      <c r="G415" s="371"/>
      <c r="H415" s="371"/>
      <c r="I415" s="362"/>
      <c r="J415" s="362"/>
      <c r="K415" s="262"/>
      <c r="L415" s="261"/>
      <c r="M415" s="261"/>
      <c r="N415" s="261"/>
      <c r="O415" s="372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7"/>
    </row>
    <row r="416" spans="1:26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392"/>
      <c r="G416" s="371"/>
      <c r="H416" s="371"/>
      <c r="I416" s="362"/>
      <c r="J416" s="362"/>
      <c r="K416" s="262"/>
      <c r="L416" s="261"/>
      <c r="M416" s="261"/>
      <c r="N416" s="261"/>
      <c r="O416" s="372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7"/>
    </row>
    <row r="417" spans="1:26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392"/>
      <c r="G417" s="371"/>
      <c r="H417" s="371"/>
      <c r="I417" s="362"/>
      <c r="J417" s="362"/>
      <c r="K417" s="262"/>
      <c r="L417" s="261"/>
      <c r="M417" s="261"/>
      <c r="N417" s="261"/>
      <c r="O417" s="372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7"/>
    </row>
    <row r="418" spans="1:26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392"/>
      <c r="G418" s="371"/>
      <c r="H418" s="371"/>
      <c r="I418" s="362"/>
      <c r="J418" s="362"/>
      <c r="K418" s="262"/>
      <c r="L418" s="261"/>
      <c r="M418" s="261"/>
      <c r="N418" s="261"/>
      <c r="O418" s="372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7"/>
    </row>
    <row r="419" spans="1:26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392"/>
      <c r="G419" s="371"/>
      <c r="H419" s="371"/>
      <c r="I419" s="362"/>
      <c r="J419" s="362"/>
      <c r="K419" s="262"/>
      <c r="L419" s="261"/>
      <c r="M419" s="261"/>
      <c r="N419" s="261"/>
      <c r="O419" s="372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7"/>
    </row>
    <row r="420" spans="1:26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392"/>
      <c r="G420" s="371"/>
      <c r="H420" s="371"/>
      <c r="I420" s="362"/>
      <c r="J420" s="362"/>
      <c r="K420" s="262"/>
      <c r="L420" s="261"/>
      <c r="M420" s="261"/>
      <c r="N420" s="261"/>
      <c r="O420" s="372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7"/>
    </row>
    <row r="421" spans="1:26" ht="18.75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392"/>
      <c r="G421" s="362"/>
      <c r="H421" s="362"/>
      <c r="I421" s="362"/>
      <c r="J421" s="362"/>
      <c r="K421" s="262"/>
      <c r="L421" s="262"/>
      <c r="M421" s="262"/>
      <c r="N421" s="262"/>
      <c r="O421" s="37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7"/>
    </row>
    <row r="422" spans="1:26" ht="31.5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392"/>
      <c r="G422" s="362"/>
      <c r="H422" s="362"/>
      <c r="I422" s="362"/>
      <c r="J422" s="362"/>
      <c r="K422" s="262"/>
      <c r="L422" s="262"/>
      <c r="M422" s="262"/>
      <c r="N422" s="262"/>
      <c r="O422" s="37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7"/>
    </row>
    <row r="423" spans="1:26" ht="18.75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392"/>
      <c r="G423" s="362"/>
      <c r="H423" s="362"/>
      <c r="I423" s="362"/>
      <c r="J423" s="362"/>
      <c r="K423" s="262"/>
      <c r="L423" s="262"/>
      <c r="M423" s="262"/>
      <c r="N423" s="262"/>
      <c r="O423" s="37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7"/>
    </row>
    <row r="424" spans="1:26" ht="18.75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392"/>
      <c r="G424" s="362"/>
      <c r="H424" s="362"/>
      <c r="I424" s="362"/>
      <c r="J424" s="362"/>
      <c r="K424" s="262"/>
      <c r="L424" s="262"/>
      <c r="M424" s="262"/>
      <c r="N424" s="262"/>
      <c r="O424" s="37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7"/>
    </row>
    <row r="425" spans="1:26" ht="18.75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392"/>
      <c r="G425" s="362"/>
      <c r="H425" s="362"/>
      <c r="I425" s="362"/>
      <c r="J425" s="362"/>
      <c r="K425" s="262"/>
      <c r="L425" s="262"/>
      <c r="M425" s="262"/>
      <c r="N425" s="262"/>
      <c r="O425" s="37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7"/>
    </row>
    <row r="426" spans="1:26" ht="31.5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392"/>
      <c r="G426" s="362"/>
      <c r="H426" s="362"/>
      <c r="I426" s="362"/>
      <c r="J426" s="362"/>
      <c r="K426" s="262"/>
      <c r="L426" s="262"/>
      <c r="M426" s="262"/>
      <c r="N426" s="262"/>
      <c r="O426" s="37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7"/>
    </row>
    <row r="427" spans="1:26" ht="14.2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392"/>
      <c r="G427" s="371"/>
      <c r="H427" s="371"/>
      <c r="I427" s="362"/>
      <c r="J427" s="362"/>
      <c r="K427" s="262"/>
      <c r="L427" s="261"/>
      <c r="M427" s="261"/>
      <c r="N427" s="261"/>
      <c r="O427" s="372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7"/>
    </row>
    <row r="428" spans="1:26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392"/>
      <c r="G428" s="371"/>
      <c r="H428" s="371"/>
      <c r="I428" s="362"/>
      <c r="J428" s="362"/>
      <c r="K428" s="262"/>
      <c r="L428" s="261"/>
      <c r="M428" s="261"/>
      <c r="N428" s="261"/>
      <c r="O428" s="372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7"/>
    </row>
    <row r="429" spans="1:26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392"/>
      <c r="G429" s="371"/>
      <c r="H429" s="371"/>
      <c r="I429" s="362"/>
      <c r="J429" s="362"/>
      <c r="K429" s="262"/>
      <c r="L429" s="261"/>
      <c r="M429" s="261"/>
      <c r="N429" s="261"/>
      <c r="O429" s="372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7"/>
    </row>
    <row r="430" spans="1:26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392"/>
      <c r="G430" s="371"/>
      <c r="H430" s="371"/>
      <c r="I430" s="362"/>
      <c r="J430" s="362"/>
      <c r="K430" s="262"/>
      <c r="L430" s="261"/>
      <c r="M430" s="261"/>
      <c r="N430" s="261"/>
      <c r="O430" s="372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7"/>
    </row>
    <row r="431" spans="1:26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392"/>
      <c r="G431" s="371"/>
      <c r="H431" s="371"/>
      <c r="I431" s="362"/>
      <c r="J431" s="362"/>
      <c r="K431" s="262"/>
      <c r="L431" s="261"/>
      <c r="M431" s="261"/>
      <c r="N431" s="261"/>
      <c r="O431" s="372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7"/>
    </row>
    <row r="432" spans="1:26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392"/>
      <c r="G432" s="371"/>
      <c r="H432" s="371"/>
      <c r="I432" s="362"/>
      <c r="J432" s="362"/>
      <c r="K432" s="262"/>
      <c r="L432" s="261"/>
      <c r="M432" s="261"/>
      <c r="N432" s="261"/>
      <c r="O432" s="372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7"/>
    </row>
    <row r="433" spans="1:26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392"/>
      <c r="G433" s="371"/>
      <c r="H433" s="371"/>
      <c r="I433" s="362"/>
      <c r="J433" s="362"/>
      <c r="K433" s="262"/>
      <c r="L433" s="261"/>
      <c r="M433" s="261"/>
      <c r="N433" s="261"/>
      <c r="O433" s="372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7"/>
    </row>
    <row r="434" spans="1:26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392"/>
      <c r="G434" s="371"/>
      <c r="H434" s="371"/>
      <c r="I434" s="362"/>
      <c r="J434" s="362"/>
      <c r="K434" s="262"/>
      <c r="L434" s="261"/>
      <c r="M434" s="261"/>
      <c r="N434" s="261"/>
      <c r="O434" s="372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7"/>
    </row>
    <row r="435" spans="1:26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392"/>
      <c r="G435" s="371"/>
      <c r="H435" s="371"/>
      <c r="I435" s="362"/>
      <c r="J435" s="362"/>
      <c r="K435" s="262"/>
      <c r="L435" s="261"/>
      <c r="M435" s="261"/>
      <c r="N435" s="261"/>
      <c r="O435" s="372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7"/>
    </row>
    <row r="436" spans="1:26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392"/>
      <c r="G436" s="371"/>
      <c r="H436" s="371"/>
      <c r="I436" s="362"/>
      <c r="J436" s="362"/>
      <c r="K436" s="262"/>
      <c r="L436" s="261"/>
      <c r="M436" s="261"/>
      <c r="N436" s="261"/>
      <c r="O436" s="372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7"/>
    </row>
    <row r="437" spans="1:26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392"/>
      <c r="G437" s="371"/>
      <c r="H437" s="371"/>
      <c r="I437" s="362"/>
      <c r="J437" s="362"/>
      <c r="K437" s="262"/>
      <c r="L437" s="261"/>
      <c r="M437" s="261"/>
      <c r="N437" s="261"/>
      <c r="O437" s="372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7"/>
    </row>
    <row r="438" spans="1:26" ht="18.75" customHeight="1">
      <c r="A438" s="101"/>
      <c r="B438" s="53" t="s">
        <v>947</v>
      </c>
      <c r="C438" s="87" t="s">
        <v>948</v>
      </c>
      <c r="D438" s="61" t="s">
        <v>1303</v>
      </c>
      <c r="E438" s="200">
        <f t="shared" si="1"/>
        <v>0</v>
      </c>
      <c r="F438" s="392"/>
      <c r="G438" s="371"/>
      <c r="H438" s="371"/>
      <c r="I438" s="362"/>
      <c r="J438" s="362"/>
      <c r="K438" s="262"/>
      <c r="L438" s="261"/>
      <c r="M438" s="261"/>
      <c r="N438" s="261"/>
      <c r="O438" s="372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7"/>
    </row>
    <row r="439" spans="1:26" ht="18.75" customHeight="1">
      <c r="A439" s="42"/>
      <c r="B439" s="59" t="s">
        <v>951</v>
      </c>
      <c r="C439" s="113" t="s">
        <v>131</v>
      </c>
      <c r="D439" s="61" t="s">
        <v>1304</v>
      </c>
      <c r="E439" s="200">
        <f t="shared" si="1"/>
        <v>0</v>
      </c>
      <c r="F439" s="392"/>
      <c r="G439" s="371"/>
      <c r="H439" s="371"/>
      <c r="I439" s="362"/>
      <c r="J439" s="362"/>
      <c r="K439" s="262"/>
      <c r="L439" s="261"/>
      <c r="M439" s="261"/>
      <c r="N439" s="261"/>
      <c r="O439" s="372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7"/>
    </row>
    <row r="440" spans="1:26" ht="18.75" customHeight="1">
      <c r="A440" s="42"/>
      <c r="B440" s="59" t="s">
        <v>953</v>
      </c>
      <c r="C440" s="113" t="s">
        <v>200</v>
      </c>
      <c r="D440" s="61" t="s">
        <v>1305</v>
      </c>
      <c r="E440" s="200">
        <f t="shared" si="1"/>
        <v>0</v>
      </c>
      <c r="F440" s="392"/>
      <c r="G440" s="371"/>
      <c r="H440" s="371"/>
      <c r="I440" s="362"/>
      <c r="J440" s="362"/>
      <c r="K440" s="262"/>
      <c r="L440" s="261"/>
      <c r="M440" s="261"/>
      <c r="N440" s="261"/>
      <c r="O440" s="372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7"/>
    </row>
    <row r="441" spans="1:26" ht="18.75" customHeight="1">
      <c r="A441" s="42"/>
      <c r="B441" s="59" t="s">
        <v>955</v>
      </c>
      <c r="C441" s="113" t="s">
        <v>203</v>
      </c>
      <c r="D441" s="61" t="s">
        <v>1306</v>
      </c>
      <c r="E441" s="200">
        <f t="shared" si="1"/>
        <v>0</v>
      </c>
      <c r="F441" s="392"/>
      <c r="G441" s="371"/>
      <c r="H441" s="371"/>
      <c r="I441" s="362"/>
      <c r="J441" s="362"/>
      <c r="K441" s="262"/>
      <c r="L441" s="261"/>
      <c r="M441" s="261"/>
      <c r="N441" s="261"/>
      <c r="O441" s="372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7"/>
    </row>
    <row r="442" spans="1:26" ht="18.75" customHeight="1">
      <c r="A442" s="42"/>
      <c r="B442" s="59" t="s">
        <v>957</v>
      </c>
      <c r="C442" s="113" t="s">
        <v>159</v>
      </c>
      <c r="D442" s="61" t="s">
        <v>1307</v>
      </c>
      <c r="E442" s="200">
        <f t="shared" si="1"/>
        <v>0</v>
      </c>
      <c r="F442" s="392"/>
      <c r="G442" s="371"/>
      <c r="H442" s="371"/>
      <c r="I442" s="362"/>
      <c r="J442" s="362"/>
      <c r="K442" s="262"/>
      <c r="L442" s="261"/>
      <c r="M442" s="261"/>
      <c r="N442" s="261"/>
      <c r="O442" s="372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7"/>
    </row>
    <row r="443" spans="1:26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392"/>
      <c r="G443" s="371"/>
      <c r="H443" s="371"/>
      <c r="I443" s="362"/>
      <c r="J443" s="362"/>
      <c r="K443" s="262"/>
      <c r="L443" s="261"/>
      <c r="M443" s="261"/>
      <c r="N443" s="261"/>
      <c r="O443" s="372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7"/>
    </row>
    <row r="444" spans="1:26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392"/>
      <c r="G444" s="371"/>
      <c r="H444" s="371"/>
      <c r="I444" s="362"/>
      <c r="J444" s="362"/>
      <c r="K444" s="262"/>
      <c r="L444" s="261"/>
      <c r="M444" s="261"/>
      <c r="N444" s="261"/>
      <c r="O444" s="372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7"/>
    </row>
    <row r="445" spans="1:26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392"/>
      <c r="G445" s="371"/>
      <c r="H445" s="371"/>
      <c r="I445" s="362"/>
      <c r="J445" s="362"/>
      <c r="K445" s="262"/>
      <c r="L445" s="261"/>
      <c r="M445" s="261"/>
      <c r="N445" s="261"/>
      <c r="O445" s="372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7"/>
    </row>
    <row r="446" spans="1:26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392"/>
      <c r="G446" s="371"/>
      <c r="H446" s="371"/>
      <c r="I446" s="362"/>
      <c r="J446" s="362"/>
      <c r="K446" s="262"/>
      <c r="L446" s="261"/>
      <c r="M446" s="261"/>
      <c r="N446" s="261"/>
      <c r="O446" s="372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7"/>
    </row>
    <row r="447" spans="1:26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393"/>
      <c r="G447" s="384"/>
      <c r="H447" s="384"/>
      <c r="I447" s="362"/>
      <c r="J447" s="362"/>
      <c r="K447" s="394"/>
      <c r="L447" s="276"/>
      <c r="M447" s="276"/>
      <c r="N447" s="276"/>
      <c r="O447" s="385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  <c r="Z447" s="7"/>
    </row>
    <row r="448" spans="1:26" ht="14.25" customHeight="1">
      <c r="A448" s="7"/>
      <c r="B448" s="7"/>
      <c r="C448" s="7"/>
      <c r="D448" s="7"/>
      <c r="E448" s="7"/>
      <c r="F448" s="395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4.25" customHeight="1">
      <c r="A449" s="7"/>
      <c r="B449" s="7"/>
      <c r="C449" s="7"/>
      <c r="D449" s="7"/>
      <c r="E449" s="7"/>
      <c r="F449" s="395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4.25" customHeight="1">
      <c r="A450" s="7"/>
      <c r="B450" s="7"/>
      <c r="C450" s="7"/>
      <c r="D450" s="7"/>
      <c r="E450" s="7"/>
      <c r="F450" s="395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4.25" customHeight="1">
      <c r="A451" s="7"/>
      <c r="B451" s="7"/>
      <c r="C451" s="7"/>
      <c r="D451" s="7"/>
      <c r="E451" s="7"/>
      <c r="F451" s="395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4.25" customHeight="1">
      <c r="A452" s="7"/>
      <c r="B452" s="7"/>
      <c r="C452" s="7"/>
      <c r="D452" s="7"/>
      <c r="E452" s="7"/>
      <c r="F452" s="395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4.25" customHeight="1">
      <c r="A453" s="7"/>
      <c r="B453" s="7"/>
      <c r="C453" s="7"/>
      <c r="D453" s="7"/>
      <c r="E453" s="7"/>
      <c r="F453" s="395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4.25" customHeight="1">
      <c r="A454" s="7"/>
      <c r="B454" s="7"/>
      <c r="C454" s="7"/>
      <c r="D454" s="7"/>
      <c r="E454" s="7"/>
      <c r="F454" s="395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4.25" customHeight="1">
      <c r="A455" s="7"/>
      <c r="B455" s="7"/>
      <c r="C455" s="7"/>
      <c r="D455" s="7"/>
      <c r="E455" s="7"/>
      <c r="F455" s="395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4.25" customHeight="1">
      <c r="A456" s="7"/>
      <c r="B456" s="7"/>
      <c r="C456" s="7"/>
      <c r="D456" s="7"/>
      <c r="E456" s="7"/>
      <c r="F456" s="395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4.25" customHeight="1">
      <c r="A457" s="7"/>
      <c r="B457" s="7"/>
      <c r="C457" s="7"/>
      <c r="D457" s="7"/>
      <c r="E457" s="7"/>
      <c r="F457" s="395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4.25" customHeight="1">
      <c r="A458" s="7"/>
      <c r="B458" s="7"/>
      <c r="C458" s="7"/>
      <c r="D458" s="7"/>
      <c r="E458" s="7"/>
      <c r="F458" s="395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4.25" customHeight="1">
      <c r="A459" s="7"/>
      <c r="B459" s="7"/>
      <c r="C459" s="7"/>
      <c r="D459" s="7"/>
      <c r="E459" s="7"/>
      <c r="F459" s="395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4.25" customHeight="1">
      <c r="A460" s="7"/>
      <c r="B460" s="7"/>
      <c r="C460" s="7"/>
      <c r="D460" s="7"/>
      <c r="E460" s="7"/>
      <c r="F460" s="395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4.25" customHeight="1">
      <c r="A461" s="7"/>
      <c r="B461" s="7"/>
      <c r="C461" s="7"/>
      <c r="D461" s="7"/>
      <c r="E461" s="7"/>
      <c r="F461" s="395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4.25" customHeight="1">
      <c r="A462" s="7"/>
      <c r="B462" s="7"/>
      <c r="C462" s="7"/>
      <c r="D462" s="7"/>
      <c r="E462" s="7"/>
      <c r="F462" s="395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4.25" customHeight="1">
      <c r="A463" s="7"/>
      <c r="B463" s="7"/>
      <c r="C463" s="7"/>
      <c r="D463" s="7"/>
      <c r="E463" s="7"/>
      <c r="F463" s="395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4.25" customHeight="1">
      <c r="A464" s="7"/>
      <c r="B464" s="7"/>
      <c r="C464" s="7"/>
      <c r="D464" s="7"/>
      <c r="E464" s="7"/>
      <c r="F464" s="395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4.25" customHeight="1">
      <c r="A465" s="7"/>
      <c r="B465" s="7"/>
      <c r="C465" s="7"/>
      <c r="D465" s="7"/>
      <c r="E465" s="7"/>
      <c r="F465" s="395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4.25" customHeight="1">
      <c r="A466" s="7"/>
      <c r="B466" s="7"/>
      <c r="C466" s="7"/>
      <c r="D466" s="7"/>
      <c r="E466" s="7"/>
      <c r="F466" s="395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4.25" customHeight="1">
      <c r="A467" s="7"/>
      <c r="B467" s="7"/>
      <c r="C467" s="7"/>
      <c r="D467" s="7"/>
      <c r="E467" s="7"/>
      <c r="F467" s="395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4.25" customHeight="1">
      <c r="A468" s="7"/>
      <c r="B468" s="7"/>
      <c r="C468" s="7"/>
      <c r="D468" s="7"/>
      <c r="E468" s="7"/>
      <c r="F468" s="395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4.25" customHeight="1">
      <c r="A469" s="7"/>
      <c r="B469" s="7"/>
      <c r="C469" s="7"/>
      <c r="D469" s="7"/>
      <c r="E469" s="7"/>
      <c r="F469" s="395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4.25" customHeight="1">
      <c r="A470" s="7"/>
      <c r="B470" s="7"/>
      <c r="C470" s="7"/>
      <c r="D470" s="7"/>
      <c r="E470" s="7"/>
      <c r="F470" s="395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4.25" customHeight="1">
      <c r="A471" s="7"/>
      <c r="B471" s="7"/>
      <c r="C471" s="7"/>
      <c r="D471" s="7"/>
      <c r="E471" s="7"/>
      <c r="F471" s="395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4.25" customHeight="1">
      <c r="A472" s="7"/>
      <c r="B472" s="7"/>
      <c r="C472" s="7"/>
      <c r="D472" s="7"/>
      <c r="E472" s="7"/>
      <c r="F472" s="395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4.25" customHeight="1">
      <c r="A473" s="7"/>
      <c r="B473" s="7"/>
      <c r="C473" s="7"/>
      <c r="D473" s="7"/>
      <c r="E473" s="7"/>
      <c r="F473" s="395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4.25" customHeight="1">
      <c r="A474" s="7"/>
      <c r="B474" s="7"/>
      <c r="C474" s="7"/>
      <c r="D474" s="7"/>
      <c r="E474" s="7"/>
      <c r="F474" s="395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4.25" customHeight="1">
      <c r="A475" s="7"/>
      <c r="B475" s="7"/>
      <c r="C475" s="7"/>
      <c r="D475" s="7"/>
      <c r="E475" s="7"/>
      <c r="F475" s="395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4.25" customHeight="1">
      <c r="A476" s="7"/>
      <c r="B476" s="7"/>
      <c r="C476" s="7"/>
      <c r="D476" s="7"/>
      <c r="E476" s="7"/>
      <c r="F476" s="395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4.25" customHeight="1">
      <c r="A477" s="7"/>
      <c r="B477" s="7"/>
      <c r="C477" s="7"/>
      <c r="D477" s="7"/>
      <c r="E477" s="7"/>
      <c r="F477" s="395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4.25" customHeight="1">
      <c r="A478" s="7"/>
      <c r="B478" s="7"/>
      <c r="C478" s="7"/>
      <c r="D478" s="7"/>
      <c r="E478" s="7"/>
      <c r="F478" s="395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4.25" customHeight="1">
      <c r="A479" s="7"/>
      <c r="B479" s="7"/>
      <c r="C479" s="7"/>
      <c r="D479" s="7"/>
      <c r="E479" s="7"/>
      <c r="F479" s="395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4.25" customHeight="1">
      <c r="A480" s="7"/>
      <c r="B480" s="7"/>
      <c r="C480" s="7"/>
      <c r="D480" s="7"/>
      <c r="E480" s="7"/>
      <c r="F480" s="395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4.25" customHeight="1">
      <c r="A481" s="7"/>
      <c r="B481" s="7"/>
      <c r="C481" s="7"/>
      <c r="D481" s="7"/>
      <c r="E481" s="7"/>
      <c r="F481" s="395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4.25" customHeight="1">
      <c r="A482" s="7"/>
      <c r="B482" s="7"/>
      <c r="C482" s="7"/>
      <c r="D482" s="7"/>
      <c r="E482" s="7"/>
      <c r="F482" s="395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4.25" customHeight="1">
      <c r="A483" s="7"/>
      <c r="B483" s="7"/>
      <c r="C483" s="7"/>
      <c r="D483" s="7"/>
      <c r="E483" s="7"/>
      <c r="F483" s="395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4.25" customHeight="1">
      <c r="A484" s="7"/>
      <c r="B484" s="7"/>
      <c r="C484" s="7"/>
      <c r="D484" s="7"/>
      <c r="E484" s="7"/>
      <c r="F484" s="395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4.25" customHeight="1">
      <c r="A485" s="7"/>
      <c r="B485" s="7"/>
      <c r="C485" s="7"/>
      <c r="D485" s="7"/>
      <c r="E485" s="7"/>
      <c r="F485" s="395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4.25" customHeight="1">
      <c r="A486" s="7"/>
      <c r="B486" s="7"/>
      <c r="C486" s="7"/>
      <c r="D486" s="7"/>
      <c r="E486" s="7"/>
      <c r="F486" s="395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4.25" customHeight="1">
      <c r="A487" s="7"/>
      <c r="B487" s="7"/>
      <c r="C487" s="7"/>
      <c r="D487" s="7"/>
      <c r="E487" s="7"/>
      <c r="F487" s="395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4.25" customHeight="1">
      <c r="A488" s="7"/>
      <c r="B488" s="7"/>
      <c r="C488" s="7"/>
      <c r="D488" s="7"/>
      <c r="E488" s="7"/>
      <c r="F488" s="395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4.25" customHeight="1">
      <c r="A489" s="7"/>
      <c r="B489" s="7"/>
      <c r="C489" s="7"/>
      <c r="D489" s="7"/>
      <c r="E489" s="7"/>
      <c r="F489" s="395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4.25" customHeight="1">
      <c r="A490" s="7"/>
      <c r="B490" s="7"/>
      <c r="C490" s="7"/>
      <c r="D490" s="7"/>
      <c r="E490" s="7"/>
      <c r="F490" s="395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4.25" customHeight="1">
      <c r="A491" s="7"/>
      <c r="B491" s="7"/>
      <c r="C491" s="7"/>
      <c r="D491" s="7"/>
      <c r="E491" s="7"/>
      <c r="F491" s="395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4.25" customHeight="1">
      <c r="A492" s="7"/>
      <c r="B492" s="7"/>
      <c r="C492" s="7"/>
      <c r="D492" s="7"/>
      <c r="E492" s="7"/>
      <c r="F492" s="395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4.25" customHeight="1">
      <c r="A493" s="7"/>
      <c r="B493" s="7"/>
      <c r="C493" s="7"/>
      <c r="D493" s="7"/>
      <c r="E493" s="7"/>
      <c r="F493" s="395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4.25" customHeight="1">
      <c r="A494" s="7"/>
      <c r="B494" s="7"/>
      <c r="C494" s="7"/>
      <c r="D494" s="7"/>
      <c r="E494" s="7"/>
      <c r="F494" s="395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4.25" customHeight="1">
      <c r="A495" s="7"/>
      <c r="B495" s="7"/>
      <c r="C495" s="7"/>
      <c r="D495" s="7"/>
      <c r="E495" s="7"/>
      <c r="F495" s="395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4.25" customHeight="1">
      <c r="A496" s="7"/>
      <c r="B496" s="7"/>
      <c r="C496" s="7"/>
      <c r="D496" s="7"/>
      <c r="E496" s="7"/>
      <c r="F496" s="395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4.25" customHeight="1">
      <c r="A497" s="7"/>
      <c r="B497" s="7"/>
      <c r="C497" s="7"/>
      <c r="D497" s="7"/>
      <c r="E497" s="7"/>
      <c r="F497" s="395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4.25" customHeight="1">
      <c r="A498" s="7"/>
      <c r="B498" s="7"/>
      <c r="C498" s="7"/>
      <c r="D498" s="7"/>
      <c r="E498" s="7"/>
      <c r="F498" s="395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4.25" customHeight="1">
      <c r="A499" s="7"/>
      <c r="B499" s="7"/>
      <c r="C499" s="7"/>
      <c r="D499" s="7"/>
      <c r="E499" s="7"/>
      <c r="F499" s="395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4.25" customHeight="1">
      <c r="A500" s="7"/>
      <c r="B500" s="7"/>
      <c r="C500" s="7"/>
      <c r="D500" s="7"/>
      <c r="E500" s="7"/>
      <c r="F500" s="395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4.25" customHeight="1">
      <c r="A501" s="7"/>
      <c r="B501" s="7"/>
      <c r="C501" s="7"/>
      <c r="D501" s="7"/>
      <c r="E501" s="7"/>
      <c r="F501" s="395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4.25" customHeight="1">
      <c r="A502" s="7"/>
      <c r="B502" s="7"/>
      <c r="C502" s="7"/>
      <c r="D502" s="7"/>
      <c r="E502" s="7"/>
      <c r="F502" s="395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4.25" customHeight="1">
      <c r="A503" s="7"/>
      <c r="B503" s="7"/>
      <c r="C503" s="7"/>
      <c r="D503" s="7"/>
      <c r="E503" s="7"/>
      <c r="F503" s="395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4.25" customHeight="1">
      <c r="A504" s="7"/>
      <c r="B504" s="7"/>
      <c r="C504" s="7"/>
      <c r="D504" s="7"/>
      <c r="E504" s="7"/>
      <c r="F504" s="395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4.25" customHeight="1">
      <c r="A505" s="7"/>
      <c r="B505" s="7"/>
      <c r="C505" s="7"/>
      <c r="D505" s="7"/>
      <c r="E505" s="7"/>
      <c r="F505" s="395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4.25" customHeight="1">
      <c r="A506" s="7"/>
      <c r="B506" s="7"/>
      <c r="C506" s="7"/>
      <c r="D506" s="7"/>
      <c r="E506" s="7"/>
      <c r="F506" s="395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4.25" customHeight="1">
      <c r="A507" s="7"/>
      <c r="B507" s="7"/>
      <c r="C507" s="7"/>
      <c r="D507" s="7"/>
      <c r="E507" s="7"/>
      <c r="F507" s="395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4.25" customHeight="1">
      <c r="A508" s="7"/>
      <c r="B508" s="7"/>
      <c r="C508" s="7"/>
      <c r="D508" s="7"/>
      <c r="E508" s="7"/>
      <c r="F508" s="395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4.25" customHeight="1">
      <c r="A509" s="7"/>
      <c r="B509" s="7"/>
      <c r="C509" s="7"/>
      <c r="D509" s="7"/>
      <c r="E509" s="7"/>
      <c r="F509" s="395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4.25" customHeight="1">
      <c r="A510" s="7"/>
      <c r="B510" s="7"/>
      <c r="C510" s="7"/>
      <c r="D510" s="7"/>
      <c r="E510" s="7"/>
      <c r="F510" s="395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4.25" customHeight="1">
      <c r="A511" s="7"/>
      <c r="B511" s="7"/>
      <c r="C511" s="7"/>
      <c r="D511" s="7"/>
      <c r="E511" s="7"/>
      <c r="F511" s="395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4.25" customHeight="1">
      <c r="A512" s="7"/>
      <c r="B512" s="7"/>
      <c r="C512" s="7"/>
      <c r="D512" s="7"/>
      <c r="E512" s="7"/>
      <c r="F512" s="395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4.25" customHeight="1">
      <c r="A513" s="7"/>
      <c r="B513" s="7"/>
      <c r="C513" s="7"/>
      <c r="D513" s="7"/>
      <c r="E513" s="7"/>
      <c r="F513" s="395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4.25" customHeight="1">
      <c r="A514" s="7"/>
      <c r="B514" s="7"/>
      <c r="C514" s="7"/>
      <c r="D514" s="7"/>
      <c r="E514" s="7"/>
      <c r="F514" s="395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4.25" customHeight="1">
      <c r="A515" s="7"/>
      <c r="B515" s="7"/>
      <c r="C515" s="7"/>
      <c r="D515" s="7"/>
      <c r="E515" s="7"/>
      <c r="F515" s="395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4.25" customHeight="1">
      <c r="A516" s="7"/>
      <c r="B516" s="7"/>
      <c r="C516" s="7"/>
      <c r="D516" s="7"/>
      <c r="E516" s="7"/>
      <c r="F516" s="395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4.25" customHeight="1">
      <c r="A517" s="7"/>
      <c r="B517" s="7"/>
      <c r="C517" s="7"/>
      <c r="D517" s="7"/>
      <c r="E517" s="7"/>
      <c r="F517" s="395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4.25" customHeight="1">
      <c r="A518" s="7"/>
      <c r="B518" s="7"/>
      <c r="C518" s="7"/>
      <c r="D518" s="7"/>
      <c r="E518" s="7"/>
      <c r="F518" s="395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4.25" customHeight="1">
      <c r="A519" s="7"/>
      <c r="B519" s="7"/>
      <c r="C519" s="7"/>
      <c r="D519" s="7"/>
      <c r="E519" s="7"/>
      <c r="F519" s="395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4.25" customHeight="1">
      <c r="A520" s="7"/>
      <c r="B520" s="7"/>
      <c r="C520" s="7"/>
      <c r="D520" s="7"/>
      <c r="E520" s="7"/>
      <c r="F520" s="395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4.25" customHeight="1">
      <c r="A521" s="7"/>
      <c r="B521" s="7"/>
      <c r="C521" s="7"/>
      <c r="D521" s="7"/>
      <c r="E521" s="7"/>
      <c r="F521" s="395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4.25" customHeight="1">
      <c r="A522" s="7"/>
      <c r="B522" s="7"/>
      <c r="C522" s="7"/>
      <c r="D522" s="7"/>
      <c r="E522" s="7"/>
      <c r="F522" s="395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4.25" customHeight="1">
      <c r="A523" s="7"/>
      <c r="B523" s="7"/>
      <c r="C523" s="7"/>
      <c r="D523" s="7"/>
      <c r="E523" s="7"/>
      <c r="F523" s="395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4.25" customHeight="1">
      <c r="A524" s="7"/>
      <c r="B524" s="7"/>
      <c r="C524" s="7"/>
      <c r="D524" s="7"/>
      <c r="E524" s="7"/>
      <c r="F524" s="395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4.25" customHeight="1">
      <c r="A525" s="7"/>
      <c r="B525" s="7"/>
      <c r="C525" s="7"/>
      <c r="D525" s="7"/>
      <c r="E525" s="7"/>
      <c r="F525" s="395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4.25" customHeight="1">
      <c r="A526" s="7"/>
      <c r="B526" s="7"/>
      <c r="C526" s="7"/>
      <c r="D526" s="7"/>
      <c r="E526" s="7"/>
      <c r="F526" s="395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4.25" customHeight="1">
      <c r="A527" s="7"/>
      <c r="B527" s="7"/>
      <c r="C527" s="7"/>
      <c r="D527" s="7"/>
      <c r="E527" s="7"/>
      <c r="F527" s="395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4.25" customHeight="1">
      <c r="A528" s="7"/>
      <c r="B528" s="7"/>
      <c r="C528" s="7"/>
      <c r="D528" s="7"/>
      <c r="E528" s="7"/>
      <c r="F528" s="395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4.25" customHeight="1">
      <c r="A529" s="7"/>
      <c r="B529" s="7"/>
      <c r="C529" s="7"/>
      <c r="D529" s="7"/>
      <c r="E529" s="7"/>
      <c r="F529" s="395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4.25" customHeight="1">
      <c r="A530" s="7"/>
      <c r="B530" s="7"/>
      <c r="C530" s="7"/>
      <c r="D530" s="7"/>
      <c r="E530" s="7"/>
      <c r="F530" s="395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4.25" customHeight="1">
      <c r="A531" s="7"/>
      <c r="B531" s="7"/>
      <c r="C531" s="7"/>
      <c r="D531" s="7"/>
      <c r="E531" s="7"/>
      <c r="F531" s="395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4.25" customHeight="1">
      <c r="A532" s="7"/>
      <c r="B532" s="7"/>
      <c r="C532" s="7"/>
      <c r="D532" s="7"/>
      <c r="E532" s="7"/>
      <c r="F532" s="395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4.25" customHeight="1">
      <c r="A533" s="7"/>
      <c r="B533" s="7"/>
      <c r="C533" s="7"/>
      <c r="D533" s="7"/>
      <c r="E533" s="7"/>
      <c r="F533" s="395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4.25" customHeight="1">
      <c r="A534" s="7"/>
      <c r="B534" s="7"/>
      <c r="C534" s="7"/>
      <c r="D534" s="7"/>
      <c r="E534" s="7"/>
      <c r="F534" s="395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4.25" customHeight="1">
      <c r="A535" s="7"/>
      <c r="B535" s="7"/>
      <c r="C535" s="7"/>
      <c r="D535" s="7"/>
      <c r="E535" s="7"/>
      <c r="F535" s="395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4.25" customHeight="1">
      <c r="A536" s="7"/>
      <c r="B536" s="7"/>
      <c r="C536" s="7"/>
      <c r="D536" s="7"/>
      <c r="E536" s="7"/>
      <c r="F536" s="395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4.25" customHeight="1">
      <c r="A537" s="7"/>
      <c r="B537" s="7"/>
      <c r="C537" s="7"/>
      <c r="D537" s="7"/>
      <c r="E537" s="7"/>
      <c r="F537" s="395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4.25" customHeight="1">
      <c r="A538" s="7"/>
      <c r="B538" s="7"/>
      <c r="C538" s="7"/>
      <c r="D538" s="7"/>
      <c r="E538" s="7"/>
      <c r="F538" s="395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4.25" customHeight="1">
      <c r="A539" s="7"/>
      <c r="B539" s="7"/>
      <c r="C539" s="7"/>
      <c r="D539" s="7"/>
      <c r="E539" s="7"/>
      <c r="F539" s="395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4.25" customHeight="1">
      <c r="A540" s="7"/>
      <c r="B540" s="7"/>
      <c r="C540" s="7"/>
      <c r="D540" s="7"/>
      <c r="E540" s="7"/>
      <c r="F540" s="395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4.25" customHeight="1">
      <c r="A541" s="7"/>
      <c r="B541" s="7"/>
      <c r="C541" s="7"/>
      <c r="D541" s="7"/>
      <c r="E541" s="7"/>
      <c r="F541" s="395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4.25" customHeight="1">
      <c r="A542" s="7"/>
      <c r="B542" s="7"/>
      <c r="C542" s="7"/>
      <c r="D542" s="7"/>
      <c r="E542" s="7"/>
      <c r="F542" s="395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4.25" customHeight="1">
      <c r="A543" s="7"/>
      <c r="B543" s="7"/>
      <c r="C543" s="7"/>
      <c r="D543" s="7"/>
      <c r="E543" s="7"/>
      <c r="F543" s="395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4.25" customHeight="1">
      <c r="A544" s="7"/>
      <c r="B544" s="7"/>
      <c r="C544" s="7"/>
      <c r="D544" s="7"/>
      <c r="E544" s="7"/>
      <c r="F544" s="395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4.25" customHeight="1">
      <c r="A545" s="7"/>
      <c r="B545" s="7"/>
      <c r="C545" s="7"/>
      <c r="D545" s="7"/>
      <c r="E545" s="7"/>
      <c r="F545" s="395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4.25" customHeight="1">
      <c r="A546" s="7"/>
      <c r="B546" s="7"/>
      <c r="C546" s="7"/>
      <c r="D546" s="7"/>
      <c r="E546" s="7"/>
      <c r="F546" s="395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4.25" customHeight="1">
      <c r="A547" s="7"/>
      <c r="B547" s="7"/>
      <c r="C547" s="7"/>
      <c r="D547" s="7"/>
      <c r="E547" s="7"/>
      <c r="F547" s="395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4.25" customHeight="1">
      <c r="A548" s="7"/>
      <c r="B548" s="7"/>
      <c r="C548" s="7"/>
      <c r="D548" s="7"/>
      <c r="E548" s="7"/>
      <c r="F548" s="395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4.25" customHeight="1">
      <c r="A549" s="7"/>
      <c r="B549" s="7"/>
      <c r="C549" s="7"/>
      <c r="D549" s="7"/>
      <c r="E549" s="7"/>
      <c r="F549" s="395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4.25" customHeight="1">
      <c r="A550" s="7"/>
      <c r="B550" s="7"/>
      <c r="C550" s="7"/>
      <c r="D550" s="7"/>
      <c r="E550" s="7"/>
      <c r="F550" s="395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4.25" customHeight="1">
      <c r="A551" s="7"/>
      <c r="B551" s="7"/>
      <c r="C551" s="7"/>
      <c r="D551" s="7"/>
      <c r="E551" s="7"/>
      <c r="F551" s="395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4.25" customHeight="1">
      <c r="A552" s="7"/>
      <c r="B552" s="7"/>
      <c r="C552" s="7"/>
      <c r="D552" s="7"/>
      <c r="E552" s="7"/>
      <c r="F552" s="395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4.25" customHeight="1">
      <c r="A553" s="7"/>
      <c r="B553" s="7"/>
      <c r="C553" s="7"/>
      <c r="D553" s="7"/>
      <c r="E553" s="7"/>
      <c r="F553" s="395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4.25" customHeight="1">
      <c r="A554" s="7"/>
      <c r="B554" s="7"/>
      <c r="C554" s="7"/>
      <c r="D554" s="7"/>
      <c r="E554" s="7"/>
      <c r="F554" s="395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4.25" customHeight="1">
      <c r="A555" s="7"/>
      <c r="B555" s="7"/>
      <c r="C555" s="7"/>
      <c r="D555" s="7"/>
      <c r="E555" s="7"/>
      <c r="F555" s="395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4.25" customHeight="1">
      <c r="A556" s="7"/>
      <c r="B556" s="7"/>
      <c r="C556" s="7"/>
      <c r="D556" s="7"/>
      <c r="E556" s="7"/>
      <c r="F556" s="395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4.25" customHeight="1">
      <c r="A557" s="7"/>
      <c r="B557" s="7"/>
      <c r="C557" s="7"/>
      <c r="D557" s="7"/>
      <c r="E557" s="7"/>
      <c r="F557" s="395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4.25" customHeight="1">
      <c r="A558" s="7"/>
      <c r="B558" s="7"/>
      <c r="C558" s="7"/>
      <c r="D558" s="7"/>
      <c r="E558" s="7"/>
      <c r="F558" s="395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4.25" customHeight="1">
      <c r="A559" s="7"/>
      <c r="B559" s="7"/>
      <c r="C559" s="7"/>
      <c r="D559" s="7"/>
      <c r="E559" s="7"/>
      <c r="F559" s="395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4.25" customHeight="1">
      <c r="A560" s="7"/>
      <c r="B560" s="7"/>
      <c r="C560" s="7"/>
      <c r="D560" s="7"/>
      <c r="E560" s="7"/>
      <c r="F560" s="395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4.25" customHeight="1">
      <c r="A561" s="7"/>
      <c r="B561" s="7"/>
      <c r="C561" s="7"/>
      <c r="D561" s="7"/>
      <c r="E561" s="7"/>
      <c r="F561" s="395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4.25" customHeight="1">
      <c r="A562" s="7"/>
      <c r="B562" s="7"/>
      <c r="C562" s="7"/>
      <c r="D562" s="7"/>
      <c r="E562" s="7"/>
      <c r="F562" s="395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4.25" customHeight="1">
      <c r="A563" s="7"/>
      <c r="B563" s="7"/>
      <c r="C563" s="7"/>
      <c r="D563" s="7"/>
      <c r="E563" s="7"/>
      <c r="F563" s="395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4.25" customHeight="1">
      <c r="A564" s="7"/>
      <c r="B564" s="7"/>
      <c r="C564" s="7"/>
      <c r="D564" s="7"/>
      <c r="E564" s="7"/>
      <c r="F564" s="395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4.25" customHeight="1">
      <c r="A565" s="7"/>
      <c r="B565" s="7"/>
      <c r="C565" s="7"/>
      <c r="D565" s="7"/>
      <c r="E565" s="7"/>
      <c r="F565" s="395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4.25" customHeight="1">
      <c r="A566" s="7"/>
      <c r="B566" s="7"/>
      <c r="C566" s="7"/>
      <c r="D566" s="7"/>
      <c r="E566" s="7"/>
      <c r="F566" s="395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4.25" customHeight="1">
      <c r="A567" s="7"/>
      <c r="B567" s="7"/>
      <c r="C567" s="7"/>
      <c r="D567" s="7"/>
      <c r="E567" s="7"/>
      <c r="F567" s="395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4.25" customHeight="1">
      <c r="A568" s="7"/>
      <c r="B568" s="7"/>
      <c r="C568" s="7"/>
      <c r="D568" s="7"/>
      <c r="E568" s="7"/>
      <c r="F568" s="395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4.25" customHeight="1">
      <c r="A569" s="7"/>
      <c r="B569" s="7"/>
      <c r="C569" s="7"/>
      <c r="D569" s="7"/>
      <c r="E569" s="7"/>
      <c r="F569" s="395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4.25" customHeight="1">
      <c r="A570" s="7"/>
      <c r="B570" s="7"/>
      <c r="C570" s="7"/>
      <c r="D570" s="7"/>
      <c r="E570" s="7"/>
      <c r="F570" s="395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4.25" customHeight="1">
      <c r="A571" s="7"/>
      <c r="B571" s="7"/>
      <c r="C571" s="7"/>
      <c r="D571" s="7"/>
      <c r="E571" s="7"/>
      <c r="F571" s="395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4.25" customHeight="1">
      <c r="A572" s="7"/>
      <c r="B572" s="7"/>
      <c r="C572" s="7"/>
      <c r="D572" s="7"/>
      <c r="E572" s="7"/>
      <c r="F572" s="395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4.25" customHeight="1">
      <c r="A573" s="7"/>
      <c r="B573" s="7"/>
      <c r="C573" s="7"/>
      <c r="D573" s="7"/>
      <c r="E573" s="7"/>
      <c r="F573" s="395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4.25" customHeight="1">
      <c r="A574" s="7"/>
      <c r="B574" s="7"/>
      <c r="C574" s="7"/>
      <c r="D574" s="7"/>
      <c r="E574" s="7"/>
      <c r="F574" s="395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4.25" customHeight="1">
      <c r="A575" s="7"/>
      <c r="B575" s="7"/>
      <c r="C575" s="7"/>
      <c r="D575" s="7"/>
      <c r="E575" s="7"/>
      <c r="F575" s="395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4.25" customHeight="1">
      <c r="A576" s="7"/>
      <c r="B576" s="7"/>
      <c r="C576" s="7"/>
      <c r="D576" s="7"/>
      <c r="E576" s="7"/>
      <c r="F576" s="395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4.25" customHeight="1">
      <c r="A577" s="7"/>
      <c r="B577" s="7"/>
      <c r="C577" s="7"/>
      <c r="D577" s="7"/>
      <c r="E577" s="7"/>
      <c r="F577" s="395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4.25" customHeight="1">
      <c r="A578" s="7"/>
      <c r="B578" s="7"/>
      <c r="C578" s="7"/>
      <c r="D578" s="7"/>
      <c r="E578" s="7"/>
      <c r="F578" s="395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4.25" customHeight="1">
      <c r="A579" s="7"/>
      <c r="B579" s="7"/>
      <c r="C579" s="7"/>
      <c r="D579" s="7"/>
      <c r="E579" s="7"/>
      <c r="F579" s="395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4.25" customHeight="1">
      <c r="A580" s="7"/>
      <c r="B580" s="7"/>
      <c r="C580" s="7"/>
      <c r="D580" s="7"/>
      <c r="E580" s="7"/>
      <c r="F580" s="395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4.25" customHeight="1">
      <c r="A581" s="7"/>
      <c r="B581" s="7"/>
      <c r="C581" s="7"/>
      <c r="D581" s="7"/>
      <c r="E581" s="7"/>
      <c r="F581" s="395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4.25" customHeight="1">
      <c r="A582" s="7"/>
      <c r="B582" s="7"/>
      <c r="C582" s="7"/>
      <c r="D582" s="7"/>
      <c r="E582" s="7"/>
      <c r="F582" s="395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4.25" customHeight="1">
      <c r="A583" s="7"/>
      <c r="B583" s="7"/>
      <c r="C583" s="7"/>
      <c r="D583" s="7"/>
      <c r="E583" s="7"/>
      <c r="F583" s="395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4.25" customHeight="1">
      <c r="A584" s="7"/>
      <c r="B584" s="7"/>
      <c r="C584" s="7"/>
      <c r="D584" s="7"/>
      <c r="E584" s="7"/>
      <c r="F584" s="395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4.25" customHeight="1">
      <c r="A585" s="7"/>
      <c r="B585" s="7"/>
      <c r="C585" s="7"/>
      <c r="D585" s="7"/>
      <c r="E585" s="7"/>
      <c r="F585" s="395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4.25" customHeight="1">
      <c r="A586" s="7"/>
      <c r="B586" s="7"/>
      <c r="C586" s="7"/>
      <c r="D586" s="7"/>
      <c r="E586" s="7"/>
      <c r="F586" s="395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4.25" customHeight="1">
      <c r="A587" s="7"/>
      <c r="B587" s="7"/>
      <c r="C587" s="7"/>
      <c r="D587" s="7"/>
      <c r="E587" s="7"/>
      <c r="F587" s="395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4.25" customHeight="1">
      <c r="A588" s="7"/>
      <c r="B588" s="7"/>
      <c r="C588" s="7"/>
      <c r="D588" s="7"/>
      <c r="E588" s="7"/>
      <c r="F588" s="395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4.25" customHeight="1">
      <c r="A589" s="7"/>
      <c r="B589" s="7"/>
      <c r="C589" s="7"/>
      <c r="D589" s="7"/>
      <c r="E589" s="7"/>
      <c r="F589" s="395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4.25" customHeight="1">
      <c r="A590" s="7"/>
      <c r="B590" s="7"/>
      <c r="C590" s="7"/>
      <c r="D590" s="7"/>
      <c r="E590" s="7"/>
      <c r="F590" s="395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4.25" customHeight="1">
      <c r="A591" s="7"/>
      <c r="B591" s="7"/>
      <c r="C591" s="7"/>
      <c r="D591" s="7"/>
      <c r="E591" s="7"/>
      <c r="F591" s="395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4.25" customHeight="1">
      <c r="A592" s="7"/>
      <c r="B592" s="7"/>
      <c r="C592" s="7"/>
      <c r="D592" s="7"/>
      <c r="E592" s="7"/>
      <c r="F592" s="395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4.25" customHeight="1">
      <c r="A593" s="7"/>
      <c r="B593" s="7"/>
      <c r="C593" s="7"/>
      <c r="D593" s="7"/>
      <c r="E593" s="7"/>
      <c r="F593" s="395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4.25" customHeight="1">
      <c r="A594" s="7"/>
      <c r="B594" s="7"/>
      <c r="C594" s="7"/>
      <c r="D594" s="7"/>
      <c r="E594" s="7"/>
      <c r="F594" s="395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4.25" customHeight="1">
      <c r="A595" s="7"/>
      <c r="B595" s="7"/>
      <c r="C595" s="7"/>
      <c r="D595" s="7"/>
      <c r="E595" s="7"/>
      <c r="F595" s="395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4.25" customHeight="1">
      <c r="A596" s="7"/>
      <c r="B596" s="7"/>
      <c r="C596" s="7"/>
      <c r="D596" s="7"/>
      <c r="E596" s="7"/>
      <c r="F596" s="395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4.25" customHeight="1">
      <c r="A597" s="7"/>
      <c r="B597" s="7"/>
      <c r="C597" s="7"/>
      <c r="D597" s="7"/>
      <c r="E597" s="7"/>
      <c r="F597" s="395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4.25" customHeight="1">
      <c r="A598" s="7"/>
      <c r="B598" s="7"/>
      <c r="C598" s="7"/>
      <c r="D598" s="7"/>
      <c r="E598" s="7"/>
      <c r="F598" s="395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4.25" customHeight="1">
      <c r="A599" s="7"/>
      <c r="B599" s="7"/>
      <c r="C599" s="7"/>
      <c r="D599" s="7"/>
      <c r="E599" s="7"/>
      <c r="F599" s="395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4.25" customHeight="1">
      <c r="A600" s="7"/>
      <c r="B600" s="7"/>
      <c r="C600" s="7"/>
      <c r="D600" s="7"/>
      <c r="E600" s="7"/>
      <c r="F600" s="395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4.25" customHeight="1">
      <c r="A601" s="7"/>
      <c r="B601" s="7"/>
      <c r="C601" s="7"/>
      <c r="D601" s="7"/>
      <c r="E601" s="7"/>
      <c r="F601" s="395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4.25" customHeight="1">
      <c r="A602" s="7"/>
      <c r="B602" s="7"/>
      <c r="C602" s="7"/>
      <c r="D602" s="7"/>
      <c r="E602" s="7"/>
      <c r="F602" s="395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4.25" customHeight="1">
      <c r="A603" s="7"/>
      <c r="B603" s="7"/>
      <c r="C603" s="7"/>
      <c r="D603" s="7"/>
      <c r="E603" s="7"/>
      <c r="F603" s="395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4.25" customHeight="1">
      <c r="A604" s="7"/>
      <c r="B604" s="7"/>
      <c r="C604" s="7"/>
      <c r="D604" s="7"/>
      <c r="E604" s="7"/>
      <c r="F604" s="395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4.25" customHeight="1">
      <c r="A605" s="7"/>
      <c r="B605" s="7"/>
      <c r="C605" s="7"/>
      <c r="D605" s="7"/>
      <c r="E605" s="7"/>
      <c r="F605" s="395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4.25" customHeight="1">
      <c r="A606" s="7"/>
      <c r="B606" s="7"/>
      <c r="C606" s="7"/>
      <c r="D606" s="7"/>
      <c r="E606" s="7"/>
      <c r="F606" s="395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4.25" customHeight="1">
      <c r="A607" s="7"/>
      <c r="B607" s="7"/>
      <c r="C607" s="7"/>
      <c r="D607" s="7"/>
      <c r="E607" s="7"/>
      <c r="F607" s="395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4.25" customHeight="1">
      <c r="A608" s="7"/>
      <c r="B608" s="7"/>
      <c r="C608" s="7"/>
      <c r="D608" s="7"/>
      <c r="E608" s="7"/>
      <c r="F608" s="395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4.25" customHeight="1">
      <c r="A609" s="7"/>
      <c r="B609" s="7"/>
      <c r="C609" s="7"/>
      <c r="D609" s="7"/>
      <c r="E609" s="7"/>
      <c r="F609" s="395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4.25" customHeight="1">
      <c r="A610" s="7"/>
      <c r="B610" s="7"/>
      <c r="C610" s="7"/>
      <c r="D610" s="7"/>
      <c r="E610" s="7"/>
      <c r="F610" s="395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4.25" customHeight="1">
      <c r="A611" s="7"/>
      <c r="B611" s="7"/>
      <c r="C611" s="7"/>
      <c r="D611" s="7"/>
      <c r="E611" s="7"/>
      <c r="F611" s="395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4.25" customHeight="1">
      <c r="A612" s="7"/>
      <c r="B612" s="7"/>
      <c r="C612" s="7"/>
      <c r="D612" s="7"/>
      <c r="E612" s="7"/>
      <c r="F612" s="395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4.25" customHeight="1">
      <c r="A613" s="7"/>
      <c r="B613" s="7"/>
      <c r="C613" s="7"/>
      <c r="D613" s="7"/>
      <c r="E613" s="7"/>
      <c r="F613" s="395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4.25" customHeight="1">
      <c r="A614" s="7"/>
      <c r="B614" s="7"/>
      <c r="C614" s="7"/>
      <c r="D614" s="7"/>
      <c r="E614" s="7"/>
      <c r="F614" s="395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4.25" customHeight="1">
      <c r="A615" s="7"/>
      <c r="B615" s="7"/>
      <c r="C615" s="7"/>
      <c r="D615" s="7"/>
      <c r="E615" s="7"/>
      <c r="F615" s="395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4.25" customHeight="1">
      <c r="A616" s="7"/>
      <c r="B616" s="7"/>
      <c r="C616" s="7"/>
      <c r="D616" s="7"/>
      <c r="E616" s="7"/>
      <c r="F616" s="395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4.25" customHeight="1">
      <c r="A617" s="7"/>
      <c r="B617" s="7"/>
      <c r="C617" s="7"/>
      <c r="D617" s="7"/>
      <c r="E617" s="7"/>
      <c r="F617" s="395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4.25" customHeight="1">
      <c r="A618" s="7"/>
      <c r="B618" s="7"/>
      <c r="C618" s="7"/>
      <c r="D618" s="7"/>
      <c r="E618" s="7"/>
      <c r="F618" s="395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4.25" customHeight="1">
      <c r="A619" s="7"/>
      <c r="B619" s="7"/>
      <c r="C619" s="7"/>
      <c r="D619" s="7"/>
      <c r="E619" s="7"/>
      <c r="F619" s="395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4.25" customHeight="1">
      <c r="A620" s="7"/>
      <c r="B620" s="7"/>
      <c r="C620" s="7"/>
      <c r="D620" s="7"/>
      <c r="E620" s="7"/>
      <c r="F620" s="395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4.25" customHeight="1">
      <c r="A621" s="7"/>
      <c r="B621" s="7"/>
      <c r="C621" s="7"/>
      <c r="D621" s="7"/>
      <c r="E621" s="7"/>
      <c r="F621" s="395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4.25" customHeight="1">
      <c r="A622" s="7"/>
      <c r="B622" s="7"/>
      <c r="C622" s="7"/>
      <c r="D622" s="7"/>
      <c r="E622" s="7"/>
      <c r="F622" s="395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4.25" customHeight="1">
      <c r="A623" s="7"/>
      <c r="B623" s="7"/>
      <c r="C623" s="7"/>
      <c r="D623" s="7"/>
      <c r="E623" s="7"/>
      <c r="F623" s="395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4.25" customHeight="1">
      <c r="A624" s="7"/>
      <c r="B624" s="7"/>
      <c r="C624" s="7"/>
      <c r="D624" s="7"/>
      <c r="E624" s="7"/>
      <c r="F624" s="395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4.25" customHeight="1">
      <c r="A625" s="7"/>
      <c r="B625" s="7"/>
      <c r="C625" s="7"/>
      <c r="D625" s="7"/>
      <c r="E625" s="7"/>
      <c r="F625" s="395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4.25" customHeight="1">
      <c r="A626" s="7"/>
      <c r="B626" s="7"/>
      <c r="C626" s="7"/>
      <c r="D626" s="7"/>
      <c r="E626" s="7"/>
      <c r="F626" s="395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4.25" customHeight="1">
      <c r="A627" s="7"/>
      <c r="B627" s="7"/>
      <c r="C627" s="7"/>
      <c r="D627" s="7"/>
      <c r="E627" s="7"/>
      <c r="F627" s="395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4.25" customHeight="1">
      <c r="A628" s="7"/>
      <c r="B628" s="7"/>
      <c r="C628" s="7"/>
      <c r="D628" s="7"/>
      <c r="E628" s="7"/>
      <c r="F628" s="395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4.25" customHeight="1">
      <c r="A629" s="7"/>
      <c r="B629" s="7"/>
      <c r="C629" s="7"/>
      <c r="D629" s="7"/>
      <c r="E629" s="7"/>
      <c r="F629" s="395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4.25" customHeight="1">
      <c r="A630" s="7"/>
      <c r="B630" s="7"/>
      <c r="C630" s="7"/>
      <c r="D630" s="7"/>
      <c r="E630" s="7"/>
      <c r="F630" s="395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4.25" customHeight="1">
      <c r="A631" s="7"/>
      <c r="B631" s="7"/>
      <c r="C631" s="7"/>
      <c r="D631" s="7"/>
      <c r="E631" s="7"/>
      <c r="F631" s="395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4.25" customHeight="1">
      <c r="A632" s="7"/>
      <c r="B632" s="7"/>
      <c r="C632" s="7"/>
      <c r="D632" s="7"/>
      <c r="E632" s="7"/>
      <c r="F632" s="395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4.25" customHeight="1">
      <c r="A633" s="7"/>
      <c r="B633" s="7"/>
      <c r="C633" s="7"/>
      <c r="D633" s="7"/>
      <c r="E633" s="7"/>
      <c r="F633" s="395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4.25" customHeight="1">
      <c r="A634" s="7"/>
      <c r="B634" s="7"/>
      <c r="C634" s="7"/>
      <c r="D634" s="7"/>
      <c r="E634" s="7"/>
      <c r="F634" s="395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4.25" customHeight="1">
      <c r="A635" s="7"/>
      <c r="B635" s="7"/>
      <c r="C635" s="7"/>
      <c r="D635" s="7"/>
      <c r="E635" s="7"/>
      <c r="F635" s="395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4.25" customHeight="1">
      <c r="A636" s="7"/>
      <c r="B636" s="7"/>
      <c r="C636" s="7"/>
      <c r="D636" s="7"/>
      <c r="E636" s="7"/>
      <c r="F636" s="395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4.25" customHeight="1">
      <c r="A637" s="7"/>
      <c r="B637" s="7"/>
      <c r="C637" s="7"/>
      <c r="D637" s="7"/>
      <c r="E637" s="7"/>
      <c r="F637" s="395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4.25" customHeight="1">
      <c r="A638" s="7"/>
      <c r="B638" s="7"/>
      <c r="C638" s="7"/>
      <c r="D638" s="7"/>
      <c r="E638" s="7"/>
      <c r="F638" s="395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4.25" customHeight="1">
      <c r="A639" s="7"/>
      <c r="B639" s="7"/>
      <c r="C639" s="7"/>
      <c r="D639" s="7"/>
      <c r="E639" s="7"/>
      <c r="F639" s="395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4.25" customHeight="1">
      <c r="A640" s="7"/>
      <c r="B640" s="7"/>
      <c r="C640" s="7"/>
      <c r="D640" s="7"/>
      <c r="E640" s="7"/>
      <c r="F640" s="395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4.25" customHeight="1">
      <c r="A641" s="7"/>
      <c r="B641" s="7"/>
      <c r="C641" s="7"/>
      <c r="D641" s="7"/>
      <c r="E641" s="7"/>
      <c r="F641" s="395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4.25" customHeight="1">
      <c r="A642" s="7"/>
      <c r="B642" s="7"/>
      <c r="C642" s="7"/>
      <c r="D642" s="7"/>
      <c r="E642" s="7"/>
      <c r="F642" s="395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4.25" customHeight="1">
      <c r="A643" s="7"/>
      <c r="B643" s="7"/>
      <c r="C643" s="7"/>
      <c r="D643" s="7"/>
      <c r="E643" s="7"/>
      <c r="F643" s="395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4.25" customHeight="1">
      <c r="A644" s="7"/>
      <c r="B644" s="7"/>
      <c r="C644" s="7"/>
      <c r="D644" s="7"/>
      <c r="E644" s="7"/>
      <c r="F644" s="395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4.25" customHeight="1">
      <c r="A645" s="7"/>
      <c r="B645" s="7"/>
      <c r="C645" s="7"/>
      <c r="D645" s="7"/>
      <c r="E645" s="7"/>
      <c r="F645" s="395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4.25" customHeight="1">
      <c r="A646" s="7"/>
      <c r="B646" s="7"/>
      <c r="C646" s="7"/>
      <c r="D646" s="7"/>
      <c r="E646" s="7"/>
      <c r="F646" s="395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4.25" customHeight="1">
      <c r="A647" s="7"/>
      <c r="B647" s="7"/>
      <c r="C647" s="7"/>
      <c r="D647" s="7"/>
      <c r="E647" s="7"/>
      <c r="F647" s="395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/>
    <row r="649" spans="1:26" ht="15.75" customHeight="1"/>
    <row r="650" spans="1:26" ht="15.75" customHeight="1"/>
    <row r="651" spans="1:26" ht="15.75" customHeight="1"/>
    <row r="652" spans="1:26" ht="15.75" customHeight="1"/>
    <row r="653" spans="1:26" ht="15.75" customHeight="1"/>
    <row r="654" spans="1:26" ht="15.75" customHeight="1"/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N7"/>
    <mergeCell ref="A8:N8"/>
    <mergeCell ref="A10:A17"/>
    <mergeCell ref="C10:C11"/>
    <mergeCell ref="D10:D17"/>
    <mergeCell ref="E10:E17"/>
    <mergeCell ref="F10:O10"/>
  </mergeCells>
  <conditionalFormatting sqref="F11">
    <cfRule type="containsText" dxfId="66" priority="1" operator="containsText" text="&quot;quảng ngãi&quot;">
      <formula>NOT(ISERROR(SEARCH(("""quảng ngãi"""),(F11))))</formula>
    </cfRule>
  </conditionalFormatting>
  <conditionalFormatting sqref="J11:N11">
    <cfRule type="containsText" dxfId="65" priority="2" operator="containsText" text="&quot;quảng ngãi&quot;">
      <formula>NOT(ISERROR(SEARCH(("""quảng ngãi"""),(J11))))</formula>
    </cfRule>
  </conditionalFormatting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66092"/>
  </sheetPr>
  <dimension ref="A1:Z1000"/>
  <sheetViews>
    <sheetView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F16" sqref="F16"/>
    </sheetView>
  </sheetViews>
  <sheetFormatPr defaultColWidth="14.453125" defaultRowHeight="15" customHeight="1"/>
  <cols>
    <col min="1" max="1" width="7.7265625" customWidth="1"/>
    <col min="2" max="2" width="10.26953125" customWidth="1"/>
    <col min="3" max="3" width="37.453125" customWidth="1"/>
    <col min="4" max="4" width="10.08984375" customWidth="1"/>
    <col min="5" max="5" width="12.453125" customWidth="1"/>
    <col min="6" max="14" width="13.7265625" customWidth="1"/>
    <col min="15" max="19" width="9.08984375" customWidth="1"/>
    <col min="20" max="24" width="8" customWidth="1"/>
  </cols>
  <sheetData>
    <row r="1" spans="1:26" ht="24.75" hidden="1" customHeight="1">
      <c r="A1" s="175" t="s">
        <v>973</v>
      </c>
      <c r="B1" s="175"/>
      <c r="C1" s="175"/>
      <c r="D1" s="175"/>
      <c r="E1" s="175"/>
      <c r="F1" s="386"/>
      <c r="G1" s="175"/>
      <c r="H1" s="175"/>
      <c r="I1" s="175"/>
      <c r="J1" s="175"/>
      <c r="K1" s="175"/>
      <c r="L1" s="175"/>
      <c r="M1" s="175"/>
      <c r="N1" s="175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67"/>
      <c r="Z1" s="7"/>
    </row>
    <row r="2" spans="1:26" ht="33" hidden="1" customHeight="1">
      <c r="A2" s="175"/>
      <c r="B2" s="175"/>
      <c r="C2" s="175"/>
      <c r="D2" s="175"/>
      <c r="E2" s="175"/>
      <c r="F2" s="386"/>
      <c r="G2" s="175"/>
      <c r="H2" s="175"/>
      <c r="I2" s="175"/>
      <c r="J2" s="175"/>
      <c r="K2" s="175"/>
      <c r="L2" s="175"/>
      <c r="M2" s="175"/>
      <c r="N2" s="175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67"/>
      <c r="Z2" s="7"/>
    </row>
    <row r="3" spans="1:26" ht="23.25" hidden="1" customHeight="1">
      <c r="A3" s="175"/>
      <c r="B3" s="175"/>
      <c r="C3" s="175"/>
      <c r="D3" s="175"/>
      <c r="E3" s="175"/>
      <c r="F3" s="386"/>
      <c r="G3" s="175"/>
      <c r="H3" s="175"/>
      <c r="I3" s="175"/>
      <c r="J3" s="175"/>
      <c r="K3" s="175"/>
      <c r="L3" s="175"/>
      <c r="M3" s="175"/>
      <c r="N3" s="175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67"/>
      <c r="Z3" s="7"/>
    </row>
    <row r="4" spans="1:26" ht="23.25" hidden="1" customHeight="1">
      <c r="A4" s="175"/>
      <c r="B4" s="175"/>
      <c r="C4" s="175"/>
      <c r="D4" s="175"/>
      <c r="E4" s="175"/>
      <c r="F4" s="386"/>
      <c r="G4" s="175"/>
      <c r="H4" s="175"/>
      <c r="I4" s="175"/>
      <c r="J4" s="175"/>
      <c r="K4" s="175"/>
      <c r="L4" s="175"/>
      <c r="M4" s="175"/>
      <c r="N4" s="175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67"/>
      <c r="Z4" s="7"/>
    </row>
    <row r="5" spans="1:26" ht="23.25" hidden="1" customHeight="1">
      <c r="A5" s="175"/>
      <c r="B5" s="175"/>
      <c r="C5" s="175"/>
      <c r="D5" s="175"/>
      <c r="E5" s="175"/>
      <c r="F5" s="386"/>
      <c r="G5" s="175"/>
      <c r="H5" s="175"/>
      <c r="I5" s="175"/>
      <c r="J5" s="175"/>
      <c r="K5" s="175"/>
      <c r="L5" s="175"/>
      <c r="M5" s="175"/>
      <c r="N5" s="175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67"/>
      <c r="Z5" s="7"/>
    </row>
    <row r="6" spans="1:26" ht="23.25" hidden="1" customHeight="1">
      <c r="A6" s="175"/>
      <c r="B6" s="175"/>
      <c r="C6" s="175"/>
      <c r="D6" s="175"/>
      <c r="E6" s="175"/>
      <c r="F6" s="386"/>
      <c r="G6" s="175"/>
      <c r="H6" s="175"/>
      <c r="I6" s="175"/>
      <c r="J6" s="175"/>
      <c r="K6" s="175"/>
      <c r="L6" s="175"/>
      <c r="M6" s="175"/>
      <c r="N6" s="175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67"/>
      <c r="Z6" s="7"/>
    </row>
    <row r="7" spans="1:26" ht="19.5" customHeight="1">
      <c r="A7" s="774" t="s">
        <v>974</v>
      </c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67"/>
      <c r="Z7" s="7"/>
    </row>
    <row r="8" spans="1:26" ht="22.5" customHeight="1">
      <c r="A8" s="775" t="s">
        <v>975</v>
      </c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67"/>
      <c r="Z8" s="7"/>
    </row>
    <row r="9" spans="1:26" ht="16.5" customHeight="1">
      <c r="A9" s="177"/>
      <c r="B9" s="178"/>
      <c r="C9" s="176"/>
      <c r="D9" s="179"/>
      <c r="E9" s="176"/>
      <c r="F9" s="387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67"/>
      <c r="Z9" s="7"/>
    </row>
    <row r="10" spans="1:26" ht="36" customHeight="1">
      <c r="A10" s="776" t="s">
        <v>5</v>
      </c>
      <c r="B10" s="772" t="s">
        <v>6</v>
      </c>
      <c r="C10" s="772" t="s">
        <v>7</v>
      </c>
      <c r="D10" s="772" t="s">
        <v>8</v>
      </c>
      <c r="E10" s="780" t="s">
        <v>976</v>
      </c>
      <c r="F10" s="785"/>
      <c r="G10" s="779"/>
      <c r="H10" s="779"/>
      <c r="I10" s="779"/>
      <c r="J10" s="779"/>
      <c r="K10" s="779"/>
      <c r="L10" s="779"/>
      <c r="M10" s="779"/>
      <c r="N10" s="779"/>
      <c r="O10" s="771"/>
      <c r="P10" s="176"/>
      <c r="Q10" s="176"/>
      <c r="R10" s="176"/>
      <c r="S10" s="176"/>
      <c r="T10" s="176"/>
      <c r="U10" s="176"/>
      <c r="V10" s="176"/>
      <c r="W10" s="176"/>
      <c r="X10" s="176"/>
      <c r="Y10" s="167"/>
      <c r="Z10" s="7"/>
    </row>
    <row r="11" spans="1:26" ht="37.5" customHeight="1">
      <c r="A11" s="767"/>
      <c r="B11" s="767"/>
      <c r="C11" s="768"/>
      <c r="D11" s="767"/>
      <c r="E11" s="781"/>
      <c r="F11" s="21"/>
      <c r="G11" s="349"/>
      <c r="H11" s="349"/>
      <c r="I11" s="349"/>
      <c r="J11" s="349"/>
      <c r="K11" s="22"/>
      <c r="L11" s="201"/>
      <c r="M11" s="22"/>
      <c r="N11" s="22"/>
      <c r="O11" s="201"/>
      <c r="P11" s="184"/>
      <c r="Q11" s="184"/>
      <c r="R11" s="184">
        <f>COUNTA(F11:O11)</f>
        <v>0</v>
      </c>
      <c r="S11" s="184"/>
      <c r="T11" s="184"/>
      <c r="U11" s="184"/>
      <c r="V11" s="184"/>
      <c r="W11" s="184"/>
      <c r="X11" s="184"/>
      <c r="Y11" s="184"/>
      <c r="Z11" s="7"/>
    </row>
    <row r="12" spans="1:26" ht="18.75" hidden="1" customHeight="1">
      <c r="A12" s="767"/>
      <c r="B12" s="767"/>
      <c r="C12" s="25" t="s">
        <v>39</v>
      </c>
      <c r="D12" s="767"/>
      <c r="E12" s="781"/>
      <c r="F12" s="323"/>
      <c r="G12" s="291"/>
      <c r="H12" s="291"/>
      <c r="I12" s="291"/>
      <c r="J12" s="291"/>
      <c r="K12" s="324"/>
      <c r="L12" s="325"/>
      <c r="M12" s="324"/>
      <c r="N12" s="324"/>
      <c r="O12" s="325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7"/>
    </row>
    <row r="13" spans="1:26" ht="47.25" customHeight="1">
      <c r="A13" s="767"/>
      <c r="B13" s="767"/>
      <c r="C13" s="25" t="s">
        <v>40</v>
      </c>
      <c r="D13" s="767"/>
      <c r="E13" s="781"/>
      <c r="F13" s="327"/>
      <c r="G13" s="296"/>
      <c r="H13" s="296"/>
      <c r="I13" s="296"/>
      <c r="J13" s="296"/>
      <c r="K13" s="192"/>
      <c r="L13" s="250"/>
      <c r="M13" s="192"/>
      <c r="N13" s="250"/>
      <c r="O13" s="250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7"/>
    </row>
    <row r="14" spans="1:26" ht="38.25" hidden="1" customHeight="1">
      <c r="A14" s="767"/>
      <c r="B14" s="767"/>
      <c r="C14" s="25" t="s">
        <v>41</v>
      </c>
      <c r="D14" s="767"/>
      <c r="E14" s="781"/>
      <c r="F14" s="388"/>
      <c r="G14" s="298"/>
      <c r="H14" s="298"/>
      <c r="I14" s="298"/>
      <c r="J14" s="298"/>
      <c r="K14" s="247"/>
      <c r="L14" s="249"/>
      <c r="M14" s="247"/>
      <c r="N14" s="247"/>
      <c r="O14" s="249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7"/>
    </row>
    <row r="15" spans="1:26" ht="33" hidden="1" customHeight="1">
      <c r="A15" s="767"/>
      <c r="B15" s="767"/>
      <c r="C15" s="24" t="s">
        <v>42</v>
      </c>
      <c r="D15" s="767"/>
      <c r="E15" s="781"/>
      <c r="F15" s="321"/>
      <c r="G15" s="298"/>
      <c r="H15" s="298"/>
      <c r="I15" s="298"/>
      <c r="J15" s="296"/>
      <c r="K15" s="247"/>
      <c r="L15" s="247"/>
      <c r="M15" s="247"/>
      <c r="N15" s="247"/>
      <c r="O15" s="249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7"/>
    </row>
    <row r="16" spans="1:26" ht="30.75" customHeight="1">
      <c r="A16" s="767"/>
      <c r="B16" s="767"/>
      <c r="C16" s="25" t="s">
        <v>977</v>
      </c>
      <c r="D16" s="767"/>
      <c r="E16" s="781"/>
      <c r="F16" s="396"/>
      <c r="G16" s="296"/>
      <c r="H16" s="298"/>
      <c r="I16" s="298"/>
      <c r="J16" s="298"/>
      <c r="K16" s="247"/>
      <c r="L16" s="253"/>
      <c r="M16" s="247"/>
      <c r="N16" s="247"/>
      <c r="O16" s="249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7"/>
    </row>
    <row r="17" spans="1:26" ht="36" customHeight="1">
      <c r="A17" s="768"/>
      <c r="B17" s="768"/>
      <c r="C17" s="25" t="s">
        <v>70</v>
      </c>
      <c r="D17" s="768"/>
      <c r="E17" s="782"/>
      <c r="F17" s="330"/>
      <c r="G17" s="295"/>
      <c r="H17" s="295"/>
      <c r="I17" s="295"/>
      <c r="J17" s="295"/>
      <c r="K17" s="32"/>
      <c r="L17" s="32"/>
      <c r="M17" s="32"/>
      <c r="N17" s="32"/>
      <c r="O17" s="25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7"/>
    </row>
    <row r="18" spans="1:26" ht="16.5" customHeight="1">
      <c r="A18" s="41"/>
      <c r="B18" s="42" t="s">
        <v>85</v>
      </c>
      <c r="C18" s="42"/>
      <c r="D18" s="42"/>
      <c r="E18" s="195"/>
      <c r="F18" s="389"/>
      <c r="G18" s="301"/>
      <c r="H18" s="301"/>
      <c r="I18" s="301"/>
      <c r="J18" s="301"/>
      <c r="K18" s="255"/>
      <c r="L18" s="257"/>
      <c r="M18" s="255"/>
      <c r="N18" s="255"/>
      <c r="O18" s="35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7"/>
    </row>
    <row r="19" spans="1:26" ht="26.25" customHeight="1">
      <c r="A19" s="46">
        <v>1</v>
      </c>
      <c r="B19" s="47" t="s">
        <v>87</v>
      </c>
      <c r="C19" s="47" t="s">
        <v>88</v>
      </c>
      <c r="D19" s="46"/>
      <c r="E19" s="200"/>
      <c r="F19" s="390"/>
      <c r="G19" s="362"/>
      <c r="H19" s="362"/>
      <c r="I19" s="362"/>
      <c r="J19" s="362"/>
      <c r="K19" s="258"/>
      <c r="L19" s="258"/>
      <c r="M19" s="258"/>
      <c r="N19" s="258"/>
      <c r="O19" s="363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7"/>
    </row>
    <row r="20" spans="1:26" ht="18.75" customHeight="1">
      <c r="A20" s="206"/>
      <c r="B20" s="134" t="s">
        <v>89</v>
      </c>
      <c r="C20" s="207" t="s">
        <v>90</v>
      </c>
      <c r="D20" s="72" t="s">
        <v>91</v>
      </c>
      <c r="E20" s="208">
        <f t="shared" ref="E20:E274" si="0">SUM(F20:N20)</f>
        <v>0</v>
      </c>
      <c r="F20" s="391"/>
      <c r="G20" s="367"/>
      <c r="H20" s="367"/>
      <c r="I20" s="367"/>
      <c r="J20" s="367"/>
      <c r="K20" s="286"/>
      <c r="L20" s="286"/>
      <c r="M20" s="286"/>
      <c r="N20" s="286"/>
      <c r="O20" s="286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7"/>
    </row>
    <row r="21" spans="1:26" ht="18.75" customHeight="1">
      <c r="A21" s="118"/>
      <c r="B21" s="59" t="s">
        <v>94</v>
      </c>
      <c r="C21" s="113" t="s">
        <v>95</v>
      </c>
      <c r="D21" s="61" t="s">
        <v>91</v>
      </c>
      <c r="E21" s="200">
        <f t="shared" si="0"/>
        <v>0</v>
      </c>
      <c r="F21" s="392"/>
      <c r="G21" s="362"/>
      <c r="H21" s="362"/>
      <c r="I21" s="362"/>
      <c r="J21" s="362"/>
      <c r="K21" s="262"/>
      <c r="L21" s="262"/>
      <c r="M21" s="262"/>
      <c r="N21" s="262"/>
      <c r="O21" s="37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7"/>
    </row>
    <row r="22" spans="1:26" ht="18.75" customHeight="1">
      <c r="A22" s="118"/>
      <c r="B22" s="59" t="s">
        <v>96</v>
      </c>
      <c r="C22" s="113" t="s">
        <v>97</v>
      </c>
      <c r="D22" s="61" t="s">
        <v>91</v>
      </c>
      <c r="E22" s="200">
        <f t="shared" si="0"/>
        <v>0</v>
      </c>
      <c r="F22" s="392"/>
      <c r="G22" s="362"/>
      <c r="H22" s="362"/>
      <c r="I22" s="362"/>
      <c r="J22" s="362"/>
      <c r="K22" s="262"/>
      <c r="L22" s="262"/>
      <c r="M22" s="262"/>
      <c r="N22" s="262"/>
      <c r="O22" s="37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7"/>
    </row>
    <row r="23" spans="1:26" ht="18.75" customHeight="1">
      <c r="A23" s="118"/>
      <c r="B23" s="59" t="s">
        <v>98</v>
      </c>
      <c r="C23" s="113" t="s">
        <v>99</v>
      </c>
      <c r="D23" s="61" t="s">
        <v>91</v>
      </c>
      <c r="E23" s="200">
        <f t="shared" si="0"/>
        <v>0</v>
      </c>
      <c r="F23" s="392"/>
      <c r="G23" s="362"/>
      <c r="H23" s="362"/>
      <c r="I23" s="362"/>
      <c r="J23" s="362"/>
      <c r="K23" s="262"/>
      <c r="L23" s="262"/>
      <c r="M23" s="262"/>
      <c r="N23" s="262"/>
      <c r="O23" s="37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7"/>
    </row>
    <row r="24" spans="1:26" ht="18.75" customHeight="1">
      <c r="A24" s="118"/>
      <c r="B24" s="59" t="s">
        <v>100</v>
      </c>
      <c r="C24" s="113" t="s">
        <v>101</v>
      </c>
      <c r="D24" s="61" t="s">
        <v>91</v>
      </c>
      <c r="E24" s="200">
        <f t="shared" si="0"/>
        <v>0</v>
      </c>
      <c r="F24" s="392"/>
      <c r="G24" s="362"/>
      <c r="H24" s="362"/>
      <c r="I24" s="362"/>
      <c r="J24" s="362"/>
      <c r="K24" s="262"/>
      <c r="L24" s="262"/>
      <c r="M24" s="262"/>
      <c r="N24" s="262"/>
      <c r="O24" s="37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7"/>
    </row>
    <row r="25" spans="1:26" ht="18.75" customHeight="1">
      <c r="A25" s="206"/>
      <c r="B25" s="134" t="s">
        <v>102</v>
      </c>
      <c r="C25" s="207" t="s">
        <v>103</v>
      </c>
      <c r="D25" s="72" t="s">
        <v>91</v>
      </c>
      <c r="E25" s="208">
        <f t="shared" si="0"/>
        <v>0</v>
      </c>
      <c r="F25" s="391"/>
      <c r="G25" s="367"/>
      <c r="H25" s="367"/>
      <c r="I25" s="367"/>
      <c r="J25" s="367"/>
      <c r="K25" s="286"/>
      <c r="L25" s="286"/>
      <c r="M25" s="286"/>
      <c r="N25" s="286"/>
      <c r="O25" s="286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7"/>
    </row>
    <row r="26" spans="1:26" ht="18.75" customHeight="1">
      <c r="A26" s="118" t="s">
        <v>978</v>
      </c>
      <c r="B26" s="59" t="s">
        <v>105</v>
      </c>
      <c r="C26" s="113" t="s">
        <v>95</v>
      </c>
      <c r="D26" s="61" t="s">
        <v>91</v>
      </c>
      <c r="E26" s="200">
        <f t="shared" si="0"/>
        <v>0</v>
      </c>
      <c r="F26" s="392"/>
      <c r="G26" s="362"/>
      <c r="H26" s="362"/>
      <c r="I26" s="362"/>
      <c r="J26" s="362"/>
      <c r="K26" s="262"/>
      <c r="L26" s="262"/>
      <c r="M26" s="262"/>
      <c r="N26" s="262"/>
      <c r="O26" s="37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7"/>
    </row>
    <row r="27" spans="1:26" ht="18.75" customHeight="1">
      <c r="A27" s="118" t="s">
        <v>979</v>
      </c>
      <c r="B27" s="59" t="s">
        <v>106</v>
      </c>
      <c r="C27" s="113" t="s">
        <v>97</v>
      </c>
      <c r="D27" s="61" t="s">
        <v>91</v>
      </c>
      <c r="E27" s="200">
        <f t="shared" si="0"/>
        <v>0</v>
      </c>
      <c r="F27" s="392"/>
      <c r="G27" s="362"/>
      <c r="H27" s="362"/>
      <c r="I27" s="362"/>
      <c r="J27" s="362"/>
      <c r="K27" s="262"/>
      <c r="L27" s="262"/>
      <c r="M27" s="262"/>
      <c r="N27" s="262"/>
      <c r="O27" s="37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7"/>
    </row>
    <row r="28" spans="1:26" ht="18.75" customHeight="1">
      <c r="A28" s="118" t="s">
        <v>980</v>
      </c>
      <c r="B28" s="59" t="s">
        <v>107</v>
      </c>
      <c r="C28" s="113" t="s">
        <v>99</v>
      </c>
      <c r="D28" s="61" t="s">
        <v>91</v>
      </c>
      <c r="E28" s="200">
        <f t="shared" si="0"/>
        <v>0</v>
      </c>
      <c r="F28" s="392"/>
      <c r="G28" s="362"/>
      <c r="H28" s="362"/>
      <c r="I28" s="362"/>
      <c r="J28" s="362"/>
      <c r="K28" s="262"/>
      <c r="L28" s="262"/>
      <c r="M28" s="262"/>
      <c r="N28" s="262"/>
      <c r="O28" s="37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7"/>
    </row>
    <row r="29" spans="1:26" ht="18.75" customHeight="1">
      <c r="A29" s="118" t="s">
        <v>981</v>
      </c>
      <c r="B29" s="59" t="s">
        <v>108</v>
      </c>
      <c r="C29" s="113" t="s">
        <v>101</v>
      </c>
      <c r="D29" s="61" t="s">
        <v>91</v>
      </c>
      <c r="E29" s="200">
        <f t="shared" si="0"/>
        <v>0</v>
      </c>
      <c r="F29" s="392"/>
      <c r="G29" s="362"/>
      <c r="H29" s="362"/>
      <c r="I29" s="362"/>
      <c r="J29" s="362"/>
      <c r="K29" s="262"/>
      <c r="L29" s="262"/>
      <c r="M29" s="262"/>
      <c r="N29" s="262"/>
      <c r="O29" s="37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7"/>
    </row>
    <row r="30" spans="1:26" ht="18.75" customHeight="1">
      <c r="A30" s="206"/>
      <c r="B30" s="134" t="s">
        <v>109</v>
      </c>
      <c r="C30" s="207" t="s">
        <v>110</v>
      </c>
      <c r="D30" s="72" t="s">
        <v>91</v>
      </c>
      <c r="E30" s="208">
        <f t="shared" si="0"/>
        <v>0</v>
      </c>
      <c r="F30" s="391"/>
      <c r="G30" s="367"/>
      <c r="H30" s="367"/>
      <c r="I30" s="367"/>
      <c r="J30" s="367"/>
      <c r="K30" s="286"/>
      <c r="L30" s="286"/>
      <c r="M30" s="286"/>
      <c r="N30" s="286"/>
      <c r="O30" s="286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7"/>
    </row>
    <row r="31" spans="1:26" ht="18.75" customHeight="1">
      <c r="A31" s="118" t="s">
        <v>112</v>
      </c>
      <c r="B31" s="59" t="s">
        <v>113</v>
      </c>
      <c r="C31" s="113" t="s">
        <v>95</v>
      </c>
      <c r="D31" s="61" t="s">
        <v>91</v>
      </c>
      <c r="E31" s="200">
        <f t="shared" si="0"/>
        <v>0</v>
      </c>
      <c r="F31" s="392"/>
      <c r="G31" s="362"/>
      <c r="H31" s="362"/>
      <c r="I31" s="362"/>
      <c r="J31" s="362"/>
      <c r="K31" s="262"/>
      <c r="L31" s="262"/>
      <c r="M31" s="262"/>
      <c r="N31" s="262"/>
      <c r="O31" s="37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7"/>
    </row>
    <row r="32" spans="1:26" ht="18.75" customHeight="1">
      <c r="A32" s="118" t="s">
        <v>114</v>
      </c>
      <c r="B32" s="59" t="s">
        <v>115</v>
      </c>
      <c r="C32" s="113" t="s">
        <v>97</v>
      </c>
      <c r="D32" s="61" t="s">
        <v>91</v>
      </c>
      <c r="E32" s="200">
        <f t="shared" si="0"/>
        <v>0</v>
      </c>
      <c r="F32" s="392"/>
      <c r="G32" s="362"/>
      <c r="H32" s="362"/>
      <c r="I32" s="362"/>
      <c r="J32" s="362"/>
      <c r="K32" s="262"/>
      <c r="L32" s="262"/>
      <c r="M32" s="262"/>
      <c r="N32" s="262"/>
      <c r="O32" s="37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7"/>
    </row>
    <row r="33" spans="1:26" ht="18.75" customHeight="1">
      <c r="A33" s="118" t="s">
        <v>116</v>
      </c>
      <c r="B33" s="59" t="s">
        <v>117</v>
      </c>
      <c r="C33" s="113" t="s">
        <v>99</v>
      </c>
      <c r="D33" s="61" t="s">
        <v>91</v>
      </c>
      <c r="E33" s="200">
        <f t="shared" si="0"/>
        <v>0</v>
      </c>
      <c r="F33" s="392"/>
      <c r="G33" s="362"/>
      <c r="H33" s="362"/>
      <c r="I33" s="362"/>
      <c r="J33" s="362"/>
      <c r="K33" s="262"/>
      <c r="L33" s="262"/>
      <c r="M33" s="262"/>
      <c r="N33" s="262"/>
      <c r="O33" s="37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7"/>
    </row>
    <row r="34" spans="1:26" ht="18.75" customHeight="1">
      <c r="A34" s="118" t="s">
        <v>118</v>
      </c>
      <c r="B34" s="59" t="s">
        <v>119</v>
      </c>
      <c r="C34" s="113" t="s">
        <v>101</v>
      </c>
      <c r="D34" s="61" t="s">
        <v>91</v>
      </c>
      <c r="E34" s="200">
        <f t="shared" si="0"/>
        <v>0</v>
      </c>
      <c r="F34" s="392"/>
      <c r="G34" s="362"/>
      <c r="H34" s="362"/>
      <c r="I34" s="362"/>
      <c r="J34" s="362"/>
      <c r="K34" s="262"/>
      <c r="L34" s="262"/>
      <c r="M34" s="262"/>
      <c r="N34" s="262"/>
      <c r="O34" s="37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7"/>
    </row>
    <row r="35" spans="1:26" ht="18.75" customHeight="1">
      <c r="A35" s="101">
        <v>26</v>
      </c>
      <c r="B35" s="53" t="s">
        <v>120</v>
      </c>
      <c r="C35" s="87" t="s">
        <v>121</v>
      </c>
      <c r="D35" s="61" t="s">
        <v>122</v>
      </c>
      <c r="E35" s="200">
        <f t="shared" si="0"/>
        <v>0</v>
      </c>
      <c r="F35" s="392"/>
      <c r="G35" s="362"/>
      <c r="H35" s="362"/>
      <c r="I35" s="362"/>
      <c r="J35" s="362"/>
      <c r="K35" s="262"/>
      <c r="L35" s="262"/>
      <c r="M35" s="262"/>
      <c r="N35" s="262"/>
      <c r="O35" s="37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7"/>
    </row>
    <row r="36" spans="1:26" ht="18.75" customHeight="1">
      <c r="A36" s="101">
        <v>1.5</v>
      </c>
      <c r="B36" s="53" t="s">
        <v>125</v>
      </c>
      <c r="C36" s="87" t="s">
        <v>126</v>
      </c>
      <c r="D36" s="61" t="s">
        <v>91</v>
      </c>
      <c r="E36" s="200">
        <f t="shared" si="0"/>
        <v>0</v>
      </c>
      <c r="F36" s="392"/>
      <c r="G36" s="362"/>
      <c r="H36" s="362"/>
      <c r="I36" s="362"/>
      <c r="J36" s="362"/>
      <c r="K36" s="262"/>
      <c r="L36" s="262"/>
      <c r="M36" s="262"/>
      <c r="N36" s="262"/>
      <c r="O36" s="37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7"/>
    </row>
    <row r="37" spans="1:26" ht="18.75" customHeight="1">
      <c r="A37" s="46">
        <v>2</v>
      </c>
      <c r="B37" s="64" t="s">
        <v>128</v>
      </c>
      <c r="C37" s="64" t="s">
        <v>129</v>
      </c>
      <c r="D37" s="216"/>
      <c r="E37" s="200">
        <f t="shared" si="0"/>
        <v>0</v>
      </c>
      <c r="F37" s="392"/>
      <c r="G37" s="371"/>
      <c r="H37" s="371"/>
      <c r="I37" s="371"/>
      <c r="J37" s="371"/>
      <c r="K37" s="261"/>
      <c r="L37" s="261"/>
      <c r="M37" s="261"/>
      <c r="N37" s="261"/>
      <c r="O37" s="372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7"/>
    </row>
    <row r="38" spans="1:26" ht="18.75" customHeight="1">
      <c r="A38" s="206"/>
      <c r="B38" s="134" t="s">
        <v>130</v>
      </c>
      <c r="C38" s="207" t="s">
        <v>131</v>
      </c>
      <c r="D38" s="72" t="s">
        <v>132</v>
      </c>
      <c r="E38" s="208">
        <f t="shared" si="0"/>
        <v>0</v>
      </c>
      <c r="F38" s="391"/>
      <c r="G38" s="367"/>
      <c r="H38" s="367"/>
      <c r="I38" s="367"/>
      <c r="J38" s="367"/>
      <c r="K38" s="286"/>
      <c r="L38" s="286"/>
      <c r="M38" s="286"/>
      <c r="N38" s="286"/>
      <c r="O38" s="286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7"/>
    </row>
    <row r="39" spans="1:26" ht="18.75" customHeight="1">
      <c r="A39" s="118"/>
      <c r="B39" s="59" t="s">
        <v>135</v>
      </c>
      <c r="C39" s="113" t="s">
        <v>136</v>
      </c>
      <c r="D39" s="61" t="s">
        <v>132</v>
      </c>
      <c r="E39" s="200">
        <f t="shared" si="0"/>
        <v>0</v>
      </c>
      <c r="F39" s="392"/>
      <c r="G39" s="362"/>
      <c r="H39" s="362"/>
      <c r="I39" s="362"/>
      <c r="J39" s="362"/>
      <c r="K39" s="262"/>
      <c r="L39" s="262"/>
      <c r="M39" s="262"/>
      <c r="N39" s="262"/>
      <c r="O39" s="37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7"/>
    </row>
    <row r="40" spans="1:26" ht="18.75" customHeight="1">
      <c r="A40" s="118"/>
      <c r="B40" s="59" t="s">
        <v>137</v>
      </c>
      <c r="C40" s="113" t="s">
        <v>138</v>
      </c>
      <c r="D40" s="61" t="s">
        <v>132</v>
      </c>
      <c r="E40" s="200">
        <f t="shared" si="0"/>
        <v>0</v>
      </c>
      <c r="F40" s="392"/>
      <c r="G40" s="362"/>
      <c r="H40" s="362"/>
      <c r="I40" s="362"/>
      <c r="J40" s="362"/>
      <c r="K40" s="262"/>
      <c r="L40" s="262"/>
      <c r="M40" s="262"/>
      <c r="N40" s="262"/>
      <c r="O40" s="37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7"/>
    </row>
    <row r="41" spans="1:26" ht="18.75" customHeight="1">
      <c r="A41" s="118"/>
      <c r="B41" s="59" t="s">
        <v>139</v>
      </c>
      <c r="C41" s="113" t="s">
        <v>140</v>
      </c>
      <c r="D41" s="61" t="s">
        <v>132</v>
      </c>
      <c r="E41" s="200">
        <f t="shared" si="0"/>
        <v>0</v>
      </c>
      <c r="F41" s="392"/>
      <c r="G41" s="362"/>
      <c r="H41" s="362"/>
      <c r="I41" s="362"/>
      <c r="J41" s="362"/>
      <c r="K41" s="262"/>
      <c r="L41" s="262"/>
      <c r="M41" s="262"/>
      <c r="N41" s="262"/>
      <c r="O41" s="37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7"/>
    </row>
    <row r="42" spans="1:26" ht="18.75" customHeight="1">
      <c r="A42" s="118"/>
      <c r="B42" s="59" t="s">
        <v>141</v>
      </c>
      <c r="C42" s="113" t="s">
        <v>142</v>
      </c>
      <c r="D42" s="61" t="s">
        <v>132</v>
      </c>
      <c r="E42" s="200">
        <f t="shared" si="0"/>
        <v>0</v>
      </c>
      <c r="F42" s="392"/>
      <c r="G42" s="362"/>
      <c r="H42" s="362"/>
      <c r="I42" s="362"/>
      <c r="J42" s="362"/>
      <c r="K42" s="262"/>
      <c r="L42" s="262"/>
      <c r="M42" s="262"/>
      <c r="N42" s="262"/>
      <c r="O42" s="37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7"/>
    </row>
    <row r="43" spans="1:26" ht="18.75" customHeight="1">
      <c r="A43" s="101"/>
      <c r="B43" s="101" t="s">
        <v>143</v>
      </c>
      <c r="C43" s="217" t="s">
        <v>144</v>
      </c>
      <c r="D43" s="61" t="s">
        <v>132</v>
      </c>
      <c r="E43" s="200">
        <f t="shared" si="0"/>
        <v>0</v>
      </c>
      <c r="F43" s="392"/>
      <c r="G43" s="371"/>
      <c r="H43" s="371"/>
      <c r="I43" s="362"/>
      <c r="J43" s="371"/>
      <c r="K43" s="262"/>
      <c r="L43" s="261"/>
      <c r="M43" s="261"/>
      <c r="N43" s="261"/>
      <c r="O43" s="372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7"/>
    </row>
    <row r="44" spans="1:26" ht="18.75" customHeight="1">
      <c r="A44" s="118"/>
      <c r="B44" s="59" t="s">
        <v>147</v>
      </c>
      <c r="C44" s="113" t="s">
        <v>136</v>
      </c>
      <c r="D44" s="61" t="s">
        <v>132</v>
      </c>
      <c r="E44" s="200">
        <f t="shared" si="0"/>
        <v>0</v>
      </c>
      <c r="F44" s="392"/>
      <c r="G44" s="362"/>
      <c r="H44" s="362"/>
      <c r="I44" s="362"/>
      <c r="J44" s="362"/>
      <c r="K44" s="262"/>
      <c r="L44" s="262"/>
      <c r="M44" s="262"/>
      <c r="N44" s="262"/>
      <c r="O44" s="37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7"/>
    </row>
    <row r="45" spans="1:26" ht="18.75" customHeight="1">
      <c r="A45" s="118"/>
      <c r="B45" s="59" t="s">
        <v>148</v>
      </c>
      <c r="C45" s="113" t="s">
        <v>138</v>
      </c>
      <c r="D45" s="61" t="s">
        <v>132</v>
      </c>
      <c r="E45" s="200">
        <f t="shared" si="0"/>
        <v>0</v>
      </c>
      <c r="F45" s="392"/>
      <c r="G45" s="362"/>
      <c r="H45" s="362"/>
      <c r="I45" s="362"/>
      <c r="J45" s="362"/>
      <c r="K45" s="262"/>
      <c r="L45" s="262"/>
      <c r="M45" s="262"/>
      <c r="N45" s="262"/>
      <c r="O45" s="37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7"/>
    </row>
    <row r="46" spans="1:26" ht="18.75" customHeight="1">
      <c r="A46" s="118"/>
      <c r="B46" s="59" t="s">
        <v>149</v>
      </c>
      <c r="C46" s="113" t="s">
        <v>140</v>
      </c>
      <c r="D46" s="61" t="s">
        <v>132</v>
      </c>
      <c r="E46" s="200">
        <f t="shared" si="0"/>
        <v>0</v>
      </c>
      <c r="F46" s="392"/>
      <c r="G46" s="362"/>
      <c r="H46" s="362"/>
      <c r="I46" s="362"/>
      <c r="J46" s="362"/>
      <c r="K46" s="262"/>
      <c r="L46" s="262"/>
      <c r="M46" s="262"/>
      <c r="N46" s="262"/>
      <c r="O46" s="37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7"/>
    </row>
    <row r="47" spans="1:26" ht="18.75" customHeight="1">
      <c r="A47" s="118"/>
      <c r="B47" s="59" t="s">
        <v>150</v>
      </c>
      <c r="C47" s="113" t="s">
        <v>142</v>
      </c>
      <c r="D47" s="61" t="s">
        <v>132</v>
      </c>
      <c r="E47" s="200">
        <f t="shared" si="0"/>
        <v>0</v>
      </c>
      <c r="F47" s="392"/>
      <c r="G47" s="362"/>
      <c r="H47" s="362"/>
      <c r="I47" s="362"/>
      <c r="J47" s="362"/>
      <c r="K47" s="262"/>
      <c r="L47" s="262"/>
      <c r="M47" s="262"/>
      <c r="N47" s="262"/>
      <c r="O47" s="37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7"/>
    </row>
    <row r="48" spans="1:26" ht="18.75" customHeight="1">
      <c r="A48" s="101"/>
      <c r="B48" s="53" t="s">
        <v>151</v>
      </c>
      <c r="C48" s="87" t="s">
        <v>152</v>
      </c>
      <c r="D48" s="61" t="s">
        <v>132</v>
      </c>
      <c r="E48" s="200">
        <f t="shared" si="0"/>
        <v>0</v>
      </c>
      <c r="F48" s="392"/>
      <c r="G48" s="371"/>
      <c r="H48" s="371"/>
      <c r="I48" s="362"/>
      <c r="J48" s="362"/>
      <c r="K48" s="262"/>
      <c r="L48" s="261"/>
      <c r="M48" s="261"/>
      <c r="N48" s="261"/>
      <c r="O48" s="372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7"/>
    </row>
    <row r="49" spans="1:26" ht="18.75" customHeight="1">
      <c r="A49" s="118"/>
      <c r="B49" s="59" t="s">
        <v>154</v>
      </c>
      <c r="C49" s="113" t="s">
        <v>136</v>
      </c>
      <c r="D49" s="61" t="s">
        <v>132</v>
      </c>
      <c r="E49" s="200">
        <f t="shared" si="0"/>
        <v>0</v>
      </c>
      <c r="F49" s="392"/>
      <c r="G49" s="362"/>
      <c r="H49" s="362"/>
      <c r="I49" s="362"/>
      <c r="J49" s="362"/>
      <c r="K49" s="262"/>
      <c r="L49" s="262"/>
      <c r="M49" s="262"/>
      <c r="N49" s="262"/>
      <c r="O49" s="37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7"/>
    </row>
    <row r="50" spans="1:26" ht="18.75" customHeight="1">
      <c r="A50" s="118"/>
      <c r="B50" s="59" t="s">
        <v>155</v>
      </c>
      <c r="C50" s="113" t="s">
        <v>138</v>
      </c>
      <c r="D50" s="61" t="s">
        <v>132</v>
      </c>
      <c r="E50" s="200">
        <f t="shared" si="0"/>
        <v>0</v>
      </c>
      <c r="F50" s="392"/>
      <c r="G50" s="362"/>
      <c r="H50" s="362"/>
      <c r="I50" s="362"/>
      <c r="J50" s="362"/>
      <c r="K50" s="262"/>
      <c r="L50" s="262"/>
      <c r="M50" s="262"/>
      <c r="N50" s="262"/>
      <c r="O50" s="37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7"/>
    </row>
    <row r="51" spans="1:26" ht="18.75" customHeight="1">
      <c r="A51" s="118"/>
      <c r="B51" s="59" t="s">
        <v>156</v>
      </c>
      <c r="C51" s="113" t="s">
        <v>140</v>
      </c>
      <c r="D51" s="61" t="s">
        <v>132</v>
      </c>
      <c r="E51" s="200">
        <f t="shared" si="0"/>
        <v>0</v>
      </c>
      <c r="F51" s="392"/>
      <c r="G51" s="362"/>
      <c r="H51" s="362"/>
      <c r="I51" s="362"/>
      <c r="J51" s="362"/>
      <c r="K51" s="262"/>
      <c r="L51" s="262"/>
      <c r="M51" s="262"/>
      <c r="N51" s="262"/>
      <c r="O51" s="37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7"/>
    </row>
    <row r="52" spans="1:26" ht="18.75" customHeight="1">
      <c r="A52" s="118"/>
      <c r="B52" s="59" t="s">
        <v>157</v>
      </c>
      <c r="C52" s="113" t="s">
        <v>142</v>
      </c>
      <c r="D52" s="61" t="s">
        <v>132</v>
      </c>
      <c r="E52" s="200">
        <f t="shared" si="0"/>
        <v>0</v>
      </c>
      <c r="F52" s="392"/>
      <c r="G52" s="362"/>
      <c r="H52" s="362"/>
      <c r="I52" s="362"/>
      <c r="J52" s="362"/>
      <c r="K52" s="262"/>
      <c r="L52" s="262"/>
      <c r="M52" s="262"/>
      <c r="N52" s="262"/>
      <c r="O52" s="37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7"/>
    </row>
    <row r="53" spans="1:26" ht="18.75" customHeight="1">
      <c r="A53" s="101"/>
      <c r="B53" s="86" t="s">
        <v>158</v>
      </c>
      <c r="C53" s="87" t="s">
        <v>159</v>
      </c>
      <c r="D53" s="61"/>
      <c r="E53" s="200">
        <f t="shared" si="0"/>
        <v>0</v>
      </c>
      <c r="F53" s="392"/>
      <c r="G53" s="373"/>
      <c r="H53" s="371"/>
      <c r="I53" s="373"/>
      <c r="J53" s="362"/>
      <c r="K53" s="262"/>
      <c r="L53" s="261"/>
      <c r="M53" s="261"/>
      <c r="N53" s="261"/>
      <c r="O53" s="372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7"/>
    </row>
    <row r="54" spans="1:26" ht="18.75" customHeight="1">
      <c r="A54" s="118"/>
      <c r="B54" s="59" t="s">
        <v>161</v>
      </c>
      <c r="C54" s="113" t="s">
        <v>136</v>
      </c>
      <c r="D54" s="61" t="s">
        <v>132</v>
      </c>
      <c r="E54" s="200">
        <f t="shared" si="0"/>
        <v>0</v>
      </c>
      <c r="F54" s="392"/>
      <c r="G54" s="362"/>
      <c r="H54" s="362"/>
      <c r="I54" s="362"/>
      <c r="J54" s="362"/>
      <c r="K54" s="262"/>
      <c r="L54" s="262"/>
      <c r="M54" s="262"/>
      <c r="N54" s="262"/>
      <c r="O54" s="37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7"/>
    </row>
    <row r="55" spans="1:26" ht="18.75" customHeight="1">
      <c r="A55" s="118"/>
      <c r="B55" s="59" t="s">
        <v>162</v>
      </c>
      <c r="C55" s="113" t="s">
        <v>138</v>
      </c>
      <c r="D55" s="61" t="s">
        <v>132</v>
      </c>
      <c r="E55" s="200">
        <f t="shared" si="0"/>
        <v>0</v>
      </c>
      <c r="F55" s="392"/>
      <c r="G55" s="362"/>
      <c r="H55" s="362"/>
      <c r="I55" s="362"/>
      <c r="J55" s="362"/>
      <c r="K55" s="262"/>
      <c r="L55" s="262"/>
      <c r="M55" s="262"/>
      <c r="N55" s="262"/>
      <c r="O55" s="37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7"/>
    </row>
    <row r="56" spans="1:26" ht="18.75" customHeight="1">
      <c r="A56" s="118"/>
      <c r="B56" s="59" t="s">
        <v>163</v>
      </c>
      <c r="C56" s="113" t="s">
        <v>140</v>
      </c>
      <c r="D56" s="61" t="s">
        <v>132</v>
      </c>
      <c r="E56" s="200">
        <f t="shared" si="0"/>
        <v>0</v>
      </c>
      <c r="F56" s="392"/>
      <c r="G56" s="362"/>
      <c r="H56" s="362"/>
      <c r="I56" s="362"/>
      <c r="J56" s="362"/>
      <c r="K56" s="262"/>
      <c r="L56" s="262"/>
      <c r="M56" s="262"/>
      <c r="N56" s="262"/>
      <c r="O56" s="37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7"/>
    </row>
    <row r="57" spans="1:26" ht="18.75" customHeight="1">
      <c r="A57" s="118"/>
      <c r="B57" s="59" t="s">
        <v>164</v>
      </c>
      <c r="C57" s="113" t="s">
        <v>142</v>
      </c>
      <c r="D57" s="61" t="s">
        <v>132</v>
      </c>
      <c r="E57" s="200">
        <f t="shared" si="0"/>
        <v>0</v>
      </c>
      <c r="F57" s="392"/>
      <c r="G57" s="362"/>
      <c r="H57" s="362"/>
      <c r="I57" s="362"/>
      <c r="J57" s="362"/>
      <c r="K57" s="262"/>
      <c r="L57" s="262"/>
      <c r="M57" s="262"/>
      <c r="N57" s="262"/>
      <c r="O57" s="37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7"/>
    </row>
    <row r="58" spans="1:26" ht="18.75" customHeight="1">
      <c r="A58" s="101"/>
      <c r="B58" s="53" t="s">
        <v>165</v>
      </c>
      <c r="C58" s="87" t="s">
        <v>166</v>
      </c>
      <c r="D58" s="61" t="s">
        <v>171</v>
      </c>
      <c r="E58" s="200">
        <f t="shared" si="0"/>
        <v>0</v>
      </c>
      <c r="F58" s="392"/>
      <c r="G58" s="371"/>
      <c r="H58" s="371"/>
      <c r="I58" s="362"/>
      <c r="J58" s="362"/>
      <c r="K58" s="262"/>
      <c r="L58" s="261"/>
      <c r="M58" s="261"/>
      <c r="N58" s="261"/>
      <c r="O58" s="37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7"/>
    </row>
    <row r="59" spans="1:26" ht="18.75" customHeight="1">
      <c r="A59" s="42"/>
      <c r="B59" s="59" t="s">
        <v>169</v>
      </c>
      <c r="C59" s="113" t="s">
        <v>170</v>
      </c>
      <c r="D59" s="61" t="s">
        <v>171</v>
      </c>
      <c r="E59" s="200">
        <f t="shared" si="0"/>
        <v>0</v>
      </c>
      <c r="F59" s="392"/>
      <c r="G59" s="362"/>
      <c r="H59" s="362"/>
      <c r="I59" s="362"/>
      <c r="J59" s="362"/>
      <c r="K59" s="262"/>
      <c r="L59" s="262"/>
      <c r="M59" s="262"/>
      <c r="N59" s="262"/>
      <c r="O59" s="37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7"/>
    </row>
    <row r="60" spans="1:26" ht="18.75" customHeight="1">
      <c r="A60" s="42"/>
      <c r="B60" s="59" t="s">
        <v>173</v>
      </c>
      <c r="C60" s="113" t="s">
        <v>174</v>
      </c>
      <c r="D60" s="61" t="s">
        <v>171</v>
      </c>
      <c r="E60" s="200">
        <f t="shared" si="0"/>
        <v>0</v>
      </c>
      <c r="F60" s="392"/>
      <c r="G60" s="362"/>
      <c r="H60" s="362"/>
      <c r="I60" s="362"/>
      <c r="J60" s="362"/>
      <c r="K60" s="262"/>
      <c r="L60" s="262"/>
      <c r="M60" s="262"/>
      <c r="N60" s="262"/>
      <c r="O60" s="37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7"/>
    </row>
    <row r="61" spans="1:26" ht="18.75" customHeight="1">
      <c r="A61" s="42"/>
      <c r="B61" s="59" t="s">
        <v>176</v>
      </c>
      <c r="C61" s="113" t="s">
        <v>177</v>
      </c>
      <c r="D61" s="61" t="s">
        <v>171</v>
      </c>
      <c r="E61" s="200">
        <f t="shared" si="0"/>
        <v>0</v>
      </c>
      <c r="F61" s="392"/>
      <c r="G61" s="362"/>
      <c r="H61" s="362"/>
      <c r="I61" s="362"/>
      <c r="J61" s="362"/>
      <c r="K61" s="262"/>
      <c r="L61" s="262"/>
      <c r="M61" s="262"/>
      <c r="N61" s="262"/>
      <c r="O61" s="37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7"/>
    </row>
    <row r="62" spans="1:26" ht="18.75" customHeight="1">
      <c r="A62" s="101"/>
      <c r="B62" s="53" t="s">
        <v>178</v>
      </c>
      <c r="C62" s="87" t="s">
        <v>179</v>
      </c>
      <c r="D62" s="61" t="s">
        <v>132</v>
      </c>
      <c r="E62" s="200">
        <f t="shared" si="0"/>
        <v>0</v>
      </c>
      <c r="F62" s="392"/>
      <c r="G62" s="371"/>
      <c r="H62" s="371"/>
      <c r="I62" s="362"/>
      <c r="J62" s="362"/>
      <c r="K62" s="262"/>
      <c r="L62" s="261"/>
      <c r="M62" s="261"/>
      <c r="N62" s="261"/>
      <c r="O62" s="372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7"/>
    </row>
    <row r="63" spans="1:26" ht="18.75" customHeight="1">
      <c r="A63" s="101">
        <v>2.7</v>
      </c>
      <c r="B63" s="53" t="s">
        <v>181</v>
      </c>
      <c r="C63" s="87" t="s">
        <v>182</v>
      </c>
      <c r="D63" s="216" t="s">
        <v>183</v>
      </c>
      <c r="E63" s="200">
        <f t="shared" si="0"/>
        <v>0</v>
      </c>
      <c r="F63" s="392"/>
      <c r="G63" s="371"/>
      <c r="H63" s="371"/>
      <c r="I63" s="362"/>
      <c r="J63" s="362"/>
      <c r="K63" s="262"/>
      <c r="L63" s="261"/>
      <c r="M63" s="261"/>
      <c r="N63" s="261"/>
      <c r="O63" s="372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7"/>
    </row>
    <row r="64" spans="1:26" ht="18.75" customHeight="1">
      <c r="A64" s="46">
        <v>3</v>
      </c>
      <c r="B64" s="64" t="s">
        <v>187</v>
      </c>
      <c r="C64" s="64" t="s">
        <v>188</v>
      </c>
      <c r="D64" s="216"/>
      <c r="E64" s="200">
        <f t="shared" si="0"/>
        <v>0</v>
      </c>
      <c r="F64" s="392"/>
      <c r="G64" s="371"/>
      <c r="H64" s="371"/>
      <c r="I64" s="362"/>
      <c r="J64" s="362"/>
      <c r="K64" s="262"/>
      <c r="L64" s="261"/>
      <c r="M64" s="261"/>
      <c r="N64" s="261"/>
      <c r="O64" s="372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7"/>
    </row>
    <row r="65" spans="1:26" ht="18.75" customHeight="1">
      <c r="A65" s="101"/>
      <c r="B65" s="53" t="s">
        <v>192</v>
      </c>
      <c r="C65" s="87" t="s">
        <v>193</v>
      </c>
      <c r="D65" s="61" t="s">
        <v>194</v>
      </c>
      <c r="E65" s="200">
        <f t="shared" si="0"/>
        <v>0</v>
      </c>
      <c r="F65" s="392"/>
      <c r="G65" s="371"/>
      <c r="H65" s="371"/>
      <c r="I65" s="362"/>
      <c r="J65" s="362"/>
      <c r="K65" s="262"/>
      <c r="L65" s="261"/>
      <c r="M65" s="261"/>
      <c r="N65" s="261"/>
      <c r="O65" s="372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7"/>
    </row>
    <row r="66" spans="1:26" ht="47.25" customHeight="1">
      <c r="A66" s="101"/>
      <c r="B66" s="86" t="s">
        <v>190</v>
      </c>
      <c r="C66" s="87" t="s">
        <v>191</v>
      </c>
      <c r="D66" s="61" t="s">
        <v>132</v>
      </c>
      <c r="E66" s="200">
        <f t="shared" si="0"/>
        <v>0</v>
      </c>
      <c r="F66" s="392"/>
      <c r="G66" s="371"/>
      <c r="H66" s="371"/>
      <c r="I66" s="362"/>
      <c r="J66" s="362"/>
      <c r="K66" s="262"/>
      <c r="L66" s="261"/>
      <c r="M66" s="261"/>
      <c r="N66" s="261"/>
      <c r="O66" s="372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7"/>
    </row>
    <row r="67" spans="1:26" ht="18.75" customHeight="1">
      <c r="A67" s="118"/>
      <c r="B67" s="59" t="s">
        <v>197</v>
      </c>
      <c r="C67" s="113" t="s">
        <v>131</v>
      </c>
      <c r="D67" s="61" t="s">
        <v>132</v>
      </c>
      <c r="E67" s="200">
        <f t="shared" si="0"/>
        <v>0</v>
      </c>
      <c r="F67" s="392"/>
      <c r="G67" s="362"/>
      <c r="H67" s="362"/>
      <c r="I67" s="362"/>
      <c r="J67" s="362"/>
      <c r="K67" s="262"/>
      <c r="L67" s="262"/>
      <c r="M67" s="262"/>
      <c r="N67" s="262"/>
      <c r="O67" s="37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7"/>
    </row>
    <row r="68" spans="1:26" ht="18.75" customHeight="1">
      <c r="A68" s="118"/>
      <c r="B68" s="59" t="s">
        <v>199</v>
      </c>
      <c r="C68" s="113" t="s">
        <v>200</v>
      </c>
      <c r="D68" s="61" t="s">
        <v>132</v>
      </c>
      <c r="E68" s="200">
        <f t="shared" si="0"/>
        <v>0</v>
      </c>
      <c r="F68" s="392"/>
      <c r="G68" s="362"/>
      <c r="H68" s="362"/>
      <c r="I68" s="362"/>
      <c r="J68" s="362"/>
      <c r="K68" s="262"/>
      <c r="L68" s="262"/>
      <c r="M68" s="262"/>
      <c r="N68" s="262"/>
      <c r="O68" s="37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7"/>
    </row>
    <row r="69" spans="1:26" ht="18.75" customHeight="1">
      <c r="A69" s="118"/>
      <c r="B69" s="59" t="s">
        <v>202</v>
      </c>
      <c r="C69" s="113" t="s">
        <v>203</v>
      </c>
      <c r="D69" s="61" t="s">
        <v>132</v>
      </c>
      <c r="E69" s="200">
        <f t="shared" si="0"/>
        <v>0</v>
      </c>
      <c r="F69" s="392"/>
      <c r="G69" s="362"/>
      <c r="H69" s="362"/>
      <c r="I69" s="362"/>
      <c r="J69" s="362"/>
      <c r="K69" s="262"/>
      <c r="L69" s="262"/>
      <c r="M69" s="262"/>
      <c r="N69" s="262"/>
      <c r="O69" s="37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7"/>
    </row>
    <row r="70" spans="1:26" ht="18.75" customHeight="1">
      <c r="A70" s="118"/>
      <c r="B70" s="59" t="s">
        <v>205</v>
      </c>
      <c r="C70" s="113" t="s">
        <v>159</v>
      </c>
      <c r="D70" s="61" t="s">
        <v>132</v>
      </c>
      <c r="E70" s="200">
        <f t="shared" si="0"/>
        <v>0</v>
      </c>
      <c r="F70" s="392"/>
      <c r="G70" s="362"/>
      <c r="H70" s="362"/>
      <c r="I70" s="362"/>
      <c r="J70" s="362"/>
      <c r="K70" s="262"/>
      <c r="L70" s="262"/>
      <c r="M70" s="262"/>
      <c r="N70" s="262"/>
      <c r="O70" s="37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7"/>
    </row>
    <row r="71" spans="1:26" ht="63" customHeight="1">
      <c r="A71" s="101"/>
      <c r="B71" s="102" t="s">
        <v>206</v>
      </c>
      <c r="C71" s="103" t="s">
        <v>207</v>
      </c>
      <c r="D71" s="61" t="s">
        <v>132</v>
      </c>
      <c r="E71" s="200">
        <f t="shared" si="0"/>
        <v>0</v>
      </c>
      <c r="F71" s="392"/>
      <c r="G71" s="362"/>
      <c r="H71" s="362"/>
      <c r="I71" s="362"/>
      <c r="J71" s="362"/>
      <c r="K71" s="262"/>
      <c r="L71" s="262"/>
      <c r="M71" s="262"/>
      <c r="N71" s="262"/>
      <c r="O71" s="370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7"/>
    </row>
    <row r="72" spans="1:26" ht="18.75" customHeight="1">
      <c r="A72" s="42" t="s">
        <v>208</v>
      </c>
      <c r="B72" s="59" t="s">
        <v>209</v>
      </c>
      <c r="C72" s="113" t="s">
        <v>170</v>
      </c>
      <c r="D72" s="61" t="s">
        <v>132</v>
      </c>
      <c r="E72" s="200">
        <f t="shared" si="0"/>
        <v>0</v>
      </c>
      <c r="F72" s="392"/>
      <c r="G72" s="362"/>
      <c r="H72" s="362"/>
      <c r="I72" s="362"/>
      <c r="J72" s="362"/>
      <c r="K72" s="262"/>
      <c r="L72" s="262"/>
      <c r="M72" s="262"/>
      <c r="N72" s="262"/>
      <c r="O72" s="37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7"/>
    </row>
    <row r="73" spans="1:26" ht="18.75" customHeight="1">
      <c r="A73" s="42" t="s">
        <v>210</v>
      </c>
      <c r="B73" s="59" t="s">
        <v>211</v>
      </c>
      <c r="C73" s="113" t="s">
        <v>174</v>
      </c>
      <c r="D73" s="61" t="s">
        <v>132</v>
      </c>
      <c r="E73" s="200">
        <f t="shared" si="0"/>
        <v>0</v>
      </c>
      <c r="F73" s="392"/>
      <c r="G73" s="362"/>
      <c r="H73" s="362"/>
      <c r="I73" s="362"/>
      <c r="J73" s="362"/>
      <c r="K73" s="262"/>
      <c r="L73" s="262"/>
      <c r="M73" s="262"/>
      <c r="N73" s="262"/>
      <c r="O73" s="37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7"/>
    </row>
    <row r="74" spans="1:26" ht="18.75" customHeight="1">
      <c r="A74" s="42" t="s">
        <v>212</v>
      </c>
      <c r="B74" s="59" t="s">
        <v>213</v>
      </c>
      <c r="C74" s="113" t="s">
        <v>177</v>
      </c>
      <c r="D74" s="61" t="s">
        <v>132</v>
      </c>
      <c r="E74" s="200">
        <f t="shared" si="0"/>
        <v>0</v>
      </c>
      <c r="F74" s="392"/>
      <c r="G74" s="362"/>
      <c r="H74" s="362"/>
      <c r="I74" s="362"/>
      <c r="J74" s="362"/>
      <c r="K74" s="262"/>
      <c r="L74" s="262"/>
      <c r="M74" s="262"/>
      <c r="N74" s="262"/>
      <c r="O74" s="37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7"/>
    </row>
    <row r="75" spans="1:26" ht="35.25" customHeight="1">
      <c r="A75" s="101">
        <v>3.4</v>
      </c>
      <c r="B75" s="53" t="s">
        <v>214</v>
      </c>
      <c r="C75" s="87" t="s">
        <v>215</v>
      </c>
      <c r="D75" s="216" t="s">
        <v>183</v>
      </c>
      <c r="E75" s="200">
        <f t="shared" si="0"/>
        <v>0</v>
      </c>
      <c r="F75" s="392"/>
      <c r="G75" s="362"/>
      <c r="H75" s="362"/>
      <c r="I75" s="362"/>
      <c r="J75" s="362"/>
      <c r="K75" s="262"/>
      <c r="L75" s="262"/>
      <c r="M75" s="262"/>
      <c r="N75" s="262"/>
      <c r="O75" s="37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7"/>
    </row>
    <row r="76" spans="1:26" ht="14.25" customHeight="1">
      <c r="A76" s="101">
        <v>3.5</v>
      </c>
      <c r="B76" s="53" t="s">
        <v>216</v>
      </c>
      <c r="C76" s="87" t="s">
        <v>217</v>
      </c>
      <c r="D76" s="216" t="s">
        <v>183</v>
      </c>
      <c r="E76" s="200">
        <f t="shared" si="0"/>
        <v>0</v>
      </c>
      <c r="F76" s="392"/>
      <c r="G76" s="371"/>
      <c r="H76" s="371"/>
      <c r="I76" s="362"/>
      <c r="J76" s="375"/>
      <c r="K76" s="262"/>
      <c r="L76" s="261"/>
      <c r="M76" s="261"/>
      <c r="N76" s="261"/>
      <c r="O76" s="372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7"/>
    </row>
    <row r="77" spans="1:26" ht="18.75" customHeight="1">
      <c r="A77" s="46">
        <v>4</v>
      </c>
      <c r="B77" s="64" t="s">
        <v>218</v>
      </c>
      <c r="C77" s="64" t="s">
        <v>219</v>
      </c>
      <c r="D77" s="216" t="s">
        <v>183</v>
      </c>
      <c r="E77" s="200">
        <f t="shared" si="0"/>
        <v>0</v>
      </c>
      <c r="F77" s="392"/>
      <c r="G77" s="371"/>
      <c r="H77" s="371"/>
      <c r="I77" s="362"/>
      <c r="J77" s="362"/>
      <c r="K77" s="262"/>
      <c r="L77" s="261"/>
      <c r="M77" s="261"/>
      <c r="N77" s="261"/>
      <c r="O77" s="372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7"/>
    </row>
    <row r="78" spans="1:26" ht="31.5" customHeight="1">
      <c r="A78" s="101">
        <v>4.0999999999999996</v>
      </c>
      <c r="B78" s="92" t="s">
        <v>221</v>
      </c>
      <c r="C78" s="87" t="s">
        <v>222</v>
      </c>
      <c r="D78" s="125" t="s">
        <v>132</v>
      </c>
      <c r="E78" s="200">
        <f t="shared" si="0"/>
        <v>0</v>
      </c>
      <c r="F78" s="392"/>
      <c r="G78" s="371"/>
      <c r="H78" s="371"/>
      <c r="I78" s="362"/>
      <c r="J78" s="362"/>
      <c r="K78" s="262"/>
      <c r="L78" s="261"/>
      <c r="M78" s="261"/>
      <c r="N78" s="261"/>
      <c r="O78" s="372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7"/>
    </row>
    <row r="79" spans="1:26" ht="18.75" customHeight="1">
      <c r="A79" s="118" t="s">
        <v>224</v>
      </c>
      <c r="B79" s="93" t="s">
        <v>225</v>
      </c>
      <c r="C79" s="113" t="s">
        <v>131</v>
      </c>
      <c r="D79" s="61" t="s">
        <v>132</v>
      </c>
      <c r="E79" s="200">
        <f t="shared" si="0"/>
        <v>0</v>
      </c>
      <c r="F79" s="392"/>
      <c r="G79" s="371"/>
      <c r="H79" s="371"/>
      <c r="I79" s="362"/>
      <c r="J79" s="362"/>
      <c r="K79" s="262"/>
      <c r="L79" s="261"/>
      <c r="M79" s="261"/>
      <c r="N79" s="261"/>
      <c r="O79" s="372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7"/>
    </row>
    <row r="80" spans="1:26" ht="18.75" customHeight="1">
      <c r="A80" s="118" t="s">
        <v>226</v>
      </c>
      <c r="B80" s="93" t="s">
        <v>227</v>
      </c>
      <c r="C80" s="113" t="s">
        <v>200</v>
      </c>
      <c r="D80" s="61" t="s">
        <v>132</v>
      </c>
      <c r="E80" s="200">
        <f t="shared" si="0"/>
        <v>0</v>
      </c>
      <c r="F80" s="392"/>
      <c r="G80" s="371"/>
      <c r="H80" s="371"/>
      <c r="I80" s="362"/>
      <c r="J80" s="362"/>
      <c r="K80" s="262"/>
      <c r="L80" s="261"/>
      <c r="M80" s="261"/>
      <c r="N80" s="261"/>
      <c r="O80" s="372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7"/>
    </row>
    <row r="81" spans="1:26" ht="18.75" customHeight="1">
      <c r="A81" s="118" t="s">
        <v>228</v>
      </c>
      <c r="B81" s="93" t="s">
        <v>229</v>
      </c>
      <c r="C81" s="113" t="s">
        <v>203</v>
      </c>
      <c r="D81" s="61" t="s">
        <v>132</v>
      </c>
      <c r="E81" s="200">
        <f t="shared" si="0"/>
        <v>0</v>
      </c>
      <c r="F81" s="392"/>
      <c r="G81" s="371"/>
      <c r="H81" s="371"/>
      <c r="I81" s="362"/>
      <c r="J81" s="362"/>
      <c r="K81" s="262"/>
      <c r="L81" s="261"/>
      <c r="M81" s="261"/>
      <c r="N81" s="261"/>
      <c r="O81" s="372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7"/>
    </row>
    <row r="82" spans="1:26" ht="18.75" customHeight="1">
      <c r="A82" s="118" t="s">
        <v>230</v>
      </c>
      <c r="B82" s="93" t="s">
        <v>231</v>
      </c>
      <c r="C82" s="113" t="s">
        <v>159</v>
      </c>
      <c r="D82" s="61" t="s">
        <v>132</v>
      </c>
      <c r="E82" s="200">
        <f t="shared" si="0"/>
        <v>0</v>
      </c>
      <c r="F82" s="392"/>
      <c r="G82" s="371"/>
      <c r="H82" s="371"/>
      <c r="I82" s="362"/>
      <c r="J82" s="362"/>
      <c r="K82" s="262"/>
      <c r="L82" s="261"/>
      <c r="M82" s="261"/>
      <c r="N82" s="261"/>
      <c r="O82" s="372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7"/>
    </row>
    <row r="83" spans="1:26" ht="31.5" customHeight="1">
      <c r="A83" s="101">
        <v>4.2</v>
      </c>
      <c r="B83" s="92" t="s">
        <v>227</v>
      </c>
      <c r="C83" s="87" t="s">
        <v>232</v>
      </c>
      <c r="D83" s="125" t="s">
        <v>132</v>
      </c>
      <c r="E83" s="200">
        <f t="shared" si="0"/>
        <v>0</v>
      </c>
      <c r="F83" s="392"/>
      <c r="G83" s="371"/>
      <c r="H83" s="371"/>
      <c r="I83" s="362"/>
      <c r="J83" s="362"/>
      <c r="K83" s="262"/>
      <c r="L83" s="261"/>
      <c r="M83" s="261"/>
      <c r="N83" s="261"/>
      <c r="O83" s="372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7"/>
    </row>
    <row r="84" spans="1:26" ht="18.75" customHeight="1">
      <c r="A84" s="42" t="s">
        <v>233</v>
      </c>
      <c r="B84" s="93" t="s">
        <v>234</v>
      </c>
      <c r="C84" s="113" t="s">
        <v>170</v>
      </c>
      <c r="D84" s="61" t="s">
        <v>132</v>
      </c>
      <c r="E84" s="200">
        <f t="shared" si="0"/>
        <v>0</v>
      </c>
      <c r="F84" s="392"/>
      <c r="G84" s="371"/>
      <c r="H84" s="371"/>
      <c r="I84" s="362"/>
      <c r="J84" s="362"/>
      <c r="K84" s="262"/>
      <c r="L84" s="261"/>
      <c r="M84" s="261"/>
      <c r="N84" s="261"/>
      <c r="O84" s="372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7"/>
    </row>
    <row r="85" spans="1:26" ht="18.75" customHeight="1">
      <c r="A85" s="42" t="s">
        <v>235</v>
      </c>
      <c r="B85" s="93" t="s">
        <v>236</v>
      </c>
      <c r="C85" s="113" t="s">
        <v>174</v>
      </c>
      <c r="D85" s="61" t="s">
        <v>132</v>
      </c>
      <c r="E85" s="200">
        <f t="shared" si="0"/>
        <v>0</v>
      </c>
      <c r="F85" s="392"/>
      <c r="G85" s="371"/>
      <c r="H85" s="371"/>
      <c r="I85" s="362"/>
      <c r="J85" s="362"/>
      <c r="K85" s="262"/>
      <c r="L85" s="261"/>
      <c r="M85" s="261"/>
      <c r="N85" s="261"/>
      <c r="O85" s="372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7"/>
    </row>
    <row r="86" spans="1:26" ht="18.75" customHeight="1">
      <c r="A86" s="42" t="s">
        <v>237</v>
      </c>
      <c r="B86" s="93" t="s">
        <v>238</v>
      </c>
      <c r="C86" s="113" t="s">
        <v>177</v>
      </c>
      <c r="D86" s="61" t="s">
        <v>132</v>
      </c>
      <c r="E86" s="200">
        <f t="shared" si="0"/>
        <v>0</v>
      </c>
      <c r="F86" s="392"/>
      <c r="G86" s="371"/>
      <c r="H86" s="371"/>
      <c r="I86" s="362"/>
      <c r="J86" s="362"/>
      <c r="K86" s="262"/>
      <c r="L86" s="261"/>
      <c r="M86" s="261"/>
      <c r="N86" s="261"/>
      <c r="O86" s="372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7"/>
    </row>
    <row r="87" spans="1:26" ht="18.75" customHeight="1">
      <c r="A87" s="101">
        <v>4.3</v>
      </c>
      <c r="B87" s="92" t="s">
        <v>239</v>
      </c>
      <c r="C87" s="87" t="s">
        <v>240</v>
      </c>
      <c r="D87" s="216" t="s">
        <v>183</v>
      </c>
      <c r="E87" s="200">
        <f t="shared" si="0"/>
        <v>0</v>
      </c>
      <c r="F87" s="392"/>
      <c r="G87" s="362"/>
      <c r="H87" s="362"/>
      <c r="I87" s="362"/>
      <c r="J87" s="362"/>
      <c r="K87" s="262"/>
      <c r="L87" s="262"/>
      <c r="M87" s="262"/>
      <c r="N87" s="262"/>
      <c r="O87" s="37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7"/>
    </row>
    <row r="88" spans="1:26" ht="31.5" customHeight="1">
      <c r="A88" s="101">
        <v>4.4000000000000004</v>
      </c>
      <c r="B88" s="92" t="s">
        <v>241</v>
      </c>
      <c r="C88" s="87" t="s">
        <v>242</v>
      </c>
      <c r="D88" s="216" t="s">
        <v>183</v>
      </c>
      <c r="E88" s="200">
        <f t="shared" si="0"/>
        <v>0</v>
      </c>
      <c r="F88" s="392"/>
      <c r="G88" s="362"/>
      <c r="H88" s="362"/>
      <c r="I88" s="362"/>
      <c r="J88" s="362"/>
      <c r="K88" s="262"/>
      <c r="L88" s="262"/>
      <c r="M88" s="262"/>
      <c r="N88" s="262"/>
      <c r="O88" s="37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7"/>
    </row>
    <row r="89" spans="1:26" ht="18.75" customHeight="1">
      <c r="A89" s="101">
        <v>4.5</v>
      </c>
      <c r="B89" s="53" t="s">
        <v>243</v>
      </c>
      <c r="C89" s="87" t="s">
        <v>244</v>
      </c>
      <c r="D89" s="216" t="s">
        <v>183</v>
      </c>
      <c r="E89" s="200">
        <f t="shared" si="0"/>
        <v>0</v>
      </c>
      <c r="F89" s="392"/>
      <c r="G89" s="371"/>
      <c r="H89" s="371"/>
      <c r="I89" s="362"/>
      <c r="J89" s="362"/>
      <c r="K89" s="262"/>
      <c r="L89" s="261"/>
      <c r="M89" s="261"/>
      <c r="N89" s="261"/>
      <c r="O89" s="372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7"/>
    </row>
    <row r="90" spans="1:26" ht="18.75" customHeight="1">
      <c r="A90" s="46">
        <v>5</v>
      </c>
      <c r="B90" s="64" t="s">
        <v>245</v>
      </c>
      <c r="C90" s="64" t="s">
        <v>246</v>
      </c>
      <c r="D90" s="216" t="s">
        <v>183</v>
      </c>
      <c r="E90" s="200">
        <f t="shared" si="0"/>
        <v>0</v>
      </c>
      <c r="F90" s="392"/>
      <c r="G90" s="371"/>
      <c r="H90" s="371"/>
      <c r="I90" s="362"/>
      <c r="J90" s="362"/>
      <c r="K90" s="262"/>
      <c r="L90" s="261"/>
      <c r="M90" s="261"/>
      <c r="N90" s="261"/>
      <c r="O90" s="372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7"/>
    </row>
    <row r="91" spans="1:26" ht="18.75" customHeight="1">
      <c r="A91" s="101">
        <v>5.0999999999999996</v>
      </c>
      <c r="B91" s="53" t="s">
        <v>248</v>
      </c>
      <c r="C91" s="87" t="s">
        <v>249</v>
      </c>
      <c r="D91" s="61" t="s">
        <v>132</v>
      </c>
      <c r="E91" s="200">
        <f t="shared" si="0"/>
        <v>0</v>
      </c>
      <c r="F91" s="392"/>
      <c r="G91" s="371"/>
      <c r="H91" s="371"/>
      <c r="I91" s="362"/>
      <c r="J91" s="362"/>
      <c r="K91" s="262"/>
      <c r="L91" s="261"/>
      <c r="M91" s="261"/>
      <c r="N91" s="261"/>
      <c r="O91" s="372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7"/>
    </row>
    <row r="92" spans="1:26" ht="18.75" customHeight="1">
      <c r="A92" s="118" t="s">
        <v>982</v>
      </c>
      <c r="B92" s="94" t="s">
        <v>248</v>
      </c>
      <c r="C92" s="113" t="s">
        <v>131</v>
      </c>
      <c r="D92" s="61" t="s">
        <v>132</v>
      </c>
      <c r="E92" s="200">
        <f t="shared" si="0"/>
        <v>0</v>
      </c>
      <c r="F92" s="392"/>
      <c r="G92" s="371"/>
      <c r="H92" s="371"/>
      <c r="I92" s="362"/>
      <c r="J92" s="362"/>
      <c r="K92" s="262"/>
      <c r="L92" s="261"/>
      <c r="M92" s="261"/>
      <c r="N92" s="261"/>
      <c r="O92" s="372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7"/>
    </row>
    <row r="93" spans="1:26" ht="18.75" customHeight="1">
      <c r="A93" s="118" t="s">
        <v>983</v>
      </c>
      <c r="B93" s="94" t="s">
        <v>251</v>
      </c>
      <c r="C93" s="113" t="s">
        <v>200</v>
      </c>
      <c r="D93" s="61" t="s">
        <v>132</v>
      </c>
      <c r="E93" s="200">
        <f t="shared" si="0"/>
        <v>0</v>
      </c>
      <c r="F93" s="392"/>
      <c r="G93" s="371"/>
      <c r="H93" s="371"/>
      <c r="I93" s="362"/>
      <c r="J93" s="362"/>
      <c r="K93" s="262"/>
      <c r="L93" s="261"/>
      <c r="M93" s="261"/>
      <c r="N93" s="261"/>
      <c r="O93" s="372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7"/>
    </row>
    <row r="94" spans="1:26" ht="18.75" customHeight="1">
      <c r="A94" s="118" t="s">
        <v>984</v>
      </c>
      <c r="B94" s="94" t="s">
        <v>252</v>
      </c>
      <c r="C94" s="113" t="s">
        <v>203</v>
      </c>
      <c r="D94" s="61" t="s">
        <v>132</v>
      </c>
      <c r="E94" s="200">
        <f t="shared" si="0"/>
        <v>0</v>
      </c>
      <c r="F94" s="392"/>
      <c r="G94" s="371"/>
      <c r="H94" s="371"/>
      <c r="I94" s="362"/>
      <c r="J94" s="362"/>
      <c r="K94" s="262"/>
      <c r="L94" s="261"/>
      <c r="M94" s="261"/>
      <c r="N94" s="261"/>
      <c r="O94" s="372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7"/>
    </row>
    <row r="95" spans="1:26" ht="18.75" customHeight="1">
      <c r="A95" s="118" t="s">
        <v>985</v>
      </c>
      <c r="B95" s="94" t="s">
        <v>253</v>
      </c>
      <c r="C95" s="113" t="s">
        <v>159</v>
      </c>
      <c r="D95" s="61" t="s">
        <v>132</v>
      </c>
      <c r="E95" s="200">
        <f t="shared" si="0"/>
        <v>0</v>
      </c>
      <c r="F95" s="392"/>
      <c r="G95" s="371"/>
      <c r="H95" s="371"/>
      <c r="I95" s="362"/>
      <c r="J95" s="362"/>
      <c r="K95" s="262"/>
      <c r="L95" s="261"/>
      <c r="M95" s="261"/>
      <c r="N95" s="261"/>
      <c r="O95" s="372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7"/>
    </row>
    <row r="96" spans="1:26" ht="31.5" customHeight="1">
      <c r="A96" s="101">
        <v>5.2</v>
      </c>
      <c r="B96" s="53" t="s">
        <v>251</v>
      </c>
      <c r="C96" s="87" t="s">
        <v>254</v>
      </c>
      <c r="D96" s="61" t="s">
        <v>132</v>
      </c>
      <c r="E96" s="200">
        <f t="shared" si="0"/>
        <v>0</v>
      </c>
      <c r="F96" s="392"/>
      <c r="G96" s="371"/>
      <c r="H96" s="371"/>
      <c r="I96" s="362"/>
      <c r="J96" s="362"/>
      <c r="K96" s="262"/>
      <c r="L96" s="261"/>
      <c r="M96" s="261"/>
      <c r="N96" s="261"/>
      <c r="O96" s="372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7"/>
    </row>
    <row r="97" spans="1:26" ht="18.75" customHeight="1">
      <c r="A97" s="118" t="s">
        <v>256</v>
      </c>
      <c r="B97" s="94" t="s">
        <v>257</v>
      </c>
      <c r="C97" s="113" t="s">
        <v>131</v>
      </c>
      <c r="D97" s="61" t="s">
        <v>132</v>
      </c>
      <c r="E97" s="200">
        <f t="shared" si="0"/>
        <v>0</v>
      </c>
      <c r="F97" s="392"/>
      <c r="G97" s="371"/>
      <c r="H97" s="371"/>
      <c r="I97" s="362"/>
      <c r="J97" s="362"/>
      <c r="K97" s="262"/>
      <c r="L97" s="261"/>
      <c r="M97" s="261"/>
      <c r="N97" s="261"/>
      <c r="O97" s="372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7"/>
    </row>
    <row r="98" spans="1:26" ht="18.75" customHeight="1">
      <c r="A98" s="118" t="s">
        <v>258</v>
      </c>
      <c r="B98" s="94" t="s">
        <v>259</v>
      </c>
      <c r="C98" s="113" t="s">
        <v>200</v>
      </c>
      <c r="D98" s="61" t="s">
        <v>132</v>
      </c>
      <c r="E98" s="200">
        <f t="shared" si="0"/>
        <v>0</v>
      </c>
      <c r="F98" s="392"/>
      <c r="G98" s="371"/>
      <c r="H98" s="371"/>
      <c r="I98" s="362"/>
      <c r="J98" s="362"/>
      <c r="K98" s="262"/>
      <c r="L98" s="261"/>
      <c r="M98" s="261"/>
      <c r="N98" s="261"/>
      <c r="O98" s="372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7"/>
    </row>
    <row r="99" spans="1:26" ht="18.75" customHeight="1">
      <c r="A99" s="118" t="s">
        <v>260</v>
      </c>
      <c r="B99" s="94" t="s">
        <v>261</v>
      </c>
      <c r="C99" s="113" t="s">
        <v>203</v>
      </c>
      <c r="D99" s="61" t="s">
        <v>132</v>
      </c>
      <c r="E99" s="200">
        <f t="shared" si="0"/>
        <v>0</v>
      </c>
      <c r="F99" s="392"/>
      <c r="G99" s="371"/>
      <c r="H99" s="371"/>
      <c r="I99" s="362"/>
      <c r="J99" s="362"/>
      <c r="K99" s="262"/>
      <c r="L99" s="261"/>
      <c r="M99" s="261"/>
      <c r="N99" s="261"/>
      <c r="O99" s="372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7"/>
    </row>
    <row r="100" spans="1:26" ht="18.75" customHeight="1">
      <c r="A100" s="118" t="s">
        <v>262</v>
      </c>
      <c r="B100" s="94" t="s">
        <v>263</v>
      </c>
      <c r="C100" s="113" t="s">
        <v>159</v>
      </c>
      <c r="D100" s="61" t="s">
        <v>132</v>
      </c>
      <c r="E100" s="200">
        <f t="shared" si="0"/>
        <v>0</v>
      </c>
      <c r="F100" s="392"/>
      <c r="G100" s="371"/>
      <c r="H100" s="371"/>
      <c r="I100" s="362"/>
      <c r="J100" s="362"/>
      <c r="K100" s="262"/>
      <c r="L100" s="261"/>
      <c r="M100" s="261"/>
      <c r="N100" s="261"/>
      <c r="O100" s="372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7"/>
    </row>
    <row r="101" spans="1:26" ht="18.75" customHeight="1">
      <c r="A101" s="101">
        <v>5.3</v>
      </c>
      <c r="B101" s="53" t="s">
        <v>252</v>
      </c>
      <c r="C101" s="87" t="s">
        <v>264</v>
      </c>
      <c r="D101" s="216" t="s">
        <v>183</v>
      </c>
      <c r="E101" s="200">
        <f t="shared" si="0"/>
        <v>0</v>
      </c>
      <c r="F101" s="392"/>
      <c r="G101" s="371"/>
      <c r="H101" s="371"/>
      <c r="I101" s="362"/>
      <c r="J101" s="362"/>
      <c r="K101" s="262"/>
      <c r="L101" s="261"/>
      <c r="M101" s="261"/>
      <c r="N101" s="261"/>
      <c r="O101" s="372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7"/>
    </row>
    <row r="102" spans="1:26" ht="18.75" customHeight="1">
      <c r="A102" s="101">
        <v>5.4</v>
      </c>
      <c r="B102" s="53" t="s">
        <v>253</v>
      </c>
      <c r="C102" s="87" t="s">
        <v>265</v>
      </c>
      <c r="D102" s="216" t="s">
        <v>183</v>
      </c>
      <c r="E102" s="200">
        <f t="shared" si="0"/>
        <v>0</v>
      </c>
      <c r="F102" s="392"/>
      <c r="G102" s="371"/>
      <c r="H102" s="371"/>
      <c r="I102" s="362"/>
      <c r="J102" s="362"/>
      <c r="K102" s="262"/>
      <c r="L102" s="261"/>
      <c r="M102" s="261"/>
      <c r="N102" s="261"/>
      <c r="O102" s="372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7"/>
    </row>
    <row r="103" spans="1:26" ht="18" customHeight="1">
      <c r="A103" s="46">
        <v>6</v>
      </c>
      <c r="B103" s="64" t="s">
        <v>266</v>
      </c>
      <c r="C103" s="64" t="s">
        <v>267</v>
      </c>
      <c r="D103" s="216"/>
      <c r="E103" s="200">
        <f t="shared" si="0"/>
        <v>0</v>
      </c>
      <c r="F103" s="392"/>
      <c r="G103" s="371"/>
      <c r="H103" s="371"/>
      <c r="I103" s="362"/>
      <c r="J103" s="373"/>
      <c r="K103" s="262"/>
      <c r="L103" s="261"/>
      <c r="M103" s="261"/>
      <c r="N103" s="261"/>
      <c r="O103" s="372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7"/>
    </row>
    <row r="104" spans="1:26" ht="18.75" customHeight="1">
      <c r="A104" s="101"/>
      <c r="B104" s="53" t="s">
        <v>269</v>
      </c>
      <c r="C104" s="87" t="s">
        <v>270</v>
      </c>
      <c r="D104" s="61" t="s">
        <v>271</v>
      </c>
      <c r="E104" s="200">
        <f t="shared" si="0"/>
        <v>0</v>
      </c>
      <c r="F104" s="392"/>
      <c r="G104" s="373"/>
      <c r="H104" s="371"/>
      <c r="I104" s="373"/>
      <c r="J104" s="362"/>
      <c r="K104" s="273"/>
      <c r="L104" s="261"/>
      <c r="M104" s="261"/>
      <c r="N104" s="261"/>
      <c r="O104" s="372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7"/>
    </row>
    <row r="105" spans="1:26" ht="18.75" customHeight="1">
      <c r="A105" s="222"/>
      <c r="B105" s="86" t="s">
        <v>273</v>
      </c>
      <c r="C105" s="223" t="s">
        <v>274</v>
      </c>
      <c r="D105" s="61" t="s">
        <v>271</v>
      </c>
      <c r="E105" s="200">
        <f t="shared" si="0"/>
        <v>0</v>
      </c>
      <c r="F105" s="392"/>
      <c r="G105" s="362"/>
      <c r="H105" s="362"/>
      <c r="I105" s="362"/>
      <c r="J105" s="362"/>
      <c r="K105" s="270"/>
      <c r="L105" s="262"/>
      <c r="M105" s="262"/>
      <c r="N105" s="262"/>
      <c r="O105" s="37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7"/>
    </row>
    <row r="106" spans="1:26" ht="18.75" customHeight="1">
      <c r="A106" s="42"/>
      <c r="B106" s="59" t="s">
        <v>275</v>
      </c>
      <c r="C106" s="113" t="s">
        <v>131</v>
      </c>
      <c r="D106" s="61" t="s">
        <v>271</v>
      </c>
      <c r="E106" s="200">
        <f t="shared" si="0"/>
        <v>0</v>
      </c>
      <c r="F106" s="392"/>
      <c r="G106" s="362"/>
      <c r="H106" s="362"/>
      <c r="I106" s="362"/>
      <c r="J106" s="362"/>
      <c r="K106" s="270"/>
      <c r="L106" s="262"/>
      <c r="M106" s="262"/>
      <c r="N106" s="262"/>
      <c r="O106" s="37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7"/>
    </row>
    <row r="107" spans="1:26" ht="18.75" customHeight="1">
      <c r="A107" s="42"/>
      <c r="B107" s="59" t="s">
        <v>276</v>
      </c>
      <c r="C107" s="113" t="s">
        <v>200</v>
      </c>
      <c r="D107" s="61" t="s">
        <v>271</v>
      </c>
      <c r="E107" s="200">
        <f t="shared" si="0"/>
        <v>0</v>
      </c>
      <c r="F107" s="392"/>
      <c r="G107" s="362"/>
      <c r="H107" s="362"/>
      <c r="I107" s="362"/>
      <c r="J107" s="362"/>
      <c r="K107" s="270"/>
      <c r="L107" s="262"/>
      <c r="M107" s="262"/>
      <c r="N107" s="262"/>
      <c r="O107" s="37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7"/>
    </row>
    <row r="108" spans="1:26" ht="18.75" customHeight="1">
      <c r="A108" s="42"/>
      <c r="B108" s="59" t="s">
        <v>277</v>
      </c>
      <c r="C108" s="113" t="s">
        <v>203</v>
      </c>
      <c r="D108" s="61" t="s">
        <v>271</v>
      </c>
      <c r="E108" s="200">
        <f t="shared" si="0"/>
        <v>0</v>
      </c>
      <c r="F108" s="392"/>
      <c r="G108" s="362"/>
      <c r="H108" s="362"/>
      <c r="I108" s="362"/>
      <c r="J108" s="362"/>
      <c r="K108" s="270"/>
      <c r="L108" s="262"/>
      <c r="M108" s="262"/>
      <c r="N108" s="262"/>
      <c r="O108" s="37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7"/>
    </row>
    <row r="109" spans="1:26" ht="18.75" customHeight="1">
      <c r="A109" s="42"/>
      <c r="B109" s="59" t="s">
        <v>278</v>
      </c>
      <c r="C109" s="113" t="s">
        <v>159</v>
      </c>
      <c r="D109" s="61" t="s">
        <v>271</v>
      </c>
      <c r="E109" s="200">
        <f t="shared" si="0"/>
        <v>0</v>
      </c>
      <c r="F109" s="392"/>
      <c r="G109" s="362"/>
      <c r="H109" s="362"/>
      <c r="I109" s="362"/>
      <c r="J109" s="362"/>
      <c r="K109" s="270"/>
      <c r="L109" s="262"/>
      <c r="M109" s="262"/>
      <c r="N109" s="262"/>
      <c r="O109" s="37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7"/>
    </row>
    <row r="110" spans="1:26" ht="18.75" customHeight="1">
      <c r="A110" s="222"/>
      <c r="B110" s="86" t="s">
        <v>279</v>
      </c>
      <c r="C110" s="223" t="s">
        <v>280</v>
      </c>
      <c r="D110" s="61" t="s">
        <v>271</v>
      </c>
      <c r="E110" s="200">
        <f t="shared" si="0"/>
        <v>0</v>
      </c>
      <c r="F110" s="392"/>
      <c r="G110" s="362"/>
      <c r="H110" s="362"/>
      <c r="I110" s="362"/>
      <c r="J110" s="362"/>
      <c r="K110" s="270"/>
      <c r="L110" s="262"/>
      <c r="M110" s="262"/>
      <c r="N110" s="262"/>
      <c r="O110" s="37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7"/>
    </row>
    <row r="111" spans="1:26" ht="18.75" customHeight="1">
      <c r="A111" s="118"/>
      <c r="B111" s="59" t="s">
        <v>281</v>
      </c>
      <c r="C111" s="113" t="s">
        <v>131</v>
      </c>
      <c r="D111" s="61" t="s">
        <v>271</v>
      </c>
      <c r="E111" s="200">
        <f t="shared" si="0"/>
        <v>0</v>
      </c>
      <c r="F111" s="392"/>
      <c r="G111" s="362"/>
      <c r="H111" s="362"/>
      <c r="I111" s="362"/>
      <c r="J111" s="362"/>
      <c r="K111" s="270"/>
      <c r="L111" s="262"/>
      <c r="M111" s="262"/>
      <c r="N111" s="262"/>
      <c r="O111" s="37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7"/>
    </row>
    <row r="112" spans="1:26" ht="18.75" customHeight="1">
      <c r="A112" s="118"/>
      <c r="B112" s="59" t="s">
        <v>282</v>
      </c>
      <c r="C112" s="113" t="s">
        <v>200</v>
      </c>
      <c r="D112" s="61" t="s">
        <v>271</v>
      </c>
      <c r="E112" s="200">
        <f t="shared" si="0"/>
        <v>0</v>
      </c>
      <c r="F112" s="392"/>
      <c r="G112" s="362"/>
      <c r="H112" s="362"/>
      <c r="I112" s="362"/>
      <c r="J112" s="362"/>
      <c r="K112" s="270"/>
      <c r="L112" s="262"/>
      <c r="M112" s="262"/>
      <c r="N112" s="262"/>
      <c r="O112" s="37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7"/>
    </row>
    <row r="113" spans="1:26" ht="18.75" customHeight="1">
      <c r="A113" s="118"/>
      <c r="B113" s="59" t="s">
        <v>283</v>
      </c>
      <c r="C113" s="113" t="s">
        <v>203</v>
      </c>
      <c r="D113" s="61" t="s">
        <v>271</v>
      </c>
      <c r="E113" s="200">
        <f t="shared" si="0"/>
        <v>0</v>
      </c>
      <c r="F113" s="392"/>
      <c r="G113" s="362"/>
      <c r="H113" s="362"/>
      <c r="I113" s="362"/>
      <c r="J113" s="362"/>
      <c r="K113" s="270"/>
      <c r="L113" s="262"/>
      <c r="M113" s="262"/>
      <c r="N113" s="262"/>
      <c r="O113" s="37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7"/>
    </row>
    <row r="114" spans="1:26" ht="18.75" customHeight="1">
      <c r="A114" s="118"/>
      <c r="B114" s="59" t="s">
        <v>284</v>
      </c>
      <c r="C114" s="113" t="s">
        <v>159</v>
      </c>
      <c r="D114" s="61" t="s">
        <v>271</v>
      </c>
      <c r="E114" s="200">
        <f t="shared" si="0"/>
        <v>0</v>
      </c>
      <c r="F114" s="392"/>
      <c r="G114" s="362"/>
      <c r="H114" s="362"/>
      <c r="I114" s="362"/>
      <c r="J114" s="362"/>
      <c r="K114" s="270"/>
      <c r="L114" s="262"/>
      <c r="M114" s="262"/>
      <c r="N114" s="262"/>
      <c r="O114" s="37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7"/>
    </row>
    <row r="115" spans="1:26" ht="18.75" customHeight="1">
      <c r="A115" s="101"/>
      <c r="B115" s="53" t="s">
        <v>285</v>
      </c>
      <c r="C115" s="87" t="s">
        <v>286</v>
      </c>
      <c r="D115" s="61" t="s">
        <v>271</v>
      </c>
      <c r="E115" s="200">
        <f t="shared" si="0"/>
        <v>0</v>
      </c>
      <c r="F115" s="392"/>
      <c r="G115" s="362"/>
      <c r="H115" s="362"/>
      <c r="I115" s="362"/>
      <c r="J115" s="362"/>
      <c r="K115" s="270"/>
      <c r="L115" s="262"/>
      <c r="M115" s="262"/>
      <c r="N115" s="262"/>
      <c r="O115" s="37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7"/>
    </row>
    <row r="116" spans="1:26" ht="18.75" customHeight="1">
      <c r="A116" s="222"/>
      <c r="B116" s="86" t="s">
        <v>287</v>
      </c>
      <c r="C116" s="223" t="s">
        <v>288</v>
      </c>
      <c r="D116" s="61" t="s">
        <v>271</v>
      </c>
      <c r="E116" s="200">
        <f t="shared" si="0"/>
        <v>0</v>
      </c>
      <c r="F116" s="392"/>
      <c r="G116" s="362"/>
      <c r="H116" s="362"/>
      <c r="I116" s="362"/>
      <c r="J116" s="362"/>
      <c r="K116" s="270"/>
      <c r="L116" s="262"/>
      <c r="M116" s="262"/>
      <c r="N116" s="262"/>
      <c r="O116" s="37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7"/>
    </row>
    <row r="117" spans="1:26" ht="18.75" customHeight="1">
      <c r="A117" s="42"/>
      <c r="B117" s="59" t="s">
        <v>289</v>
      </c>
      <c r="C117" s="113" t="s">
        <v>131</v>
      </c>
      <c r="D117" s="61" t="s">
        <v>271</v>
      </c>
      <c r="E117" s="200">
        <f t="shared" si="0"/>
        <v>0</v>
      </c>
      <c r="F117" s="392"/>
      <c r="G117" s="362"/>
      <c r="H117" s="362"/>
      <c r="I117" s="362"/>
      <c r="J117" s="362"/>
      <c r="K117" s="270"/>
      <c r="L117" s="262"/>
      <c r="M117" s="262"/>
      <c r="N117" s="262"/>
      <c r="O117" s="37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7"/>
    </row>
    <row r="118" spans="1:26" ht="18.75" customHeight="1">
      <c r="A118" s="42"/>
      <c r="B118" s="59" t="s">
        <v>290</v>
      </c>
      <c r="C118" s="113" t="s">
        <v>200</v>
      </c>
      <c r="D118" s="61" t="s">
        <v>271</v>
      </c>
      <c r="E118" s="200">
        <f t="shared" si="0"/>
        <v>0</v>
      </c>
      <c r="F118" s="392"/>
      <c r="G118" s="362"/>
      <c r="H118" s="362"/>
      <c r="I118" s="362"/>
      <c r="J118" s="362"/>
      <c r="K118" s="270"/>
      <c r="L118" s="262"/>
      <c r="M118" s="262"/>
      <c r="N118" s="262"/>
      <c r="O118" s="37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7"/>
    </row>
    <row r="119" spans="1:26" ht="18.75" customHeight="1">
      <c r="A119" s="42"/>
      <c r="B119" s="59" t="s">
        <v>291</v>
      </c>
      <c r="C119" s="113" t="s">
        <v>203</v>
      </c>
      <c r="D119" s="61" t="s">
        <v>271</v>
      </c>
      <c r="E119" s="200">
        <f t="shared" si="0"/>
        <v>0</v>
      </c>
      <c r="F119" s="392"/>
      <c r="G119" s="362"/>
      <c r="H119" s="362"/>
      <c r="I119" s="362"/>
      <c r="J119" s="362"/>
      <c r="K119" s="270"/>
      <c r="L119" s="262"/>
      <c r="M119" s="262"/>
      <c r="N119" s="262"/>
      <c r="O119" s="37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7"/>
    </row>
    <row r="120" spans="1:26" ht="18.75" customHeight="1">
      <c r="A120" s="42"/>
      <c r="B120" s="59" t="s">
        <v>292</v>
      </c>
      <c r="C120" s="113" t="s">
        <v>159</v>
      </c>
      <c r="D120" s="61" t="s">
        <v>271</v>
      </c>
      <c r="E120" s="200">
        <f t="shared" si="0"/>
        <v>0</v>
      </c>
      <c r="F120" s="392"/>
      <c r="G120" s="362"/>
      <c r="H120" s="362"/>
      <c r="I120" s="362"/>
      <c r="J120" s="362"/>
      <c r="K120" s="270"/>
      <c r="L120" s="262"/>
      <c r="M120" s="262"/>
      <c r="N120" s="262"/>
      <c r="O120" s="37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7"/>
    </row>
    <row r="121" spans="1:26" ht="18.75" customHeight="1">
      <c r="A121" s="222"/>
      <c r="B121" s="86" t="s">
        <v>293</v>
      </c>
      <c r="C121" s="223" t="s">
        <v>294</v>
      </c>
      <c r="D121" s="61" t="s">
        <v>271</v>
      </c>
      <c r="E121" s="200">
        <f t="shared" si="0"/>
        <v>0</v>
      </c>
      <c r="F121" s="392"/>
      <c r="G121" s="362"/>
      <c r="H121" s="362"/>
      <c r="I121" s="362"/>
      <c r="J121" s="362"/>
      <c r="K121" s="270"/>
      <c r="L121" s="262"/>
      <c r="M121" s="262"/>
      <c r="N121" s="262"/>
      <c r="O121" s="37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7"/>
    </row>
    <row r="122" spans="1:26" ht="18.75" customHeight="1">
      <c r="A122" s="42"/>
      <c r="B122" s="59" t="s">
        <v>295</v>
      </c>
      <c r="C122" s="113" t="s">
        <v>131</v>
      </c>
      <c r="D122" s="61" t="s">
        <v>271</v>
      </c>
      <c r="E122" s="200">
        <f t="shared" si="0"/>
        <v>0</v>
      </c>
      <c r="F122" s="392"/>
      <c r="G122" s="362"/>
      <c r="H122" s="362"/>
      <c r="I122" s="362"/>
      <c r="J122" s="362"/>
      <c r="K122" s="270"/>
      <c r="L122" s="262"/>
      <c r="M122" s="262"/>
      <c r="N122" s="262"/>
      <c r="O122" s="37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7"/>
    </row>
    <row r="123" spans="1:26" ht="18.75" customHeight="1">
      <c r="A123" s="42"/>
      <c r="B123" s="59" t="s">
        <v>296</v>
      </c>
      <c r="C123" s="113" t="s">
        <v>200</v>
      </c>
      <c r="D123" s="61" t="s">
        <v>271</v>
      </c>
      <c r="E123" s="200">
        <f t="shared" si="0"/>
        <v>0</v>
      </c>
      <c r="F123" s="392"/>
      <c r="G123" s="362"/>
      <c r="H123" s="362"/>
      <c r="I123" s="362"/>
      <c r="J123" s="362"/>
      <c r="K123" s="270"/>
      <c r="L123" s="262"/>
      <c r="M123" s="262"/>
      <c r="N123" s="262"/>
      <c r="O123" s="37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7"/>
    </row>
    <row r="124" spans="1:26" ht="18.75" customHeight="1">
      <c r="A124" s="42"/>
      <c r="B124" s="59" t="s">
        <v>297</v>
      </c>
      <c r="C124" s="113" t="s">
        <v>203</v>
      </c>
      <c r="D124" s="61" t="s">
        <v>271</v>
      </c>
      <c r="E124" s="200">
        <f t="shared" si="0"/>
        <v>0</v>
      </c>
      <c r="F124" s="392"/>
      <c r="G124" s="362"/>
      <c r="H124" s="362"/>
      <c r="I124" s="362"/>
      <c r="J124" s="362"/>
      <c r="K124" s="270"/>
      <c r="L124" s="262"/>
      <c r="M124" s="262"/>
      <c r="N124" s="262"/>
      <c r="O124" s="37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7"/>
    </row>
    <row r="125" spans="1:26" ht="18.75" customHeight="1">
      <c r="A125" s="42"/>
      <c r="B125" s="59" t="s">
        <v>298</v>
      </c>
      <c r="C125" s="113" t="s">
        <v>159</v>
      </c>
      <c r="D125" s="61" t="s">
        <v>271</v>
      </c>
      <c r="E125" s="200">
        <f t="shared" si="0"/>
        <v>0</v>
      </c>
      <c r="F125" s="392"/>
      <c r="G125" s="362"/>
      <c r="H125" s="362"/>
      <c r="I125" s="362"/>
      <c r="J125" s="362"/>
      <c r="K125" s="270"/>
      <c r="L125" s="262"/>
      <c r="M125" s="262"/>
      <c r="N125" s="262"/>
      <c r="O125" s="37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7"/>
    </row>
    <row r="126" spans="1:26" ht="18.75" customHeight="1">
      <c r="A126" s="101"/>
      <c r="B126" s="53" t="s">
        <v>299</v>
      </c>
      <c r="C126" s="87" t="s">
        <v>300</v>
      </c>
      <c r="D126" s="61" t="s">
        <v>271</v>
      </c>
      <c r="E126" s="200">
        <f t="shared" si="0"/>
        <v>0</v>
      </c>
      <c r="F126" s="392"/>
      <c r="G126" s="371"/>
      <c r="H126" s="371"/>
      <c r="I126" s="362"/>
      <c r="J126" s="362"/>
      <c r="K126" s="273"/>
      <c r="L126" s="261"/>
      <c r="M126" s="261"/>
      <c r="N126" s="261"/>
      <c r="O126" s="372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7"/>
    </row>
    <row r="127" spans="1:26" ht="18.75" customHeight="1">
      <c r="A127" s="118"/>
      <c r="B127" s="59" t="s">
        <v>302</v>
      </c>
      <c r="C127" s="113" t="s">
        <v>131</v>
      </c>
      <c r="D127" s="61" t="s">
        <v>271</v>
      </c>
      <c r="E127" s="200">
        <f t="shared" si="0"/>
        <v>0</v>
      </c>
      <c r="F127" s="392"/>
      <c r="G127" s="362"/>
      <c r="H127" s="362"/>
      <c r="I127" s="362"/>
      <c r="J127" s="362"/>
      <c r="K127" s="262"/>
      <c r="L127" s="262"/>
      <c r="M127" s="262"/>
      <c r="N127" s="262"/>
      <c r="O127" s="37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7"/>
    </row>
    <row r="128" spans="1:26" ht="18.75" customHeight="1">
      <c r="A128" s="118"/>
      <c r="B128" s="59" t="s">
        <v>303</v>
      </c>
      <c r="C128" s="113" t="s">
        <v>200</v>
      </c>
      <c r="D128" s="61" t="s">
        <v>271</v>
      </c>
      <c r="E128" s="200">
        <f t="shared" si="0"/>
        <v>0</v>
      </c>
      <c r="F128" s="392"/>
      <c r="G128" s="362"/>
      <c r="H128" s="362"/>
      <c r="I128" s="362"/>
      <c r="J128" s="362"/>
      <c r="K128" s="262"/>
      <c r="L128" s="262"/>
      <c r="M128" s="262"/>
      <c r="N128" s="262"/>
      <c r="O128" s="37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7"/>
    </row>
    <row r="129" spans="1:26" ht="18.75" customHeight="1">
      <c r="A129" s="118"/>
      <c r="B129" s="59" t="s">
        <v>304</v>
      </c>
      <c r="C129" s="113" t="s">
        <v>203</v>
      </c>
      <c r="D129" s="61" t="s">
        <v>271</v>
      </c>
      <c r="E129" s="200">
        <f t="shared" si="0"/>
        <v>0</v>
      </c>
      <c r="F129" s="392"/>
      <c r="G129" s="362"/>
      <c r="H129" s="362"/>
      <c r="I129" s="362"/>
      <c r="J129" s="362"/>
      <c r="K129" s="262"/>
      <c r="L129" s="262"/>
      <c r="M129" s="262"/>
      <c r="N129" s="262"/>
      <c r="O129" s="37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7"/>
    </row>
    <row r="130" spans="1:26" ht="18.75" customHeight="1">
      <c r="A130" s="118"/>
      <c r="B130" s="59" t="s">
        <v>305</v>
      </c>
      <c r="C130" s="113" t="s">
        <v>159</v>
      </c>
      <c r="D130" s="61" t="s">
        <v>271</v>
      </c>
      <c r="E130" s="200">
        <f t="shared" si="0"/>
        <v>0</v>
      </c>
      <c r="F130" s="392"/>
      <c r="G130" s="362"/>
      <c r="H130" s="362"/>
      <c r="I130" s="362"/>
      <c r="J130" s="362"/>
      <c r="K130" s="262"/>
      <c r="L130" s="262"/>
      <c r="M130" s="262"/>
      <c r="N130" s="262"/>
      <c r="O130" s="37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7"/>
    </row>
    <row r="131" spans="1:26" ht="18.75" customHeight="1">
      <c r="A131" s="101"/>
      <c r="B131" s="86" t="s">
        <v>306</v>
      </c>
      <c r="C131" s="87" t="s">
        <v>307</v>
      </c>
      <c r="D131" s="61" t="s">
        <v>308</v>
      </c>
      <c r="E131" s="200">
        <f t="shared" si="0"/>
        <v>0</v>
      </c>
      <c r="F131" s="392"/>
      <c r="G131" s="362"/>
      <c r="H131" s="362"/>
      <c r="I131" s="362"/>
      <c r="J131" s="362"/>
      <c r="K131" s="262"/>
      <c r="L131" s="262"/>
      <c r="M131" s="262"/>
      <c r="N131" s="262"/>
      <c r="O131" s="37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7"/>
    </row>
    <row r="132" spans="1:26" ht="18.75" customHeight="1">
      <c r="A132" s="118"/>
      <c r="B132" s="59" t="s">
        <v>310</v>
      </c>
      <c r="C132" s="113" t="s">
        <v>131</v>
      </c>
      <c r="D132" s="61" t="s">
        <v>308</v>
      </c>
      <c r="E132" s="200">
        <f t="shared" si="0"/>
        <v>0</v>
      </c>
      <c r="F132" s="392"/>
      <c r="G132" s="362"/>
      <c r="H132" s="362"/>
      <c r="I132" s="362"/>
      <c r="J132" s="362"/>
      <c r="K132" s="262"/>
      <c r="L132" s="262"/>
      <c r="M132" s="262"/>
      <c r="N132" s="262"/>
      <c r="O132" s="37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7"/>
    </row>
    <row r="133" spans="1:26" ht="18.75" customHeight="1">
      <c r="A133" s="118"/>
      <c r="B133" s="59" t="s">
        <v>311</v>
      </c>
      <c r="C133" s="113" t="s">
        <v>200</v>
      </c>
      <c r="D133" s="61" t="s">
        <v>308</v>
      </c>
      <c r="E133" s="200">
        <f t="shared" si="0"/>
        <v>0</v>
      </c>
      <c r="F133" s="392"/>
      <c r="G133" s="362"/>
      <c r="H133" s="362"/>
      <c r="I133" s="362"/>
      <c r="J133" s="362"/>
      <c r="K133" s="262"/>
      <c r="L133" s="262"/>
      <c r="M133" s="262"/>
      <c r="N133" s="262"/>
      <c r="O133" s="37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7"/>
    </row>
    <row r="134" spans="1:26" ht="18.75" customHeight="1">
      <c r="A134" s="118"/>
      <c r="B134" s="59" t="s">
        <v>312</v>
      </c>
      <c r="C134" s="113" t="s">
        <v>203</v>
      </c>
      <c r="D134" s="61" t="s">
        <v>308</v>
      </c>
      <c r="E134" s="200">
        <f t="shared" si="0"/>
        <v>0</v>
      </c>
      <c r="F134" s="392"/>
      <c r="G134" s="362"/>
      <c r="H134" s="362"/>
      <c r="I134" s="362"/>
      <c r="J134" s="362"/>
      <c r="K134" s="262"/>
      <c r="L134" s="262"/>
      <c r="M134" s="262"/>
      <c r="N134" s="262"/>
      <c r="O134" s="37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7"/>
    </row>
    <row r="135" spans="1:26" ht="18.75" customHeight="1">
      <c r="A135" s="118"/>
      <c r="B135" s="59" t="s">
        <v>313</v>
      </c>
      <c r="C135" s="113" t="s">
        <v>159</v>
      </c>
      <c r="D135" s="61" t="s">
        <v>308</v>
      </c>
      <c r="E135" s="200">
        <f t="shared" si="0"/>
        <v>0</v>
      </c>
      <c r="F135" s="392"/>
      <c r="G135" s="362"/>
      <c r="H135" s="362"/>
      <c r="I135" s="362"/>
      <c r="J135" s="362"/>
      <c r="K135" s="262"/>
      <c r="L135" s="262"/>
      <c r="M135" s="262"/>
      <c r="N135" s="262"/>
      <c r="O135" s="37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7"/>
    </row>
    <row r="136" spans="1:26" ht="18.75" customHeight="1">
      <c r="A136" s="101"/>
      <c r="B136" s="53" t="s">
        <v>314</v>
      </c>
      <c r="C136" s="103" t="s">
        <v>315</v>
      </c>
      <c r="D136" s="61" t="s">
        <v>271</v>
      </c>
      <c r="E136" s="200">
        <f t="shared" si="0"/>
        <v>0</v>
      </c>
      <c r="F136" s="392"/>
      <c r="G136" s="371"/>
      <c r="H136" s="371"/>
      <c r="I136" s="362"/>
      <c r="J136" s="362"/>
      <c r="K136" s="262"/>
      <c r="L136" s="261"/>
      <c r="M136" s="261"/>
      <c r="N136" s="261"/>
      <c r="O136" s="372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7"/>
    </row>
    <row r="137" spans="1:26" ht="18.75" customHeight="1">
      <c r="A137" s="42"/>
      <c r="B137" s="59" t="s">
        <v>317</v>
      </c>
      <c r="C137" s="113" t="s">
        <v>131</v>
      </c>
      <c r="D137" s="61" t="s">
        <v>271</v>
      </c>
      <c r="E137" s="200">
        <f t="shared" si="0"/>
        <v>0</v>
      </c>
      <c r="F137" s="392"/>
      <c r="G137" s="362"/>
      <c r="H137" s="362"/>
      <c r="I137" s="362"/>
      <c r="J137" s="362"/>
      <c r="K137" s="262"/>
      <c r="L137" s="262"/>
      <c r="M137" s="262"/>
      <c r="N137" s="262"/>
      <c r="O137" s="37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7"/>
    </row>
    <row r="138" spans="1:26" ht="18.75" customHeight="1">
      <c r="A138" s="42"/>
      <c r="B138" s="59" t="s">
        <v>318</v>
      </c>
      <c r="C138" s="113" t="s">
        <v>200</v>
      </c>
      <c r="D138" s="61" t="s">
        <v>271</v>
      </c>
      <c r="E138" s="200">
        <f t="shared" si="0"/>
        <v>0</v>
      </c>
      <c r="F138" s="392"/>
      <c r="G138" s="362"/>
      <c r="H138" s="362"/>
      <c r="I138" s="362"/>
      <c r="J138" s="362"/>
      <c r="K138" s="262"/>
      <c r="L138" s="262"/>
      <c r="M138" s="262"/>
      <c r="N138" s="262"/>
      <c r="O138" s="37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7"/>
    </row>
    <row r="139" spans="1:26" ht="18.75" customHeight="1">
      <c r="A139" s="42"/>
      <c r="B139" s="59" t="s">
        <v>319</v>
      </c>
      <c r="C139" s="113" t="s">
        <v>203</v>
      </c>
      <c r="D139" s="61" t="s">
        <v>271</v>
      </c>
      <c r="E139" s="200">
        <f t="shared" si="0"/>
        <v>0</v>
      </c>
      <c r="F139" s="392"/>
      <c r="G139" s="362"/>
      <c r="H139" s="362"/>
      <c r="I139" s="362"/>
      <c r="J139" s="362"/>
      <c r="K139" s="262"/>
      <c r="L139" s="262"/>
      <c r="M139" s="262"/>
      <c r="N139" s="262"/>
      <c r="O139" s="37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7"/>
    </row>
    <row r="140" spans="1:26" ht="18.75" customHeight="1">
      <c r="A140" s="42"/>
      <c r="B140" s="59" t="s">
        <v>320</v>
      </c>
      <c r="C140" s="113" t="s">
        <v>159</v>
      </c>
      <c r="D140" s="61" t="s">
        <v>271</v>
      </c>
      <c r="E140" s="200">
        <f t="shared" si="0"/>
        <v>0</v>
      </c>
      <c r="F140" s="392"/>
      <c r="G140" s="362"/>
      <c r="H140" s="362"/>
      <c r="I140" s="362"/>
      <c r="J140" s="362"/>
      <c r="K140" s="262"/>
      <c r="L140" s="262"/>
      <c r="M140" s="262"/>
      <c r="N140" s="262"/>
      <c r="O140" s="37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7"/>
    </row>
    <row r="141" spans="1:26" ht="18.75" customHeight="1">
      <c r="A141" s="101"/>
      <c r="B141" s="53" t="s">
        <v>321</v>
      </c>
      <c r="C141" s="103" t="s">
        <v>322</v>
      </c>
      <c r="D141" s="61" t="s">
        <v>271</v>
      </c>
      <c r="E141" s="200">
        <f t="shared" si="0"/>
        <v>0</v>
      </c>
      <c r="F141" s="392"/>
      <c r="G141" s="371"/>
      <c r="H141" s="371"/>
      <c r="I141" s="362"/>
      <c r="J141" s="362"/>
      <c r="K141" s="262"/>
      <c r="L141" s="261"/>
      <c r="M141" s="261"/>
      <c r="N141" s="261"/>
      <c r="O141" s="372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7"/>
    </row>
    <row r="142" spans="1:26" ht="18.75" customHeight="1">
      <c r="A142" s="42"/>
      <c r="B142" s="59" t="s">
        <v>324</v>
      </c>
      <c r="C142" s="113" t="s">
        <v>131</v>
      </c>
      <c r="D142" s="61" t="s">
        <v>271</v>
      </c>
      <c r="E142" s="200">
        <f t="shared" si="0"/>
        <v>0</v>
      </c>
      <c r="F142" s="392"/>
      <c r="G142" s="362"/>
      <c r="H142" s="362"/>
      <c r="I142" s="362"/>
      <c r="J142" s="362"/>
      <c r="K142" s="262"/>
      <c r="L142" s="262"/>
      <c r="M142" s="262"/>
      <c r="N142" s="262"/>
      <c r="O142" s="37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7"/>
    </row>
    <row r="143" spans="1:26" ht="18.75" customHeight="1">
      <c r="A143" s="42"/>
      <c r="B143" s="59" t="s">
        <v>325</v>
      </c>
      <c r="C143" s="113" t="s">
        <v>200</v>
      </c>
      <c r="D143" s="61" t="s">
        <v>271</v>
      </c>
      <c r="E143" s="200">
        <f t="shared" si="0"/>
        <v>0</v>
      </c>
      <c r="F143" s="392"/>
      <c r="G143" s="362"/>
      <c r="H143" s="362"/>
      <c r="I143" s="362"/>
      <c r="J143" s="362"/>
      <c r="K143" s="262"/>
      <c r="L143" s="262"/>
      <c r="M143" s="262"/>
      <c r="N143" s="262"/>
      <c r="O143" s="37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7"/>
    </row>
    <row r="144" spans="1:26" ht="18.75" customHeight="1">
      <c r="A144" s="42"/>
      <c r="B144" s="59" t="s">
        <v>326</v>
      </c>
      <c r="C144" s="113" t="s">
        <v>203</v>
      </c>
      <c r="D144" s="61" t="s">
        <v>271</v>
      </c>
      <c r="E144" s="200">
        <f t="shared" si="0"/>
        <v>0</v>
      </c>
      <c r="F144" s="392"/>
      <c r="G144" s="362"/>
      <c r="H144" s="362"/>
      <c r="I144" s="362"/>
      <c r="J144" s="362"/>
      <c r="K144" s="262"/>
      <c r="L144" s="262"/>
      <c r="M144" s="262"/>
      <c r="N144" s="262"/>
      <c r="O144" s="37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7"/>
    </row>
    <row r="145" spans="1:26" ht="18.75" customHeight="1">
      <c r="A145" s="42"/>
      <c r="B145" s="59" t="s">
        <v>327</v>
      </c>
      <c r="C145" s="113" t="s">
        <v>159</v>
      </c>
      <c r="D145" s="61" t="s">
        <v>271</v>
      </c>
      <c r="E145" s="200">
        <f t="shared" si="0"/>
        <v>0</v>
      </c>
      <c r="F145" s="392"/>
      <c r="G145" s="362"/>
      <c r="H145" s="362"/>
      <c r="I145" s="362"/>
      <c r="J145" s="362"/>
      <c r="K145" s="262"/>
      <c r="L145" s="262"/>
      <c r="M145" s="262"/>
      <c r="N145" s="262"/>
      <c r="O145" s="37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7"/>
    </row>
    <row r="146" spans="1:26" ht="18.75" customHeight="1">
      <c r="A146" s="101"/>
      <c r="B146" s="53" t="s">
        <v>328</v>
      </c>
      <c r="C146" s="87" t="s">
        <v>329</v>
      </c>
      <c r="D146" s="61" t="s">
        <v>271</v>
      </c>
      <c r="E146" s="200">
        <f t="shared" si="0"/>
        <v>0</v>
      </c>
      <c r="F146" s="392"/>
      <c r="G146" s="371"/>
      <c r="H146" s="371"/>
      <c r="I146" s="362"/>
      <c r="J146" s="362"/>
      <c r="K146" s="262"/>
      <c r="L146" s="261"/>
      <c r="M146" s="261"/>
      <c r="N146" s="261"/>
      <c r="O146" s="372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7"/>
    </row>
    <row r="147" spans="1:26" ht="18.75" customHeight="1">
      <c r="A147" s="118"/>
      <c r="B147" s="59" t="s">
        <v>331</v>
      </c>
      <c r="C147" s="113" t="s">
        <v>131</v>
      </c>
      <c r="D147" s="61" t="s">
        <v>271</v>
      </c>
      <c r="E147" s="200">
        <f t="shared" si="0"/>
        <v>0</v>
      </c>
      <c r="F147" s="392"/>
      <c r="G147" s="371"/>
      <c r="H147" s="371"/>
      <c r="I147" s="362"/>
      <c r="J147" s="362"/>
      <c r="K147" s="262"/>
      <c r="L147" s="261"/>
      <c r="M147" s="261"/>
      <c r="N147" s="261"/>
      <c r="O147" s="372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7"/>
    </row>
    <row r="148" spans="1:26" ht="18.75" customHeight="1">
      <c r="A148" s="118"/>
      <c r="B148" s="59" t="s">
        <v>332</v>
      </c>
      <c r="C148" s="113" t="s">
        <v>200</v>
      </c>
      <c r="D148" s="61" t="s">
        <v>271</v>
      </c>
      <c r="E148" s="200">
        <f t="shared" si="0"/>
        <v>0</v>
      </c>
      <c r="F148" s="392"/>
      <c r="G148" s="371"/>
      <c r="H148" s="371"/>
      <c r="I148" s="362"/>
      <c r="J148" s="362"/>
      <c r="K148" s="262"/>
      <c r="L148" s="261"/>
      <c r="M148" s="261"/>
      <c r="N148" s="261"/>
      <c r="O148" s="372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7"/>
    </row>
    <row r="149" spans="1:26" ht="18.75" customHeight="1">
      <c r="A149" s="118"/>
      <c r="B149" s="59" t="s">
        <v>333</v>
      </c>
      <c r="C149" s="113" t="s">
        <v>203</v>
      </c>
      <c r="D149" s="61" t="s">
        <v>271</v>
      </c>
      <c r="E149" s="200">
        <f t="shared" si="0"/>
        <v>0</v>
      </c>
      <c r="F149" s="392"/>
      <c r="G149" s="371"/>
      <c r="H149" s="371"/>
      <c r="I149" s="362"/>
      <c r="J149" s="362"/>
      <c r="K149" s="262"/>
      <c r="L149" s="261"/>
      <c r="M149" s="261"/>
      <c r="N149" s="261"/>
      <c r="O149" s="372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7"/>
    </row>
    <row r="150" spans="1:26" ht="18.75" customHeight="1">
      <c r="A150" s="118"/>
      <c r="B150" s="59" t="s">
        <v>334</v>
      </c>
      <c r="C150" s="113" t="s">
        <v>159</v>
      </c>
      <c r="D150" s="61" t="s">
        <v>271</v>
      </c>
      <c r="E150" s="200">
        <f t="shared" si="0"/>
        <v>0</v>
      </c>
      <c r="F150" s="392"/>
      <c r="G150" s="371"/>
      <c r="H150" s="371"/>
      <c r="I150" s="362"/>
      <c r="J150" s="362"/>
      <c r="K150" s="262"/>
      <c r="L150" s="261"/>
      <c r="M150" s="261"/>
      <c r="N150" s="261"/>
      <c r="O150" s="372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7"/>
    </row>
    <row r="151" spans="1:26" ht="18.75" customHeight="1">
      <c r="A151" s="101"/>
      <c r="B151" s="53" t="s">
        <v>335</v>
      </c>
      <c r="C151" s="87" t="s">
        <v>336</v>
      </c>
      <c r="D151" s="61" t="s">
        <v>271</v>
      </c>
      <c r="E151" s="200">
        <f t="shared" si="0"/>
        <v>0</v>
      </c>
      <c r="F151" s="392"/>
      <c r="G151" s="371"/>
      <c r="H151" s="371"/>
      <c r="I151" s="362"/>
      <c r="J151" s="362"/>
      <c r="K151" s="262"/>
      <c r="L151" s="261"/>
      <c r="M151" s="261"/>
      <c r="N151" s="261"/>
      <c r="O151" s="372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7"/>
    </row>
    <row r="152" spans="1:26" ht="18.75" customHeight="1">
      <c r="A152" s="118"/>
      <c r="B152" s="59" t="s">
        <v>338</v>
      </c>
      <c r="C152" s="113" t="s">
        <v>131</v>
      </c>
      <c r="D152" s="61" t="s">
        <v>271</v>
      </c>
      <c r="E152" s="200">
        <f t="shared" si="0"/>
        <v>0</v>
      </c>
      <c r="F152" s="392"/>
      <c r="G152" s="371"/>
      <c r="H152" s="371"/>
      <c r="I152" s="362"/>
      <c r="J152" s="362"/>
      <c r="K152" s="262"/>
      <c r="L152" s="261"/>
      <c r="M152" s="261"/>
      <c r="N152" s="261"/>
      <c r="O152" s="372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7"/>
    </row>
    <row r="153" spans="1:26" ht="18.75" customHeight="1">
      <c r="A153" s="118"/>
      <c r="B153" s="59" t="s">
        <v>339</v>
      </c>
      <c r="C153" s="113" t="s">
        <v>200</v>
      </c>
      <c r="D153" s="61" t="s">
        <v>271</v>
      </c>
      <c r="E153" s="200">
        <f t="shared" si="0"/>
        <v>0</v>
      </c>
      <c r="F153" s="392"/>
      <c r="G153" s="371"/>
      <c r="H153" s="371"/>
      <c r="I153" s="362"/>
      <c r="J153" s="362"/>
      <c r="K153" s="262"/>
      <c r="L153" s="261"/>
      <c r="M153" s="261"/>
      <c r="N153" s="261"/>
      <c r="O153" s="372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7"/>
    </row>
    <row r="154" spans="1:26" ht="18.75" customHeight="1">
      <c r="A154" s="118"/>
      <c r="B154" s="59" t="s">
        <v>340</v>
      </c>
      <c r="C154" s="113" t="s">
        <v>203</v>
      </c>
      <c r="D154" s="61" t="s">
        <v>271</v>
      </c>
      <c r="E154" s="200">
        <f t="shared" si="0"/>
        <v>0</v>
      </c>
      <c r="F154" s="392"/>
      <c r="G154" s="371"/>
      <c r="H154" s="371"/>
      <c r="I154" s="362"/>
      <c r="J154" s="362"/>
      <c r="K154" s="262"/>
      <c r="L154" s="261"/>
      <c r="M154" s="261"/>
      <c r="N154" s="261"/>
      <c r="O154" s="372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7"/>
    </row>
    <row r="155" spans="1:26" ht="18.75" customHeight="1">
      <c r="A155" s="118"/>
      <c r="B155" s="59" t="s">
        <v>341</v>
      </c>
      <c r="C155" s="113" t="s">
        <v>159</v>
      </c>
      <c r="D155" s="61" t="s">
        <v>271</v>
      </c>
      <c r="E155" s="200">
        <f t="shared" si="0"/>
        <v>0</v>
      </c>
      <c r="F155" s="392"/>
      <c r="G155" s="371"/>
      <c r="H155" s="371"/>
      <c r="I155" s="362"/>
      <c r="J155" s="362"/>
      <c r="K155" s="262"/>
      <c r="L155" s="261"/>
      <c r="M155" s="261"/>
      <c r="N155" s="261"/>
      <c r="O155" s="372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7"/>
    </row>
    <row r="156" spans="1:26" ht="18.75" customHeight="1">
      <c r="A156" s="101"/>
      <c r="B156" s="53" t="s">
        <v>342</v>
      </c>
      <c r="C156" s="87" t="s">
        <v>343</v>
      </c>
      <c r="D156" s="61" t="s">
        <v>271</v>
      </c>
      <c r="E156" s="200">
        <f t="shared" si="0"/>
        <v>0</v>
      </c>
      <c r="F156" s="392"/>
      <c r="G156" s="371"/>
      <c r="H156" s="371"/>
      <c r="I156" s="362"/>
      <c r="J156" s="362"/>
      <c r="K156" s="262"/>
      <c r="L156" s="261"/>
      <c r="M156" s="261"/>
      <c r="N156" s="261"/>
      <c r="O156" s="372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7"/>
    </row>
    <row r="157" spans="1:26" ht="18.75" customHeight="1">
      <c r="A157" s="42"/>
      <c r="B157" s="59" t="s">
        <v>344</v>
      </c>
      <c r="C157" s="113" t="s">
        <v>131</v>
      </c>
      <c r="D157" s="61" t="s">
        <v>271</v>
      </c>
      <c r="E157" s="200">
        <f t="shared" si="0"/>
        <v>0</v>
      </c>
      <c r="F157" s="392"/>
      <c r="G157" s="371"/>
      <c r="H157" s="371"/>
      <c r="I157" s="362"/>
      <c r="J157" s="362"/>
      <c r="K157" s="262"/>
      <c r="L157" s="261"/>
      <c r="M157" s="261"/>
      <c r="N157" s="261"/>
      <c r="O157" s="372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7"/>
    </row>
    <row r="158" spans="1:26" ht="18.75" customHeight="1">
      <c r="A158" s="42"/>
      <c r="B158" s="59" t="s">
        <v>345</v>
      </c>
      <c r="C158" s="113" t="s">
        <v>200</v>
      </c>
      <c r="D158" s="61" t="s">
        <v>271</v>
      </c>
      <c r="E158" s="200">
        <f t="shared" si="0"/>
        <v>0</v>
      </c>
      <c r="F158" s="392"/>
      <c r="G158" s="371"/>
      <c r="H158" s="371"/>
      <c r="I158" s="362"/>
      <c r="J158" s="362"/>
      <c r="K158" s="262"/>
      <c r="L158" s="261"/>
      <c r="M158" s="261"/>
      <c r="N158" s="261"/>
      <c r="O158" s="372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7"/>
    </row>
    <row r="159" spans="1:26" ht="18.75" customHeight="1">
      <c r="A159" s="42"/>
      <c r="B159" s="59" t="s">
        <v>346</v>
      </c>
      <c r="C159" s="113" t="s">
        <v>203</v>
      </c>
      <c r="D159" s="61" t="s">
        <v>271</v>
      </c>
      <c r="E159" s="200">
        <f t="shared" si="0"/>
        <v>0</v>
      </c>
      <c r="F159" s="392"/>
      <c r="G159" s="371"/>
      <c r="H159" s="371"/>
      <c r="I159" s="362"/>
      <c r="J159" s="362"/>
      <c r="K159" s="262"/>
      <c r="L159" s="261"/>
      <c r="M159" s="261"/>
      <c r="N159" s="261"/>
      <c r="O159" s="372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7"/>
    </row>
    <row r="160" spans="1:26" ht="18.75" customHeight="1">
      <c r="A160" s="42"/>
      <c r="B160" s="59" t="s">
        <v>347</v>
      </c>
      <c r="C160" s="113" t="s">
        <v>159</v>
      </c>
      <c r="D160" s="61" t="s">
        <v>271</v>
      </c>
      <c r="E160" s="200">
        <f t="shared" si="0"/>
        <v>0</v>
      </c>
      <c r="F160" s="392"/>
      <c r="G160" s="371"/>
      <c r="H160" s="371"/>
      <c r="I160" s="362"/>
      <c r="J160" s="362"/>
      <c r="K160" s="262"/>
      <c r="L160" s="261"/>
      <c r="M160" s="261"/>
      <c r="N160" s="261"/>
      <c r="O160" s="372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7"/>
    </row>
    <row r="161" spans="1:26" ht="36.75" customHeight="1">
      <c r="A161" s="101"/>
      <c r="B161" s="53" t="s">
        <v>348</v>
      </c>
      <c r="C161" s="87" t="s">
        <v>349</v>
      </c>
      <c r="D161" s="61" t="s">
        <v>350</v>
      </c>
      <c r="E161" s="200">
        <f t="shared" si="0"/>
        <v>0</v>
      </c>
      <c r="F161" s="392"/>
      <c r="G161" s="371"/>
      <c r="H161" s="371"/>
      <c r="I161" s="362"/>
      <c r="J161" s="362"/>
      <c r="K161" s="262"/>
      <c r="L161" s="261"/>
      <c r="M161" s="261"/>
      <c r="N161" s="261"/>
      <c r="O161" s="372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7"/>
    </row>
    <row r="162" spans="1:26" ht="18.75" customHeight="1">
      <c r="A162" s="101"/>
      <c r="B162" s="53" t="s">
        <v>352</v>
      </c>
      <c r="C162" s="87" t="s">
        <v>353</v>
      </c>
      <c r="D162" s="61" t="s">
        <v>271</v>
      </c>
      <c r="E162" s="200">
        <f t="shared" si="0"/>
        <v>0</v>
      </c>
      <c r="F162" s="392"/>
      <c r="G162" s="362"/>
      <c r="H162" s="362"/>
      <c r="I162" s="362"/>
      <c r="J162" s="362"/>
      <c r="K162" s="262"/>
      <c r="L162" s="262"/>
      <c r="M162" s="262"/>
      <c r="N162" s="262"/>
      <c r="O162" s="37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7"/>
    </row>
    <row r="163" spans="1:26" ht="18.75" customHeight="1">
      <c r="A163" s="101"/>
      <c r="B163" s="53" t="s">
        <v>356</v>
      </c>
      <c r="C163" s="87" t="s">
        <v>357</v>
      </c>
      <c r="D163" s="61" t="s">
        <v>358</v>
      </c>
      <c r="E163" s="200">
        <f t="shared" si="0"/>
        <v>0</v>
      </c>
      <c r="F163" s="392"/>
      <c r="G163" s="362"/>
      <c r="H163" s="362"/>
      <c r="I163" s="362"/>
      <c r="J163" s="362"/>
      <c r="K163" s="262"/>
      <c r="L163" s="262"/>
      <c r="M163" s="262"/>
      <c r="N163" s="262"/>
      <c r="O163" s="37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7"/>
    </row>
    <row r="164" spans="1:26" ht="31.5" customHeight="1">
      <c r="A164" s="101">
        <v>6.12</v>
      </c>
      <c r="B164" s="53" t="s">
        <v>360</v>
      </c>
      <c r="C164" s="87" t="s">
        <v>361</v>
      </c>
      <c r="D164" s="61" t="s">
        <v>358</v>
      </c>
      <c r="E164" s="200">
        <f t="shared" si="0"/>
        <v>0</v>
      </c>
      <c r="F164" s="392"/>
      <c r="G164" s="362"/>
      <c r="H164" s="362"/>
      <c r="I164" s="362"/>
      <c r="J164" s="362"/>
      <c r="K164" s="262"/>
      <c r="L164" s="262"/>
      <c r="M164" s="262"/>
      <c r="N164" s="262"/>
      <c r="O164" s="37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7"/>
    </row>
    <row r="165" spans="1:26" ht="18.75" customHeight="1">
      <c r="A165" s="101">
        <v>6.13</v>
      </c>
      <c r="B165" s="53" t="s">
        <v>363</v>
      </c>
      <c r="C165" s="87" t="s">
        <v>364</v>
      </c>
      <c r="D165" s="61" t="s">
        <v>271</v>
      </c>
      <c r="E165" s="200">
        <f t="shared" si="0"/>
        <v>0</v>
      </c>
      <c r="F165" s="392"/>
      <c r="G165" s="362"/>
      <c r="H165" s="362"/>
      <c r="I165" s="362"/>
      <c r="J165" s="362"/>
      <c r="K165" s="262"/>
      <c r="L165" s="262"/>
      <c r="M165" s="262"/>
      <c r="N165" s="262"/>
      <c r="O165" s="37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7"/>
    </row>
    <row r="166" spans="1:26" ht="31.5" customHeight="1">
      <c r="A166" s="101">
        <v>6.14</v>
      </c>
      <c r="B166" s="53" t="s">
        <v>365</v>
      </c>
      <c r="C166" s="87" t="s">
        <v>366</v>
      </c>
      <c r="D166" s="61" t="s">
        <v>271</v>
      </c>
      <c r="E166" s="200">
        <f t="shared" si="0"/>
        <v>0</v>
      </c>
      <c r="F166" s="392"/>
      <c r="G166" s="362"/>
      <c r="H166" s="362"/>
      <c r="I166" s="362"/>
      <c r="J166" s="362"/>
      <c r="K166" s="262"/>
      <c r="L166" s="262"/>
      <c r="M166" s="262"/>
      <c r="N166" s="262"/>
      <c r="O166" s="37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7"/>
    </row>
    <row r="167" spans="1:26" ht="18.75" customHeight="1">
      <c r="A167" s="101">
        <v>6.15</v>
      </c>
      <c r="B167" s="53" t="s">
        <v>367</v>
      </c>
      <c r="C167" s="87" t="s">
        <v>368</v>
      </c>
      <c r="D167" s="61" t="s">
        <v>358</v>
      </c>
      <c r="E167" s="200">
        <f t="shared" si="0"/>
        <v>0</v>
      </c>
      <c r="F167" s="392"/>
      <c r="G167" s="362"/>
      <c r="H167" s="362"/>
      <c r="I167" s="362"/>
      <c r="J167" s="362"/>
      <c r="K167" s="262"/>
      <c r="L167" s="262"/>
      <c r="M167" s="262"/>
      <c r="N167" s="262"/>
      <c r="O167" s="37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7"/>
    </row>
    <row r="168" spans="1:26" ht="18.75" customHeight="1">
      <c r="A168" s="101">
        <v>6.16</v>
      </c>
      <c r="B168" s="53" t="s">
        <v>369</v>
      </c>
      <c r="C168" s="87" t="s">
        <v>370</v>
      </c>
      <c r="D168" s="61" t="s">
        <v>271</v>
      </c>
      <c r="E168" s="200">
        <f t="shared" si="0"/>
        <v>0</v>
      </c>
      <c r="F168" s="392"/>
      <c r="G168" s="362"/>
      <c r="H168" s="362"/>
      <c r="I168" s="362"/>
      <c r="J168" s="362"/>
      <c r="K168" s="262"/>
      <c r="L168" s="262"/>
      <c r="M168" s="262"/>
      <c r="N168" s="262"/>
      <c r="O168" s="37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7"/>
    </row>
    <row r="169" spans="1:26" ht="15.75" customHeight="1">
      <c r="A169" s="101">
        <v>6.12</v>
      </c>
      <c r="B169" s="53" t="s">
        <v>371</v>
      </c>
      <c r="C169" s="87" t="s">
        <v>372</v>
      </c>
      <c r="D169" s="61" t="s">
        <v>271</v>
      </c>
      <c r="E169" s="200">
        <f t="shared" si="0"/>
        <v>0</v>
      </c>
      <c r="F169" s="392"/>
      <c r="G169" s="362"/>
      <c r="H169" s="362"/>
      <c r="I169" s="362"/>
      <c r="J169" s="362"/>
      <c r="K169" s="262"/>
      <c r="L169" s="262"/>
      <c r="M169" s="262"/>
      <c r="N169" s="262"/>
      <c r="O169" s="37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7"/>
    </row>
    <row r="170" spans="1:26" ht="31.5" customHeight="1">
      <c r="A170" s="101">
        <v>6.12</v>
      </c>
      <c r="B170" s="53" t="s">
        <v>373</v>
      </c>
      <c r="C170" s="87" t="s">
        <v>374</v>
      </c>
      <c r="D170" s="61" t="s">
        <v>271</v>
      </c>
      <c r="E170" s="200">
        <f t="shared" si="0"/>
        <v>0</v>
      </c>
      <c r="F170" s="392"/>
      <c r="G170" s="362"/>
      <c r="H170" s="362"/>
      <c r="I170" s="362"/>
      <c r="J170" s="362"/>
      <c r="K170" s="262"/>
      <c r="L170" s="262"/>
      <c r="M170" s="262"/>
      <c r="N170" s="262"/>
      <c r="O170" s="37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7"/>
    </row>
    <row r="171" spans="1:26" ht="31.5" customHeight="1">
      <c r="A171" s="101">
        <v>6.17</v>
      </c>
      <c r="B171" s="53" t="s">
        <v>375</v>
      </c>
      <c r="C171" s="87" t="s">
        <v>376</v>
      </c>
      <c r="D171" s="216" t="s">
        <v>183</v>
      </c>
      <c r="E171" s="200">
        <f t="shared" si="0"/>
        <v>0</v>
      </c>
      <c r="F171" s="392"/>
      <c r="G171" s="362"/>
      <c r="H171" s="362"/>
      <c r="I171" s="362"/>
      <c r="J171" s="362"/>
      <c r="K171" s="262"/>
      <c r="L171" s="262"/>
      <c r="M171" s="262"/>
      <c r="N171" s="262"/>
      <c r="O171" s="37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7"/>
    </row>
    <row r="172" spans="1:26" ht="18.75" customHeight="1">
      <c r="A172" s="46">
        <v>7</v>
      </c>
      <c r="B172" s="64" t="s">
        <v>378</v>
      </c>
      <c r="C172" s="64" t="s">
        <v>379</v>
      </c>
      <c r="D172" s="216"/>
      <c r="E172" s="200">
        <f t="shared" si="0"/>
        <v>0</v>
      </c>
      <c r="F172" s="392"/>
      <c r="G172" s="371"/>
      <c r="H172" s="371"/>
      <c r="I172" s="362"/>
      <c r="J172" s="362"/>
      <c r="K172" s="262"/>
      <c r="L172" s="261"/>
      <c r="M172" s="261"/>
      <c r="N172" s="261"/>
      <c r="O172" s="372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7"/>
    </row>
    <row r="173" spans="1:26" ht="18.75" customHeight="1">
      <c r="A173" s="101"/>
      <c r="B173" s="53" t="s">
        <v>381</v>
      </c>
      <c r="C173" s="87" t="s">
        <v>382</v>
      </c>
      <c r="D173" s="61" t="s">
        <v>383</v>
      </c>
      <c r="E173" s="200">
        <f t="shared" si="0"/>
        <v>0</v>
      </c>
      <c r="F173" s="392"/>
      <c r="G173" s="371"/>
      <c r="H173" s="371"/>
      <c r="I173" s="362"/>
      <c r="J173" s="362"/>
      <c r="K173" s="262"/>
      <c r="L173" s="261"/>
      <c r="M173" s="261"/>
      <c r="N173" s="261"/>
      <c r="O173" s="372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7"/>
    </row>
    <row r="174" spans="1:26" ht="18.75" customHeight="1">
      <c r="A174" s="42"/>
      <c r="B174" s="59" t="s">
        <v>386</v>
      </c>
      <c r="C174" s="113" t="s">
        <v>387</v>
      </c>
      <c r="D174" s="61" t="s">
        <v>383</v>
      </c>
      <c r="E174" s="200">
        <f t="shared" si="0"/>
        <v>0</v>
      </c>
      <c r="F174" s="392"/>
      <c r="G174" s="371"/>
      <c r="H174" s="371"/>
      <c r="I174" s="362"/>
      <c r="J174" s="362"/>
      <c r="K174" s="262"/>
      <c r="L174" s="261"/>
      <c r="M174" s="261"/>
      <c r="N174" s="261"/>
      <c r="O174" s="372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7"/>
    </row>
    <row r="175" spans="1:26" ht="18.75" customHeight="1">
      <c r="A175" s="42"/>
      <c r="B175" s="59" t="s">
        <v>388</v>
      </c>
      <c r="C175" s="113" t="s">
        <v>389</v>
      </c>
      <c r="D175" s="61" t="s">
        <v>383</v>
      </c>
      <c r="E175" s="200">
        <f t="shared" si="0"/>
        <v>0</v>
      </c>
      <c r="F175" s="392"/>
      <c r="G175" s="371"/>
      <c r="H175" s="371"/>
      <c r="I175" s="362"/>
      <c r="J175" s="362"/>
      <c r="K175" s="262"/>
      <c r="L175" s="261"/>
      <c r="M175" s="261"/>
      <c r="N175" s="261"/>
      <c r="O175" s="372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7"/>
    </row>
    <row r="176" spans="1:26" ht="18.75" customHeight="1">
      <c r="A176" s="42"/>
      <c r="B176" s="59" t="s">
        <v>390</v>
      </c>
      <c r="C176" s="113" t="s">
        <v>391</v>
      </c>
      <c r="D176" s="61" t="s">
        <v>383</v>
      </c>
      <c r="E176" s="200">
        <f t="shared" si="0"/>
        <v>0</v>
      </c>
      <c r="F176" s="392"/>
      <c r="G176" s="371"/>
      <c r="H176" s="371"/>
      <c r="I176" s="362"/>
      <c r="J176" s="362"/>
      <c r="K176" s="262"/>
      <c r="L176" s="261"/>
      <c r="M176" s="261"/>
      <c r="N176" s="261"/>
      <c r="O176" s="372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7"/>
    </row>
    <row r="177" spans="1:26" ht="18.75" customHeight="1">
      <c r="A177" s="42" t="s">
        <v>986</v>
      </c>
      <c r="B177" s="59" t="s">
        <v>392</v>
      </c>
      <c r="C177" s="113" t="s">
        <v>393</v>
      </c>
      <c r="D177" s="61" t="s">
        <v>383</v>
      </c>
      <c r="E177" s="200">
        <f t="shared" si="0"/>
        <v>0</v>
      </c>
      <c r="F177" s="392"/>
      <c r="G177" s="371"/>
      <c r="H177" s="371"/>
      <c r="I177" s="362"/>
      <c r="J177" s="362"/>
      <c r="K177" s="262"/>
      <c r="L177" s="261"/>
      <c r="M177" s="261"/>
      <c r="N177" s="261"/>
      <c r="O177" s="372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7"/>
    </row>
    <row r="178" spans="1:26" ht="18.75" customHeight="1">
      <c r="A178" s="101"/>
      <c r="B178" s="53" t="s">
        <v>388</v>
      </c>
      <c r="C178" s="87" t="s">
        <v>394</v>
      </c>
      <c r="D178" s="61" t="s">
        <v>383</v>
      </c>
      <c r="E178" s="200">
        <f t="shared" si="0"/>
        <v>0</v>
      </c>
      <c r="F178" s="392"/>
      <c r="G178" s="371"/>
      <c r="H178" s="371"/>
      <c r="I178" s="371"/>
      <c r="J178" s="371"/>
      <c r="K178" s="261"/>
      <c r="L178" s="261"/>
      <c r="M178" s="261"/>
      <c r="N178" s="261"/>
      <c r="O178" s="372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7"/>
    </row>
    <row r="179" spans="1:26" ht="18.75" customHeight="1">
      <c r="A179" s="42" t="s">
        <v>396</v>
      </c>
      <c r="B179" s="59" t="s">
        <v>397</v>
      </c>
      <c r="C179" s="113" t="s">
        <v>398</v>
      </c>
      <c r="D179" s="61" t="s">
        <v>383</v>
      </c>
      <c r="E179" s="200">
        <f t="shared" si="0"/>
        <v>0</v>
      </c>
      <c r="F179" s="392"/>
      <c r="G179" s="371"/>
      <c r="H179" s="371"/>
      <c r="I179" s="362"/>
      <c r="J179" s="362"/>
      <c r="K179" s="262"/>
      <c r="L179" s="261"/>
      <c r="M179" s="261"/>
      <c r="N179" s="261"/>
      <c r="O179" s="372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7"/>
    </row>
    <row r="180" spans="1:26" ht="18.75" customHeight="1">
      <c r="A180" s="42" t="s">
        <v>399</v>
      </c>
      <c r="B180" s="59" t="s">
        <v>400</v>
      </c>
      <c r="C180" s="113" t="s">
        <v>401</v>
      </c>
      <c r="D180" s="61" t="s">
        <v>383</v>
      </c>
      <c r="E180" s="200">
        <f t="shared" si="0"/>
        <v>0</v>
      </c>
      <c r="F180" s="392"/>
      <c r="G180" s="371"/>
      <c r="H180" s="371"/>
      <c r="I180" s="362"/>
      <c r="J180" s="362"/>
      <c r="K180" s="262"/>
      <c r="L180" s="261"/>
      <c r="M180" s="261"/>
      <c r="N180" s="261"/>
      <c r="O180" s="372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7"/>
    </row>
    <row r="181" spans="1:26" ht="31.5" customHeight="1">
      <c r="A181" s="101">
        <v>7.3</v>
      </c>
      <c r="B181" s="53" t="s">
        <v>390</v>
      </c>
      <c r="C181" s="87" t="s">
        <v>402</v>
      </c>
      <c r="D181" s="61" t="s">
        <v>383</v>
      </c>
      <c r="E181" s="200">
        <f t="shared" si="0"/>
        <v>0</v>
      </c>
      <c r="F181" s="392"/>
      <c r="G181" s="371"/>
      <c r="H181" s="371"/>
      <c r="I181" s="362"/>
      <c r="J181" s="362"/>
      <c r="K181" s="262"/>
      <c r="L181" s="261"/>
      <c r="M181" s="261"/>
      <c r="N181" s="261"/>
      <c r="O181" s="372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7"/>
    </row>
    <row r="182" spans="1:26" ht="31.5" customHeight="1">
      <c r="A182" s="101">
        <v>7.4</v>
      </c>
      <c r="B182" s="53" t="s">
        <v>392</v>
      </c>
      <c r="C182" s="87" t="s">
        <v>403</v>
      </c>
      <c r="D182" s="61" t="s">
        <v>358</v>
      </c>
      <c r="E182" s="200">
        <f t="shared" si="0"/>
        <v>0</v>
      </c>
      <c r="F182" s="392"/>
      <c r="G182" s="371"/>
      <c r="H182" s="371"/>
      <c r="I182" s="362"/>
      <c r="J182" s="362"/>
      <c r="K182" s="262"/>
      <c r="L182" s="261"/>
      <c r="M182" s="261"/>
      <c r="N182" s="261"/>
      <c r="O182" s="372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7"/>
    </row>
    <row r="183" spans="1:26" ht="31.5" customHeight="1">
      <c r="A183" s="101">
        <v>7.5</v>
      </c>
      <c r="B183" s="53" t="s">
        <v>404</v>
      </c>
      <c r="C183" s="87" t="s">
        <v>405</v>
      </c>
      <c r="D183" s="216" t="s">
        <v>183</v>
      </c>
      <c r="E183" s="200">
        <f t="shared" si="0"/>
        <v>0</v>
      </c>
      <c r="F183" s="392"/>
      <c r="G183" s="371"/>
      <c r="H183" s="371"/>
      <c r="I183" s="362"/>
      <c r="J183" s="362"/>
      <c r="K183" s="262"/>
      <c r="L183" s="261"/>
      <c r="M183" s="261"/>
      <c r="N183" s="261"/>
      <c r="O183" s="372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7"/>
    </row>
    <row r="184" spans="1:26" ht="31.5" customHeight="1">
      <c r="A184" s="101">
        <v>7.6</v>
      </c>
      <c r="B184" s="53" t="s">
        <v>406</v>
      </c>
      <c r="C184" s="87" t="s">
        <v>407</v>
      </c>
      <c r="D184" s="216" t="s">
        <v>183</v>
      </c>
      <c r="E184" s="200">
        <f t="shared" si="0"/>
        <v>0</v>
      </c>
      <c r="F184" s="392"/>
      <c r="G184" s="371"/>
      <c r="H184" s="371"/>
      <c r="I184" s="362"/>
      <c r="J184" s="362"/>
      <c r="K184" s="262"/>
      <c r="L184" s="261"/>
      <c r="M184" s="261"/>
      <c r="N184" s="261"/>
      <c r="O184" s="372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7"/>
    </row>
    <row r="185" spans="1:26" ht="31.5" customHeight="1">
      <c r="A185" s="101">
        <v>7.7</v>
      </c>
      <c r="B185" s="53" t="s">
        <v>412</v>
      </c>
      <c r="C185" s="87" t="s">
        <v>413</v>
      </c>
      <c r="D185" s="61" t="s">
        <v>1308</v>
      </c>
      <c r="E185" s="200">
        <f t="shared" si="0"/>
        <v>0</v>
      </c>
      <c r="F185" s="392"/>
      <c r="G185" s="371"/>
      <c r="H185" s="371"/>
      <c r="I185" s="362"/>
      <c r="J185" s="362"/>
      <c r="K185" s="262"/>
      <c r="L185" s="261"/>
      <c r="M185" s="261"/>
      <c r="N185" s="261"/>
      <c r="O185" s="372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7"/>
    </row>
    <row r="186" spans="1:26" ht="18.75" customHeight="1">
      <c r="A186" s="101">
        <v>7.8</v>
      </c>
      <c r="B186" s="53" t="s">
        <v>412</v>
      </c>
      <c r="C186" s="87" t="s">
        <v>415</v>
      </c>
      <c r="D186" s="216" t="s">
        <v>183</v>
      </c>
      <c r="E186" s="200">
        <f t="shared" si="0"/>
        <v>0</v>
      </c>
      <c r="F186" s="392"/>
      <c r="G186" s="371"/>
      <c r="H186" s="371"/>
      <c r="I186" s="362"/>
      <c r="J186" s="362"/>
      <c r="K186" s="262"/>
      <c r="L186" s="261"/>
      <c r="M186" s="261"/>
      <c r="N186" s="261"/>
      <c r="O186" s="372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7"/>
    </row>
    <row r="187" spans="1:26" ht="18.75" customHeight="1">
      <c r="A187" s="46">
        <v>8</v>
      </c>
      <c r="B187" s="64" t="s">
        <v>416</v>
      </c>
      <c r="C187" s="64" t="s">
        <v>417</v>
      </c>
      <c r="D187" s="216" t="s">
        <v>988</v>
      </c>
      <c r="E187" s="200">
        <f t="shared" si="0"/>
        <v>0</v>
      </c>
      <c r="F187" s="392"/>
      <c r="G187" s="371"/>
      <c r="H187" s="371"/>
      <c r="I187" s="362"/>
      <c r="J187" s="362"/>
      <c r="K187" s="262"/>
      <c r="L187" s="261"/>
      <c r="M187" s="261"/>
      <c r="N187" s="261"/>
      <c r="O187" s="372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7"/>
    </row>
    <row r="188" spans="1:26" ht="18.75" customHeight="1">
      <c r="A188" s="101">
        <v>8.1</v>
      </c>
      <c r="B188" s="53" t="s">
        <v>419</v>
      </c>
      <c r="C188" s="87" t="s">
        <v>420</v>
      </c>
      <c r="D188" s="61"/>
      <c r="E188" s="200">
        <f t="shared" si="0"/>
        <v>0</v>
      </c>
      <c r="F188" s="392"/>
      <c r="G188" s="371"/>
      <c r="H188" s="371"/>
      <c r="I188" s="362"/>
      <c r="J188" s="362"/>
      <c r="K188" s="262"/>
      <c r="L188" s="261"/>
      <c r="M188" s="261"/>
      <c r="N188" s="261"/>
      <c r="O188" s="372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7"/>
    </row>
    <row r="189" spans="1:26" ht="31.5" customHeight="1">
      <c r="A189" s="42" t="s">
        <v>989</v>
      </c>
      <c r="B189" s="59" t="s">
        <v>422</v>
      </c>
      <c r="C189" s="111" t="s">
        <v>423</v>
      </c>
      <c r="D189" s="61" t="s">
        <v>424</v>
      </c>
      <c r="E189" s="200">
        <f t="shared" si="0"/>
        <v>0</v>
      </c>
      <c r="F189" s="392"/>
      <c r="G189" s="371"/>
      <c r="H189" s="371"/>
      <c r="I189" s="362"/>
      <c r="J189" s="362"/>
      <c r="K189" s="262"/>
      <c r="L189" s="174"/>
      <c r="M189" s="261"/>
      <c r="N189" s="261"/>
      <c r="O189" s="372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7"/>
    </row>
    <row r="190" spans="1:26" ht="18.75" customHeight="1">
      <c r="A190" s="42" t="s">
        <v>990</v>
      </c>
      <c r="B190" s="59" t="s">
        <v>426</v>
      </c>
      <c r="C190" s="111" t="s">
        <v>427</v>
      </c>
      <c r="D190" s="61" t="s">
        <v>132</v>
      </c>
      <c r="E190" s="200">
        <f t="shared" si="0"/>
        <v>0</v>
      </c>
      <c r="F190" s="392"/>
      <c r="G190" s="371"/>
      <c r="H190" s="371"/>
      <c r="I190" s="362"/>
      <c r="J190" s="362"/>
      <c r="K190" s="262"/>
      <c r="L190" s="261"/>
      <c r="M190" s="261"/>
      <c r="N190" s="261"/>
      <c r="O190" s="372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7"/>
    </row>
    <row r="191" spans="1:26" ht="18.75" customHeight="1">
      <c r="A191" s="42" t="s">
        <v>991</v>
      </c>
      <c r="B191" s="59" t="s">
        <v>428</v>
      </c>
      <c r="C191" s="111" t="s">
        <v>429</v>
      </c>
      <c r="D191" s="61" t="s">
        <v>1309</v>
      </c>
      <c r="E191" s="200">
        <f t="shared" si="0"/>
        <v>0</v>
      </c>
      <c r="F191" s="392"/>
      <c r="G191" s="371"/>
      <c r="H191" s="371"/>
      <c r="I191" s="362"/>
      <c r="J191" s="362"/>
      <c r="K191" s="262"/>
      <c r="L191" s="261"/>
      <c r="M191" s="261"/>
      <c r="N191" s="261"/>
      <c r="O191" s="372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7"/>
    </row>
    <row r="192" spans="1:26" ht="18.75" customHeight="1">
      <c r="A192" s="42" t="s">
        <v>990</v>
      </c>
      <c r="B192" s="59" t="s">
        <v>426</v>
      </c>
      <c r="C192" s="111" t="s">
        <v>431</v>
      </c>
      <c r="D192" s="61" t="s">
        <v>1310</v>
      </c>
      <c r="E192" s="200">
        <f t="shared" si="0"/>
        <v>0</v>
      </c>
      <c r="F192" s="392"/>
      <c r="G192" s="371"/>
      <c r="H192" s="371"/>
      <c r="I192" s="362"/>
      <c r="J192" s="362"/>
      <c r="K192" s="262"/>
      <c r="L192" s="261"/>
      <c r="M192" s="261"/>
      <c r="N192" s="261"/>
      <c r="O192" s="372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7"/>
    </row>
    <row r="193" spans="1:26" ht="18.75" customHeight="1">
      <c r="A193" s="42" t="s">
        <v>991</v>
      </c>
      <c r="B193" s="59" t="s">
        <v>428</v>
      </c>
      <c r="C193" s="111" t="s">
        <v>433</v>
      </c>
      <c r="D193" s="61" t="s">
        <v>1311</v>
      </c>
      <c r="E193" s="200">
        <f t="shared" si="0"/>
        <v>0</v>
      </c>
      <c r="F193" s="392"/>
      <c r="G193" s="371"/>
      <c r="H193" s="371"/>
      <c r="I193" s="362"/>
      <c r="J193" s="362"/>
      <c r="K193" s="262"/>
      <c r="L193" s="261"/>
      <c r="M193" s="261"/>
      <c r="N193" s="261"/>
      <c r="O193" s="372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7"/>
    </row>
    <row r="194" spans="1:26" ht="31.5" customHeight="1">
      <c r="A194" s="101">
        <v>8.1999999999999993</v>
      </c>
      <c r="B194" s="53" t="s">
        <v>435</v>
      </c>
      <c r="C194" s="103" t="s">
        <v>436</v>
      </c>
      <c r="D194" s="61"/>
      <c r="E194" s="200">
        <f t="shared" si="0"/>
        <v>0</v>
      </c>
      <c r="F194" s="392"/>
      <c r="G194" s="371"/>
      <c r="H194" s="371"/>
      <c r="I194" s="362"/>
      <c r="J194" s="362"/>
      <c r="K194" s="262"/>
      <c r="L194" s="261"/>
      <c r="M194" s="261"/>
      <c r="N194" s="261"/>
      <c r="O194" s="372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7"/>
    </row>
    <row r="195" spans="1:26" ht="31.5" customHeight="1">
      <c r="A195" s="42" t="s">
        <v>995</v>
      </c>
      <c r="B195" s="59" t="s">
        <v>438</v>
      </c>
      <c r="C195" s="111" t="s">
        <v>423</v>
      </c>
      <c r="D195" s="61" t="s">
        <v>424</v>
      </c>
      <c r="E195" s="200">
        <f t="shared" si="0"/>
        <v>0</v>
      </c>
      <c r="F195" s="392"/>
      <c r="G195" s="371"/>
      <c r="H195" s="371"/>
      <c r="I195" s="362"/>
      <c r="J195" s="362"/>
      <c r="K195" s="261"/>
      <c r="L195" s="272"/>
      <c r="M195" s="261"/>
      <c r="N195" s="261"/>
      <c r="O195" s="372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7"/>
    </row>
    <row r="196" spans="1:26" ht="18.75" customHeight="1">
      <c r="A196" s="42" t="s">
        <v>996</v>
      </c>
      <c r="B196" s="59" t="s">
        <v>439</v>
      </c>
      <c r="C196" s="111" t="s">
        <v>427</v>
      </c>
      <c r="D196" s="61" t="s">
        <v>132</v>
      </c>
      <c r="E196" s="200">
        <f t="shared" si="0"/>
        <v>0</v>
      </c>
      <c r="F196" s="392"/>
      <c r="G196" s="371"/>
      <c r="H196" s="371"/>
      <c r="I196" s="362"/>
      <c r="J196" s="362"/>
      <c r="K196" s="262"/>
      <c r="L196" s="261"/>
      <c r="M196" s="261"/>
      <c r="N196" s="261"/>
      <c r="O196" s="372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7"/>
    </row>
    <row r="197" spans="1:26" ht="18.75" customHeight="1">
      <c r="A197" s="42" t="s">
        <v>997</v>
      </c>
      <c r="B197" s="59" t="s">
        <v>440</v>
      </c>
      <c r="C197" s="111" t="s">
        <v>429</v>
      </c>
      <c r="D197" s="61" t="s">
        <v>1312</v>
      </c>
      <c r="E197" s="200">
        <f t="shared" si="0"/>
        <v>0</v>
      </c>
      <c r="F197" s="392"/>
      <c r="G197" s="371"/>
      <c r="H197" s="371"/>
      <c r="I197" s="362"/>
      <c r="J197" s="362"/>
      <c r="K197" s="262"/>
      <c r="L197" s="261"/>
      <c r="M197" s="261"/>
      <c r="N197" s="261"/>
      <c r="O197" s="372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7"/>
    </row>
    <row r="198" spans="1:26" ht="18.75" customHeight="1">
      <c r="A198" s="42" t="s">
        <v>996</v>
      </c>
      <c r="B198" s="59" t="s">
        <v>439</v>
      </c>
      <c r="C198" s="111" t="s">
        <v>431</v>
      </c>
      <c r="D198" s="61" t="s">
        <v>1313</v>
      </c>
      <c r="E198" s="200">
        <f t="shared" si="0"/>
        <v>0</v>
      </c>
      <c r="F198" s="392"/>
      <c r="G198" s="371"/>
      <c r="H198" s="371"/>
      <c r="I198" s="362"/>
      <c r="J198" s="362"/>
      <c r="K198" s="262"/>
      <c r="L198" s="261"/>
      <c r="M198" s="261"/>
      <c r="N198" s="261"/>
      <c r="O198" s="372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7"/>
    </row>
    <row r="199" spans="1:26" ht="18.75" customHeight="1">
      <c r="A199" s="42" t="s">
        <v>997</v>
      </c>
      <c r="B199" s="59" t="s">
        <v>440</v>
      </c>
      <c r="C199" s="111" t="s">
        <v>433</v>
      </c>
      <c r="D199" s="61" t="s">
        <v>1314</v>
      </c>
      <c r="E199" s="200">
        <f t="shared" si="0"/>
        <v>0</v>
      </c>
      <c r="F199" s="392"/>
      <c r="G199" s="371"/>
      <c r="H199" s="371"/>
      <c r="I199" s="362"/>
      <c r="J199" s="362"/>
      <c r="K199" s="262"/>
      <c r="L199" s="261"/>
      <c r="M199" s="261"/>
      <c r="N199" s="261"/>
      <c r="O199" s="372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7"/>
    </row>
    <row r="200" spans="1:26" ht="18.75" customHeight="1">
      <c r="A200" s="101"/>
      <c r="B200" s="53" t="s">
        <v>444</v>
      </c>
      <c r="C200" s="103" t="s">
        <v>445</v>
      </c>
      <c r="D200" s="61"/>
      <c r="E200" s="200">
        <f t="shared" si="0"/>
        <v>0</v>
      </c>
      <c r="F200" s="392"/>
      <c r="G200" s="371"/>
      <c r="H200" s="371"/>
      <c r="I200" s="362"/>
      <c r="J200" s="362"/>
      <c r="K200" s="262"/>
      <c r="L200" s="261"/>
      <c r="M200" s="261"/>
      <c r="N200" s="261"/>
      <c r="O200" s="372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7"/>
    </row>
    <row r="201" spans="1:26" ht="18.75" customHeight="1">
      <c r="A201" s="42"/>
      <c r="B201" s="59" t="s">
        <v>446</v>
      </c>
      <c r="C201" s="111" t="s">
        <v>447</v>
      </c>
      <c r="D201" s="61" t="s">
        <v>424</v>
      </c>
      <c r="E201" s="200">
        <f t="shared" si="0"/>
        <v>0</v>
      </c>
      <c r="F201" s="392"/>
      <c r="G201" s="371"/>
      <c r="H201" s="371"/>
      <c r="I201" s="362"/>
      <c r="J201" s="362"/>
      <c r="K201" s="262"/>
      <c r="L201" s="261"/>
      <c r="M201" s="261"/>
      <c r="N201" s="261"/>
      <c r="O201" s="372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7"/>
    </row>
    <row r="202" spans="1:26" ht="18.75" customHeight="1">
      <c r="A202" s="42"/>
      <c r="B202" s="59" t="s">
        <v>449</v>
      </c>
      <c r="C202" s="111" t="s">
        <v>450</v>
      </c>
      <c r="D202" s="61" t="s">
        <v>1315</v>
      </c>
      <c r="E202" s="200">
        <f t="shared" si="0"/>
        <v>0</v>
      </c>
      <c r="F202" s="392"/>
      <c r="G202" s="371"/>
      <c r="H202" s="371"/>
      <c r="I202" s="362"/>
      <c r="J202" s="362"/>
      <c r="K202" s="262"/>
      <c r="L202" s="261"/>
      <c r="M202" s="261"/>
      <c r="N202" s="261"/>
      <c r="O202" s="372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7"/>
    </row>
    <row r="203" spans="1:26" ht="18.75" customHeight="1">
      <c r="A203" s="42"/>
      <c r="B203" s="59" t="s">
        <v>449</v>
      </c>
      <c r="C203" s="111" t="s">
        <v>431</v>
      </c>
      <c r="D203" s="61" t="s">
        <v>1316</v>
      </c>
      <c r="E203" s="200">
        <f t="shared" si="0"/>
        <v>0</v>
      </c>
      <c r="F203" s="392"/>
      <c r="G203" s="371"/>
      <c r="H203" s="371"/>
      <c r="I203" s="362"/>
      <c r="J203" s="362"/>
      <c r="K203" s="262"/>
      <c r="L203" s="261"/>
      <c r="M203" s="261"/>
      <c r="N203" s="261"/>
      <c r="O203" s="372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7"/>
    </row>
    <row r="204" spans="1:26" ht="18.75" customHeight="1">
      <c r="A204" s="42"/>
      <c r="B204" s="59" t="s">
        <v>453</v>
      </c>
      <c r="C204" s="111" t="s">
        <v>433</v>
      </c>
      <c r="D204" s="61" t="s">
        <v>1317</v>
      </c>
      <c r="E204" s="200">
        <f t="shared" si="0"/>
        <v>0</v>
      </c>
      <c r="F204" s="392"/>
      <c r="G204" s="371"/>
      <c r="H204" s="371"/>
      <c r="I204" s="362"/>
      <c r="J204" s="362"/>
      <c r="K204" s="262"/>
      <c r="L204" s="261"/>
      <c r="M204" s="261"/>
      <c r="N204" s="261"/>
      <c r="O204" s="372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7"/>
    </row>
    <row r="205" spans="1:26" ht="18.75" customHeight="1">
      <c r="A205" s="101"/>
      <c r="B205" s="53" t="s">
        <v>455</v>
      </c>
      <c r="C205" s="103" t="s">
        <v>456</v>
      </c>
      <c r="D205" s="61"/>
      <c r="E205" s="200">
        <f t="shared" si="0"/>
        <v>0</v>
      </c>
      <c r="F205" s="392"/>
      <c r="G205" s="371"/>
      <c r="H205" s="371"/>
      <c r="I205" s="362"/>
      <c r="J205" s="362"/>
      <c r="K205" s="262"/>
      <c r="L205" s="261"/>
      <c r="M205" s="261"/>
      <c r="N205" s="261"/>
      <c r="O205" s="372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7"/>
    </row>
    <row r="206" spans="1:26" ht="18.75" customHeight="1">
      <c r="A206" s="42"/>
      <c r="B206" s="59" t="s">
        <v>458</v>
      </c>
      <c r="C206" s="111" t="s">
        <v>459</v>
      </c>
      <c r="D206" s="61" t="s">
        <v>424</v>
      </c>
      <c r="E206" s="200">
        <f t="shared" si="0"/>
        <v>0</v>
      </c>
      <c r="F206" s="392"/>
      <c r="G206" s="371"/>
      <c r="H206" s="371"/>
      <c r="I206" s="362"/>
      <c r="J206" s="362"/>
      <c r="K206" s="262"/>
      <c r="L206" s="261"/>
      <c r="M206" s="261"/>
      <c r="N206" s="261"/>
      <c r="O206" s="372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7"/>
    </row>
    <row r="207" spans="1:26" ht="18.75" customHeight="1">
      <c r="A207" s="42"/>
      <c r="B207" s="59" t="s">
        <v>461</v>
      </c>
      <c r="C207" s="111" t="s">
        <v>431</v>
      </c>
      <c r="D207" s="61" t="s">
        <v>1318</v>
      </c>
      <c r="E207" s="200">
        <f t="shared" si="0"/>
        <v>0</v>
      </c>
      <c r="F207" s="392"/>
      <c r="G207" s="371"/>
      <c r="H207" s="371"/>
      <c r="I207" s="362"/>
      <c r="J207" s="362"/>
      <c r="K207" s="262"/>
      <c r="L207" s="261"/>
      <c r="M207" s="261"/>
      <c r="N207" s="261"/>
      <c r="O207" s="372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7"/>
    </row>
    <row r="208" spans="1:26" ht="18.75" customHeight="1">
      <c r="A208" s="42"/>
      <c r="B208" s="59" t="s">
        <v>464</v>
      </c>
      <c r="C208" s="111" t="s">
        <v>433</v>
      </c>
      <c r="D208" s="61" t="s">
        <v>1319</v>
      </c>
      <c r="E208" s="200">
        <f t="shared" si="0"/>
        <v>0</v>
      </c>
      <c r="F208" s="392"/>
      <c r="G208" s="371"/>
      <c r="H208" s="371"/>
      <c r="I208" s="362"/>
      <c r="J208" s="362"/>
      <c r="K208" s="262"/>
      <c r="L208" s="261"/>
      <c r="M208" s="261"/>
      <c r="N208" s="261"/>
      <c r="O208" s="372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7"/>
    </row>
    <row r="209" spans="1:26" ht="18.75" customHeight="1">
      <c r="A209" s="101"/>
      <c r="B209" s="53" t="s">
        <v>455</v>
      </c>
      <c r="C209" s="87" t="s">
        <v>467</v>
      </c>
      <c r="D209" s="61"/>
      <c r="E209" s="200">
        <f t="shared" si="0"/>
        <v>0</v>
      </c>
      <c r="F209" s="392"/>
      <c r="G209" s="371"/>
      <c r="H209" s="371"/>
      <c r="I209" s="362"/>
      <c r="J209" s="362"/>
      <c r="K209" s="262"/>
      <c r="L209" s="261"/>
      <c r="M209" s="261"/>
      <c r="N209" s="261"/>
      <c r="O209" s="372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7"/>
    </row>
    <row r="210" spans="1:26" ht="18.75" customHeight="1">
      <c r="A210" s="42"/>
      <c r="B210" s="59" t="s">
        <v>458</v>
      </c>
      <c r="C210" s="111" t="s">
        <v>469</v>
      </c>
      <c r="D210" s="61" t="s">
        <v>132</v>
      </c>
      <c r="E210" s="200">
        <f t="shared" si="0"/>
        <v>0</v>
      </c>
      <c r="F210" s="392"/>
      <c r="G210" s="371"/>
      <c r="H210" s="371"/>
      <c r="I210" s="362"/>
      <c r="J210" s="362"/>
      <c r="K210" s="262"/>
      <c r="L210" s="261"/>
      <c r="M210" s="261"/>
      <c r="N210" s="261"/>
      <c r="O210" s="372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7"/>
    </row>
    <row r="211" spans="1:26" ht="18.75" customHeight="1">
      <c r="A211" s="42"/>
      <c r="B211" s="59" t="s">
        <v>461</v>
      </c>
      <c r="C211" s="111" t="s">
        <v>471</v>
      </c>
      <c r="D211" s="61" t="s">
        <v>132</v>
      </c>
      <c r="E211" s="200">
        <f t="shared" si="0"/>
        <v>0</v>
      </c>
      <c r="F211" s="392"/>
      <c r="G211" s="371"/>
      <c r="H211" s="371"/>
      <c r="I211" s="362"/>
      <c r="J211" s="362"/>
      <c r="K211" s="262"/>
      <c r="L211" s="261"/>
      <c r="M211" s="261"/>
      <c r="N211" s="261"/>
      <c r="O211" s="372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7"/>
    </row>
    <row r="212" spans="1:26" ht="18.75" customHeight="1">
      <c r="A212" s="42"/>
      <c r="B212" s="59" t="s">
        <v>464</v>
      </c>
      <c r="C212" s="111" t="s">
        <v>473</v>
      </c>
      <c r="D212" s="61" t="s">
        <v>132</v>
      </c>
      <c r="E212" s="200">
        <f t="shared" si="0"/>
        <v>0</v>
      </c>
      <c r="F212" s="392"/>
      <c r="G212" s="371"/>
      <c r="H212" s="371"/>
      <c r="I212" s="362"/>
      <c r="J212" s="362"/>
      <c r="K212" s="262"/>
      <c r="L212" s="261"/>
      <c r="M212" s="261"/>
      <c r="N212" s="261"/>
      <c r="O212" s="372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7"/>
    </row>
    <row r="213" spans="1:26" ht="18.75" customHeight="1">
      <c r="A213" s="101"/>
      <c r="B213" s="53" t="s">
        <v>475</v>
      </c>
      <c r="C213" s="87" t="s">
        <v>476</v>
      </c>
      <c r="D213" s="61"/>
      <c r="E213" s="200">
        <f t="shared" si="0"/>
        <v>0</v>
      </c>
      <c r="F213" s="392"/>
      <c r="G213" s="371"/>
      <c r="H213" s="371"/>
      <c r="I213" s="362"/>
      <c r="J213" s="362"/>
      <c r="K213" s="262"/>
      <c r="L213" s="261"/>
      <c r="M213" s="261"/>
      <c r="N213" s="261"/>
      <c r="O213" s="372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7"/>
    </row>
    <row r="214" spans="1:26" ht="18.75" customHeight="1">
      <c r="A214" s="42"/>
      <c r="B214" s="59" t="s">
        <v>478</v>
      </c>
      <c r="C214" s="111" t="s">
        <v>479</v>
      </c>
      <c r="D214" s="61" t="s">
        <v>132</v>
      </c>
      <c r="E214" s="200">
        <f t="shared" si="0"/>
        <v>0</v>
      </c>
      <c r="F214" s="392"/>
      <c r="G214" s="371"/>
      <c r="H214" s="371"/>
      <c r="I214" s="362"/>
      <c r="J214" s="362"/>
      <c r="K214" s="262"/>
      <c r="L214" s="261"/>
      <c r="M214" s="261"/>
      <c r="N214" s="261"/>
      <c r="O214" s="372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7"/>
    </row>
    <row r="215" spans="1:26" ht="31.5" customHeight="1">
      <c r="A215" s="42"/>
      <c r="B215" s="59" t="s">
        <v>481</v>
      </c>
      <c r="C215" s="111" t="s">
        <v>482</v>
      </c>
      <c r="D215" s="61" t="s">
        <v>132</v>
      </c>
      <c r="E215" s="200">
        <f t="shared" si="0"/>
        <v>0</v>
      </c>
      <c r="F215" s="392"/>
      <c r="G215" s="371"/>
      <c r="H215" s="371"/>
      <c r="I215" s="362"/>
      <c r="J215" s="362"/>
      <c r="K215" s="262"/>
      <c r="L215" s="261"/>
      <c r="M215" s="261"/>
      <c r="N215" s="261"/>
      <c r="O215" s="372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7"/>
    </row>
    <row r="216" spans="1:26" ht="18.75" customHeight="1">
      <c r="A216" s="101"/>
      <c r="B216" s="53" t="s">
        <v>484</v>
      </c>
      <c r="C216" s="103" t="s">
        <v>485</v>
      </c>
      <c r="D216" s="61" t="s">
        <v>132</v>
      </c>
      <c r="E216" s="200">
        <f t="shared" si="0"/>
        <v>0</v>
      </c>
      <c r="F216" s="392"/>
      <c r="G216" s="371"/>
      <c r="H216" s="371"/>
      <c r="I216" s="362"/>
      <c r="J216" s="362"/>
      <c r="K216" s="262"/>
      <c r="L216" s="261"/>
      <c r="M216" s="261"/>
      <c r="N216" s="261"/>
      <c r="O216" s="372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7"/>
    </row>
    <row r="217" spans="1:26" ht="18.75" customHeight="1">
      <c r="A217" s="42"/>
      <c r="B217" s="59" t="s">
        <v>487</v>
      </c>
      <c r="C217" s="111" t="s">
        <v>488</v>
      </c>
      <c r="D217" s="61" t="s">
        <v>132</v>
      </c>
      <c r="E217" s="200">
        <f t="shared" si="0"/>
        <v>0</v>
      </c>
      <c r="F217" s="392"/>
      <c r="G217" s="371"/>
      <c r="H217" s="371"/>
      <c r="I217" s="362"/>
      <c r="J217" s="362"/>
      <c r="K217" s="262"/>
      <c r="L217" s="261"/>
      <c r="M217" s="261"/>
      <c r="N217" s="261"/>
      <c r="O217" s="372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7"/>
    </row>
    <row r="218" spans="1:26" ht="18.75" customHeight="1">
      <c r="A218" s="42"/>
      <c r="B218" s="59" t="s">
        <v>490</v>
      </c>
      <c r="C218" s="111" t="s">
        <v>491</v>
      </c>
      <c r="D218" s="61" t="s">
        <v>132</v>
      </c>
      <c r="E218" s="200">
        <f t="shared" si="0"/>
        <v>0</v>
      </c>
      <c r="F218" s="392"/>
      <c r="G218" s="371"/>
      <c r="H218" s="371"/>
      <c r="I218" s="362"/>
      <c r="J218" s="362"/>
      <c r="K218" s="262"/>
      <c r="L218" s="261"/>
      <c r="M218" s="261"/>
      <c r="N218" s="261"/>
      <c r="O218" s="372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7"/>
    </row>
    <row r="219" spans="1:26" ht="31.5" customHeight="1">
      <c r="A219" s="101"/>
      <c r="B219" s="53" t="s">
        <v>493</v>
      </c>
      <c r="C219" s="103" t="s">
        <v>494</v>
      </c>
      <c r="D219" s="61" t="s">
        <v>132</v>
      </c>
      <c r="E219" s="200">
        <f t="shared" si="0"/>
        <v>0</v>
      </c>
      <c r="F219" s="392"/>
      <c r="G219" s="371"/>
      <c r="H219" s="371"/>
      <c r="I219" s="362"/>
      <c r="J219" s="362"/>
      <c r="K219" s="262"/>
      <c r="L219" s="261"/>
      <c r="M219" s="261"/>
      <c r="N219" s="261"/>
      <c r="O219" s="372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7"/>
    </row>
    <row r="220" spans="1:26" ht="18.75" customHeight="1">
      <c r="A220" s="101">
        <v>8.8000000000000007</v>
      </c>
      <c r="B220" s="53" t="s">
        <v>496</v>
      </c>
      <c r="C220" s="87" t="s">
        <v>497</v>
      </c>
      <c r="D220" s="61"/>
      <c r="E220" s="200">
        <f t="shared" si="0"/>
        <v>0</v>
      </c>
      <c r="F220" s="392"/>
      <c r="G220" s="371"/>
      <c r="H220" s="371"/>
      <c r="I220" s="362"/>
      <c r="J220" s="362"/>
      <c r="K220" s="262"/>
      <c r="L220" s="261"/>
      <c r="M220" s="261"/>
      <c r="N220" s="261"/>
      <c r="O220" s="372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7"/>
    </row>
    <row r="221" spans="1:26" ht="18.75" customHeight="1">
      <c r="A221" s="118" t="s">
        <v>1006</v>
      </c>
      <c r="B221" s="59" t="s">
        <v>499</v>
      </c>
      <c r="C221" s="113" t="s">
        <v>500</v>
      </c>
      <c r="D221" s="61" t="s">
        <v>424</v>
      </c>
      <c r="E221" s="200">
        <f t="shared" si="0"/>
        <v>0</v>
      </c>
      <c r="F221" s="392"/>
      <c r="G221" s="371"/>
      <c r="H221" s="371"/>
      <c r="I221" s="362"/>
      <c r="J221" s="362"/>
      <c r="K221" s="262"/>
      <c r="L221" s="261"/>
      <c r="M221" s="261"/>
      <c r="N221" s="261"/>
      <c r="O221" s="372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7"/>
    </row>
    <row r="222" spans="1:26" ht="18.75" customHeight="1">
      <c r="A222" s="118" t="s">
        <v>1007</v>
      </c>
      <c r="B222" s="59" t="s">
        <v>502</v>
      </c>
      <c r="C222" s="113" t="s">
        <v>503</v>
      </c>
      <c r="D222" s="61" t="s">
        <v>1320</v>
      </c>
      <c r="E222" s="200">
        <f t="shared" si="0"/>
        <v>0</v>
      </c>
      <c r="F222" s="392"/>
      <c r="G222" s="371"/>
      <c r="H222" s="371"/>
      <c r="I222" s="362"/>
      <c r="J222" s="362"/>
      <c r="K222" s="262"/>
      <c r="L222" s="261"/>
      <c r="M222" s="261"/>
      <c r="N222" s="261"/>
      <c r="O222" s="372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7"/>
    </row>
    <row r="223" spans="1:26" ht="18.75" customHeight="1">
      <c r="A223" s="118" t="s">
        <v>1009</v>
      </c>
      <c r="B223" s="59" t="s">
        <v>506</v>
      </c>
      <c r="C223" s="113" t="s">
        <v>507</v>
      </c>
      <c r="D223" s="61" t="s">
        <v>1321</v>
      </c>
      <c r="E223" s="200">
        <f t="shared" si="0"/>
        <v>0</v>
      </c>
      <c r="F223" s="392"/>
      <c r="G223" s="371"/>
      <c r="H223" s="371"/>
      <c r="I223" s="362"/>
      <c r="J223" s="362"/>
      <c r="K223" s="262"/>
      <c r="L223" s="261"/>
      <c r="M223" s="261"/>
      <c r="N223" s="261"/>
      <c r="O223" s="372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7"/>
    </row>
    <row r="224" spans="1:26" ht="15.75" customHeight="1">
      <c r="A224" s="101">
        <v>8.9</v>
      </c>
      <c r="B224" s="53" t="s">
        <v>509</v>
      </c>
      <c r="C224" s="87" t="s">
        <v>510</v>
      </c>
      <c r="D224" s="216" t="s">
        <v>183</v>
      </c>
      <c r="E224" s="200">
        <f t="shared" si="0"/>
        <v>0</v>
      </c>
      <c r="F224" s="392"/>
      <c r="G224" s="371"/>
      <c r="H224" s="371"/>
      <c r="I224" s="362"/>
      <c r="J224" s="362"/>
      <c r="K224" s="262"/>
      <c r="L224" s="261"/>
      <c r="M224" s="261"/>
      <c r="N224" s="261"/>
      <c r="O224" s="372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7"/>
    </row>
    <row r="225" spans="1:26" ht="18.75" customHeight="1">
      <c r="A225" s="46">
        <v>9</v>
      </c>
      <c r="B225" s="64" t="s">
        <v>512</v>
      </c>
      <c r="C225" s="64" t="s">
        <v>513</v>
      </c>
      <c r="D225" s="216"/>
      <c r="E225" s="200">
        <f t="shared" si="0"/>
        <v>0</v>
      </c>
      <c r="F225" s="392"/>
      <c r="G225" s="371"/>
      <c r="H225" s="371"/>
      <c r="I225" s="362"/>
      <c r="J225" s="362"/>
      <c r="K225" s="262"/>
      <c r="L225" s="261"/>
      <c r="M225" s="261"/>
      <c r="N225" s="261"/>
      <c r="O225" s="372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7"/>
    </row>
    <row r="226" spans="1:26" ht="31.5" customHeight="1">
      <c r="A226" s="101"/>
      <c r="B226" s="53" t="s">
        <v>515</v>
      </c>
      <c r="C226" s="87" t="s">
        <v>516</v>
      </c>
      <c r="D226" s="61" t="s">
        <v>1011</v>
      </c>
      <c r="E226" s="200">
        <f t="shared" si="0"/>
        <v>0</v>
      </c>
      <c r="F226" s="392"/>
      <c r="G226" s="371"/>
      <c r="H226" s="371"/>
      <c r="I226" s="362"/>
      <c r="J226" s="362"/>
      <c r="K226" s="262"/>
      <c r="L226" s="261"/>
      <c r="M226" s="261"/>
      <c r="N226" s="261"/>
      <c r="O226" s="372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7"/>
    </row>
    <row r="227" spans="1:26" ht="18.75" customHeight="1">
      <c r="A227" s="42"/>
      <c r="B227" s="59" t="s">
        <v>518</v>
      </c>
      <c r="C227" s="113" t="s">
        <v>447</v>
      </c>
      <c r="D227" s="61" t="s">
        <v>424</v>
      </c>
      <c r="E227" s="200">
        <f t="shared" si="0"/>
        <v>0</v>
      </c>
      <c r="F227" s="392"/>
      <c r="G227" s="371"/>
      <c r="H227" s="371"/>
      <c r="I227" s="362"/>
      <c r="J227" s="362"/>
      <c r="K227" s="262"/>
      <c r="L227" s="261"/>
      <c r="M227" s="261"/>
      <c r="N227" s="261"/>
      <c r="O227" s="372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7"/>
    </row>
    <row r="228" spans="1:26" ht="18" customHeight="1">
      <c r="A228" s="42"/>
      <c r="B228" s="59" t="s">
        <v>520</v>
      </c>
      <c r="C228" s="113" t="s">
        <v>521</v>
      </c>
      <c r="D228" s="61" t="s">
        <v>424</v>
      </c>
      <c r="E228" s="200">
        <f t="shared" si="0"/>
        <v>0</v>
      </c>
      <c r="F228" s="392"/>
      <c r="G228" s="371"/>
      <c r="H228" s="371"/>
      <c r="I228" s="362"/>
      <c r="J228" s="362"/>
      <c r="K228" s="262"/>
      <c r="L228" s="261"/>
      <c r="M228" s="261"/>
      <c r="N228" s="261"/>
      <c r="O228" s="372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7"/>
    </row>
    <row r="229" spans="1:26" ht="18.75" customHeight="1">
      <c r="A229" s="42"/>
      <c r="B229" s="59" t="s">
        <v>523</v>
      </c>
      <c r="C229" s="113" t="s">
        <v>524</v>
      </c>
      <c r="D229" s="61" t="s">
        <v>1322</v>
      </c>
      <c r="E229" s="200">
        <f t="shared" si="0"/>
        <v>0</v>
      </c>
      <c r="F229" s="392"/>
      <c r="G229" s="371"/>
      <c r="H229" s="371"/>
      <c r="I229" s="362"/>
      <c r="J229" s="362"/>
      <c r="K229" s="262"/>
      <c r="L229" s="261"/>
      <c r="M229" s="261"/>
      <c r="N229" s="261"/>
      <c r="O229" s="372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7"/>
    </row>
    <row r="230" spans="1:26" ht="18.75" customHeight="1">
      <c r="A230" s="42"/>
      <c r="B230" s="59" t="s">
        <v>526</v>
      </c>
      <c r="C230" s="113" t="s">
        <v>527</v>
      </c>
      <c r="D230" s="61" t="s">
        <v>1323</v>
      </c>
      <c r="E230" s="200">
        <f t="shared" si="0"/>
        <v>0</v>
      </c>
      <c r="F230" s="392"/>
      <c r="G230" s="371"/>
      <c r="H230" s="371"/>
      <c r="I230" s="362"/>
      <c r="J230" s="362"/>
      <c r="K230" s="262"/>
      <c r="L230" s="261"/>
      <c r="M230" s="261"/>
      <c r="N230" s="261"/>
      <c r="O230" s="372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7"/>
    </row>
    <row r="231" spans="1:26" ht="18.75" customHeight="1">
      <c r="A231" s="42"/>
      <c r="B231" s="59" t="s">
        <v>530</v>
      </c>
      <c r="C231" s="113" t="s">
        <v>531</v>
      </c>
      <c r="D231" s="61" t="s">
        <v>132</v>
      </c>
      <c r="E231" s="200">
        <f t="shared" si="0"/>
        <v>0</v>
      </c>
      <c r="F231" s="392"/>
      <c r="G231" s="371"/>
      <c r="H231" s="371"/>
      <c r="I231" s="362"/>
      <c r="J231" s="362"/>
      <c r="K231" s="262"/>
      <c r="L231" s="261"/>
      <c r="M231" s="261"/>
      <c r="N231" s="261"/>
      <c r="O231" s="372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7"/>
    </row>
    <row r="232" spans="1:26" ht="15.75" customHeight="1">
      <c r="A232" s="42"/>
      <c r="B232" s="59" t="s">
        <v>533</v>
      </c>
      <c r="C232" s="113" t="s">
        <v>534</v>
      </c>
      <c r="D232" s="61" t="s">
        <v>132</v>
      </c>
      <c r="E232" s="200">
        <f t="shared" si="0"/>
        <v>0</v>
      </c>
      <c r="F232" s="392"/>
      <c r="G232" s="371"/>
      <c r="H232" s="371"/>
      <c r="I232" s="362"/>
      <c r="J232" s="362"/>
      <c r="K232" s="262"/>
      <c r="L232" s="261"/>
      <c r="M232" s="261"/>
      <c r="N232" s="261"/>
      <c r="O232" s="372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7"/>
    </row>
    <row r="233" spans="1:26" ht="31.5" customHeight="1">
      <c r="A233" s="42"/>
      <c r="B233" s="59" t="s">
        <v>536</v>
      </c>
      <c r="C233" s="113" t="s">
        <v>537</v>
      </c>
      <c r="D233" s="61" t="s">
        <v>194</v>
      </c>
      <c r="E233" s="200">
        <f t="shared" si="0"/>
        <v>0</v>
      </c>
      <c r="F233" s="392"/>
      <c r="G233" s="378"/>
      <c r="H233" s="378"/>
      <c r="I233" s="379"/>
      <c r="J233" s="379"/>
      <c r="K233" s="262"/>
      <c r="L233" s="261"/>
      <c r="M233" s="261"/>
      <c r="N233" s="261"/>
      <c r="O233" s="372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7"/>
    </row>
    <row r="234" spans="1:26" ht="18.75" customHeight="1">
      <c r="A234" s="42"/>
      <c r="B234" s="59" t="s">
        <v>539</v>
      </c>
      <c r="C234" s="113" t="s">
        <v>540</v>
      </c>
      <c r="D234" s="216" t="s">
        <v>183</v>
      </c>
      <c r="E234" s="200">
        <f t="shared" si="0"/>
        <v>0</v>
      </c>
      <c r="F234" s="392"/>
      <c r="G234" s="371"/>
      <c r="H234" s="371"/>
      <c r="I234" s="362"/>
      <c r="J234" s="362"/>
      <c r="K234" s="262"/>
      <c r="L234" s="261"/>
      <c r="M234" s="261"/>
      <c r="N234" s="261"/>
      <c r="O234" s="372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7"/>
    </row>
    <row r="235" spans="1:26" ht="18.75" customHeight="1">
      <c r="A235" s="42"/>
      <c r="B235" s="59" t="s">
        <v>542</v>
      </c>
      <c r="C235" s="113" t="s">
        <v>543</v>
      </c>
      <c r="D235" s="61" t="s">
        <v>132</v>
      </c>
      <c r="E235" s="200">
        <f t="shared" si="0"/>
        <v>0</v>
      </c>
      <c r="F235" s="392"/>
      <c r="G235" s="371"/>
      <c r="H235" s="371"/>
      <c r="I235" s="362"/>
      <c r="J235" s="362"/>
      <c r="K235" s="262"/>
      <c r="L235" s="261"/>
      <c r="M235" s="261"/>
      <c r="N235" s="261"/>
      <c r="O235" s="372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7"/>
    </row>
    <row r="236" spans="1:26" ht="31.5" customHeight="1">
      <c r="A236" s="101"/>
      <c r="B236" s="53" t="s">
        <v>545</v>
      </c>
      <c r="C236" s="87" t="s">
        <v>546</v>
      </c>
      <c r="D236" s="61" t="s">
        <v>1011</v>
      </c>
      <c r="E236" s="200">
        <f t="shared" si="0"/>
        <v>0</v>
      </c>
      <c r="F236" s="392"/>
      <c r="G236" s="371"/>
      <c r="H236" s="371"/>
      <c r="I236" s="362"/>
      <c r="J236" s="362"/>
      <c r="K236" s="262"/>
      <c r="L236" s="261"/>
      <c r="M236" s="261"/>
      <c r="N236" s="261"/>
      <c r="O236" s="372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7"/>
    </row>
    <row r="237" spans="1:26" ht="18.75" customHeight="1">
      <c r="A237" s="42"/>
      <c r="B237" s="59" t="s">
        <v>548</v>
      </c>
      <c r="C237" s="113" t="s">
        <v>447</v>
      </c>
      <c r="D237" s="61" t="s">
        <v>424</v>
      </c>
      <c r="E237" s="200">
        <f t="shared" si="0"/>
        <v>0</v>
      </c>
      <c r="F237" s="392"/>
      <c r="G237" s="371"/>
      <c r="H237" s="371"/>
      <c r="I237" s="362"/>
      <c r="J237" s="362"/>
      <c r="K237" s="262"/>
      <c r="L237" s="261"/>
      <c r="M237" s="261"/>
      <c r="N237" s="261"/>
      <c r="O237" s="372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7"/>
    </row>
    <row r="238" spans="1:26" ht="18.75" customHeight="1">
      <c r="A238" s="42"/>
      <c r="B238" s="59" t="s">
        <v>550</v>
      </c>
      <c r="C238" s="113" t="s">
        <v>521</v>
      </c>
      <c r="D238" s="61" t="s">
        <v>424</v>
      </c>
      <c r="E238" s="200">
        <f t="shared" si="0"/>
        <v>0</v>
      </c>
      <c r="F238" s="392"/>
      <c r="G238" s="371"/>
      <c r="H238" s="371"/>
      <c r="I238" s="362"/>
      <c r="J238" s="362"/>
      <c r="K238" s="262"/>
      <c r="L238" s="261"/>
      <c r="M238" s="261"/>
      <c r="N238" s="261"/>
      <c r="O238" s="372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7"/>
    </row>
    <row r="239" spans="1:26" ht="18.75" customHeight="1">
      <c r="A239" s="42"/>
      <c r="B239" s="59" t="s">
        <v>551</v>
      </c>
      <c r="C239" s="113" t="s">
        <v>524</v>
      </c>
      <c r="D239" s="61" t="s">
        <v>1324</v>
      </c>
      <c r="E239" s="200">
        <f t="shared" si="0"/>
        <v>0</v>
      </c>
      <c r="F239" s="392"/>
      <c r="G239" s="371"/>
      <c r="H239" s="371"/>
      <c r="I239" s="362"/>
      <c r="J239" s="362"/>
      <c r="K239" s="262"/>
      <c r="L239" s="261"/>
      <c r="M239" s="261"/>
      <c r="N239" s="261"/>
      <c r="O239" s="372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7"/>
    </row>
    <row r="240" spans="1:26" ht="18.75" customHeight="1">
      <c r="A240" s="42"/>
      <c r="B240" s="59" t="s">
        <v>553</v>
      </c>
      <c r="C240" s="113" t="s">
        <v>527</v>
      </c>
      <c r="D240" s="61" t="s">
        <v>1325</v>
      </c>
      <c r="E240" s="200">
        <f t="shared" si="0"/>
        <v>0</v>
      </c>
      <c r="F240" s="392"/>
      <c r="G240" s="371"/>
      <c r="H240" s="371"/>
      <c r="I240" s="362"/>
      <c r="J240" s="362"/>
      <c r="K240" s="262"/>
      <c r="L240" s="261"/>
      <c r="M240" s="261"/>
      <c r="N240" s="261"/>
      <c r="O240" s="372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7"/>
    </row>
    <row r="241" spans="1:26" ht="18.75" customHeight="1">
      <c r="A241" s="42"/>
      <c r="B241" s="59" t="s">
        <v>555</v>
      </c>
      <c r="C241" s="113" t="s">
        <v>531</v>
      </c>
      <c r="D241" s="61" t="s">
        <v>132</v>
      </c>
      <c r="E241" s="200">
        <f t="shared" si="0"/>
        <v>0</v>
      </c>
      <c r="F241" s="392"/>
      <c r="G241" s="371"/>
      <c r="H241" s="371"/>
      <c r="I241" s="362"/>
      <c r="J241" s="362"/>
      <c r="K241" s="262"/>
      <c r="L241" s="261"/>
      <c r="M241" s="261"/>
      <c r="N241" s="261"/>
      <c r="O241" s="372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7"/>
    </row>
    <row r="242" spans="1:26" ht="18.75" customHeight="1">
      <c r="A242" s="42"/>
      <c r="B242" s="59" t="s">
        <v>556</v>
      </c>
      <c r="C242" s="113" t="s">
        <v>534</v>
      </c>
      <c r="D242" s="61" t="s">
        <v>132</v>
      </c>
      <c r="E242" s="200">
        <f t="shared" si="0"/>
        <v>0</v>
      </c>
      <c r="F242" s="392"/>
      <c r="G242" s="371"/>
      <c r="H242" s="371"/>
      <c r="I242" s="362"/>
      <c r="J242" s="362"/>
      <c r="K242" s="262"/>
      <c r="L242" s="261"/>
      <c r="M242" s="261"/>
      <c r="N242" s="261"/>
      <c r="O242" s="372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7"/>
    </row>
    <row r="243" spans="1:26" ht="31.5" customHeight="1">
      <c r="A243" s="42"/>
      <c r="B243" s="59" t="s">
        <v>557</v>
      </c>
      <c r="C243" s="113" t="s">
        <v>537</v>
      </c>
      <c r="D243" s="61" t="s">
        <v>194</v>
      </c>
      <c r="E243" s="200">
        <f t="shared" si="0"/>
        <v>0</v>
      </c>
      <c r="F243" s="392"/>
      <c r="G243" s="371"/>
      <c r="H243" s="371"/>
      <c r="I243" s="362"/>
      <c r="J243" s="362"/>
      <c r="K243" s="262"/>
      <c r="L243" s="261"/>
      <c r="M243" s="261"/>
      <c r="N243" s="261"/>
      <c r="O243" s="372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7"/>
    </row>
    <row r="244" spans="1:26" ht="18.75" customHeight="1">
      <c r="A244" s="42" t="s">
        <v>1016</v>
      </c>
      <c r="B244" s="59" t="s">
        <v>558</v>
      </c>
      <c r="C244" s="113" t="s">
        <v>540</v>
      </c>
      <c r="D244" s="216" t="s">
        <v>183</v>
      </c>
      <c r="E244" s="200">
        <f t="shared" si="0"/>
        <v>0</v>
      </c>
      <c r="F244" s="392"/>
      <c r="G244" s="371"/>
      <c r="H244" s="371"/>
      <c r="I244" s="362"/>
      <c r="J244" s="362"/>
      <c r="K244" s="262"/>
      <c r="L244" s="261"/>
      <c r="M244" s="261"/>
      <c r="N244" s="261"/>
      <c r="O244" s="372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7"/>
    </row>
    <row r="245" spans="1:26" ht="18.75" customHeight="1">
      <c r="A245" s="42" t="s">
        <v>1017</v>
      </c>
      <c r="B245" s="59" t="s">
        <v>559</v>
      </c>
      <c r="C245" s="113" t="s">
        <v>543</v>
      </c>
      <c r="D245" s="61" t="s">
        <v>132</v>
      </c>
      <c r="E245" s="200">
        <f t="shared" si="0"/>
        <v>0</v>
      </c>
      <c r="F245" s="392"/>
      <c r="G245" s="371"/>
      <c r="H245" s="371"/>
      <c r="I245" s="362"/>
      <c r="J245" s="362"/>
      <c r="K245" s="262"/>
      <c r="L245" s="261"/>
      <c r="M245" s="261"/>
      <c r="N245" s="261"/>
      <c r="O245" s="372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7"/>
    </row>
    <row r="246" spans="1:26" ht="18.75" customHeight="1">
      <c r="A246" s="101">
        <v>9.3000000000000007</v>
      </c>
      <c r="B246" s="53" t="s">
        <v>560</v>
      </c>
      <c r="C246" s="87" t="s">
        <v>561</v>
      </c>
      <c r="D246" s="61"/>
      <c r="E246" s="200">
        <f t="shared" si="0"/>
        <v>0</v>
      </c>
      <c r="F246" s="392"/>
      <c r="G246" s="371"/>
      <c r="H246" s="371"/>
      <c r="I246" s="362"/>
      <c r="J246" s="362"/>
      <c r="K246" s="262"/>
      <c r="L246" s="261"/>
      <c r="M246" s="261"/>
      <c r="N246" s="261"/>
      <c r="O246" s="372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7"/>
    </row>
    <row r="247" spans="1:26" ht="18.75" customHeight="1">
      <c r="A247" s="42" t="s">
        <v>1018</v>
      </c>
      <c r="B247" s="59" t="s">
        <v>562</v>
      </c>
      <c r="C247" s="113" t="s">
        <v>563</v>
      </c>
      <c r="D247" s="61" t="s">
        <v>424</v>
      </c>
      <c r="E247" s="200">
        <f t="shared" si="0"/>
        <v>0</v>
      </c>
      <c r="F247" s="392"/>
      <c r="G247" s="371"/>
      <c r="H247" s="371"/>
      <c r="I247" s="362"/>
      <c r="J247" s="362"/>
      <c r="K247" s="262"/>
      <c r="L247" s="261"/>
      <c r="M247" s="261"/>
      <c r="N247" s="261"/>
      <c r="O247" s="372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7"/>
    </row>
    <row r="248" spans="1:26" ht="18.75" customHeight="1">
      <c r="A248" s="42" t="s">
        <v>1019</v>
      </c>
      <c r="B248" s="59" t="s">
        <v>564</v>
      </c>
      <c r="C248" s="113" t="s">
        <v>565</v>
      </c>
      <c r="D248" s="61" t="s">
        <v>424</v>
      </c>
      <c r="E248" s="200">
        <f t="shared" si="0"/>
        <v>0</v>
      </c>
      <c r="F248" s="392"/>
      <c r="G248" s="371"/>
      <c r="H248" s="371"/>
      <c r="I248" s="362"/>
      <c r="J248" s="362"/>
      <c r="K248" s="262"/>
      <c r="L248" s="261"/>
      <c r="M248" s="261"/>
      <c r="N248" s="261"/>
      <c r="O248" s="372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7"/>
    </row>
    <row r="249" spans="1:26" ht="18.75" customHeight="1">
      <c r="A249" s="42" t="s">
        <v>1020</v>
      </c>
      <c r="B249" s="59" t="s">
        <v>566</v>
      </c>
      <c r="C249" s="113" t="s">
        <v>567</v>
      </c>
      <c r="D249" s="61" t="s">
        <v>1326</v>
      </c>
      <c r="E249" s="200">
        <f t="shared" si="0"/>
        <v>0</v>
      </c>
      <c r="F249" s="392"/>
      <c r="G249" s="371"/>
      <c r="H249" s="371"/>
      <c r="I249" s="362"/>
      <c r="J249" s="362"/>
      <c r="K249" s="262"/>
      <c r="L249" s="261"/>
      <c r="M249" s="261"/>
      <c r="N249" s="261"/>
      <c r="O249" s="372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7"/>
    </row>
    <row r="250" spans="1:26" ht="18.75" customHeight="1">
      <c r="A250" s="42" t="s">
        <v>1022</v>
      </c>
      <c r="B250" s="59" t="s">
        <v>569</v>
      </c>
      <c r="C250" s="113" t="s">
        <v>570</v>
      </c>
      <c r="D250" s="61" t="s">
        <v>1327</v>
      </c>
      <c r="E250" s="200">
        <f t="shared" si="0"/>
        <v>0</v>
      </c>
      <c r="F250" s="392"/>
      <c r="G250" s="371"/>
      <c r="H250" s="371"/>
      <c r="I250" s="362"/>
      <c r="J250" s="362"/>
      <c r="K250" s="262"/>
      <c r="L250" s="261"/>
      <c r="M250" s="261"/>
      <c r="N250" s="261"/>
      <c r="O250" s="372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7"/>
    </row>
    <row r="251" spans="1:26" ht="18.75" customHeight="1">
      <c r="A251" s="42" t="s">
        <v>1024</v>
      </c>
      <c r="B251" s="59" t="s">
        <v>572</v>
      </c>
      <c r="C251" s="113" t="s">
        <v>573</v>
      </c>
      <c r="D251" s="61" t="s">
        <v>132</v>
      </c>
      <c r="E251" s="200">
        <f t="shared" si="0"/>
        <v>0</v>
      </c>
      <c r="F251" s="392"/>
      <c r="G251" s="371"/>
      <c r="H251" s="371"/>
      <c r="I251" s="362"/>
      <c r="J251" s="362"/>
      <c r="K251" s="262"/>
      <c r="L251" s="261"/>
      <c r="M251" s="261"/>
      <c r="N251" s="261"/>
      <c r="O251" s="372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7"/>
    </row>
    <row r="252" spans="1:26" ht="18.75" customHeight="1">
      <c r="A252" s="42" t="s">
        <v>1025</v>
      </c>
      <c r="B252" s="59" t="s">
        <v>574</v>
      </c>
      <c r="C252" s="113" t="s">
        <v>575</v>
      </c>
      <c r="D252" s="61" t="s">
        <v>132</v>
      </c>
      <c r="E252" s="200">
        <f t="shared" si="0"/>
        <v>0</v>
      </c>
      <c r="F252" s="392"/>
      <c r="G252" s="371"/>
      <c r="H252" s="371"/>
      <c r="I252" s="362"/>
      <c r="J252" s="362"/>
      <c r="K252" s="262"/>
      <c r="L252" s="261"/>
      <c r="M252" s="261"/>
      <c r="N252" s="261"/>
      <c r="O252" s="372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7"/>
    </row>
    <row r="253" spans="1:26" ht="31.5" customHeight="1">
      <c r="A253" s="42" t="s">
        <v>1026</v>
      </c>
      <c r="B253" s="59" t="s">
        <v>576</v>
      </c>
      <c r="C253" s="113" t="s">
        <v>577</v>
      </c>
      <c r="D253" s="216" t="s">
        <v>183</v>
      </c>
      <c r="E253" s="200">
        <f t="shared" si="0"/>
        <v>0</v>
      </c>
      <c r="F253" s="392"/>
      <c r="G253" s="371"/>
      <c r="H253" s="371"/>
      <c r="I253" s="362"/>
      <c r="J253" s="362"/>
      <c r="K253" s="262"/>
      <c r="L253" s="261"/>
      <c r="M253" s="261"/>
      <c r="N253" s="261"/>
      <c r="O253" s="372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7"/>
    </row>
    <row r="254" spans="1:26" ht="31.5" customHeight="1">
      <c r="A254" s="42" t="s">
        <v>1027</v>
      </c>
      <c r="B254" s="59" t="s">
        <v>578</v>
      </c>
      <c r="C254" s="113" t="s">
        <v>579</v>
      </c>
      <c r="D254" s="61" t="s">
        <v>194</v>
      </c>
      <c r="E254" s="200">
        <f t="shared" si="0"/>
        <v>0</v>
      </c>
      <c r="F254" s="392"/>
      <c r="G254" s="371"/>
      <c r="H254" s="371"/>
      <c r="I254" s="362"/>
      <c r="J254" s="362"/>
      <c r="K254" s="262"/>
      <c r="L254" s="261"/>
      <c r="M254" s="261"/>
      <c r="N254" s="261"/>
      <c r="O254" s="372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7"/>
    </row>
    <row r="255" spans="1:26" ht="18.75" customHeight="1">
      <c r="A255" s="42" t="s">
        <v>1028</v>
      </c>
      <c r="B255" s="59" t="s">
        <v>580</v>
      </c>
      <c r="C255" s="113" t="s">
        <v>543</v>
      </c>
      <c r="D255" s="61" t="s">
        <v>132</v>
      </c>
      <c r="E255" s="200">
        <f t="shared" si="0"/>
        <v>0</v>
      </c>
      <c r="F255" s="392"/>
      <c r="G255" s="371"/>
      <c r="H255" s="371"/>
      <c r="I255" s="362"/>
      <c r="J255" s="362"/>
      <c r="K255" s="262"/>
      <c r="L255" s="261"/>
      <c r="M255" s="261"/>
      <c r="N255" s="261"/>
      <c r="O255" s="372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7"/>
    </row>
    <row r="256" spans="1:26" ht="18.75" customHeight="1">
      <c r="A256" s="101">
        <v>9.4</v>
      </c>
      <c r="B256" s="53" t="s">
        <v>581</v>
      </c>
      <c r="C256" s="87" t="s">
        <v>582</v>
      </c>
      <c r="D256" s="61"/>
      <c r="E256" s="200">
        <f t="shared" si="0"/>
        <v>0</v>
      </c>
      <c r="F256" s="392"/>
      <c r="G256" s="371"/>
      <c r="H256" s="371"/>
      <c r="I256" s="362"/>
      <c r="J256" s="362"/>
      <c r="K256" s="262"/>
      <c r="L256" s="261"/>
      <c r="M256" s="261"/>
      <c r="N256" s="261"/>
      <c r="O256" s="372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7"/>
    </row>
    <row r="257" spans="1:26" ht="18.75" customHeight="1">
      <c r="A257" s="42" t="s">
        <v>1029</v>
      </c>
      <c r="B257" s="59" t="s">
        <v>584</v>
      </c>
      <c r="C257" s="113" t="s">
        <v>585</v>
      </c>
      <c r="D257" s="61" t="s">
        <v>132</v>
      </c>
      <c r="E257" s="200">
        <f t="shared" si="0"/>
        <v>0</v>
      </c>
      <c r="F257" s="392"/>
      <c r="G257" s="371"/>
      <c r="H257" s="371"/>
      <c r="I257" s="362"/>
      <c r="J257" s="362"/>
      <c r="K257" s="262"/>
      <c r="L257" s="261"/>
      <c r="M257" s="261"/>
      <c r="N257" s="261"/>
      <c r="O257" s="372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7"/>
    </row>
    <row r="258" spans="1:26" ht="18.75" customHeight="1">
      <c r="A258" s="42" t="s">
        <v>1030</v>
      </c>
      <c r="B258" s="59" t="s">
        <v>586</v>
      </c>
      <c r="C258" s="113" t="s">
        <v>587</v>
      </c>
      <c r="D258" s="61" t="s">
        <v>132</v>
      </c>
      <c r="E258" s="200">
        <f t="shared" si="0"/>
        <v>0</v>
      </c>
      <c r="F258" s="392"/>
      <c r="G258" s="371"/>
      <c r="H258" s="371"/>
      <c r="I258" s="362"/>
      <c r="J258" s="362"/>
      <c r="K258" s="262"/>
      <c r="L258" s="261"/>
      <c r="M258" s="261"/>
      <c r="N258" s="261"/>
      <c r="O258" s="372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7"/>
    </row>
    <row r="259" spans="1:26" ht="18.75" customHeight="1">
      <c r="A259" s="42" t="s">
        <v>1031</v>
      </c>
      <c r="B259" s="59" t="s">
        <v>589</v>
      </c>
      <c r="C259" s="113" t="s">
        <v>540</v>
      </c>
      <c r="D259" s="216" t="s">
        <v>183</v>
      </c>
      <c r="E259" s="200">
        <f t="shared" si="0"/>
        <v>0</v>
      </c>
      <c r="F259" s="392"/>
      <c r="G259" s="371"/>
      <c r="H259" s="371"/>
      <c r="I259" s="362"/>
      <c r="J259" s="362"/>
      <c r="K259" s="262"/>
      <c r="L259" s="261"/>
      <c r="M259" s="261"/>
      <c r="N259" s="261"/>
      <c r="O259" s="372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7"/>
    </row>
    <row r="260" spans="1:26" ht="18.75" customHeight="1">
      <c r="A260" s="42" t="s">
        <v>1032</v>
      </c>
      <c r="B260" s="59" t="s">
        <v>590</v>
      </c>
      <c r="C260" s="113" t="s">
        <v>591</v>
      </c>
      <c r="D260" s="61" t="s">
        <v>132</v>
      </c>
      <c r="E260" s="200">
        <f t="shared" si="0"/>
        <v>0</v>
      </c>
      <c r="F260" s="392"/>
      <c r="G260" s="371"/>
      <c r="H260" s="371"/>
      <c r="I260" s="362"/>
      <c r="J260" s="362"/>
      <c r="K260" s="262"/>
      <c r="L260" s="261"/>
      <c r="M260" s="261"/>
      <c r="N260" s="261"/>
      <c r="O260" s="372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7"/>
    </row>
    <row r="261" spans="1:26" ht="18.75" customHeight="1">
      <c r="A261" s="42" t="s">
        <v>1033</v>
      </c>
      <c r="B261" s="59" t="s">
        <v>592</v>
      </c>
      <c r="C261" s="113" t="s">
        <v>593</v>
      </c>
      <c r="D261" s="61" t="s">
        <v>594</v>
      </c>
      <c r="E261" s="200">
        <f t="shared" si="0"/>
        <v>0</v>
      </c>
      <c r="F261" s="392"/>
      <c r="G261" s="371"/>
      <c r="H261" s="371"/>
      <c r="I261" s="362"/>
      <c r="J261" s="362"/>
      <c r="K261" s="262"/>
      <c r="L261" s="261"/>
      <c r="M261" s="261"/>
      <c r="N261" s="261"/>
      <c r="O261" s="372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7"/>
    </row>
    <row r="262" spans="1:26" ht="18.75" customHeight="1">
      <c r="A262" s="42" t="s">
        <v>1034</v>
      </c>
      <c r="B262" s="59" t="s">
        <v>595</v>
      </c>
      <c r="C262" s="113" t="s">
        <v>543</v>
      </c>
      <c r="D262" s="61" t="s">
        <v>132</v>
      </c>
      <c r="E262" s="200">
        <f t="shared" si="0"/>
        <v>0</v>
      </c>
      <c r="F262" s="392"/>
      <c r="G262" s="371"/>
      <c r="H262" s="371"/>
      <c r="I262" s="362"/>
      <c r="J262" s="362"/>
      <c r="K262" s="262"/>
      <c r="L262" s="261"/>
      <c r="M262" s="261"/>
      <c r="N262" s="261"/>
      <c r="O262" s="372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7"/>
    </row>
    <row r="263" spans="1:26" ht="18.75" customHeight="1">
      <c r="A263" s="101">
        <v>9.5</v>
      </c>
      <c r="B263" s="53" t="s">
        <v>596</v>
      </c>
      <c r="C263" s="87" t="s">
        <v>597</v>
      </c>
      <c r="D263" s="61"/>
      <c r="E263" s="200">
        <f t="shared" si="0"/>
        <v>0</v>
      </c>
      <c r="F263" s="392"/>
      <c r="G263" s="371"/>
      <c r="H263" s="371"/>
      <c r="I263" s="362"/>
      <c r="J263" s="362"/>
      <c r="K263" s="262"/>
      <c r="L263" s="261"/>
      <c r="M263" s="261"/>
      <c r="N263" s="261"/>
      <c r="O263" s="372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7"/>
    </row>
    <row r="264" spans="1:26" ht="18.75" customHeight="1">
      <c r="A264" s="42" t="s">
        <v>1035</v>
      </c>
      <c r="B264" s="59" t="s">
        <v>599</v>
      </c>
      <c r="C264" s="113" t="s">
        <v>585</v>
      </c>
      <c r="D264" s="61" t="s">
        <v>132</v>
      </c>
      <c r="E264" s="200">
        <f t="shared" si="0"/>
        <v>0</v>
      </c>
      <c r="F264" s="392"/>
      <c r="G264" s="371"/>
      <c r="H264" s="371"/>
      <c r="I264" s="362"/>
      <c r="J264" s="362"/>
      <c r="K264" s="262"/>
      <c r="L264" s="261"/>
      <c r="M264" s="261"/>
      <c r="N264" s="261"/>
      <c r="O264" s="372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7"/>
    </row>
    <row r="265" spans="1:26" ht="18.75" customHeight="1">
      <c r="A265" s="42" t="s">
        <v>601</v>
      </c>
      <c r="B265" s="59" t="s">
        <v>602</v>
      </c>
      <c r="C265" s="113" t="s">
        <v>540</v>
      </c>
      <c r="D265" s="216" t="s">
        <v>183</v>
      </c>
      <c r="E265" s="200">
        <f t="shared" si="0"/>
        <v>0</v>
      </c>
      <c r="F265" s="392"/>
      <c r="G265" s="371"/>
      <c r="H265" s="371"/>
      <c r="I265" s="362"/>
      <c r="J265" s="362"/>
      <c r="K265" s="262"/>
      <c r="L265" s="261"/>
      <c r="M265" s="261"/>
      <c r="N265" s="261"/>
      <c r="O265" s="372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7"/>
    </row>
    <row r="266" spans="1:26" ht="18.75" customHeight="1">
      <c r="A266" s="42" t="s">
        <v>603</v>
      </c>
      <c r="B266" s="59" t="s">
        <v>604</v>
      </c>
      <c r="C266" s="113" t="s">
        <v>591</v>
      </c>
      <c r="D266" s="61" t="s">
        <v>132</v>
      </c>
      <c r="E266" s="200">
        <f t="shared" si="0"/>
        <v>0</v>
      </c>
      <c r="F266" s="392"/>
      <c r="G266" s="371"/>
      <c r="H266" s="371"/>
      <c r="I266" s="362"/>
      <c r="J266" s="362"/>
      <c r="K266" s="262"/>
      <c r="L266" s="261"/>
      <c r="M266" s="261"/>
      <c r="N266" s="261"/>
      <c r="O266" s="372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7"/>
    </row>
    <row r="267" spans="1:26" ht="18.75" customHeight="1">
      <c r="A267" s="42" t="s">
        <v>605</v>
      </c>
      <c r="B267" s="59" t="s">
        <v>606</v>
      </c>
      <c r="C267" s="113" t="s">
        <v>593</v>
      </c>
      <c r="D267" s="61" t="s">
        <v>1328</v>
      </c>
      <c r="E267" s="200">
        <f t="shared" si="0"/>
        <v>0</v>
      </c>
      <c r="F267" s="392"/>
      <c r="G267" s="371"/>
      <c r="H267" s="371"/>
      <c r="I267" s="362"/>
      <c r="J267" s="362"/>
      <c r="K267" s="262"/>
      <c r="L267" s="261"/>
      <c r="M267" s="261"/>
      <c r="N267" s="261"/>
      <c r="O267" s="372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7"/>
    </row>
    <row r="268" spans="1:26" ht="18.75" customHeight="1">
      <c r="A268" s="42" t="s">
        <v>608</v>
      </c>
      <c r="B268" s="59" t="s">
        <v>609</v>
      </c>
      <c r="C268" s="113" t="s">
        <v>543</v>
      </c>
      <c r="D268" s="61" t="s">
        <v>132</v>
      </c>
      <c r="E268" s="200">
        <f t="shared" si="0"/>
        <v>0</v>
      </c>
      <c r="F268" s="392"/>
      <c r="G268" s="371"/>
      <c r="H268" s="371"/>
      <c r="I268" s="362"/>
      <c r="J268" s="362"/>
      <c r="K268" s="262"/>
      <c r="L268" s="261"/>
      <c r="M268" s="261"/>
      <c r="N268" s="261"/>
      <c r="O268" s="372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7"/>
    </row>
    <row r="269" spans="1:26" ht="18.75" customHeight="1">
      <c r="A269" s="101">
        <v>9.6</v>
      </c>
      <c r="B269" s="53" t="s">
        <v>610</v>
      </c>
      <c r="C269" s="87" t="s">
        <v>611</v>
      </c>
      <c r="D269" s="61"/>
      <c r="E269" s="200">
        <f t="shared" si="0"/>
        <v>0</v>
      </c>
      <c r="F269" s="392"/>
      <c r="G269" s="371"/>
      <c r="H269" s="371"/>
      <c r="I269" s="362"/>
      <c r="J269" s="362"/>
      <c r="K269" s="262"/>
      <c r="L269" s="261"/>
      <c r="M269" s="261"/>
      <c r="N269" s="261"/>
      <c r="O269" s="372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7"/>
    </row>
    <row r="270" spans="1:26" ht="18.75" customHeight="1">
      <c r="A270" s="42" t="s">
        <v>612</v>
      </c>
      <c r="B270" s="59" t="s">
        <v>613</v>
      </c>
      <c r="C270" s="113" t="s">
        <v>614</v>
      </c>
      <c r="D270" s="61" t="s">
        <v>132</v>
      </c>
      <c r="E270" s="200">
        <f t="shared" si="0"/>
        <v>0</v>
      </c>
      <c r="F270" s="392"/>
      <c r="G270" s="371"/>
      <c r="H270" s="371"/>
      <c r="I270" s="362"/>
      <c r="J270" s="362"/>
      <c r="K270" s="262"/>
      <c r="L270" s="261"/>
      <c r="M270" s="261"/>
      <c r="N270" s="261"/>
      <c r="O270" s="372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7"/>
    </row>
    <row r="271" spans="1:26" ht="18.75" customHeight="1">
      <c r="A271" s="42" t="s">
        <v>615</v>
      </c>
      <c r="B271" s="59" t="s">
        <v>616</v>
      </c>
      <c r="C271" s="113" t="s">
        <v>591</v>
      </c>
      <c r="D271" s="61" t="s">
        <v>132</v>
      </c>
      <c r="E271" s="200">
        <f t="shared" si="0"/>
        <v>0</v>
      </c>
      <c r="F271" s="392"/>
      <c r="G271" s="371"/>
      <c r="H271" s="371"/>
      <c r="I271" s="362"/>
      <c r="J271" s="362"/>
      <c r="K271" s="262"/>
      <c r="L271" s="261"/>
      <c r="M271" s="261"/>
      <c r="N271" s="261"/>
      <c r="O271" s="372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7"/>
    </row>
    <row r="272" spans="1:26" ht="18.75" customHeight="1">
      <c r="A272" s="42" t="s">
        <v>617</v>
      </c>
      <c r="B272" s="59" t="s">
        <v>618</v>
      </c>
      <c r="C272" s="113" t="s">
        <v>619</v>
      </c>
      <c r="D272" s="216" t="s">
        <v>183</v>
      </c>
      <c r="E272" s="200">
        <f t="shared" si="0"/>
        <v>0</v>
      </c>
      <c r="F272" s="392"/>
      <c r="G272" s="371"/>
      <c r="H272" s="371"/>
      <c r="I272" s="362"/>
      <c r="J272" s="362"/>
      <c r="K272" s="262"/>
      <c r="L272" s="261"/>
      <c r="M272" s="261"/>
      <c r="N272" s="261"/>
      <c r="O272" s="372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7"/>
    </row>
    <row r="273" spans="1:26" ht="18.75" customHeight="1">
      <c r="A273" s="42" t="s">
        <v>620</v>
      </c>
      <c r="B273" s="59" t="s">
        <v>621</v>
      </c>
      <c r="C273" s="113" t="s">
        <v>622</v>
      </c>
      <c r="D273" s="61" t="s">
        <v>1329</v>
      </c>
      <c r="E273" s="200">
        <f t="shared" si="0"/>
        <v>0</v>
      </c>
      <c r="F273" s="392"/>
      <c r="G273" s="371"/>
      <c r="H273" s="371"/>
      <c r="I273" s="362"/>
      <c r="J273" s="362"/>
      <c r="K273" s="262"/>
      <c r="L273" s="261"/>
      <c r="M273" s="261"/>
      <c r="N273" s="261"/>
      <c r="O273" s="372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7"/>
    </row>
    <row r="274" spans="1:26" ht="18.75" customHeight="1">
      <c r="A274" s="42" t="s">
        <v>624</v>
      </c>
      <c r="B274" s="59" t="s">
        <v>625</v>
      </c>
      <c r="C274" s="113" t="s">
        <v>543</v>
      </c>
      <c r="D274" s="61" t="s">
        <v>132</v>
      </c>
      <c r="E274" s="200">
        <f t="shared" si="0"/>
        <v>0</v>
      </c>
      <c r="F274" s="392"/>
      <c r="G274" s="371"/>
      <c r="H274" s="371"/>
      <c r="I274" s="362"/>
      <c r="J274" s="362"/>
      <c r="K274" s="262"/>
      <c r="L274" s="261"/>
      <c r="M274" s="261"/>
      <c r="N274" s="261"/>
      <c r="O274" s="372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7"/>
    </row>
    <row r="275" spans="1:26" ht="18.75" customHeight="1">
      <c r="A275" s="101">
        <v>9.6999999999999993</v>
      </c>
      <c r="B275" s="53" t="s">
        <v>626</v>
      </c>
      <c r="C275" s="87" t="s">
        <v>627</v>
      </c>
      <c r="D275" s="61"/>
      <c r="E275" s="200">
        <f t="shared" ref="E275:E447" si="1">SUM(F275:N275)</f>
        <v>0</v>
      </c>
      <c r="F275" s="392"/>
      <c r="G275" s="371"/>
      <c r="H275" s="371"/>
      <c r="I275" s="362"/>
      <c r="J275" s="362"/>
      <c r="K275" s="262"/>
      <c r="L275" s="261"/>
      <c r="M275" s="261"/>
      <c r="N275" s="261"/>
      <c r="O275" s="372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7"/>
    </row>
    <row r="276" spans="1:26" ht="31.5" customHeight="1">
      <c r="A276" s="42" t="s">
        <v>628</v>
      </c>
      <c r="B276" s="59" t="s">
        <v>629</v>
      </c>
      <c r="C276" s="113" t="s">
        <v>630</v>
      </c>
      <c r="D276" s="61" t="s">
        <v>132</v>
      </c>
      <c r="E276" s="200">
        <f t="shared" si="1"/>
        <v>0</v>
      </c>
      <c r="F276" s="392"/>
      <c r="G276" s="371"/>
      <c r="H276" s="371"/>
      <c r="I276" s="362"/>
      <c r="J276" s="362"/>
      <c r="K276" s="262"/>
      <c r="L276" s="261"/>
      <c r="M276" s="261"/>
      <c r="N276" s="261"/>
      <c r="O276" s="372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7"/>
    </row>
    <row r="277" spans="1:26" ht="18.75" customHeight="1">
      <c r="A277" s="42" t="s">
        <v>631</v>
      </c>
      <c r="B277" s="59" t="s">
        <v>632</v>
      </c>
      <c r="C277" s="113" t="s">
        <v>633</v>
      </c>
      <c r="D277" s="216" t="s">
        <v>183</v>
      </c>
      <c r="E277" s="200">
        <f t="shared" si="1"/>
        <v>0</v>
      </c>
      <c r="F277" s="392"/>
      <c r="G277" s="371"/>
      <c r="H277" s="371"/>
      <c r="I277" s="362"/>
      <c r="J277" s="362"/>
      <c r="K277" s="262"/>
      <c r="L277" s="261"/>
      <c r="M277" s="261"/>
      <c r="N277" s="261"/>
      <c r="O277" s="372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7"/>
    </row>
    <row r="278" spans="1:26" ht="18.75" customHeight="1">
      <c r="A278" s="42" t="s">
        <v>634</v>
      </c>
      <c r="B278" s="59" t="s">
        <v>635</v>
      </c>
      <c r="C278" s="113" t="s">
        <v>591</v>
      </c>
      <c r="D278" s="61" t="s">
        <v>132</v>
      </c>
      <c r="E278" s="200">
        <f t="shared" si="1"/>
        <v>0</v>
      </c>
      <c r="F278" s="392"/>
      <c r="G278" s="371"/>
      <c r="H278" s="371"/>
      <c r="I278" s="362"/>
      <c r="J278" s="362"/>
      <c r="K278" s="262"/>
      <c r="L278" s="261"/>
      <c r="M278" s="261"/>
      <c r="N278" s="261"/>
      <c r="O278" s="372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7"/>
    </row>
    <row r="279" spans="1:26" ht="18.75" customHeight="1">
      <c r="A279" s="42" t="s">
        <v>636</v>
      </c>
      <c r="B279" s="59" t="s">
        <v>637</v>
      </c>
      <c r="C279" s="113" t="s">
        <v>638</v>
      </c>
      <c r="D279" s="61" t="s">
        <v>1330</v>
      </c>
      <c r="E279" s="200">
        <f t="shared" si="1"/>
        <v>0</v>
      </c>
      <c r="F279" s="392"/>
      <c r="G279" s="371"/>
      <c r="H279" s="371"/>
      <c r="I279" s="362"/>
      <c r="J279" s="362"/>
      <c r="K279" s="262"/>
      <c r="L279" s="261"/>
      <c r="M279" s="261"/>
      <c r="N279" s="261"/>
      <c r="O279" s="372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7"/>
    </row>
    <row r="280" spans="1:26" ht="18.75" customHeight="1">
      <c r="A280" s="42" t="s">
        <v>640</v>
      </c>
      <c r="B280" s="59" t="s">
        <v>637</v>
      </c>
      <c r="C280" s="113" t="s">
        <v>543</v>
      </c>
      <c r="D280" s="61" t="s">
        <v>132</v>
      </c>
      <c r="E280" s="200">
        <f t="shared" si="1"/>
        <v>0</v>
      </c>
      <c r="F280" s="392"/>
      <c r="G280" s="371"/>
      <c r="H280" s="371"/>
      <c r="I280" s="362"/>
      <c r="J280" s="362"/>
      <c r="K280" s="262"/>
      <c r="L280" s="261"/>
      <c r="M280" s="261"/>
      <c r="N280" s="261"/>
      <c r="O280" s="372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7"/>
    </row>
    <row r="281" spans="1:26" ht="18.75" customHeight="1">
      <c r="A281" s="101">
        <v>10.9</v>
      </c>
      <c r="B281" s="53" t="s">
        <v>641</v>
      </c>
      <c r="C281" s="87" t="s">
        <v>642</v>
      </c>
      <c r="D281" s="216" t="s">
        <v>183</v>
      </c>
      <c r="E281" s="200">
        <f t="shared" si="1"/>
        <v>0</v>
      </c>
      <c r="F281" s="392"/>
      <c r="G281" s="371"/>
      <c r="H281" s="371"/>
      <c r="I281" s="362"/>
      <c r="J281" s="362"/>
      <c r="K281" s="262"/>
      <c r="L281" s="261"/>
      <c r="M281" s="261"/>
      <c r="N281" s="261"/>
      <c r="O281" s="372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7"/>
    </row>
    <row r="282" spans="1:26" ht="18.75" customHeight="1">
      <c r="A282" s="46">
        <v>10</v>
      </c>
      <c r="B282" s="64" t="s">
        <v>643</v>
      </c>
      <c r="C282" s="64" t="s">
        <v>644</v>
      </c>
      <c r="D282" s="216"/>
      <c r="E282" s="200">
        <f t="shared" si="1"/>
        <v>0</v>
      </c>
      <c r="F282" s="392"/>
      <c r="G282" s="371"/>
      <c r="H282" s="371"/>
      <c r="I282" s="362"/>
      <c r="J282" s="362"/>
      <c r="K282" s="262"/>
      <c r="L282" s="274"/>
      <c r="M282" s="261"/>
      <c r="N282" s="261"/>
      <c r="O282" s="372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7"/>
    </row>
    <row r="283" spans="1:26" ht="18.75" customHeight="1">
      <c r="A283" s="101"/>
      <c r="B283" s="53" t="s">
        <v>646</v>
      </c>
      <c r="C283" s="87" t="s">
        <v>647</v>
      </c>
      <c r="D283" s="61" t="s">
        <v>271</v>
      </c>
      <c r="E283" s="200">
        <f t="shared" si="1"/>
        <v>0</v>
      </c>
      <c r="F283" s="392"/>
      <c r="G283" s="362"/>
      <c r="H283" s="362"/>
      <c r="I283" s="362"/>
      <c r="J283" s="362"/>
      <c r="K283" s="270"/>
      <c r="L283" s="270"/>
      <c r="M283" s="261"/>
      <c r="N283" s="261"/>
      <c r="O283" s="372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7"/>
    </row>
    <row r="284" spans="1:26" ht="18.75" customHeight="1">
      <c r="A284" s="222" t="s">
        <v>1039</v>
      </c>
      <c r="B284" s="86" t="s">
        <v>649</v>
      </c>
      <c r="C284" s="223" t="s">
        <v>650</v>
      </c>
      <c r="D284" s="61" t="s">
        <v>271</v>
      </c>
      <c r="E284" s="200">
        <f t="shared" si="1"/>
        <v>0</v>
      </c>
      <c r="F284" s="392"/>
      <c r="G284" s="371"/>
      <c r="H284" s="371"/>
      <c r="I284" s="362"/>
      <c r="J284" s="362"/>
      <c r="K284" s="262"/>
      <c r="L284" s="261"/>
      <c r="M284" s="261"/>
      <c r="N284" s="261"/>
      <c r="O284" s="372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7"/>
    </row>
    <row r="285" spans="1:26" ht="18.75" customHeight="1">
      <c r="A285" s="42" t="s">
        <v>1040</v>
      </c>
      <c r="B285" s="59" t="s">
        <v>651</v>
      </c>
      <c r="C285" s="113" t="s">
        <v>131</v>
      </c>
      <c r="D285" s="61" t="s">
        <v>271</v>
      </c>
      <c r="E285" s="200">
        <f t="shared" si="1"/>
        <v>0</v>
      </c>
      <c r="F285" s="392"/>
      <c r="G285" s="371"/>
      <c r="H285" s="371"/>
      <c r="I285" s="362"/>
      <c r="J285" s="362"/>
      <c r="K285" s="262"/>
      <c r="L285" s="261"/>
      <c r="M285" s="261"/>
      <c r="N285" s="261"/>
      <c r="O285" s="372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7"/>
    </row>
    <row r="286" spans="1:26" ht="18.75" customHeight="1">
      <c r="A286" s="42" t="s">
        <v>1041</v>
      </c>
      <c r="B286" s="59" t="s">
        <v>652</v>
      </c>
      <c r="C286" s="113" t="s">
        <v>200</v>
      </c>
      <c r="D286" s="61" t="s">
        <v>271</v>
      </c>
      <c r="E286" s="200">
        <f t="shared" si="1"/>
        <v>0</v>
      </c>
      <c r="F286" s="392"/>
      <c r="G286" s="371"/>
      <c r="H286" s="371"/>
      <c r="I286" s="362"/>
      <c r="J286" s="362"/>
      <c r="K286" s="262"/>
      <c r="L286" s="261"/>
      <c r="M286" s="261"/>
      <c r="N286" s="261"/>
      <c r="O286" s="372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7"/>
    </row>
    <row r="287" spans="1:26" ht="18.75" customHeight="1">
      <c r="A287" s="42" t="s">
        <v>1042</v>
      </c>
      <c r="B287" s="59" t="s">
        <v>653</v>
      </c>
      <c r="C287" s="113" t="s">
        <v>203</v>
      </c>
      <c r="D287" s="61" t="s">
        <v>271</v>
      </c>
      <c r="E287" s="200">
        <f t="shared" si="1"/>
        <v>0</v>
      </c>
      <c r="F287" s="392"/>
      <c r="G287" s="371"/>
      <c r="H287" s="371"/>
      <c r="I287" s="362"/>
      <c r="J287" s="362"/>
      <c r="K287" s="262"/>
      <c r="L287" s="261"/>
      <c r="M287" s="261"/>
      <c r="N287" s="261"/>
      <c r="O287" s="372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7"/>
    </row>
    <row r="288" spans="1:26" ht="18.75" customHeight="1">
      <c r="A288" s="42" t="s">
        <v>1043</v>
      </c>
      <c r="B288" s="59" t="s">
        <v>654</v>
      </c>
      <c r="C288" s="113" t="s">
        <v>159</v>
      </c>
      <c r="D288" s="61" t="s">
        <v>271</v>
      </c>
      <c r="E288" s="200">
        <f t="shared" si="1"/>
        <v>0</v>
      </c>
      <c r="F288" s="392"/>
      <c r="G288" s="371"/>
      <c r="H288" s="371"/>
      <c r="I288" s="362"/>
      <c r="J288" s="362"/>
      <c r="K288" s="262"/>
      <c r="L288" s="261"/>
      <c r="M288" s="261"/>
      <c r="N288" s="261"/>
      <c r="O288" s="372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7"/>
    </row>
    <row r="289" spans="1:26" ht="30.75" customHeight="1">
      <c r="A289" s="222" t="s">
        <v>1044</v>
      </c>
      <c r="B289" s="86" t="s">
        <v>655</v>
      </c>
      <c r="C289" s="223" t="s">
        <v>656</v>
      </c>
      <c r="D289" s="61" t="s">
        <v>271</v>
      </c>
      <c r="E289" s="200">
        <f t="shared" si="1"/>
        <v>0</v>
      </c>
      <c r="F289" s="392"/>
      <c r="G289" s="371"/>
      <c r="H289" s="371"/>
      <c r="I289" s="362"/>
      <c r="J289" s="362"/>
      <c r="K289" s="262"/>
      <c r="L289" s="261"/>
      <c r="M289" s="261"/>
      <c r="N289" s="261"/>
      <c r="O289" s="372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7"/>
    </row>
    <row r="290" spans="1:26" ht="18.75" customHeight="1">
      <c r="A290" s="42" t="s">
        <v>1045</v>
      </c>
      <c r="B290" s="59" t="s">
        <v>657</v>
      </c>
      <c r="C290" s="113" t="s">
        <v>131</v>
      </c>
      <c r="D290" s="61" t="s">
        <v>271</v>
      </c>
      <c r="E290" s="200">
        <f t="shared" si="1"/>
        <v>0</v>
      </c>
      <c r="F290" s="392"/>
      <c r="G290" s="371"/>
      <c r="H290" s="371"/>
      <c r="I290" s="362"/>
      <c r="J290" s="362"/>
      <c r="K290" s="262"/>
      <c r="L290" s="261"/>
      <c r="M290" s="261"/>
      <c r="N290" s="261"/>
      <c r="O290" s="372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7"/>
    </row>
    <row r="291" spans="1:26" ht="18.75" customHeight="1">
      <c r="A291" s="42" t="s">
        <v>1046</v>
      </c>
      <c r="B291" s="59" t="s">
        <v>658</v>
      </c>
      <c r="C291" s="113" t="s">
        <v>200</v>
      </c>
      <c r="D291" s="61" t="s">
        <v>271</v>
      </c>
      <c r="E291" s="200">
        <f t="shared" si="1"/>
        <v>0</v>
      </c>
      <c r="F291" s="392"/>
      <c r="G291" s="371"/>
      <c r="H291" s="371"/>
      <c r="I291" s="362"/>
      <c r="J291" s="362"/>
      <c r="K291" s="262"/>
      <c r="L291" s="261"/>
      <c r="M291" s="261"/>
      <c r="N291" s="261"/>
      <c r="O291" s="372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7"/>
    </row>
    <row r="292" spans="1:26" ht="18.75" customHeight="1">
      <c r="A292" s="42" t="s">
        <v>1047</v>
      </c>
      <c r="B292" s="59" t="s">
        <v>659</v>
      </c>
      <c r="C292" s="113" t="s">
        <v>203</v>
      </c>
      <c r="D292" s="61" t="s">
        <v>271</v>
      </c>
      <c r="E292" s="200">
        <f t="shared" si="1"/>
        <v>0</v>
      </c>
      <c r="F292" s="392"/>
      <c r="G292" s="371"/>
      <c r="H292" s="371"/>
      <c r="I292" s="362"/>
      <c r="J292" s="362"/>
      <c r="K292" s="262"/>
      <c r="L292" s="261"/>
      <c r="M292" s="261"/>
      <c r="N292" s="261"/>
      <c r="O292" s="372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7"/>
    </row>
    <row r="293" spans="1:26" ht="18.75" customHeight="1">
      <c r="A293" s="42" t="s">
        <v>1048</v>
      </c>
      <c r="B293" s="59" t="s">
        <v>660</v>
      </c>
      <c r="C293" s="113" t="s">
        <v>159</v>
      </c>
      <c r="D293" s="61" t="s">
        <v>271</v>
      </c>
      <c r="E293" s="200">
        <f t="shared" si="1"/>
        <v>0</v>
      </c>
      <c r="F293" s="392"/>
      <c r="G293" s="371"/>
      <c r="H293" s="371"/>
      <c r="I293" s="362"/>
      <c r="J293" s="362"/>
      <c r="K293" s="262"/>
      <c r="L293" s="261"/>
      <c r="M293" s="261"/>
      <c r="N293" s="261"/>
      <c r="O293" s="372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7"/>
    </row>
    <row r="294" spans="1:26" ht="18.75" customHeight="1">
      <c r="A294" s="222">
        <v>10.199999999999999</v>
      </c>
      <c r="B294" s="53" t="s">
        <v>661</v>
      </c>
      <c r="C294" s="87" t="s">
        <v>662</v>
      </c>
      <c r="D294" s="61" t="s">
        <v>271</v>
      </c>
      <c r="E294" s="200">
        <f t="shared" si="1"/>
        <v>0</v>
      </c>
      <c r="F294" s="392"/>
      <c r="G294" s="371"/>
      <c r="H294" s="371"/>
      <c r="I294" s="362"/>
      <c r="J294" s="362"/>
      <c r="K294" s="262"/>
      <c r="L294" s="274"/>
      <c r="M294" s="261"/>
      <c r="N294" s="261"/>
      <c r="O294" s="372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7"/>
    </row>
    <row r="295" spans="1:26" ht="18.75" customHeight="1">
      <c r="A295" s="42" t="s">
        <v>1049</v>
      </c>
      <c r="B295" s="59" t="s">
        <v>664</v>
      </c>
      <c r="C295" s="113" t="s">
        <v>131</v>
      </c>
      <c r="D295" s="61" t="s">
        <v>271</v>
      </c>
      <c r="E295" s="200">
        <f t="shared" si="1"/>
        <v>0</v>
      </c>
      <c r="F295" s="392"/>
      <c r="G295" s="371"/>
      <c r="H295" s="371"/>
      <c r="I295" s="362"/>
      <c r="J295" s="362"/>
      <c r="K295" s="262"/>
      <c r="L295" s="261"/>
      <c r="M295" s="261"/>
      <c r="N295" s="261"/>
      <c r="O295" s="372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7"/>
    </row>
    <row r="296" spans="1:26" ht="18.75" customHeight="1">
      <c r="A296" s="42" t="s">
        <v>1050</v>
      </c>
      <c r="B296" s="59" t="s">
        <v>665</v>
      </c>
      <c r="C296" s="113" t="s">
        <v>200</v>
      </c>
      <c r="D296" s="61" t="s">
        <v>271</v>
      </c>
      <c r="E296" s="200">
        <f t="shared" si="1"/>
        <v>0</v>
      </c>
      <c r="F296" s="392"/>
      <c r="G296" s="371"/>
      <c r="H296" s="371"/>
      <c r="I296" s="362"/>
      <c r="J296" s="362"/>
      <c r="K296" s="262"/>
      <c r="L296" s="261"/>
      <c r="M296" s="261"/>
      <c r="N296" s="261"/>
      <c r="O296" s="372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7"/>
    </row>
    <row r="297" spans="1:26" ht="18.75" customHeight="1">
      <c r="A297" s="42" t="s">
        <v>1051</v>
      </c>
      <c r="B297" s="59" t="s">
        <v>666</v>
      </c>
      <c r="C297" s="113" t="s">
        <v>203</v>
      </c>
      <c r="D297" s="61" t="s">
        <v>271</v>
      </c>
      <c r="E297" s="200">
        <f t="shared" si="1"/>
        <v>0</v>
      </c>
      <c r="F297" s="392"/>
      <c r="G297" s="371"/>
      <c r="H297" s="371"/>
      <c r="I297" s="362"/>
      <c r="J297" s="362"/>
      <c r="K297" s="262"/>
      <c r="L297" s="261"/>
      <c r="M297" s="261"/>
      <c r="N297" s="261"/>
      <c r="O297" s="372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7"/>
    </row>
    <row r="298" spans="1:26" ht="18.75" customHeight="1">
      <c r="A298" s="42" t="s">
        <v>1052</v>
      </c>
      <c r="B298" s="59" t="s">
        <v>667</v>
      </c>
      <c r="C298" s="113" t="s">
        <v>159</v>
      </c>
      <c r="D298" s="61" t="s">
        <v>271</v>
      </c>
      <c r="E298" s="200">
        <f t="shared" si="1"/>
        <v>0</v>
      </c>
      <c r="F298" s="392"/>
      <c r="G298" s="371"/>
      <c r="H298" s="371"/>
      <c r="I298" s="362"/>
      <c r="J298" s="362"/>
      <c r="K298" s="262"/>
      <c r="L298" s="261"/>
      <c r="M298" s="261"/>
      <c r="N298" s="261"/>
      <c r="O298" s="372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7"/>
    </row>
    <row r="299" spans="1:26" ht="18.75" customHeight="1">
      <c r="A299" s="101">
        <v>10.3</v>
      </c>
      <c r="B299" s="53" t="s">
        <v>668</v>
      </c>
      <c r="C299" s="87" t="s">
        <v>669</v>
      </c>
      <c r="D299" s="61" t="s">
        <v>271</v>
      </c>
      <c r="E299" s="200">
        <f t="shared" si="1"/>
        <v>0</v>
      </c>
      <c r="F299" s="392"/>
      <c r="G299" s="371"/>
      <c r="H299" s="371"/>
      <c r="I299" s="362"/>
      <c r="J299" s="362"/>
      <c r="K299" s="262"/>
      <c r="L299" s="261"/>
      <c r="M299" s="261"/>
      <c r="N299" s="261"/>
      <c r="O299" s="372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7"/>
    </row>
    <row r="300" spans="1:26" ht="18.75" customHeight="1">
      <c r="A300" s="101" t="s">
        <v>1053</v>
      </c>
      <c r="B300" s="53" t="s">
        <v>671</v>
      </c>
      <c r="C300" s="223" t="s">
        <v>672</v>
      </c>
      <c r="D300" s="61" t="s">
        <v>271</v>
      </c>
      <c r="E300" s="200">
        <f t="shared" si="1"/>
        <v>0</v>
      </c>
      <c r="F300" s="392"/>
      <c r="G300" s="371"/>
      <c r="H300" s="371"/>
      <c r="I300" s="362"/>
      <c r="J300" s="362"/>
      <c r="K300" s="262"/>
      <c r="L300" s="261"/>
      <c r="M300" s="261"/>
      <c r="N300" s="261"/>
      <c r="O300" s="372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7"/>
    </row>
    <row r="301" spans="1:26" ht="18.75" customHeight="1">
      <c r="A301" s="42" t="s">
        <v>1054</v>
      </c>
      <c r="B301" s="59" t="s">
        <v>673</v>
      </c>
      <c r="C301" s="113" t="s">
        <v>131</v>
      </c>
      <c r="D301" s="61" t="s">
        <v>271</v>
      </c>
      <c r="E301" s="200">
        <f t="shared" si="1"/>
        <v>0</v>
      </c>
      <c r="F301" s="392"/>
      <c r="G301" s="371"/>
      <c r="H301" s="371"/>
      <c r="I301" s="362"/>
      <c r="J301" s="362"/>
      <c r="K301" s="262"/>
      <c r="L301" s="261"/>
      <c r="M301" s="261"/>
      <c r="N301" s="261"/>
      <c r="O301" s="372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7"/>
    </row>
    <row r="302" spans="1:26" ht="18.75" customHeight="1">
      <c r="A302" s="42" t="s">
        <v>1055</v>
      </c>
      <c r="B302" s="59" t="s">
        <v>674</v>
      </c>
      <c r="C302" s="113" t="s">
        <v>200</v>
      </c>
      <c r="D302" s="61" t="s">
        <v>271</v>
      </c>
      <c r="E302" s="200">
        <f t="shared" si="1"/>
        <v>0</v>
      </c>
      <c r="F302" s="392"/>
      <c r="G302" s="371"/>
      <c r="H302" s="371"/>
      <c r="I302" s="362"/>
      <c r="J302" s="362"/>
      <c r="K302" s="262"/>
      <c r="L302" s="261"/>
      <c r="M302" s="261"/>
      <c r="N302" s="261"/>
      <c r="O302" s="372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7"/>
    </row>
    <row r="303" spans="1:26" ht="18.75" customHeight="1">
      <c r="A303" s="42" t="s">
        <v>1056</v>
      </c>
      <c r="B303" s="59" t="s">
        <v>675</v>
      </c>
      <c r="C303" s="113" t="s">
        <v>203</v>
      </c>
      <c r="D303" s="61" t="s">
        <v>271</v>
      </c>
      <c r="E303" s="200">
        <f t="shared" si="1"/>
        <v>0</v>
      </c>
      <c r="F303" s="392"/>
      <c r="G303" s="371"/>
      <c r="H303" s="371"/>
      <c r="I303" s="362"/>
      <c r="J303" s="362"/>
      <c r="K303" s="262"/>
      <c r="L303" s="261"/>
      <c r="M303" s="261"/>
      <c r="N303" s="261"/>
      <c r="O303" s="372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7"/>
    </row>
    <row r="304" spans="1:26" ht="18.75" customHeight="1">
      <c r="A304" s="42" t="s">
        <v>1057</v>
      </c>
      <c r="B304" s="59" t="s">
        <v>676</v>
      </c>
      <c r="C304" s="113" t="s">
        <v>159</v>
      </c>
      <c r="D304" s="61" t="s">
        <v>271</v>
      </c>
      <c r="E304" s="200">
        <f t="shared" si="1"/>
        <v>0</v>
      </c>
      <c r="F304" s="392"/>
      <c r="G304" s="371"/>
      <c r="H304" s="371"/>
      <c r="I304" s="362"/>
      <c r="J304" s="362"/>
      <c r="K304" s="262"/>
      <c r="L304" s="261"/>
      <c r="M304" s="261"/>
      <c r="N304" s="261"/>
      <c r="O304" s="372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7"/>
    </row>
    <row r="305" spans="1:26" ht="18.75" customHeight="1">
      <c r="A305" s="101" t="s">
        <v>1058</v>
      </c>
      <c r="B305" s="53" t="s">
        <v>677</v>
      </c>
      <c r="C305" s="223" t="s">
        <v>678</v>
      </c>
      <c r="D305" s="61" t="s">
        <v>271</v>
      </c>
      <c r="E305" s="200">
        <f t="shared" si="1"/>
        <v>0</v>
      </c>
      <c r="F305" s="392"/>
      <c r="G305" s="371"/>
      <c r="H305" s="371"/>
      <c r="I305" s="362"/>
      <c r="J305" s="362"/>
      <c r="K305" s="262"/>
      <c r="L305" s="261"/>
      <c r="M305" s="261"/>
      <c r="N305" s="261"/>
      <c r="O305" s="372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7"/>
    </row>
    <row r="306" spans="1:26" ht="18.75" customHeight="1">
      <c r="A306" s="42" t="s">
        <v>1059</v>
      </c>
      <c r="B306" s="59" t="s">
        <v>679</v>
      </c>
      <c r="C306" s="113" t="s">
        <v>131</v>
      </c>
      <c r="D306" s="61" t="s">
        <v>271</v>
      </c>
      <c r="E306" s="200">
        <f t="shared" si="1"/>
        <v>0</v>
      </c>
      <c r="F306" s="392"/>
      <c r="G306" s="371"/>
      <c r="H306" s="371"/>
      <c r="I306" s="362"/>
      <c r="J306" s="362"/>
      <c r="K306" s="262"/>
      <c r="L306" s="261"/>
      <c r="M306" s="261"/>
      <c r="N306" s="261"/>
      <c r="O306" s="372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7"/>
    </row>
    <row r="307" spans="1:26" ht="18.75" customHeight="1">
      <c r="A307" s="42" t="s">
        <v>1060</v>
      </c>
      <c r="B307" s="59" t="s">
        <v>680</v>
      </c>
      <c r="C307" s="113" t="s">
        <v>200</v>
      </c>
      <c r="D307" s="61" t="s">
        <v>271</v>
      </c>
      <c r="E307" s="200">
        <f t="shared" si="1"/>
        <v>0</v>
      </c>
      <c r="F307" s="392"/>
      <c r="G307" s="371"/>
      <c r="H307" s="371"/>
      <c r="I307" s="362"/>
      <c r="J307" s="362"/>
      <c r="K307" s="262"/>
      <c r="L307" s="274"/>
      <c r="M307" s="261"/>
      <c r="N307" s="261"/>
      <c r="O307" s="372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7"/>
    </row>
    <row r="308" spans="1:26" ht="18.75" customHeight="1">
      <c r="A308" s="42" t="s">
        <v>1061</v>
      </c>
      <c r="B308" s="59" t="s">
        <v>681</v>
      </c>
      <c r="C308" s="113" t="s">
        <v>203</v>
      </c>
      <c r="D308" s="61" t="s">
        <v>271</v>
      </c>
      <c r="E308" s="200">
        <f t="shared" si="1"/>
        <v>0</v>
      </c>
      <c r="F308" s="392"/>
      <c r="G308" s="371"/>
      <c r="H308" s="371"/>
      <c r="I308" s="362"/>
      <c r="J308" s="362"/>
      <c r="K308" s="262"/>
      <c r="L308" s="261"/>
      <c r="M308" s="261"/>
      <c r="N308" s="261"/>
      <c r="O308" s="372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7"/>
    </row>
    <row r="309" spans="1:26" ht="18.75" customHeight="1">
      <c r="A309" s="42" t="s">
        <v>1062</v>
      </c>
      <c r="B309" s="59" t="s">
        <v>682</v>
      </c>
      <c r="C309" s="113" t="s">
        <v>159</v>
      </c>
      <c r="D309" s="61" t="s">
        <v>271</v>
      </c>
      <c r="E309" s="200">
        <f t="shared" si="1"/>
        <v>0</v>
      </c>
      <c r="F309" s="392"/>
      <c r="G309" s="371"/>
      <c r="H309" s="371"/>
      <c r="I309" s="362"/>
      <c r="J309" s="362"/>
      <c r="K309" s="262"/>
      <c r="L309" s="261"/>
      <c r="M309" s="261"/>
      <c r="N309" s="261"/>
      <c r="O309" s="372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7"/>
    </row>
    <row r="310" spans="1:26" ht="18.75" customHeight="1">
      <c r="A310" s="101" t="s">
        <v>1063</v>
      </c>
      <c r="B310" s="53" t="s">
        <v>683</v>
      </c>
      <c r="C310" s="223" t="s">
        <v>684</v>
      </c>
      <c r="D310" s="61" t="s">
        <v>271</v>
      </c>
      <c r="E310" s="200">
        <f t="shared" si="1"/>
        <v>0</v>
      </c>
      <c r="F310" s="392"/>
      <c r="G310" s="371"/>
      <c r="H310" s="371"/>
      <c r="I310" s="362"/>
      <c r="J310" s="362"/>
      <c r="K310" s="262"/>
      <c r="L310" s="261"/>
      <c r="M310" s="261"/>
      <c r="N310" s="261"/>
      <c r="O310" s="372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7"/>
    </row>
    <row r="311" spans="1:26" ht="18.75" customHeight="1">
      <c r="A311" s="42" t="s">
        <v>1064</v>
      </c>
      <c r="B311" s="59" t="s">
        <v>685</v>
      </c>
      <c r="C311" s="113" t="s">
        <v>131</v>
      </c>
      <c r="D311" s="61" t="s">
        <v>271</v>
      </c>
      <c r="E311" s="200">
        <f t="shared" si="1"/>
        <v>0</v>
      </c>
      <c r="F311" s="392"/>
      <c r="G311" s="371"/>
      <c r="H311" s="371"/>
      <c r="I311" s="362"/>
      <c r="J311" s="362"/>
      <c r="K311" s="262"/>
      <c r="L311" s="261"/>
      <c r="M311" s="261"/>
      <c r="N311" s="261"/>
      <c r="O311" s="372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7"/>
    </row>
    <row r="312" spans="1:26" ht="18.75" customHeight="1">
      <c r="A312" s="42" t="s">
        <v>1065</v>
      </c>
      <c r="B312" s="59" t="s">
        <v>686</v>
      </c>
      <c r="C312" s="113" t="s">
        <v>200</v>
      </c>
      <c r="D312" s="61" t="s">
        <v>271</v>
      </c>
      <c r="E312" s="200">
        <f t="shared" si="1"/>
        <v>0</v>
      </c>
      <c r="F312" s="392"/>
      <c r="G312" s="371"/>
      <c r="H312" s="371"/>
      <c r="I312" s="362"/>
      <c r="J312" s="362"/>
      <c r="K312" s="262"/>
      <c r="L312" s="261"/>
      <c r="M312" s="261"/>
      <c r="N312" s="261"/>
      <c r="O312" s="372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7"/>
    </row>
    <row r="313" spans="1:26" ht="18.75" customHeight="1">
      <c r="A313" s="42" t="s">
        <v>1066</v>
      </c>
      <c r="B313" s="59" t="s">
        <v>687</v>
      </c>
      <c r="C313" s="113" t="s">
        <v>203</v>
      </c>
      <c r="D313" s="61" t="s">
        <v>271</v>
      </c>
      <c r="E313" s="200">
        <f t="shared" si="1"/>
        <v>0</v>
      </c>
      <c r="F313" s="392"/>
      <c r="G313" s="371"/>
      <c r="H313" s="371"/>
      <c r="I313" s="362"/>
      <c r="J313" s="362"/>
      <c r="K313" s="262"/>
      <c r="L313" s="261"/>
      <c r="M313" s="261"/>
      <c r="N313" s="261"/>
      <c r="O313" s="372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7"/>
    </row>
    <row r="314" spans="1:26" ht="18.75" customHeight="1">
      <c r="A314" s="42" t="s">
        <v>1067</v>
      </c>
      <c r="B314" s="59" t="s">
        <v>688</v>
      </c>
      <c r="C314" s="113" t="s">
        <v>159</v>
      </c>
      <c r="D314" s="61" t="s">
        <v>271</v>
      </c>
      <c r="E314" s="200">
        <f t="shared" si="1"/>
        <v>0</v>
      </c>
      <c r="F314" s="392"/>
      <c r="G314" s="371"/>
      <c r="H314" s="371"/>
      <c r="I314" s="362"/>
      <c r="J314" s="362"/>
      <c r="K314" s="262"/>
      <c r="L314" s="261"/>
      <c r="M314" s="261"/>
      <c r="N314" s="261"/>
      <c r="O314" s="372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7"/>
    </row>
    <row r="315" spans="1:26" ht="18.75" customHeight="1">
      <c r="A315" s="101">
        <v>10.4</v>
      </c>
      <c r="B315" s="53" t="s">
        <v>689</v>
      </c>
      <c r="C315" s="87" t="s">
        <v>690</v>
      </c>
      <c r="D315" s="61" t="s">
        <v>271</v>
      </c>
      <c r="E315" s="200">
        <f t="shared" si="1"/>
        <v>0</v>
      </c>
      <c r="F315" s="392"/>
      <c r="G315" s="371"/>
      <c r="H315" s="371"/>
      <c r="I315" s="362"/>
      <c r="J315" s="362"/>
      <c r="K315" s="262"/>
      <c r="L315" s="261"/>
      <c r="M315" s="261"/>
      <c r="N315" s="261"/>
      <c r="O315" s="372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7"/>
    </row>
    <row r="316" spans="1:26" ht="18.75" customHeight="1">
      <c r="A316" s="42" t="s">
        <v>1068</v>
      </c>
      <c r="B316" s="59" t="s">
        <v>692</v>
      </c>
      <c r="C316" s="113" t="s">
        <v>131</v>
      </c>
      <c r="D316" s="61" t="s">
        <v>271</v>
      </c>
      <c r="E316" s="200">
        <f t="shared" si="1"/>
        <v>0</v>
      </c>
      <c r="F316" s="392"/>
      <c r="G316" s="371"/>
      <c r="H316" s="371"/>
      <c r="I316" s="362"/>
      <c r="J316" s="362"/>
      <c r="K316" s="262"/>
      <c r="L316" s="261"/>
      <c r="M316" s="261"/>
      <c r="N316" s="261"/>
      <c r="O316" s="372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7"/>
    </row>
    <row r="317" spans="1:26" ht="18.75" customHeight="1">
      <c r="A317" s="42" t="s">
        <v>1069</v>
      </c>
      <c r="B317" s="59" t="s">
        <v>693</v>
      </c>
      <c r="C317" s="113" t="s">
        <v>200</v>
      </c>
      <c r="D317" s="61" t="s">
        <v>271</v>
      </c>
      <c r="E317" s="200">
        <f t="shared" si="1"/>
        <v>0</v>
      </c>
      <c r="F317" s="392"/>
      <c r="G317" s="371"/>
      <c r="H317" s="371"/>
      <c r="I317" s="362"/>
      <c r="J317" s="362"/>
      <c r="K317" s="262"/>
      <c r="L317" s="261"/>
      <c r="M317" s="261"/>
      <c r="N317" s="261"/>
      <c r="O317" s="372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7"/>
    </row>
    <row r="318" spans="1:26" ht="18.75" customHeight="1">
      <c r="A318" s="42" t="s">
        <v>1070</v>
      </c>
      <c r="B318" s="59" t="s">
        <v>694</v>
      </c>
      <c r="C318" s="113" t="s">
        <v>203</v>
      </c>
      <c r="D318" s="61" t="s">
        <v>271</v>
      </c>
      <c r="E318" s="200">
        <f t="shared" si="1"/>
        <v>0</v>
      </c>
      <c r="F318" s="392"/>
      <c r="G318" s="371"/>
      <c r="H318" s="371"/>
      <c r="I318" s="362"/>
      <c r="J318" s="362"/>
      <c r="K318" s="262"/>
      <c r="L318" s="261"/>
      <c r="M318" s="261"/>
      <c r="N318" s="261"/>
      <c r="O318" s="372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7"/>
    </row>
    <row r="319" spans="1:26" ht="18.75" customHeight="1">
      <c r="A319" s="42" t="s">
        <v>1071</v>
      </c>
      <c r="B319" s="59" t="s">
        <v>695</v>
      </c>
      <c r="C319" s="113" t="s">
        <v>159</v>
      </c>
      <c r="D319" s="61" t="s">
        <v>271</v>
      </c>
      <c r="E319" s="200">
        <f t="shared" si="1"/>
        <v>0</v>
      </c>
      <c r="F319" s="392"/>
      <c r="G319" s="371"/>
      <c r="H319" s="371"/>
      <c r="I319" s="362"/>
      <c r="J319" s="362"/>
      <c r="K319" s="262"/>
      <c r="L319" s="261"/>
      <c r="M319" s="261"/>
      <c r="N319" s="261"/>
      <c r="O319" s="372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7"/>
    </row>
    <row r="320" spans="1:26" ht="18.75" customHeight="1">
      <c r="A320" s="101">
        <v>10.5</v>
      </c>
      <c r="B320" s="53" t="s">
        <v>696</v>
      </c>
      <c r="C320" s="87" t="s">
        <v>697</v>
      </c>
      <c r="D320" s="61" t="s">
        <v>271</v>
      </c>
      <c r="E320" s="200">
        <f t="shared" si="1"/>
        <v>0</v>
      </c>
      <c r="F320" s="392"/>
      <c r="G320" s="371"/>
      <c r="H320" s="371"/>
      <c r="I320" s="362"/>
      <c r="J320" s="362"/>
      <c r="K320" s="262"/>
      <c r="L320" s="274"/>
      <c r="M320" s="261"/>
      <c r="N320" s="261"/>
      <c r="O320" s="372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7"/>
    </row>
    <row r="321" spans="1:26" ht="18.75" customHeight="1">
      <c r="A321" s="42" t="s">
        <v>1072</v>
      </c>
      <c r="B321" s="59" t="s">
        <v>699</v>
      </c>
      <c r="C321" s="113" t="s">
        <v>131</v>
      </c>
      <c r="D321" s="61" t="s">
        <v>271</v>
      </c>
      <c r="E321" s="200">
        <f t="shared" si="1"/>
        <v>0</v>
      </c>
      <c r="F321" s="392"/>
      <c r="G321" s="371"/>
      <c r="H321" s="371"/>
      <c r="I321" s="362"/>
      <c r="J321" s="362"/>
      <c r="K321" s="262"/>
      <c r="L321" s="261"/>
      <c r="M321" s="261"/>
      <c r="N321" s="261"/>
      <c r="O321" s="372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7"/>
    </row>
    <row r="322" spans="1:26" ht="18.75" customHeight="1">
      <c r="A322" s="42" t="s">
        <v>1073</v>
      </c>
      <c r="B322" s="59" t="s">
        <v>700</v>
      </c>
      <c r="C322" s="113" t="s">
        <v>200</v>
      </c>
      <c r="D322" s="61" t="s">
        <v>271</v>
      </c>
      <c r="E322" s="200">
        <f t="shared" si="1"/>
        <v>0</v>
      </c>
      <c r="F322" s="392"/>
      <c r="G322" s="371"/>
      <c r="H322" s="371"/>
      <c r="I322" s="362"/>
      <c r="J322" s="362"/>
      <c r="K322" s="262"/>
      <c r="L322" s="261"/>
      <c r="M322" s="261"/>
      <c r="N322" s="261"/>
      <c r="O322" s="372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7"/>
    </row>
    <row r="323" spans="1:26" ht="18.75" customHeight="1">
      <c r="A323" s="42" t="s">
        <v>1074</v>
      </c>
      <c r="B323" s="59" t="s">
        <v>701</v>
      </c>
      <c r="C323" s="113" t="s">
        <v>203</v>
      </c>
      <c r="D323" s="61" t="s">
        <v>271</v>
      </c>
      <c r="E323" s="200">
        <f t="shared" si="1"/>
        <v>0</v>
      </c>
      <c r="F323" s="392"/>
      <c r="G323" s="371"/>
      <c r="H323" s="371"/>
      <c r="I323" s="362"/>
      <c r="J323" s="362"/>
      <c r="K323" s="262"/>
      <c r="L323" s="261"/>
      <c r="M323" s="261"/>
      <c r="N323" s="261"/>
      <c r="O323" s="372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7"/>
    </row>
    <row r="324" spans="1:26" ht="18.75" customHeight="1">
      <c r="A324" s="42" t="s">
        <v>1075</v>
      </c>
      <c r="B324" s="59" t="s">
        <v>702</v>
      </c>
      <c r="C324" s="113" t="s">
        <v>159</v>
      </c>
      <c r="D324" s="61" t="s">
        <v>271</v>
      </c>
      <c r="E324" s="200">
        <f t="shared" si="1"/>
        <v>0</v>
      </c>
      <c r="F324" s="392"/>
      <c r="G324" s="371"/>
      <c r="H324" s="371"/>
      <c r="I324" s="362"/>
      <c r="J324" s="362"/>
      <c r="K324" s="262"/>
      <c r="L324" s="261"/>
      <c r="M324" s="261"/>
      <c r="N324" s="261"/>
      <c r="O324" s="372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7"/>
    </row>
    <row r="325" spans="1:26" ht="18.75" customHeight="1">
      <c r="A325" s="101">
        <v>10.6</v>
      </c>
      <c r="B325" s="53" t="s">
        <v>703</v>
      </c>
      <c r="C325" s="116" t="s">
        <v>704</v>
      </c>
      <c r="D325" s="118" t="s">
        <v>1076</v>
      </c>
      <c r="E325" s="200">
        <f t="shared" si="1"/>
        <v>0</v>
      </c>
      <c r="F325" s="392"/>
      <c r="G325" s="371"/>
      <c r="H325" s="371"/>
      <c r="I325" s="362"/>
      <c r="J325" s="362"/>
      <c r="K325" s="262"/>
      <c r="L325" s="261"/>
      <c r="M325" s="261"/>
      <c r="N325" s="261"/>
      <c r="O325" s="372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7"/>
    </row>
    <row r="326" spans="1:26" ht="18.75" customHeight="1">
      <c r="A326" s="42" t="s">
        <v>1077</v>
      </c>
      <c r="B326" s="59" t="s">
        <v>707</v>
      </c>
      <c r="C326" s="113" t="s">
        <v>131</v>
      </c>
      <c r="D326" s="118" t="s">
        <v>1076</v>
      </c>
      <c r="E326" s="200">
        <f t="shared" si="1"/>
        <v>0</v>
      </c>
      <c r="F326" s="392"/>
      <c r="G326" s="371"/>
      <c r="H326" s="371"/>
      <c r="I326" s="362"/>
      <c r="J326" s="362"/>
      <c r="K326" s="262"/>
      <c r="L326" s="261"/>
      <c r="M326" s="261"/>
      <c r="N326" s="261"/>
      <c r="O326" s="372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7"/>
    </row>
    <row r="327" spans="1:26" ht="18.75" customHeight="1">
      <c r="A327" s="42" t="s">
        <v>1078</v>
      </c>
      <c r="B327" s="59" t="s">
        <v>709</v>
      </c>
      <c r="C327" s="113" t="s">
        <v>200</v>
      </c>
      <c r="D327" s="118" t="s">
        <v>1076</v>
      </c>
      <c r="E327" s="200">
        <f t="shared" si="1"/>
        <v>0</v>
      </c>
      <c r="F327" s="392"/>
      <c r="G327" s="371"/>
      <c r="H327" s="371"/>
      <c r="I327" s="362"/>
      <c r="J327" s="362"/>
      <c r="K327" s="262"/>
      <c r="L327" s="261"/>
      <c r="M327" s="261"/>
      <c r="N327" s="261"/>
      <c r="O327" s="372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7"/>
    </row>
    <row r="328" spans="1:26" ht="18.75" customHeight="1">
      <c r="A328" s="42" t="s">
        <v>1079</v>
      </c>
      <c r="B328" s="59" t="s">
        <v>711</v>
      </c>
      <c r="C328" s="113" t="s">
        <v>203</v>
      </c>
      <c r="D328" s="118" t="s">
        <v>1076</v>
      </c>
      <c r="E328" s="200">
        <f t="shared" si="1"/>
        <v>0</v>
      </c>
      <c r="F328" s="392"/>
      <c r="G328" s="371"/>
      <c r="H328" s="371"/>
      <c r="I328" s="362"/>
      <c r="J328" s="362"/>
      <c r="K328" s="262"/>
      <c r="L328" s="261"/>
      <c r="M328" s="261"/>
      <c r="N328" s="261"/>
      <c r="O328" s="372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7"/>
    </row>
    <row r="329" spans="1:26" ht="18.75" customHeight="1">
      <c r="A329" s="42" t="s">
        <v>1080</v>
      </c>
      <c r="B329" s="59" t="s">
        <v>713</v>
      </c>
      <c r="C329" s="113" t="s">
        <v>159</v>
      </c>
      <c r="D329" s="118" t="s">
        <v>1076</v>
      </c>
      <c r="E329" s="200">
        <f t="shared" si="1"/>
        <v>0</v>
      </c>
      <c r="F329" s="392"/>
      <c r="G329" s="371"/>
      <c r="H329" s="371"/>
      <c r="I329" s="362"/>
      <c r="J329" s="362"/>
      <c r="K329" s="262"/>
      <c r="L329" s="261"/>
      <c r="M329" s="261"/>
      <c r="N329" s="261"/>
      <c r="O329" s="372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7"/>
    </row>
    <row r="330" spans="1:26" ht="18.75" customHeight="1">
      <c r="A330" s="101">
        <v>10.7</v>
      </c>
      <c r="B330" s="53" t="s">
        <v>715</v>
      </c>
      <c r="C330" s="38" t="s">
        <v>716</v>
      </c>
      <c r="D330" s="61" t="s">
        <v>717</v>
      </c>
      <c r="E330" s="200">
        <f t="shared" si="1"/>
        <v>0</v>
      </c>
      <c r="F330" s="392"/>
      <c r="G330" s="371"/>
      <c r="H330" s="371"/>
      <c r="I330" s="362"/>
      <c r="J330" s="362"/>
      <c r="K330" s="262"/>
      <c r="L330" s="261"/>
      <c r="M330" s="261"/>
      <c r="N330" s="261"/>
      <c r="O330" s="372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7"/>
    </row>
    <row r="331" spans="1:26" ht="18.75" customHeight="1">
      <c r="A331" s="222" t="s">
        <v>719</v>
      </c>
      <c r="B331" s="86" t="s">
        <v>720</v>
      </c>
      <c r="C331" s="224" t="s">
        <v>721</v>
      </c>
      <c r="D331" s="61" t="s">
        <v>717</v>
      </c>
      <c r="E331" s="200">
        <f t="shared" si="1"/>
        <v>0</v>
      </c>
      <c r="F331" s="392"/>
      <c r="G331" s="371"/>
      <c r="H331" s="371"/>
      <c r="I331" s="362"/>
      <c r="J331" s="362"/>
      <c r="K331" s="262"/>
      <c r="L331" s="261"/>
      <c r="M331" s="261"/>
      <c r="N331" s="261"/>
      <c r="O331" s="372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7"/>
    </row>
    <row r="332" spans="1:26" ht="18.75" customHeight="1">
      <c r="A332" s="42" t="s">
        <v>722</v>
      </c>
      <c r="B332" s="59" t="s">
        <v>723</v>
      </c>
      <c r="C332" s="113" t="s">
        <v>131</v>
      </c>
      <c r="D332" s="61" t="s">
        <v>717</v>
      </c>
      <c r="E332" s="200">
        <f t="shared" si="1"/>
        <v>0</v>
      </c>
      <c r="F332" s="392"/>
      <c r="G332" s="371"/>
      <c r="H332" s="371"/>
      <c r="I332" s="362"/>
      <c r="J332" s="362"/>
      <c r="K332" s="262"/>
      <c r="L332" s="261"/>
      <c r="M332" s="261"/>
      <c r="N332" s="261"/>
      <c r="O332" s="372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7"/>
    </row>
    <row r="333" spans="1:26" ht="18.75" customHeight="1">
      <c r="A333" s="42" t="s">
        <v>724</v>
      </c>
      <c r="B333" s="59" t="s">
        <v>725</v>
      </c>
      <c r="C333" s="113" t="s">
        <v>200</v>
      </c>
      <c r="D333" s="61" t="s">
        <v>717</v>
      </c>
      <c r="E333" s="200">
        <f t="shared" si="1"/>
        <v>0</v>
      </c>
      <c r="F333" s="392"/>
      <c r="G333" s="371"/>
      <c r="H333" s="371"/>
      <c r="I333" s="362"/>
      <c r="J333" s="362"/>
      <c r="K333" s="262"/>
      <c r="L333" s="261"/>
      <c r="M333" s="261"/>
      <c r="N333" s="261"/>
      <c r="O333" s="372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7"/>
    </row>
    <row r="334" spans="1:26" ht="18.75" customHeight="1">
      <c r="A334" s="42" t="s">
        <v>726</v>
      </c>
      <c r="B334" s="59" t="s">
        <v>727</v>
      </c>
      <c r="C334" s="113" t="s">
        <v>203</v>
      </c>
      <c r="D334" s="61" t="s">
        <v>717</v>
      </c>
      <c r="E334" s="200">
        <f t="shared" si="1"/>
        <v>0</v>
      </c>
      <c r="F334" s="392"/>
      <c r="G334" s="371"/>
      <c r="H334" s="371"/>
      <c r="I334" s="362"/>
      <c r="J334" s="362"/>
      <c r="K334" s="262"/>
      <c r="L334" s="261"/>
      <c r="M334" s="261"/>
      <c r="N334" s="261"/>
      <c r="O334" s="372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7"/>
    </row>
    <row r="335" spans="1:26" ht="18.75" customHeight="1">
      <c r="A335" s="42" t="s">
        <v>728</v>
      </c>
      <c r="B335" s="59" t="s">
        <v>729</v>
      </c>
      <c r="C335" s="113" t="s">
        <v>159</v>
      </c>
      <c r="D335" s="61" t="s">
        <v>717</v>
      </c>
      <c r="E335" s="200">
        <f t="shared" si="1"/>
        <v>0</v>
      </c>
      <c r="F335" s="392"/>
      <c r="G335" s="371"/>
      <c r="H335" s="371"/>
      <c r="I335" s="362"/>
      <c r="J335" s="362"/>
      <c r="K335" s="262"/>
      <c r="L335" s="261"/>
      <c r="M335" s="261"/>
      <c r="N335" s="261"/>
      <c r="O335" s="372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7"/>
    </row>
    <row r="336" spans="1:26" ht="18.75" customHeight="1">
      <c r="A336" s="222" t="s">
        <v>730</v>
      </c>
      <c r="B336" s="86" t="s">
        <v>731</v>
      </c>
      <c r="C336" s="224" t="s">
        <v>732</v>
      </c>
      <c r="D336" s="61" t="s">
        <v>717</v>
      </c>
      <c r="E336" s="200">
        <f t="shared" si="1"/>
        <v>0</v>
      </c>
      <c r="F336" s="392"/>
      <c r="G336" s="371"/>
      <c r="H336" s="371"/>
      <c r="I336" s="362"/>
      <c r="J336" s="362"/>
      <c r="K336" s="262"/>
      <c r="L336" s="261"/>
      <c r="M336" s="261"/>
      <c r="N336" s="261"/>
      <c r="O336" s="372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7"/>
    </row>
    <row r="337" spans="1:26" ht="18.75" customHeight="1">
      <c r="A337" s="42" t="s">
        <v>733</v>
      </c>
      <c r="B337" s="59" t="s">
        <v>734</v>
      </c>
      <c r="C337" s="113" t="s">
        <v>131</v>
      </c>
      <c r="D337" s="61" t="s">
        <v>717</v>
      </c>
      <c r="E337" s="200">
        <f t="shared" si="1"/>
        <v>0</v>
      </c>
      <c r="F337" s="392"/>
      <c r="G337" s="371"/>
      <c r="H337" s="371"/>
      <c r="I337" s="362"/>
      <c r="J337" s="362"/>
      <c r="K337" s="262"/>
      <c r="L337" s="261"/>
      <c r="M337" s="261"/>
      <c r="N337" s="261"/>
      <c r="O337" s="372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7"/>
    </row>
    <row r="338" spans="1:26" ht="18.75" customHeight="1">
      <c r="A338" s="42" t="s">
        <v>735</v>
      </c>
      <c r="B338" s="59" t="s">
        <v>736</v>
      </c>
      <c r="C338" s="113" t="s">
        <v>200</v>
      </c>
      <c r="D338" s="61" t="s">
        <v>717</v>
      </c>
      <c r="E338" s="200">
        <f t="shared" si="1"/>
        <v>0</v>
      </c>
      <c r="F338" s="392"/>
      <c r="G338" s="371"/>
      <c r="H338" s="371"/>
      <c r="I338" s="362"/>
      <c r="J338" s="362"/>
      <c r="K338" s="262"/>
      <c r="L338" s="261"/>
      <c r="M338" s="261"/>
      <c r="N338" s="261"/>
      <c r="O338" s="372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7"/>
    </row>
    <row r="339" spans="1:26" ht="18.75" customHeight="1">
      <c r="A339" s="42" t="s">
        <v>737</v>
      </c>
      <c r="B339" s="59" t="s">
        <v>738</v>
      </c>
      <c r="C339" s="113" t="s">
        <v>203</v>
      </c>
      <c r="D339" s="61" t="s">
        <v>717</v>
      </c>
      <c r="E339" s="200">
        <f t="shared" si="1"/>
        <v>0</v>
      </c>
      <c r="F339" s="392"/>
      <c r="G339" s="371"/>
      <c r="H339" s="371"/>
      <c r="I339" s="362"/>
      <c r="J339" s="362"/>
      <c r="K339" s="262"/>
      <c r="L339" s="261"/>
      <c r="M339" s="261"/>
      <c r="N339" s="261"/>
      <c r="O339" s="372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7"/>
    </row>
    <row r="340" spans="1:26" ht="18.75" customHeight="1">
      <c r="A340" s="42" t="s">
        <v>739</v>
      </c>
      <c r="B340" s="59" t="s">
        <v>740</v>
      </c>
      <c r="C340" s="113" t="s">
        <v>159</v>
      </c>
      <c r="D340" s="61" t="s">
        <v>717</v>
      </c>
      <c r="E340" s="200">
        <f t="shared" si="1"/>
        <v>0</v>
      </c>
      <c r="F340" s="392"/>
      <c r="G340" s="371"/>
      <c r="H340" s="371"/>
      <c r="I340" s="362"/>
      <c r="J340" s="362"/>
      <c r="K340" s="262"/>
      <c r="L340" s="261"/>
      <c r="M340" s="261"/>
      <c r="N340" s="261"/>
      <c r="O340" s="372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7"/>
    </row>
    <row r="341" spans="1:26" ht="18.75" customHeight="1">
      <c r="A341" s="222" t="s">
        <v>741</v>
      </c>
      <c r="B341" s="86" t="s">
        <v>742</v>
      </c>
      <c r="C341" s="224" t="s">
        <v>743</v>
      </c>
      <c r="D341" s="61" t="s">
        <v>717</v>
      </c>
      <c r="E341" s="200">
        <f t="shared" si="1"/>
        <v>0</v>
      </c>
      <c r="F341" s="392"/>
      <c r="G341" s="371"/>
      <c r="H341" s="371"/>
      <c r="I341" s="362"/>
      <c r="J341" s="362"/>
      <c r="K341" s="262"/>
      <c r="L341" s="261"/>
      <c r="M341" s="261"/>
      <c r="N341" s="261"/>
      <c r="O341" s="372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7"/>
    </row>
    <row r="342" spans="1:26" ht="18.75" customHeight="1">
      <c r="A342" s="42" t="s">
        <v>744</v>
      </c>
      <c r="B342" s="59" t="s">
        <v>720</v>
      </c>
      <c r="C342" s="113" t="s">
        <v>131</v>
      </c>
      <c r="D342" s="61" t="s">
        <v>717</v>
      </c>
      <c r="E342" s="200">
        <f t="shared" si="1"/>
        <v>0</v>
      </c>
      <c r="F342" s="392"/>
      <c r="G342" s="371"/>
      <c r="H342" s="371"/>
      <c r="I342" s="362"/>
      <c r="J342" s="362"/>
      <c r="K342" s="262"/>
      <c r="L342" s="261"/>
      <c r="M342" s="261"/>
      <c r="N342" s="261"/>
      <c r="O342" s="372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7"/>
    </row>
    <row r="343" spans="1:26" ht="18.75" customHeight="1">
      <c r="A343" s="42" t="s">
        <v>745</v>
      </c>
      <c r="B343" s="59" t="s">
        <v>731</v>
      </c>
      <c r="C343" s="113" t="s">
        <v>200</v>
      </c>
      <c r="D343" s="61" t="s">
        <v>717</v>
      </c>
      <c r="E343" s="200">
        <f t="shared" si="1"/>
        <v>0</v>
      </c>
      <c r="F343" s="392"/>
      <c r="G343" s="371"/>
      <c r="H343" s="371"/>
      <c r="I343" s="362"/>
      <c r="J343" s="362"/>
      <c r="K343" s="262"/>
      <c r="L343" s="261"/>
      <c r="M343" s="261"/>
      <c r="N343" s="261"/>
      <c r="O343" s="372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7"/>
    </row>
    <row r="344" spans="1:26" ht="18.75" customHeight="1">
      <c r="A344" s="42" t="s">
        <v>746</v>
      </c>
      <c r="B344" s="59" t="s">
        <v>742</v>
      </c>
      <c r="C344" s="113" t="s">
        <v>203</v>
      </c>
      <c r="D344" s="61" t="s">
        <v>717</v>
      </c>
      <c r="E344" s="200">
        <f t="shared" si="1"/>
        <v>0</v>
      </c>
      <c r="F344" s="392"/>
      <c r="G344" s="371"/>
      <c r="H344" s="371"/>
      <c r="I344" s="362"/>
      <c r="J344" s="362"/>
      <c r="K344" s="262"/>
      <c r="L344" s="261"/>
      <c r="M344" s="261"/>
      <c r="N344" s="261"/>
      <c r="O344" s="372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7"/>
    </row>
    <row r="345" spans="1:26" ht="18.75" customHeight="1">
      <c r="A345" s="42" t="s">
        <v>747</v>
      </c>
      <c r="B345" s="59" t="s">
        <v>748</v>
      </c>
      <c r="C345" s="113" t="s">
        <v>159</v>
      </c>
      <c r="D345" s="61" t="s">
        <v>717</v>
      </c>
      <c r="E345" s="200">
        <f t="shared" si="1"/>
        <v>0</v>
      </c>
      <c r="F345" s="392"/>
      <c r="G345" s="371"/>
      <c r="H345" s="371"/>
      <c r="I345" s="362"/>
      <c r="J345" s="362"/>
      <c r="K345" s="262"/>
      <c r="L345" s="261"/>
      <c r="M345" s="261"/>
      <c r="N345" s="261"/>
      <c r="O345" s="372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7"/>
    </row>
    <row r="346" spans="1:26" ht="34.5" customHeight="1">
      <c r="A346" s="101">
        <v>10.8</v>
      </c>
      <c r="B346" s="53" t="s">
        <v>749</v>
      </c>
      <c r="C346" s="103" t="s">
        <v>750</v>
      </c>
      <c r="D346" s="216" t="s">
        <v>183</v>
      </c>
      <c r="E346" s="200">
        <f t="shared" si="1"/>
        <v>0</v>
      </c>
      <c r="F346" s="392"/>
      <c r="G346" s="371"/>
      <c r="H346" s="371"/>
      <c r="I346" s="362"/>
      <c r="J346" s="362"/>
      <c r="K346" s="262"/>
      <c r="L346" s="261"/>
      <c r="M346" s="261"/>
      <c r="N346" s="261"/>
      <c r="O346" s="372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7"/>
    </row>
    <row r="347" spans="1:26" ht="18.75" customHeight="1">
      <c r="A347" s="42" t="s">
        <v>751</v>
      </c>
      <c r="B347" s="59" t="s">
        <v>752</v>
      </c>
      <c r="C347" s="113" t="s">
        <v>131</v>
      </c>
      <c r="D347" s="216" t="s">
        <v>183</v>
      </c>
      <c r="E347" s="200">
        <f t="shared" si="1"/>
        <v>0</v>
      </c>
      <c r="F347" s="392"/>
      <c r="G347" s="371"/>
      <c r="H347" s="371"/>
      <c r="I347" s="362"/>
      <c r="J347" s="362"/>
      <c r="K347" s="262"/>
      <c r="L347" s="261"/>
      <c r="M347" s="261"/>
      <c r="N347" s="261"/>
      <c r="O347" s="372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7"/>
    </row>
    <row r="348" spans="1:26" ht="18.75" customHeight="1">
      <c r="A348" s="42" t="s">
        <v>753</v>
      </c>
      <c r="B348" s="59" t="s">
        <v>754</v>
      </c>
      <c r="C348" s="113" t="s">
        <v>200</v>
      </c>
      <c r="D348" s="216" t="s">
        <v>183</v>
      </c>
      <c r="E348" s="200">
        <f t="shared" si="1"/>
        <v>0</v>
      </c>
      <c r="F348" s="392"/>
      <c r="G348" s="371"/>
      <c r="H348" s="371"/>
      <c r="I348" s="362"/>
      <c r="J348" s="362"/>
      <c r="K348" s="262"/>
      <c r="L348" s="261"/>
      <c r="M348" s="261"/>
      <c r="N348" s="261"/>
      <c r="O348" s="372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7"/>
    </row>
    <row r="349" spans="1:26" ht="18.75" customHeight="1">
      <c r="A349" s="42" t="s">
        <v>755</v>
      </c>
      <c r="B349" s="59" t="s">
        <v>756</v>
      </c>
      <c r="C349" s="113" t="s">
        <v>203</v>
      </c>
      <c r="D349" s="216" t="s">
        <v>183</v>
      </c>
      <c r="E349" s="200">
        <f t="shared" si="1"/>
        <v>0</v>
      </c>
      <c r="F349" s="392"/>
      <c r="G349" s="371"/>
      <c r="H349" s="371"/>
      <c r="I349" s="362"/>
      <c r="J349" s="362"/>
      <c r="K349" s="262"/>
      <c r="L349" s="261"/>
      <c r="M349" s="261"/>
      <c r="N349" s="261"/>
      <c r="O349" s="372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7"/>
    </row>
    <row r="350" spans="1:26" ht="18.75" customHeight="1">
      <c r="A350" s="42" t="s">
        <v>757</v>
      </c>
      <c r="B350" s="59" t="s">
        <v>758</v>
      </c>
      <c r="C350" s="113" t="s">
        <v>159</v>
      </c>
      <c r="D350" s="216" t="s">
        <v>183</v>
      </c>
      <c r="E350" s="200">
        <f t="shared" si="1"/>
        <v>0</v>
      </c>
      <c r="F350" s="392"/>
      <c r="G350" s="371"/>
      <c r="H350" s="371"/>
      <c r="I350" s="362"/>
      <c r="J350" s="362"/>
      <c r="K350" s="262"/>
      <c r="L350" s="261"/>
      <c r="M350" s="261"/>
      <c r="N350" s="261"/>
      <c r="O350" s="372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7"/>
    </row>
    <row r="351" spans="1:26" ht="18.75" customHeight="1">
      <c r="A351" s="101">
        <v>10.9</v>
      </c>
      <c r="B351" s="53" t="s">
        <v>641</v>
      </c>
      <c r="C351" s="103" t="s">
        <v>759</v>
      </c>
      <c r="D351" s="225" t="s">
        <v>760</v>
      </c>
      <c r="E351" s="200">
        <f t="shared" si="1"/>
        <v>0</v>
      </c>
      <c r="F351" s="392"/>
      <c r="G351" s="371"/>
      <c r="H351" s="371"/>
      <c r="I351" s="362"/>
      <c r="J351" s="362"/>
      <c r="K351" s="262"/>
      <c r="L351" s="261"/>
      <c r="M351" s="261"/>
      <c r="N351" s="261"/>
      <c r="O351" s="372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7"/>
    </row>
    <row r="352" spans="1:26" ht="18.75" customHeight="1">
      <c r="A352" s="101" t="s">
        <v>1081</v>
      </c>
      <c r="B352" s="121" t="s">
        <v>761</v>
      </c>
      <c r="C352" s="103" t="s">
        <v>762</v>
      </c>
      <c r="D352" s="216" t="s">
        <v>183</v>
      </c>
      <c r="E352" s="200">
        <f t="shared" si="1"/>
        <v>0</v>
      </c>
      <c r="F352" s="392"/>
      <c r="G352" s="371"/>
      <c r="H352" s="371"/>
      <c r="I352" s="362"/>
      <c r="J352" s="362"/>
      <c r="K352" s="262"/>
      <c r="L352" s="261"/>
      <c r="M352" s="261"/>
      <c r="N352" s="261"/>
      <c r="O352" s="372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7"/>
    </row>
    <row r="353" spans="1:26" ht="18.75" customHeight="1">
      <c r="A353" s="46">
        <v>11</v>
      </c>
      <c r="B353" s="64" t="s">
        <v>5</v>
      </c>
      <c r="C353" s="64" t="s">
        <v>764</v>
      </c>
      <c r="D353" s="216" t="s">
        <v>183</v>
      </c>
      <c r="E353" s="200">
        <f t="shared" si="1"/>
        <v>0</v>
      </c>
      <c r="F353" s="392"/>
      <c r="G353" s="371"/>
      <c r="H353" s="371"/>
      <c r="I353" s="362"/>
      <c r="J353" s="362"/>
      <c r="K353" s="262"/>
      <c r="L353" s="261"/>
      <c r="M353" s="261"/>
      <c r="N353" s="261"/>
      <c r="O353" s="372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7"/>
    </row>
    <row r="354" spans="1:26" ht="18.75" customHeight="1">
      <c r="A354" s="16">
        <v>11.1</v>
      </c>
      <c r="B354" s="87" t="s">
        <v>766</v>
      </c>
      <c r="C354" s="87" t="s">
        <v>1082</v>
      </c>
      <c r="D354" s="125" t="s">
        <v>132</v>
      </c>
      <c r="E354" s="200">
        <f t="shared" si="1"/>
        <v>0</v>
      </c>
      <c r="F354" s="392"/>
      <c r="G354" s="371"/>
      <c r="H354" s="371"/>
      <c r="I354" s="362"/>
      <c r="J354" s="362"/>
      <c r="K354" s="262"/>
      <c r="L354" s="261"/>
      <c r="M354" s="261"/>
      <c r="N354" s="261"/>
      <c r="O354" s="372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7"/>
    </row>
    <row r="355" spans="1:26" ht="18.75" customHeight="1">
      <c r="A355" s="226">
        <v>11.2</v>
      </c>
      <c r="B355" s="87" t="s">
        <v>769</v>
      </c>
      <c r="C355" s="87" t="s">
        <v>770</v>
      </c>
      <c r="D355" s="125" t="s">
        <v>132</v>
      </c>
      <c r="E355" s="200">
        <f t="shared" si="1"/>
        <v>0</v>
      </c>
      <c r="F355" s="392"/>
      <c r="G355" s="371"/>
      <c r="H355" s="371"/>
      <c r="I355" s="362"/>
      <c r="J355" s="362"/>
      <c r="K355" s="262"/>
      <c r="L355" s="261"/>
      <c r="M355" s="261"/>
      <c r="N355" s="261"/>
      <c r="O355" s="372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7"/>
    </row>
    <row r="356" spans="1:26" ht="18.75" customHeight="1">
      <c r="A356" s="16">
        <v>11.3</v>
      </c>
      <c r="B356" s="87" t="s">
        <v>772</v>
      </c>
      <c r="C356" s="87" t="s">
        <v>773</v>
      </c>
      <c r="D356" s="125" t="s">
        <v>132</v>
      </c>
      <c r="E356" s="200">
        <f t="shared" si="1"/>
        <v>0</v>
      </c>
      <c r="F356" s="392"/>
      <c r="G356" s="371"/>
      <c r="H356" s="371"/>
      <c r="I356" s="362"/>
      <c r="J356" s="362"/>
      <c r="K356" s="262"/>
      <c r="L356" s="261"/>
      <c r="M356" s="261"/>
      <c r="N356" s="261"/>
      <c r="O356" s="372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7"/>
    </row>
    <row r="357" spans="1:26" ht="18.75" customHeight="1">
      <c r="A357" s="42" t="s">
        <v>775</v>
      </c>
      <c r="B357" s="124" t="s">
        <v>776</v>
      </c>
      <c r="C357" s="113" t="s">
        <v>131</v>
      </c>
      <c r="D357" s="125" t="s">
        <v>132</v>
      </c>
      <c r="E357" s="200">
        <f t="shared" si="1"/>
        <v>0</v>
      </c>
      <c r="F357" s="392"/>
      <c r="G357" s="371"/>
      <c r="H357" s="371"/>
      <c r="I357" s="362"/>
      <c r="J357" s="362"/>
      <c r="K357" s="262"/>
      <c r="L357" s="261"/>
      <c r="M357" s="261"/>
      <c r="N357" s="261"/>
      <c r="O357" s="372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7"/>
    </row>
    <row r="358" spans="1:26" ht="18.75" customHeight="1">
      <c r="A358" s="42" t="s">
        <v>777</v>
      </c>
      <c r="B358" s="124" t="s">
        <v>778</v>
      </c>
      <c r="C358" s="113" t="s">
        <v>200</v>
      </c>
      <c r="D358" s="125" t="s">
        <v>132</v>
      </c>
      <c r="E358" s="200">
        <f t="shared" si="1"/>
        <v>0</v>
      </c>
      <c r="F358" s="392"/>
      <c r="G358" s="371"/>
      <c r="H358" s="371"/>
      <c r="I358" s="362"/>
      <c r="J358" s="362"/>
      <c r="K358" s="262"/>
      <c r="L358" s="261"/>
      <c r="M358" s="261"/>
      <c r="N358" s="261"/>
      <c r="O358" s="372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7"/>
    </row>
    <row r="359" spans="1:26" ht="18.75" customHeight="1">
      <c r="A359" s="42" t="s">
        <v>779</v>
      </c>
      <c r="B359" s="124" t="s">
        <v>780</v>
      </c>
      <c r="C359" s="113" t="s">
        <v>203</v>
      </c>
      <c r="D359" s="125" t="s">
        <v>132</v>
      </c>
      <c r="E359" s="200">
        <f t="shared" si="1"/>
        <v>0</v>
      </c>
      <c r="F359" s="392"/>
      <c r="G359" s="371"/>
      <c r="H359" s="371"/>
      <c r="I359" s="362"/>
      <c r="J359" s="362"/>
      <c r="K359" s="262"/>
      <c r="L359" s="261"/>
      <c r="M359" s="261"/>
      <c r="N359" s="261"/>
      <c r="O359" s="372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7"/>
    </row>
    <row r="360" spans="1:26" ht="18.75" customHeight="1">
      <c r="A360" s="42" t="s">
        <v>781</v>
      </c>
      <c r="B360" s="124" t="s">
        <v>782</v>
      </c>
      <c r="C360" s="113" t="s">
        <v>159</v>
      </c>
      <c r="D360" s="125" t="s">
        <v>132</v>
      </c>
      <c r="E360" s="200">
        <f t="shared" si="1"/>
        <v>0</v>
      </c>
      <c r="F360" s="392"/>
      <c r="G360" s="371"/>
      <c r="H360" s="371"/>
      <c r="I360" s="362"/>
      <c r="J360" s="362"/>
      <c r="K360" s="262"/>
      <c r="L360" s="261"/>
      <c r="M360" s="261"/>
      <c r="N360" s="261"/>
      <c r="O360" s="372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7"/>
    </row>
    <row r="361" spans="1:26" ht="18.75" customHeight="1">
      <c r="A361" s="222">
        <v>11.4</v>
      </c>
      <c r="B361" s="126" t="s">
        <v>783</v>
      </c>
      <c r="C361" s="87" t="s">
        <v>784</v>
      </c>
      <c r="D361" s="216" t="s">
        <v>183</v>
      </c>
      <c r="E361" s="200">
        <f t="shared" si="1"/>
        <v>0</v>
      </c>
      <c r="F361" s="392"/>
      <c r="G361" s="371"/>
      <c r="H361" s="371"/>
      <c r="I361" s="362"/>
      <c r="J361" s="362"/>
      <c r="K361" s="262"/>
      <c r="L361" s="261"/>
      <c r="M361" s="261"/>
      <c r="N361" s="261"/>
      <c r="O361" s="372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7"/>
    </row>
    <row r="362" spans="1:26" ht="18.75" customHeight="1">
      <c r="A362" s="42" t="s">
        <v>786</v>
      </c>
      <c r="B362" s="124" t="s">
        <v>787</v>
      </c>
      <c r="C362" s="113" t="s">
        <v>131</v>
      </c>
      <c r="D362" s="216" t="s">
        <v>183</v>
      </c>
      <c r="E362" s="200">
        <f t="shared" si="1"/>
        <v>0</v>
      </c>
      <c r="F362" s="392"/>
      <c r="G362" s="371"/>
      <c r="H362" s="371"/>
      <c r="I362" s="362"/>
      <c r="J362" s="362"/>
      <c r="K362" s="262"/>
      <c r="L362" s="261"/>
      <c r="M362" s="261"/>
      <c r="N362" s="261"/>
      <c r="O362" s="372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7"/>
    </row>
    <row r="363" spans="1:26" ht="18.75" customHeight="1">
      <c r="A363" s="42" t="s">
        <v>788</v>
      </c>
      <c r="B363" s="124" t="s">
        <v>789</v>
      </c>
      <c r="C363" s="113" t="s">
        <v>200</v>
      </c>
      <c r="D363" s="216" t="s">
        <v>183</v>
      </c>
      <c r="E363" s="200">
        <f t="shared" si="1"/>
        <v>0</v>
      </c>
      <c r="F363" s="392"/>
      <c r="G363" s="371"/>
      <c r="H363" s="371"/>
      <c r="I363" s="362"/>
      <c r="J363" s="362"/>
      <c r="K363" s="262"/>
      <c r="L363" s="261"/>
      <c r="M363" s="261"/>
      <c r="N363" s="261"/>
      <c r="O363" s="372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7"/>
    </row>
    <row r="364" spans="1:26" ht="18.75" customHeight="1">
      <c r="A364" s="42" t="s">
        <v>790</v>
      </c>
      <c r="B364" s="124" t="s">
        <v>791</v>
      </c>
      <c r="C364" s="113" t="s">
        <v>203</v>
      </c>
      <c r="D364" s="216" t="s">
        <v>183</v>
      </c>
      <c r="E364" s="200">
        <f t="shared" si="1"/>
        <v>0</v>
      </c>
      <c r="F364" s="392"/>
      <c r="G364" s="371"/>
      <c r="H364" s="371"/>
      <c r="I364" s="362"/>
      <c r="J364" s="362"/>
      <c r="K364" s="262"/>
      <c r="L364" s="261"/>
      <c r="M364" s="261"/>
      <c r="N364" s="261"/>
      <c r="O364" s="372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7"/>
    </row>
    <row r="365" spans="1:26" ht="18.75" customHeight="1">
      <c r="A365" s="42" t="s">
        <v>792</v>
      </c>
      <c r="B365" s="124" t="s">
        <v>793</v>
      </c>
      <c r="C365" s="113" t="s">
        <v>159</v>
      </c>
      <c r="D365" s="216" t="s">
        <v>183</v>
      </c>
      <c r="E365" s="200">
        <f t="shared" si="1"/>
        <v>0</v>
      </c>
      <c r="F365" s="392"/>
      <c r="G365" s="371"/>
      <c r="H365" s="371"/>
      <c r="I365" s="362"/>
      <c r="J365" s="362"/>
      <c r="K365" s="262"/>
      <c r="L365" s="261"/>
      <c r="M365" s="261"/>
      <c r="N365" s="261"/>
      <c r="O365" s="372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7"/>
    </row>
    <row r="366" spans="1:26" ht="31.5" customHeight="1">
      <c r="A366" s="16">
        <v>11.5</v>
      </c>
      <c r="B366" s="87" t="s">
        <v>794</v>
      </c>
      <c r="C366" s="87" t="s">
        <v>795</v>
      </c>
      <c r="D366" s="216" t="s">
        <v>183</v>
      </c>
      <c r="E366" s="200">
        <f t="shared" si="1"/>
        <v>0</v>
      </c>
      <c r="F366" s="392"/>
      <c r="G366" s="371"/>
      <c r="H366" s="371"/>
      <c r="I366" s="362"/>
      <c r="J366" s="362"/>
      <c r="K366" s="262"/>
      <c r="L366" s="261"/>
      <c r="M366" s="261"/>
      <c r="N366" s="261"/>
      <c r="O366" s="372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7"/>
    </row>
    <row r="367" spans="1:26" ht="31.5" customHeight="1">
      <c r="A367" s="226">
        <v>11.6</v>
      </c>
      <c r="B367" s="87" t="s">
        <v>797</v>
      </c>
      <c r="C367" s="87" t="s">
        <v>798</v>
      </c>
      <c r="D367" s="216" t="s">
        <v>183</v>
      </c>
      <c r="E367" s="200">
        <f t="shared" si="1"/>
        <v>0</v>
      </c>
      <c r="F367" s="392"/>
      <c r="G367" s="371"/>
      <c r="H367" s="371"/>
      <c r="I367" s="362"/>
      <c r="J367" s="362"/>
      <c r="K367" s="262"/>
      <c r="L367" s="261"/>
      <c r="M367" s="261"/>
      <c r="N367" s="261"/>
      <c r="O367" s="372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7"/>
    </row>
    <row r="368" spans="1:26" ht="18.75" customHeight="1">
      <c r="A368" s="46">
        <v>12</v>
      </c>
      <c r="B368" s="64" t="s">
        <v>800</v>
      </c>
      <c r="C368" s="64" t="s">
        <v>801</v>
      </c>
      <c r="D368" s="216"/>
      <c r="E368" s="200">
        <f t="shared" si="1"/>
        <v>0</v>
      </c>
      <c r="F368" s="392"/>
      <c r="G368" s="371"/>
      <c r="H368" s="371"/>
      <c r="I368" s="362"/>
      <c r="J368" s="362"/>
      <c r="K368" s="262"/>
      <c r="L368" s="261"/>
      <c r="M368" s="261"/>
      <c r="N368" s="261"/>
      <c r="O368" s="372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7"/>
    </row>
    <row r="369" spans="1:26" ht="18.75" customHeight="1">
      <c r="A369" s="101"/>
      <c r="B369" s="53" t="s">
        <v>803</v>
      </c>
      <c r="C369" s="87" t="s">
        <v>1083</v>
      </c>
      <c r="D369" s="61" t="s">
        <v>805</v>
      </c>
      <c r="E369" s="200">
        <f t="shared" si="1"/>
        <v>0</v>
      </c>
      <c r="F369" s="392"/>
      <c r="G369" s="371"/>
      <c r="H369" s="371"/>
      <c r="I369" s="362"/>
      <c r="J369" s="362"/>
      <c r="K369" s="262"/>
      <c r="L369" s="261"/>
      <c r="M369" s="261"/>
      <c r="N369" s="261"/>
      <c r="O369" s="372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7"/>
    </row>
    <row r="370" spans="1:26" ht="18.75" customHeight="1">
      <c r="A370" s="42"/>
      <c r="B370" s="59" t="s">
        <v>807</v>
      </c>
      <c r="C370" s="113" t="s">
        <v>808</v>
      </c>
      <c r="D370" s="61" t="s">
        <v>132</v>
      </c>
      <c r="E370" s="200">
        <f t="shared" si="1"/>
        <v>0</v>
      </c>
      <c r="F370" s="392"/>
      <c r="G370" s="371"/>
      <c r="H370" s="371"/>
      <c r="I370" s="362"/>
      <c r="J370" s="362"/>
      <c r="K370" s="262"/>
      <c r="L370" s="261"/>
      <c r="M370" s="261"/>
      <c r="N370" s="261"/>
      <c r="O370" s="372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7"/>
    </row>
    <row r="371" spans="1:26" ht="18.75" customHeight="1">
      <c r="A371" s="42"/>
      <c r="B371" s="59" t="s">
        <v>810</v>
      </c>
      <c r="C371" s="113" t="s">
        <v>811</v>
      </c>
      <c r="D371" s="61" t="s">
        <v>132</v>
      </c>
      <c r="E371" s="200">
        <f t="shared" si="1"/>
        <v>0</v>
      </c>
      <c r="F371" s="392"/>
      <c r="G371" s="371"/>
      <c r="H371" s="371"/>
      <c r="I371" s="362"/>
      <c r="J371" s="362"/>
      <c r="K371" s="262"/>
      <c r="L371" s="261"/>
      <c r="M371" s="261"/>
      <c r="N371" s="261"/>
      <c r="O371" s="372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7"/>
    </row>
    <row r="372" spans="1:26" ht="18.75" customHeight="1">
      <c r="A372" s="101"/>
      <c r="B372" s="53" t="s">
        <v>813</v>
      </c>
      <c r="C372" s="87" t="s">
        <v>814</v>
      </c>
      <c r="D372" s="61" t="s">
        <v>424</v>
      </c>
      <c r="E372" s="200">
        <f t="shared" si="1"/>
        <v>0</v>
      </c>
      <c r="F372" s="392"/>
      <c r="G372" s="371"/>
      <c r="H372" s="371"/>
      <c r="I372" s="362"/>
      <c r="J372" s="362"/>
      <c r="K372" s="262"/>
      <c r="L372" s="261"/>
      <c r="M372" s="261"/>
      <c r="N372" s="261"/>
      <c r="O372" s="372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7"/>
    </row>
    <row r="373" spans="1:26" ht="18.75" customHeight="1">
      <c r="A373" s="42"/>
      <c r="B373" s="59" t="s">
        <v>816</v>
      </c>
      <c r="C373" s="113" t="s">
        <v>808</v>
      </c>
      <c r="D373" s="61" t="s">
        <v>424</v>
      </c>
      <c r="E373" s="200">
        <f t="shared" si="1"/>
        <v>0</v>
      </c>
      <c r="F373" s="392"/>
      <c r="G373" s="371"/>
      <c r="H373" s="371"/>
      <c r="I373" s="362"/>
      <c r="J373" s="362"/>
      <c r="K373" s="262"/>
      <c r="L373" s="261"/>
      <c r="M373" s="261"/>
      <c r="N373" s="261"/>
      <c r="O373" s="372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7"/>
    </row>
    <row r="374" spans="1:26" ht="18.75" customHeight="1">
      <c r="A374" s="42"/>
      <c r="B374" s="59" t="s">
        <v>817</v>
      </c>
      <c r="C374" s="113" t="s">
        <v>811</v>
      </c>
      <c r="D374" s="61" t="s">
        <v>424</v>
      </c>
      <c r="E374" s="200">
        <f t="shared" si="1"/>
        <v>0</v>
      </c>
      <c r="F374" s="392"/>
      <c r="G374" s="371"/>
      <c r="H374" s="371"/>
      <c r="I374" s="362"/>
      <c r="J374" s="362"/>
      <c r="K374" s="262"/>
      <c r="L374" s="261"/>
      <c r="M374" s="261"/>
      <c r="N374" s="261"/>
      <c r="O374" s="372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7"/>
    </row>
    <row r="375" spans="1:26" ht="18.75" customHeight="1">
      <c r="A375" s="101"/>
      <c r="B375" s="53" t="s">
        <v>818</v>
      </c>
      <c r="C375" s="87" t="s">
        <v>819</v>
      </c>
      <c r="D375" s="61" t="s">
        <v>132</v>
      </c>
      <c r="E375" s="200">
        <f t="shared" si="1"/>
        <v>0</v>
      </c>
      <c r="F375" s="392"/>
      <c r="G375" s="371"/>
      <c r="H375" s="371"/>
      <c r="I375" s="362"/>
      <c r="J375" s="362"/>
      <c r="K375" s="262"/>
      <c r="L375" s="261"/>
      <c r="M375" s="261"/>
      <c r="N375" s="261"/>
      <c r="O375" s="372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7"/>
    </row>
    <row r="376" spans="1:26" ht="18.75" customHeight="1">
      <c r="A376" s="42"/>
      <c r="B376" s="59" t="s">
        <v>821</v>
      </c>
      <c r="C376" s="113" t="s">
        <v>808</v>
      </c>
      <c r="D376" s="61" t="s">
        <v>132</v>
      </c>
      <c r="E376" s="200">
        <f t="shared" si="1"/>
        <v>0</v>
      </c>
      <c r="F376" s="392"/>
      <c r="G376" s="371"/>
      <c r="H376" s="371"/>
      <c r="I376" s="362"/>
      <c r="J376" s="362"/>
      <c r="K376" s="262"/>
      <c r="L376" s="261"/>
      <c r="M376" s="261"/>
      <c r="N376" s="261"/>
      <c r="O376" s="372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7"/>
    </row>
    <row r="377" spans="1:26" ht="18.75" customHeight="1">
      <c r="A377" s="42"/>
      <c r="B377" s="59" t="s">
        <v>822</v>
      </c>
      <c r="C377" s="113" t="s">
        <v>811</v>
      </c>
      <c r="D377" s="61" t="s">
        <v>132</v>
      </c>
      <c r="E377" s="200">
        <f t="shared" si="1"/>
        <v>0</v>
      </c>
      <c r="F377" s="392"/>
      <c r="G377" s="371"/>
      <c r="H377" s="371"/>
      <c r="I377" s="362"/>
      <c r="J377" s="362"/>
      <c r="K377" s="262"/>
      <c r="L377" s="261"/>
      <c r="M377" s="261"/>
      <c r="N377" s="261"/>
      <c r="O377" s="372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7"/>
    </row>
    <row r="378" spans="1:26" ht="18.75" customHeight="1">
      <c r="A378" s="101"/>
      <c r="B378" s="53" t="s">
        <v>823</v>
      </c>
      <c r="C378" s="87" t="s">
        <v>824</v>
      </c>
      <c r="D378" s="61" t="s">
        <v>424</v>
      </c>
      <c r="E378" s="200">
        <f t="shared" si="1"/>
        <v>0</v>
      </c>
      <c r="F378" s="392"/>
      <c r="G378" s="371"/>
      <c r="H378" s="371"/>
      <c r="I378" s="362"/>
      <c r="J378" s="362"/>
      <c r="K378" s="262"/>
      <c r="L378" s="261"/>
      <c r="M378" s="261"/>
      <c r="N378" s="261"/>
      <c r="O378" s="372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7"/>
    </row>
    <row r="379" spans="1:26" ht="18.75" customHeight="1">
      <c r="A379" s="42"/>
      <c r="B379" s="59" t="s">
        <v>826</v>
      </c>
      <c r="C379" s="111" t="s">
        <v>827</v>
      </c>
      <c r="D379" s="61" t="s">
        <v>424</v>
      </c>
      <c r="E379" s="200">
        <f t="shared" si="1"/>
        <v>0</v>
      </c>
      <c r="F379" s="392"/>
      <c r="G379" s="371"/>
      <c r="H379" s="371"/>
      <c r="I379" s="362"/>
      <c r="J379" s="362"/>
      <c r="K379" s="262"/>
      <c r="L379" s="261"/>
      <c r="M379" s="261"/>
      <c r="N379" s="261"/>
      <c r="O379" s="372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7"/>
    </row>
    <row r="380" spans="1:26" ht="18.75" customHeight="1">
      <c r="A380" s="42"/>
      <c r="B380" s="59" t="s">
        <v>828</v>
      </c>
      <c r="C380" s="111" t="s">
        <v>829</v>
      </c>
      <c r="D380" s="61" t="s">
        <v>1331</v>
      </c>
      <c r="E380" s="200">
        <f t="shared" si="1"/>
        <v>0</v>
      </c>
      <c r="F380" s="392"/>
      <c r="G380" s="371"/>
      <c r="H380" s="371"/>
      <c r="I380" s="362"/>
      <c r="J380" s="362"/>
      <c r="K380" s="262"/>
      <c r="L380" s="261"/>
      <c r="M380" s="261"/>
      <c r="N380" s="261"/>
      <c r="O380" s="372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7"/>
    </row>
    <row r="381" spans="1:26" ht="18.75" customHeight="1">
      <c r="A381" s="42"/>
      <c r="B381" s="59" t="s">
        <v>831</v>
      </c>
      <c r="C381" s="111" t="s">
        <v>433</v>
      </c>
      <c r="D381" s="61" t="s">
        <v>594</v>
      </c>
      <c r="E381" s="200">
        <f t="shared" si="1"/>
        <v>0</v>
      </c>
      <c r="F381" s="392"/>
      <c r="G381" s="371"/>
      <c r="H381" s="371"/>
      <c r="I381" s="362"/>
      <c r="J381" s="362"/>
      <c r="K381" s="262"/>
      <c r="L381" s="261"/>
      <c r="M381" s="261"/>
      <c r="N381" s="261"/>
      <c r="O381" s="372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7"/>
    </row>
    <row r="382" spans="1:26" ht="31.5" customHeight="1">
      <c r="A382" s="101"/>
      <c r="B382" s="53" t="s">
        <v>832</v>
      </c>
      <c r="C382" s="87" t="s">
        <v>833</v>
      </c>
      <c r="D382" s="61" t="s">
        <v>424</v>
      </c>
      <c r="E382" s="200">
        <f t="shared" si="1"/>
        <v>0</v>
      </c>
      <c r="F382" s="392"/>
      <c r="G382" s="371"/>
      <c r="H382" s="371"/>
      <c r="I382" s="362"/>
      <c r="J382" s="362"/>
      <c r="K382" s="262"/>
      <c r="L382" s="261"/>
      <c r="M382" s="261"/>
      <c r="N382" s="261"/>
      <c r="O382" s="372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7"/>
    </row>
    <row r="383" spans="1:26" ht="31.5" customHeight="1">
      <c r="A383" s="101"/>
      <c r="B383" s="53" t="s">
        <v>835</v>
      </c>
      <c r="C383" s="87" t="s">
        <v>836</v>
      </c>
      <c r="D383" s="61" t="s">
        <v>132</v>
      </c>
      <c r="E383" s="200">
        <f t="shared" si="1"/>
        <v>0</v>
      </c>
      <c r="F383" s="392"/>
      <c r="G383" s="371"/>
      <c r="H383" s="371"/>
      <c r="I383" s="362"/>
      <c r="J383" s="362"/>
      <c r="K383" s="262"/>
      <c r="L383" s="261"/>
      <c r="M383" s="261"/>
      <c r="N383" s="261"/>
      <c r="O383" s="372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7"/>
    </row>
    <row r="384" spans="1:26" ht="18.75" customHeight="1">
      <c r="A384" s="42"/>
      <c r="B384" s="59" t="s">
        <v>838</v>
      </c>
      <c r="C384" s="113" t="s">
        <v>131</v>
      </c>
      <c r="D384" s="61" t="s">
        <v>132</v>
      </c>
      <c r="E384" s="200">
        <f t="shared" si="1"/>
        <v>0</v>
      </c>
      <c r="F384" s="392"/>
      <c r="G384" s="371"/>
      <c r="H384" s="371"/>
      <c r="I384" s="362"/>
      <c r="J384" s="362"/>
      <c r="K384" s="262"/>
      <c r="L384" s="261"/>
      <c r="M384" s="261"/>
      <c r="N384" s="261"/>
      <c r="O384" s="372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7"/>
    </row>
    <row r="385" spans="1:26" ht="18.75" customHeight="1">
      <c r="A385" s="42"/>
      <c r="B385" s="59" t="s">
        <v>839</v>
      </c>
      <c r="C385" s="113" t="s">
        <v>200</v>
      </c>
      <c r="D385" s="61" t="s">
        <v>132</v>
      </c>
      <c r="E385" s="200">
        <f t="shared" si="1"/>
        <v>0</v>
      </c>
      <c r="F385" s="392"/>
      <c r="G385" s="371"/>
      <c r="H385" s="371"/>
      <c r="I385" s="362"/>
      <c r="J385" s="362"/>
      <c r="K385" s="262"/>
      <c r="L385" s="261"/>
      <c r="M385" s="261"/>
      <c r="N385" s="261"/>
      <c r="O385" s="372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7"/>
    </row>
    <row r="386" spans="1:26" ht="18.75" customHeight="1">
      <c r="A386" s="42"/>
      <c r="B386" s="59" t="s">
        <v>840</v>
      </c>
      <c r="C386" s="113" t="s">
        <v>203</v>
      </c>
      <c r="D386" s="61" t="s">
        <v>132</v>
      </c>
      <c r="E386" s="200">
        <f t="shared" si="1"/>
        <v>0</v>
      </c>
      <c r="F386" s="392"/>
      <c r="G386" s="371"/>
      <c r="H386" s="371"/>
      <c r="I386" s="362"/>
      <c r="J386" s="362"/>
      <c r="K386" s="262"/>
      <c r="L386" s="261"/>
      <c r="M386" s="261"/>
      <c r="N386" s="261"/>
      <c r="O386" s="372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7"/>
    </row>
    <row r="387" spans="1:26" ht="18.75" customHeight="1">
      <c r="A387" s="42"/>
      <c r="B387" s="59" t="s">
        <v>841</v>
      </c>
      <c r="C387" s="113" t="s">
        <v>159</v>
      </c>
      <c r="D387" s="61" t="s">
        <v>132</v>
      </c>
      <c r="E387" s="200">
        <f t="shared" si="1"/>
        <v>0</v>
      </c>
      <c r="F387" s="392"/>
      <c r="G387" s="371"/>
      <c r="H387" s="371"/>
      <c r="I387" s="362"/>
      <c r="J387" s="362"/>
      <c r="K387" s="262"/>
      <c r="L387" s="261"/>
      <c r="M387" s="261"/>
      <c r="N387" s="261"/>
      <c r="O387" s="372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7"/>
    </row>
    <row r="388" spans="1:26" ht="30.75" customHeight="1">
      <c r="A388" s="101"/>
      <c r="B388" s="53" t="s">
        <v>842</v>
      </c>
      <c r="C388" s="87" t="s">
        <v>843</v>
      </c>
      <c r="D388" s="61" t="s">
        <v>132</v>
      </c>
      <c r="E388" s="200">
        <f t="shared" si="1"/>
        <v>0</v>
      </c>
      <c r="F388" s="392"/>
      <c r="G388" s="371"/>
      <c r="H388" s="371"/>
      <c r="I388" s="362"/>
      <c r="J388" s="362"/>
      <c r="K388" s="262"/>
      <c r="L388" s="261"/>
      <c r="M388" s="261"/>
      <c r="N388" s="261"/>
      <c r="O388" s="372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7"/>
    </row>
    <row r="389" spans="1:26" ht="18.75" customHeight="1">
      <c r="A389" s="101"/>
      <c r="B389" s="53" t="s">
        <v>845</v>
      </c>
      <c r="C389" s="87" t="s">
        <v>846</v>
      </c>
      <c r="D389" s="61" t="s">
        <v>358</v>
      </c>
      <c r="E389" s="200">
        <f t="shared" si="1"/>
        <v>0</v>
      </c>
      <c r="F389" s="392"/>
      <c r="G389" s="371"/>
      <c r="H389" s="371"/>
      <c r="I389" s="362"/>
      <c r="J389" s="362"/>
      <c r="K389" s="262"/>
      <c r="L389" s="261"/>
      <c r="M389" s="261"/>
      <c r="N389" s="261"/>
      <c r="O389" s="372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7"/>
    </row>
    <row r="390" spans="1:26" ht="31.5" customHeight="1">
      <c r="A390" s="101"/>
      <c r="B390" s="53" t="s">
        <v>847</v>
      </c>
      <c r="C390" s="87" t="s">
        <v>848</v>
      </c>
      <c r="D390" s="216" t="s">
        <v>183</v>
      </c>
      <c r="E390" s="200">
        <f t="shared" si="1"/>
        <v>0</v>
      </c>
      <c r="F390" s="392"/>
      <c r="G390" s="371"/>
      <c r="H390" s="371"/>
      <c r="I390" s="362"/>
      <c r="J390" s="362"/>
      <c r="K390" s="262"/>
      <c r="L390" s="261"/>
      <c r="M390" s="261"/>
      <c r="N390" s="261"/>
      <c r="O390" s="372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7"/>
    </row>
    <row r="391" spans="1:26" ht="31.5" customHeight="1">
      <c r="A391" s="101"/>
      <c r="B391" s="53" t="s">
        <v>850</v>
      </c>
      <c r="C391" s="87" t="s">
        <v>851</v>
      </c>
      <c r="D391" s="216" t="s">
        <v>183</v>
      </c>
      <c r="E391" s="200">
        <f t="shared" si="1"/>
        <v>0</v>
      </c>
      <c r="F391" s="392"/>
      <c r="G391" s="371"/>
      <c r="H391" s="371"/>
      <c r="I391" s="362"/>
      <c r="J391" s="362"/>
      <c r="K391" s="262"/>
      <c r="L391" s="261"/>
      <c r="M391" s="261"/>
      <c r="N391" s="261"/>
      <c r="O391" s="372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7"/>
    </row>
    <row r="392" spans="1:26" ht="18.75" customHeight="1">
      <c r="A392" s="101"/>
      <c r="B392" s="53" t="s">
        <v>853</v>
      </c>
      <c r="C392" s="87" t="s">
        <v>854</v>
      </c>
      <c r="D392" s="216" t="s">
        <v>183</v>
      </c>
      <c r="E392" s="200">
        <f t="shared" si="1"/>
        <v>0</v>
      </c>
      <c r="F392" s="392"/>
      <c r="G392" s="371"/>
      <c r="H392" s="371"/>
      <c r="I392" s="362"/>
      <c r="J392" s="362"/>
      <c r="K392" s="262"/>
      <c r="L392" s="261"/>
      <c r="M392" s="261"/>
      <c r="N392" s="261"/>
      <c r="O392" s="372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7"/>
    </row>
    <row r="393" spans="1:26" ht="31.5" customHeight="1">
      <c r="A393" s="101"/>
      <c r="B393" s="53" t="s">
        <v>855</v>
      </c>
      <c r="C393" s="87" t="s">
        <v>856</v>
      </c>
      <c r="D393" s="216" t="s">
        <v>183</v>
      </c>
      <c r="E393" s="200">
        <f t="shared" si="1"/>
        <v>0</v>
      </c>
      <c r="F393" s="392"/>
      <c r="G393" s="371"/>
      <c r="H393" s="371"/>
      <c r="I393" s="362"/>
      <c r="J393" s="362"/>
      <c r="K393" s="262"/>
      <c r="L393" s="261"/>
      <c r="M393" s="261"/>
      <c r="N393" s="261"/>
      <c r="O393" s="372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7"/>
    </row>
    <row r="394" spans="1:26" ht="31.5" customHeight="1">
      <c r="A394" s="101"/>
      <c r="B394" s="53" t="s">
        <v>857</v>
      </c>
      <c r="C394" s="87" t="s">
        <v>858</v>
      </c>
      <c r="D394" s="61" t="s">
        <v>132</v>
      </c>
      <c r="E394" s="200">
        <f t="shared" si="1"/>
        <v>0</v>
      </c>
      <c r="F394" s="392"/>
      <c r="G394" s="371"/>
      <c r="H394" s="371"/>
      <c r="I394" s="362"/>
      <c r="J394" s="362"/>
      <c r="K394" s="262"/>
      <c r="L394" s="261"/>
      <c r="M394" s="261"/>
      <c r="N394" s="261"/>
      <c r="O394" s="372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7"/>
    </row>
    <row r="395" spans="1:26" ht="18.75" customHeight="1">
      <c r="A395" s="118"/>
      <c r="B395" s="59" t="s">
        <v>860</v>
      </c>
      <c r="C395" s="113" t="s">
        <v>861</v>
      </c>
      <c r="D395" s="61" t="s">
        <v>132</v>
      </c>
      <c r="E395" s="200">
        <f t="shared" si="1"/>
        <v>0</v>
      </c>
      <c r="F395" s="392"/>
      <c r="G395" s="371"/>
      <c r="H395" s="371"/>
      <c r="I395" s="362"/>
      <c r="J395" s="362"/>
      <c r="K395" s="262"/>
      <c r="L395" s="261"/>
      <c r="M395" s="261"/>
      <c r="N395" s="261"/>
      <c r="O395" s="372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7"/>
    </row>
    <row r="396" spans="1:26" ht="18.75" customHeight="1">
      <c r="A396" s="118"/>
      <c r="B396" s="59" t="s">
        <v>863</v>
      </c>
      <c r="C396" s="113" t="s">
        <v>864</v>
      </c>
      <c r="D396" s="61" t="s">
        <v>132</v>
      </c>
      <c r="E396" s="200">
        <f t="shared" si="1"/>
        <v>0</v>
      </c>
      <c r="F396" s="392"/>
      <c r="G396" s="371"/>
      <c r="H396" s="371"/>
      <c r="I396" s="362"/>
      <c r="J396" s="362"/>
      <c r="K396" s="262"/>
      <c r="L396" s="261"/>
      <c r="M396" s="261"/>
      <c r="N396" s="261"/>
      <c r="O396" s="372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7"/>
    </row>
    <row r="397" spans="1:26" ht="18.75" customHeight="1">
      <c r="A397" s="101"/>
      <c r="B397" s="53" t="s">
        <v>865</v>
      </c>
      <c r="C397" s="87" t="s">
        <v>866</v>
      </c>
      <c r="D397" s="61" t="s">
        <v>424</v>
      </c>
      <c r="E397" s="200">
        <f t="shared" si="1"/>
        <v>0</v>
      </c>
      <c r="F397" s="392"/>
      <c r="G397" s="371"/>
      <c r="H397" s="371"/>
      <c r="I397" s="362"/>
      <c r="J397" s="362"/>
      <c r="K397" s="262"/>
      <c r="L397" s="261"/>
      <c r="M397" s="261"/>
      <c r="N397" s="261"/>
      <c r="O397" s="372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7"/>
    </row>
    <row r="398" spans="1:26" ht="18.75" customHeight="1">
      <c r="A398" s="118"/>
      <c r="B398" s="59" t="s">
        <v>860</v>
      </c>
      <c r="C398" s="113" t="s">
        <v>868</v>
      </c>
      <c r="D398" s="61" t="s">
        <v>424</v>
      </c>
      <c r="E398" s="200">
        <f t="shared" si="1"/>
        <v>0</v>
      </c>
      <c r="F398" s="392"/>
      <c r="G398" s="371"/>
      <c r="H398" s="371"/>
      <c r="I398" s="362"/>
      <c r="J398" s="362"/>
      <c r="K398" s="262"/>
      <c r="L398" s="261"/>
      <c r="M398" s="261"/>
      <c r="N398" s="261"/>
      <c r="O398" s="372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7"/>
    </row>
    <row r="399" spans="1:26" ht="33" customHeight="1">
      <c r="A399" s="118"/>
      <c r="B399" s="59" t="s">
        <v>863</v>
      </c>
      <c r="C399" s="113" t="s">
        <v>870</v>
      </c>
      <c r="D399" s="61" t="s">
        <v>424</v>
      </c>
      <c r="E399" s="200">
        <f t="shared" si="1"/>
        <v>0</v>
      </c>
      <c r="F399" s="392"/>
      <c r="G399" s="371"/>
      <c r="H399" s="371"/>
      <c r="I399" s="362"/>
      <c r="J399" s="362"/>
      <c r="K399" s="262"/>
      <c r="L399" s="261"/>
      <c r="M399" s="261"/>
      <c r="N399" s="261"/>
      <c r="O399" s="372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7"/>
    </row>
    <row r="400" spans="1:26" ht="18.75" customHeight="1">
      <c r="A400" s="101"/>
      <c r="B400" s="53" t="s">
        <v>871</v>
      </c>
      <c r="C400" s="87" t="s">
        <v>872</v>
      </c>
      <c r="D400" s="61" t="s">
        <v>132</v>
      </c>
      <c r="E400" s="200">
        <f t="shared" si="1"/>
        <v>0</v>
      </c>
      <c r="F400" s="392"/>
      <c r="G400" s="371"/>
      <c r="H400" s="371"/>
      <c r="I400" s="362"/>
      <c r="J400" s="362"/>
      <c r="K400" s="262"/>
      <c r="L400" s="261"/>
      <c r="M400" s="261"/>
      <c r="N400" s="261"/>
      <c r="O400" s="372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7"/>
    </row>
    <row r="401" spans="1:26" ht="18.75" customHeight="1">
      <c r="A401" s="118"/>
      <c r="B401" s="59" t="s">
        <v>874</v>
      </c>
      <c r="C401" s="113" t="s">
        <v>875</v>
      </c>
      <c r="D401" s="61" t="s">
        <v>132</v>
      </c>
      <c r="E401" s="200">
        <f t="shared" si="1"/>
        <v>0</v>
      </c>
      <c r="F401" s="392"/>
      <c r="G401" s="371"/>
      <c r="H401" s="371"/>
      <c r="I401" s="362"/>
      <c r="J401" s="362"/>
      <c r="K401" s="262"/>
      <c r="L401" s="261"/>
      <c r="M401" s="261"/>
      <c r="N401" s="261"/>
      <c r="O401" s="372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7"/>
    </row>
    <row r="402" spans="1:26" ht="18.75" customHeight="1">
      <c r="A402" s="118"/>
      <c r="B402" s="59" t="s">
        <v>877</v>
      </c>
      <c r="C402" s="113" t="s">
        <v>878</v>
      </c>
      <c r="D402" s="61" t="s">
        <v>132</v>
      </c>
      <c r="E402" s="200">
        <f t="shared" si="1"/>
        <v>0</v>
      </c>
      <c r="F402" s="392"/>
      <c r="G402" s="371"/>
      <c r="H402" s="371"/>
      <c r="I402" s="362"/>
      <c r="J402" s="362"/>
      <c r="K402" s="262"/>
      <c r="L402" s="261"/>
      <c r="M402" s="261"/>
      <c r="N402" s="261"/>
      <c r="O402" s="372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7"/>
    </row>
    <row r="403" spans="1:26" ht="41.25" customHeight="1">
      <c r="A403" s="118"/>
      <c r="B403" s="59" t="s">
        <v>879</v>
      </c>
      <c r="C403" s="87" t="s">
        <v>880</v>
      </c>
      <c r="D403" s="216" t="s">
        <v>183</v>
      </c>
      <c r="E403" s="200">
        <f t="shared" si="1"/>
        <v>0</v>
      </c>
      <c r="F403" s="392"/>
      <c r="G403" s="371"/>
      <c r="H403" s="371"/>
      <c r="I403" s="362"/>
      <c r="J403" s="362"/>
      <c r="K403" s="262"/>
      <c r="L403" s="261"/>
      <c r="M403" s="261"/>
      <c r="N403" s="261"/>
      <c r="O403" s="372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7"/>
    </row>
    <row r="404" spans="1:26" ht="18.75" customHeight="1">
      <c r="A404" s="46">
        <v>13</v>
      </c>
      <c r="B404" s="64" t="s">
        <v>881</v>
      </c>
      <c r="C404" s="64" t="s">
        <v>882</v>
      </c>
      <c r="D404" s="216" t="s">
        <v>183</v>
      </c>
      <c r="E404" s="200">
        <f t="shared" si="1"/>
        <v>0</v>
      </c>
      <c r="F404" s="392"/>
      <c r="G404" s="371"/>
      <c r="H404" s="371"/>
      <c r="I404" s="362"/>
      <c r="J404" s="362"/>
      <c r="K404" s="262"/>
      <c r="L404" s="261"/>
      <c r="M404" s="261"/>
      <c r="N404" s="261"/>
      <c r="O404" s="372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7"/>
    </row>
    <row r="405" spans="1:26" ht="18.75" customHeight="1">
      <c r="A405" s="101"/>
      <c r="B405" s="53" t="s">
        <v>883</v>
      </c>
      <c r="C405" s="87" t="s">
        <v>884</v>
      </c>
      <c r="D405" s="216" t="s">
        <v>183</v>
      </c>
      <c r="E405" s="200">
        <f t="shared" si="1"/>
        <v>0</v>
      </c>
      <c r="F405" s="392"/>
      <c r="G405" s="371"/>
      <c r="H405" s="371"/>
      <c r="I405" s="362"/>
      <c r="J405" s="362"/>
      <c r="K405" s="262"/>
      <c r="L405" s="261"/>
      <c r="M405" s="261"/>
      <c r="N405" s="261"/>
      <c r="O405" s="372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7"/>
    </row>
    <row r="406" spans="1:26" ht="18.75" customHeight="1">
      <c r="A406" s="42"/>
      <c r="B406" s="59" t="s">
        <v>886</v>
      </c>
      <c r="C406" s="113" t="s">
        <v>131</v>
      </c>
      <c r="D406" s="216" t="s">
        <v>183</v>
      </c>
      <c r="E406" s="200">
        <f t="shared" si="1"/>
        <v>0</v>
      </c>
      <c r="F406" s="392"/>
      <c r="G406" s="371"/>
      <c r="H406" s="371"/>
      <c r="I406" s="362"/>
      <c r="J406" s="362"/>
      <c r="K406" s="262"/>
      <c r="L406" s="261"/>
      <c r="M406" s="261"/>
      <c r="N406" s="261"/>
      <c r="O406" s="372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7"/>
    </row>
    <row r="407" spans="1:26" ht="18.75" customHeight="1">
      <c r="A407" s="42"/>
      <c r="B407" s="59" t="s">
        <v>888</v>
      </c>
      <c r="C407" s="113" t="s">
        <v>200</v>
      </c>
      <c r="D407" s="216" t="s">
        <v>183</v>
      </c>
      <c r="E407" s="200">
        <f t="shared" si="1"/>
        <v>0</v>
      </c>
      <c r="F407" s="392"/>
      <c r="G407" s="371"/>
      <c r="H407" s="371"/>
      <c r="I407" s="362"/>
      <c r="J407" s="362"/>
      <c r="K407" s="262"/>
      <c r="L407" s="261"/>
      <c r="M407" s="261"/>
      <c r="N407" s="261"/>
      <c r="O407" s="372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7"/>
    </row>
    <row r="408" spans="1:26" ht="18.75" customHeight="1">
      <c r="A408" s="42"/>
      <c r="B408" s="59" t="s">
        <v>890</v>
      </c>
      <c r="C408" s="113" t="s">
        <v>203</v>
      </c>
      <c r="D408" s="216" t="s">
        <v>183</v>
      </c>
      <c r="E408" s="200">
        <f t="shared" si="1"/>
        <v>0</v>
      </c>
      <c r="F408" s="392"/>
      <c r="G408" s="371"/>
      <c r="H408" s="371"/>
      <c r="I408" s="362"/>
      <c r="J408" s="362"/>
      <c r="K408" s="262"/>
      <c r="L408" s="261"/>
      <c r="M408" s="261"/>
      <c r="N408" s="261"/>
      <c r="O408" s="372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7"/>
    </row>
    <row r="409" spans="1:26" ht="18.75" customHeight="1">
      <c r="A409" s="42"/>
      <c r="B409" s="59" t="s">
        <v>892</v>
      </c>
      <c r="C409" s="113" t="s">
        <v>159</v>
      </c>
      <c r="D409" s="216" t="s">
        <v>183</v>
      </c>
      <c r="E409" s="200">
        <f t="shared" si="1"/>
        <v>0</v>
      </c>
      <c r="F409" s="392"/>
      <c r="G409" s="371"/>
      <c r="H409" s="371"/>
      <c r="I409" s="362"/>
      <c r="J409" s="362"/>
      <c r="K409" s="262"/>
      <c r="L409" s="261"/>
      <c r="M409" s="261"/>
      <c r="N409" s="261"/>
      <c r="O409" s="372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7"/>
    </row>
    <row r="410" spans="1:26" ht="18.75" customHeight="1">
      <c r="A410" s="101"/>
      <c r="B410" s="53" t="s">
        <v>893</v>
      </c>
      <c r="C410" s="87" t="s">
        <v>894</v>
      </c>
      <c r="D410" s="216" t="s">
        <v>183</v>
      </c>
      <c r="E410" s="200">
        <f t="shared" si="1"/>
        <v>0</v>
      </c>
      <c r="F410" s="392"/>
      <c r="G410" s="371"/>
      <c r="H410" s="371"/>
      <c r="I410" s="362"/>
      <c r="J410" s="362"/>
      <c r="K410" s="262"/>
      <c r="L410" s="261"/>
      <c r="M410" s="261"/>
      <c r="N410" s="261"/>
      <c r="O410" s="372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7"/>
    </row>
    <row r="411" spans="1:26" ht="18.75" customHeight="1">
      <c r="A411" s="42"/>
      <c r="B411" s="59" t="s">
        <v>896</v>
      </c>
      <c r="C411" s="113" t="s">
        <v>131</v>
      </c>
      <c r="D411" s="216" t="s">
        <v>183</v>
      </c>
      <c r="E411" s="200">
        <f t="shared" si="1"/>
        <v>0</v>
      </c>
      <c r="F411" s="392"/>
      <c r="G411" s="371"/>
      <c r="H411" s="371"/>
      <c r="I411" s="362"/>
      <c r="J411" s="362"/>
      <c r="K411" s="262"/>
      <c r="L411" s="261"/>
      <c r="M411" s="261"/>
      <c r="N411" s="261"/>
      <c r="O411" s="372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7"/>
    </row>
    <row r="412" spans="1:26" ht="18.75" customHeight="1">
      <c r="A412" s="42"/>
      <c r="B412" s="59" t="s">
        <v>898</v>
      </c>
      <c r="C412" s="113" t="s">
        <v>200</v>
      </c>
      <c r="D412" s="216" t="s">
        <v>183</v>
      </c>
      <c r="E412" s="200">
        <f t="shared" si="1"/>
        <v>0</v>
      </c>
      <c r="F412" s="392"/>
      <c r="G412" s="371"/>
      <c r="H412" s="371"/>
      <c r="I412" s="362"/>
      <c r="J412" s="362"/>
      <c r="K412" s="262"/>
      <c r="L412" s="261"/>
      <c r="M412" s="261"/>
      <c r="N412" s="261"/>
      <c r="O412" s="372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7"/>
    </row>
    <row r="413" spans="1:26" ht="18.75" customHeight="1">
      <c r="A413" s="42"/>
      <c r="B413" s="59" t="s">
        <v>900</v>
      </c>
      <c r="C413" s="113" t="s">
        <v>203</v>
      </c>
      <c r="D413" s="216" t="s">
        <v>183</v>
      </c>
      <c r="E413" s="200">
        <f t="shared" si="1"/>
        <v>0</v>
      </c>
      <c r="F413" s="392"/>
      <c r="G413" s="371"/>
      <c r="H413" s="371"/>
      <c r="I413" s="362"/>
      <c r="J413" s="362"/>
      <c r="K413" s="262"/>
      <c r="L413" s="261"/>
      <c r="M413" s="261"/>
      <c r="N413" s="261"/>
      <c r="O413" s="372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7"/>
    </row>
    <row r="414" spans="1:26" ht="18.75" customHeight="1">
      <c r="A414" s="42"/>
      <c r="B414" s="59" t="s">
        <v>902</v>
      </c>
      <c r="C414" s="113" t="s">
        <v>159</v>
      </c>
      <c r="D414" s="216" t="s">
        <v>183</v>
      </c>
      <c r="E414" s="200">
        <f t="shared" si="1"/>
        <v>0</v>
      </c>
      <c r="F414" s="392"/>
      <c r="G414" s="371"/>
      <c r="H414" s="371"/>
      <c r="I414" s="362"/>
      <c r="J414" s="362"/>
      <c r="K414" s="262"/>
      <c r="L414" s="261"/>
      <c r="M414" s="261"/>
      <c r="N414" s="261"/>
      <c r="O414" s="372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7"/>
    </row>
    <row r="415" spans="1:26" ht="18.75" customHeight="1">
      <c r="A415" s="101"/>
      <c r="B415" s="53" t="s">
        <v>903</v>
      </c>
      <c r="C415" s="87" t="s">
        <v>904</v>
      </c>
      <c r="D415" s="216" t="s">
        <v>183</v>
      </c>
      <c r="E415" s="200">
        <f t="shared" si="1"/>
        <v>0</v>
      </c>
      <c r="F415" s="392"/>
      <c r="G415" s="371"/>
      <c r="H415" s="371"/>
      <c r="I415" s="362"/>
      <c r="J415" s="362"/>
      <c r="K415" s="262"/>
      <c r="L415" s="261"/>
      <c r="M415" s="261"/>
      <c r="N415" s="261"/>
      <c r="O415" s="372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7"/>
    </row>
    <row r="416" spans="1:26" ht="18.75" customHeight="1">
      <c r="A416" s="42"/>
      <c r="B416" s="59" t="s">
        <v>906</v>
      </c>
      <c r="C416" s="113" t="s">
        <v>131</v>
      </c>
      <c r="D416" s="216" t="s">
        <v>183</v>
      </c>
      <c r="E416" s="200">
        <f t="shared" si="1"/>
        <v>0</v>
      </c>
      <c r="F416" s="392"/>
      <c r="G416" s="371"/>
      <c r="H416" s="371"/>
      <c r="I416" s="362"/>
      <c r="J416" s="362"/>
      <c r="K416" s="262"/>
      <c r="L416" s="261"/>
      <c r="M416" s="261"/>
      <c r="N416" s="261"/>
      <c r="O416" s="372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7"/>
    </row>
    <row r="417" spans="1:26" ht="18.75" customHeight="1">
      <c r="A417" s="42"/>
      <c r="B417" s="59" t="s">
        <v>908</v>
      </c>
      <c r="C417" s="113" t="s">
        <v>200</v>
      </c>
      <c r="D417" s="216" t="s">
        <v>183</v>
      </c>
      <c r="E417" s="200">
        <f t="shared" si="1"/>
        <v>0</v>
      </c>
      <c r="F417" s="392"/>
      <c r="G417" s="371"/>
      <c r="H417" s="371"/>
      <c r="I417" s="362"/>
      <c r="J417" s="362"/>
      <c r="K417" s="262"/>
      <c r="L417" s="261"/>
      <c r="M417" s="261"/>
      <c r="N417" s="261"/>
      <c r="O417" s="372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7"/>
    </row>
    <row r="418" spans="1:26" ht="18.75" customHeight="1">
      <c r="A418" s="42"/>
      <c r="B418" s="59" t="s">
        <v>910</v>
      </c>
      <c r="C418" s="113" t="s">
        <v>203</v>
      </c>
      <c r="D418" s="216" t="s">
        <v>183</v>
      </c>
      <c r="E418" s="200">
        <f t="shared" si="1"/>
        <v>0</v>
      </c>
      <c r="F418" s="392"/>
      <c r="G418" s="371"/>
      <c r="H418" s="371"/>
      <c r="I418" s="362"/>
      <c r="J418" s="362"/>
      <c r="K418" s="262"/>
      <c r="L418" s="261"/>
      <c r="M418" s="261"/>
      <c r="N418" s="261"/>
      <c r="O418" s="372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7"/>
    </row>
    <row r="419" spans="1:26" ht="18.75" customHeight="1">
      <c r="A419" s="42"/>
      <c r="B419" s="59" t="s">
        <v>912</v>
      </c>
      <c r="C419" s="113" t="s">
        <v>159</v>
      </c>
      <c r="D419" s="216" t="s">
        <v>183</v>
      </c>
      <c r="E419" s="200">
        <f t="shared" si="1"/>
        <v>0</v>
      </c>
      <c r="F419" s="392"/>
      <c r="G419" s="371"/>
      <c r="H419" s="371"/>
      <c r="I419" s="362"/>
      <c r="J419" s="362"/>
      <c r="K419" s="262"/>
      <c r="L419" s="261"/>
      <c r="M419" s="261"/>
      <c r="N419" s="261"/>
      <c r="O419" s="372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7"/>
    </row>
    <row r="420" spans="1:26" ht="18.75" customHeight="1">
      <c r="A420" s="101"/>
      <c r="B420" s="53" t="s">
        <v>913</v>
      </c>
      <c r="C420" s="87" t="s">
        <v>914</v>
      </c>
      <c r="D420" s="216" t="s">
        <v>183</v>
      </c>
      <c r="E420" s="200">
        <f t="shared" si="1"/>
        <v>0</v>
      </c>
      <c r="F420" s="392"/>
      <c r="G420" s="371"/>
      <c r="H420" s="371"/>
      <c r="I420" s="362"/>
      <c r="J420" s="362"/>
      <c r="K420" s="262"/>
      <c r="L420" s="261"/>
      <c r="M420" s="261"/>
      <c r="N420" s="261"/>
      <c r="O420" s="372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7"/>
    </row>
    <row r="421" spans="1:26" ht="18.75" customHeight="1">
      <c r="A421" s="46">
        <v>14</v>
      </c>
      <c r="B421" s="64" t="s">
        <v>915</v>
      </c>
      <c r="C421" s="64" t="s">
        <v>916</v>
      </c>
      <c r="D421" s="216" t="s">
        <v>183</v>
      </c>
      <c r="E421" s="200">
        <f t="shared" si="1"/>
        <v>0</v>
      </c>
      <c r="F421" s="392"/>
      <c r="G421" s="362"/>
      <c r="H421" s="362"/>
      <c r="I421" s="362"/>
      <c r="J421" s="362"/>
      <c r="K421" s="262"/>
      <c r="L421" s="262"/>
      <c r="M421" s="262"/>
      <c r="N421" s="262"/>
      <c r="O421" s="37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7"/>
    </row>
    <row r="422" spans="1:26" ht="31.5" customHeight="1">
      <c r="A422" s="101"/>
      <c r="B422" s="53" t="s">
        <v>918</v>
      </c>
      <c r="C422" s="87" t="s">
        <v>919</v>
      </c>
      <c r="D422" s="227" t="s">
        <v>271</v>
      </c>
      <c r="E422" s="200">
        <f t="shared" si="1"/>
        <v>0</v>
      </c>
      <c r="F422" s="392"/>
      <c r="G422" s="362"/>
      <c r="H422" s="362"/>
      <c r="I422" s="362"/>
      <c r="J422" s="362"/>
      <c r="K422" s="262"/>
      <c r="L422" s="262"/>
      <c r="M422" s="262"/>
      <c r="N422" s="262"/>
      <c r="O422" s="37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7"/>
    </row>
    <row r="423" spans="1:26" ht="18.75" customHeight="1">
      <c r="A423" s="101"/>
      <c r="B423" s="53" t="s">
        <v>920</v>
      </c>
      <c r="C423" s="87" t="s">
        <v>921</v>
      </c>
      <c r="D423" s="227" t="s">
        <v>271</v>
      </c>
      <c r="E423" s="200">
        <f t="shared" si="1"/>
        <v>0</v>
      </c>
      <c r="F423" s="392"/>
      <c r="G423" s="362"/>
      <c r="H423" s="362"/>
      <c r="I423" s="362"/>
      <c r="J423" s="362"/>
      <c r="K423" s="262"/>
      <c r="L423" s="262"/>
      <c r="M423" s="262"/>
      <c r="N423" s="262"/>
      <c r="O423" s="37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7"/>
    </row>
    <row r="424" spans="1:26" ht="18.75" customHeight="1">
      <c r="A424" s="101"/>
      <c r="B424" s="53" t="s">
        <v>922</v>
      </c>
      <c r="C424" s="87" t="s">
        <v>923</v>
      </c>
      <c r="D424" s="227" t="s">
        <v>122</v>
      </c>
      <c r="E424" s="200">
        <f t="shared" si="1"/>
        <v>0</v>
      </c>
      <c r="F424" s="392"/>
      <c r="G424" s="362"/>
      <c r="H424" s="362"/>
      <c r="I424" s="362"/>
      <c r="J424" s="362"/>
      <c r="K424" s="262"/>
      <c r="L424" s="262"/>
      <c r="M424" s="262"/>
      <c r="N424" s="262"/>
      <c r="O424" s="37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7"/>
    </row>
    <row r="425" spans="1:26" ht="18.75" customHeight="1">
      <c r="A425" s="101"/>
      <c r="B425" s="53" t="s">
        <v>924</v>
      </c>
      <c r="C425" s="87" t="s">
        <v>925</v>
      </c>
      <c r="D425" s="227" t="s">
        <v>760</v>
      </c>
      <c r="E425" s="200">
        <f t="shared" si="1"/>
        <v>0</v>
      </c>
      <c r="F425" s="392"/>
      <c r="G425" s="362"/>
      <c r="H425" s="362"/>
      <c r="I425" s="362"/>
      <c r="J425" s="362"/>
      <c r="K425" s="262"/>
      <c r="L425" s="262"/>
      <c r="M425" s="262"/>
      <c r="N425" s="262"/>
      <c r="O425" s="37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7"/>
    </row>
    <row r="426" spans="1:26" ht="31.5" customHeight="1">
      <c r="A426" s="101"/>
      <c r="B426" s="53" t="s">
        <v>927</v>
      </c>
      <c r="C426" s="87" t="s">
        <v>928</v>
      </c>
      <c r="D426" s="216" t="s">
        <v>183</v>
      </c>
      <c r="E426" s="200">
        <f t="shared" si="1"/>
        <v>0</v>
      </c>
      <c r="F426" s="392"/>
      <c r="G426" s="362"/>
      <c r="H426" s="362"/>
      <c r="I426" s="362"/>
      <c r="J426" s="362"/>
      <c r="K426" s="262"/>
      <c r="L426" s="262"/>
      <c r="M426" s="262"/>
      <c r="N426" s="262"/>
      <c r="O426" s="37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7"/>
    </row>
    <row r="427" spans="1:26" ht="14.25" customHeight="1">
      <c r="A427" s="46">
        <v>15</v>
      </c>
      <c r="B427" s="64" t="s">
        <v>930</v>
      </c>
      <c r="C427" s="64" t="s">
        <v>931</v>
      </c>
      <c r="D427" s="216" t="s">
        <v>183</v>
      </c>
      <c r="E427" s="200">
        <f t="shared" si="1"/>
        <v>0</v>
      </c>
      <c r="F427" s="392"/>
      <c r="G427" s="371"/>
      <c r="H427" s="371"/>
      <c r="I427" s="362"/>
      <c r="J427" s="362"/>
      <c r="K427" s="262"/>
      <c r="L427" s="261"/>
      <c r="M427" s="261"/>
      <c r="N427" s="261"/>
      <c r="O427" s="372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7"/>
    </row>
    <row r="428" spans="1:26" ht="18.75" customHeight="1">
      <c r="A428" s="101"/>
      <c r="B428" s="53" t="s">
        <v>933</v>
      </c>
      <c r="C428" s="87" t="s">
        <v>934</v>
      </c>
      <c r="D428" s="61" t="s">
        <v>132</v>
      </c>
      <c r="E428" s="200">
        <f t="shared" si="1"/>
        <v>0</v>
      </c>
      <c r="F428" s="392"/>
      <c r="G428" s="371"/>
      <c r="H428" s="371"/>
      <c r="I428" s="362"/>
      <c r="J428" s="362"/>
      <c r="K428" s="262"/>
      <c r="L428" s="261"/>
      <c r="M428" s="261"/>
      <c r="N428" s="261"/>
      <c r="O428" s="372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7"/>
    </row>
    <row r="429" spans="1:26" ht="18.75" customHeight="1">
      <c r="A429" s="42"/>
      <c r="B429" s="59" t="s">
        <v>936</v>
      </c>
      <c r="C429" s="113" t="s">
        <v>131</v>
      </c>
      <c r="D429" s="61" t="s">
        <v>132</v>
      </c>
      <c r="E429" s="200">
        <f t="shared" si="1"/>
        <v>0</v>
      </c>
      <c r="F429" s="392"/>
      <c r="G429" s="371"/>
      <c r="H429" s="371"/>
      <c r="I429" s="362"/>
      <c r="J429" s="362"/>
      <c r="K429" s="262"/>
      <c r="L429" s="261"/>
      <c r="M429" s="261"/>
      <c r="N429" s="261"/>
      <c r="O429" s="372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7"/>
    </row>
    <row r="430" spans="1:26" ht="18.75" customHeight="1">
      <c r="A430" s="42"/>
      <c r="B430" s="59" t="s">
        <v>937</v>
      </c>
      <c r="C430" s="113" t="s">
        <v>200</v>
      </c>
      <c r="D430" s="61" t="s">
        <v>132</v>
      </c>
      <c r="E430" s="200">
        <f t="shared" si="1"/>
        <v>0</v>
      </c>
      <c r="F430" s="392"/>
      <c r="G430" s="371"/>
      <c r="H430" s="371"/>
      <c r="I430" s="362"/>
      <c r="J430" s="362"/>
      <c r="K430" s="262"/>
      <c r="L430" s="261"/>
      <c r="M430" s="261"/>
      <c r="N430" s="261"/>
      <c r="O430" s="372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7"/>
    </row>
    <row r="431" spans="1:26" ht="18.75" customHeight="1">
      <c r="A431" s="42"/>
      <c r="B431" s="59" t="s">
        <v>938</v>
      </c>
      <c r="C431" s="113" t="s">
        <v>203</v>
      </c>
      <c r="D431" s="61" t="s">
        <v>132</v>
      </c>
      <c r="E431" s="200">
        <f t="shared" si="1"/>
        <v>0</v>
      </c>
      <c r="F431" s="392"/>
      <c r="G431" s="371"/>
      <c r="H431" s="371"/>
      <c r="I431" s="362"/>
      <c r="J431" s="362"/>
      <c r="K431" s="262"/>
      <c r="L431" s="261"/>
      <c r="M431" s="261"/>
      <c r="N431" s="261"/>
      <c r="O431" s="372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7"/>
    </row>
    <row r="432" spans="1:26" ht="18.75" customHeight="1">
      <c r="A432" s="42"/>
      <c r="B432" s="59" t="s">
        <v>939</v>
      </c>
      <c r="C432" s="113" t="s">
        <v>159</v>
      </c>
      <c r="D432" s="61" t="s">
        <v>132</v>
      </c>
      <c r="E432" s="200">
        <f t="shared" si="1"/>
        <v>0</v>
      </c>
      <c r="F432" s="392"/>
      <c r="G432" s="371"/>
      <c r="H432" s="371"/>
      <c r="I432" s="362"/>
      <c r="J432" s="362"/>
      <c r="K432" s="262"/>
      <c r="L432" s="261"/>
      <c r="M432" s="261"/>
      <c r="N432" s="261"/>
      <c r="O432" s="372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7"/>
    </row>
    <row r="433" spans="1:26" ht="18.75" customHeight="1">
      <c r="A433" s="101"/>
      <c r="B433" s="53" t="s">
        <v>940</v>
      </c>
      <c r="C433" s="87" t="s">
        <v>941</v>
      </c>
      <c r="D433" s="61" t="s">
        <v>132</v>
      </c>
      <c r="E433" s="200">
        <f t="shared" si="1"/>
        <v>0</v>
      </c>
      <c r="F433" s="392"/>
      <c r="G433" s="371"/>
      <c r="H433" s="371"/>
      <c r="I433" s="362"/>
      <c r="J433" s="362"/>
      <c r="K433" s="262"/>
      <c r="L433" s="261"/>
      <c r="M433" s="261"/>
      <c r="N433" s="261"/>
      <c r="O433" s="372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7"/>
    </row>
    <row r="434" spans="1:26" ht="18.75" customHeight="1">
      <c r="A434" s="42"/>
      <c r="B434" s="59" t="s">
        <v>943</v>
      </c>
      <c r="C434" s="113" t="s">
        <v>131</v>
      </c>
      <c r="D434" s="61" t="s">
        <v>132</v>
      </c>
      <c r="E434" s="200">
        <f t="shared" si="1"/>
        <v>0</v>
      </c>
      <c r="F434" s="392"/>
      <c r="G434" s="371"/>
      <c r="H434" s="371"/>
      <c r="I434" s="362"/>
      <c r="J434" s="362"/>
      <c r="K434" s="262"/>
      <c r="L434" s="261"/>
      <c r="M434" s="261"/>
      <c r="N434" s="261"/>
      <c r="O434" s="372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7"/>
    </row>
    <row r="435" spans="1:26" ht="18.75" customHeight="1">
      <c r="A435" s="42"/>
      <c r="B435" s="59" t="s">
        <v>944</v>
      </c>
      <c r="C435" s="113" t="s">
        <v>200</v>
      </c>
      <c r="D435" s="61" t="s">
        <v>132</v>
      </c>
      <c r="E435" s="200">
        <f t="shared" si="1"/>
        <v>0</v>
      </c>
      <c r="F435" s="392"/>
      <c r="G435" s="371"/>
      <c r="H435" s="371"/>
      <c r="I435" s="362"/>
      <c r="J435" s="362"/>
      <c r="K435" s="262"/>
      <c r="L435" s="261"/>
      <c r="M435" s="261"/>
      <c r="N435" s="261"/>
      <c r="O435" s="372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7"/>
    </row>
    <row r="436" spans="1:26" ht="18.75" customHeight="1">
      <c r="A436" s="42"/>
      <c r="B436" s="59" t="s">
        <v>945</v>
      </c>
      <c r="C436" s="113" t="s">
        <v>203</v>
      </c>
      <c r="D436" s="61" t="s">
        <v>132</v>
      </c>
      <c r="E436" s="200">
        <f t="shared" si="1"/>
        <v>0</v>
      </c>
      <c r="F436" s="392"/>
      <c r="G436" s="371"/>
      <c r="H436" s="371"/>
      <c r="I436" s="362"/>
      <c r="J436" s="362"/>
      <c r="K436" s="262"/>
      <c r="L436" s="261"/>
      <c r="M436" s="261"/>
      <c r="N436" s="261"/>
      <c r="O436" s="372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7"/>
    </row>
    <row r="437" spans="1:26" ht="18.75" customHeight="1">
      <c r="A437" s="42"/>
      <c r="B437" s="59" t="s">
        <v>946</v>
      </c>
      <c r="C437" s="113" t="s">
        <v>159</v>
      </c>
      <c r="D437" s="61" t="s">
        <v>132</v>
      </c>
      <c r="E437" s="200">
        <f t="shared" si="1"/>
        <v>0</v>
      </c>
      <c r="F437" s="392"/>
      <c r="G437" s="371"/>
      <c r="H437" s="371"/>
      <c r="I437" s="362"/>
      <c r="J437" s="362"/>
      <c r="K437" s="262"/>
      <c r="L437" s="261"/>
      <c r="M437" s="261"/>
      <c r="N437" s="261"/>
      <c r="O437" s="372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7"/>
    </row>
    <row r="438" spans="1:26" ht="18.75" customHeight="1">
      <c r="A438" s="101"/>
      <c r="B438" s="53" t="s">
        <v>947</v>
      </c>
      <c r="C438" s="87" t="s">
        <v>948</v>
      </c>
      <c r="D438" s="61" t="s">
        <v>1332</v>
      </c>
      <c r="E438" s="200">
        <f t="shared" si="1"/>
        <v>0</v>
      </c>
      <c r="F438" s="392"/>
      <c r="G438" s="371"/>
      <c r="H438" s="371"/>
      <c r="I438" s="362"/>
      <c r="J438" s="362"/>
      <c r="K438" s="262"/>
      <c r="L438" s="261"/>
      <c r="M438" s="261"/>
      <c r="N438" s="261"/>
      <c r="O438" s="372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7"/>
    </row>
    <row r="439" spans="1:26" ht="18.75" customHeight="1">
      <c r="A439" s="42"/>
      <c r="B439" s="59" t="s">
        <v>951</v>
      </c>
      <c r="C439" s="113" t="s">
        <v>131</v>
      </c>
      <c r="D439" s="61" t="s">
        <v>1333</v>
      </c>
      <c r="E439" s="200">
        <f t="shared" si="1"/>
        <v>0</v>
      </c>
      <c r="F439" s="392"/>
      <c r="G439" s="371"/>
      <c r="H439" s="371"/>
      <c r="I439" s="362"/>
      <c r="J439" s="362"/>
      <c r="K439" s="262"/>
      <c r="L439" s="261"/>
      <c r="M439" s="261"/>
      <c r="N439" s="261"/>
      <c r="O439" s="372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7"/>
    </row>
    <row r="440" spans="1:26" ht="18.75" customHeight="1">
      <c r="A440" s="42"/>
      <c r="B440" s="59" t="s">
        <v>953</v>
      </c>
      <c r="C440" s="113" t="s">
        <v>200</v>
      </c>
      <c r="D440" s="61" t="s">
        <v>1334</v>
      </c>
      <c r="E440" s="200">
        <f t="shared" si="1"/>
        <v>0</v>
      </c>
      <c r="F440" s="392"/>
      <c r="G440" s="371"/>
      <c r="H440" s="371"/>
      <c r="I440" s="362"/>
      <c r="J440" s="362"/>
      <c r="K440" s="262"/>
      <c r="L440" s="261"/>
      <c r="M440" s="261"/>
      <c r="N440" s="261"/>
      <c r="O440" s="372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7"/>
    </row>
    <row r="441" spans="1:26" ht="18.75" customHeight="1">
      <c r="A441" s="42"/>
      <c r="B441" s="59" t="s">
        <v>955</v>
      </c>
      <c r="C441" s="113" t="s">
        <v>203</v>
      </c>
      <c r="D441" s="61" t="s">
        <v>1335</v>
      </c>
      <c r="E441" s="200">
        <f t="shared" si="1"/>
        <v>0</v>
      </c>
      <c r="F441" s="392"/>
      <c r="G441" s="371"/>
      <c r="H441" s="371"/>
      <c r="I441" s="362"/>
      <c r="J441" s="362"/>
      <c r="K441" s="262"/>
      <c r="L441" s="261"/>
      <c r="M441" s="261"/>
      <c r="N441" s="261"/>
      <c r="O441" s="372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7"/>
    </row>
    <row r="442" spans="1:26" ht="18.75" customHeight="1">
      <c r="A442" s="42"/>
      <c r="B442" s="59" t="s">
        <v>957</v>
      </c>
      <c r="C442" s="113" t="s">
        <v>159</v>
      </c>
      <c r="D442" s="61" t="s">
        <v>1336</v>
      </c>
      <c r="E442" s="200">
        <f t="shared" si="1"/>
        <v>0</v>
      </c>
      <c r="F442" s="392"/>
      <c r="G442" s="371"/>
      <c r="H442" s="371"/>
      <c r="I442" s="362"/>
      <c r="J442" s="362"/>
      <c r="K442" s="262"/>
      <c r="L442" s="261"/>
      <c r="M442" s="261"/>
      <c r="N442" s="261"/>
      <c r="O442" s="372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7"/>
    </row>
    <row r="443" spans="1:26" ht="47.25" customHeight="1">
      <c r="A443" s="101"/>
      <c r="B443" s="53" t="s">
        <v>959</v>
      </c>
      <c r="C443" s="87" t="s">
        <v>960</v>
      </c>
      <c r="D443" s="61" t="s">
        <v>132</v>
      </c>
      <c r="E443" s="200">
        <f t="shared" si="1"/>
        <v>0</v>
      </c>
      <c r="F443" s="392"/>
      <c r="G443" s="371"/>
      <c r="H443" s="371"/>
      <c r="I443" s="362"/>
      <c r="J443" s="362"/>
      <c r="K443" s="262"/>
      <c r="L443" s="261"/>
      <c r="M443" s="261"/>
      <c r="N443" s="261"/>
      <c r="O443" s="372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7"/>
    </row>
    <row r="444" spans="1:26" ht="21.75" customHeight="1">
      <c r="A444" s="101"/>
      <c r="B444" s="53" t="s">
        <v>962</v>
      </c>
      <c r="C444" s="228" t="s">
        <v>963</v>
      </c>
      <c r="D444" s="216" t="s">
        <v>424</v>
      </c>
      <c r="E444" s="200">
        <f t="shared" si="1"/>
        <v>0</v>
      </c>
      <c r="F444" s="392"/>
      <c r="G444" s="371"/>
      <c r="H444" s="371"/>
      <c r="I444" s="362"/>
      <c r="J444" s="362"/>
      <c r="K444" s="262"/>
      <c r="L444" s="261"/>
      <c r="M444" s="261"/>
      <c r="N444" s="261"/>
      <c r="O444" s="372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7"/>
    </row>
    <row r="445" spans="1:26" ht="18.75" customHeight="1">
      <c r="A445" s="101">
        <v>15.6</v>
      </c>
      <c r="B445" s="53" t="s">
        <v>965</v>
      </c>
      <c r="C445" s="87" t="s">
        <v>966</v>
      </c>
      <c r="D445" s="216" t="s">
        <v>183</v>
      </c>
      <c r="E445" s="200">
        <f t="shared" si="1"/>
        <v>0</v>
      </c>
      <c r="F445" s="392"/>
      <c r="G445" s="371"/>
      <c r="H445" s="371"/>
      <c r="I445" s="362"/>
      <c r="J445" s="362"/>
      <c r="K445" s="262"/>
      <c r="L445" s="261"/>
      <c r="M445" s="261"/>
      <c r="N445" s="261"/>
      <c r="O445" s="372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7"/>
    </row>
    <row r="446" spans="1:26" ht="18.75" customHeight="1">
      <c r="A446" s="101">
        <v>15.7</v>
      </c>
      <c r="B446" s="53" t="s">
        <v>967</v>
      </c>
      <c r="C446" s="87" t="s">
        <v>968</v>
      </c>
      <c r="D446" s="216" t="s">
        <v>183</v>
      </c>
      <c r="E446" s="200">
        <f t="shared" si="1"/>
        <v>0</v>
      </c>
      <c r="F446" s="392"/>
      <c r="G446" s="371"/>
      <c r="H446" s="371"/>
      <c r="I446" s="362"/>
      <c r="J446" s="362"/>
      <c r="K446" s="262"/>
      <c r="L446" s="261"/>
      <c r="M446" s="261"/>
      <c r="N446" s="261"/>
      <c r="O446" s="372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7"/>
    </row>
    <row r="447" spans="1:26" ht="18.75" customHeight="1">
      <c r="A447" s="101"/>
      <c r="B447" s="773" t="s">
        <v>969</v>
      </c>
      <c r="C447" s="771"/>
      <c r="D447" s="229" t="s">
        <v>183</v>
      </c>
      <c r="E447" s="230">
        <f t="shared" si="1"/>
        <v>0</v>
      </c>
      <c r="F447" s="393"/>
      <c r="G447" s="384"/>
      <c r="H447" s="384"/>
      <c r="I447" s="362"/>
      <c r="J447" s="362"/>
      <c r="K447" s="262"/>
      <c r="L447" s="276"/>
      <c r="M447" s="276"/>
      <c r="N447" s="276"/>
      <c r="O447" s="385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  <c r="Z447" s="7"/>
    </row>
    <row r="448" spans="1:26" ht="14.25" customHeight="1">
      <c r="A448" s="7"/>
      <c r="B448" s="7"/>
      <c r="C448" s="7"/>
      <c r="D448" s="7"/>
      <c r="E448" s="7"/>
      <c r="F448" s="395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4.25" customHeight="1">
      <c r="A449" s="7"/>
      <c r="B449" s="7"/>
      <c r="C449" s="7"/>
      <c r="D449" s="7"/>
      <c r="E449" s="7"/>
      <c r="F449" s="395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4.25" customHeight="1">
      <c r="A450" s="7"/>
      <c r="B450" s="7"/>
      <c r="C450" s="7"/>
      <c r="D450" s="7"/>
      <c r="E450" s="7"/>
      <c r="F450" s="395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4.25" customHeight="1">
      <c r="A451" s="7"/>
      <c r="B451" s="7"/>
      <c r="C451" s="7"/>
      <c r="D451" s="7"/>
      <c r="E451" s="7"/>
      <c r="F451" s="395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4.25" customHeight="1">
      <c r="A452" s="7"/>
      <c r="B452" s="7"/>
      <c r="C452" s="7"/>
      <c r="D452" s="7"/>
      <c r="E452" s="7"/>
      <c r="F452" s="395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4.25" customHeight="1">
      <c r="A453" s="7"/>
      <c r="B453" s="7"/>
      <c r="C453" s="7"/>
      <c r="D453" s="7"/>
      <c r="E453" s="7"/>
      <c r="F453" s="395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4.25" customHeight="1">
      <c r="A454" s="7"/>
      <c r="B454" s="7"/>
      <c r="C454" s="7"/>
      <c r="D454" s="7"/>
      <c r="E454" s="7"/>
      <c r="F454" s="395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4.25" customHeight="1">
      <c r="A455" s="7"/>
      <c r="B455" s="7"/>
      <c r="C455" s="7"/>
      <c r="D455" s="7"/>
      <c r="E455" s="7"/>
      <c r="F455" s="395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4.25" customHeight="1">
      <c r="A456" s="7"/>
      <c r="B456" s="7"/>
      <c r="C456" s="7"/>
      <c r="D456" s="7"/>
      <c r="E456" s="7"/>
      <c r="F456" s="395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4.25" customHeight="1">
      <c r="A457" s="7"/>
      <c r="B457" s="7"/>
      <c r="C457" s="7"/>
      <c r="D457" s="7"/>
      <c r="E457" s="7"/>
      <c r="F457" s="395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4.25" customHeight="1">
      <c r="A458" s="7"/>
      <c r="B458" s="7"/>
      <c r="C458" s="7"/>
      <c r="D458" s="7"/>
      <c r="E458" s="7"/>
      <c r="F458" s="395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4.25" customHeight="1">
      <c r="A459" s="7"/>
      <c r="B459" s="7"/>
      <c r="C459" s="7"/>
      <c r="D459" s="7"/>
      <c r="E459" s="7"/>
      <c r="F459" s="395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4.25" customHeight="1">
      <c r="A460" s="7"/>
      <c r="B460" s="7"/>
      <c r="C460" s="7"/>
      <c r="D460" s="7"/>
      <c r="E460" s="7"/>
      <c r="F460" s="395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4.25" customHeight="1">
      <c r="A461" s="7"/>
      <c r="B461" s="7"/>
      <c r="C461" s="7"/>
      <c r="D461" s="7"/>
      <c r="E461" s="7"/>
      <c r="F461" s="395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4.25" customHeight="1">
      <c r="A462" s="7"/>
      <c r="B462" s="7"/>
      <c r="C462" s="7"/>
      <c r="D462" s="7"/>
      <c r="E462" s="7"/>
      <c r="F462" s="395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4.25" customHeight="1">
      <c r="A463" s="7"/>
      <c r="B463" s="7"/>
      <c r="C463" s="7"/>
      <c r="D463" s="7"/>
      <c r="E463" s="7"/>
      <c r="F463" s="395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4.25" customHeight="1">
      <c r="A464" s="7"/>
      <c r="B464" s="7"/>
      <c r="C464" s="7"/>
      <c r="D464" s="7"/>
      <c r="E464" s="7"/>
      <c r="F464" s="395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4.25" customHeight="1">
      <c r="A465" s="7"/>
      <c r="B465" s="7"/>
      <c r="C465" s="7"/>
      <c r="D465" s="7"/>
      <c r="E465" s="7"/>
      <c r="F465" s="395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4.25" customHeight="1">
      <c r="A466" s="7"/>
      <c r="B466" s="7"/>
      <c r="C466" s="7"/>
      <c r="D466" s="7"/>
      <c r="E466" s="7"/>
      <c r="F466" s="395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4.25" customHeight="1">
      <c r="A467" s="7"/>
      <c r="B467" s="7"/>
      <c r="C467" s="7"/>
      <c r="D467" s="7"/>
      <c r="E467" s="7"/>
      <c r="F467" s="395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4.25" customHeight="1">
      <c r="A468" s="7"/>
      <c r="B468" s="7"/>
      <c r="C468" s="7"/>
      <c r="D468" s="7"/>
      <c r="E468" s="7"/>
      <c r="F468" s="395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4.25" customHeight="1">
      <c r="A469" s="7"/>
      <c r="B469" s="7"/>
      <c r="C469" s="7"/>
      <c r="D469" s="7"/>
      <c r="E469" s="7"/>
      <c r="F469" s="395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4.25" customHeight="1">
      <c r="A470" s="7"/>
      <c r="B470" s="7"/>
      <c r="C470" s="7"/>
      <c r="D470" s="7"/>
      <c r="E470" s="7"/>
      <c r="F470" s="395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4.25" customHeight="1">
      <c r="A471" s="7"/>
      <c r="B471" s="7"/>
      <c r="C471" s="7"/>
      <c r="D471" s="7"/>
      <c r="E471" s="7"/>
      <c r="F471" s="395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4.25" customHeight="1">
      <c r="A472" s="7"/>
      <c r="B472" s="7"/>
      <c r="C472" s="7"/>
      <c r="D472" s="7"/>
      <c r="E472" s="7"/>
      <c r="F472" s="395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4.25" customHeight="1">
      <c r="A473" s="7"/>
      <c r="B473" s="7"/>
      <c r="C473" s="7"/>
      <c r="D473" s="7"/>
      <c r="E473" s="7"/>
      <c r="F473" s="395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4.25" customHeight="1">
      <c r="A474" s="7"/>
      <c r="B474" s="7"/>
      <c r="C474" s="7"/>
      <c r="D474" s="7"/>
      <c r="E474" s="7"/>
      <c r="F474" s="395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4.25" customHeight="1">
      <c r="A475" s="7"/>
      <c r="B475" s="7"/>
      <c r="C475" s="7"/>
      <c r="D475" s="7"/>
      <c r="E475" s="7"/>
      <c r="F475" s="395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4.25" customHeight="1">
      <c r="A476" s="7"/>
      <c r="B476" s="7"/>
      <c r="C476" s="7"/>
      <c r="D476" s="7"/>
      <c r="E476" s="7"/>
      <c r="F476" s="395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4.25" customHeight="1">
      <c r="A477" s="7"/>
      <c r="B477" s="7"/>
      <c r="C477" s="7"/>
      <c r="D477" s="7"/>
      <c r="E477" s="7"/>
      <c r="F477" s="395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4.25" customHeight="1">
      <c r="A478" s="7"/>
      <c r="B478" s="7"/>
      <c r="C478" s="7"/>
      <c r="D478" s="7"/>
      <c r="E478" s="7"/>
      <c r="F478" s="395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4.25" customHeight="1">
      <c r="A479" s="7"/>
      <c r="B479" s="7"/>
      <c r="C479" s="7"/>
      <c r="D479" s="7"/>
      <c r="E479" s="7"/>
      <c r="F479" s="395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4.25" customHeight="1">
      <c r="A480" s="7"/>
      <c r="B480" s="7"/>
      <c r="C480" s="7"/>
      <c r="D480" s="7"/>
      <c r="E480" s="7"/>
      <c r="F480" s="395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4.25" customHeight="1">
      <c r="A481" s="7"/>
      <c r="B481" s="7"/>
      <c r="C481" s="7"/>
      <c r="D481" s="7"/>
      <c r="E481" s="7"/>
      <c r="F481" s="395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4.25" customHeight="1">
      <c r="A482" s="7"/>
      <c r="B482" s="7"/>
      <c r="C482" s="7"/>
      <c r="D482" s="7"/>
      <c r="E482" s="7"/>
      <c r="F482" s="395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4.25" customHeight="1">
      <c r="A483" s="7"/>
      <c r="B483" s="7"/>
      <c r="C483" s="7"/>
      <c r="D483" s="7"/>
      <c r="E483" s="7"/>
      <c r="F483" s="395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4.25" customHeight="1">
      <c r="A484" s="7"/>
      <c r="B484" s="7"/>
      <c r="C484" s="7"/>
      <c r="D484" s="7"/>
      <c r="E484" s="7"/>
      <c r="F484" s="395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4.25" customHeight="1">
      <c r="A485" s="7"/>
      <c r="B485" s="7"/>
      <c r="C485" s="7"/>
      <c r="D485" s="7"/>
      <c r="E485" s="7"/>
      <c r="F485" s="395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4.25" customHeight="1">
      <c r="A486" s="7"/>
      <c r="B486" s="7"/>
      <c r="C486" s="7"/>
      <c r="D486" s="7"/>
      <c r="E486" s="7"/>
      <c r="F486" s="395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4.25" customHeight="1">
      <c r="A487" s="7"/>
      <c r="B487" s="7"/>
      <c r="C487" s="7"/>
      <c r="D487" s="7"/>
      <c r="E487" s="7"/>
      <c r="F487" s="395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4.25" customHeight="1">
      <c r="A488" s="7"/>
      <c r="B488" s="7"/>
      <c r="C488" s="7"/>
      <c r="D488" s="7"/>
      <c r="E488" s="7"/>
      <c r="F488" s="395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4.25" customHeight="1">
      <c r="A489" s="7"/>
      <c r="B489" s="7"/>
      <c r="C489" s="7"/>
      <c r="D489" s="7"/>
      <c r="E489" s="7"/>
      <c r="F489" s="395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4.25" customHeight="1">
      <c r="A490" s="7"/>
      <c r="B490" s="7"/>
      <c r="C490" s="7"/>
      <c r="D490" s="7"/>
      <c r="E490" s="7"/>
      <c r="F490" s="395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4.25" customHeight="1">
      <c r="A491" s="7"/>
      <c r="B491" s="7"/>
      <c r="C491" s="7"/>
      <c r="D491" s="7"/>
      <c r="E491" s="7"/>
      <c r="F491" s="395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4.25" customHeight="1">
      <c r="A492" s="7"/>
      <c r="B492" s="7"/>
      <c r="C492" s="7"/>
      <c r="D492" s="7"/>
      <c r="E492" s="7"/>
      <c r="F492" s="395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4.25" customHeight="1">
      <c r="A493" s="7"/>
      <c r="B493" s="7"/>
      <c r="C493" s="7"/>
      <c r="D493" s="7"/>
      <c r="E493" s="7"/>
      <c r="F493" s="395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4.25" customHeight="1">
      <c r="A494" s="7"/>
      <c r="B494" s="7"/>
      <c r="C494" s="7"/>
      <c r="D494" s="7"/>
      <c r="E494" s="7"/>
      <c r="F494" s="395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4.25" customHeight="1">
      <c r="A495" s="7"/>
      <c r="B495" s="7"/>
      <c r="C495" s="7"/>
      <c r="D495" s="7"/>
      <c r="E495" s="7"/>
      <c r="F495" s="395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4.25" customHeight="1">
      <c r="A496" s="7"/>
      <c r="B496" s="7"/>
      <c r="C496" s="7"/>
      <c r="D496" s="7"/>
      <c r="E496" s="7"/>
      <c r="F496" s="395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4.25" customHeight="1">
      <c r="A497" s="7"/>
      <c r="B497" s="7"/>
      <c r="C497" s="7"/>
      <c r="D497" s="7"/>
      <c r="E497" s="7"/>
      <c r="F497" s="395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4.25" customHeight="1">
      <c r="A498" s="7"/>
      <c r="B498" s="7"/>
      <c r="C498" s="7"/>
      <c r="D498" s="7"/>
      <c r="E498" s="7"/>
      <c r="F498" s="395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4.25" customHeight="1">
      <c r="A499" s="7"/>
      <c r="B499" s="7"/>
      <c r="C499" s="7"/>
      <c r="D499" s="7"/>
      <c r="E499" s="7"/>
      <c r="F499" s="395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4.25" customHeight="1">
      <c r="A500" s="7"/>
      <c r="B500" s="7"/>
      <c r="C500" s="7"/>
      <c r="D500" s="7"/>
      <c r="E500" s="7"/>
      <c r="F500" s="395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4.25" customHeight="1">
      <c r="A501" s="7"/>
      <c r="B501" s="7"/>
      <c r="C501" s="7"/>
      <c r="D501" s="7"/>
      <c r="E501" s="7"/>
      <c r="F501" s="395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4.25" customHeight="1">
      <c r="A502" s="7"/>
      <c r="B502" s="7"/>
      <c r="C502" s="7"/>
      <c r="D502" s="7"/>
      <c r="E502" s="7"/>
      <c r="F502" s="395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4.25" customHeight="1">
      <c r="A503" s="7"/>
      <c r="B503" s="7"/>
      <c r="C503" s="7"/>
      <c r="D503" s="7"/>
      <c r="E503" s="7"/>
      <c r="F503" s="395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4.25" customHeight="1">
      <c r="A504" s="7"/>
      <c r="B504" s="7"/>
      <c r="C504" s="7"/>
      <c r="D504" s="7"/>
      <c r="E504" s="7"/>
      <c r="F504" s="395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4.25" customHeight="1">
      <c r="A505" s="7"/>
      <c r="B505" s="7"/>
      <c r="C505" s="7"/>
      <c r="D505" s="7"/>
      <c r="E505" s="7"/>
      <c r="F505" s="395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4.25" customHeight="1">
      <c r="A506" s="7"/>
      <c r="B506" s="7"/>
      <c r="C506" s="7"/>
      <c r="D506" s="7"/>
      <c r="E506" s="7"/>
      <c r="F506" s="395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4.25" customHeight="1">
      <c r="A507" s="7"/>
      <c r="B507" s="7"/>
      <c r="C507" s="7"/>
      <c r="D507" s="7"/>
      <c r="E507" s="7"/>
      <c r="F507" s="395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4.25" customHeight="1">
      <c r="A508" s="7"/>
      <c r="B508" s="7"/>
      <c r="C508" s="7"/>
      <c r="D508" s="7"/>
      <c r="E508" s="7"/>
      <c r="F508" s="395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4.25" customHeight="1">
      <c r="A509" s="7"/>
      <c r="B509" s="7"/>
      <c r="C509" s="7"/>
      <c r="D509" s="7"/>
      <c r="E509" s="7"/>
      <c r="F509" s="395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4.25" customHeight="1">
      <c r="A510" s="7"/>
      <c r="B510" s="7"/>
      <c r="C510" s="7"/>
      <c r="D510" s="7"/>
      <c r="E510" s="7"/>
      <c r="F510" s="395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4.25" customHeight="1">
      <c r="A511" s="7"/>
      <c r="B511" s="7"/>
      <c r="C511" s="7"/>
      <c r="D511" s="7"/>
      <c r="E511" s="7"/>
      <c r="F511" s="395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4.25" customHeight="1">
      <c r="A512" s="7"/>
      <c r="B512" s="7"/>
      <c r="C512" s="7"/>
      <c r="D512" s="7"/>
      <c r="E512" s="7"/>
      <c r="F512" s="395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4.25" customHeight="1">
      <c r="A513" s="7"/>
      <c r="B513" s="7"/>
      <c r="C513" s="7"/>
      <c r="D513" s="7"/>
      <c r="E513" s="7"/>
      <c r="F513" s="395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4.25" customHeight="1">
      <c r="A514" s="7"/>
      <c r="B514" s="7"/>
      <c r="C514" s="7"/>
      <c r="D514" s="7"/>
      <c r="E514" s="7"/>
      <c r="F514" s="395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4.25" customHeight="1">
      <c r="A515" s="7"/>
      <c r="B515" s="7"/>
      <c r="C515" s="7"/>
      <c r="D515" s="7"/>
      <c r="E515" s="7"/>
      <c r="F515" s="395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4.25" customHeight="1">
      <c r="A516" s="7"/>
      <c r="B516" s="7"/>
      <c r="C516" s="7"/>
      <c r="D516" s="7"/>
      <c r="E516" s="7"/>
      <c r="F516" s="395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4.25" customHeight="1">
      <c r="A517" s="7"/>
      <c r="B517" s="7"/>
      <c r="C517" s="7"/>
      <c r="D517" s="7"/>
      <c r="E517" s="7"/>
      <c r="F517" s="395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4.25" customHeight="1">
      <c r="A518" s="7"/>
      <c r="B518" s="7"/>
      <c r="C518" s="7"/>
      <c r="D518" s="7"/>
      <c r="E518" s="7"/>
      <c r="F518" s="395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4.25" customHeight="1">
      <c r="A519" s="7"/>
      <c r="B519" s="7"/>
      <c r="C519" s="7"/>
      <c r="D519" s="7"/>
      <c r="E519" s="7"/>
      <c r="F519" s="395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4.25" customHeight="1">
      <c r="A520" s="7"/>
      <c r="B520" s="7"/>
      <c r="C520" s="7"/>
      <c r="D520" s="7"/>
      <c r="E520" s="7"/>
      <c r="F520" s="395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4.25" customHeight="1">
      <c r="A521" s="7"/>
      <c r="B521" s="7"/>
      <c r="C521" s="7"/>
      <c r="D521" s="7"/>
      <c r="E521" s="7"/>
      <c r="F521" s="395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4.25" customHeight="1">
      <c r="A522" s="7"/>
      <c r="B522" s="7"/>
      <c r="C522" s="7"/>
      <c r="D522" s="7"/>
      <c r="E522" s="7"/>
      <c r="F522" s="395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4.25" customHeight="1">
      <c r="A523" s="7"/>
      <c r="B523" s="7"/>
      <c r="C523" s="7"/>
      <c r="D523" s="7"/>
      <c r="E523" s="7"/>
      <c r="F523" s="395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4.25" customHeight="1">
      <c r="A524" s="7"/>
      <c r="B524" s="7"/>
      <c r="C524" s="7"/>
      <c r="D524" s="7"/>
      <c r="E524" s="7"/>
      <c r="F524" s="395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4.25" customHeight="1">
      <c r="A525" s="7"/>
      <c r="B525" s="7"/>
      <c r="C525" s="7"/>
      <c r="D525" s="7"/>
      <c r="E525" s="7"/>
      <c r="F525" s="395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4.25" customHeight="1">
      <c r="A526" s="7"/>
      <c r="B526" s="7"/>
      <c r="C526" s="7"/>
      <c r="D526" s="7"/>
      <c r="E526" s="7"/>
      <c r="F526" s="395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4.25" customHeight="1">
      <c r="A527" s="7"/>
      <c r="B527" s="7"/>
      <c r="C527" s="7"/>
      <c r="D527" s="7"/>
      <c r="E527" s="7"/>
      <c r="F527" s="395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4.25" customHeight="1">
      <c r="A528" s="7"/>
      <c r="B528" s="7"/>
      <c r="C528" s="7"/>
      <c r="D528" s="7"/>
      <c r="E528" s="7"/>
      <c r="F528" s="395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4.25" customHeight="1">
      <c r="A529" s="7"/>
      <c r="B529" s="7"/>
      <c r="C529" s="7"/>
      <c r="D529" s="7"/>
      <c r="E529" s="7"/>
      <c r="F529" s="395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4.25" customHeight="1">
      <c r="A530" s="7"/>
      <c r="B530" s="7"/>
      <c r="C530" s="7"/>
      <c r="D530" s="7"/>
      <c r="E530" s="7"/>
      <c r="F530" s="395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4.25" customHeight="1">
      <c r="A531" s="7"/>
      <c r="B531" s="7"/>
      <c r="C531" s="7"/>
      <c r="D531" s="7"/>
      <c r="E531" s="7"/>
      <c r="F531" s="395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4.25" customHeight="1">
      <c r="A532" s="7"/>
      <c r="B532" s="7"/>
      <c r="C532" s="7"/>
      <c r="D532" s="7"/>
      <c r="E532" s="7"/>
      <c r="F532" s="395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4.25" customHeight="1">
      <c r="A533" s="7"/>
      <c r="B533" s="7"/>
      <c r="C533" s="7"/>
      <c r="D533" s="7"/>
      <c r="E533" s="7"/>
      <c r="F533" s="395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4.25" customHeight="1">
      <c r="A534" s="7"/>
      <c r="B534" s="7"/>
      <c r="C534" s="7"/>
      <c r="D534" s="7"/>
      <c r="E534" s="7"/>
      <c r="F534" s="395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4.25" customHeight="1">
      <c r="A535" s="7"/>
      <c r="B535" s="7"/>
      <c r="C535" s="7"/>
      <c r="D535" s="7"/>
      <c r="E535" s="7"/>
      <c r="F535" s="395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4.25" customHeight="1">
      <c r="A536" s="7"/>
      <c r="B536" s="7"/>
      <c r="C536" s="7"/>
      <c r="D536" s="7"/>
      <c r="E536" s="7"/>
      <c r="F536" s="395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4.25" customHeight="1">
      <c r="A537" s="7"/>
      <c r="B537" s="7"/>
      <c r="C537" s="7"/>
      <c r="D537" s="7"/>
      <c r="E537" s="7"/>
      <c r="F537" s="395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4.25" customHeight="1">
      <c r="A538" s="7"/>
      <c r="B538" s="7"/>
      <c r="C538" s="7"/>
      <c r="D538" s="7"/>
      <c r="E538" s="7"/>
      <c r="F538" s="395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4.25" customHeight="1">
      <c r="A539" s="7"/>
      <c r="B539" s="7"/>
      <c r="C539" s="7"/>
      <c r="D539" s="7"/>
      <c r="E539" s="7"/>
      <c r="F539" s="395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4.25" customHeight="1">
      <c r="A540" s="7"/>
      <c r="B540" s="7"/>
      <c r="C540" s="7"/>
      <c r="D540" s="7"/>
      <c r="E540" s="7"/>
      <c r="F540" s="395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4.25" customHeight="1">
      <c r="A541" s="7"/>
      <c r="B541" s="7"/>
      <c r="C541" s="7"/>
      <c r="D541" s="7"/>
      <c r="E541" s="7"/>
      <c r="F541" s="395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4.25" customHeight="1">
      <c r="A542" s="7"/>
      <c r="B542" s="7"/>
      <c r="C542" s="7"/>
      <c r="D542" s="7"/>
      <c r="E542" s="7"/>
      <c r="F542" s="395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4.25" customHeight="1">
      <c r="A543" s="7"/>
      <c r="B543" s="7"/>
      <c r="C543" s="7"/>
      <c r="D543" s="7"/>
      <c r="E543" s="7"/>
      <c r="F543" s="395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4.25" customHeight="1">
      <c r="A544" s="7"/>
      <c r="B544" s="7"/>
      <c r="C544" s="7"/>
      <c r="D544" s="7"/>
      <c r="E544" s="7"/>
      <c r="F544" s="395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4.25" customHeight="1">
      <c r="A545" s="7"/>
      <c r="B545" s="7"/>
      <c r="C545" s="7"/>
      <c r="D545" s="7"/>
      <c r="E545" s="7"/>
      <c r="F545" s="395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4.25" customHeight="1">
      <c r="A546" s="7"/>
      <c r="B546" s="7"/>
      <c r="C546" s="7"/>
      <c r="D546" s="7"/>
      <c r="E546" s="7"/>
      <c r="F546" s="395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4.25" customHeight="1">
      <c r="A547" s="7"/>
      <c r="B547" s="7"/>
      <c r="C547" s="7"/>
      <c r="D547" s="7"/>
      <c r="E547" s="7"/>
      <c r="F547" s="395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4.25" customHeight="1">
      <c r="A548" s="7"/>
      <c r="B548" s="7"/>
      <c r="C548" s="7"/>
      <c r="D548" s="7"/>
      <c r="E548" s="7"/>
      <c r="F548" s="395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4.25" customHeight="1">
      <c r="A549" s="7"/>
      <c r="B549" s="7"/>
      <c r="C549" s="7"/>
      <c r="D549" s="7"/>
      <c r="E549" s="7"/>
      <c r="F549" s="395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4.25" customHeight="1">
      <c r="A550" s="7"/>
      <c r="B550" s="7"/>
      <c r="C550" s="7"/>
      <c r="D550" s="7"/>
      <c r="E550" s="7"/>
      <c r="F550" s="395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4.25" customHeight="1">
      <c r="A551" s="7"/>
      <c r="B551" s="7"/>
      <c r="C551" s="7"/>
      <c r="D551" s="7"/>
      <c r="E551" s="7"/>
      <c r="F551" s="395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4.25" customHeight="1">
      <c r="A552" s="7"/>
      <c r="B552" s="7"/>
      <c r="C552" s="7"/>
      <c r="D552" s="7"/>
      <c r="E552" s="7"/>
      <c r="F552" s="395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4.25" customHeight="1">
      <c r="A553" s="7"/>
      <c r="B553" s="7"/>
      <c r="C553" s="7"/>
      <c r="D553" s="7"/>
      <c r="E553" s="7"/>
      <c r="F553" s="395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4.25" customHeight="1">
      <c r="A554" s="7"/>
      <c r="B554" s="7"/>
      <c r="C554" s="7"/>
      <c r="D554" s="7"/>
      <c r="E554" s="7"/>
      <c r="F554" s="395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4.25" customHeight="1">
      <c r="A555" s="7"/>
      <c r="B555" s="7"/>
      <c r="C555" s="7"/>
      <c r="D555" s="7"/>
      <c r="E555" s="7"/>
      <c r="F555" s="395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4.25" customHeight="1">
      <c r="A556" s="7"/>
      <c r="B556" s="7"/>
      <c r="C556" s="7"/>
      <c r="D556" s="7"/>
      <c r="E556" s="7"/>
      <c r="F556" s="395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4.25" customHeight="1">
      <c r="A557" s="7"/>
      <c r="B557" s="7"/>
      <c r="C557" s="7"/>
      <c r="D557" s="7"/>
      <c r="E557" s="7"/>
      <c r="F557" s="395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4.25" customHeight="1">
      <c r="A558" s="7"/>
      <c r="B558" s="7"/>
      <c r="C558" s="7"/>
      <c r="D558" s="7"/>
      <c r="E558" s="7"/>
      <c r="F558" s="395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4.25" customHeight="1">
      <c r="A559" s="7"/>
      <c r="B559" s="7"/>
      <c r="C559" s="7"/>
      <c r="D559" s="7"/>
      <c r="E559" s="7"/>
      <c r="F559" s="395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4.25" customHeight="1">
      <c r="A560" s="7"/>
      <c r="B560" s="7"/>
      <c r="C560" s="7"/>
      <c r="D560" s="7"/>
      <c r="E560" s="7"/>
      <c r="F560" s="395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4.25" customHeight="1">
      <c r="A561" s="7"/>
      <c r="B561" s="7"/>
      <c r="C561" s="7"/>
      <c r="D561" s="7"/>
      <c r="E561" s="7"/>
      <c r="F561" s="395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4.25" customHeight="1">
      <c r="A562" s="7"/>
      <c r="B562" s="7"/>
      <c r="C562" s="7"/>
      <c r="D562" s="7"/>
      <c r="E562" s="7"/>
      <c r="F562" s="395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4.25" customHeight="1">
      <c r="A563" s="7"/>
      <c r="B563" s="7"/>
      <c r="C563" s="7"/>
      <c r="D563" s="7"/>
      <c r="E563" s="7"/>
      <c r="F563" s="395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4.25" customHeight="1">
      <c r="A564" s="7"/>
      <c r="B564" s="7"/>
      <c r="C564" s="7"/>
      <c r="D564" s="7"/>
      <c r="E564" s="7"/>
      <c r="F564" s="395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4.25" customHeight="1">
      <c r="A565" s="7"/>
      <c r="B565" s="7"/>
      <c r="C565" s="7"/>
      <c r="D565" s="7"/>
      <c r="E565" s="7"/>
      <c r="F565" s="395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4.25" customHeight="1">
      <c r="A566" s="7"/>
      <c r="B566" s="7"/>
      <c r="C566" s="7"/>
      <c r="D566" s="7"/>
      <c r="E566" s="7"/>
      <c r="F566" s="395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4.25" customHeight="1">
      <c r="A567" s="7"/>
      <c r="B567" s="7"/>
      <c r="C567" s="7"/>
      <c r="D567" s="7"/>
      <c r="E567" s="7"/>
      <c r="F567" s="395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4.25" customHeight="1">
      <c r="A568" s="7"/>
      <c r="B568" s="7"/>
      <c r="C568" s="7"/>
      <c r="D568" s="7"/>
      <c r="E568" s="7"/>
      <c r="F568" s="395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4.25" customHeight="1">
      <c r="A569" s="7"/>
      <c r="B569" s="7"/>
      <c r="C569" s="7"/>
      <c r="D569" s="7"/>
      <c r="E569" s="7"/>
      <c r="F569" s="395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4.25" customHeight="1">
      <c r="A570" s="7"/>
      <c r="B570" s="7"/>
      <c r="C570" s="7"/>
      <c r="D570" s="7"/>
      <c r="E570" s="7"/>
      <c r="F570" s="395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4.25" customHeight="1">
      <c r="A571" s="7"/>
      <c r="B571" s="7"/>
      <c r="C571" s="7"/>
      <c r="D571" s="7"/>
      <c r="E571" s="7"/>
      <c r="F571" s="395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4.25" customHeight="1">
      <c r="A572" s="7"/>
      <c r="B572" s="7"/>
      <c r="C572" s="7"/>
      <c r="D572" s="7"/>
      <c r="E572" s="7"/>
      <c r="F572" s="395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4.25" customHeight="1">
      <c r="A573" s="7"/>
      <c r="B573" s="7"/>
      <c r="C573" s="7"/>
      <c r="D573" s="7"/>
      <c r="E573" s="7"/>
      <c r="F573" s="395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4.25" customHeight="1">
      <c r="A574" s="7"/>
      <c r="B574" s="7"/>
      <c r="C574" s="7"/>
      <c r="D574" s="7"/>
      <c r="E574" s="7"/>
      <c r="F574" s="395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4.25" customHeight="1">
      <c r="A575" s="7"/>
      <c r="B575" s="7"/>
      <c r="C575" s="7"/>
      <c r="D575" s="7"/>
      <c r="E575" s="7"/>
      <c r="F575" s="395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4.25" customHeight="1">
      <c r="A576" s="7"/>
      <c r="B576" s="7"/>
      <c r="C576" s="7"/>
      <c r="D576" s="7"/>
      <c r="E576" s="7"/>
      <c r="F576" s="395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4.25" customHeight="1">
      <c r="A577" s="7"/>
      <c r="B577" s="7"/>
      <c r="C577" s="7"/>
      <c r="D577" s="7"/>
      <c r="E577" s="7"/>
      <c r="F577" s="395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4.25" customHeight="1">
      <c r="A578" s="7"/>
      <c r="B578" s="7"/>
      <c r="C578" s="7"/>
      <c r="D578" s="7"/>
      <c r="E578" s="7"/>
      <c r="F578" s="395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4.25" customHeight="1">
      <c r="A579" s="7"/>
      <c r="B579" s="7"/>
      <c r="C579" s="7"/>
      <c r="D579" s="7"/>
      <c r="E579" s="7"/>
      <c r="F579" s="395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4.25" customHeight="1">
      <c r="A580" s="7"/>
      <c r="B580" s="7"/>
      <c r="C580" s="7"/>
      <c r="D580" s="7"/>
      <c r="E580" s="7"/>
      <c r="F580" s="395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4.25" customHeight="1">
      <c r="A581" s="7"/>
      <c r="B581" s="7"/>
      <c r="C581" s="7"/>
      <c r="D581" s="7"/>
      <c r="E581" s="7"/>
      <c r="F581" s="395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4.25" customHeight="1">
      <c r="A582" s="7"/>
      <c r="B582" s="7"/>
      <c r="C582" s="7"/>
      <c r="D582" s="7"/>
      <c r="E582" s="7"/>
      <c r="F582" s="395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4.25" customHeight="1">
      <c r="A583" s="7"/>
      <c r="B583" s="7"/>
      <c r="C583" s="7"/>
      <c r="D583" s="7"/>
      <c r="E583" s="7"/>
      <c r="F583" s="395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4.25" customHeight="1">
      <c r="A584" s="7"/>
      <c r="B584" s="7"/>
      <c r="C584" s="7"/>
      <c r="D584" s="7"/>
      <c r="E584" s="7"/>
      <c r="F584" s="395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4.25" customHeight="1">
      <c r="A585" s="7"/>
      <c r="B585" s="7"/>
      <c r="C585" s="7"/>
      <c r="D585" s="7"/>
      <c r="E585" s="7"/>
      <c r="F585" s="395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4.25" customHeight="1">
      <c r="A586" s="7"/>
      <c r="B586" s="7"/>
      <c r="C586" s="7"/>
      <c r="D586" s="7"/>
      <c r="E586" s="7"/>
      <c r="F586" s="395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4.25" customHeight="1">
      <c r="A587" s="7"/>
      <c r="B587" s="7"/>
      <c r="C587" s="7"/>
      <c r="D587" s="7"/>
      <c r="E587" s="7"/>
      <c r="F587" s="395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4.25" customHeight="1">
      <c r="A588" s="7"/>
      <c r="B588" s="7"/>
      <c r="C588" s="7"/>
      <c r="D588" s="7"/>
      <c r="E588" s="7"/>
      <c r="F588" s="395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4.25" customHeight="1">
      <c r="A589" s="7"/>
      <c r="B589" s="7"/>
      <c r="C589" s="7"/>
      <c r="D589" s="7"/>
      <c r="E589" s="7"/>
      <c r="F589" s="395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4.25" customHeight="1">
      <c r="A590" s="7"/>
      <c r="B590" s="7"/>
      <c r="C590" s="7"/>
      <c r="D590" s="7"/>
      <c r="E590" s="7"/>
      <c r="F590" s="395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4.25" customHeight="1">
      <c r="A591" s="7"/>
      <c r="B591" s="7"/>
      <c r="C591" s="7"/>
      <c r="D591" s="7"/>
      <c r="E591" s="7"/>
      <c r="F591" s="395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4.25" customHeight="1">
      <c r="A592" s="7"/>
      <c r="B592" s="7"/>
      <c r="C592" s="7"/>
      <c r="D592" s="7"/>
      <c r="E592" s="7"/>
      <c r="F592" s="395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4.25" customHeight="1">
      <c r="A593" s="7"/>
      <c r="B593" s="7"/>
      <c r="C593" s="7"/>
      <c r="D593" s="7"/>
      <c r="E593" s="7"/>
      <c r="F593" s="395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4.25" customHeight="1">
      <c r="A594" s="7"/>
      <c r="B594" s="7"/>
      <c r="C594" s="7"/>
      <c r="D594" s="7"/>
      <c r="E594" s="7"/>
      <c r="F594" s="395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4.25" customHeight="1">
      <c r="A595" s="7"/>
      <c r="B595" s="7"/>
      <c r="C595" s="7"/>
      <c r="D595" s="7"/>
      <c r="E595" s="7"/>
      <c r="F595" s="395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4.25" customHeight="1">
      <c r="A596" s="7"/>
      <c r="B596" s="7"/>
      <c r="C596" s="7"/>
      <c r="D596" s="7"/>
      <c r="E596" s="7"/>
      <c r="F596" s="395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4.25" customHeight="1">
      <c r="A597" s="7"/>
      <c r="B597" s="7"/>
      <c r="C597" s="7"/>
      <c r="D597" s="7"/>
      <c r="E597" s="7"/>
      <c r="F597" s="395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4.25" customHeight="1">
      <c r="A598" s="7"/>
      <c r="B598" s="7"/>
      <c r="C598" s="7"/>
      <c r="D598" s="7"/>
      <c r="E598" s="7"/>
      <c r="F598" s="395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4.25" customHeight="1">
      <c r="A599" s="7"/>
      <c r="B599" s="7"/>
      <c r="C599" s="7"/>
      <c r="D599" s="7"/>
      <c r="E599" s="7"/>
      <c r="F599" s="395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4.25" customHeight="1">
      <c r="A600" s="7"/>
      <c r="B600" s="7"/>
      <c r="C600" s="7"/>
      <c r="D600" s="7"/>
      <c r="E600" s="7"/>
      <c r="F600" s="395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4.25" customHeight="1">
      <c r="A601" s="7"/>
      <c r="B601" s="7"/>
      <c r="C601" s="7"/>
      <c r="D601" s="7"/>
      <c r="E601" s="7"/>
      <c r="F601" s="395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4.25" customHeight="1">
      <c r="A602" s="7"/>
      <c r="B602" s="7"/>
      <c r="C602" s="7"/>
      <c r="D602" s="7"/>
      <c r="E602" s="7"/>
      <c r="F602" s="395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4.25" customHeight="1">
      <c r="A603" s="7"/>
      <c r="B603" s="7"/>
      <c r="C603" s="7"/>
      <c r="D603" s="7"/>
      <c r="E603" s="7"/>
      <c r="F603" s="395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4.25" customHeight="1">
      <c r="A604" s="7"/>
      <c r="B604" s="7"/>
      <c r="C604" s="7"/>
      <c r="D604" s="7"/>
      <c r="E604" s="7"/>
      <c r="F604" s="395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4.25" customHeight="1">
      <c r="A605" s="7"/>
      <c r="B605" s="7"/>
      <c r="C605" s="7"/>
      <c r="D605" s="7"/>
      <c r="E605" s="7"/>
      <c r="F605" s="395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4.25" customHeight="1">
      <c r="A606" s="7"/>
      <c r="B606" s="7"/>
      <c r="C606" s="7"/>
      <c r="D606" s="7"/>
      <c r="E606" s="7"/>
      <c r="F606" s="395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4.25" customHeight="1">
      <c r="A607" s="7"/>
      <c r="B607" s="7"/>
      <c r="C607" s="7"/>
      <c r="D607" s="7"/>
      <c r="E607" s="7"/>
      <c r="F607" s="395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4.25" customHeight="1">
      <c r="A608" s="7"/>
      <c r="B608" s="7"/>
      <c r="C608" s="7"/>
      <c r="D608" s="7"/>
      <c r="E608" s="7"/>
      <c r="F608" s="395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4.25" customHeight="1">
      <c r="A609" s="7"/>
      <c r="B609" s="7"/>
      <c r="C609" s="7"/>
      <c r="D609" s="7"/>
      <c r="E609" s="7"/>
      <c r="F609" s="395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4.25" customHeight="1">
      <c r="A610" s="7"/>
      <c r="B610" s="7"/>
      <c r="C610" s="7"/>
      <c r="D610" s="7"/>
      <c r="E610" s="7"/>
      <c r="F610" s="395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4.25" customHeight="1">
      <c r="A611" s="7"/>
      <c r="B611" s="7"/>
      <c r="C611" s="7"/>
      <c r="D611" s="7"/>
      <c r="E611" s="7"/>
      <c r="F611" s="395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4.25" customHeight="1">
      <c r="A612" s="7"/>
      <c r="B612" s="7"/>
      <c r="C612" s="7"/>
      <c r="D612" s="7"/>
      <c r="E612" s="7"/>
      <c r="F612" s="395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4.25" customHeight="1">
      <c r="A613" s="7"/>
      <c r="B613" s="7"/>
      <c r="C613" s="7"/>
      <c r="D613" s="7"/>
      <c r="E613" s="7"/>
      <c r="F613" s="395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4.25" customHeight="1">
      <c r="A614" s="7"/>
      <c r="B614" s="7"/>
      <c r="C614" s="7"/>
      <c r="D614" s="7"/>
      <c r="E614" s="7"/>
      <c r="F614" s="395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4.25" customHeight="1">
      <c r="A615" s="7"/>
      <c r="B615" s="7"/>
      <c r="C615" s="7"/>
      <c r="D615" s="7"/>
      <c r="E615" s="7"/>
      <c r="F615" s="395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4.25" customHeight="1">
      <c r="A616" s="7"/>
      <c r="B616" s="7"/>
      <c r="C616" s="7"/>
      <c r="D616" s="7"/>
      <c r="E616" s="7"/>
      <c r="F616" s="395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4.25" customHeight="1">
      <c r="A617" s="7"/>
      <c r="B617" s="7"/>
      <c r="C617" s="7"/>
      <c r="D617" s="7"/>
      <c r="E617" s="7"/>
      <c r="F617" s="395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4.25" customHeight="1">
      <c r="A618" s="7"/>
      <c r="B618" s="7"/>
      <c r="C618" s="7"/>
      <c r="D618" s="7"/>
      <c r="E618" s="7"/>
      <c r="F618" s="395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4.25" customHeight="1">
      <c r="A619" s="7"/>
      <c r="B619" s="7"/>
      <c r="C619" s="7"/>
      <c r="D619" s="7"/>
      <c r="E619" s="7"/>
      <c r="F619" s="395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4.25" customHeight="1">
      <c r="A620" s="7"/>
      <c r="B620" s="7"/>
      <c r="C620" s="7"/>
      <c r="D620" s="7"/>
      <c r="E620" s="7"/>
      <c r="F620" s="395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4.25" customHeight="1">
      <c r="A621" s="7"/>
      <c r="B621" s="7"/>
      <c r="C621" s="7"/>
      <c r="D621" s="7"/>
      <c r="E621" s="7"/>
      <c r="F621" s="395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4.25" customHeight="1">
      <c r="A622" s="7"/>
      <c r="B622" s="7"/>
      <c r="C622" s="7"/>
      <c r="D622" s="7"/>
      <c r="E622" s="7"/>
      <c r="F622" s="395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4.25" customHeight="1">
      <c r="A623" s="7"/>
      <c r="B623" s="7"/>
      <c r="C623" s="7"/>
      <c r="D623" s="7"/>
      <c r="E623" s="7"/>
      <c r="F623" s="395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4.25" customHeight="1">
      <c r="A624" s="7"/>
      <c r="B624" s="7"/>
      <c r="C624" s="7"/>
      <c r="D624" s="7"/>
      <c r="E624" s="7"/>
      <c r="F624" s="395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4.25" customHeight="1">
      <c r="A625" s="7"/>
      <c r="B625" s="7"/>
      <c r="C625" s="7"/>
      <c r="D625" s="7"/>
      <c r="E625" s="7"/>
      <c r="F625" s="395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4.25" customHeight="1">
      <c r="A626" s="7"/>
      <c r="B626" s="7"/>
      <c r="C626" s="7"/>
      <c r="D626" s="7"/>
      <c r="E626" s="7"/>
      <c r="F626" s="395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4.25" customHeight="1">
      <c r="A627" s="7"/>
      <c r="B627" s="7"/>
      <c r="C627" s="7"/>
      <c r="D627" s="7"/>
      <c r="E627" s="7"/>
      <c r="F627" s="395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4.25" customHeight="1">
      <c r="A628" s="7"/>
      <c r="B628" s="7"/>
      <c r="C628" s="7"/>
      <c r="D628" s="7"/>
      <c r="E628" s="7"/>
      <c r="F628" s="395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4.25" customHeight="1">
      <c r="A629" s="7"/>
      <c r="B629" s="7"/>
      <c r="C629" s="7"/>
      <c r="D629" s="7"/>
      <c r="E629" s="7"/>
      <c r="F629" s="395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4.25" customHeight="1">
      <c r="A630" s="7"/>
      <c r="B630" s="7"/>
      <c r="C630" s="7"/>
      <c r="D630" s="7"/>
      <c r="E630" s="7"/>
      <c r="F630" s="395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4.25" customHeight="1">
      <c r="A631" s="7"/>
      <c r="B631" s="7"/>
      <c r="C631" s="7"/>
      <c r="D631" s="7"/>
      <c r="E631" s="7"/>
      <c r="F631" s="395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4.25" customHeight="1">
      <c r="A632" s="7"/>
      <c r="B632" s="7"/>
      <c r="C632" s="7"/>
      <c r="D632" s="7"/>
      <c r="E632" s="7"/>
      <c r="F632" s="395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4.25" customHeight="1">
      <c r="A633" s="7"/>
      <c r="B633" s="7"/>
      <c r="C633" s="7"/>
      <c r="D633" s="7"/>
      <c r="E633" s="7"/>
      <c r="F633" s="395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4.25" customHeight="1">
      <c r="A634" s="7"/>
      <c r="B634" s="7"/>
      <c r="C634" s="7"/>
      <c r="D634" s="7"/>
      <c r="E634" s="7"/>
      <c r="F634" s="395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4.25" customHeight="1">
      <c r="A635" s="7"/>
      <c r="B635" s="7"/>
      <c r="C635" s="7"/>
      <c r="D635" s="7"/>
      <c r="E635" s="7"/>
      <c r="F635" s="395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4.25" customHeight="1">
      <c r="A636" s="7"/>
      <c r="B636" s="7"/>
      <c r="C636" s="7"/>
      <c r="D636" s="7"/>
      <c r="E636" s="7"/>
      <c r="F636" s="395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4.25" customHeight="1">
      <c r="A637" s="7"/>
      <c r="B637" s="7"/>
      <c r="C637" s="7"/>
      <c r="D637" s="7"/>
      <c r="E637" s="7"/>
      <c r="F637" s="395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4.25" customHeight="1">
      <c r="A638" s="7"/>
      <c r="B638" s="7"/>
      <c r="C638" s="7"/>
      <c r="D638" s="7"/>
      <c r="E638" s="7"/>
      <c r="F638" s="395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4.25" customHeight="1">
      <c r="A639" s="7"/>
      <c r="B639" s="7"/>
      <c r="C639" s="7"/>
      <c r="D639" s="7"/>
      <c r="E639" s="7"/>
      <c r="F639" s="395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4.25" customHeight="1">
      <c r="A640" s="7"/>
      <c r="B640" s="7"/>
      <c r="C640" s="7"/>
      <c r="D640" s="7"/>
      <c r="E640" s="7"/>
      <c r="F640" s="395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4.25" customHeight="1">
      <c r="A641" s="7"/>
      <c r="B641" s="7"/>
      <c r="C641" s="7"/>
      <c r="D641" s="7"/>
      <c r="E641" s="7"/>
      <c r="F641" s="395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4.25" customHeight="1">
      <c r="A642" s="7"/>
      <c r="B642" s="7"/>
      <c r="C642" s="7"/>
      <c r="D642" s="7"/>
      <c r="E642" s="7"/>
      <c r="F642" s="395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4.25" customHeight="1">
      <c r="A643" s="7"/>
      <c r="B643" s="7"/>
      <c r="C643" s="7"/>
      <c r="D643" s="7"/>
      <c r="E643" s="7"/>
      <c r="F643" s="395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4.25" customHeight="1">
      <c r="A644" s="7"/>
      <c r="B644" s="7"/>
      <c r="C644" s="7"/>
      <c r="D644" s="7"/>
      <c r="E644" s="7"/>
      <c r="F644" s="395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4.25" customHeight="1">
      <c r="A645" s="7"/>
      <c r="B645" s="7"/>
      <c r="C645" s="7"/>
      <c r="D645" s="7"/>
      <c r="E645" s="7"/>
      <c r="F645" s="395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4.25" customHeight="1">
      <c r="A646" s="7"/>
      <c r="B646" s="7"/>
      <c r="C646" s="7"/>
      <c r="D646" s="7"/>
      <c r="E646" s="7"/>
      <c r="F646" s="395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4.25" customHeight="1">
      <c r="A647" s="7"/>
      <c r="B647" s="7"/>
      <c r="C647" s="7"/>
      <c r="D647" s="7"/>
      <c r="E647" s="7"/>
      <c r="F647" s="395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/>
    <row r="649" spans="1:26" ht="15.75" customHeight="1"/>
    <row r="650" spans="1:26" ht="15.75" customHeight="1"/>
    <row r="651" spans="1:26" ht="15.75" customHeight="1"/>
    <row r="652" spans="1:26" ht="15.75" customHeight="1"/>
    <row r="653" spans="1:26" ht="15.75" customHeight="1"/>
    <row r="654" spans="1:26" ht="15.75" customHeight="1"/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10:B17"/>
    <mergeCell ref="B447:C447"/>
    <mergeCell ref="A7:N7"/>
    <mergeCell ref="A8:N8"/>
    <mergeCell ref="A10:A17"/>
    <mergeCell ref="C10:C11"/>
    <mergeCell ref="D10:D17"/>
    <mergeCell ref="E10:E17"/>
    <mergeCell ref="F10:O10"/>
  </mergeCells>
  <conditionalFormatting sqref="F11">
    <cfRule type="containsText" dxfId="64" priority="1" operator="containsText" text="&quot;quảng ngãi&quot;">
      <formula>NOT(ISERROR(SEARCH(("""quảng ngãi"""),(F11))))</formula>
    </cfRule>
  </conditionalFormatting>
  <conditionalFormatting sqref="J11:N11">
    <cfRule type="containsText" dxfId="63" priority="2" operator="containsText" text="&quot;quảng ngãi&quot;">
      <formula>NOT(ISERROR(SEARCH(("""quảng ngãi"""),(J11))))</formula>
    </cfRule>
  </conditionalFormatting>
  <pageMargins left="0.7" right="0.7" top="0.75" bottom="0.75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M657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7" sqref="E7"/>
    </sheetView>
  </sheetViews>
  <sheetFormatPr defaultColWidth="14.453125" defaultRowHeight="15" customHeight="1"/>
  <cols>
    <col min="1" max="1" width="6" customWidth="1"/>
    <col min="2" max="2" width="9.7265625" hidden="1" customWidth="1"/>
    <col min="3" max="3" width="36.7265625" customWidth="1"/>
    <col min="4" max="4" width="9.7265625" customWidth="1"/>
    <col min="5" max="7" width="9.08984375" customWidth="1"/>
    <col min="8" max="9" width="12.7265625" customWidth="1"/>
    <col min="10" max="10" width="11.08984375" customWidth="1"/>
    <col min="11" max="11" width="9.08984375" customWidth="1"/>
    <col min="12" max="12" width="11.453125" customWidth="1"/>
    <col min="13" max="13" width="12.453125" customWidth="1"/>
    <col min="14" max="15" width="9.08984375" customWidth="1"/>
    <col min="16" max="21" width="11.81640625" customWidth="1"/>
    <col min="22" max="22" width="12.453125" customWidth="1"/>
    <col min="23" max="32" width="11.81640625" customWidth="1"/>
    <col min="33" max="40" width="9.08984375" customWidth="1"/>
    <col min="41" max="41" width="10.453125" customWidth="1"/>
    <col min="42" max="61" width="9.08984375" customWidth="1"/>
    <col min="62" max="62" width="11.26953125" customWidth="1"/>
  </cols>
  <sheetData>
    <row r="1" spans="1:65" ht="24.75" hidden="1" customHeight="1">
      <c r="A1" s="397" t="s">
        <v>0</v>
      </c>
      <c r="B1" s="398"/>
      <c r="C1" s="398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399"/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400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399"/>
      <c r="AV1" s="399"/>
      <c r="AW1" s="399"/>
      <c r="AX1" s="399"/>
      <c r="AY1" s="399"/>
      <c r="AZ1" s="399"/>
      <c r="BA1" s="399"/>
      <c r="BB1" s="399"/>
      <c r="BC1" s="399"/>
      <c r="BD1" s="399"/>
      <c r="BE1" s="400"/>
      <c r="BF1" s="399"/>
      <c r="BG1" s="399"/>
      <c r="BH1" s="399"/>
      <c r="BI1" s="399"/>
      <c r="BJ1" s="36"/>
      <c r="BK1" s="174"/>
      <c r="BL1" s="174"/>
      <c r="BM1" s="7"/>
    </row>
    <row r="2" spans="1:65" ht="33" hidden="1" customHeight="1">
      <c r="A2" s="792" t="s">
        <v>1</v>
      </c>
      <c r="B2" s="793"/>
      <c r="C2" s="791"/>
      <c r="D2" s="399"/>
      <c r="E2" s="399"/>
      <c r="F2" s="399"/>
      <c r="G2" s="399"/>
      <c r="H2" s="399"/>
      <c r="I2" s="399"/>
      <c r="J2" s="399"/>
      <c r="K2" s="399"/>
      <c r="L2" s="399"/>
      <c r="M2" s="399"/>
      <c r="N2" s="399"/>
      <c r="O2" s="399"/>
      <c r="P2" s="399"/>
      <c r="Q2" s="399"/>
      <c r="R2" s="399"/>
      <c r="S2" s="399"/>
      <c r="T2" s="399"/>
      <c r="U2" s="399"/>
      <c r="V2" s="399"/>
      <c r="W2" s="399"/>
      <c r="X2" s="399"/>
      <c r="Y2" s="399"/>
      <c r="Z2" s="399"/>
      <c r="AA2" s="399"/>
      <c r="AB2" s="399"/>
      <c r="AC2" s="399"/>
      <c r="AD2" s="399"/>
      <c r="AE2" s="399"/>
      <c r="AF2" s="400"/>
      <c r="AG2" s="399"/>
      <c r="AH2" s="399"/>
      <c r="AI2" s="399"/>
      <c r="AJ2" s="399"/>
      <c r="AK2" s="399"/>
      <c r="AL2" s="399"/>
      <c r="AM2" s="399"/>
      <c r="AN2" s="399"/>
      <c r="AO2" s="399"/>
      <c r="AP2" s="399"/>
      <c r="AQ2" s="399"/>
      <c r="AR2" s="399"/>
      <c r="AS2" s="399"/>
      <c r="AT2" s="399"/>
      <c r="AU2" s="399"/>
      <c r="AV2" s="399"/>
      <c r="AW2" s="399"/>
      <c r="AX2" s="399"/>
      <c r="AY2" s="399"/>
      <c r="AZ2" s="399"/>
      <c r="BA2" s="399"/>
      <c r="BB2" s="399"/>
      <c r="BC2" s="399"/>
      <c r="BD2" s="399"/>
      <c r="BE2" s="400"/>
      <c r="BF2" s="399"/>
      <c r="BG2" s="399"/>
      <c r="BH2" s="399"/>
      <c r="BI2" s="399"/>
      <c r="BJ2" s="36"/>
      <c r="BK2" s="174"/>
      <c r="BL2" s="174"/>
      <c r="BM2" s="7"/>
    </row>
    <row r="3" spans="1:65" ht="23.25" hidden="1" customHeight="1">
      <c r="A3" s="794" t="s">
        <v>2</v>
      </c>
      <c r="B3" s="793"/>
      <c r="C3" s="791"/>
      <c r="D3" s="399"/>
      <c r="E3" s="399"/>
      <c r="F3" s="399"/>
      <c r="G3" s="399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399"/>
      <c r="S3" s="399"/>
      <c r="T3" s="399"/>
      <c r="U3" s="399"/>
      <c r="V3" s="399"/>
      <c r="W3" s="399"/>
      <c r="X3" s="399"/>
      <c r="Y3" s="399"/>
      <c r="Z3" s="399"/>
      <c r="AA3" s="399"/>
      <c r="AB3" s="399"/>
      <c r="AC3" s="399"/>
      <c r="AD3" s="399"/>
      <c r="AE3" s="399"/>
      <c r="AF3" s="400"/>
      <c r="AG3" s="399"/>
      <c r="AH3" s="399"/>
      <c r="AI3" s="399"/>
      <c r="AJ3" s="399"/>
      <c r="AK3" s="399"/>
      <c r="AL3" s="399"/>
      <c r="AM3" s="399"/>
      <c r="AN3" s="399"/>
      <c r="AO3" s="399"/>
      <c r="AP3" s="399"/>
      <c r="AQ3" s="399"/>
      <c r="AR3" s="399"/>
      <c r="AS3" s="399"/>
      <c r="AT3" s="399"/>
      <c r="AU3" s="399"/>
      <c r="AV3" s="399"/>
      <c r="AW3" s="399"/>
      <c r="AX3" s="399"/>
      <c r="AY3" s="399"/>
      <c r="AZ3" s="399"/>
      <c r="BA3" s="399"/>
      <c r="BB3" s="399"/>
      <c r="BC3" s="399"/>
      <c r="BD3" s="399"/>
      <c r="BE3" s="400"/>
      <c r="BF3" s="399"/>
      <c r="BG3" s="399"/>
      <c r="BH3" s="399"/>
      <c r="BI3" s="399"/>
      <c r="BJ3" s="36"/>
      <c r="BK3" s="174"/>
      <c r="BL3" s="174"/>
      <c r="BM3" s="7"/>
    </row>
    <row r="4" spans="1:65" ht="54.75" hidden="1" customHeight="1">
      <c r="A4" s="795" t="s">
        <v>1337</v>
      </c>
      <c r="B4" s="793"/>
      <c r="C4" s="793"/>
      <c r="D4" s="791"/>
      <c r="E4" s="399"/>
      <c r="F4" s="399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9"/>
      <c r="R4" s="399"/>
      <c r="S4" s="399"/>
      <c r="T4" s="399"/>
      <c r="U4" s="399"/>
      <c r="V4" s="399"/>
      <c r="W4" s="399"/>
      <c r="X4" s="399"/>
      <c r="Y4" s="399"/>
      <c r="Z4" s="399"/>
      <c r="AA4" s="399"/>
      <c r="AB4" s="399"/>
      <c r="AC4" s="399"/>
      <c r="AD4" s="399"/>
      <c r="AE4" s="399"/>
      <c r="AF4" s="400"/>
      <c r="AG4" s="399"/>
      <c r="AH4" s="399"/>
      <c r="AI4" s="399"/>
      <c r="AJ4" s="399"/>
      <c r="AK4" s="399"/>
      <c r="AL4" s="399"/>
      <c r="AM4" s="399"/>
      <c r="AN4" s="399"/>
      <c r="AO4" s="399"/>
      <c r="AP4" s="399"/>
      <c r="AQ4" s="399"/>
      <c r="AR4" s="399"/>
      <c r="AS4" s="399"/>
      <c r="AT4" s="399"/>
      <c r="AU4" s="399"/>
      <c r="AV4" s="399"/>
      <c r="AW4" s="399"/>
      <c r="AX4" s="399"/>
      <c r="AY4" s="399"/>
      <c r="AZ4" s="399"/>
      <c r="BA4" s="399"/>
      <c r="BB4" s="399"/>
      <c r="BC4" s="399"/>
      <c r="BD4" s="399"/>
      <c r="BE4" s="400"/>
      <c r="BF4" s="399"/>
      <c r="BG4" s="399"/>
      <c r="BH4" s="399"/>
      <c r="BI4" s="399"/>
      <c r="BJ4" s="36"/>
      <c r="BK4" s="174"/>
      <c r="BL4" s="174"/>
      <c r="BM4" s="7"/>
    </row>
    <row r="5" spans="1:65" ht="33.75" hidden="1" customHeight="1">
      <c r="A5" s="796" t="e">
        <f>+'[1]Phu luc 01- Danh sach bieu mau'!A3:C3</f>
        <v>#REF!</v>
      </c>
      <c r="B5" s="793"/>
      <c r="C5" s="793"/>
      <c r="D5" s="791"/>
      <c r="E5" s="399"/>
      <c r="F5" s="399"/>
      <c r="G5" s="399"/>
      <c r="H5" s="399"/>
      <c r="I5" s="399"/>
      <c r="J5" s="399"/>
      <c r="K5" s="399"/>
      <c r="L5" s="399"/>
      <c r="M5" s="399"/>
      <c r="N5" s="399"/>
      <c r="O5" s="399"/>
      <c r="P5" s="399"/>
      <c r="Q5" s="399"/>
      <c r="R5" s="399"/>
      <c r="S5" s="399"/>
      <c r="T5" s="399"/>
      <c r="U5" s="399"/>
      <c r="V5" s="399"/>
      <c r="W5" s="399"/>
      <c r="X5" s="399"/>
      <c r="Y5" s="399"/>
      <c r="Z5" s="399"/>
      <c r="AA5" s="399"/>
      <c r="AB5" s="399"/>
      <c r="AC5" s="399"/>
      <c r="AD5" s="399"/>
      <c r="AE5" s="399"/>
      <c r="AF5" s="400"/>
      <c r="AG5" s="399"/>
      <c r="AH5" s="399"/>
      <c r="AI5" s="399"/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400"/>
      <c r="BF5" s="399"/>
      <c r="BG5" s="399"/>
      <c r="BH5" s="399"/>
      <c r="BI5" s="399"/>
      <c r="BJ5" s="36"/>
      <c r="BK5" s="174"/>
      <c r="BL5" s="174"/>
      <c r="BM5" s="7"/>
    </row>
    <row r="6" spans="1:65" ht="21" hidden="1" customHeight="1">
      <c r="A6" s="797" t="s">
        <v>1338</v>
      </c>
      <c r="B6" s="793"/>
      <c r="C6" s="793"/>
      <c r="D6" s="791"/>
      <c r="E6" s="399"/>
      <c r="F6" s="399"/>
      <c r="G6" s="399"/>
      <c r="H6" s="399"/>
      <c r="I6" s="399"/>
      <c r="J6" s="399"/>
      <c r="K6" s="399"/>
      <c r="L6" s="399"/>
      <c r="M6" s="399"/>
      <c r="N6" s="399"/>
      <c r="O6" s="399"/>
      <c r="P6" s="399"/>
      <c r="Q6" s="399"/>
      <c r="R6" s="399"/>
      <c r="S6" s="399"/>
      <c r="T6" s="399"/>
      <c r="U6" s="399"/>
      <c r="V6" s="399"/>
      <c r="W6" s="399"/>
      <c r="X6" s="399"/>
      <c r="Y6" s="399"/>
      <c r="Z6" s="399"/>
      <c r="AA6" s="399"/>
      <c r="AB6" s="399"/>
      <c r="AC6" s="399"/>
      <c r="AD6" s="399"/>
      <c r="AE6" s="399"/>
      <c r="AF6" s="400"/>
      <c r="AG6" s="399"/>
      <c r="AH6" s="399"/>
      <c r="AI6" s="399"/>
      <c r="AJ6" s="399"/>
      <c r="AK6" s="399"/>
      <c r="AL6" s="399"/>
      <c r="AM6" s="399"/>
      <c r="AN6" s="399"/>
      <c r="AO6" s="399"/>
      <c r="AP6" s="399"/>
      <c r="AQ6" s="399"/>
      <c r="AR6" s="399"/>
      <c r="AS6" s="399"/>
      <c r="AT6" s="399"/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400"/>
      <c r="BF6" s="399"/>
      <c r="BG6" s="399"/>
      <c r="BH6" s="399"/>
      <c r="BI6" s="399"/>
      <c r="BJ6" s="36"/>
      <c r="BK6" s="174"/>
      <c r="BL6" s="174"/>
      <c r="BM6" s="7"/>
    </row>
    <row r="7" spans="1:65" ht="18.75" hidden="1" customHeight="1">
      <c r="A7" s="244"/>
      <c r="B7" s="401"/>
      <c r="C7" s="402" t="s">
        <v>1339</v>
      </c>
      <c r="D7" s="403"/>
      <c r="E7" s="399"/>
      <c r="F7" s="399"/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399"/>
      <c r="S7" s="399"/>
      <c r="T7" s="399"/>
      <c r="U7" s="399"/>
      <c r="V7" s="399"/>
      <c r="W7" s="399"/>
      <c r="X7" s="399"/>
      <c r="Y7" s="399"/>
      <c r="Z7" s="399"/>
      <c r="AA7" s="399"/>
      <c r="AB7" s="399"/>
      <c r="AC7" s="399"/>
      <c r="AD7" s="399"/>
      <c r="AE7" s="399"/>
      <c r="AF7" s="400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399"/>
      <c r="BD7" s="399"/>
      <c r="BE7" s="400"/>
      <c r="BF7" s="399"/>
      <c r="BG7" s="399"/>
      <c r="BH7" s="399"/>
      <c r="BI7" s="399"/>
      <c r="BJ7" s="36"/>
      <c r="BK7" s="174"/>
      <c r="BL7" s="174"/>
      <c r="BM7" s="7"/>
    </row>
    <row r="8" spans="1:65" ht="14.25" hidden="1" customHeight="1">
      <c r="A8" s="244"/>
      <c r="B8" s="404"/>
      <c r="C8" s="402" t="s">
        <v>1340</v>
      </c>
      <c r="D8" s="405"/>
      <c r="E8" s="399"/>
      <c r="F8" s="399"/>
      <c r="G8" s="399"/>
      <c r="H8" s="399"/>
      <c r="I8" s="399"/>
      <c r="J8" s="399"/>
      <c r="K8" s="399"/>
      <c r="L8" s="399"/>
      <c r="M8" s="399"/>
      <c r="N8" s="399"/>
      <c r="O8" s="399"/>
      <c r="P8" s="399"/>
      <c r="Q8" s="399"/>
      <c r="R8" s="399"/>
      <c r="S8" s="399"/>
      <c r="T8" s="399"/>
      <c r="U8" s="399"/>
      <c r="V8" s="399"/>
      <c r="W8" s="399"/>
      <c r="X8" s="399"/>
      <c r="Y8" s="399"/>
      <c r="Z8" s="399"/>
      <c r="AA8" s="399"/>
      <c r="AB8" s="399"/>
      <c r="AC8" s="399"/>
      <c r="AD8" s="399"/>
      <c r="AE8" s="399"/>
      <c r="AF8" s="400"/>
      <c r="AG8" s="399"/>
      <c r="AH8" s="399"/>
      <c r="AI8" s="399"/>
      <c r="AJ8" s="399"/>
      <c r="AK8" s="399"/>
      <c r="AL8" s="399"/>
      <c r="AM8" s="399"/>
      <c r="AN8" s="399"/>
      <c r="AO8" s="399"/>
      <c r="AP8" s="399"/>
      <c r="AQ8" s="399"/>
      <c r="AR8" s="399"/>
      <c r="AS8" s="399"/>
      <c r="AT8" s="399"/>
      <c r="AU8" s="399"/>
      <c r="AV8" s="399"/>
      <c r="AW8" s="399"/>
      <c r="AX8" s="399"/>
      <c r="AY8" s="399"/>
      <c r="AZ8" s="399"/>
      <c r="BA8" s="399"/>
      <c r="BB8" s="399"/>
      <c r="BC8" s="399"/>
      <c r="BD8" s="399"/>
      <c r="BE8" s="400"/>
      <c r="BF8" s="399"/>
      <c r="BG8" s="399"/>
      <c r="BH8" s="399"/>
      <c r="BI8" s="399"/>
      <c r="BJ8" s="36"/>
      <c r="BK8" s="174"/>
      <c r="BL8" s="174"/>
      <c r="BM8" s="7"/>
    </row>
    <row r="9" spans="1:65" ht="14.25" hidden="1" customHeight="1">
      <c r="A9" s="244"/>
      <c r="B9" s="404"/>
      <c r="C9" s="798" t="s">
        <v>1341</v>
      </c>
      <c r="D9" s="791"/>
      <c r="E9" s="399"/>
      <c r="F9" s="399"/>
      <c r="G9" s="399"/>
      <c r="H9" s="399"/>
      <c r="I9" s="399"/>
      <c r="J9" s="399"/>
      <c r="K9" s="399"/>
      <c r="L9" s="399"/>
      <c r="M9" s="399"/>
      <c r="N9" s="399"/>
      <c r="O9" s="399"/>
      <c r="P9" s="399"/>
      <c r="Q9" s="399"/>
      <c r="R9" s="399"/>
      <c r="S9" s="399"/>
      <c r="T9" s="399"/>
      <c r="U9" s="399"/>
      <c r="V9" s="399"/>
      <c r="W9" s="399"/>
      <c r="X9" s="399"/>
      <c r="Y9" s="399"/>
      <c r="Z9" s="399"/>
      <c r="AA9" s="399"/>
      <c r="AB9" s="399"/>
      <c r="AC9" s="399"/>
      <c r="AD9" s="399"/>
      <c r="AE9" s="399"/>
      <c r="AF9" s="400"/>
      <c r="AG9" s="399"/>
      <c r="AH9" s="399"/>
      <c r="AI9" s="399"/>
      <c r="AJ9" s="399"/>
      <c r="AK9" s="399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399"/>
      <c r="BC9" s="399"/>
      <c r="BD9" s="399"/>
      <c r="BE9" s="400"/>
      <c r="BF9" s="399"/>
      <c r="BG9" s="399"/>
      <c r="BH9" s="399"/>
      <c r="BI9" s="399"/>
      <c r="BJ9" s="36"/>
      <c r="BK9" s="174"/>
      <c r="BL9" s="174"/>
      <c r="BM9" s="7"/>
    </row>
    <row r="10" spans="1:65" ht="22.5" customHeight="1">
      <c r="A10" s="406"/>
      <c r="B10" s="407"/>
      <c r="C10" s="408"/>
      <c r="D10" s="408"/>
      <c r="E10" s="409"/>
      <c r="F10" s="409"/>
      <c r="G10" s="409"/>
      <c r="H10" s="400"/>
      <c r="I10" s="400"/>
      <c r="J10" s="400"/>
      <c r="K10" s="400"/>
      <c r="L10" s="400"/>
      <c r="M10" s="400"/>
      <c r="N10" s="400"/>
      <c r="O10" s="786" t="s">
        <v>1342</v>
      </c>
      <c r="P10" s="787"/>
      <c r="Q10" s="787"/>
      <c r="R10" s="787"/>
      <c r="S10" s="787"/>
      <c r="T10" s="787"/>
      <c r="U10" s="787"/>
      <c r="V10" s="787"/>
      <c r="W10" s="788"/>
      <c r="X10" s="410"/>
      <c r="Y10" s="789"/>
      <c r="Z10" s="787"/>
      <c r="AA10" s="787"/>
      <c r="AB10" s="787"/>
      <c r="AC10" s="787"/>
      <c r="AD10" s="788"/>
      <c r="AE10" s="400"/>
      <c r="AF10" s="400"/>
      <c r="AG10" s="400"/>
      <c r="AH10" s="400"/>
      <c r="AI10" s="400"/>
      <c r="AJ10" s="400"/>
      <c r="AK10" s="400"/>
      <c r="AL10" s="400"/>
      <c r="AM10" s="400"/>
      <c r="AN10" s="400"/>
      <c r="AO10" s="400"/>
      <c r="AP10" s="400"/>
      <c r="AQ10" s="400"/>
      <c r="AR10" s="400"/>
      <c r="AS10" s="400"/>
      <c r="AT10" s="400"/>
      <c r="AU10" s="400"/>
      <c r="AV10" s="400"/>
      <c r="AW10" s="400"/>
      <c r="AX10" s="400"/>
      <c r="AY10" s="400"/>
      <c r="AZ10" s="400"/>
      <c r="BA10" s="400"/>
      <c r="BB10" s="400"/>
      <c r="BC10" s="400"/>
      <c r="BD10" s="400"/>
      <c r="BE10" s="400"/>
      <c r="BF10" s="411"/>
      <c r="BG10" s="411"/>
      <c r="BH10" s="400"/>
      <c r="BI10" s="400"/>
      <c r="BJ10" s="7"/>
      <c r="BK10" s="174"/>
      <c r="BL10" s="174"/>
      <c r="BM10" s="7"/>
    </row>
    <row r="11" spans="1:65" ht="47.25" customHeight="1">
      <c r="A11" s="799" t="s">
        <v>5</v>
      </c>
      <c r="B11" s="800" t="s">
        <v>6</v>
      </c>
      <c r="C11" s="412" t="s">
        <v>7</v>
      </c>
      <c r="D11" s="412" t="s">
        <v>8</v>
      </c>
      <c r="E11" s="413" t="s">
        <v>1118</v>
      </c>
      <c r="F11" s="413" t="s">
        <v>1343</v>
      </c>
      <c r="G11" s="413" t="s">
        <v>1118</v>
      </c>
      <c r="H11" s="413" t="s">
        <v>1126</v>
      </c>
      <c r="I11" s="413" t="s">
        <v>1118</v>
      </c>
      <c r="J11" s="413" t="s">
        <v>1119</v>
      </c>
      <c r="K11" s="414"/>
      <c r="L11" s="415" t="s">
        <v>19</v>
      </c>
      <c r="M11" s="415" t="s">
        <v>1113</v>
      </c>
      <c r="N11" s="415" t="s">
        <v>1113</v>
      </c>
      <c r="O11" s="415" t="s">
        <v>1113</v>
      </c>
      <c r="P11" s="416" t="s">
        <v>1097</v>
      </c>
      <c r="Q11" s="416" t="s">
        <v>1344</v>
      </c>
      <c r="R11" s="416" t="s">
        <v>1099</v>
      </c>
      <c r="S11" s="416" t="s">
        <v>1100</v>
      </c>
      <c r="T11" s="416" t="s">
        <v>1101</v>
      </c>
      <c r="U11" s="416" t="s">
        <v>1102</v>
      </c>
      <c r="V11" s="416" t="s">
        <v>1107</v>
      </c>
      <c r="W11" s="416" t="s">
        <v>1104</v>
      </c>
      <c r="X11" s="416" t="s">
        <v>1103</v>
      </c>
      <c r="Y11" s="417" t="s">
        <v>1100</v>
      </c>
      <c r="Z11" s="417" t="s">
        <v>1101</v>
      </c>
      <c r="AA11" s="417" t="s">
        <v>1099</v>
      </c>
      <c r="AB11" s="417" t="s">
        <v>1344</v>
      </c>
      <c r="AC11" s="417" t="s">
        <v>1097</v>
      </c>
      <c r="AD11" s="417" t="s">
        <v>1107</v>
      </c>
      <c r="AE11" s="415" t="s">
        <v>1344</v>
      </c>
      <c r="AF11" s="414"/>
      <c r="AG11" s="418" t="s">
        <v>1345</v>
      </c>
      <c r="AH11" s="418" t="s">
        <v>1345</v>
      </c>
      <c r="AI11" s="418" t="s">
        <v>24</v>
      </c>
      <c r="AJ11" s="418" t="s">
        <v>24</v>
      </c>
      <c r="AK11" s="418" t="s">
        <v>1345</v>
      </c>
      <c r="AL11" s="418" t="s">
        <v>1345</v>
      </c>
      <c r="AM11" s="418" t="s">
        <v>1345</v>
      </c>
      <c r="AN11" s="418" t="s">
        <v>24</v>
      </c>
      <c r="AO11" s="418" t="s">
        <v>24</v>
      </c>
      <c r="AP11" s="418" t="s">
        <v>1345</v>
      </c>
      <c r="AQ11" s="418" t="s">
        <v>1345</v>
      </c>
      <c r="AR11" s="418" t="s">
        <v>1345</v>
      </c>
      <c r="AS11" s="418" t="s">
        <v>1345</v>
      </c>
      <c r="AT11" s="418" t="s">
        <v>1345</v>
      </c>
      <c r="AU11" s="418" t="s">
        <v>1345</v>
      </c>
      <c r="AV11" s="418" t="s">
        <v>1345</v>
      </c>
      <c r="AW11" s="418" t="s">
        <v>1345</v>
      </c>
      <c r="AX11" s="418" t="s">
        <v>1345</v>
      </c>
      <c r="AY11" s="418" t="s">
        <v>1345</v>
      </c>
      <c r="AZ11" s="418" t="s">
        <v>1345</v>
      </c>
      <c r="BA11" s="418" t="s">
        <v>1345</v>
      </c>
      <c r="BB11" s="418" t="s">
        <v>1345</v>
      </c>
      <c r="BC11" s="418" t="s">
        <v>1345</v>
      </c>
      <c r="BD11" s="418" t="s">
        <v>1345</v>
      </c>
      <c r="BE11" s="279" t="s">
        <v>1095</v>
      </c>
      <c r="BF11" s="419" t="s">
        <v>1346</v>
      </c>
      <c r="BG11" s="419" t="s">
        <v>1107</v>
      </c>
      <c r="BH11" s="22"/>
      <c r="BI11" s="246"/>
      <c r="BJ11" s="420"/>
      <c r="BK11" s="421"/>
      <c r="BL11" s="23" t="s">
        <v>38</v>
      </c>
      <c r="BM11" s="422"/>
    </row>
    <row r="12" spans="1:65" ht="29.25" customHeight="1">
      <c r="A12" s="767"/>
      <c r="B12" s="767"/>
      <c r="C12" s="186" t="s">
        <v>39</v>
      </c>
      <c r="D12" s="186"/>
      <c r="E12" s="423">
        <v>1</v>
      </c>
      <c r="F12" s="423">
        <v>1</v>
      </c>
      <c r="G12" s="423">
        <v>1</v>
      </c>
      <c r="H12" s="423">
        <v>1</v>
      </c>
      <c r="I12" s="423">
        <v>1</v>
      </c>
      <c r="J12" s="423">
        <v>1</v>
      </c>
      <c r="K12" s="293"/>
      <c r="L12" s="424">
        <v>1</v>
      </c>
      <c r="M12" s="424">
        <v>1</v>
      </c>
      <c r="N12" s="425">
        <v>1</v>
      </c>
      <c r="O12" s="424">
        <v>1</v>
      </c>
      <c r="P12" s="424">
        <v>1</v>
      </c>
      <c r="Q12" s="424">
        <v>1</v>
      </c>
      <c r="R12" s="424">
        <v>1</v>
      </c>
      <c r="S12" s="424">
        <v>1</v>
      </c>
      <c r="T12" s="424">
        <v>1</v>
      </c>
      <c r="U12" s="424">
        <v>1</v>
      </c>
      <c r="V12" s="424">
        <v>1</v>
      </c>
      <c r="W12" s="424">
        <v>1</v>
      </c>
      <c r="X12" s="424">
        <v>1</v>
      </c>
      <c r="Y12" s="424">
        <v>1</v>
      </c>
      <c r="Z12" s="424">
        <v>1</v>
      </c>
      <c r="AA12" s="424">
        <v>1</v>
      </c>
      <c r="AB12" s="424">
        <v>1</v>
      </c>
      <c r="AC12" s="424">
        <v>1</v>
      </c>
      <c r="AD12" s="424">
        <v>1</v>
      </c>
      <c r="AE12" s="424">
        <v>1</v>
      </c>
      <c r="AF12" s="293"/>
      <c r="AG12" s="426">
        <v>1</v>
      </c>
      <c r="AH12" s="426">
        <v>1</v>
      </c>
      <c r="AI12" s="426">
        <v>1</v>
      </c>
      <c r="AJ12" s="426">
        <v>1</v>
      </c>
      <c r="AK12" s="426">
        <v>1</v>
      </c>
      <c r="AL12" s="426">
        <v>1</v>
      </c>
      <c r="AM12" s="426">
        <v>1</v>
      </c>
      <c r="AN12" s="426">
        <v>1</v>
      </c>
      <c r="AO12" s="426">
        <v>1</v>
      </c>
      <c r="AP12" s="426">
        <v>1</v>
      </c>
      <c r="AQ12" s="426">
        <v>1</v>
      </c>
      <c r="AR12" s="426">
        <v>1</v>
      </c>
      <c r="AS12" s="426">
        <v>1</v>
      </c>
      <c r="AT12" s="426">
        <v>1</v>
      </c>
      <c r="AU12" s="426">
        <v>1</v>
      </c>
      <c r="AV12" s="426">
        <v>1</v>
      </c>
      <c r="AW12" s="426">
        <v>1</v>
      </c>
      <c r="AX12" s="426">
        <v>1</v>
      </c>
      <c r="AY12" s="426">
        <v>1</v>
      </c>
      <c r="AZ12" s="426">
        <v>1</v>
      </c>
      <c r="BA12" s="426">
        <v>1</v>
      </c>
      <c r="BB12" s="426">
        <v>1</v>
      </c>
      <c r="BC12" s="426">
        <v>1</v>
      </c>
      <c r="BD12" s="426">
        <v>1</v>
      </c>
      <c r="BE12" s="29">
        <v>1</v>
      </c>
      <c r="BF12" s="427">
        <v>1</v>
      </c>
      <c r="BG12" s="427">
        <v>1</v>
      </c>
      <c r="BH12" s="247"/>
      <c r="BI12" s="249"/>
      <c r="BJ12" s="428"/>
      <c r="BK12" s="429"/>
      <c r="BL12" s="23">
        <f>SUM(D12:BJ12)</f>
        <v>53</v>
      </c>
      <c r="BM12" s="422"/>
    </row>
    <row r="13" spans="1:65" ht="86.25" customHeight="1">
      <c r="A13" s="767"/>
      <c r="B13" s="767"/>
      <c r="C13" s="186" t="s">
        <v>40</v>
      </c>
      <c r="D13" s="430"/>
      <c r="E13" s="431">
        <v>44840</v>
      </c>
      <c r="F13" s="432" t="s">
        <v>1347</v>
      </c>
      <c r="G13" s="432" t="s">
        <v>1348</v>
      </c>
      <c r="H13" s="432" t="s">
        <v>1348</v>
      </c>
      <c r="I13" s="432" t="s">
        <v>1348</v>
      </c>
      <c r="J13" s="431" t="s">
        <v>1349</v>
      </c>
      <c r="K13" s="32"/>
      <c r="L13" s="433" t="s">
        <v>1350</v>
      </c>
      <c r="M13" s="433" t="s">
        <v>1351</v>
      </c>
      <c r="N13" s="434" t="s">
        <v>1351</v>
      </c>
      <c r="O13" s="433" t="s">
        <v>1352</v>
      </c>
      <c r="P13" s="435"/>
      <c r="Q13" s="436"/>
      <c r="R13" s="435"/>
      <c r="S13" s="435"/>
      <c r="T13" s="436"/>
      <c r="U13" s="435" t="s">
        <v>1353</v>
      </c>
      <c r="V13" s="437" t="s">
        <v>1354</v>
      </c>
      <c r="W13" s="435"/>
      <c r="X13" s="435"/>
      <c r="Y13" s="436"/>
      <c r="Z13" s="436"/>
      <c r="AA13" s="436"/>
      <c r="AB13" s="435"/>
      <c r="AC13" s="435"/>
      <c r="AD13" s="435"/>
      <c r="AE13" s="435"/>
      <c r="AF13" s="32"/>
      <c r="AG13" s="438" t="s">
        <v>1355</v>
      </c>
      <c r="AH13" s="438" t="s">
        <v>1356</v>
      </c>
      <c r="AI13" s="438" t="s">
        <v>1357</v>
      </c>
      <c r="AJ13" s="439" t="s">
        <v>1358</v>
      </c>
      <c r="AK13" s="439" t="s">
        <v>1359</v>
      </c>
      <c r="AL13" s="438" t="s">
        <v>1360</v>
      </c>
      <c r="AM13" s="438" t="s">
        <v>1361</v>
      </c>
      <c r="AN13" s="438" t="s">
        <v>1362</v>
      </c>
      <c r="AO13" s="438" t="s">
        <v>1363</v>
      </c>
      <c r="AP13" s="438" t="s">
        <v>1364</v>
      </c>
      <c r="AQ13" s="438" t="s">
        <v>1365</v>
      </c>
      <c r="AR13" s="438" t="s">
        <v>1366</v>
      </c>
      <c r="AS13" s="439" t="s">
        <v>1367</v>
      </c>
      <c r="AT13" s="439" t="s">
        <v>1368</v>
      </c>
      <c r="AU13" s="439" t="s">
        <v>1369</v>
      </c>
      <c r="AV13" s="439" t="s">
        <v>1370</v>
      </c>
      <c r="AW13" s="439" t="s">
        <v>1371</v>
      </c>
      <c r="AX13" s="439" t="s">
        <v>1372</v>
      </c>
      <c r="AY13" s="439" t="s">
        <v>1373</v>
      </c>
      <c r="AZ13" s="439" t="s">
        <v>1374</v>
      </c>
      <c r="BA13" s="439" t="s">
        <v>1375</v>
      </c>
      <c r="BB13" s="439" t="s">
        <v>1376</v>
      </c>
      <c r="BC13" s="439" t="s">
        <v>1377</v>
      </c>
      <c r="BD13" s="439" t="s">
        <v>1378</v>
      </c>
      <c r="BE13" s="32" t="s">
        <v>1379</v>
      </c>
      <c r="BF13" s="440" t="s">
        <v>1380</v>
      </c>
      <c r="BG13" s="441" t="s">
        <v>1381</v>
      </c>
      <c r="BH13" s="192"/>
      <c r="BI13" s="251"/>
      <c r="BJ13" s="442"/>
      <c r="BK13" s="443"/>
      <c r="BL13" s="444"/>
      <c r="BM13" s="7"/>
    </row>
    <row r="14" spans="1:65" ht="36" customHeight="1">
      <c r="A14" s="767"/>
      <c r="B14" s="767"/>
      <c r="C14" s="186" t="s">
        <v>41</v>
      </c>
      <c r="D14" s="430"/>
      <c r="E14" s="423" t="s">
        <v>1382</v>
      </c>
      <c r="F14" s="423"/>
      <c r="G14" s="423"/>
      <c r="H14" s="423"/>
      <c r="I14" s="423" t="s">
        <v>1383</v>
      </c>
      <c r="J14" s="423"/>
      <c r="K14" s="185"/>
      <c r="L14" s="424"/>
      <c r="M14" s="424" t="s">
        <v>1384</v>
      </c>
      <c r="N14" s="424" t="s">
        <v>1385</v>
      </c>
      <c r="O14" s="424" t="s">
        <v>1385</v>
      </c>
      <c r="P14" s="424"/>
      <c r="Q14" s="424"/>
      <c r="R14" s="424"/>
      <c r="S14" s="424"/>
      <c r="T14" s="424"/>
      <c r="U14" s="424"/>
      <c r="V14" s="424"/>
      <c r="W14" s="424"/>
      <c r="X14" s="424"/>
      <c r="Y14" s="424"/>
      <c r="Z14" s="424"/>
      <c r="AA14" s="424"/>
      <c r="AB14" s="424"/>
      <c r="AC14" s="424"/>
      <c r="AD14" s="424"/>
      <c r="AE14" s="424"/>
      <c r="AF14" s="185"/>
      <c r="AG14" s="438" t="s">
        <v>1386</v>
      </c>
      <c r="AH14" s="438" t="s">
        <v>1386</v>
      </c>
      <c r="AI14" s="438" t="s">
        <v>1387</v>
      </c>
      <c r="AJ14" s="438" t="s">
        <v>1387</v>
      </c>
      <c r="AK14" s="438" t="s">
        <v>1386</v>
      </c>
      <c r="AL14" s="438" t="s">
        <v>1386</v>
      </c>
      <c r="AM14" s="438" t="s">
        <v>1386</v>
      </c>
      <c r="AN14" s="438" t="s">
        <v>1387</v>
      </c>
      <c r="AO14" s="438" t="s">
        <v>1387</v>
      </c>
      <c r="AP14" s="438" t="s">
        <v>1386</v>
      </c>
      <c r="AQ14" s="438" t="s">
        <v>1386</v>
      </c>
      <c r="AR14" s="438" t="s">
        <v>1386</v>
      </c>
      <c r="AS14" s="438" t="s">
        <v>1386</v>
      </c>
      <c r="AT14" s="438" t="s">
        <v>1386</v>
      </c>
      <c r="AU14" s="438" t="s">
        <v>1386</v>
      </c>
      <c r="AV14" s="438" t="s">
        <v>1386</v>
      </c>
      <c r="AW14" s="438" t="s">
        <v>1386</v>
      </c>
      <c r="AX14" s="438" t="s">
        <v>1386</v>
      </c>
      <c r="AY14" s="438" t="s">
        <v>1386</v>
      </c>
      <c r="AZ14" s="438" t="s">
        <v>1386</v>
      </c>
      <c r="BA14" s="438" t="s">
        <v>1386</v>
      </c>
      <c r="BB14" s="438" t="s">
        <v>1386</v>
      </c>
      <c r="BC14" s="438" t="s">
        <v>1386</v>
      </c>
      <c r="BD14" s="438" t="s">
        <v>1386</v>
      </c>
      <c r="BE14" s="30" t="s">
        <v>1388</v>
      </c>
      <c r="BF14" s="424"/>
      <c r="BG14" s="424"/>
      <c r="BH14" s="247"/>
      <c r="BI14" s="248"/>
      <c r="BJ14" s="428"/>
      <c r="BK14" s="443"/>
      <c r="BL14" s="443"/>
      <c r="BM14" s="7"/>
    </row>
    <row r="15" spans="1:65" ht="102.75" customHeight="1">
      <c r="A15" s="767"/>
      <c r="B15" s="767"/>
      <c r="C15" s="186" t="s">
        <v>42</v>
      </c>
      <c r="D15" s="430"/>
      <c r="E15" s="445" t="s">
        <v>1389</v>
      </c>
      <c r="F15" s="445" t="s">
        <v>1390</v>
      </c>
      <c r="G15" s="445" t="s">
        <v>1391</v>
      </c>
      <c r="H15" s="445" t="s">
        <v>1392</v>
      </c>
      <c r="I15" s="445" t="s">
        <v>1391</v>
      </c>
      <c r="J15" s="445" t="s">
        <v>1393</v>
      </c>
      <c r="K15" s="191"/>
      <c r="L15" s="446" t="s">
        <v>1394</v>
      </c>
      <c r="M15" s="446" t="s">
        <v>1395</v>
      </c>
      <c r="N15" s="446" t="s">
        <v>1395</v>
      </c>
      <c r="O15" s="446" t="s">
        <v>1395</v>
      </c>
      <c r="P15" s="446"/>
      <c r="Q15" s="446"/>
      <c r="R15" s="446"/>
      <c r="S15" s="446"/>
      <c r="T15" s="446"/>
      <c r="U15" s="446"/>
      <c r="V15" s="424"/>
      <c r="W15" s="446"/>
      <c r="X15" s="446"/>
      <c r="Y15" s="446"/>
      <c r="Z15" s="446"/>
      <c r="AA15" s="446"/>
      <c r="AB15" s="446"/>
      <c r="AC15" s="446"/>
      <c r="AD15" s="446"/>
      <c r="AE15" s="446"/>
      <c r="AF15" s="191"/>
      <c r="AG15" s="438">
        <v>3</v>
      </c>
      <c r="AH15" s="438">
        <v>3.9</v>
      </c>
      <c r="AI15" s="438">
        <v>3.3</v>
      </c>
      <c r="AJ15" s="438">
        <v>3.1</v>
      </c>
      <c r="AK15" s="438">
        <v>2.7</v>
      </c>
      <c r="AL15" s="438">
        <v>2.7</v>
      </c>
      <c r="AM15" s="438">
        <v>2.9</v>
      </c>
      <c r="AN15" s="438">
        <v>3.2</v>
      </c>
      <c r="AO15" s="438">
        <v>2.6</v>
      </c>
      <c r="AP15" s="438">
        <v>3.2</v>
      </c>
      <c r="AQ15" s="438">
        <v>2.5</v>
      </c>
      <c r="AR15" s="438">
        <v>2.7</v>
      </c>
      <c r="AS15" s="438">
        <v>3.5</v>
      </c>
      <c r="AT15" s="438">
        <v>2.5</v>
      </c>
      <c r="AU15" s="438">
        <v>2.8</v>
      </c>
      <c r="AV15" s="438">
        <v>2.6</v>
      </c>
      <c r="AW15" s="438">
        <v>2.6</v>
      </c>
      <c r="AX15" s="438">
        <v>2.5</v>
      </c>
      <c r="AY15" s="438">
        <v>3.4</v>
      </c>
      <c r="AZ15" s="438">
        <v>2.8</v>
      </c>
      <c r="BA15" s="438">
        <v>2.8</v>
      </c>
      <c r="BB15" s="438">
        <v>2.6</v>
      </c>
      <c r="BC15" s="438">
        <v>2.8</v>
      </c>
      <c r="BD15" s="438">
        <v>3.2</v>
      </c>
      <c r="BE15" s="30">
        <v>2.8</v>
      </c>
      <c r="BF15" s="424" t="s">
        <v>1396</v>
      </c>
      <c r="BG15" s="424" t="s">
        <v>1397</v>
      </c>
      <c r="BH15" s="247"/>
      <c r="BI15" s="248"/>
      <c r="BJ15" s="428"/>
      <c r="BK15" s="443"/>
      <c r="BL15" s="443"/>
      <c r="BM15" s="7"/>
    </row>
    <row r="16" spans="1:65" ht="34.5" customHeight="1">
      <c r="A16" s="767"/>
      <c r="B16" s="767"/>
      <c r="C16" s="186" t="s">
        <v>43</v>
      </c>
      <c r="D16" s="430"/>
      <c r="E16" s="447"/>
      <c r="F16" s="447"/>
      <c r="G16" s="447" t="s">
        <v>1398</v>
      </c>
      <c r="H16" s="447" t="s">
        <v>1399</v>
      </c>
      <c r="I16" s="447" t="s">
        <v>1400</v>
      </c>
      <c r="J16" s="447" t="s">
        <v>1401</v>
      </c>
      <c r="K16" s="193"/>
      <c r="L16" s="448" t="s">
        <v>1402</v>
      </c>
      <c r="M16" s="449" t="s">
        <v>1403</v>
      </c>
      <c r="N16" s="449" t="s">
        <v>1404</v>
      </c>
      <c r="O16" s="449" t="s">
        <v>1405</v>
      </c>
      <c r="P16" s="449"/>
      <c r="Q16" s="449"/>
      <c r="R16" s="449"/>
      <c r="S16" s="449" t="s">
        <v>1406</v>
      </c>
      <c r="T16" s="449"/>
      <c r="U16" s="449" t="s">
        <v>1407</v>
      </c>
      <c r="V16" s="450" t="s">
        <v>1408</v>
      </c>
      <c r="W16" s="449"/>
      <c r="X16" s="449" t="s">
        <v>1409</v>
      </c>
      <c r="Y16" s="449"/>
      <c r="Z16" s="449"/>
      <c r="AA16" s="449" t="s">
        <v>1410</v>
      </c>
      <c r="AB16" s="449" t="s">
        <v>1411</v>
      </c>
      <c r="AC16" s="449" t="s">
        <v>1412</v>
      </c>
      <c r="AD16" s="449"/>
      <c r="AE16" s="449"/>
      <c r="AF16" s="193"/>
      <c r="AG16" s="451" t="s">
        <v>1413</v>
      </c>
      <c r="AH16" s="451" t="s">
        <v>1414</v>
      </c>
      <c r="AI16" s="451" t="s">
        <v>1415</v>
      </c>
      <c r="AJ16" s="451" t="s">
        <v>1416</v>
      </c>
      <c r="AK16" s="451" t="s">
        <v>1417</v>
      </c>
      <c r="AL16" s="451" t="s">
        <v>1418</v>
      </c>
      <c r="AM16" s="451" t="s">
        <v>1419</v>
      </c>
      <c r="AN16" s="451" t="s">
        <v>1420</v>
      </c>
      <c r="AO16" s="451" t="s">
        <v>1421</v>
      </c>
      <c r="AP16" s="451" t="s">
        <v>1422</v>
      </c>
      <c r="AQ16" s="451" t="s">
        <v>1423</v>
      </c>
      <c r="AR16" s="451" t="s">
        <v>1424</v>
      </c>
      <c r="AS16" s="451" t="s">
        <v>1425</v>
      </c>
      <c r="AT16" s="451" t="s">
        <v>1426</v>
      </c>
      <c r="AU16" s="451" t="s">
        <v>1427</v>
      </c>
      <c r="AV16" s="451" t="s">
        <v>1428</v>
      </c>
      <c r="AW16" s="451" t="s">
        <v>1429</v>
      </c>
      <c r="AX16" s="451" t="s">
        <v>1430</v>
      </c>
      <c r="AY16" s="451" t="s">
        <v>1431</v>
      </c>
      <c r="AZ16" s="451" t="s">
        <v>1432</v>
      </c>
      <c r="BA16" s="451" t="s">
        <v>1433</v>
      </c>
      <c r="BB16" s="451" t="s">
        <v>1434</v>
      </c>
      <c r="BC16" s="451" t="s">
        <v>1435</v>
      </c>
      <c r="BD16" s="451" t="s">
        <v>1436</v>
      </c>
      <c r="BE16" s="34" t="s">
        <v>1437</v>
      </c>
      <c r="BF16" s="450" t="s">
        <v>1438</v>
      </c>
      <c r="BG16" s="450" t="s">
        <v>1439</v>
      </c>
      <c r="BH16" s="247"/>
      <c r="BI16" s="248"/>
      <c r="BJ16" s="452"/>
      <c r="BK16" s="443"/>
      <c r="BL16" s="443"/>
      <c r="BM16" s="7"/>
    </row>
    <row r="17" spans="1:65" ht="27" customHeight="1">
      <c r="A17" s="768"/>
      <c r="B17" s="768"/>
      <c r="C17" s="186" t="s">
        <v>70</v>
      </c>
      <c r="D17" s="430"/>
      <c r="E17" s="431">
        <v>44840</v>
      </c>
      <c r="F17" s="432" t="s">
        <v>1440</v>
      </c>
      <c r="G17" s="432" t="s">
        <v>1441</v>
      </c>
      <c r="H17" s="432" t="s">
        <v>1348</v>
      </c>
      <c r="I17" s="432" t="s">
        <v>1442</v>
      </c>
      <c r="J17" s="431">
        <v>44861</v>
      </c>
      <c r="K17" s="32"/>
      <c r="L17" s="435">
        <v>44602</v>
      </c>
      <c r="M17" s="433" t="s">
        <v>1443</v>
      </c>
      <c r="N17" s="434" t="s">
        <v>1351</v>
      </c>
      <c r="O17" s="433" t="s">
        <v>1444</v>
      </c>
      <c r="P17" s="433" t="s">
        <v>1445</v>
      </c>
      <c r="Q17" s="433" t="s">
        <v>1446</v>
      </c>
      <c r="R17" s="435"/>
      <c r="S17" s="433" t="s">
        <v>1445</v>
      </c>
      <c r="T17" s="435"/>
      <c r="U17" s="433" t="s">
        <v>1447</v>
      </c>
      <c r="V17" s="453" t="s">
        <v>1448</v>
      </c>
      <c r="W17" s="433" t="s">
        <v>1449</v>
      </c>
      <c r="X17" s="433" t="s">
        <v>1445</v>
      </c>
      <c r="Y17" s="435"/>
      <c r="Z17" s="435"/>
      <c r="AA17" s="433" t="s">
        <v>1450</v>
      </c>
      <c r="AB17" s="433" t="s">
        <v>1451</v>
      </c>
      <c r="AC17" s="435">
        <v>44854</v>
      </c>
      <c r="AD17" s="435"/>
      <c r="AE17" s="435"/>
      <c r="AF17" s="32"/>
      <c r="AG17" s="439"/>
      <c r="AH17" s="439"/>
      <c r="AI17" s="439"/>
      <c r="AJ17" s="439"/>
      <c r="AK17" s="439"/>
      <c r="AL17" s="439"/>
      <c r="AM17" s="439"/>
      <c r="AN17" s="439"/>
      <c r="AO17" s="439"/>
      <c r="AP17" s="439"/>
      <c r="AQ17" s="439"/>
      <c r="AR17" s="439"/>
      <c r="AS17" s="439"/>
      <c r="AT17" s="439"/>
      <c r="AU17" s="439"/>
      <c r="AV17" s="439"/>
      <c r="AW17" s="439"/>
      <c r="AX17" s="439"/>
      <c r="AY17" s="439"/>
      <c r="AZ17" s="439"/>
      <c r="BA17" s="439"/>
      <c r="BB17" s="439"/>
      <c r="BC17" s="439"/>
      <c r="BD17" s="439"/>
      <c r="BE17" s="32"/>
      <c r="BF17" s="454" t="s">
        <v>1452</v>
      </c>
      <c r="BG17" s="455" t="s">
        <v>1453</v>
      </c>
      <c r="BH17" s="32"/>
      <c r="BI17" s="251"/>
      <c r="BJ17" s="456"/>
      <c r="BK17" s="443"/>
      <c r="BL17" s="443"/>
      <c r="BM17" s="7"/>
    </row>
    <row r="18" spans="1:65" ht="16.5" customHeight="1">
      <c r="A18" s="457" t="s">
        <v>84</v>
      </c>
      <c r="B18" s="196" t="s">
        <v>85</v>
      </c>
      <c r="C18" s="196" t="s">
        <v>86</v>
      </c>
      <c r="D18" s="196">
        <v>1</v>
      </c>
      <c r="E18" s="458"/>
      <c r="F18" s="458"/>
      <c r="G18" s="458"/>
      <c r="H18" s="458"/>
      <c r="I18" s="458"/>
      <c r="J18" s="458"/>
      <c r="K18" s="43"/>
      <c r="L18" s="459"/>
      <c r="M18" s="459"/>
      <c r="N18" s="459"/>
      <c r="O18" s="459"/>
      <c r="P18" s="459"/>
      <c r="Q18" s="459"/>
      <c r="R18" s="459"/>
      <c r="S18" s="459"/>
      <c r="T18" s="459"/>
      <c r="U18" s="459"/>
      <c r="V18" s="460"/>
      <c r="W18" s="459"/>
      <c r="X18" s="459"/>
      <c r="Y18" s="459"/>
      <c r="Z18" s="459"/>
      <c r="AA18" s="459"/>
      <c r="AB18" s="459"/>
      <c r="AC18" s="459"/>
      <c r="AD18" s="459"/>
      <c r="AE18" s="459"/>
      <c r="AF18" s="43"/>
      <c r="AG18" s="461"/>
      <c r="AH18" s="461"/>
      <c r="AI18" s="461"/>
      <c r="AJ18" s="461"/>
      <c r="AK18" s="461"/>
      <c r="AL18" s="461"/>
      <c r="AM18" s="461"/>
      <c r="AN18" s="461"/>
      <c r="AO18" s="461"/>
      <c r="AP18" s="461"/>
      <c r="AQ18" s="461"/>
      <c r="AR18" s="461"/>
      <c r="AS18" s="461"/>
      <c r="AT18" s="461"/>
      <c r="AU18" s="461"/>
      <c r="AV18" s="461"/>
      <c r="AW18" s="461"/>
      <c r="AX18" s="461"/>
      <c r="AY18" s="461"/>
      <c r="AZ18" s="461"/>
      <c r="BA18" s="461"/>
      <c r="BB18" s="461"/>
      <c r="BC18" s="461"/>
      <c r="BD18" s="461"/>
      <c r="BE18" s="43"/>
      <c r="BF18" s="460"/>
      <c r="BG18" s="460"/>
      <c r="BH18" s="462"/>
      <c r="BI18" s="463"/>
      <c r="BJ18" s="464"/>
      <c r="BK18" s="465"/>
      <c r="BL18" s="465"/>
      <c r="BM18" s="7"/>
    </row>
    <row r="19" spans="1:65" ht="27" customHeight="1">
      <c r="A19" s="466">
        <v>1</v>
      </c>
      <c r="B19" s="467" t="s">
        <v>87</v>
      </c>
      <c r="C19" s="467" t="s">
        <v>88</v>
      </c>
      <c r="D19" s="466"/>
      <c r="E19" s="468"/>
      <c r="F19" s="468"/>
      <c r="G19" s="468"/>
      <c r="H19" s="468"/>
      <c r="I19" s="468"/>
      <c r="J19" s="468"/>
      <c r="K19" s="201"/>
      <c r="L19" s="469"/>
      <c r="M19" s="469"/>
      <c r="N19" s="469"/>
      <c r="O19" s="469"/>
      <c r="P19" s="469"/>
      <c r="Q19" s="469"/>
      <c r="R19" s="469"/>
      <c r="S19" s="469"/>
      <c r="T19" s="469"/>
      <c r="U19" s="469"/>
      <c r="V19" s="470"/>
      <c r="W19" s="469"/>
      <c r="X19" s="469"/>
      <c r="Y19" s="469"/>
      <c r="Z19" s="469"/>
      <c r="AA19" s="469"/>
      <c r="AB19" s="469"/>
      <c r="AC19" s="469"/>
      <c r="AD19" s="469"/>
      <c r="AE19" s="469"/>
      <c r="AF19" s="201"/>
      <c r="AG19" s="471"/>
      <c r="AH19" s="471"/>
      <c r="AI19" s="471"/>
      <c r="AJ19" s="471"/>
      <c r="AK19" s="471"/>
      <c r="AL19" s="471"/>
      <c r="AM19" s="471"/>
      <c r="AN19" s="471"/>
      <c r="AO19" s="471"/>
      <c r="AP19" s="471"/>
      <c r="AQ19" s="471"/>
      <c r="AR19" s="471"/>
      <c r="AS19" s="471"/>
      <c r="AT19" s="471"/>
      <c r="AU19" s="471"/>
      <c r="AV19" s="471"/>
      <c r="AW19" s="471"/>
      <c r="AX19" s="471"/>
      <c r="AY19" s="471"/>
      <c r="AZ19" s="471"/>
      <c r="BA19" s="471"/>
      <c r="BB19" s="471"/>
      <c r="BC19" s="471"/>
      <c r="BD19" s="471"/>
      <c r="BE19" s="201"/>
      <c r="BF19" s="470"/>
      <c r="BG19" s="470"/>
      <c r="BH19" s="363"/>
      <c r="BI19" s="472"/>
      <c r="BJ19" s="473"/>
      <c r="BK19" s="203"/>
      <c r="BL19" s="203"/>
      <c r="BM19" s="7"/>
    </row>
    <row r="20" spans="1:65" ht="20.25" customHeight="1">
      <c r="A20" s="474"/>
      <c r="B20" s="475" t="s">
        <v>89</v>
      </c>
      <c r="C20" s="476" t="s">
        <v>90</v>
      </c>
      <c r="D20" s="416" t="s">
        <v>91</v>
      </c>
      <c r="E20" s="477"/>
      <c r="F20" s="477"/>
      <c r="G20" s="477"/>
      <c r="H20" s="477"/>
      <c r="I20" s="477"/>
      <c r="J20" s="477"/>
      <c r="K20" s="209"/>
      <c r="L20" s="478">
        <v>1</v>
      </c>
      <c r="M20" s="478"/>
      <c r="N20" s="478"/>
      <c r="O20" s="478"/>
      <c r="P20" s="478"/>
      <c r="Q20" s="478"/>
      <c r="R20" s="478"/>
      <c r="S20" s="478"/>
      <c r="T20" s="478">
        <v>2</v>
      </c>
      <c r="U20" s="478">
        <v>1</v>
      </c>
      <c r="V20" s="479"/>
      <c r="W20" s="478"/>
      <c r="X20" s="478"/>
      <c r="Y20" s="478">
        <v>4</v>
      </c>
      <c r="Z20" s="478">
        <v>1</v>
      </c>
      <c r="AA20" s="478">
        <v>2</v>
      </c>
      <c r="AB20" s="478">
        <v>1</v>
      </c>
      <c r="AC20" s="478"/>
      <c r="AD20" s="478"/>
      <c r="AE20" s="478"/>
      <c r="AF20" s="213"/>
      <c r="AG20" s="480"/>
      <c r="AH20" s="480"/>
      <c r="AI20" s="480"/>
      <c r="AJ20" s="480"/>
      <c r="AK20" s="480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480"/>
      <c r="BD20" s="480"/>
      <c r="BE20" s="213"/>
      <c r="BF20" s="479">
        <v>2</v>
      </c>
      <c r="BG20" s="479"/>
      <c r="BH20" s="372"/>
      <c r="BI20" s="472"/>
      <c r="BJ20" s="481"/>
      <c r="BK20" s="310"/>
      <c r="BL20" s="310">
        <f t="shared" ref="BL20:BL274" si="0">SUM(E20:BK20)</f>
        <v>14</v>
      </c>
      <c r="BM20" s="7"/>
    </row>
    <row r="21" spans="1:65" ht="20.25" customHeight="1">
      <c r="A21" s="482"/>
      <c r="B21" s="483" t="s">
        <v>94</v>
      </c>
      <c r="C21" s="484" t="s">
        <v>95</v>
      </c>
      <c r="D21" s="485" t="s">
        <v>91</v>
      </c>
      <c r="E21" s="477"/>
      <c r="F21" s="477"/>
      <c r="G21" s="477"/>
      <c r="H21" s="477"/>
      <c r="I21" s="477"/>
      <c r="J21" s="477"/>
      <c r="K21" s="213"/>
      <c r="L21" s="478"/>
      <c r="M21" s="478"/>
      <c r="N21" s="478"/>
      <c r="O21" s="478"/>
      <c r="P21" s="478"/>
      <c r="Q21" s="478"/>
      <c r="R21" s="478"/>
      <c r="S21" s="478"/>
      <c r="T21" s="478"/>
      <c r="U21" s="478"/>
      <c r="V21" s="479"/>
      <c r="W21" s="478"/>
      <c r="X21" s="478"/>
      <c r="Y21" s="478"/>
      <c r="Z21" s="478"/>
      <c r="AA21" s="478"/>
      <c r="AB21" s="478"/>
      <c r="AC21" s="478"/>
      <c r="AD21" s="478"/>
      <c r="AE21" s="478"/>
      <c r="AF21" s="213"/>
      <c r="AG21" s="480"/>
      <c r="AH21" s="480"/>
      <c r="AI21" s="480"/>
      <c r="AJ21" s="480"/>
      <c r="AK21" s="480"/>
      <c r="AL21" s="480"/>
      <c r="AM21" s="480"/>
      <c r="AN21" s="480"/>
      <c r="AO21" s="480"/>
      <c r="AP21" s="480"/>
      <c r="AQ21" s="480"/>
      <c r="AR21" s="480"/>
      <c r="AS21" s="480"/>
      <c r="AT21" s="480"/>
      <c r="AU21" s="480"/>
      <c r="AV21" s="480"/>
      <c r="AW21" s="480"/>
      <c r="AX21" s="480"/>
      <c r="AY21" s="480"/>
      <c r="AZ21" s="480"/>
      <c r="BA21" s="480"/>
      <c r="BB21" s="480"/>
      <c r="BC21" s="480"/>
      <c r="BD21" s="480"/>
      <c r="BE21" s="213"/>
      <c r="BF21" s="479"/>
      <c r="BG21" s="479"/>
      <c r="BH21" s="370"/>
      <c r="BI21" s="472"/>
      <c r="BJ21" s="481"/>
      <c r="BK21" s="310"/>
      <c r="BL21" s="310">
        <f t="shared" si="0"/>
        <v>0</v>
      </c>
      <c r="BM21" s="7"/>
    </row>
    <row r="22" spans="1:65" ht="20.25" customHeight="1">
      <c r="A22" s="482"/>
      <c r="B22" s="483" t="s">
        <v>96</v>
      </c>
      <c r="C22" s="484" t="s">
        <v>97</v>
      </c>
      <c r="D22" s="485" t="s">
        <v>91</v>
      </c>
      <c r="E22" s="477"/>
      <c r="F22" s="477"/>
      <c r="G22" s="477"/>
      <c r="H22" s="477"/>
      <c r="I22" s="477"/>
      <c r="J22" s="477"/>
      <c r="K22" s="213"/>
      <c r="L22" s="478"/>
      <c r="M22" s="478"/>
      <c r="N22" s="478"/>
      <c r="O22" s="478"/>
      <c r="P22" s="478"/>
      <c r="Q22" s="478"/>
      <c r="R22" s="478"/>
      <c r="S22" s="478"/>
      <c r="T22" s="478"/>
      <c r="U22" s="478"/>
      <c r="V22" s="479"/>
      <c r="W22" s="478"/>
      <c r="X22" s="478"/>
      <c r="Y22" s="478"/>
      <c r="Z22" s="478"/>
      <c r="AA22" s="478"/>
      <c r="AB22" s="478"/>
      <c r="AC22" s="478"/>
      <c r="AD22" s="478"/>
      <c r="AE22" s="478"/>
      <c r="AF22" s="213"/>
      <c r="AG22" s="480"/>
      <c r="AH22" s="480"/>
      <c r="AI22" s="480"/>
      <c r="AJ22" s="480"/>
      <c r="AK22" s="480"/>
      <c r="AL22" s="480"/>
      <c r="AM22" s="480"/>
      <c r="AN22" s="480"/>
      <c r="AO22" s="480"/>
      <c r="AP22" s="480"/>
      <c r="AQ22" s="480"/>
      <c r="AR22" s="480"/>
      <c r="AS22" s="480"/>
      <c r="AT22" s="480"/>
      <c r="AU22" s="480"/>
      <c r="AV22" s="480"/>
      <c r="AW22" s="480"/>
      <c r="AX22" s="480"/>
      <c r="AY22" s="480"/>
      <c r="AZ22" s="480"/>
      <c r="BA22" s="480"/>
      <c r="BB22" s="480"/>
      <c r="BC22" s="480"/>
      <c r="BD22" s="480"/>
      <c r="BE22" s="213"/>
      <c r="BF22" s="479"/>
      <c r="BG22" s="479"/>
      <c r="BH22" s="370"/>
      <c r="BI22" s="472"/>
      <c r="BJ22" s="481"/>
      <c r="BK22" s="310"/>
      <c r="BL22" s="310">
        <f t="shared" si="0"/>
        <v>0</v>
      </c>
      <c r="BM22" s="7"/>
    </row>
    <row r="23" spans="1:65" ht="20.25" customHeight="1">
      <c r="A23" s="482"/>
      <c r="B23" s="483" t="s">
        <v>98</v>
      </c>
      <c r="C23" s="484" t="s">
        <v>99</v>
      </c>
      <c r="D23" s="485" t="s">
        <v>91</v>
      </c>
      <c r="E23" s="477"/>
      <c r="F23" s="477"/>
      <c r="G23" s="477"/>
      <c r="H23" s="477"/>
      <c r="I23" s="477"/>
      <c r="J23" s="477"/>
      <c r="K23" s="213"/>
      <c r="L23" s="478"/>
      <c r="M23" s="478"/>
      <c r="N23" s="478"/>
      <c r="O23" s="478"/>
      <c r="P23" s="478"/>
      <c r="Q23" s="478"/>
      <c r="R23" s="478"/>
      <c r="S23" s="478"/>
      <c r="T23" s="478"/>
      <c r="U23" s="478"/>
      <c r="V23" s="479"/>
      <c r="W23" s="478"/>
      <c r="X23" s="478"/>
      <c r="Y23" s="478"/>
      <c r="Z23" s="478"/>
      <c r="AA23" s="478"/>
      <c r="AB23" s="478"/>
      <c r="AC23" s="478"/>
      <c r="AD23" s="478"/>
      <c r="AE23" s="478"/>
      <c r="AF23" s="213"/>
      <c r="AG23" s="480"/>
      <c r="AH23" s="480"/>
      <c r="AI23" s="480"/>
      <c r="AJ23" s="480"/>
      <c r="AK23" s="480"/>
      <c r="AL23" s="480"/>
      <c r="AM23" s="480"/>
      <c r="AN23" s="480"/>
      <c r="AO23" s="480"/>
      <c r="AP23" s="480"/>
      <c r="AQ23" s="480"/>
      <c r="AR23" s="480"/>
      <c r="AS23" s="480"/>
      <c r="AT23" s="480"/>
      <c r="AU23" s="480"/>
      <c r="AV23" s="480"/>
      <c r="AW23" s="480"/>
      <c r="AX23" s="480"/>
      <c r="AY23" s="480"/>
      <c r="AZ23" s="480"/>
      <c r="BA23" s="480"/>
      <c r="BB23" s="480"/>
      <c r="BC23" s="480"/>
      <c r="BD23" s="480"/>
      <c r="BE23" s="213"/>
      <c r="BF23" s="479"/>
      <c r="BG23" s="479"/>
      <c r="BH23" s="370"/>
      <c r="BI23" s="472"/>
      <c r="BJ23" s="481"/>
      <c r="BK23" s="310"/>
      <c r="BL23" s="310">
        <f t="shared" si="0"/>
        <v>0</v>
      </c>
      <c r="BM23" s="7"/>
    </row>
    <row r="24" spans="1:65" ht="20.25" customHeight="1">
      <c r="A24" s="482"/>
      <c r="B24" s="483" t="s">
        <v>100</v>
      </c>
      <c r="C24" s="484" t="s">
        <v>101</v>
      </c>
      <c r="D24" s="485" t="s">
        <v>91</v>
      </c>
      <c r="E24" s="477"/>
      <c r="F24" s="477"/>
      <c r="G24" s="477"/>
      <c r="H24" s="477"/>
      <c r="I24" s="477"/>
      <c r="J24" s="477"/>
      <c r="K24" s="213"/>
      <c r="L24" s="478"/>
      <c r="M24" s="478"/>
      <c r="N24" s="478"/>
      <c r="O24" s="478"/>
      <c r="P24" s="478"/>
      <c r="Q24" s="478"/>
      <c r="R24" s="478"/>
      <c r="S24" s="478"/>
      <c r="T24" s="478"/>
      <c r="U24" s="478"/>
      <c r="V24" s="479"/>
      <c r="W24" s="478"/>
      <c r="X24" s="478"/>
      <c r="Y24" s="478"/>
      <c r="Z24" s="478"/>
      <c r="AA24" s="478"/>
      <c r="AB24" s="478"/>
      <c r="AC24" s="478"/>
      <c r="AD24" s="478"/>
      <c r="AE24" s="478"/>
      <c r="AF24" s="213"/>
      <c r="AG24" s="480"/>
      <c r="AH24" s="480"/>
      <c r="AI24" s="480"/>
      <c r="AJ24" s="480"/>
      <c r="AK24" s="480"/>
      <c r="AL24" s="480"/>
      <c r="AM24" s="480"/>
      <c r="AN24" s="480"/>
      <c r="AO24" s="480"/>
      <c r="AP24" s="480"/>
      <c r="AQ24" s="480"/>
      <c r="AR24" s="480"/>
      <c r="AS24" s="480"/>
      <c r="AT24" s="480"/>
      <c r="AU24" s="480"/>
      <c r="AV24" s="480"/>
      <c r="AW24" s="480"/>
      <c r="AX24" s="480"/>
      <c r="AY24" s="480"/>
      <c r="AZ24" s="480"/>
      <c r="BA24" s="480"/>
      <c r="BB24" s="480"/>
      <c r="BC24" s="480"/>
      <c r="BD24" s="480"/>
      <c r="BE24" s="213"/>
      <c r="BF24" s="479"/>
      <c r="BG24" s="479"/>
      <c r="BH24" s="370"/>
      <c r="BI24" s="472"/>
      <c r="BJ24" s="481"/>
      <c r="BK24" s="310"/>
      <c r="BL24" s="310">
        <f t="shared" si="0"/>
        <v>0</v>
      </c>
      <c r="BM24" s="7"/>
    </row>
    <row r="25" spans="1:65" ht="20.25" customHeight="1">
      <c r="A25" s="474"/>
      <c r="B25" s="475" t="s">
        <v>102</v>
      </c>
      <c r="C25" s="476" t="s">
        <v>103</v>
      </c>
      <c r="D25" s="416" t="s">
        <v>91</v>
      </c>
      <c r="E25" s="477"/>
      <c r="F25" s="477"/>
      <c r="G25" s="477"/>
      <c r="H25" s="477"/>
      <c r="I25" s="477"/>
      <c r="J25" s="477"/>
      <c r="K25" s="209"/>
      <c r="L25" s="478"/>
      <c r="M25" s="478"/>
      <c r="N25" s="478"/>
      <c r="O25" s="478"/>
      <c r="P25" s="478"/>
      <c r="Q25" s="478"/>
      <c r="R25" s="478"/>
      <c r="S25" s="478"/>
      <c r="T25" s="478">
        <v>1</v>
      </c>
      <c r="U25" s="478"/>
      <c r="V25" s="479"/>
      <c r="W25" s="478"/>
      <c r="X25" s="478"/>
      <c r="Y25" s="478"/>
      <c r="Z25" s="478"/>
      <c r="AA25" s="478"/>
      <c r="AB25" s="478"/>
      <c r="AC25" s="478"/>
      <c r="AD25" s="478"/>
      <c r="AE25" s="478"/>
      <c r="AF25" s="213"/>
      <c r="AG25" s="480"/>
      <c r="AH25" s="480"/>
      <c r="AI25" s="480"/>
      <c r="AJ25" s="480"/>
      <c r="AK25" s="480"/>
      <c r="AL25" s="480"/>
      <c r="AM25" s="480"/>
      <c r="AN25" s="480"/>
      <c r="AO25" s="480"/>
      <c r="AP25" s="480"/>
      <c r="AQ25" s="480"/>
      <c r="AR25" s="480"/>
      <c r="AS25" s="480"/>
      <c r="AT25" s="480"/>
      <c r="AU25" s="480"/>
      <c r="AV25" s="480"/>
      <c r="AW25" s="480"/>
      <c r="AX25" s="480"/>
      <c r="AY25" s="480"/>
      <c r="AZ25" s="480"/>
      <c r="BA25" s="480"/>
      <c r="BB25" s="480"/>
      <c r="BC25" s="480"/>
      <c r="BD25" s="480"/>
      <c r="BE25" s="213"/>
      <c r="BF25" s="479"/>
      <c r="BG25" s="479"/>
      <c r="BH25" s="370"/>
      <c r="BI25" s="472"/>
      <c r="BJ25" s="481"/>
      <c r="BK25" s="310"/>
      <c r="BL25" s="310">
        <f t="shared" si="0"/>
        <v>1</v>
      </c>
      <c r="BM25" s="7"/>
    </row>
    <row r="26" spans="1:65" ht="20.25" customHeight="1">
      <c r="A26" s="482"/>
      <c r="B26" s="483" t="s">
        <v>105</v>
      </c>
      <c r="C26" s="484" t="s">
        <v>95</v>
      </c>
      <c r="D26" s="485" t="s">
        <v>91</v>
      </c>
      <c r="E26" s="477"/>
      <c r="F26" s="477"/>
      <c r="G26" s="477"/>
      <c r="H26" s="477"/>
      <c r="I26" s="477"/>
      <c r="J26" s="477"/>
      <c r="K26" s="213"/>
      <c r="L26" s="478"/>
      <c r="M26" s="478"/>
      <c r="N26" s="478"/>
      <c r="O26" s="478"/>
      <c r="P26" s="478"/>
      <c r="Q26" s="478"/>
      <c r="R26" s="478"/>
      <c r="S26" s="478"/>
      <c r="T26" s="478"/>
      <c r="U26" s="478"/>
      <c r="V26" s="479"/>
      <c r="W26" s="478"/>
      <c r="X26" s="478"/>
      <c r="Y26" s="478"/>
      <c r="Z26" s="478"/>
      <c r="AA26" s="478"/>
      <c r="AB26" s="478"/>
      <c r="AC26" s="478"/>
      <c r="AD26" s="478"/>
      <c r="AE26" s="478"/>
      <c r="AF26" s="213"/>
      <c r="AG26" s="480"/>
      <c r="AH26" s="480"/>
      <c r="AI26" s="480"/>
      <c r="AJ26" s="480"/>
      <c r="AK26" s="480"/>
      <c r="AL26" s="480"/>
      <c r="AM26" s="480"/>
      <c r="AN26" s="480"/>
      <c r="AO26" s="480"/>
      <c r="AP26" s="480"/>
      <c r="AQ26" s="480"/>
      <c r="AR26" s="480"/>
      <c r="AS26" s="480"/>
      <c r="AT26" s="480"/>
      <c r="AU26" s="480"/>
      <c r="AV26" s="480"/>
      <c r="AW26" s="480"/>
      <c r="AX26" s="480"/>
      <c r="AY26" s="480"/>
      <c r="AZ26" s="480"/>
      <c r="BA26" s="480"/>
      <c r="BB26" s="480"/>
      <c r="BC26" s="480"/>
      <c r="BD26" s="480"/>
      <c r="BE26" s="213"/>
      <c r="BF26" s="479"/>
      <c r="BG26" s="479"/>
      <c r="BH26" s="370"/>
      <c r="BI26" s="472"/>
      <c r="BJ26" s="481"/>
      <c r="BK26" s="310"/>
      <c r="BL26" s="310">
        <f t="shared" si="0"/>
        <v>0</v>
      </c>
      <c r="BM26" s="7"/>
    </row>
    <row r="27" spans="1:65" ht="20.25" customHeight="1">
      <c r="A27" s="482"/>
      <c r="B27" s="483" t="s">
        <v>106</v>
      </c>
      <c r="C27" s="484" t="s">
        <v>97</v>
      </c>
      <c r="D27" s="485" t="s">
        <v>91</v>
      </c>
      <c r="E27" s="477"/>
      <c r="F27" s="477"/>
      <c r="G27" s="477"/>
      <c r="H27" s="477"/>
      <c r="I27" s="477"/>
      <c r="J27" s="477"/>
      <c r="K27" s="213"/>
      <c r="L27" s="478"/>
      <c r="M27" s="478"/>
      <c r="N27" s="478"/>
      <c r="O27" s="478"/>
      <c r="P27" s="478"/>
      <c r="Q27" s="478"/>
      <c r="R27" s="478"/>
      <c r="S27" s="478"/>
      <c r="T27" s="478"/>
      <c r="U27" s="478"/>
      <c r="V27" s="479"/>
      <c r="W27" s="478"/>
      <c r="X27" s="478"/>
      <c r="Y27" s="478"/>
      <c r="Z27" s="478"/>
      <c r="AA27" s="478"/>
      <c r="AB27" s="478"/>
      <c r="AC27" s="478"/>
      <c r="AD27" s="478"/>
      <c r="AE27" s="478"/>
      <c r="AF27" s="213"/>
      <c r="AG27" s="480"/>
      <c r="AH27" s="480"/>
      <c r="AI27" s="480"/>
      <c r="AJ27" s="480"/>
      <c r="AK27" s="480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480"/>
      <c r="BD27" s="480"/>
      <c r="BE27" s="213"/>
      <c r="BF27" s="479"/>
      <c r="BG27" s="479"/>
      <c r="BH27" s="370"/>
      <c r="BI27" s="472"/>
      <c r="BJ27" s="481"/>
      <c r="BK27" s="310"/>
      <c r="BL27" s="310">
        <f t="shared" si="0"/>
        <v>0</v>
      </c>
      <c r="BM27" s="7"/>
    </row>
    <row r="28" spans="1:65" ht="20.25" customHeight="1">
      <c r="A28" s="482"/>
      <c r="B28" s="483" t="s">
        <v>107</v>
      </c>
      <c r="C28" s="484" t="s">
        <v>99</v>
      </c>
      <c r="D28" s="485" t="s">
        <v>91</v>
      </c>
      <c r="E28" s="477"/>
      <c r="F28" s="477"/>
      <c r="G28" s="477"/>
      <c r="H28" s="477"/>
      <c r="I28" s="477"/>
      <c r="J28" s="477"/>
      <c r="K28" s="213"/>
      <c r="L28" s="478"/>
      <c r="M28" s="478"/>
      <c r="N28" s="478"/>
      <c r="O28" s="478"/>
      <c r="P28" s="478"/>
      <c r="Q28" s="478"/>
      <c r="R28" s="478"/>
      <c r="S28" s="478"/>
      <c r="T28" s="478"/>
      <c r="U28" s="478"/>
      <c r="V28" s="479"/>
      <c r="W28" s="478"/>
      <c r="X28" s="478"/>
      <c r="Y28" s="478"/>
      <c r="Z28" s="478"/>
      <c r="AA28" s="478"/>
      <c r="AB28" s="478"/>
      <c r="AC28" s="478"/>
      <c r="AD28" s="478"/>
      <c r="AE28" s="478"/>
      <c r="AF28" s="213"/>
      <c r="AG28" s="480"/>
      <c r="AH28" s="480"/>
      <c r="AI28" s="480"/>
      <c r="AJ28" s="480"/>
      <c r="AK28" s="480"/>
      <c r="AL28" s="480"/>
      <c r="AM28" s="480"/>
      <c r="AN28" s="480"/>
      <c r="AO28" s="480"/>
      <c r="AP28" s="480"/>
      <c r="AQ28" s="480"/>
      <c r="AR28" s="480"/>
      <c r="AS28" s="480"/>
      <c r="AT28" s="480"/>
      <c r="AU28" s="480"/>
      <c r="AV28" s="480"/>
      <c r="AW28" s="480"/>
      <c r="AX28" s="480"/>
      <c r="AY28" s="480"/>
      <c r="AZ28" s="480"/>
      <c r="BA28" s="480"/>
      <c r="BB28" s="480"/>
      <c r="BC28" s="480"/>
      <c r="BD28" s="480"/>
      <c r="BE28" s="213"/>
      <c r="BF28" s="479"/>
      <c r="BG28" s="479"/>
      <c r="BH28" s="370"/>
      <c r="BI28" s="472"/>
      <c r="BJ28" s="481"/>
      <c r="BK28" s="310"/>
      <c r="BL28" s="310">
        <f t="shared" si="0"/>
        <v>0</v>
      </c>
      <c r="BM28" s="7"/>
    </row>
    <row r="29" spans="1:65" ht="20.25" customHeight="1">
      <c r="A29" s="482"/>
      <c r="B29" s="483" t="s">
        <v>108</v>
      </c>
      <c r="C29" s="484" t="s">
        <v>101</v>
      </c>
      <c r="D29" s="485" t="s">
        <v>91</v>
      </c>
      <c r="E29" s="477"/>
      <c r="F29" s="477"/>
      <c r="G29" s="477"/>
      <c r="H29" s="477"/>
      <c r="I29" s="477"/>
      <c r="J29" s="477"/>
      <c r="K29" s="213"/>
      <c r="L29" s="478"/>
      <c r="M29" s="478"/>
      <c r="N29" s="478"/>
      <c r="O29" s="478"/>
      <c r="P29" s="478"/>
      <c r="Q29" s="478"/>
      <c r="R29" s="478"/>
      <c r="S29" s="478"/>
      <c r="T29" s="478"/>
      <c r="U29" s="478"/>
      <c r="V29" s="479"/>
      <c r="W29" s="478"/>
      <c r="X29" s="478"/>
      <c r="Y29" s="478"/>
      <c r="Z29" s="478"/>
      <c r="AA29" s="478"/>
      <c r="AB29" s="478"/>
      <c r="AC29" s="478"/>
      <c r="AD29" s="478"/>
      <c r="AE29" s="478"/>
      <c r="AF29" s="213"/>
      <c r="AG29" s="480"/>
      <c r="AH29" s="480"/>
      <c r="AI29" s="480"/>
      <c r="AJ29" s="480"/>
      <c r="AK29" s="480"/>
      <c r="AL29" s="480"/>
      <c r="AM29" s="480"/>
      <c r="AN29" s="480"/>
      <c r="AO29" s="480"/>
      <c r="AP29" s="480"/>
      <c r="AQ29" s="480"/>
      <c r="AR29" s="480"/>
      <c r="AS29" s="480"/>
      <c r="AT29" s="480"/>
      <c r="AU29" s="480"/>
      <c r="AV29" s="480"/>
      <c r="AW29" s="480"/>
      <c r="AX29" s="480"/>
      <c r="AY29" s="480"/>
      <c r="AZ29" s="480"/>
      <c r="BA29" s="480"/>
      <c r="BB29" s="480"/>
      <c r="BC29" s="480"/>
      <c r="BD29" s="480"/>
      <c r="BE29" s="213"/>
      <c r="BF29" s="479"/>
      <c r="BG29" s="479"/>
      <c r="BH29" s="370"/>
      <c r="BI29" s="472"/>
      <c r="BJ29" s="481"/>
      <c r="BK29" s="310"/>
      <c r="BL29" s="310">
        <f t="shared" si="0"/>
        <v>0</v>
      </c>
      <c r="BM29" s="7"/>
    </row>
    <row r="30" spans="1:65" ht="20.25" customHeight="1">
      <c r="A30" s="474"/>
      <c r="B30" s="475" t="s">
        <v>109</v>
      </c>
      <c r="C30" s="476" t="s">
        <v>110</v>
      </c>
      <c r="D30" s="416" t="s">
        <v>91</v>
      </c>
      <c r="E30" s="477"/>
      <c r="F30" s="477"/>
      <c r="G30" s="477"/>
      <c r="H30" s="477"/>
      <c r="I30" s="477"/>
      <c r="J30" s="477"/>
      <c r="K30" s="209"/>
      <c r="L30" s="478"/>
      <c r="M30" s="478"/>
      <c r="N30" s="478"/>
      <c r="O30" s="478"/>
      <c r="P30" s="478"/>
      <c r="Q30" s="478"/>
      <c r="R30" s="478"/>
      <c r="S30" s="478"/>
      <c r="T30" s="478"/>
      <c r="U30" s="478">
        <v>1</v>
      </c>
      <c r="V30" s="479"/>
      <c r="W30" s="478"/>
      <c r="X30" s="478"/>
      <c r="Y30" s="478"/>
      <c r="Z30" s="478">
        <v>1</v>
      </c>
      <c r="AA30" s="478">
        <v>4</v>
      </c>
      <c r="AB30" s="478">
        <v>3</v>
      </c>
      <c r="AC30" s="478"/>
      <c r="AD30" s="478"/>
      <c r="AE30" s="478"/>
      <c r="AF30" s="213"/>
      <c r="AG30" s="480"/>
      <c r="AH30" s="480"/>
      <c r="AI30" s="480"/>
      <c r="AJ30" s="480"/>
      <c r="AK30" s="480"/>
      <c r="AL30" s="480"/>
      <c r="AM30" s="480"/>
      <c r="AN30" s="480"/>
      <c r="AO30" s="480"/>
      <c r="AP30" s="480"/>
      <c r="AQ30" s="480"/>
      <c r="AR30" s="480"/>
      <c r="AS30" s="480"/>
      <c r="AT30" s="480"/>
      <c r="AU30" s="480"/>
      <c r="AV30" s="480"/>
      <c r="AW30" s="480"/>
      <c r="AX30" s="480"/>
      <c r="AY30" s="480"/>
      <c r="AZ30" s="480"/>
      <c r="BA30" s="480"/>
      <c r="BB30" s="480"/>
      <c r="BC30" s="480"/>
      <c r="BD30" s="480"/>
      <c r="BE30" s="213"/>
      <c r="BF30" s="479"/>
      <c r="BG30" s="479"/>
      <c r="BH30" s="370"/>
      <c r="BI30" s="472"/>
      <c r="BJ30" s="481"/>
      <c r="BK30" s="310"/>
      <c r="BL30" s="310">
        <f t="shared" si="0"/>
        <v>9</v>
      </c>
      <c r="BM30" s="7"/>
    </row>
    <row r="31" spans="1:65" ht="20.25" customHeight="1">
      <c r="A31" s="482" t="s">
        <v>112</v>
      </c>
      <c r="B31" s="483" t="s">
        <v>113</v>
      </c>
      <c r="C31" s="484" t="s">
        <v>95</v>
      </c>
      <c r="D31" s="485" t="s">
        <v>91</v>
      </c>
      <c r="E31" s="477"/>
      <c r="F31" s="477"/>
      <c r="G31" s="477"/>
      <c r="H31" s="477"/>
      <c r="I31" s="477"/>
      <c r="J31" s="477"/>
      <c r="K31" s="213"/>
      <c r="L31" s="478"/>
      <c r="M31" s="478"/>
      <c r="N31" s="478"/>
      <c r="O31" s="478"/>
      <c r="P31" s="478"/>
      <c r="Q31" s="478"/>
      <c r="R31" s="478"/>
      <c r="S31" s="478"/>
      <c r="T31" s="478"/>
      <c r="U31" s="478"/>
      <c r="V31" s="479"/>
      <c r="W31" s="478"/>
      <c r="X31" s="478"/>
      <c r="Y31" s="478"/>
      <c r="Z31" s="478"/>
      <c r="AA31" s="478"/>
      <c r="AB31" s="478"/>
      <c r="AC31" s="478"/>
      <c r="AD31" s="478"/>
      <c r="AE31" s="478"/>
      <c r="AF31" s="213"/>
      <c r="AG31" s="480"/>
      <c r="AH31" s="480"/>
      <c r="AI31" s="480"/>
      <c r="AJ31" s="480"/>
      <c r="AK31" s="480"/>
      <c r="AL31" s="480"/>
      <c r="AM31" s="480"/>
      <c r="AN31" s="480"/>
      <c r="AO31" s="480"/>
      <c r="AP31" s="480"/>
      <c r="AQ31" s="480"/>
      <c r="AR31" s="480"/>
      <c r="AS31" s="480"/>
      <c r="AT31" s="480"/>
      <c r="AU31" s="480"/>
      <c r="AV31" s="480"/>
      <c r="AW31" s="480"/>
      <c r="AX31" s="480"/>
      <c r="AY31" s="480"/>
      <c r="AZ31" s="480"/>
      <c r="BA31" s="480"/>
      <c r="BB31" s="480"/>
      <c r="BC31" s="480"/>
      <c r="BD31" s="480"/>
      <c r="BE31" s="213"/>
      <c r="BF31" s="479"/>
      <c r="BG31" s="479"/>
      <c r="BH31" s="370"/>
      <c r="BI31" s="472"/>
      <c r="BJ31" s="481"/>
      <c r="BK31" s="310"/>
      <c r="BL31" s="310">
        <f t="shared" si="0"/>
        <v>0</v>
      </c>
      <c r="BM31" s="7"/>
    </row>
    <row r="32" spans="1:65" ht="20.25" customHeight="1">
      <c r="A32" s="482" t="s">
        <v>114</v>
      </c>
      <c r="B32" s="483" t="s">
        <v>115</v>
      </c>
      <c r="C32" s="484" t="s">
        <v>97</v>
      </c>
      <c r="D32" s="485" t="s">
        <v>91</v>
      </c>
      <c r="E32" s="477"/>
      <c r="F32" s="477"/>
      <c r="G32" s="477"/>
      <c r="H32" s="477"/>
      <c r="I32" s="477"/>
      <c r="J32" s="477"/>
      <c r="K32" s="213"/>
      <c r="L32" s="478"/>
      <c r="M32" s="478"/>
      <c r="N32" s="478"/>
      <c r="O32" s="478"/>
      <c r="P32" s="478"/>
      <c r="Q32" s="478"/>
      <c r="R32" s="478"/>
      <c r="S32" s="478"/>
      <c r="T32" s="478"/>
      <c r="U32" s="478"/>
      <c r="V32" s="479"/>
      <c r="W32" s="478"/>
      <c r="X32" s="478"/>
      <c r="Y32" s="478"/>
      <c r="Z32" s="478"/>
      <c r="AA32" s="478"/>
      <c r="AB32" s="478"/>
      <c r="AC32" s="478"/>
      <c r="AD32" s="478"/>
      <c r="AE32" s="478"/>
      <c r="AF32" s="213"/>
      <c r="AG32" s="480"/>
      <c r="AH32" s="480"/>
      <c r="AI32" s="480"/>
      <c r="AJ32" s="480"/>
      <c r="AK32" s="480"/>
      <c r="AL32" s="480"/>
      <c r="AM32" s="480"/>
      <c r="AN32" s="480"/>
      <c r="AO32" s="480"/>
      <c r="AP32" s="480"/>
      <c r="AQ32" s="480"/>
      <c r="AR32" s="480"/>
      <c r="AS32" s="480"/>
      <c r="AT32" s="480"/>
      <c r="AU32" s="480"/>
      <c r="AV32" s="480"/>
      <c r="AW32" s="480"/>
      <c r="AX32" s="480"/>
      <c r="AY32" s="480"/>
      <c r="AZ32" s="480"/>
      <c r="BA32" s="480"/>
      <c r="BB32" s="480"/>
      <c r="BC32" s="480"/>
      <c r="BD32" s="480"/>
      <c r="BE32" s="213"/>
      <c r="BF32" s="479"/>
      <c r="BG32" s="479"/>
      <c r="BH32" s="370"/>
      <c r="BI32" s="472"/>
      <c r="BJ32" s="481"/>
      <c r="BK32" s="310"/>
      <c r="BL32" s="310">
        <f t="shared" si="0"/>
        <v>0</v>
      </c>
      <c r="BM32" s="7"/>
    </row>
    <row r="33" spans="1:65" ht="20.25" customHeight="1">
      <c r="A33" s="482" t="s">
        <v>116</v>
      </c>
      <c r="B33" s="483" t="s">
        <v>117</v>
      </c>
      <c r="C33" s="484" t="s">
        <v>99</v>
      </c>
      <c r="D33" s="485" t="s">
        <v>91</v>
      </c>
      <c r="E33" s="477"/>
      <c r="F33" s="477"/>
      <c r="G33" s="477"/>
      <c r="H33" s="477"/>
      <c r="I33" s="477"/>
      <c r="J33" s="477"/>
      <c r="K33" s="213"/>
      <c r="L33" s="478"/>
      <c r="M33" s="478"/>
      <c r="N33" s="478"/>
      <c r="O33" s="478"/>
      <c r="P33" s="478"/>
      <c r="Q33" s="478"/>
      <c r="R33" s="478"/>
      <c r="S33" s="478"/>
      <c r="T33" s="478"/>
      <c r="U33" s="478"/>
      <c r="V33" s="479"/>
      <c r="W33" s="478"/>
      <c r="X33" s="478"/>
      <c r="Y33" s="478"/>
      <c r="Z33" s="478"/>
      <c r="AA33" s="478"/>
      <c r="AB33" s="478"/>
      <c r="AC33" s="478"/>
      <c r="AD33" s="478"/>
      <c r="AE33" s="478"/>
      <c r="AF33" s="213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80"/>
      <c r="AV33" s="480"/>
      <c r="AW33" s="480"/>
      <c r="AX33" s="480"/>
      <c r="AY33" s="480"/>
      <c r="AZ33" s="480"/>
      <c r="BA33" s="480"/>
      <c r="BB33" s="480"/>
      <c r="BC33" s="480"/>
      <c r="BD33" s="480"/>
      <c r="BE33" s="213"/>
      <c r="BF33" s="479"/>
      <c r="BG33" s="479"/>
      <c r="BH33" s="370"/>
      <c r="BI33" s="472"/>
      <c r="BJ33" s="481"/>
      <c r="BK33" s="310"/>
      <c r="BL33" s="310">
        <f t="shared" si="0"/>
        <v>0</v>
      </c>
      <c r="BM33" s="7"/>
    </row>
    <row r="34" spans="1:65" ht="20.25" customHeight="1">
      <c r="A34" s="482" t="s">
        <v>118</v>
      </c>
      <c r="B34" s="483" t="s">
        <v>119</v>
      </c>
      <c r="C34" s="484" t="s">
        <v>101</v>
      </c>
      <c r="D34" s="485" t="s">
        <v>91</v>
      </c>
      <c r="E34" s="477"/>
      <c r="F34" s="477"/>
      <c r="G34" s="477"/>
      <c r="H34" s="477"/>
      <c r="I34" s="477"/>
      <c r="J34" s="477"/>
      <c r="K34" s="213"/>
      <c r="L34" s="478"/>
      <c r="M34" s="478"/>
      <c r="N34" s="478"/>
      <c r="O34" s="478"/>
      <c r="P34" s="478"/>
      <c r="Q34" s="478"/>
      <c r="R34" s="478"/>
      <c r="S34" s="478"/>
      <c r="T34" s="478"/>
      <c r="U34" s="478"/>
      <c r="V34" s="479"/>
      <c r="W34" s="478"/>
      <c r="X34" s="478"/>
      <c r="Y34" s="478"/>
      <c r="Z34" s="478"/>
      <c r="AA34" s="478"/>
      <c r="AB34" s="478"/>
      <c r="AC34" s="478"/>
      <c r="AD34" s="478"/>
      <c r="AE34" s="478"/>
      <c r="AF34" s="213"/>
      <c r="AG34" s="480"/>
      <c r="AH34" s="480"/>
      <c r="AI34" s="480"/>
      <c r="AJ34" s="480"/>
      <c r="AK34" s="480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480"/>
      <c r="BD34" s="480"/>
      <c r="BE34" s="213"/>
      <c r="BF34" s="479"/>
      <c r="BG34" s="479"/>
      <c r="BH34" s="370"/>
      <c r="BI34" s="472"/>
      <c r="BJ34" s="481"/>
      <c r="BK34" s="310"/>
      <c r="BL34" s="310">
        <f t="shared" si="0"/>
        <v>0</v>
      </c>
      <c r="BM34" s="7"/>
    </row>
    <row r="35" spans="1:65" ht="20.25" customHeight="1">
      <c r="A35" s="486">
        <v>1.4</v>
      </c>
      <c r="B35" s="487" t="s">
        <v>120</v>
      </c>
      <c r="C35" s="488" t="s">
        <v>121</v>
      </c>
      <c r="D35" s="412" t="s">
        <v>122</v>
      </c>
      <c r="E35" s="477"/>
      <c r="F35" s="477"/>
      <c r="G35" s="477"/>
      <c r="H35" s="477"/>
      <c r="I35" s="477"/>
      <c r="J35" s="477"/>
      <c r="K35" s="213"/>
      <c r="L35" s="478">
        <v>13</v>
      </c>
      <c r="M35" s="478"/>
      <c r="N35" s="478"/>
      <c r="O35" s="478"/>
      <c r="P35" s="478"/>
      <c r="Q35" s="478"/>
      <c r="R35" s="478"/>
      <c r="S35" s="478"/>
      <c r="T35" s="478"/>
      <c r="U35" s="478"/>
      <c r="V35" s="479"/>
      <c r="W35" s="478"/>
      <c r="X35" s="478"/>
      <c r="Y35" s="478"/>
      <c r="Z35" s="478"/>
      <c r="AA35" s="478"/>
      <c r="AB35" s="478"/>
      <c r="AC35" s="478"/>
      <c r="AD35" s="478"/>
      <c r="AE35" s="478"/>
      <c r="AF35" s="213"/>
      <c r="AG35" s="480"/>
      <c r="AH35" s="480"/>
      <c r="AI35" s="480"/>
      <c r="AJ35" s="480"/>
      <c r="AK35" s="480"/>
      <c r="AL35" s="480"/>
      <c r="AM35" s="480"/>
      <c r="AN35" s="480"/>
      <c r="AO35" s="480"/>
      <c r="AP35" s="480"/>
      <c r="AQ35" s="480"/>
      <c r="AR35" s="480"/>
      <c r="AS35" s="480"/>
      <c r="AT35" s="480"/>
      <c r="AU35" s="480"/>
      <c r="AV35" s="480"/>
      <c r="AW35" s="480"/>
      <c r="AX35" s="480"/>
      <c r="AY35" s="480"/>
      <c r="AZ35" s="480"/>
      <c r="BA35" s="480"/>
      <c r="BB35" s="480"/>
      <c r="BC35" s="480"/>
      <c r="BD35" s="480"/>
      <c r="BE35" s="213"/>
      <c r="BF35" s="479"/>
      <c r="BG35" s="479"/>
      <c r="BH35" s="370"/>
      <c r="BI35" s="472"/>
      <c r="BJ35" s="481"/>
      <c r="BK35" s="310"/>
      <c r="BL35" s="310">
        <f t="shared" si="0"/>
        <v>13</v>
      </c>
      <c r="BM35" s="205"/>
    </row>
    <row r="36" spans="1:65" ht="20.25" customHeight="1">
      <c r="A36" s="486">
        <v>1.5</v>
      </c>
      <c r="B36" s="487" t="s">
        <v>125</v>
      </c>
      <c r="C36" s="488" t="s">
        <v>126</v>
      </c>
      <c r="D36" s="412" t="s">
        <v>91</v>
      </c>
      <c r="E36" s="477"/>
      <c r="F36" s="477"/>
      <c r="G36" s="477"/>
      <c r="H36" s="477"/>
      <c r="I36" s="477"/>
      <c r="J36" s="477"/>
      <c r="K36" s="213"/>
      <c r="L36" s="478"/>
      <c r="M36" s="478"/>
      <c r="N36" s="478"/>
      <c r="O36" s="478"/>
      <c r="P36" s="478"/>
      <c r="Q36" s="478"/>
      <c r="R36" s="478"/>
      <c r="S36" s="478"/>
      <c r="T36" s="478"/>
      <c r="U36" s="478"/>
      <c r="V36" s="479"/>
      <c r="W36" s="478"/>
      <c r="X36" s="478"/>
      <c r="Y36" s="478"/>
      <c r="Z36" s="478"/>
      <c r="AA36" s="478"/>
      <c r="AB36" s="478"/>
      <c r="AC36" s="478"/>
      <c r="AD36" s="478"/>
      <c r="AE36" s="478"/>
      <c r="AF36" s="213"/>
      <c r="AG36" s="480"/>
      <c r="AH36" s="480"/>
      <c r="AI36" s="480"/>
      <c r="AJ36" s="480"/>
      <c r="AK36" s="480"/>
      <c r="AL36" s="480"/>
      <c r="AM36" s="480"/>
      <c r="AN36" s="480"/>
      <c r="AO36" s="480"/>
      <c r="AP36" s="480"/>
      <c r="AQ36" s="480"/>
      <c r="AR36" s="480"/>
      <c r="AS36" s="480"/>
      <c r="AT36" s="480"/>
      <c r="AU36" s="480"/>
      <c r="AV36" s="480"/>
      <c r="AW36" s="480"/>
      <c r="AX36" s="480"/>
      <c r="AY36" s="480"/>
      <c r="AZ36" s="480"/>
      <c r="BA36" s="480"/>
      <c r="BB36" s="480"/>
      <c r="BC36" s="480"/>
      <c r="BD36" s="480"/>
      <c r="BE36" s="213"/>
      <c r="BF36" s="479"/>
      <c r="BG36" s="479"/>
      <c r="BH36" s="370"/>
      <c r="BI36" s="472"/>
      <c r="BJ36" s="481"/>
      <c r="BK36" s="310"/>
      <c r="BL36" s="310">
        <f t="shared" si="0"/>
        <v>0</v>
      </c>
      <c r="BM36" s="7"/>
    </row>
    <row r="37" spans="1:65" ht="19.5" customHeight="1">
      <c r="A37" s="489">
        <v>2</v>
      </c>
      <c r="B37" s="490" t="s">
        <v>128</v>
      </c>
      <c r="C37" s="490" t="s">
        <v>129</v>
      </c>
      <c r="D37" s="491"/>
      <c r="E37" s="477"/>
      <c r="F37" s="477"/>
      <c r="G37" s="477"/>
      <c r="H37" s="477"/>
      <c r="I37" s="477"/>
      <c r="J37" s="477"/>
      <c r="K37" s="213"/>
      <c r="L37" s="478"/>
      <c r="M37" s="478"/>
      <c r="N37" s="478"/>
      <c r="O37" s="478"/>
      <c r="P37" s="478"/>
      <c r="Q37" s="478"/>
      <c r="R37" s="478"/>
      <c r="S37" s="478"/>
      <c r="T37" s="478"/>
      <c r="U37" s="478"/>
      <c r="V37" s="479"/>
      <c r="W37" s="478"/>
      <c r="X37" s="478"/>
      <c r="Y37" s="478"/>
      <c r="Z37" s="478"/>
      <c r="AA37" s="478"/>
      <c r="AB37" s="478"/>
      <c r="AC37" s="478"/>
      <c r="AD37" s="478"/>
      <c r="AE37" s="478"/>
      <c r="AF37" s="213"/>
      <c r="AG37" s="480"/>
      <c r="AH37" s="480"/>
      <c r="AI37" s="480"/>
      <c r="AJ37" s="480"/>
      <c r="AK37" s="480"/>
      <c r="AL37" s="480"/>
      <c r="AM37" s="480"/>
      <c r="AN37" s="480"/>
      <c r="AO37" s="480"/>
      <c r="AP37" s="480"/>
      <c r="AQ37" s="480"/>
      <c r="AR37" s="480"/>
      <c r="AS37" s="480"/>
      <c r="AT37" s="480"/>
      <c r="AU37" s="480"/>
      <c r="AV37" s="480"/>
      <c r="AW37" s="480"/>
      <c r="AX37" s="480"/>
      <c r="AY37" s="480"/>
      <c r="AZ37" s="480"/>
      <c r="BA37" s="480"/>
      <c r="BB37" s="480"/>
      <c r="BC37" s="480"/>
      <c r="BD37" s="480"/>
      <c r="BE37" s="213"/>
      <c r="BF37" s="479"/>
      <c r="BG37" s="479"/>
      <c r="BH37" s="372"/>
      <c r="BI37" s="472"/>
      <c r="BJ37" s="481"/>
      <c r="BK37" s="310"/>
      <c r="BL37" s="310">
        <f t="shared" si="0"/>
        <v>0</v>
      </c>
      <c r="BM37" s="7"/>
    </row>
    <row r="38" spans="1:65" ht="20.25" customHeight="1">
      <c r="A38" s="492"/>
      <c r="B38" s="493" t="s">
        <v>130</v>
      </c>
      <c r="C38" s="494" t="s">
        <v>131</v>
      </c>
      <c r="D38" s="495" t="s">
        <v>132</v>
      </c>
      <c r="E38" s="477"/>
      <c r="F38" s="477"/>
      <c r="G38" s="477"/>
      <c r="H38" s="477"/>
      <c r="I38" s="477"/>
      <c r="J38" s="477"/>
      <c r="K38" s="209"/>
      <c r="L38" s="478"/>
      <c r="M38" s="478"/>
      <c r="N38" s="478"/>
      <c r="O38" s="478"/>
      <c r="P38" s="478"/>
      <c r="Q38" s="478"/>
      <c r="R38" s="478"/>
      <c r="S38" s="478"/>
      <c r="T38" s="478"/>
      <c r="U38" s="478">
        <v>2</v>
      </c>
      <c r="V38" s="479"/>
      <c r="W38" s="478"/>
      <c r="X38" s="478"/>
      <c r="Y38" s="478">
        <v>1</v>
      </c>
      <c r="Z38" s="478"/>
      <c r="AA38" s="478">
        <v>1</v>
      </c>
      <c r="AB38" s="478">
        <v>3</v>
      </c>
      <c r="AC38" s="478"/>
      <c r="AD38" s="478"/>
      <c r="AE38" s="478"/>
      <c r="AF38" s="213"/>
      <c r="AG38" s="480"/>
      <c r="AH38" s="480"/>
      <c r="AI38" s="480"/>
      <c r="AJ38" s="480"/>
      <c r="AK38" s="480"/>
      <c r="AL38" s="480"/>
      <c r="AM38" s="480"/>
      <c r="AN38" s="480"/>
      <c r="AO38" s="480"/>
      <c r="AP38" s="480"/>
      <c r="AQ38" s="480"/>
      <c r="AR38" s="480"/>
      <c r="AS38" s="480"/>
      <c r="AT38" s="480"/>
      <c r="AU38" s="480"/>
      <c r="AV38" s="480"/>
      <c r="AW38" s="480"/>
      <c r="AX38" s="480"/>
      <c r="AY38" s="480"/>
      <c r="AZ38" s="480"/>
      <c r="BA38" s="480"/>
      <c r="BB38" s="480"/>
      <c r="BC38" s="480"/>
      <c r="BD38" s="480"/>
      <c r="BE38" s="213"/>
      <c r="BF38" s="479"/>
      <c r="BG38" s="479"/>
      <c r="BH38" s="372"/>
      <c r="BI38" s="472"/>
      <c r="BJ38" s="481"/>
      <c r="BK38" s="310"/>
      <c r="BL38" s="310">
        <f t="shared" si="0"/>
        <v>7</v>
      </c>
      <c r="BM38" s="7"/>
    </row>
    <row r="39" spans="1:65" ht="20.25" hidden="1" customHeight="1">
      <c r="A39" s="482"/>
      <c r="B39" s="483" t="s">
        <v>135</v>
      </c>
      <c r="C39" s="484" t="s">
        <v>136</v>
      </c>
      <c r="D39" s="485" t="s">
        <v>132</v>
      </c>
      <c r="E39" s="477"/>
      <c r="F39" s="477"/>
      <c r="G39" s="477"/>
      <c r="H39" s="477"/>
      <c r="I39" s="477"/>
      <c r="J39" s="477"/>
      <c r="K39" s="213"/>
      <c r="L39" s="478"/>
      <c r="M39" s="478"/>
      <c r="N39" s="478"/>
      <c r="O39" s="478"/>
      <c r="P39" s="478"/>
      <c r="Q39" s="478"/>
      <c r="R39" s="478"/>
      <c r="S39" s="478"/>
      <c r="T39" s="478"/>
      <c r="U39" s="478"/>
      <c r="V39" s="479"/>
      <c r="W39" s="478"/>
      <c r="X39" s="478"/>
      <c r="Y39" s="478"/>
      <c r="Z39" s="478"/>
      <c r="AA39" s="478"/>
      <c r="AB39" s="478"/>
      <c r="AC39" s="478"/>
      <c r="AD39" s="478"/>
      <c r="AE39" s="478"/>
      <c r="AF39" s="213"/>
      <c r="AG39" s="480"/>
      <c r="AH39" s="480"/>
      <c r="AI39" s="480"/>
      <c r="AJ39" s="480"/>
      <c r="AK39" s="480"/>
      <c r="AL39" s="480"/>
      <c r="AM39" s="480"/>
      <c r="AN39" s="480"/>
      <c r="AO39" s="480"/>
      <c r="AP39" s="480"/>
      <c r="AQ39" s="480"/>
      <c r="AR39" s="480"/>
      <c r="AS39" s="480"/>
      <c r="AT39" s="480"/>
      <c r="AU39" s="480"/>
      <c r="AV39" s="480"/>
      <c r="AW39" s="480"/>
      <c r="AX39" s="480"/>
      <c r="AY39" s="480"/>
      <c r="AZ39" s="480"/>
      <c r="BA39" s="480"/>
      <c r="BB39" s="480"/>
      <c r="BC39" s="480"/>
      <c r="BD39" s="480"/>
      <c r="BE39" s="213"/>
      <c r="BF39" s="479"/>
      <c r="BG39" s="479"/>
      <c r="BH39" s="370"/>
      <c r="BI39" s="472"/>
      <c r="BJ39" s="481"/>
      <c r="BK39" s="310"/>
      <c r="BL39" s="310">
        <f t="shared" si="0"/>
        <v>0</v>
      </c>
      <c r="BM39" s="7"/>
    </row>
    <row r="40" spans="1:65" ht="20.25" hidden="1" customHeight="1">
      <c r="A40" s="482"/>
      <c r="B40" s="483" t="s">
        <v>137</v>
      </c>
      <c r="C40" s="484" t="s">
        <v>138</v>
      </c>
      <c r="D40" s="485" t="s">
        <v>132</v>
      </c>
      <c r="E40" s="477"/>
      <c r="F40" s="477"/>
      <c r="G40" s="477"/>
      <c r="H40" s="477"/>
      <c r="I40" s="477"/>
      <c r="J40" s="477"/>
      <c r="K40" s="213"/>
      <c r="L40" s="478"/>
      <c r="M40" s="478"/>
      <c r="N40" s="478"/>
      <c r="O40" s="478"/>
      <c r="P40" s="478"/>
      <c r="Q40" s="478"/>
      <c r="R40" s="478"/>
      <c r="S40" s="478"/>
      <c r="T40" s="478"/>
      <c r="U40" s="478"/>
      <c r="V40" s="479"/>
      <c r="W40" s="478"/>
      <c r="X40" s="478"/>
      <c r="Y40" s="478"/>
      <c r="Z40" s="478"/>
      <c r="AA40" s="478"/>
      <c r="AB40" s="478"/>
      <c r="AC40" s="478"/>
      <c r="AD40" s="478"/>
      <c r="AE40" s="478"/>
      <c r="AF40" s="213"/>
      <c r="AG40" s="480"/>
      <c r="AH40" s="480"/>
      <c r="AI40" s="480"/>
      <c r="AJ40" s="480"/>
      <c r="AK40" s="480"/>
      <c r="AL40" s="480"/>
      <c r="AM40" s="480"/>
      <c r="AN40" s="480"/>
      <c r="AO40" s="480"/>
      <c r="AP40" s="480"/>
      <c r="AQ40" s="480"/>
      <c r="AR40" s="480"/>
      <c r="AS40" s="480"/>
      <c r="AT40" s="480"/>
      <c r="AU40" s="480"/>
      <c r="AV40" s="480"/>
      <c r="AW40" s="480"/>
      <c r="AX40" s="480"/>
      <c r="AY40" s="480"/>
      <c r="AZ40" s="480"/>
      <c r="BA40" s="480"/>
      <c r="BB40" s="480"/>
      <c r="BC40" s="480"/>
      <c r="BD40" s="480"/>
      <c r="BE40" s="213"/>
      <c r="BF40" s="479"/>
      <c r="BG40" s="479"/>
      <c r="BH40" s="370"/>
      <c r="BI40" s="472"/>
      <c r="BJ40" s="481"/>
      <c r="BK40" s="310"/>
      <c r="BL40" s="310">
        <f t="shared" si="0"/>
        <v>0</v>
      </c>
      <c r="BM40" s="7"/>
    </row>
    <row r="41" spans="1:65" ht="20.25" hidden="1" customHeight="1">
      <c r="A41" s="482"/>
      <c r="B41" s="483" t="s">
        <v>139</v>
      </c>
      <c r="C41" s="484" t="s">
        <v>140</v>
      </c>
      <c r="D41" s="485" t="s">
        <v>132</v>
      </c>
      <c r="E41" s="477"/>
      <c r="F41" s="477"/>
      <c r="G41" s="477"/>
      <c r="H41" s="477"/>
      <c r="I41" s="477"/>
      <c r="J41" s="477"/>
      <c r="K41" s="213"/>
      <c r="L41" s="478"/>
      <c r="M41" s="478"/>
      <c r="N41" s="478"/>
      <c r="O41" s="478"/>
      <c r="P41" s="478"/>
      <c r="Q41" s="478"/>
      <c r="R41" s="478"/>
      <c r="S41" s="478"/>
      <c r="T41" s="478"/>
      <c r="U41" s="478"/>
      <c r="V41" s="479"/>
      <c r="W41" s="478"/>
      <c r="X41" s="478"/>
      <c r="Y41" s="478"/>
      <c r="Z41" s="478"/>
      <c r="AA41" s="478"/>
      <c r="AB41" s="478"/>
      <c r="AC41" s="478"/>
      <c r="AD41" s="478"/>
      <c r="AE41" s="478"/>
      <c r="AF41" s="213"/>
      <c r="AG41" s="480"/>
      <c r="AH41" s="480"/>
      <c r="AI41" s="480"/>
      <c r="AJ41" s="480"/>
      <c r="AK41" s="480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480"/>
      <c r="BD41" s="480"/>
      <c r="BE41" s="213"/>
      <c r="BF41" s="479"/>
      <c r="BG41" s="479"/>
      <c r="BH41" s="370"/>
      <c r="BI41" s="472"/>
      <c r="BJ41" s="481"/>
      <c r="BK41" s="310"/>
      <c r="BL41" s="310">
        <f t="shared" si="0"/>
        <v>0</v>
      </c>
      <c r="BM41" s="205"/>
    </row>
    <row r="42" spans="1:65" ht="20.25" hidden="1" customHeight="1">
      <c r="A42" s="482"/>
      <c r="B42" s="483" t="s">
        <v>141</v>
      </c>
      <c r="C42" s="484" t="s">
        <v>142</v>
      </c>
      <c r="D42" s="485" t="s">
        <v>132</v>
      </c>
      <c r="E42" s="477"/>
      <c r="F42" s="477"/>
      <c r="G42" s="477"/>
      <c r="H42" s="477"/>
      <c r="I42" s="477"/>
      <c r="J42" s="477"/>
      <c r="K42" s="213"/>
      <c r="L42" s="478"/>
      <c r="M42" s="478"/>
      <c r="N42" s="478"/>
      <c r="O42" s="478"/>
      <c r="P42" s="478"/>
      <c r="Q42" s="478"/>
      <c r="R42" s="478"/>
      <c r="S42" s="478"/>
      <c r="T42" s="478"/>
      <c r="U42" s="478"/>
      <c r="V42" s="479"/>
      <c r="W42" s="478"/>
      <c r="X42" s="478"/>
      <c r="Y42" s="478"/>
      <c r="Z42" s="478"/>
      <c r="AA42" s="478"/>
      <c r="AB42" s="478"/>
      <c r="AC42" s="478"/>
      <c r="AD42" s="478"/>
      <c r="AE42" s="478"/>
      <c r="AF42" s="213"/>
      <c r="AG42" s="480"/>
      <c r="AH42" s="480"/>
      <c r="AI42" s="480"/>
      <c r="AJ42" s="480"/>
      <c r="AK42" s="480"/>
      <c r="AL42" s="480"/>
      <c r="AM42" s="480"/>
      <c r="AN42" s="480"/>
      <c r="AO42" s="480"/>
      <c r="AP42" s="480"/>
      <c r="AQ42" s="480"/>
      <c r="AR42" s="480"/>
      <c r="AS42" s="480"/>
      <c r="AT42" s="480"/>
      <c r="AU42" s="480"/>
      <c r="AV42" s="480"/>
      <c r="AW42" s="480"/>
      <c r="AX42" s="480"/>
      <c r="AY42" s="480"/>
      <c r="AZ42" s="480"/>
      <c r="BA42" s="480"/>
      <c r="BB42" s="480"/>
      <c r="BC42" s="480"/>
      <c r="BD42" s="480"/>
      <c r="BE42" s="213"/>
      <c r="BF42" s="479"/>
      <c r="BG42" s="479"/>
      <c r="BH42" s="370"/>
      <c r="BI42" s="472"/>
      <c r="BJ42" s="481"/>
      <c r="BK42" s="310"/>
      <c r="BL42" s="310">
        <f t="shared" si="0"/>
        <v>0</v>
      </c>
      <c r="BM42" s="205"/>
    </row>
    <row r="43" spans="1:65" ht="20.25" customHeight="1">
      <c r="A43" s="482"/>
      <c r="B43" s="496" t="s">
        <v>143</v>
      </c>
      <c r="C43" s="497" t="s">
        <v>144</v>
      </c>
      <c r="D43" s="485" t="s">
        <v>132</v>
      </c>
      <c r="E43" s="477"/>
      <c r="F43" s="477"/>
      <c r="G43" s="477"/>
      <c r="H43" s="477"/>
      <c r="I43" s="477"/>
      <c r="J43" s="477"/>
      <c r="K43" s="213"/>
      <c r="L43" s="478"/>
      <c r="M43" s="478"/>
      <c r="N43" s="478"/>
      <c r="O43" s="478"/>
      <c r="P43" s="478"/>
      <c r="Q43" s="478"/>
      <c r="R43" s="478"/>
      <c r="S43" s="478"/>
      <c r="T43" s="478"/>
      <c r="U43" s="478">
        <v>15</v>
      </c>
      <c r="V43" s="479"/>
      <c r="W43" s="478">
        <v>2</v>
      </c>
      <c r="X43" s="478"/>
      <c r="Y43" s="478"/>
      <c r="Z43" s="478"/>
      <c r="AA43" s="478"/>
      <c r="AB43" s="478"/>
      <c r="AC43" s="478"/>
      <c r="AD43" s="478"/>
      <c r="AE43" s="478"/>
      <c r="AF43" s="213"/>
      <c r="AG43" s="480"/>
      <c r="AH43" s="480"/>
      <c r="AI43" s="480"/>
      <c r="AJ43" s="480"/>
      <c r="AK43" s="480"/>
      <c r="AL43" s="480"/>
      <c r="AM43" s="480"/>
      <c r="AN43" s="480"/>
      <c r="AO43" s="480"/>
      <c r="AP43" s="480"/>
      <c r="AQ43" s="480"/>
      <c r="AR43" s="480"/>
      <c r="AS43" s="480"/>
      <c r="AT43" s="480"/>
      <c r="AU43" s="480"/>
      <c r="AV43" s="480"/>
      <c r="AW43" s="480"/>
      <c r="AX43" s="480"/>
      <c r="AY43" s="480"/>
      <c r="AZ43" s="480"/>
      <c r="BA43" s="480"/>
      <c r="BB43" s="480"/>
      <c r="BC43" s="480"/>
      <c r="BD43" s="480"/>
      <c r="BE43" s="213"/>
      <c r="BF43" s="479"/>
      <c r="BG43" s="479"/>
      <c r="BH43" s="372"/>
      <c r="BI43" s="472"/>
      <c r="BJ43" s="481"/>
      <c r="BK43" s="310"/>
      <c r="BL43" s="310">
        <f t="shared" si="0"/>
        <v>17</v>
      </c>
      <c r="BM43" s="7"/>
    </row>
    <row r="44" spans="1:65" ht="20.25" hidden="1" customHeight="1">
      <c r="A44" s="482"/>
      <c r="B44" s="483" t="s">
        <v>147</v>
      </c>
      <c r="C44" s="484" t="s">
        <v>136</v>
      </c>
      <c r="D44" s="485" t="s">
        <v>132</v>
      </c>
      <c r="E44" s="477"/>
      <c r="F44" s="477"/>
      <c r="G44" s="477"/>
      <c r="H44" s="477"/>
      <c r="I44" s="477"/>
      <c r="J44" s="477"/>
      <c r="K44" s="213"/>
      <c r="L44" s="478"/>
      <c r="M44" s="478"/>
      <c r="N44" s="478"/>
      <c r="O44" s="478"/>
      <c r="P44" s="478"/>
      <c r="Q44" s="478"/>
      <c r="R44" s="478"/>
      <c r="S44" s="478"/>
      <c r="T44" s="478"/>
      <c r="U44" s="478"/>
      <c r="V44" s="479"/>
      <c r="W44" s="478"/>
      <c r="X44" s="478"/>
      <c r="Y44" s="478"/>
      <c r="Z44" s="478"/>
      <c r="AA44" s="478"/>
      <c r="AB44" s="478"/>
      <c r="AC44" s="478"/>
      <c r="AD44" s="478"/>
      <c r="AE44" s="478"/>
      <c r="AF44" s="213"/>
      <c r="AG44" s="480"/>
      <c r="AH44" s="480"/>
      <c r="AI44" s="480"/>
      <c r="AJ44" s="480"/>
      <c r="AK44" s="480"/>
      <c r="AL44" s="480"/>
      <c r="AM44" s="480"/>
      <c r="AN44" s="480"/>
      <c r="AO44" s="480"/>
      <c r="AP44" s="480"/>
      <c r="AQ44" s="480"/>
      <c r="AR44" s="480"/>
      <c r="AS44" s="480"/>
      <c r="AT44" s="480"/>
      <c r="AU44" s="480"/>
      <c r="AV44" s="480"/>
      <c r="AW44" s="480"/>
      <c r="AX44" s="480"/>
      <c r="AY44" s="480"/>
      <c r="AZ44" s="480"/>
      <c r="BA44" s="480"/>
      <c r="BB44" s="480"/>
      <c r="BC44" s="480"/>
      <c r="BD44" s="480"/>
      <c r="BE44" s="213"/>
      <c r="BF44" s="479"/>
      <c r="BG44" s="479"/>
      <c r="BH44" s="370"/>
      <c r="BI44" s="472"/>
      <c r="BJ44" s="481"/>
      <c r="BK44" s="310"/>
      <c r="BL44" s="310">
        <f t="shared" si="0"/>
        <v>0</v>
      </c>
      <c r="BM44" s="7"/>
    </row>
    <row r="45" spans="1:65" ht="20.25" hidden="1" customHeight="1">
      <c r="A45" s="482"/>
      <c r="B45" s="483" t="s">
        <v>148</v>
      </c>
      <c r="C45" s="484" t="s">
        <v>138</v>
      </c>
      <c r="D45" s="485" t="s">
        <v>132</v>
      </c>
      <c r="E45" s="477"/>
      <c r="F45" s="477"/>
      <c r="G45" s="477"/>
      <c r="H45" s="477"/>
      <c r="I45" s="477"/>
      <c r="J45" s="477"/>
      <c r="K45" s="213"/>
      <c r="L45" s="478"/>
      <c r="M45" s="478"/>
      <c r="N45" s="478"/>
      <c r="O45" s="478"/>
      <c r="P45" s="478"/>
      <c r="Q45" s="478"/>
      <c r="R45" s="478"/>
      <c r="S45" s="478"/>
      <c r="T45" s="478"/>
      <c r="U45" s="478"/>
      <c r="V45" s="479"/>
      <c r="W45" s="478"/>
      <c r="X45" s="478"/>
      <c r="Y45" s="478"/>
      <c r="Z45" s="478"/>
      <c r="AA45" s="478"/>
      <c r="AB45" s="478"/>
      <c r="AC45" s="478"/>
      <c r="AD45" s="478"/>
      <c r="AE45" s="478"/>
      <c r="AF45" s="213"/>
      <c r="AG45" s="480"/>
      <c r="AH45" s="480"/>
      <c r="AI45" s="480"/>
      <c r="AJ45" s="480"/>
      <c r="AK45" s="480"/>
      <c r="AL45" s="480"/>
      <c r="AM45" s="480"/>
      <c r="AN45" s="480"/>
      <c r="AO45" s="480"/>
      <c r="AP45" s="480"/>
      <c r="AQ45" s="480"/>
      <c r="AR45" s="480"/>
      <c r="AS45" s="480"/>
      <c r="AT45" s="480"/>
      <c r="AU45" s="480"/>
      <c r="AV45" s="480"/>
      <c r="AW45" s="480"/>
      <c r="AX45" s="480"/>
      <c r="AY45" s="480"/>
      <c r="AZ45" s="480"/>
      <c r="BA45" s="480"/>
      <c r="BB45" s="480"/>
      <c r="BC45" s="480"/>
      <c r="BD45" s="480"/>
      <c r="BE45" s="213"/>
      <c r="BF45" s="479"/>
      <c r="BG45" s="479"/>
      <c r="BH45" s="370"/>
      <c r="BI45" s="472"/>
      <c r="BJ45" s="481"/>
      <c r="BK45" s="310"/>
      <c r="BL45" s="310">
        <f t="shared" si="0"/>
        <v>0</v>
      </c>
      <c r="BM45" s="7"/>
    </row>
    <row r="46" spans="1:65" ht="20.25" hidden="1" customHeight="1">
      <c r="A46" s="482"/>
      <c r="B46" s="483" t="s">
        <v>149</v>
      </c>
      <c r="C46" s="484" t="s">
        <v>140</v>
      </c>
      <c r="D46" s="485" t="s">
        <v>132</v>
      </c>
      <c r="E46" s="477"/>
      <c r="F46" s="477"/>
      <c r="G46" s="477"/>
      <c r="H46" s="477"/>
      <c r="I46" s="477"/>
      <c r="J46" s="477"/>
      <c r="K46" s="213"/>
      <c r="L46" s="478"/>
      <c r="M46" s="478"/>
      <c r="N46" s="478"/>
      <c r="O46" s="478"/>
      <c r="P46" s="478"/>
      <c r="Q46" s="478"/>
      <c r="R46" s="478"/>
      <c r="S46" s="478"/>
      <c r="T46" s="478"/>
      <c r="U46" s="478"/>
      <c r="V46" s="479"/>
      <c r="W46" s="478"/>
      <c r="X46" s="478"/>
      <c r="Y46" s="478"/>
      <c r="Z46" s="478"/>
      <c r="AA46" s="478"/>
      <c r="AB46" s="478"/>
      <c r="AC46" s="478"/>
      <c r="AD46" s="478"/>
      <c r="AE46" s="478"/>
      <c r="AF46" s="213"/>
      <c r="AG46" s="480"/>
      <c r="AH46" s="480"/>
      <c r="AI46" s="480"/>
      <c r="AJ46" s="480"/>
      <c r="AK46" s="480"/>
      <c r="AL46" s="480"/>
      <c r="AM46" s="480"/>
      <c r="AN46" s="480"/>
      <c r="AO46" s="480"/>
      <c r="AP46" s="480"/>
      <c r="AQ46" s="480"/>
      <c r="AR46" s="480"/>
      <c r="AS46" s="480"/>
      <c r="AT46" s="480"/>
      <c r="AU46" s="480"/>
      <c r="AV46" s="480"/>
      <c r="AW46" s="480"/>
      <c r="AX46" s="480"/>
      <c r="AY46" s="480"/>
      <c r="AZ46" s="480"/>
      <c r="BA46" s="480"/>
      <c r="BB46" s="480"/>
      <c r="BC46" s="480"/>
      <c r="BD46" s="480"/>
      <c r="BE46" s="213"/>
      <c r="BF46" s="479"/>
      <c r="BG46" s="479"/>
      <c r="BH46" s="370"/>
      <c r="BI46" s="472"/>
      <c r="BJ46" s="481"/>
      <c r="BK46" s="310"/>
      <c r="BL46" s="310">
        <f t="shared" si="0"/>
        <v>0</v>
      </c>
      <c r="BM46" s="205"/>
    </row>
    <row r="47" spans="1:65" ht="20.25" hidden="1" customHeight="1">
      <c r="A47" s="482"/>
      <c r="B47" s="483" t="s">
        <v>150</v>
      </c>
      <c r="C47" s="484" t="s">
        <v>142</v>
      </c>
      <c r="D47" s="485" t="s">
        <v>132</v>
      </c>
      <c r="E47" s="477"/>
      <c r="F47" s="477"/>
      <c r="G47" s="477"/>
      <c r="H47" s="477"/>
      <c r="I47" s="477"/>
      <c r="J47" s="477"/>
      <c r="K47" s="213"/>
      <c r="L47" s="478"/>
      <c r="M47" s="478"/>
      <c r="N47" s="478"/>
      <c r="O47" s="478"/>
      <c r="P47" s="478"/>
      <c r="Q47" s="478"/>
      <c r="R47" s="478"/>
      <c r="S47" s="478"/>
      <c r="T47" s="478"/>
      <c r="U47" s="478"/>
      <c r="V47" s="479"/>
      <c r="W47" s="478"/>
      <c r="X47" s="478"/>
      <c r="Y47" s="478"/>
      <c r="Z47" s="478"/>
      <c r="AA47" s="478"/>
      <c r="AB47" s="478"/>
      <c r="AC47" s="478"/>
      <c r="AD47" s="478"/>
      <c r="AE47" s="478"/>
      <c r="AF47" s="213"/>
      <c r="AG47" s="480"/>
      <c r="AH47" s="480"/>
      <c r="AI47" s="480"/>
      <c r="AJ47" s="480"/>
      <c r="AK47" s="480"/>
      <c r="AL47" s="480"/>
      <c r="AM47" s="480"/>
      <c r="AN47" s="480"/>
      <c r="AO47" s="480"/>
      <c r="AP47" s="480"/>
      <c r="AQ47" s="480"/>
      <c r="AR47" s="480"/>
      <c r="AS47" s="480"/>
      <c r="AT47" s="480"/>
      <c r="AU47" s="480"/>
      <c r="AV47" s="480"/>
      <c r="AW47" s="480"/>
      <c r="AX47" s="480"/>
      <c r="AY47" s="480"/>
      <c r="AZ47" s="480"/>
      <c r="BA47" s="480"/>
      <c r="BB47" s="480"/>
      <c r="BC47" s="480"/>
      <c r="BD47" s="480"/>
      <c r="BE47" s="213"/>
      <c r="BF47" s="479"/>
      <c r="BG47" s="479"/>
      <c r="BH47" s="370"/>
      <c r="BI47" s="472"/>
      <c r="BJ47" s="481"/>
      <c r="BK47" s="310"/>
      <c r="BL47" s="310">
        <f t="shared" si="0"/>
        <v>0</v>
      </c>
      <c r="BM47" s="7"/>
    </row>
    <row r="48" spans="1:65" ht="20.25" customHeight="1">
      <c r="A48" s="482"/>
      <c r="B48" s="496" t="s">
        <v>151</v>
      </c>
      <c r="C48" s="497" t="s">
        <v>152</v>
      </c>
      <c r="D48" s="485" t="s">
        <v>132</v>
      </c>
      <c r="E48" s="477"/>
      <c r="F48" s="477"/>
      <c r="G48" s="477"/>
      <c r="H48" s="477"/>
      <c r="I48" s="477"/>
      <c r="J48" s="477"/>
      <c r="K48" s="213"/>
      <c r="L48" s="478">
        <v>2</v>
      </c>
      <c r="M48" s="478"/>
      <c r="N48" s="478"/>
      <c r="O48" s="478"/>
      <c r="P48" s="478"/>
      <c r="Q48" s="478"/>
      <c r="R48" s="478"/>
      <c r="S48" s="478"/>
      <c r="T48" s="478"/>
      <c r="U48" s="478">
        <v>9</v>
      </c>
      <c r="V48" s="479"/>
      <c r="W48" s="478"/>
      <c r="X48" s="478">
        <v>1</v>
      </c>
      <c r="Y48" s="478"/>
      <c r="Z48" s="478"/>
      <c r="AA48" s="478"/>
      <c r="AB48" s="478"/>
      <c r="AC48" s="478"/>
      <c r="AD48" s="478"/>
      <c r="AE48" s="478"/>
      <c r="AF48" s="213"/>
      <c r="AG48" s="480"/>
      <c r="AH48" s="480"/>
      <c r="AI48" s="480"/>
      <c r="AJ48" s="480"/>
      <c r="AK48" s="480"/>
      <c r="AL48" s="480"/>
      <c r="AM48" s="480"/>
      <c r="AN48" s="480"/>
      <c r="AO48" s="480"/>
      <c r="AP48" s="480"/>
      <c r="AQ48" s="480"/>
      <c r="AR48" s="480"/>
      <c r="AS48" s="480"/>
      <c r="AT48" s="480"/>
      <c r="AU48" s="480"/>
      <c r="AV48" s="480"/>
      <c r="AW48" s="480"/>
      <c r="AX48" s="480"/>
      <c r="AY48" s="480"/>
      <c r="AZ48" s="480"/>
      <c r="BA48" s="480"/>
      <c r="BB48" s="480"/>
      <c r="BC48" s="480"/>
      <c r="BD48" s="480"/>
      <c r="BE48" s="213"/>
      <c r="BF48" s="479"/>
      <c r="BG48" s="479"/>
      <c r="BH48" s="372"/>
      <c r="BI48" s="498"/>
      <c r="BJ48" s="481"/>
      <c r="BK48" s="310"/>
      <c r="BL48" s="310">
        <f t="shared" si="0"/>
        <v>12</v>
      </c>
      <c r="BM48" s="7"/>
    </row>
    <row r="49" spans="1:65" ht="20.25" hidden="1" customHeight="1">
      <c r="A49" s="482"/>
      <c r="B49" s="483" t="s">
        <v>154</v>
      </c>
      <c r="C49" s="484" t="s">
        <v>136</v>
      </c>
      <c r="D49" s="485" t="s">
        <v>132</v>
      </c>
      <c r="E49" s="477"/>
      <c r="F49" s="477"/>
      <c r="G49" s="477"/>
      <c r="H49" s="477"/>
      <c r="I49" s="477"/>
      <c r="J49" s="477"/>
      <c r="K49" s="213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9"/>
      <c r="W49" s="478"/>
      <c r="X49" s="478"/>
      <c r="Y49" s="478"/>
      <c r="Z49" s="478"/>
      <c r="AA49" s="478"/>
      <c r="AB49" s="478"/>
      <c r="AC49" s="478"/>
      <c r="AD49" s="478"/>
      <c r="AE49" s="478"/>
      <c r="AF49" s="213"/>
      <c r="AG49" s="480"/>
      <c r="AH49" s="480"/>
      <c r="AI49" s="480"/>
      <c r="AJ49" s="480"/>
      <c r="AK49" s="480"/>
      <c r="AL49" s="480"/>
      <c r="AM49" s="480"/>
      <c r="AN49" s="480"/>
      <c r="AO49" s="480"/>
      <c r="AP49" s="480"/>
      <c r="AQ49" s="480"/>
      <c r="AR49" s="480"/>
      <c r="AS49" s="480"/>
      <c r="AT49" s="480"/>
      <c r="AU49" s="480"/>
      <c r="AV49" s="480"/>
      <c r="AW49" s="480"/>
      <c r="AX49" s="480"/>
      <c r="AY49" s="480"/>
      <c r="AZ49" s="480"/>
      <c r="BA49" s="480"/>
      <c r="BB49" s="480"/>
      <c r="BC49" s="480"/>
      <c r="BD49" s="480"/>
      <c r="BE49" s="213"/>
      <c r="BF49" s="479"/>
      <c r="BG49" s="479"/>
      <c r="BH49" s="370"/>
      <c r="BI49" s="472"/>
      <c r="BJ49" s="481"/>
      <c r="BK49" s="310"/>
      <c r="BL49" s="310">
        <f t="shared" si="0"/>
        <v>0</v>
      </c>
      <c r="BM49" s="7"/>
    </row>
    <row r="50" spans="1:65" ht="20.25" hidden="1" customHeight="1">
      <c r="A50" s="482"/>
      <c r="B50" s="483" t="s">
        <v>155</v>
      </c>
      <c r="C50" s="484" t="s">
        <v>138</v>
      </c>
      <c r="D50" s="485" t="s">
        <v>132</v>
      </c>
      <c r="E50" s="477"/>
      <c r="F50" s="477"/>
      <c r="G50" s="477"/>
      <c r="H50" s="477"/>
      <c r="I50" s="477"/>
      <c r="J50" s="477"/>
      <c r="K50" s="213"/>
      <c r="L50" s="478"/>
      <c r="M50" s="478"/>
      <c r="N50" s="478"/>
      <c r="O50" s="478"/>
      <c r="P50" s="478"/>
      <c r="Q50" s="478"/>
      <c r="R50" s="478"/>
      <c r="S50" s="478"/>
      <c r="T50" s="478"/>
      <c r="U50" s="478"/>
      <c r="V50" s="479"/>
      <c r="W50" s="478"/>
      <c r="X50" s="478"/>
      <c r="Y50" s="478"/>
      <c r="Z50" s="478"/>
      <c r="AA50" s="478"/>
      <c r="AB50" s="478"/>
      <c r="AC50" s="478"/>
      <c r="AD50" s="478"/>
      <c r="AE50" s="478"/>
      <c r="AF50" s="213"/>
      <c r="AG50" s="480"/>
      <c r="AH50" s="480"/>
      <c r="AI50" s="480"/>
      <c r="AJ50" s="480"/>
      <c r="AK50" s="480"/>
      <c r="AL50" s="480"/>
      <c r="AM50" s="480"/>
      <c r="AN50" s="480"/>
      <c r="AO50" s="480"/>
      <c r="AP50" s="480"/>
      <c r="AQ50" s="480"/>
      <c r="AR50" s="480"/>
      <c r="AS50" s="480"/>
      <c r="AT50" s="480"/>
      <c r="AU50" s="480"/>
      <c r="AV50" s="480"/>
      <c r="AW50" s="480"/>
      <c r="AX50" s="480"/>
      <c r="AY50" s="480"/>
      <c r="AZ50" s="480"/>
      <c r="BA50" s="480"/>
      <c r="BB50" s="480"/>
      <c r="BC50" s="480"/>
      <c r="BD50" s="480"/>
      <c r="BE50" s="213"/>
      <c r="BF50" s="479"/>
      <c r="BG50" s="479"/>
      <c r="BH50" s="370"/>
      <c r="BI50" s="472"/>
      <c r="BJ50" s="481"/>
      <c r="BK50" s="310"/>
      <c r="BL50" s="310">
        <f t="shared" si="0"/>
        <v>0</v>
      </c>
      <c r="BM50" s="7"/>
    </row>
    <row r="51" spans="1:65" ht="20.25" hidden="1" customHeight="1">
      <c r="A51" s="482"/>
      <c r="B51" s="483" t="s">
        <v>156</v>
      </c>
      <c r="C51" s="484" t="s">
        <v>140</v>
      </c>
      <c r="D51" s="485" t="s">
        <v>132</v>
      </c>
      <c r="E51" s="477"/>
      <c r="F51" s="477"/>
      <c r="G51" s="477"/>
      <c r="H51" s="477"/>
      <c r="I51" s="477"/>
      <c r="J51" s="477"/>
      <c r="K51" s="213"/>
      <c r="L51" s="478"/>
      <c r="M51" s="478"/>
      <c r="N51" s="478"/>
      <c r="O51" s="478"/>
      <c r="P51" s="478"/>
      <c r="Q51" s="478"/>
      <c r="R51" s="478"/>
      <c r="S51" s="478"/>
      <c r="T51" s="478"/>
      <c r="U51" s="478"/>
      <c r="V51" s="479"/>
      <c r="W51" s="478"/>
      <c r="X51" s="478"/>
      <c r="Y51" s="478"/>
      <c r="Z51" s="478"/>
      <c r="AA51" s="478"/>
      <c r="AB51" s="478"/>
      <c r="AC51" s="478"/>
      <c r="AD51" s="478"/>
      <c r="AE51" s="478"/>
      <c r="AF51" s="213"/>
      <c r="AG51" s="480"/>
      <c r="AH51" s="480"/>
      <c r="AI51" s="480"/>
      <c r="AJ51" s="480"/>
      <c r="AK51" s="480"/>
      <c r="AL51" s="480"/>
      <c r="AM51" s="480"/>
      <c r="AN51" s="480"/>
      <c r="AO51" s="480"/>
      <c r="AP51" s="480"/>
      <c r="AQ51" s="480"/>
      <c r="AR51" s="480"/>
      <c r="AS51" s="480"/>
      <c r="AT51" s="480"/>
      <c r="AU51" s="480"/>
      <c r="AV51" s="480"/>
      <c r="AW51" s="480"/>
      <c r="AX51" s="480"/>
      <c r="AY51" s="480"/>
      <c r="AZ51" s="480"/>
      <c r="BA51" s="480"/>
      <c r="BB51" s="480"/>
      <c r="BC51" s="480"/>
      <c r="BD51" s="480"/>
      <c r="BE51" s="213"/>
      <c r="BF51" s="479"/>
      <c r="BG51" s="479"/>
      <c r="BH51" s="370"/>
      <c r="BI51" s="472"/>
      <c r="BJ51" s="481"/>
      <c r="BK51" s="310"/>
      <c r="BL51" s="310">
        <f t="shared" si="0"/>
        <v>0</v>
      </c>
      <c r="BM51" s="7"/>
    </row>
    <row r="52" spans="1:65" ht="20.25" hidden="1" customHeight="1">
      <c r="A52" s="482"/>
      <c r="B52" s="483" t="s">
        <v>157</v>
      </c>
      <c r="C52" s="484" t="s">
        <v>142</v>
      </c>
      <c r="D52" s="485" t="s">
        <v>132</v>
      </c>
      <c r="E52" s="477"/>
      <c r="F52" s="477"/>
      <c r="G52" s="477"/>
      <c r="H52" s="477"/>
      <c r="I52" s="477"/>
      <c r="J52" s="477"/>
      <c r="K52" s="213"/>
      <c r="L52" s="478"/>
      <c r="M52" s="478"/>
      <c r="N52" s="478"/>
      <c r="O52" s="478"/>
      <c r="P52" s="478"/>
      <c r="Q52" s="478"/>
      <c r="R52" s="478"/>
      <c r="S52" s="478"/>
      <c r="T52" s="478"/>
      <c r="U52" s="478"/>
      <c r="V52" s="479"/>
      <c r="W52" s="478"/>
      <c r="X52" s="478"/>
      <c r="Y52" s="478"/>
      <c r="Z52" s="478"/>
      <c r="AA52" s="478"/>
      <c r="AB52" s="478"/>
      <c r="AC52" s="478"/>
      <c r="AD52" s="478"/>
      <c r="AE52" s="478"/>
      <c r="AF52" s="213"/>
      <c r="AG52" s="480"/>
      <c r="AH52" s="480"/>
      <c r="AI52" s="480"/>
      <c r="AJ52" s="480"/>
      <c r="AK52" s="480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480"/>
      <c r="BD52" s="480"/>
      <c r="BE52" s="213"/>
      <c r="BF52" s="479"/>
      <c r="BG52" s="479"/>
      <c r="BH52" s="370"/>
      <c r="BI52" s="472"/>
      <c r="BJ52" s="481"/>
      <c r="BK52" s="310"/>
      <c r="BL52" s="310">
        <f t="shared" si="0"/>
        <v>0</v>
      </c>
      <c r="BM52" s="7"/>
    </row>
    <row r="53" spans="1:65" ht="21" customHeight="1">
      <c r="A53" s="482"/>
      <c r="B53" s="483" t="s">
        <v>158</v>
      </c>
      <c r="C53" s="497" t="s">
        <v>159</v>
      </c>
      <c r="D53" s="485" t="s">
        <v>132</v>
      </c>
      <c r="E53" s="477"/>
      <c r="F53" s="477"/>
      <c r="G53" s="477"/>
      <c r="H53" s="477"/>
      <c r="I53" s="477"/>
      <c r="J53" s="477"/>
      <c r="K53" s="213"/>
      <c r="L53" s="478"/>
      <c r="M53" s="478"/>
      <c r="N53" s="478"/>
      <c r="O53" s="478"/>
      <c r="P53" s="478"/>
      <c r="Q53" s="478"/>
      <c r="R53" s="478"/>
      <c r="S53" s="478"/>
      <c r="T53" s="478"/>
      <c r="U53" s="478"/>
      <c r="V53" s="479"/>
      <c r="W53" s="478"/>
      <c r="X53" s="478"/>
      <c r="Y53" s="478">
        <v>28</v>
      </c>
      <c r="Z53" s="478">
        <v>1</v>
      </c>
      <c r="AA53" s="478">
        <v>2</v>
      </c>
      <c r="AB53" s="478">
        <v>3</v>
      </c>
      <c r="AC53" s="478">
        <v>2</v>
      </c>
      <c r="AD53" s="478"/>
      <c r="AE53" s="478"/>
      <c r="AF53" s="213"/>
      <c r="AG53" s="480"/>
      <c r="AH53" s="480"/>
      <c r="AI53" s="480"/>
      <c r="AJ53" s="480"/>
      <c r="AK53" s="480"/>
      <c r="AL53" s="480"/>
      <c r="AM53" s="480"/>
      <c r="AN53" s="480"/>
      <c r="AO53" s="480"/>
      <c r="AP53" s="480"/>
      <c r="AQ53" s="480"/>
      <c r="AR53" s="480"/>
      <c r="AS53" s="480"/>
      <c r="AT53" s="480"/>
      <c r="AU53" s="480"/>
      <c r="AV53" s="480"/>
      <c r="AW53" s="480"/>
      <c r="AX53" s="480"/>
      <c r="AY53" s="480"/>
      <c r="AZ53" s="480"/>
      <c r="BA53" s="480"/>
      <c r="BB53" s="480"/>
      <c r="BC53" s="480"/>
      <c r="BD53" s="480"/>
      <c r="BE53" s="213"/>
      <c r="BF53" s="479"/>
      <c r="BG53" s="479"/>
      <c r="BH53" s="499"/>
      <c r="BI53" s="472"/>
      <c r="BJ53" s="481"/>
      <c r="BK53" s="310"/>
      <c r="BL53" s="310">
        <f t="shared" si="0"/>
        <v>36</v>
      </c>
      <c r="BM53" s="7"/>
    </row>
    <row r="54" spans="1:65" ht="20.25" hidden="1" customHeight="1">
      <c r="A54" s="482"/>
      <c r="B54" s="483" t="s">
        <v>161</v>
      </c>
      <c r="C54" s="484" t="s">
        <v>136</v>
      </c>
      <c r="D54" s="485" t="s">
        <v>132</v>
      </c>
      <c r="E54" s="477"/>
      <c r="F54" s="477"/>
      <c r="G54" s="477"/>
      <c r="H54" s="477"/>
      <c r="I54" s="477"/>
      <c r="J54" s="477"/>
      <c r="K54" s="213"/>
      <c r="L54" s="478"/>
      <c r="M54" s="478"/>
      <c r="N54" s="478"/>
      <c r="O54" s="478"/>
      <c r="P54" s="478"/>
      <c r="Q54" s="478"/>
      <c r="R54" s="478"/>
      <c r="S54" s="478"/>
      <c r="T54" s="478"/>
      <c r="U54" s="478"/>
      <c r="V54" s="479"/>
      <c r="W54" s="478"/>
      <c r="X54" s="478"/>
      <c r="Y54" s="478"/>
      <c r="Z54" s="478"/>
      <c r="AA54" s="478"/>
      <c r="AB54" s="478"/>
      <c r="AC54" s="478"/>
      <c r="AD54" s="478"/>
      <c r="AE54" s="478"/>
      <c r="AF54" s="213"/>
      <c r="AG54" s="480"/>
      <c r="AH54" s="480"/>
      <c r="AI54" s="480"/>
      <c r="AJ54" s="480"/>
      <c r="AK54" s="480"/>
      <c r="AL54" s="480"/>
      <c r="AM54" s="480"/>
      <c r="AN54" s="480"/>
      <c r="AO54" s="480"/>
      <c r="AP54" s="480"/>
      <c r="AQ54" s="480"/>
      <c r="AR54" s="480"/>
      <c r="AS54" s="480"/>
      <c r="AT54" s="480"/>
      <c r="AU54" s="480"/>
      <c r="AV54" s="480"/>
      <c r="AW54" s="480"/>
      <c r="AX54" s="480"/>
      <c r="AY54" s="480"/>
      <c r="AZ54" s="480"/>
      <c r="BA54" s="480"/>
      <c r="BB54" s="480"/>
      <c r="BC54" s="480"/>
      <c r="BD54" s="480"/>
      <c r="BE54" s="213"/>
      <c r="BF54" s="479"/>
      <c r="BG54" s="479"/>
      <c r="BH54" s="370"/>
      <c r="BI54" s="472"/>
      <c r="BJ54" s="481"/>
      <c r="BK54" s="310"/>
      <c r="BL54" s="310">
        <f t="shared" si="0"/>
        <v>0</v>
      </c>
      <c r="BM54" s="7"/>
    </row>
    <row r="55" spans="1:65" ht="20.25" hidden="1" customHeight="1">
      <c r="A55" s="482"/>
      <c r="B55" s="483" t="s">
        <v>162</v>
      </c>
      <c r="C55" s="484" t="s">
        <v>138</v>
      </c>
      <c r="D55" s="485" t="s">
        <v>132</v>
      </c>
      <c r="E55" s="477"/>
      <c r="F55" s="477"/>
      <c r="G55" s="477"/>
      <c r="H55" s="477"/>
      <c r="I55" s="477"/>
      <c r="J55" s="477"/>
      <c r="K55" s="213"/>
      <c r="L55" s="478"/>
      <c r="M55" s="478"/>
      <c r="N55" s="478"/>
      <c r="O55" s="478"/>
      <c r="P55" s="478"/>
      <c r="Q55" s="478"/>
      <c r="R55" s="478"/>
      <c r="S55" s="478"/>
      <c r="T55" s="478"/>
      <c r="U55" s="478"/>
      <c r="V55" s="479"/>
      <c r="W55" s="478"/>
      <c r="X55" s="478"/>
      <c r="Y55" s="478"/>
      <c r="Z55" s="478"/>
      <c r="AA55" s="478"/>
      <c r="AB55" s="478"/>
      <c r="AC55" s="478"/>
      <c r="AD55" s="478"/>
      <c r="AE55" s="478"/>
      <c r="AF55" s="213"/>
      <c r="AG55" s="480"/>
      <c r="AH55" s="480"/>
      <c r="AI55" s="480"/>
      <c r="AJ55" s="480"/>
      <c r="AK55" s="480"/>
      <c r="AL55" s="480"/>
      <c r="AM55" s="480"/>
      <c r="AN55" s="480"/>
      <c r="AO55" s="480"/>
      <c r="AP55" s="480"/>
      <c r="AQ55" s="480"/>
      <c r="AR55" s="480"/>
      <c r="AS55" s="480"/>
      <c r="AT55" s="480"/>
      <c r="AU55" s="480"/>
      <c r="AV55" s="480"/>
      <c r="AW55" s="480"/>
      <c r="AX55" s="480"/>
      <c r="AY55" s="480"/>
      <c r="AZ55" s="480"/>
      <c r="BA55" s="480"/>
      <c r="BB55" s="480"/>
      <c r="BC55" s="480"/>
      <c r="BD55" s="480"/>
      <c r="BE55" s="213"/>
      <c r="BF55" s="479"/>
      <c r="BG55" s="479"/>
      <c r="BH55" s="370"/>
      <c r="BI55" s="472"/>
      <c r="BJ55" s="481"/>
      <c r="BK55" s="310"/>
      <c r="BL55" s="310">
        <f t="shared" si="0"/>
        <v>0</v>
      </c>
      <c r="BM55" s="7"/>
    </row>
    <row r="56" spans="1:65" ht="20.25" hidden="1" customHeight="1">
      <c r="A56" s="482"/>
      <c r="B56" s="483" t="s">
        <v>163</v>
      </c>
      <c r="C56" s="484" t="s">
        <v>140</v>
      </c>
      <c r="D56" s="485" t="s">
        <v>132</v>
      </c>
      <c r="E56" s="477"/>
      <c r="F56" s="477"/>
      <c r="G56" s="477"/>
      <c r="H56" s="477"/>
      <c r="I56" s="477"/>
      <c r="J56" s="477"/>
      <c r="K56" s="213"/>
      <c r="L56" s="478"/>
      <c r="M56" s="478"/>
      <c r="N56" s="478"/>
      <c r="O56" s="478"/>
      <c r="P56" s="478"/>
      <c r="Q56" s="478"/>
      <c r="R56" s="478"/>
      <c r="S56" s="478"/>
      <c r="T56" s="478"/>
      <c r="U56" s="478"/>
      <c r="V56" s="479"/>
      <c r="W56" s="478"/>
      <c r="X56" s="478"/>
      <c r="Y56" s="478"/>
      <c r="Z56" s="478"/>
      <c r="AA56" s="478"/>
      <c r="AB56" s="478"/>
      <c r="AC56" s="478"/>
      <c r="AD56" s="478"/>
      <c r="AE56" s="478"/>
      <c r="AF56" s="213"/>
      <c r="AG56" s="480"/>
      <c r="AH56" s="480"/>
      <c r="AI56" s="480"/>
      <c r="AJ56" s="480"/>
      <c r="AK56" s="480"/>
      <c r="AL56" s="480"/>
      <c r="AM56" s="480"/>
      <c r="AN56" s="480"/>
      <c r="AO56" s="480"/>
      <c r="AP56" s="480"/>
      <c r="AQ56" s="480"/>
      <c r="AR56" s="480"/>
      <c r="AS56" s="480"/>
      <c r="AT56" s="480"/>
      <c r="AU56" s="480"/>
      <c r="AV56" s="480"/>
      <c r="AW56" s="480"/>
      <c r="AX56" s="480"/>
      <c r="AY56" s="480"/>
      <c r="AZ56" s="480"/>
      <c r="BA56" s="480"/>
      <c r="BB56" s="480"/>
      <c r="BC56" s="480"/>
      <c r="BD56" s="480"/>
      <c r="BE56" s="213"/>
      <c r="BF56" s="479"/>
      <c r="BG56" s="479"/>
      <c r="BH56" s="370"/>
      <c r="BI56" s="472"/>
      <c r="BJ56" s="481"/>
      <c r="BK56" s="310"/>
      <c r="BL56" s="310">
        <f t="shared" si="0"/>
        <v>0</v>
      </c>
      <c r="BM56" s="7"/>
    </row>
    <row r="57" spans="1:65" ht="20.25" hidden="1" customHeight="1">
      <c r="A57" s="482"/>
      <c r="B57" s="483" t="s">
        <v>164</v>
      </c>
      <c r="C57" s="484" t="s">
        <v>142</v>
      </c>
      <c r="D57" s="485" t="s">
        <v>132</v>
      </c>
      <c r="E57" s="477"/>
      <c r="F57" s="477"/>
      <c r="G57" s="477"/>
      <c r="H57" s="477"/>
      <c r="I57" s="477"/>
      <c r="J57" s="477"/>
      <c r="K57" s="213"/>
      <c r="L57" s="478"/>
      <c r="M57" s="478"/>
      <c r="N57" s="478"/>
      <c r="O57" s="478"/>
      <c r="P57" s="478"/>
      <c r="Q57" s="478"/>
      <c r="R57" s="478"/>
      <c r="S57" s="478"/>
      <c r="T57" s="478"/>
      <c r="U57" s="478"/>
      <c r="V57" s="479"/>
      <c r="W57" s="478"/>
      <c r="X57" s="478"/>
      <c r="Y57" s="478"/>
      <c r="Z57" s="478"/>
      <c r="AA57" s="478"/>
      <c r="AB57" s="478"/>
      <c r="AC57" s="478"/>
      <c r="AD57" s="478"/>
      <c r="AE57" s="478"/>
      <c r="AF57" s="213"/>
      <c r="AG57" s="480"/>
      <c r="AH57" s="480"/>
      <c r="AI57" s="480"/>
      <c r="AJ57" s="480"/>
      <c r="AK57" s="480"/>
      <c r="AL57" s="480"/>
      <c r="AM57" s="480"/>
      <c r="AN57" s="480"/>
      <c r="AO57" s="480"/>
      <c r="AP57" s="480"/>
      <c r="AQ57" s="480"/>
      <c r="AR57" s="480"/>
      <c r="AS57" s="480"/>
      <c r="AT57" s="480"/>
      <c r="AU57" s="480"/>
      <c r="AV57" s="480"/>
      <c r="AW57" s="480"/>
      <c r="AX57" s="480"/>
      <c r="AY57" s="480"/>
      <c r="AZ57" s="480"/>
      <c r="BA57" s="480"/>
      <c r="BB57" s="480"/>
      <c r="BC57" s="480"/>
      <c r="BD57" s="480"/>
      <c r="BE57" s="213"/>
      <c r="BF57" s="479"/>
      <c r="BG57" s="479"/>
      <c r="BH57" s="370"/>
      <c r="BI57" s="472"/>
      <c r="BJ57" s="481"/>
      <c r="BK57" s="310"/>
      <c r="BL57" s="310">
        <f t="shared" si="0"/>
        <v>0</v>
      </c>
      <c r="BM57" s="7"/>
    </row>
    <row r="58" spans="1:65" ht="20.25" customHeight="1">
      <c r="A58" s="486"/>
      <c r="B58" s="487" t="s">
        <v>165</v>
      </c>
      <c r="C58" s="488" t="s">
        <v>166</v>
      </c>
      <c r="D58" s="412" t="s">
        <v>132</v>
      </c>
      <c r="E58" s="500"/>
      <c r="F58" s="500"/>
      <c r="G58" s="500"/>
      <c r="H58" s="500"/>
      <c r="I58" s="500"/>
      <c r="J58" s="500">
        <v>5454</v>
      </c>
      <c r="K58" s="219"/>
      <c r="L58" s="501"/>
      <c r="M58" s="501">
        <v>1</v>
      </c>
      <c r="N58" s="501">
        <v>11</v>
      </c>
      <c r="O58" s="501"/>
      <c r="P58" s="501"/>
      <c r="Q58" s="501"/>
      <c r="R58" s="501"/>
      <c r="S58" s="501">
        <v>893</v>
      </c>
      <c r="T58" s="501"/>
      <c r="U58" s="501">
        <v>2202</v>
      </c>
      <c r="V58" s="479">
        <v>54</v>
      </c>
      <c r="W58" s="501">
        <v>202</v>
      </c>
      <c r="X58" s="501">
        <v>253</v>
      </c>
      <c r="Y58" s="501">
        <v>73000</v>
      </c>
      <c r="Z58" s="501">
        <v>4362</v>
      </c>
      <c r="AA58" s="501">
        <v>19918</v>
      </c>
      <c r="AB58" s="501">
        <v>1690</v>
      </c>
      <c r="AC58" s="501">
        <v>914</v>
      </c>
      <c r="AD58" s="501"/>
      <c r="AE58" s="501"/>
      <c r="AF58" s="219"/>
      <c r="AG58" s="502"/>
      <c r="AH58" s="502"/>
      <c r="AI58" s="502"/>
      <c r="AJ58" s="502"/>
      <c r="AK58" s="502"/>
      <c r="AL58" s="502"/>
      <c r="AM58" s="502"/>
      <c r="AN58" s="502"/>
      <c r="AO58" s="502"/>
      <c r="AP58" s="502"/>
      <c r="AQ58" s="502"/>
      <c r="AR58" s="502"/>
      <c r="AS58" s="502"/>
      <c r="AT58" s="502"/>
      <c r="AU58" s="502"/>
      <c r="AV58" s="502"/>
      <c r="AW58" s="502"/>
      <c r="AX58" s="502"/>
      <c r="AY58" s="502"/>
      <c r="AZ58" s="502"/>
      <c r="BA58" s="502"/>
      <c r="BB58" s="502"/>
      <c r="BC58" s="502"/>
      <c r="BD58" s="502"/>
      <c r="BE58" s="219"/>
      <c r="BF58" s="479"/>
      <c r="BG58" s="479"/>
      <c r="BH58" s="372"/>
      <c r="BI58" s="472"/>
      <c r="BJ58" s="481"/>
      <c r="BK58" s="310"/>
      <c r="BL58" s="310">
        <f t="shared" si="0"/>
        <v>108954</v>
      </c>
      <c r="BM58" s="7"/>
    </row>
    <row r="59" spans="1:65" ht="20.25" customHeight="1">
      <c r="A59" s="503" t="s">
        <v>168</v>
      </c>
      <c r="B59" s="483" t="s">
        <v>169</v>
      </c>
      <c r="C59" s="484" t="s">
        <v>170</v>
      </c>
      <c r="D59" s="504" t="s">
        <v>171</v>
      </c>
      <c r="E59" s="477"/>
      <c r="F59" s="477"/>
      <c r="G59" s="477"/>
      <c r="H59" s="477"/>
      <c r="I59" s="477"/>
      <c r="J59" s="477"/>
      <c r="K59" s="213"/>
      <c r="L59" s="478"/>
      <c r="M59" s="478"/>
      <c r="N59" s="478"/>
      <c r="O59" s="478"/>
      <c r="P59" s="478"/>
      <c r="Q59" s="478"/>
      <c r="R59" s="478"/>
      <c r="S59" s="478"/>
      <c r="T59" s="478"/>
      <c r="U59" s="478"/>
      <c r="V59" s="479"/>
      <c r="W59" s="478"/>
      <c r="X59" s="478"/>
      <c r="Y59" s="478"/>
      <c r="Z59" s="478">
        <v>2939</v>
      </c>
      <c r="AA59" s="478">
        <v>19918</v>
      </c>
      <c r="AB59" s="478"/>
      <c r="AC59" s="478"/>
      <c r="AD59" s="478"/>
      <c r="AE59" s="478"/>
      <c r="AF59" s="213"/>
      <c r="AG59" s="480"/>
      <c r="AH59" s="480"/>
      <c r="AI59" s="480"/>
      <c r="AJ59" s="480"/>
      <c r="AK59" s="480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480"/>
      <c r="BD59" s="480"/>
      <c r="BE59" s="213"/>
      <c r="BF59" s="479"/>
      <c r="BG59" s="479"/>
      <c r="BH59" s="370"/>
      <c r="BI59" s="472"/>
      <c r="BJ59" s="481"/>
      <c r="BK59" s="310"/>
      <c r="BL59" s="310">
        <f t="shared" si="0"/>
        <v>22857</v>
      </c>
      <c r="BM59" s="7"/>
    </row>
    <row r="60" spans="1:65" ht="20.25" customHeight="1">
      <c r="A60" s="503" t="s">
        <v>172</v>
      </c>
      <c r="B60" s="483" t="s">
        <v>173</v>
      </c>
      <c r="C60" s="484" t="s">
        <v>174</v>
      </c>
      <c r="D60" s="504" t="s">
        <v>171</v>
      </c>
      <c r="E60" s="477"/>
      <c r="F60" s="477"/>
      <c r="G60" s="477"/>
      <c r="H60" s="477"/>
      <c r="I60" s="477"/>
      <c r="J60" s="477"/>
      <c r="K60" s="213"/>
      <c r="L60" s="478"/>
      <c r="M60" s="478"/>
      <c r="N60" s="478"/>
      <c r="O60" s="478"/>
      <c r="P60" s="478"/>
      <c r="Q60" s="478"/>
      <c r="R60" s="478"/>
      <c r="S60" s="478"/>
      <c r="T60" s="478"/>
      <c r="U60" s="478"/>
      <c r="V60" s="479"/>
      <c r="W60" s="478"/>
      <c r="X60" s="478"/>
      <c r="Y60" s="478"/>
      <c r="Z60" s="478">
        <v>1423</v>
      </c>
      <c r="AA60" s="478"/>
      <c r="AB60" s="478"/>
      <c r="AC60" s="478"/>
      <c r="AD60" s="478"/>
      <c r="AE60" s="478"/>
      <c r="AF60" s="213"/>
      <c r="AG60" s="480"/>
      <c r="AH60" s="480"/>
      <c r="AI60" s="480"/>
      <c r="AJ60" s="480"/>
      <c r="AK60" s="480"/>
      <c r="AL60" s="480"/>
      <c r="AM60" s="480"/>
      <c r="AN60" s="480"/>
      <c r="AO60" s="480"/>
      <c r="AP60" s="480"/>
      <c r="AQ60" s="480"/>
      <c r="AR60" s="480"/>
      <c r="AS60" s="480"/>
      <c r="AT60" s="480"/>
      <c r="AU60" s="480"/>
      <c r="AV60" s="480"/>
      <c r="AW60" s="480"/>
      <c r="AX60" s="480"/>
      <c r="AY60" s="480"/>
      <c r="AZ60" s="480"/>
      <c r="BA60" s="480"/>
      <c r="BB60" s="480"/>
      <c r="BC60" s="480"/>
      <c r="BD60" s="480"/>
      <c r="BE60" s="213"/>
      <c r="BF60" s="479"/>
      <c r="BG60" s="479"/>
      <c r="BH60" s="370"/>
      <c r="BI60" s="472"/>
      <c r="BJ60" s="481"/>
      <c r="BK60" s="310"/>
      <c r="BL60" s="310">
        <f t="shared" si="0"/>
        <v>1423</v>
      </c>
      <c r="BM60" s="7"/>
    </row>
    <row r="61" spans="1:65" ht="20.25" customHeight="1">
      <c r="A61" s="503" t="s">
        <v>175</v>
      </c>
      <c r="B61" s="483" t="s">
        <v>176</v>
      </c>
      <c r="C61" s="484" t="s">
        <v>177</v>
      </c>
      <c r="D61" s="504" t="s">
        <v>171</v>
      </c>
      <c r="E61" s="477"/>
      <c r="F61" s="477"/>
      <c r="G61" s="477"/>
      <c r="H61" s="477"/>
      <c r="I61" s="477"/>
      <c r="J61" s="477"/>
      <c r="K61" s="213"/>
      <c r="L61" s="478"/>
      <c r="M61" s="478"/>
      <c r="N61" s="478"/>
      <c r="O61" s="478"/>
      <c r="P61" s="478"/>
      <c r="Q61" s="478"/>
      <c r="R61" s="478"/>
      <c r="S61" s="478"/>
      <c r="T61" s="478"/>
      <c r="U61" s="478"/>
      <c r="V61" s="479"/>
      <c r="W61" s="478"/>
      <c r="X61" s="478"/>
      <c r="Y61" s="478"/>
      <c r="Z61" s="478"/>
      <c r="AA61" s="478"/>
      <c r="AB61" s="478"/>
      <c r="AC61" s="478"/>
      <c r="AD61" s="478"/>
      <c r="AE61" s="478"/>
      <c r="AF61" s="213"/>
      <c r="AG61" s="480"/>
      <c r="AH61" s="480"/>
      <c r="AI61" s="480"/>
      <c r="AJ61" s="480"/>
      <c r="AK61" s="480"/>
      <c r="AL61" s="480"/>
      <c r="AM61" s="480"/>
      <c r="AN61" s="480"/>
      <c r="AO61" s="480"/>
      <c r="AP61" s="480"/>
      <c r="AQ61" s="480"/>
      <c r="AR61" s="480"/>
      <c r="AS61" s="480"/>
      <c r="AT61" s="480"/>
      <c r="AU61" s="480"/>
      <c r="AV61" s="480"/>
      <c r="AW61" s="480"/>
      <c r="AX61" s="480"/>
      <c r="AY61" s="480"/>
      <c r="AZ61" s="480"/>
      <c r="BA61" s="480"/>
      <c r="BB61" s="480"/>
      <c r="BC61" s="480"/>
      <c r="BD61" s="480"/>
      <c r="BE61" s="213"/>
      <c r="BF61" s="479"/>
      <c r="BG61" s="479"/>
      <c r="BH61" s="370"/>
      <c r="BI61" s="472"/>
      <c r="BJ61" s="481"/>
      <c r="BK61" s="310"/>
      <c r="BL61" s="310">
        <f t="shared" si="0"/>
        <v>0</v>
      </c>
      <c r="BM61" s="7"/>
    </row>
    <row r="62" spans="1:65" ht="20.25" customHeight="1">
      <c r="A62" s="486">
        <v>2.6</v>
      </c>
      <c r="B62" s="487" t="s">
        <v>178</v>
      </c>
      <c r="C62" s="497" t="s">
        <v>179</v>
      </c>
      <c r="D62" s="412" t="s">
        <v>132</v>
      </c>
      <c r="E62" s="477"/>
      <c r="F62" s="477"/>
      <c r="G62" s="477"/>
      <c r="H62" s="477"/>
      <c r="I62" s="477"/>
      <c r="J62" s="477"/>
      <c r="K62" s="213"/>
      <c r="L62" s="478"/>
      <c r="M62" s="478"/>
      <c r="N62" s="478"/>
      <c r="O62" s="478"/>
      <c r="P62" s="478"/>
      <c r="Q62" s="478"/>
      <c r="R62" s="478"/>
      <c r="S62" s="478"/>
      <c r="T62" s="478"/>
      <c r="U62" s="478"/>
      <c r="V62" s="479"/>
      <c r="W62" s="478"/>
      <c r="X62" s="478"/>
      <c r="Y62" s="478"/>
      <c r="Z62" s="478"/>
      <c r="AA62" s="478"/>
      <c r="AB62" s="478"/>
      <c r="AC62" s="478"/>
      <c r="AD62" s="478"/>
      <c r="AE62" s="478"/>
      <c r="AF62" s="213"/>
      <c r="AG62" s="480"/>
      <c r="AH62" s="480"/>
      <c r="AI62" s="480"/>
      <c r="AJ62" s="480"/>
      <c r="AK62" s="480"/>
      <c r="AL62" s="480"/>
      <c r="AM62" s="480"/>
      <c r="AN62" s="480"/>
      <c r="AO62" s="480"/>
      <c r="AP62" s="480"/>
      <c r="AQ62" s="480"/>
      <c r="AR62" s="480"/>
      <c r="AS62" s="480"/>
      <c r="AT62" s="480"/>
      <c r="AU62" s="480"/>
      <c r="AV62" s="480"/>
      <c r="AW62" s="480"/>
      <c r="AX62" s="480"/>
      <c r="AY62" s="480"/>
      <c r="AZ62" s="480"/>
      <c r="BA62" s="480"/>
      <c r="BB62" s="480"/>
      <c r="BC62" s="480"/>
      <c r="BD62" s="480"/>
      <c r="BE62" s="213"/>
      <c r="BF62" s="479"/>
      <c r="BG62" s="479"/>
      <c r="BH62" s="372"/>
      <c r="BI62" s="472"/>
      <c r="BJ62" s="481"/>
      <c r="BK62" s="310"/>
      <c r="BL62" s="310">
        <f t="shared" si="0"/>
        <v>0</v>
      </c>
      <c r="BM62" s="7"/>
    </row>
    <row r="63" spans="1:65" ht="20.25" customHeight="1">
      <c r="A63" s="486">
        <v>2.7</v>
      </c>
      <c r="B63" s="487" t="s">
        <v>181</v>
      </c>
      <c r="C63" s="488" t="s">
        <v>182</v>
      </c>
      <c r="D63" s="491" t="s">
        <v>183</v>
      </c>
      <c r="E63" s="477"/>
      <c r="F63" s="477"/>
      <c r="G63" s="477"/>
      <c r="H63" s="477"/>
      <c r="I63" s="477"/>
      <c r="J63" s="477"/>
      <c r="K63" s="213"/>
      <c r="L63" s="478"/>
      <c r="M63" s="478"/>
      <c r="N63" s="478"/>
      <c r="O63" s="478"/>
      <c r="P63" s="478"/>
      <c r="Q63" s="478"/>
      <c r="R63" s="478"/>
      <c r="S63" s="478"/>
      <c r="T63" s="478"/>
      <c r="U63" s="478"/>
      <c r="V63" s="479"/>
      <c r="W63" s="478"/>
      <c r="X63" s="478"/>
      <c r="Y63" s="478"/>
      <c r="Z63" s="478"/>
      <c r="AA63" s="478"/>
      <c r="AB63" s="478"/>
      <c r="AC63" s="478"/>
      <c r="AD63" s="478"/>
      <c r="AE63" s="478"/>
      <c r="AF63" s="213"/>
      <c r="AG63" s="480"/>
      <c r="AH63" s="480"/>
      <c r="AI63" s="480"/>
      <c r="AJ63" s="480"/>
      <c r="AK63" s="480"/>
      <c r="AL63" s="480"/>
      <c r="AM63" s="480"/>
      <c r="AN63" s="480"/>
      <c r="AO63" s="480"/>
      <c r="AP63" s="480"/>
      <c r="AQ63" s="480"/>
      <c r="AR63" s="480"/>
      <c r="AS63" s="480"/>
      <c r="AT63" s="480"/>
      <c r="AU63" s="480"/>
      <c r="AV63" s="480"/>
      <c r="AW63" s="480"/>
      <c r="AX63" s="480"/>
      <c r="AY63" s="480"/>
      <c r="AZ63" s="480"/>
      <c r="BA63" s="480"/>
      <c r="BB63" s="480"/>
      <c r="BC63" s="480"/>
      <c r="BD63" s="480"/>
      <c r="BE63" s="213"/>
      <c r="BF63" s="479"/>
      <c r="BG63" s="479"/>
      <c r="BH63" s="372"/>
      <c r="BI63" s="472"/>
      <c r="BJ63" s="481"/>
      <c r="BK63" s="310"/>
      <c r="BL63" s="310">
        <f t="shared" si="0"/>
        <v>0</v>
      </c>
      <c r="BM63" s="7"/>
    </row>
    <row r="64" spans="1:65" ht="24.75" customHeight="1">
      <c r="A64" s="489">
        <v>3</v>
      </c>
      <c r="B64" s="490" t="s">
        <v>187</v>
      </c>
      <c r="C64" s="490" t="s">
        <v>188</v>
      </c>
      <c r="D64" s="491" t="s">
        <v>183</v>
      </c>
      <c r="E64" s="477"/>
      <c r="F64" s="477"/>
      <c r="G64" s="477"/>
      <c r="H64" s="477"/>
      <c r="I64" s="477"/>
      <c r="J64" s="477"/>
      <c r="K64" s="213"/>
      <c r="L64" s="478"/>
      <c r="M64" s="478"/>
      <c r="N64" s="478"/>
      <c r="O64" s="478"/>
      <c r="P64" s="478"/>
      <c r="Q64" s="478"/>
      <c r="R64" s="478"/>
      <c r="S64" s="478"/>
      <c r="T64" s="478"/>
      <c r="U64" s="478"/>
      <c r="V64" s="479"/>
      <c r="W64" s="478"/>
      <c r="X64" s="478"/>
      <c r="Y64" s="478"/>
      <c r="Z64" s="478"/>
      <c r="AA64" s="478"/>
      <c r="AB64" s="478"/>
      <c r="AC64" s="478"/>
      <c r="AD64" s="478"/>
      <c r="AE64" s="478"/>
      <c r="AF64" s="213"/>
      <c r="AG64" s="480"/>
      <c r="AH64" s="480"/>
      <c r="AI64" s="480"/>
      <c r="AJ64" s="480"/>
      <c r="AK64" s="480"/>
      <c r="AL64" s="480"/>
      <c r="AM64" s="480"/>
      <c r="AN64" s="480"/>
      <c r="AO64" s="480"/>
      <c r="AP64" s="480"/>
      <c r="AQ64" s="480"/>
      <c r="AR64" s="480"/>
      <c r="AS64" s="480"/>
      <c r="AT64" s="480"/>
      <c r="AU64" s="480"/>
      <c r="AV64" s="480"/>
      <c r="AW64" s="480"/>
      <c r="AX64" s="480"/>
      <c r="AY64" s="480"/>
      <c r="AZ64" s="480"/>
      <c r="BA64" s="480"/>
      <c r="BB64" s="480"/>
      <c r="BC64" s="480"/>
      <c r="BD64" s="480"/>
      <c r="BE64" s="213"/>
      <c r="BF64" s="479"/>
      <c r="BG64" s="479"/>
      <c r="BH64" s="372"/>
      <c r="BI64" s="472"/>
      <c r="BJ64" s="481"/>
      <c r="BK64" s="310"/>
      <c r="BL64" s="310">
        <f t="shared" si="0"/>
        <v>0</v>
      </c>
      <c r="BM64" s="7"/>
    </row>
    <row r="65" spans="1:65" ht="19.5" customHeight="1">
      <c r="A65" s="486">
        <v>3.1</v>
      </c>
      <c r="B65" s="487" t="s">
        <v>192</v>
      </c>
      <c r="C65" s="488" t="s">
        <v>193</v>
      </c>
      <c r="D65" s="412" t="s">
        <v>194</v>
      </c>
      <c r="E65" s="477"/>
      <c r="F65" s="477"/>
      <c r="G65" s="477"/>
      <c r="H65" s="477"/>
      <c r="I65" s="477"/>
      <c r="J65" s="477">
        <v>10</v>
      </c>
      <c r="K65" s="213"/>
      <c r="L65" s="478"/>
      <c r="M65" s="478"/>
      <c r="N65" s="478"/>
      <c r="O65" s="478"/>
      <c r="P65" s="478"/>
      <c r="Q65" s="478"/>
      <c r="R65" s="478"/>
      <c r="S65" s="478">
        <v>5</v>
      </c>
      <c r="T65" s="478"/>
      <c r="U65" s="478">
        <v>6</v>
      </c>
      <c r="V65" s="479"/>
      <c r="W65" s="478"/>
      <c r="X65" s="478"/>
      <c r="Y65" s="478">
        <v>14</v>
      </c>
      <c r="Z65" s="478"/>
      <c r="AA65" s="478">
        <v>11</v>
      </c>
      <c r="AB65" s="478">
        <v>31</v>
      </c>
      <c r="AC65" s="478">
        <v>25</v>
      </c>
      <c r="AD65" s="478"/>
      <c r="AE65" s="478"/>
      <c r="AF65" s="213"/>
      <c r="AG65" s="480"/>
      <c r="AH65" s="480"/>
      <c r="AI65" s="480"/>
      <c r="AJ65" s="480"/>
      <c r="AK65" s="480"/>
      <c r="AL65" s="480"/>
      <c r="AM65" s="480"/>
      <c r="AN65" s="480"/>
      <c r="AO65" s="480"/>
      <c r="AP65" s="480"/>
      <c r="AQ65" s="480"/>
      <c r="AR65" s="480"/>
      <c r="AS65" s="480"/>
      <c r="AT65" s="480"/>
      <c r="AU65" s="480"/>
      <c r="AV65" s="480"/>
      <c r="AW65" s="480"/>
      <c r="AX65" s="480"/>
      <c r="AY65" s="480"/>
      <c r="AZ65" s="480"/>
      <c r="BA65" s="480"/>
      <c r="BB65" s="480"/>
      <c r="BC65" s="480"/>
      <c r="BD65" s="480"/>
      <c r="BE65" s="213"/>
      <c r="BF65" s="479"/>
      <c r="BG65" s="479"/>
      <c r="BH65" s="372"/>
      <c r="BI65" s="472"/>
      <c r="BJ65" s="481"/>
      <c r="BK65" s="310"/>
      <c r="BL65" s="310">
        <f t="shared" si="0"/>
        <v>102</v>
      </c>
      <c r="BM65" s="7"/>
    </row>
    <row r="66" spans="1:65" ht="47.25" customHeight="1">
      <c r="A66" s="486">
        <v>3.2</v>
      </c>
      <c r="B66" s="505" t="s">
        <v>190</v>
      </c>
      <c r="C66" s="488" t="s">
        <v>191</v>
      </c>
      <c r="D66" s="412" t="s">
        <v>132</v>
      </c>
      <c r="E66" s="477"/>
      <c r="F66" s="477"/>
      <c r="G66" s="477"/>
      <c r="H66" s="477"/>
      <c r="I66" s="477"/>
      <c r="J66" s="477"/>
      <c r="K66" s="213"/>
      <c r="L66" s="478"/>
      <c r="M66" s="478"/>
      <c r="N66" s="478"/>
      <c r="O66" s="478"/>
      <c r="P66" s="478"/>
      <c r="Q66" s="478"/>
      <c r="R66" s="478"/>
      <c r="S66" s="478"/>
      <c r="T66" s="478"/>
      <c r="U66" s="478"/>
      <c r="V66" s="479"/>
      <c r="W66" s="478"/>
      <c r="X66" s="478"/>
      <c r="Y66" s="478"/>
      <c r="Z66" s="478"/>
      <c r="AA66" s="478"/>
      <c r="AB66" s="478"/>
      <c r="AC66" s="478"/>
      <c r="AD66" s="478"/>
      <c r="AE66" s="478"/>
      <c r="AF66" s="213"/>
      <c r="AG66" s="480"/>
      <c r="AH66" s="480"/>
      <c r="AI66" s="480"/>
      <c r="AJ66" s="480"/>
      <c r="AK66" s="480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480"/>
      <c r="BD66" s="480"/>
      <c r="BE66" s="213"/>
      <c r="BF66" s="479"/>
      <c r="BG66" s="479"/>
      <c r="BH66" s="372"/>
      <c r="BI66" s="472"/>
      <c r="BJ66" s="481"/>
      <c r="BK66" s="310"/>
      <c r="BL66" s="310">
        <f t="shared" si="0"/>
        <v>0</v>
      </c>
      <c r="BM66" s="7"/>
    </row>
    <row r="67" spans="1:65" ht="20.25" customHeight="1">
      <c r="A67" s="482" t="s">
        <v>196</v>
      </c>
      <c r="B67" s="483" t="s">
        <v>197</v>
      </c>
      <c r="C67" s="484" t="s">
        <v>131</v>
      </c>
      <c r="D67" s="485" t="s">
        <v>132</v>
      </c>
      <c r="E67" s="477"/>
      <c r="F67" s="477"/>
      <c r="G67" s="477"/>
      <c r="H67" s="477"/>
      <c r="I67" s="477"/>
      <c r="J67" s="477"/>
      <c r="K67" s="213"/>
      <c r="L67" s="478"/>
      <c r="M67" s="478"/>
      <c r="N67" s="478"/>
      <c r="O67" s="478"/>
      <c r="P67" s="478"/>
      <c r="Q67" s="478"/>
      <c r="R67" s="478"/>
      <c r="S67" s="478"/>
      <c r="T67" s="478"/>
      <c r="U67" s="478"/>
      <c r="V67" s="479"/>
      <c r="W67" s="478"/>
      <c r="X67" s="478"/>
      <c r="Y67" s="478"/>
      <c r="Z67" s="478"/>
      <c r="AA67" s="478"/>
      <c r="AB67" s="478"/>
      <c r="AC67" s="478"/>
      <c r="AD67" s="478"/>
      <c r="AE67" s="478"/>
      <c r="AF67" s="213"/>
      <c r="AG67" s="480"/>
      <c r="AH67" s="480"/>
      <c r="AI67" s="480"/>
      <c r="AJ67" s="480"/>
      <c r="AK67" s="480"/>
      <c r="AL67" s="480"/>
      <c r="AM67" s="480"/>
      <c r="AN67" s="480"/>
      <c r="AO67" s="480"/>
      <c r="AP67" s="480"/>
      <c r="AQ67" s="480"/>
      <c r="AR67" s="480"/>
      <c r="AS67" s="480"/>
      <c r="AT67" s="480"/>
      <c r="AU67" s="480"/>
      <c r="AV67" s="480"/>
      <c r="AW67" s="480"/>
      <c r="AX67" s="480"/>
      <c r="AY67" s="480"/>
      <c r="AZ67" s="480"/>
      <c r="BA67" s="480"/>
      <c r="BB67" s="480"/>
      <c r="BC67" s="480"/>
      <c r="BD67" s="480"/>
      <c r="BE67" s="213"/>
      <c r="BF67" s="479"/>
      <c r="BG67" s="479"/>
      <c r="BH67" s="370"/>
      <c r="BI67" s="472"/>
      <c r="BJ67" s="481"/>
      <c r="BK67" s="310"/>
      <c r="BL67" s="310">
        <f t="shared" si="0"/>
        <v>0</v>
      </c>
      <c r="BM67" s="7"/>
    </row>
    <row r="68" spans="1:65" ht="20.25" customHeight="1">
      <c r="A68" s="482" t="s">
        <v>198</v>
      </c>
      <c r="B68" s="483" t="s">
        <v>199</v>
      </c>
      <c r="C68" s="484" t="s">
        <v>200</v>
      </c>
      <c r="D68" s="485" t="s">
        <v>132</v>
      </c>
      <c r="E68" s="477"/>
      <c r="F68" s="477"/>
      <c r="G68" s="477"/>
      <c r="H68" s="477"/>
      <c r="I68" s="477"/>
      <c r="J68" s="477"/>
      <c r="K68" s="213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9"/>
      <c r="W68" s="478"/>
      <c r="X68" s="478"/>
      <c r="Y68" s="478"/>
      <c r="Z68" s="478"/>
      <c r="AA68" s="478"/>
      <c r="AB68" s="478"/>
      <c r="AC68" s="478"/>
      <c r="AD68" s="478"/>
      <c r="AE68" s="478"/>
      <c r="AF68" s="213"/>
      <c r="AG68" s="480"/>
      <c r="AH68" s="480"/>
      <c r="AI68" s="480"/>
      <c r="AJ68" s="480"/>
      <c r="AK68" s="480"/>
      <c r="AL68" s="480"/>
      <c r="AM68" s="480"/>
      <c r="AN68" s="480"/>
      <c r="AO68" s="480"/>
      <c r="AP68" s="480"/>
      <c r="AQ68" s="480"/>
      <c r="AR68" s="480"/>
      <c r="AS68" s="480"/>
      <c r="AT68" s="480"/>
      <c r="AU68" s="480"/>
      <c r="AV68" s="480"/>
      <c r="AW68" s="480"/>
      <c r="AX68" s="480"/>
      <c r="AY68" s="480"/>
      <c r="AZ68" s="480"/>
      <c r="BA68" s="480"/>
      <c r="BB68" s="480"/>
      <c r="BC68" s="480"/>
      <c r="BD68" s="480"/>
      <c r="BE68" s="213"/>
      <c r="BF68" s="479"/>
      <c r="BG68" s="479"/>
      <c r="BH68" s="370"/>
      <c r="BI68" s="472"/>
      <c r="BJ68" s="481"/>
      <c r="BK68" s="310"/>
      <c r="BL68" s="310">
        <f t="shared" si="0"/>
        <v>0</v>
      </c>
      <c r="BM68" s="7"/>
    </row>
    <row r="69" spans="1:65" ht="20.25" customHeight="1">
      <c r="A69" s="482" t="s">
        <v>201</v>
      </c>
      <c r="B69" s="483" t="s">
        <v>202</v>
      </c>
      <c r="C69" s="484" t="s">
        <v>203</v>
      </c>
      <c r="D69" s="485" t="s">
        <v>132</v>
      </c>
      <c r="E69" s="477"/>
      <c r="F69" s="477"/>
      <c r="G69" s="477"/>
      <c r="H69" s="477"/>
      <c r="I69" s="477"/>
      <c r="J69" s="477"/>
      <c r="K69" s="213"/>
      <c r="L69" s="478"/>
      <c r="M69" s="478"/>
      <c r="N69" s="478"/>
      <c r="O69" s="478"/>
      <c r="P69" s="478"/>
      <c r="Q69" s="478"/>
      <c r="R69" s="478"/>
      <c r="S69" s="478"/>
      <c r="T69" s="478"/>
      <c r="U69" s="478"/>
      <c r="V69" s="479"/>
      <c r="W69" s="478"/>
      <c r="X69" s="478"/>
      <c r="Y69" s="478"/>
      <c r="Z69" s="478"/>
      <c r="AA69" s="478"/>
      <c r="AB69" s="478"/>
      <c r="AC69" s="478"/>
      <c r="AD69" s="478"/>
      <c r="AE69" s="478"/>
      <c r="AF69" s="213"/>
      <c r="AG69" s="480"/>
      <c r="AH69" s="480"/>
      <c r="AI69" s="480"/>
      <c r="AJ69" s="480"/>
      <c r="AK69" s="480"/>
      <c r="AL69" s="480"/>
      <c r="AM69" s="480"/>
      <c r="AN69" s="480"/>
      <c r="AO69" s="480"/>
      <c r="AP69" s="480"/>
      <c r="AQ69" s="480"/>
      <c r="AR69" s="480"/>
      <c r="AS69" s="480"/>
      <c r="AT69" s="480"/>
      <c r="AU69" s="480"/>
      <c r="AV69" s="480"/>
      <c r="AW69" s="480"/>
      <c r="AX69" s="480"/>
      <c r="AY69" s="480"/>
      <c r="AZ69" s="480"/>
      <c r="BA69" s="480"/>
      <c r="BB69" s="480"/>
      <c r="BC69" s="480"/>
      <c r="BD69" s="480"/>
      <c r="BE69" s="213"/>
      <c r="BF69" s="479"/>
      <c r="BG69" s="479"/>
      <c r="BH69" s="370"/>
      <c r="BI69" s="472"/>
      <c r="BJ69" s="481"/>
      <c r="BK69" s="310"/>
      <c r="BL69" s="310">
        <f t="shared" si="0"/>
        <v>0</v>
      </c>
      <c r="BM69" s="7"/>
    </row>
    <row r="70" spans="1:65" ht="20.25" customHeight="1">
      <c r="A70" s="482" t="s">
        <v>204</v>
      </c>
      <c r="B70" s="483" t="s">
        <v>205</v>
      </c>
      <c r="C70" s="484" t="s">
        <v>159</v>
      </c>
      <c r="D70" s="485" t="s">
        <v>132</v>
      </c>
      <c r="E70" s="477"/>
      <c r="F70" s="477"/>
      <c r="G70" s="477"/>
      <c r="H70" s="477"/>
      <c r="I70" s="477"/>
      <c r="J70" s="477"/>
      <c r="K70" s="213"/>
      <c r="L70" s="478"/>
      <c r="M70" s="478"/>
      <c r="N70" s="478"/>
      <c r="O70" s="478"/>
      <c r="P70" s="478"/>
      <c r="Q70" s="478"/>
      <c r="R70" s="478"/>
      <c r="S70" s="478"/>
      <c r="T70" s="478"/>
      <c r="U70" s="478"/>
      <c r="V70" s="479"/>
      <c r="W70" s="478"/>
      <c r="X70" s="478"/>
      <c r="Y70" s="478"/>
      <c r="Z70" s="478"/>
      <c r="AA70" s="478"/>
      <c r="AB70" s="478"/>
      <c r="AC70" s="478"/>
      <c r="AD70" s="478"/>
      <c r="AE70" s="478"/>
      <c r="AF70" s="213"/>
      <c r="AG70" s="480"/>
      <c r="AH70" s="480"/>
      <c r="AI70" s="480"/>
      <c r="AJ70" s="480"/>
      <c r="AK70" s="480"/>
      <c r="AL70" s="480"/>
      <c r="AM70" s="480"/>
      <c r="AN70" s="480"/>
      <c r="AO70" s="480"/>
      <c r="AP70" s="480"/>
      <c r="AQ70" s="480"/>
      <c r="AR70" s="480"/>
      <c r="AS70" s="480"/>
      <c r="AT70" s="480"/>
      <c r="AU70" s="480"/>
      <c r="AV70" s="480"/>
      <c r="AW70" s="480"/>
      <c r="AX70" s="480"/>
      <c r="AY70" s="480"/>
      <c r="AZ70" s="480"/>
      <c r="BA70" s="480"/>
      <c r="BB70" s="480"/>
      <c r="BC70" s="480"/>
      <c r="BD70" s="480"/>
      <c r="BE70" s="213"/>
      <c r="BF70" s="479"/>
      <c r="BG70" s="479"/>
      <c r="BH70" s="370"/>
      <c r="BI70" s="472"/>
      <c r="BJ70" s="481"/>
      <c r="BK70" s="310"/>
      <c r="BL70" s="310">
        <f t="shared" si="0"/>
        <v>0</v>
      </c>
      <c r="BM70" s="7"/>
    </row>
    <row r="71" spans="1:65" ht="63" customHeight="1">
      <c r="A71" s="486">
        <v>3.3</v>
      </c>
      <c r="B71" s="487" t="s">
        <v>206</v>
      </c>
      <c r="C71" s="488" t="s">
        <v>207</v>
      </c>
      <c r="D71" s="412" t="s">
        <v>132</v>
      </c>
      <c r="E71" s="477"/>
      <c r="F71" s="477"/>
      <c r="G71" s="477"/>
      <c r="H71" s="477"/>
      <c r="I71" s="477"/>
      <c r="J71" s="477"/>
      <c r="K71" s="213"/>
      <c r="L71" s="478"/>
      <c r="M71" s="478"/>
      <c r="N71" s="478"/>
      <c r="O71" s="478"/>
      <c r="P71" s="478"/>
      <c r="Q71" s="478"/>
      <c r="R71" s="478"/>
      <c r="S71" s="478"/>
      <c r="T71" s="478"/>
      <c r="U71" s="478"/>
      <c r="V71" s="479"/>
      <c r="W71" s="478"/>
      <c r="X71" s="478"/>
      <c r="Y71" s="478"/>
      <c r="Z71" s="478"/>
      <c r="AA71" s="478"/>
      <c r="AB71" s="478"/>
      <c r="AC71" s="478"/>
      <c r="AD71" s="478"/>
      <c r="AE71" s="478"/>
      <c r="AF71" s="213"/>
      <c r="AG71" s="480"/>
      <c r="AH71" s="480"/>
      <c r="AI71" s="480"/>
      <c r="AJ71" s="480"/>
      <c r="AK71" s="480"/>
      <c r="AL71" s="480"/>
      <c r="AM71" s="480"/>
      <c r="AN71" s="480"/>
      <c r="AO71" s="480"/>
      <c r="AP71" s="480"/>
      <c r="AQ71" s="480"/>
      <c r="AR71" s="480"/>
      <c r="AS71" s="480"/>
      <c r="AT71" s="480"/>
      <c r="AU71" s="480"/>
      <c r="AV71" s="480"/>
      <c r="AW71" s="480"/>
      <c r="AX71" s="480"/>
      <c r="AY71" s="480"/>
      <c r="AZ71" s="480"/>
      <c r="BA71" s="480"/>
      <c r="BB71" s="480"/>
      <c r="BC71" s="480"/>
      <c r="BD71" s="480"/>
      <c r="BE71" s="213"/>
      <c r="BF71" s="479"/>
      <c r="BG71" s="479"/>
      <c r="BH71" s="370"/>
      <c r="BI71" s="472"/>
      <c r="BJ71" s="481"/>
      <c r="BK71" s="310"/>
      <c r="BL71" s="310">
        <f t="shared" si="0"/>
        <v>0</v>
      </c>
      <c r="BM71" s="7"/>
    </row>
    <row r="72" spans="1:65" ht="20.25" customHeight="1">
      <c r="A72" s="503" t="s">
        <v>208</v>
      </c>
      <c r="B72" s="483" t="s">
        <v>209</v>
      </c>
      <c r="C72" s="484" t="s">
        <v>170</v>
      </c>
      <c r="D72" s="504" t="s">
        <v>132</v>
      </c>
      <c r="E72" s="477"/>
      <c r="F72" s="477"/>
      <c r="G72" s="477"/>
      <c r="H72" s="477"/>
      <c r="I72" s="477"/>
      <c r="J72" s="477"/>
      <c r="K72" s="213"/>
      <c r="L72" s="478"/>
      <c r="M72" s="478"/>
      <c r="N72" s="478"/>
      <c r="O72" s="478"/>
      <c r="P72" s="478"/>
      <c r="Q72" s="478"/>
      <c r="R72" s="478"/>
      <c r="S72" s="478"/>
      <c r="T72" s="478"/>
      <c r="U72" s="478"/>
      <c r="V72" s="479"/>
      <c r="W72" s="478"/>
      <c r="X72" s="478"/>
      <c r="Y72" s="478"/>
      <c r="Z72" s="478"/>
      <c r="AA72" s="478"/>
      <c r="AB72" s="478"/>
      <c r="AC72" s="478"/>
      <c r="AD72" s="478"/>
      <c r="AE72" s="478"/>
      <c r="AF72" s="213"/>
      <c r="AG72" s="480"/>
      <c r="AH72" s="480"/>
      <c r="AI72" s="480"/>
      <c r="AJ72" s="480"/>
      <c r="AK72" s="480"/>
      <c r="AL72" s="480"/>
      <c r="AM72" s="480"/>
      <c r="AN72" s="480"/>
      <c r="AO72" s="480"/>
      <c r="AP72" s="480"/>
      <c r="AQ72" s="480"/>
      <c r="AR72" s="480"/>
      <c r="AS72" s="480"/>
      <c r="AT72" s="480"/>
      <c r="AU72" s="480"/>
      <c r="AV72" s="480"/>
      <c r="AW72" s="480"/>
      <c r="AX72" s="480"/>
      <c r="AY72" s="480"/>
      <c r="AZ72" s="480"/>
      <c r="BA72" s="480"/>
      <c r="BB72" s="480"/>
      <c r="BC72" s="480"/>
      <c r="BD72" s="480"/>
      <c r="BE72" s="213"/>
      <c r="BF72" s="479"/>
      <c r="BG72" s="479"/>
      <c r="BH72" s="370"/>
      <c r="BI72" s="472"/>
      <c r="BJ72" s="481"/>
      <c r="BK72" s="310"/>
      <c r="BL72" s="310">
        <f t="shared" si="0"/>
        <v>0</v>
      </c>
      <c r="BM72" s="7"/>
    </row>
    <row r="73" spans="1:65" ht="20.25" customHeight="1">
      <c r="A73" s="503" t="s">
        <v>210</v>
      </c>
      <c r="B73" s="483" t="s">
        <v>211</v>
      </c>
      <c r="C73" s="484" t="s">
        <v>174</v>
      </c>
      <c r="D73" s="504" t="s">
        <v>132</v>
      </c>
      <c r="E73" s="477"/>
      <c r="F73" s="477"/>
      <c r="G73" s="477"/>
      <c r="H73" s="477"/>
      <c r="I73" s="477"/>
      <c r="J73" s="477"/>
      <c r="K73" s="213"/>
      <c r="L73" s="478"/>
      <c r="M73" s="478"/>
      <c r="N73" s="478"/>
      <c r="O73" s="478"/>
      <c r="P73" s="478"/>
      <c r="Q73" s="478"/>
      <c r="R73" s="478"/>
      <c r="S73" s="478"/>
      <c r="T73" s="478"/>
      <c r="U73" s="478"/>
      <c r="V73" s="479"/>
      <c r="W73" s="478"/>
      <c r="X73" s="478"/>
      <c r="Y73" s="478"/>
      <c r="Z73" s="478"/>
      <c r="AA73" s="478"/>
      <c r="AB73" s="478"/>
      <c r="AC73" s="478"/>
      <c r="AD73" s="478"/>
      <c r="AE73" s="478"/>
      <c r="AF73" s="213"/>
      <c r="AG73" s="480"/>
      <c r="AH73" s="480"/>
      <c r="AI73" s="480"/>
      <c r="AJ73" s="480"/>
      <c r="AK73" s="480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480"/>
      <c r="BD73" s="480"/>
      <c r="BE73" s="213"/>
      <c r="BF73" s="479"/>
      <c r="BG73" s="479"/>
      <c r="BH73" s="370"/>
      <c r="BI73" s="472"/>
      <c r="BJ73" s="481"/>
      <c r="BK73" s="310"/>
      <c r="BL73" s="310">
        <f t="shared" si="0"/>
        <v>0</v>
      </c>
      <c r="BM73" s="7"/>
    </row>
    <row r="74" spans="1:65" ht="20.25" customHeight="1">
      <c r="A74" s="503" t="s">
        <v>212</v>
      </c>
      <c r="B74" s="483" t="s">
        <v>213</v>
      </c>
      <c r="C74" s="484" t="s">
        <v>177</v>
      </c>
      <c r="D74" s="504" t="s">
        <v>132</v>
      </c>
      <c r="E74" s="477"/>
      <c r="F74" s="477"/>
      <c r="G74" s="477"/>
      <c r="H74" s="477"/>
      <c r="I74" s="477"/>
      <c r="J74" s="477"/>
      <c r="K74" s="213"/>
      <c r="L74" s="478"/>
      <c r="M74" s="478"/>
      <c r="N74" s="478"/>
      <c r="O74" s="478"/>
      <c r="P74" s="478"/>
      <c r="Q74" s="478"/>
      <c r="R74" s="478"/>
      <c r="S74" s="478"/>
      <c r="T74" s="478"/>
      <c r="U74" s="478"/>
      <c r="V74" s="479"/>
      <c r="W74" s="478"/>
      <c r="X74" s="478"/>
      <c r="Y74" s="478"/>
      <c r="Z74" s="478"/>
      <c r="AA74" s="478"/>
      <c r="AB74" s="478"/>
      <c r="AC74" s="478"/>
      <c r="AD74" s="478"/>
      <c r="AE74" s="478"/>
      <c r="AF74" s="213"/>
      <c r="AG74" s="480"/>
      <c r="AH74" s="480"/>
      <c r="AI74" s="480"/>
      <c r="AJ74" s="480"/>
      <c r="AK74" s="480"/>
      <c r="AL74" s="480"/>
      <c r="AM74" s="480"/>
      <c r="AN74" s="480"/>
      <c r="AO74" s="480"/>
      <c r="AP74" s="480"/>
      <c r="AQ74" s="480"/>
      <c r="AR74" s="480"/>
      <c r="AS74" s="480"/>
      <c r="AT74" s="480"/>
      <c r="AU74" s="480"/>
      <c r="AV74" s="480"/>
      <c r="AW74" s="480"/>
      <c r="AX74" s="480"/>
      <c r="AY74" s="480"/>
      <c r="AZ74" s="480"/>
      <c r="BA74" s="480"/>
      <c r="BB74" s="480"/>
      <c r="BC74" s="480"/>
      <c r="BD74" s="480"/>
      <c r="BE74" s="213"/>
      <c r="BF74" s="479"/>
      <c r="BG74" s="479"/>
      <c r="BH74" s="370"/>
      <c r="BI74" s="472"/>
      <c r="BJ74" s="481"/>
      <c r="BK74" s="310"/>
      <c r="BL74" s="310">
        <f t="shared" si="0"/>
        <v>0</v>
      </c>
      <c r="BM74" s="7"/>
    </row>
    <row r="75" spans="1:65" ht="20.25" customHeight="1">
      <c r="A75" s="486">
        <v>3.4</v>
      </c>
      <c r="B75" s="487" t="s">
        <v>214</v>
      </c>
      <c r="C75" s="488" t="s">
        <v>215</v>
      </c>
      <c r="D75" s="491" t="s">
        <v>183</v>
      </c>
      <c r="E75" s="477"/>
      <c r="F75" s="477"/>
      <c r="G75" s="477"/>
      <c r="H75" s="477"/>
      <c r="I75" s="477"/>
      <c r="J75" s="477"/>
      <c r="K75" s="213"/>
      <c r="L75" s="478"/>
      <c r="M75" s="478"/>
      <c r="N75" s="478"/>
      <c r="O75" s="478"/>
      <c r="P75" s="478"/>
      <c r="Q75" s="478"/>
      <c r="R75" s="478"/>
      <c r="S75" s="478"/>
      <c r="T75" s="478"/>
      <c r="U75" s="478"/>
      <c r="V75" s="479"/>
      <c r="W75" s="478"/>
      <c r="X75" s="478"/>
      <c r="Y75" s="478"/>
      <c r="Z75" s="478"/>
      <c r="AA75" s="478"/>
      <c r="AB75" s="478"/>
      <c r="AC75" s="478"/>
      <c r="AD75" s="478"/>
      <c r="AE75" s="478"/>
      <c r="AF75" s="213"/>
      <c r="AG75" s="480"/>
      <c r="AH75" s="480"/>
      <c r="AI75" s="480"/>
      <c r="AJ75" s="480"/>
      <c r="AK75" s="480"/>
      <c r="AL75" s="480"/>
      <c r="AM75" s="480"/>
      <c r="AN75" s="480"/>
      <c r="AO75" s="480"/>
      <c r="AP75" s="480"/>
      <c r="AQ75" s="480"/>
      <c r="AR75" s="480"/>
      <c r="AS75" s="480"/>
      <c r="AT75" s="480"/>
      <c r="AU75" s="480"/>
      <c r="AV75" s="480"/>
      <c r="AW75" s="480"/>
      <c r="AX75" s="480"/>
      <c r="AY75" s="480"/>
      <c r="AZ75" s="480"/>
      <c r="BA75" s="480"/>
      <c r="BB75" s="480"/>
      <c r="BC75" s="480"/>
      <c r="BD75" s="480"/>
      <c r="BE75" s="213"/>
      <c r="BF75" s="479"/>
      <c r="BG75" s="479"/>
      <c r="BH75" s="370"/>
      <c r="BI75" s="472"/>
      <c r="BJ75" s="481"/>
      <c r="BK75" s="310"/>
      <c r="BL75" s="310">
        <f t="shared" si="0"/>
        <v>0</v>
      </c>
      <c r="BM75" s="7"/>
    </row>
    <row r="76" spans="1:65" ht="24" customHeight="1">
      <c r="A76" s="486">
        <v>3.5</v>
      </c>
      <c r="B76" s="487" t="s">
        <v>216</v>
      </c>
      <c r="C76" s="488" t="s">
        <v>217</v>
      </c>
      <c r="D76" s="491" t="s">
        <v>183</v>
      </c>
      <c r="E76" s="477"/>
      <c r="F76" s="477"/>
      <c r="G76" s="477"/>
      <c r="H76" s="477"/>
      <c r="I76" s="477"/>
      <c r="J76" s="477"/>
      <c r="K76" s="213"/>
      <c r="L76" s="478"/>
      <c r="M76" s="478"/>
      <c r="N76" s="478"/>
      <c r="O76" s="478"/>
      <c r="P76" s="478"/>
      <c r="Q76" s="478"/>
      <c r="R76" s="478"/>
      <c r="S76" s="478"/>
      <c r="T76" s="478"/>
      <c r="U76" s="478"/>
      <c r="V76" s="479"/>
      <c r="W76" s="478"/>
      <c r="X76" s="478" t="s">
        <v>1454</v>
      </c>
      <c r="Y76" s="478"/>
      <c r="Z76" s="478"/>
      <c r="AA76" s="478"/>
      <c r="AB76" s="478"/>
      <c r="AC76" s="478"/>
      <c r="AD76" s="478"/>
      <c r="AE76" s="478"/>
      <c r="AF76" s="213"/>
      <c r="AG76" s="480"/>
      <c r="AH76" s="480"/>
      <c r="AI76" s="480"/>
      <c r="AJ76" s="480"/>
      <c r="AK76" s="480"/>
      <c r="AL76" s="480"/>
      <c r="AM76" s="480"/>
      <c r="AN76" s="480"/>
      <c r="AO76" s="480"/>
      <c r="AP76" s="480"/>
      <c r="AQ76" s="480"/>
      <c r="AR76" s="480"/>
      <c r="AS76" s="480"/>
      <c r="AT76" s="480"/>
      <c r="AU76" s="480"/>
      <c r="AV76" s="480"/>
      <c r="AW76" s="480"/>
      <c r="AX76" s="480"/>
      <c r="AY76" s="480"/>
      <c r="AZ76" s="480"/>
      <c r="BA76" s="480"/>
      <c r="BB76" s="480"/>
      <c r="BC76" s="480"/>
      <c r="BD76" s="480"/>
      <c r="BE76" s="213"/>
      <c r="BF76" s="479"/>
      <c r="BG76" s="479"/>
      <c r="BH76" s="372"/>
      <c r="BI76" s="472"/>
      <c r="BJ76" s="481"/>
      <c r="BK76" s="310"/>
      <c r="BL76" s="310">
        <f t="shared" si="0"/>
        <v>0</v>
      </c>
      <c r="BM76" s="7"/>
    </row>
    <row r="77" spans="1:65" ht="24" customHeight="1">
      <c r="A77" s="489">
        <v>4</v>
      </c>
      <c r="B77" s="490" t="s">
        <v>218</v>
      </c>
      <c r="C77" s="490" t="s">
        <v>219</v>
      </c>
      <c r="D77" s="491" t="s">
        <v>183</v>
      </c>
      <c r="E77" s="477"/>
      <c r="F77" s="477"/>
      <c r="G77" s="477"/>
      <c r="H77" s="477"/>
      <c r="I77" s="477"/>
      <c r="J77" s="477"/>
      <c r="K77" s="213"/>
      <c r="L77" s="478"/>
      <c r="M77" s="478"/>
      <c r="N77" s="478"/>
      <c r="O77" s="478"/>
      <c r="P77" s="478"/>
      <c r="Q77" s="478"/>
      <c r="R77" s="478"/>
      <c r="S77" s="478"/>
      <c r="T77" s="478"/>
      <c r="U77" s="478"/>
      <c r="V77" s="479"/>
      <c r="W77" s="478"/>
      <c r="X77" s="478"/>
      <c r="Y77" s="478"/>
      <c r="Z77" s="478"/>
      <c r="AA77" s="478"/>
      <c r="AB77" s="478"/>
      <c r="AC77" s="478"/>
      <c r="AD77" s="478"/>
      <c r="AE77" s="478"/>
      <c r="AF77" s="213"/>
      <c r="AG77" s="480"/>
      <c r="AH77" s="480"/>
      <c r="AI77" s="480"/>
      <c r="AJ77" s="480"/>
      <c r="AK77" s="480"/>
      <c r="AL77" s="480"/>
      <c r="AM77" s="480"/>
      <c r="AN77" s="480"/>
      <c r="AO77" s="480"/>
      <c r="AP77" s="480"/>
      <c r="AQ77" s="480"/>
      <c r="AR77" s="480"/>
      <c r="AS77" s="480"/>
      <c r="AT77" s="480"/>
      <c r="AU77" s="480"/>
      <c r="AV77" s="480"/>
      <c r="AW77" s="480"/>
      <c r="AX77" s="480"/>
      <c r="AY77" s="480"/>
      <c r="AZ77" s="480"/>
      <c r="BA77" s="480"/>
      <c r="BB77" s="480"/>
      <c r="BC77" s="480"/>
      <c r="BD77" s="480"/>
      <c r="BE77" s="213"/>
      <c r="BF77" s="479"/>
      <c r="BG77" s="479"/>
      <c r="BH77" s="372"/>
      <c r="BI77" s="472"/>
      <c r="BJ77" s="481"/>
      <c r="BK77" s="310"/>
      <c r="BL77" s="310">
        <f t="shared" si="0"/>
        <v>0</v>
      </c>
      <c r="BM77" s="7"/>
    </row>
    <row r="78" spans="1:65" ht="22.5" customHeight="1">
      <c r="A78" s="486">
        <v>4.0999999999999996</v>
      </c>
      <c r="B78" s="506" t="s">
        <v>221</v>
      </c>
      <c r="C78" s="488" t="s">
        <v>222</v>
      </c>
      <c r="D78" s="507" t="s">
        <v>132</v>
      </c>
      <c r="E78" s="477"/>
      <c r="F78" s="477"/>
      <c r="G78" s="477"/>
      <c r="H78" s="477"/>
      <c r="I78" s="477"/>
      <c r="J78" s="477"/>
      <c r="K78" s="213"/>
      <c r="L78" s="478"/>
      <c r="M78" s="478"/>
      <c r="N78" s="478"/>
      <c r="O78" s="478"/>
      <c r="P78" s="478"/>
      <c r="Q78" s="478"/>
      <c r="R78" s="478"/>
      <c r="S78" s="478"/>
      <c r="T78" s="478"/>
      <c r="U78" s="478"/>
      <c r="V78" s="479"/>
      <c r="W78" s="478"/>
      <c r="X78" s="478"/>
      <c r="Y78" s="478"/>
      <c r="Z78" s="478"/>
      <c r="AA78" s="478"/>
      <c r="AB78" s="478"/>
      <c r="AC78" s="478"/>
      <c r="AD78" s="478"/>
      <c r="AE78" s="478"/>
      <c r="AF78" s="213"/>
      <c r="AG78" s="480"/>
      <c r="AH78" s="480"/>
      <c r="AI78" s="480"/>
      <c r="AJ78" s="480"/>
      <c r="AK78" s="480"/>
      <c r="AL78" s="480"/>
      <c r="AM78" s="480"/>
      <c r="AN78" s="480"/>
      <c r="AO78" s="480"/>
      <c r="AP78" s="480"/>
      <c r="AQ78" s="480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480"/>
      <c r="BC78" s="480"/>
      <c r="BD78" s="480"/>
      <c r="BE78" s="213"/>
      <c r="BF78" s="479"/>
      <c r="BG78" s="479"/>
      <c r="BH78" s="372"/>
      <c r="BI78" s="472"/>
      <c r="BJ78" s="481"/>
      <c r="BK78" s="310"/>
      <c r="BL78" s="310">
        <f t="shared" si="0"/>
        <v>0</v>
      </c>
      <c r="BM78" s="7"/>
    </row>
    <row r="79" spans="1:65" ht="20.25" customHeight="1">
      <c r="A79" s="482" t="s">
        <v>224</v>
      </c>
      <c r="B79" s="508" t="s">
        <v>225</v>
      </c>
      <c r="C79" s="484" t="s">
        <v>131</v>
      </c>
      <c r="D79" s="485" t="s">
        <v>132</v>
      </c>
      <c r="E79" s="477"/>
      <c r="F79" s="477"/>
      <c r="G79" s="477"/>
      <c r="H79" s="477"/>
      <c r="I79" s="477"/>
      <c r="J79" s="477"/>
      <c r="K79" s="213"/>
      <c r="L79" s="478"/>
      <c r="M79" s="478"/>
      <c r="N79" s="478"/>
      <c r="O79" s="478"/>
      <c r="P79" s="478"/>
      <c r="Q79" s="478"/>
      <c r="R79" s="478"/>
      <c r="S79" s="478"/>
      <c r="T79" s="478"/>
      <c r="U79" s="478"/>
      <c r="V79" s="479"/>
      <c r="W79" s="478"/>
      <c r="X79" s="478"/>
      <c r="Y79" s="478"/>
      <c r="Z79" s="478"/>
      <c r="AA79" s="478"/>
      <c r="AB79" s="478"/>
      <c r="AC79" s="478"/>
      <c r="AD79" s="478"/>
      <c r="AE79" s="478"/>
      <c r="AF79" s="213"/>
      <c r="AG79" s="480"/>
      <c r="AH79" s="480"/>
      <c r="AI79" s="480"/>
      <c r="AJ79" s="480"/>
      <c r="AK79" s="480"/>
      <c r="AL79" s="480"/>
      <c r="AM79" s="480"/>
      <c r="AN79" s="480"/>
      <c r="AO79" s="480"/>
      <c r="AP79" s="480"/>
      <c r="AQ79" s="480"/>
      <c r="AR79" s="480"/>
      <c r="AS79" s="480"/>
      <c r="AT79" s="480"/>
      <c r="AU79" s="480"/>
      <c r="AV79" s="480"/>
      <c r="AW79" s="480"/>
      <c r="AX79" s="480"/>
      <c r="AY79" s="480"/>
      <c r="AZ79" s="480"/>
      <c r="BA79" s="480"/>
      <c r="BB79" s="480"/>
      <c r="BC79" s="480"/>
      <c r="BD79" s="480"/>
      <c r="BE79" s="213"/>
      <c r="BF79" s="479"/>
      <c r="BG79" s="479"/>
      <c r="BH79" s="372"/>
      <c r="BI79" s="472"/>
      <c r="BJ79" s="481"/>
      <c r="BK79" s="310"/>
      <c r="BL79" s="310">
        <f t="shared" si="0"/>
        <v>0</v>
      </c>
      <c r="BM79" s="7"/>
    </row>
    <row r="80" spans="1:65" ht="20.25" customHeight="1">
      <c r="A80" s="482" t="s">
        <v>226</v>
      </c>
      <c r="B80" s="508" t="s">
        <v>227</v>
      </c>
      <c r="C80" s="484" t="s">
        <v>200</v>
      </c>
      <c r="D80" s="485" t="s">
        <v>132</v>
      </c>
      <c r="E80" s="477"/>
      <c r="F80" s="477"/>
      <c r="G80" s="477"/>
      <c r="H80" s="477"/>
      <c r="I80" s="477"/>
      <c r="J80" s="477"/>
      <c r="K80" s="213"/>
      <c r="L80" s="478"/>
      <c r="M80" s="478"/>
      <c r="N80" s="478"/>
      <c r="O80" s="478"/>
      <c r="P80" s="478"/>
      <c r="Q80" s="478"/>
      <c r="R80" s="478"/>
      <c r="S80" s="478"/>
      <c r="T80" s="478"/>
      <c r="U80" s="478"/>
      <c r="V80" s="479"/>
      <c r="W80" s="478"/>
      <c r="X80" s="478"/>
      <c r="Y80" s="478"/>
      <c r="Z80" s="478"/>
      <c r="AA80" s="478"/>
      <c r="AB80" s="478"/>
      <c r="AC80" s="478"/>
      <c r="AD80" s="478"/>
      <c r="AE80" s="478"/>
      <c r="AF80" s="213"/>
      <c r="AG80" s="480"/>
      <c r="AH80" s="480"/>
      <c r="AI80" s="480"/>
      <c r="AJ80" s="480"/>
      <c r="AK80" s="480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480"/>
      <c r="BD80" s="480"/>
      <c r="BE80" s="213"/>
      <c r="BF80" s="479"/>
      <c r="BG80" s="479"/>
      <c r="BH80" s="372"/>
      <c r="BI80" s="472"/>
      <c r="BJ80" s="481"/>
      <c r="BK80" s="310"/>
      <c r="BL80" s="310">
        <f t="shared" si="0"/>
        <v>0</v>
      </c>
      <c r="BM80" s="7"/>
    </row>
    <row r="81" spans="1:65" ht="20.25" customHeight="1">
      <c r="A81" s="482" t="s">
        <v>228</v>
      </c>
      <c r="B81" s="508" t="s">
        <v>229</v>
      </c>
      <c r="C81" s="484" t="s">
        <v>203</v>
      </c>
      <c r="D81" s="485" t="s">
        <v>132</v>
      </c>
      <c r="E81" s="477"/>
      <c r="F81" s="477"/>
      <c r="G81" s="477"/>
      <c r="H81" s="477"/>
      <c r="I81" s="477"/>
      <c r="J81" s="477"/>
      <c r="K81" s="213"/>
      <c r="L81" s="478"/>
      <c r="M81" s="478"/>
      <c r="N81" s="478"/>
      <c r="O81" s="478"/>
      <c r="P81" s="478"/>
      <c r="Q81" s="478"/>
      <c r="R81" s="478"/>
      <c r="S81" s="478"/>
      <c r="T81" s="478"/>
      <c r="U81" s="478"/>
      <c r="V81" s="479"/>
      <c r="W81" s="478"/>
      <c r="X81" s="478"/>
      <c r="Y81" s="478"/>
      <c r="Z81" s="478"/>
      <c r="AA81" s="478"/>
      <c r="AB81" s="478"/>
      <c r="AC81" s="478"/>
      <c r="AD81" s="478"/>
      <c r="AE81" s="478"/>
      <c r="AF81" s="213"/>
      <c r="AG81" s="480"/>
      <c r="AH81" s="480"/>
      <c r="AI81" s="480"/>
      <c r="AJ81" s="480"/>
      <c r="AK81" s="480"/>
      <c r="AL81" s="480"/>
      <c r="AM81" s="480"/>
      <c r="AN81" s="480"/>
      <c r="AO81" s="480"/>
      <c r="AP81" s="480"/>
      <c r="AQ81" s="480"/>
      <c r="AR81" s="480"/>
      <c r="AS81" s="480"/>
      <c r="AT81" s="480"/>
      <c r="AU81" s="480"/>
      <c r="AV81" s="480"/>
      <c r="AW81" s="480"/>
      <c r="AX81" s="480"/>
      <c r="AY81" s="480"/>
      <c r="AZ81" s="480"/>
      <c r="BA81" s="480"/>
      <c r="BB81" s="480"/>
      <c r="BC81" s="480"/>
      <c r="BD81" s="480"/>
      <c r="BE81" s="213"/>
      <c r="BF81" s="479"/>
      <c r="BG81" s="479"/>
      <c r="BH81" s="372"/>
      <c r="BI81" s="472"/>
      <c r="BJ81" s="481"/>
      <c r="BK81" s="310"/>
      <c r="BL81" s="310">
        <f t="shared" si="0"/>
        <v>0</v>
      </c>
      <c r="BM81" s="7"/>
    </row>
    <row r="82" spans="1:65" ht="20.25" customHeight="1">
      <c r="A82" s="482" t="s">
        <v>230</v>
      </c>
      <c r="B82" s="508" t="s">
        <v>231</v>
      </c>
      <c r="C82" s="484" t="s">
        <v>159</v>
      </c>
      <c r="D82" s="485" t="s">
        <v>132</v>
      </c>
      <c r="E82" s="477"/>
      <c r="F82" s="477"/>
      <c r="G82" s="477"/>
      <c r="H82" s="477"/>
      <c r="I82" s="477"/>
      <c r="J82" s="477"/>
      <c r="K82" s="213"/>
      <c r="L82" s="478"/>
      <c r="M82" s="478"/>
      <c r="N82" s="478"/>
      <c r="O82" s="478"/>
      <c r="P82" s="478"/>
      <c r="Q82" s="478"/>
      <c r="R82" s="478"/>
      <c r="S82" s="478"/>
      <c r="T82" s="478"/>
      <c r="U82" s="478"/>
      <c r="V82" s="479"/>
      <c r="W82" s="478"/>
      <c r="X82" s="478"/>
      <c r="Y82" s="478"/>
      <c r="Z82" s="478"/>
      <c r="AA82" s="478"/>
      <c r="AB82" s="478"/>
      <c r="AC82" s="478"/>
      <c r="AD82" s="478"/>
      <c r="AE82" s="478"/>
      <c r="AF82" s="213"/>
      <c r="AG82" s="480"/>
      <c r="AH82" s="480"/>
      <c r="AI82" s="480"/>
      <c r="AJ82" s="480"/>
      <c r="AK82" s="480"/>
      <c r="AL82" s="480"/>
      <c r="AM82" s="480"/>
      <c r="AN82" s="480"/>
      <c r="AO82" s="480"/>
      <c r="AP82" s="480"/>
      <c r="AQ82" s="480"/>
      <c r="AR82" s="480"/>
      <c r="AS82" s="480"/>
      <c r="AT82" s="480"/>
      <c r="AU82" s="480"/>
      <c r="AV82" s="480"/>
      <c r="AW82" s="480"/>
      <c r="AX82" s="480"/>
      <c r="AY82" s="480"/>
      <c r="AZ82" s="480"/>
      <c r="BA82" s="480"/>
      <c r="BB82" s="480"/>
      <c r="BC82" s="480"/>
      <c r="BD82" s="480"/>
      <c r="BE82" s="213"/>
      <c r="BF82" s="479"/>
      <c r="BG82" s="479"/>
      <c r="BH82" s="372"/>
      <c r="BI82" s="472"/>
      <c r="BJ82" s="481"/>
      <c r="BK82" s="310"/>
      <c r="BL82" s="310">
        <f t="shared" si="0"/>
        <v>0</v>
      </c>
      <c r="BM82" s="7"/>
    </row>
    <row r="83" spans="1:65" ht="36" customHeight="1">
      <c r="A83" s="486">
        <v>4.2</v>
      </c>
      <c r="B83" s="506" t="s">
        <v>227</v>
      </c>
      <c r="C83" s="488" t="s">
        <v>232</v>
      </c>
      <c r="D83" s="507" t="s">
        <v>132</v>
      </c>
      <c r="E83" s="477"/>
      <c r="F83" s="477"/>
      <c r="G83" s="477"/>
      <c r="H83" s="477"/>
      <c r="I83" s="477"/>
      <c r="J83" s="477"/>
      <c r="K83" s="213"/>
      <c r="L83" s="478"/>
      <c r="M83" s="478"/>
      <c r="N83" s="478"/>
      <c r="O83" s="478"/>
      <c r="P83" s="478"/>
      <c r="Q83" s="478"/>
      <c r="R83" s="478"/>
      <c r="S83" s="478"/>
      <c r="T83" s="478"/>
      <c r="U83" s="478"/>
      <c r="V83" s="479"/>
      <c r="W83" s="478"/>
      <c r="X83" s="478"/>
      <c r="Y83" s="478"/>
      <c r="Z83" s="478"/>
      <c r="AA83" s="478"/>
      <c r="AB83" s="478"/>
      <c r="AC83" s="478"/>
      <c r="AD83" s="478"/>
      <c r="AE83" s="478"/>
      <c r="AF83" s="213"/>
      <c r="AG83" s="480"/>
      <c r="AH83" s="480"/>
      <c r="AI83" s="480"/>
      <c r="AJ83" s="480"/>
      <c r="AK83" s="480"/>
      <c r="AL83" s="480"/>
      <c r="AM83" s="480"/>
      <c r="AN83" s="480"/>
      <c r="AO83" s="480"/>
      <c r="AP83" s="480"/>
      <c r="AQ83" s="480"/>
      <c r="AR83" s="480"/>
      <c r="AS83" s="480"/>
      <c r="AT83" s="480"/>
      <c r="AU83" s="480"/>
      <c r="AV83" s="480"/>
      <c r="AW83" s="480"/>
      <c r="AX83" s="480"/>
      <c r="AY83" s="480"/>
      <c r="AZ83" s="480"/>
      <c r="BA83" s="480"/>
      <c r="BB83" s="480"/>
      <c r="BC83" s="480"/>
      <c r="BD83" s="480"/>
      <c r="BE83" s="213"/>
      <c r="BF83" s="479"/>
      <c r="BG83" s="479"/>
      <c r="BH83" s="372"/>
      <c r="BI83" s="472"/>
      <c r="BJ83" s="481"/>
      <c r="BK83" s="310"/>
      <c r="BL83" s="310">
        <f t="shared" si="0"/>
        <v>0</v>
      </c>
      <c r="BM83" s="7"/>
    </row>
    <row r="84" spans="1:65" ht="20.25" customHeight="1">
      <c r="A84" s="503" t="s">
        <v>233</v>
      </c>
      <c r="B84" s="508" t="s">
        <v>234</v>
      </c>
      <c r="C84" s="484" t="s">
        <v>170</v>
      </c>
      <c r="D84" s="504" t="s">
        <v>132</v>
      </c>
      <c r="E84" s="477"/>
      <c r="F84" s="477"/>
      <c r="G84" s="477"/>
      <c r="H84" s="477"/>
      <c r="I84" s="477"/>
      <c r="J84" s="477"/>
      <c r="K84" s="213"/>
      <c r="L84" s="478"/>
      <c r="M84" s="478"/>
      <c r="N84" s="478"/>
      <c r="O84" s="478"/>
      <c r="P84" s="478"/>
      <c r="Q84" s="478"/>
      <c r="R84" s="478"/>
      <c r="S84" s="478"/>
      <c r="T84" s="478"/>
      <c r="U84" s="478"/>
      <c r="V84" s="479"/>
      <c r="W84" s="478"/>
      <c r="X84" s="478"/>
      <c r="Y84" s="478"/>
      <c r="Z84" s="478"/>
      <c r="AA84" s="478"/>
      <c r="AB84" s="478"/>
      <c r="AC84" s="478"/>
      <c r="AD84" s="478"/>
      <c r="AE84" s="478"/>
      <c r="AF84" s="213"/>
      <c r="AG84" s="480"/>
      <c r="AH84" s="480"/>
      <c r="AI84" s="480"/>
      <c r="AJ84" s="480"/>
      <c r="AK84" s="480"/>
      <c r="AL84" s="480"/>
      <c r="AM84" s="480"/>
      <c r="AN84" s="480"/>
      <c r="AO84" s="480"/>
      <c r="AP84" s="480"/>
      <c r="AQ84" s="480"/>
      <c r="AR84" s="480"/>
      <c r="AS84" s="480"/>
      <c r="AT84" s="480"/>
      <c r="AU84" s="480"/>
      <c r="AV84" s="480"/>
      <c r="AW84" s="480"/>
      <c r="AX84" s="480"/>
      <c r="AY84" s="480"/>
      <c r="AZ84" s="480"/>
      <c r="BA84" s="480"/>
      <c r="BB84" s="480"/>
      <c r="BC84" s="480"/>
      <c r="BD84" s="480"/>
      <c r="BE84" s="213"/>
      <c r="BF84" s="479"/>
      <c r="BG84" s="479"/>
      <c r="BH84" s="372"/>
      <c r="BI84" s="472"/>
      <c r="BJ84" s="481"/>
      <c r="BK84" s="310"/>
      <c r="BL84" s="310">
        <f t="shared" si="0"/>
        <v>0</v>
      </c>
      <c r="BM84" s="7"/>
    </row>
    <row r="85" spans="1:65" ht="20.25" customHeight="1">
      <c r="A85" s="503" t="s">
        <v>235</v>
      </c>
      <c r="B85" s="508" t="s">
        <v>236</v>
      </c>
      <c r="C85" s="484" t="s">
        <v>174</v>
      </c>
      <c r="D85" s="504" t="s">
        <v>132</v>
      </c>
      <c r="E85" s="477"/>
      <c r="F85" s="477"/>
      <c r="G85" s="477"/>
      <c r="H85" s="477"/>
      <c r="I85" s="477"/>
      <c r="J85" s="477"/>
      <c r="K85" s="213"/>
      <c r="L85" s="478"/>
      <c r="M85" s="478"/>
      <c r="N85" s="478"/>
      <c r="O85" s="478"/>
      <c r="P85" s="478"/>
      <c r="Q85" s="478"/>
      <c r="R85" s="478"/>
      <c r="S85" s="478"/>
      <c r="T85" s="478"/>
      <c r="U85" s="478"/>
      <c r="V85" s="479"/>
      <c r="W85" s="478"/>
      <c r="X85" s="478"/>
      <c r="Y85" s="478"/>
      <c r="Z85" s="478"/>
      <c r="AA85" s="478"/>
      <c r="AB85" s="478"/>
      <c r="AC85" s="478"/>
      <c r="AD85" s="478"/>
      <c r="AE85" s="478"/>
      <c r="AF85" s="213"/>
      <c r="AG85" s="480"/>
      <c r="AH85" s="480"/>
      <c r="AI85" s="480"/>
      <c r="AJ85" s="480"/>
      <c r="AK85" s="480"/>
      <c r="AL85" s="480"/>
      <c r="AM85" s="480"/>
      <c r="AN85" s="480"/>
      <c r="AO85" s="480"/>
      <c r="AP85" s="480"/>
      <c r="AQ85" s="480"/>
      <c r="AR85" s="480"/>
      <c r="AS85" s="480"/>
      <c r="AT85" s="480"/>
      <c r="AU85" s="480"/>
      <c r="AV85" s="480"/>
      <c r="AW85" s="480"/>
      <c r="AX85" s="480"/>
      <c r="AY85" s="480"/>
      <c r="AZ85" s="480"/>
      <c r="BA85" s="480"/>
      <c r="BB85" s="480"/>
      <c r="BC85" s="480"/>
      <c r="BD85" s="480"/>
      <c r="BE85" s="213"/>
      <c r="BF85" s="479"/>
      <c r="BG85" s="479"/>
      <c r="BH85" s="372"/>
      <c r="BI85" s="472"/>
      <c r="BJ85" s="481"/>
      <c r="BK85" s="310"/>
      <c r="BL85" s="310">
        <f t="shared" si="0"/>
        <v>0</v>
      </c>
      <c r="BM85" s="7"/>
    </row>
    <row r="86" spans="1:65" ht="20.25" customHeight="1">
      <c r="A86" s="503" t="s">
        <v>237</v>
      </c>
      <c r="B86" s="508" t="s">
        <v>238</v>
      </c>
      <c r="C86" s="484" t="s">
        <v>177</v>
      </c>
      <c r="D86" s="504" t="s">
        <v>132</v>
      </c>
      <c r="E86" s="477"/>
      <c r="F86" s="477"/>
      <c r="G86" s="477"/>
      <c r="H86" s="477"/>
      <c r="I86" s="477"/>
      <c r="J86" s="477"/>
      <c r="K86" s="213"/>
      <c r="L86" s="478"/>
      <c r="M86" s="478"/>
      <c r="N86" s="478"/>
      <c r="O86" s="478"/>
      <c r="P86" s="478"/>
      <c r="Q86" s="478"/>
      <c r="R86" s="478"/>
      <c r="S86" s="478"/>
      <c r="T86" s="478"/>
      <c r="U86" s="478"/>
      <c r="V86" s="479"/>
      <c r="W86" s="478"/>
      <c r="X86" s="478"/>
      <c r="Y86" s="478"/>
      <c r="Z86" s="478"/>
      <c r="AA86" s="478"/>
      <c r="AB86" s="478"/>
      <c r="AC86" s="478"/>
      <c r="AD86" s="478"/>
      <c r="AE86" s="478"/>
      <c r="AF86" s="213"/>
      <c r="AG86" s="480"/>
      <c r="AH86" s="480"/>
      <c r="AI86" s="480"/>
      <c r="AJ86" s="480"/>
      <c r="AK86" s="480"/>
      <c r="AL86" s="480"/>
      <c r="AM86" s="480"/>
      <c r="AN86" s="480"/>
      <c r="AO86" s="480"/>
      <c r="AP86" s="480"/>
      <c r="AQ86" s="480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480"/>
      <c r="BC86" s="480"/>
      <c r="BD86" s="480"/>
      <c r="BE86" s="213"/>
      <c r="BF86" s="479"/>
      <c r="BG86" s="479"/>
      <c r="BH86" s="372"/>
      <c r="BI86" s="472"/>
      <c r="BJ86" s="481"/>
      <c r="BK86" s="310"/>
      <c r="BL86" s="310">
        <f t="shared" si="0"/>
        <v>0</v>
      </c>
      <c r="BM86" s="7"/>
    </row>
    <row r="87" spans="1:65" ht="20.25" customHeight="1">
      <c r="A87" s="486">
        <v>4.3</v>
      </c>
      <c r="B87" s="506" t="s">
        <v>239</v>
      </c>
      <c r="C87" s="488" t="s">
        <v>240</v>
      </c>
      <c r="D87" s="491" t="s">
        <v>183</v>
      </c>
      <c r="E87" s="477"/>
      <c r="F87" s="477"/>
      <c r="G87" s="477"/>
      <c r="H87" s="477"/>
      <c r="I87" s="477"/>
      <c r="J87" s="477"/>
      <c r="K87" s="213"/>
      <c r="L87" s="478"/>
      <c r="M87" s="478"/>
      <c r="N87" s="478"/>
      <c r="O87" s="478"/>
      <c r="P87" s="478"/>
      <c r="Q87" s="478"/>
      <c r="R87" s="478"/>
      <c r="S87" s="478"/>
      <c r="T87" s="478"/>
      <c r="U87" s="478"/>
      <c r="V87" s="479"/>
      <c r="W87" s="478"/>
      <c r="X87" s="478"/>
      <c r="Y87" s="478"/>
      <c r="Z87" s="478"/>
      <c r="AA87" s="478"/>
      <c r="AB87" s="478"/>
      <c r="AC87" s="478"/>
      <c r="AD87" s="478"/>
      <c r="AE87" s="478"/>
      <c r="AF87" s="213"/>
      <c r="AG87" s="480"/>
      <c r="AH87" s="480"/>
      <c r="AI87" s="480"/>
      <c r="AJ87" s="480"/>
      <c r="AK87" s="480"/>
      <c r="AL87" s="480"/>
      <c r="AM87" s="480"/>
      <c r="AN87" s="480"/>
      <c r="AO87" s="480"/>
      <c r="AP87" s="480"/>
      <c r="AQ87" s="480"/>
      <c r="AR87" s="480"/>
      <c r="AS87" s="480"/>
      <c r="AT87" s="480"/>
      <c r="AU87" s="480"/>
      <c r="AV87" s="480"/>
      <c r="AW87" s="480"/>
      <c r="AX87" s="480"/>
      <c r="AY87" s="480"/>
      <c r="AZ87" s="480"/>
      <c r="BA87" s="480"/>
      <c r="BB87" s="480"/>
      <c r="BC87" s="480"/>
      <c r="BD87" s="480"/>
      <c r="BE87" s="213"/>
      <c r="BF87" s="479"/>
      <c r="BG87" s="479"/>
      <c r="BH87" s="370"/>
      <c r="BI87" s="472"/>
      <c r="BJ87" s="481"/>
      <c r="BK87" s="310"/>
      <c r="BL87" s="310">
        <f t="shared" si="0"/>
        <v>0</v>
      </c>
      <c r="BM87" s="7"/>
    </row>
    <row r="88" spans="1:65" ht="20.25" customHeight="1">
      <c r="A88" s="486">
        <v>4.4000000000000004</v>
      </c>
      <c r="B88" s="506" t="s">
        <v>241</v>
      </c>
      <c r="C88" s="488" t="s">
        <v>242</v>
      </c>
      <c r="D88" s="491" t="s">
        <v>183</v>
      </c>
      <c r="E88" s="477"/>
      <c r="F88" s="477"/>
      <c r="G88" s="477"/>
      <c r="H88" s="477"/>
      <c r="I88" s="477"/>
      <c r="J88" s="477"/>
      <c r="K88" s="213"/>
      <c r="L88" s="478"/>
      <c r="M88" s="478"/>
      <c r="N88" s="478"/>
      <c r="O88" s="478"/>
      <c r="P88" s="478"/>
      <c r="Q88" s="478"/>
      <c r="R88" s="478"/>
      <c r="S88" s="478"/>
      <c r="T88" s="478"/>
      <c r="U88" s="478"/>
      <c r="V88" s="479"/>
      <c r="W88" s="478"/>
      <c r="X88" s="478"/>
      <c r="Y88" s="478"/>
      <c r="Z88" s="478"/>
      <c r="AA88" s="478"/>
      <c r="AB88" s="478"/>
      <c r="AC88" s="478"/>
      <c r="AD88" s="478"/>
      <c r="AE88" s="478"/>
      <c r="AF88" s="213"/>
      <c r="AG88" s="480"/>
      <c r="AH88" s="480"/>
      <c r="AI88" s="480"/>
      <c r="AJ88" s="480"/>
      <c r="AK88" s="480"/>
      <c r="AL88" s="480"/>
      <c r="AM88" s="480"/>
      <c r="AN88" s="480"/>
      <c r="AO88" s="480"/>
      <c r="AP88" s="480"/>
      <c r="AQ88" s="480"/>
      <c r="AR88" s="480"/>
      <c r="AS88" s="480"/>
      <c r="AT88" s="480"/>
      <c r="AU88" s="480"/>
      <c r="AV88" s="480"/>
      <c r="AW88" s="480"/>
      <c r="AX88" s="480"/>
      <c r="AY88" s="480"/>
      <c r="AZ88" s="480"/>
      <c r="BA88" s="480"/>
      <c r="BB88" s="480"/>
      <c r="BC88" s="480"/>
      <c r="BD88" s="480"/>
      <c r="BE88" s="213"/>
      <c r="BF88" s="479"/>
      <c r="BG88" s="479"/>
      <c r="BH88" s="370"/>
      <c r="BI88" s="472"/>
      <c r="BJ88" s="481"/>
      <c r="BK88" s="310"/>
      <c r="BL88" s="310">
        <f t="shared" si="0"/>
        <v>0</v>
      </c>
      <c r="BM88" s="205"/>
    </row>
    <row r="89" spans="1:65" ht="20.25" customHeight="1">
      <c r="A89" s="486">
        <v>4.5</v>
      </c>
      <c r="B89" s="487" t="s">
        <v>243</v>
      </c>
      <c r="C89" s="488" t="s">
        <v>244</v>
      </c>
      <c r="D89" s="491" t="s">
        <v>183</v>
      </c>
      <c r="E89" s="477"/>
      <c r="F89" s="477"/>
      <c r="G89" s="477"/>
      <c r="H89" s="477"/>
      <c r="I89" s="477"/>
      <c r="J89" s="477"/>
      <c r="K89" s="213"/>
      <c r="L89" s="478"/>
      <c r="M89" s="478"/>
      <c r="N89" s="478"/>
      <c r="O89" s="478"/>
      <c r="P89" s="478"/>
      <c r="Q89" s="478"/>
      <c r="R89" s="478"/>
      <c r="S89" s="478"/>
      <c r="T89" s="478"/>
      <c r="U89" s="478"/>
      <c r="V89" s="479"/>
      <c r="W89" s="478"/>
      <c r="X89" s="478"/>
      <c r="Y89" s="478"/>
      <c r="Z89" s="478"/>
      <c r="AA89" s="478"/>
      <c r="AB89" s="478"/>
      <c r="AC89" s="478"/>
      <c r="AD89" s="478"/>
      <c r="AE89" s="478"/>
      <c r="AF89" s="213"/>
      <c r="AG89" s="480"/>
      <c r="AH89" s="480"/>
      <c r="AI89" s="480"/>
      <c r="AJ89" s="480"/>
      <c r="AK89" s="480"/>
      <c r="AL89" s="480"/>
      <c r="AM89" s="480"/>
      <c r="AN89" s="480"/>
      <c r="AO89" s="480"/>
      <c r="AP89" s="480"/>
      <c r="AQ89" s="480"/>
      <c r="AR89" s="480"/>
      <c r="AS89" s="480"/>
      <c r="AT89" s="480"/>
      <c r="AU89" s="480"/>
      <c r="AV89" s="480"/>
      <c r="AW89" s="480"/>
      <c r="AX89" s="480"/>
      <c r="AY89" s="480"/>
      <c r="AZ89" s="480"/>
      <c r="BA89" s="480"/>
      <c r="BB89" s="480"/>
      <c r="BC89" s="480"/>
      <c r="BD89" s="480"/>
      <c r="BE89" s="213"/>
      <c r="BF89" s="479"/>
      <c r="BG89" s="479"/>
      <c r="BH89" s="372"/>
      <c r="BI89" s="472"/>
      <c r="BJ89" s="481"/>
      <c r="BK89" s="310"/>
      <c r="BL89" s="310">
        <f t="shared" si="0"/>
        <v>0</v>
      </c>
      <c r="BM89" s="7"/>
    </row>
    <row r="90" spans="1:65" ht="21.75" customHeight="1">
      <c r="A90" s="489">
        <v>5</v>
      </c>
      <c r="B90" s="490" t="s">
        <v>245</v>
      </c>
      <c r="C90" s="490" t="s">
        <v>246</v>
      </c>
      <c r="D90" s="491" t="s">
        <v>183</v>
      </c>
      <c r="E90" s="477"/>
      <c r="F90" s="477"/>
      <c r="G90" s="477"/>
      <c r="H90" s="477"/>
      <c r="I90" s="477"/>
      <c r="J90" s="477"/>
      <c r="K90" s="213"/>
      <c r="L90" s="478"/>
      <c r="M90" s="478"/>
      <c r="N90" s="478"/>
      <c r="O90" s="478"/>
      <c r="P90" s="478"/>
      <c r="Q90" s="478"/>
      <c r="R90" s="478"/>
      <c r="S90" s="478"/>
      <c r="T90" s="478"/>
      <c r="U90" s="478"/>
      <c r="V90" s="479"/>
      <c r="W90" s="478"/>
      <c r="X90" s="478"/>
      <c r="Y90" s="478"/>
      <c r="Z90" s="478"/>
      <c r="AA90" s="478"/>
      <c r="AB90" s="478"/>
      <c r="AC90" s="478"/>
      <c r="AD90" s="478"/>
      <c r="AE90" s="478"/>
      <c r="AF90" s="213"/>
      <c r="AG90" s="480"/>
      <c r="AH90" s="480"/>
      <c r="AI90" s="480"/>
      <c r="AJ90" s="480"/>
      <c r="AK90" s="480"/>
      <c r="AL90" s="480"/>
      <c r="AM90" s="480"/>
      <c r="AN90" s="480"/>
      <c r="AO90" s="480"/>
      <c r="AP90" s="480"/>
      <c r="AQ90" s="480"/>
      <c r="AR90" s="480"/>
      <c r="AS90" s="480"/>
      <c r="AT90" s="480"/>
      <c r="AU90" s="480"/>
      <c r="AV90" s="480"/>
      <c r="AW90" s="480"/>
      <c r="AX90" s="480"/>
      <c r="AY90" s="480"/>
      <c r="AZ90" s="480"/>
      <c r="BA90" s="480"/>
      <c r="BB90" s="480"/>
      <c r="BC90" s="480"/>
      <c r="BD90" s="480"/>
      <c r="BE90" s="213"/>
      <c r="BF90" s="479"/>
      <c r="BG90" s="479"/>
      <c r="BH90" s="372"/>
      <c r="BI90" s="472"/>
      <c r="BJ90" s="481"/>
      <c r="BK90" s="310"/>
      <c r="BL90" s="310">
        <f t="shared" si="0"/>
        <v>0</v>
      </c>
      <c r="BM90" s="7"/>
    </row>
    <row r="91" spans="1:65" ht="20.25" customHeight="1">
      <c r="A91" s="486">
        <v>5.0999999999999996</v>
      </c>
      <c r="B91" s="487" t="s">
        <v>248</v>
      </c>
      <c r="C91" s="488" t="s">
        <v>249</v>
      </c>
      <c r="D91" s="412" t="s">
        <v>132</v>
      </c>
      <c r="E91" s="477"/>
      <c r="F91" s="477"/>
      <c r="G91" s="477"/>
      <c r="H91" s="477"/>
      <c r="I91" s="477"/>
      <c r="J91" s="477"/>
      <c r="K91" s="213"/>
      <c r="L91" s="478">
        <v>1</v>
      </c>
      <c r="M91" s="478"/>
      <c r="N91" s="478"/>
      <c r="O91" s="478"/>
      <c r="P91" s="478"/>
      <c r="Q91" s="478"/>
      <c r="R91" s="478"/>
      <c r="S91" s="478"/>
      <c r="T91" s="478"/>
      <c r="U91" s="478"/>
      <c r="V91" s="479"/>
      <c r="W91" s="478"/>
      <c r="X91" s="478"/>
      <c r="Y91" s="478"/>
      <c r="Z91" s="478"/>
      <c r="AA91" s="478"/>
      <c r="AB91" s="478"/>
      <c r="AC91" s="478"/>
      <c r="AD91" s="478"/>
      <c r="AE91" s="478"/>
      <c r="AF91" s="213"/>
      <c r="AG91" s="480"/>
      <c r="AH91" s="480"/>
      <c r="AI91" s="480"/>
      <c r="AJ91" s="480"/>
      <c r="AK91" s="480"/>
      <c r="AL91" s="480"/>
      <c r="AM91" s="480"/>
      <c r="AN91" s="480"/>
      <c r="AO91" s="480"/>
      <c r="AP91" s="480"/>
      <c r="AQ91" s="480"/>
      <c r="AR91" s="480"/>
      <c r="AS91" s="480"/>
      <c r="AT91" s="480"/>
      <c r="AU91" s="480"/>
      <c r="AV91" s="480"/>
      <c r="AW91" s="480"/>
      <c r="AX91" s="480"/>
      <c r="AY91" s="480"/>
      <c r="AZ91" s="480"/>
      <c r="BA91" s="480"/>
      <c r="BB91" s="480"/>
      <c r="BC91" s="480"/>
      <c r="BD91" s="480"/>
      <c r="BE91" s="213"/>
      <c r="BF91" s="479"/>
      <c r="BG91" s="479"/>
      <c r="BH91" s="372"/>
      <c r="BI91" s="472"/>
      <c r="BJ91" s="481"/>
      <c r="BK91" s="310"/>
      <c r="BL91" s="310">
        <f t="shared" si="0"/>
        <v>1</v>
      </c>
      <c r="BM91" s="7"/>
    </row>
    <row r="92" spans="1:65" ht="20.25" customHeight="1">
      <c r="A92" s="482" t="s">
        <v>982</v>
      </c>
      <c r="B92" s="496" t="s">
        <v>248</v>
      </c>
      <c r="C92" s="484" t="s">
        <v>131</v>
      </c>
      <c r="D92" s="485" t="s">
        <v>132</v>
      </c>
      <c r="E92" s="477"/>
      <c r="F92" s="477"/>
      <c r="G92" s="477"/>
      <c r="H92" s="477"/>
      <c r="I92" s="477"/>
      <c r="J92" s="477"/>
      <c r="K92" s="213"/>
      <c r="L92" s="478"/>
      <c r="M92" s="478"/>
      <c r="N92" s="478"/>
      <c r="O92" s="478"/>
      <c r="P92" s="478"/>
      <c r="Q92" s="478"/>
      <c r="R92" s="478"/>
      <c r="S92" s="478"/>
      <c r="T92" s="478"/>
      <c r="U92" s="478"/>
      <c r="V92" s="479"/>
      <c r="W92" s="478"/>
      <c r="X92" s="478"/>
      <c r="Y92" s="478"/>
      <c r="Z92" s="478"/>
      <c r="AA92" s="478"/>
      <c r="AB92" s="478"/>
      <c r="AC92" s="478"/>
      <c r="AD92" s="478"/>
      <c r="AE92" s="478"/>
      <c r="AF92" s="213"/>
      <c r="AG92" s="480"/>
      <c r="AH92" s="480"/>
      <c r="AI92" s="480"/>
      <c r="AJ92" s="480"/>
      <c r="AK92" s="480"/>
      <c r="AL92" s="480"/>
      <c r="AM92" s="480"/>
      <c r="AN92" s="480"/>
      <c r="AO92" s="480"/>
      <c r="AP92" s="480"/>
      <c r="AQ92" s="480"/>
      <c r="AR92" s="480"/>
      <c r="AS92" s="480"/>
      <c r="AT92" s="480"/>
      <c r="AU92" s="480"/>
      <c r="AV92" s="480"/>
      <c r="AW92" s="480"/>
      <c r="AX92" s="480"/>
      <c r="AY92" s="480"/>
      <c r="AZ92" s="480"/>
      <c r="BA92" s="480"/>
      <c r="BB92" s="480"/>
      <c r="BC92" s="480"/>
      <c r="BD92" s="480"/>
      <c r="BE92" s="213"/>
      <c r="BF92" s="479"/>
      <c r="BG92" s="479"/>
      <c r="BH92" s="372"/>
      <c r="BI92" s="472"/>
      <c r="BJ92" s="481"/>
      <c r="BK92" s="310"/>
      <c r="BL92" s="310">
        <f t="shared" si="0"/>
        <v>0</v>
      </c>
      <c r="BM92" s="7"/>
    </row>
    <row r="93" spans="1:65" ht="20.25" customHeight="1">
      <c r="A93" s="482" t="s">
        <v>983</v>
      </c>
      <c r="B93" s="496" t="s">
        <v>251</v>
      </c>
      <c r="C93" s="484" t="s">
        <v>200</v>
      </c>
      <c r="D93" s="485" t="s">
        <v>132</v>
      </c>
      <c r="E93" s="477"/>
      <c r="F93" s="477"/>
      <c r="G93" s="477"/>
      <c r="H93" s="477"/>
      <c r="I93" s="477"/>
      <c r="J93" s="477"/>
      <c r="K93" s="213"/>
      <c r="L93" s="478"/>
      <c r="M93" s="478"/>
      <c r="N93" s="478"/>
      <c r="O93" s="478"/>
      <c r="P93" s="478"/>
      <c r="Q93" s="478"/>
      <c r="R93" s="478"/>
      <c r="S93" s="478"/>
      <c r="T93" s="478"/>
      <c r="U93" s="478"/>
      <c r="V93" s="479"/>
      <c r="W93" s="478"/>
      <c r="X93" s="478"/>
      <c r="Y93" s="478"/>
      <c r="Z93" s="478"/>
      <c r="AA93" s="478"/>
      <c r="AB93" s="478"/>
      <c r="AC93" s="478"/>
      <c r="AD93" s="478"/>
      <c r="AE93" s="478"/>
      <c r="AF93" s="213"/>
      <c r="AG93" s="480"/>
      <c r="AH93" s="480"/>
      <c r="AI93" s="480"/>
      <c r="AJ93" s="480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213"/>
      <c r="BF93" s="479"/>
      <c r="BG93" s="479"/>
      <c r="BH93" s="372"/>
      <c r="BI93" s="472"/>
      <c r="BJ93" s="481"/>
      <c r="BK93" s="310"/>
      <c r="BL93" s="310">
        <f t="shared" si="0"/>
        <v>0</v>
      </c>
      <c r="BM93" s="7"/>
    </row>
    <row r="94" spans="1:65" ht="20.25" customHeight="1">
      <c r="A94" s="482" t="s">
        <v>984</v>
      </c>
      <c r="B94" s="496" t="s">
        <v>252</v>
      </c>
      <c r="C94" s="484" t="s">
        <v>203</v>
      </c>
      <c r="D94" s="485" t="s">
        <v>132</v>
      </c>
      <c r="E94" s="477"/>
      <c r="F94" s="477"/>
      <c r="G94" s="477"/>
      <c r="H94" s="477"/>
      <c r="I94" s="477"/>
      <c r="J94" s="477"/>
      <c r="K94" s="213"/>
      <c r="L94" s="478"/>
      <c r="M94" s="478"/>
      <c r="N94" s="478"/>
      <c r="O94" s="478"/>
      <c r="P94" s="478"/>
      <c r="Q94" s="478"/>
      <c r="R94" s="478"/>
      <c r="S94" s="478"/>
      <c r="T94" s="478"/>
      <c r="U94" s="478"/>
      <c r="V94" s="479"/>
      <c r="W94" s="478"/>
      <c r="X94" s="478"/>
      <c r="Y94" s="478"/>
      <c r="Z94" s="478"/>
      <c r="AA94" s="478"/>
      <c r="AB94" s="478"/>
      <c r="AC94" s="478"/>
      <c r="AD94" s="478"/>
      <c r="AE94" s="478"/>
      <c r="AF94" s="213"/>
      <c r="AG94" s="480"/>
      <c r="AH94" s="480"/>
      <c r="AI94" s="480"/>
      <c r="AJ94" s="480"/>
      <c r="AK94" s="480"/>
      <c r="AL94" s="480"/>
      <c r="AM94" s="480"/>
      <c r="AN94" s="480"/>
      <c r="AO94" s="480"/>
      <c r="AP94" s="480"/>
      <c r="AQ94" s="480"/>
      <c r="AR94" s="480"/>
      <c r="AS94" s="480"/>
      <c r="AT94" s="480"/>
      <c r="AU94" s="480"/>
      <c r="AV94" s="480"/>
      <c r="AW94" s="480"/>
      <c r="AX94" s="480"/>
      <c r="AY94" s="480"/>
      <c r="AZ94" s="480"/>
      <c r="BA94" s="480"/>
      <c r="BB94" s="480"/>
      <c r="BC94" s="480"/>
      <c r="BD94" s="480"/>
      <c r="BE94" s="213"/>
      <c r="BF94" s="479"/>
      <c r="BG94" s="479"/>
      <c r="BH94" s="372"/>
      <c r="BI94" s="472"/>
      <c r="BJ94" s="481"/>
      <c r="BK94" s="310"/>
      <c r="BL94" s="310">
        <f t="shared" si="0"/>
        <v>0</v>
      </c>
      <c r="BM94" s="7"/>
    </row>
    <row r="95" spans="1:65" ht="20.25" customHeight="1">
      <c r="A95" s="482" t="s">
        <v>985</v>
      </c>
      <c r="B95" s="496" t="s">
        <v>253</v>
      </c>
      <c r="C95" s="484" t="s">
        <v>159</v>
      </c>
      <c r="D95" s="485" t="s">
        <v>132</v>
      </c>
      <c r="E95" s="477"/>
      <c r="F95" s="477"/>
      <c r="G95" s="477"/>
      <c r="H95" s="477"/>
      <c r="I95" s="477"/>
      <c r="J95" s="477"/>
      <c r="K95" s="213"/>
      <c r="L95" s="478"/>
      <c r="M95" s="478"/>
      <c r="N95" s="478"/>
      <c r="O95" s="478"/>
      <c r="P95" s="478"/>
      <c r="Q95" s="478"/>
      <c r="R95" s="478"/>
      <c r="S95" s="478"/>
      <c r="T95" s="478"/>
      <c r="U95" s="478"/>
      <c r="V95" s="479"/>
      <c r="W95" s="478"/>
      <c r="X95" s="478"/>
      <c r="Y95" s="478"/>
      <c r="Z95" s="478"/>
      <c r="AA95" s="478"/>
      <c r="AB95" s="478"/>
      <c r="AC95" s="478"/>
      <c r="AD95" s="478"/>
      <c r="AE95" s="478"/>
      <c r="AF95" s="213"/>
      <c r="AG95" s="480"/>
      <c r="AH95" s="480"/>
      <c r="AI95" s="480"/>
      <c r="AJ95" s="480"/>
      <c r="AK95" s="480"/>
      <c r="AL95" s="480"/>
      <c r="AM95" s="480"/>
      <c r="AN95" s="480"/>
      <c r="AO95" s="480"/>
      <c r="AP95" s="480"/>
      <c r="AQ95" s="480"/>
      <c r="AR95" s="480"/>
      <c r="AS95" s="480"/>
      <c r="AT95" s="480"/>
      <c r="AU95" s="480"/>
      <c r="AV95" s="480"/>
      <c r="AW95" s="480"/>
      <c r="AX95" s="480"/>
      <c r="AY95" s="480"/>
      <c r="AZ95" s="480"/>
      <c r="BA95" s="480"/>
      <c r="BB95" s="480"/>
      <c r="BC95" s="480"/>
      <c r="BD95" s="480"/>
      <c r="BE95" s="213"/>
      <c r="BF95" s="479"/>
      <c r="BG95" s="479"/>
      <c r="BH95" s="372"/>
      <c r="BI95" s="472"/>
      <c r="BJ95" s="481"/>
      <c r="BK95" s="310"/>
      <c r="BL95" s="310">
        <f t="shared" si="0"/>
        <v>0</v>
      </c>
      <c r="BM95" s="7"/>
    </row>
    <row r="96" spans="1:65" ht="20.25" customHeight="1">
      <c r="A96" s="486">
        <v>5.2</v>
      </c>
      <c r="B96" s="487" t="s">
        <v>251</v>
      </c>
      <c r="C96" s="488" t="s">
        <v>254</v>
      </c>
      <c r="D96" s="412" t="s">
        <v>132</v>
      </c>
      <c r="E96" s="477"/>
      <c r="F96" s="477"/>
      <c r="G96" s="477"/>
      <c r="H96" s="477"/>
      <c r="I96" s="477"/>
      <c r="J96" s="477"/>
      <c r="K96" s="213"/>
      <c r="L96" s="478"/>
      <c r="M96" s="478"/>
      <c r="N96" s="478"/>
      <c r="O96" s="478"/>
      <c r="P96" s="478"/>
      <c r="Q96" s="478"/>
      <c r="R96" s="478"/>
      <c r="S96" s="478"/>
      <c r="T96" s="478"/>
      <c r="U96" s="478"/>
      <c r="V96" s="479"/>
      <c r="W96" s="478"/>
      <c r="X96" s="478"/>
      <c r="Y96" s="478"/>
      <c r="Z96" s="478"/>
      <c r="AA96" s="478"/>
      <c r="AB96" s="478"/>
      <c r="AC96" s="478"/>
      <c r="AD96" s="478"/>
      <c r="AE96" s="478"/>
      <c r="AF96" s="213"/>
      <c r="AG96" s="480"/>
      <c r="AH96" s="480"/>
      <c r="AI96" s="480"/>
      <c r="AJ96" s="480"/>
      <c r="AK96" s="480"/>
      <c r="AL96" s="480"/>
      <c r="AM96" s="480"/>
      <c r="AN96" s="480"/>
      <c r="AO96" s="480"/>
      <c r="AP96" s="480"/>
      <c r="AQ96" s="480"/>
      <c r="AR96" s="480"/>
      <c r="AS96" s="480"/>
      <c r="AT96" s="480"/>
      <c r="AU96" s="480"/>
      <c r="AV96" s="480"/>
      <c r="AW96" s="480"/>
      <c r="AX96" s="480"/>
      <c r="AY96" s="480"/>
      <c r="AZ96" s="480"/>
      <c r="BA96" s="480"/>
      <c r="BB96" s="480"/>
      <c r="BC96" s="480"/>
      <c r="BD96" s="480"/>
      <c r="BE96" s="213"/>
      <c r="BF96" s="479"/>
      <c r="BG96" s="479"/>
      <c r="BH96" s="372"/>
      <c r="BI96" s="472"/>
      <c r="BJ96" s="481"/>
      <c r="BK96" s="310"/>
      <c r="BL96" s="310">
        <f t="shared" si="0"/>
        <v>0</v>
      </c>
      <c r="BM96" s="7"/>
    </row>
    <row r="97" spans="1:65" ht="20.25" customHeight="1">
      <c r="A97" s="482" t="s">
        <v>256</v>
      </c>
      <c r="B97" s="496" t="s">
        <v>257</v>
      </c>
      <c r="C97" s="484" t="s">
        <v>131</v>
      </c>
      <c r="D97" s="485" t="s">
        <v>132</v>
      </c>
      <c r="E97" s="477"/>
      <c r="F97" s="477"/>
      <c r="G97" s="477"/>
      <c r="H97" s="477"/>
      <c r="I97" s="477"/>
      <c r="J97" s="477"/>
      <c r="K97" s="213"/>
      <c r="L97" s="478"/>
      <c r="M97" s="478"/>
      <c r="N97" s="478"/>
      <c r="O97" s="478"/>
      <c r="P97" s="478"/>
      <c r="Q97" s="478"/>
      <c r="R97" s="478"/>
      <c r="S97" s="478"/>
      <c r="T97" s="478"/>
      <c r="U97" s="478"/>
      <c r="V97" s="479"/>
      <c r="W97" s="478"/>
      <c r="X97" s="478"/>
      <c r="Y97" s="478"/>
      <c r="Z97" s="478"/>
      <c r="AA97" s="478"/>
      <c r="AB97" s="478"/>
      <c r="AC97" s="478"/>
      <c r="AD97" s="478"/>
      <c r="AE97" s="478"/>
      <c r="AF97" s="213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213"/>
      <c r="BF97" s="479"/>
      <c r="BG97" s="479"/>
      <c r="BH97" s="372"/>
      <c r="BI97" s="472"/>
      <c r="BJ97" s="481"/>
      <c r="BK97" s="310"/>
      <c r="BL97" s="310">
        <f t="shared" si="0"/>
        <v>0</v>
      </c>
      <c r="BM97" s="7"/>
    </row>
    <row r="98" spans="1:65" ht="20.25" customHeight="1">
      <c r="A98" s="482" t="s">
        <v>258</v>
      </c>
      <c r="B98" s="496" t="s">
        <v>259</v>
      </c>
      <c r="C98" s="484" t="s">
        <v>200</v>
      </c>
      <c r="D98" s="485" t="s">
        <v>132</v>
      </c>
      <c r="E98" s="477"/>
      <c r="F98" s="477"/>
      <c r="G98" s="477"/>
      <c r="H98" s="477"/>
      <c r="I98" s="477"/>
      <c r="J98" s="477"/>
      <c r="K98" s="213"/>
      <c r="L98" s="478"/>
      <c r="M98" s="478"/>
      <c r="N98" s="478"/>
      <c r="O98" s="478"/>
      <c r="P98" s="478"/>
      <c r="Q98" s="478"/>
      <c r="R98" s="478"/>
      <c r="S98" s="478"/>
      <c r="T98" s="478"/>
      <c r="U98" s="478"/>
      <c r="V98" s="479"/>
      <c r="W98" s="478"/>
      <c r="X98" s="478"/>
      <c r="Y98" s="478"/>
      <c r="Z98" s="478"/>
      <c r="AA98" s="478"/>
      <c r="AB98" s="478"/>
      <c r="AC98" s="478"/>
      <c r="AD98" s="478"/>
      <c r="AE98" s="478"/>
      <c r="AF98" s="213"/>
      <c r="AG98" s="480"/>
      <c r="AH98" s="480"/>
      <c r="AI98" s="480"/>
      <c r="AJ98" s="480"/>
      <c r="AK98" s="480"/>
      <c r="AL98" s="480"/>
      <c r="AM98" s="480"/>
      <c r="AN98" s="480"/>
      <c r="AO98" s="480"/>
      <c r="AP98" s="480"/>
      <c r="AQ98" s="480"/>
      <c r="AR98" s="480"/>
      <c r="AS98" s="480"/>
      <c r="AT98" s="480"/>
      <c r="AU98" s="480"/>
      <c r="AV98" s="480"/>
      <c r="AW98" s="480"/>
      <c r="AX98" s="480"/>
      <c r="AY98" s="480"/>
      <c r="AZ98" s="480"/>
      <c r="BA98" s="480"/>
      <c r="BB98" s="480"/>
      <c r="BC98" s="480"/>
      <c r="BD98" s="480"/>
      <c r="BE98" s="213"/>
      <c r="BF98" s="479"/>
      <c r="BG98" s="479"/>
      <c r="BH98" s="372"/>
      <c r="BI98" s="472"/>
      <c r="BJ98" s="481"/>
      <c r="BK98" s="310"/>
      <c r="BL98" s="310">
        <f t="shared" si="0"/>
        <v>0</v>
      </c>
      <c r="BM98" s="7"/>
    </row>
    <row r="99" spans="1:65" ht="20.25" customHeight="1">
      <c r="A99" s="482" t="s">
        <v>260</v>
      </c>
      <c r="B99" s="496" t="s">
        <v>261</v>
      </c>
      <c r="C99" s="484" t="s">
        <v>203</v>
      </c>
      <c r="D99" s="485" t="s">
        <v>132</v>
      </c>
      <c r="E99" s="477"/>
      <c r="F99" s="477"/>
      <c r="G99" s="477"/>
      <c r="H99" s="477"/>
      <c r="I99" s="477"/>
      <c r="J99" s="477"/>
      <c r="K99" s="213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9"/>
      <c r="W99" s="478"/>
      <c r="X99" s="478"/>
      <c r="Y99" s="478"/>
      <c r="Z99" s="478"/>
      <c r="AA99" s="478"/>
      <c r="AB99" s="478"/>
      <c r="AC99" s="478"/>
      <c r="AD99" s="478"/>
      <c r="AE99" s="478"/>
      <c r="AF99" s="213"/>
      <c r="AG99" s="480"/>
      <c r="AH99" s="480"/>
      <c r="AI99" s="480"/>
      <c r="AJ99" s="480"/>
      <c r="AK99" s="480"/>
      <c r="AL99" s="480"/>
      <c r="AM99" s="480"/>
      <c r="AN99" s="480"/>
      <c r="AO99" s="480"/>
      <c r="AP99" s="480"/>
      <c r="AQ99" s="480"/>
      <c r="AR99" s="480"/>
      <c r="AS99" s="480"/>
      <c r="AT99" s="480"/>
      <c r="AU99" s="480"/>
      <c r="AV99" s="480"/>
      <c r="AW99" s="480"/>
      <c r="AX99" s="480"/>
      <c r="AY99" s="480"/>
      <c r="AZ99" s="480"/>
      <c r="BA99" s="480"/>
      <c r="BB99" s="480"/>
      <c r="BC99" s="480"/>
      <c r="BD99" s="480"/>
      <c r="BE99" s="213"/>
      <c r="BF99" s="479"/>
      <c r="BG99" s="479"/>
      <c r="BH99" s="372"/>
      <c r="BI99" s="472"/>
      <c r="BJ99" s="481"/>
      <c r="BK99" s="310"/>
      <c r="BL99" s="310">
        <f t="shared" si="0"/>
        <v>0</v>
      </c>
      <c r="BM99" s="7"/>
    </row>
    <row r="100" spans="1:65" ht="20.25" customHeight="1">
      <c r="A100" s="482" t="s">
        <v>262</v>
      </c>
      <c r="B100" s="496" t="s">
        <v>263</v>
      </c>
      <c r="C100" s="484" t="s">
        <v>159</v>
      </c>
      <c r="D100" s="485" t="s">
        <v>132</v>
      </c>
      <c r="E100" s="477"/>
      <c r="F100" s="477"/>
      <c r="G100" s="477"/>
      <c r="H100" s="477"/>
      <c r="I100" s="477"/>
      <c r="J100" s="477"/>
      <c r="K100" s="213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9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213"/>
      <c r="AG100" s="480"/>
      <c r="AH100" s="480"/>
      <c r="AI100" s="480"/>
      <c r="AJ100" s="480"/>
      <c r="AK100" s="480"/>
      <c r="AL100" s="480"/>
      <c r="AM100" s="480"/>
      <c r="AN100" s="480"/>
      <c r="AO100" s="480"/>
      <c r="AP100" s="480"/>
      <c r="AQ100" s="480"/>
      <c r="AR100" s="480"/>
      <c r="AS100" s="480"/>
      <c r="AT100" s="480"/>
      <c r="AU100" s="480"/>
      <c r="AV100" s="480"/>
      <c r="AW100" s="480"/>
      <c r="AX100" s="480"/>
      <c r="AY100" s="480"/>
      <c r="AZ100" s="480"/>
      <c r="BA100" s="480"/>
      <c r="BB100" s="480"/>
      <c r="BC100" s="480"/>
      <c r="BD100" s="480"/>
      <c r="BE100" s="213"/>
      <c r="BF100" s="479"/>
      <c r="BG100" s="479"/>
      <c r="BH100" s="372"/>
      <c r="BI100" s="472"/>
      <c r="BJ100" s="481"/>
      <c r="BK100" s="310"/>
      <c r="BL100" s="310">
        <f t="shared" si="0"/>
        <v>0</v>
      </c>
      <c r="BM100" s="7"/>
    </row>
    <row r="101" spans="1:65" ht="21" customHeight="1">
      <c r="A101" s="486">
        <v>5.3</v>
      </c>
      <c r="B101" s="487" t="s">
        <v>252</v>
      </c>
      <c r="C101" s="488" t="s">
        <v>264</v>
      </c>
      <c r="D101" s="491" t="s">
        <v>183</v>
      </c>
      <c r="E101" s="477"/>
      <c r="F101" s="477"/>
      <c r="G101" s="477"/>
      <c r="H101" s="477"/>
      <c r="I101" s="477"/>
      <c r="J101" s="477"/>
      <c r="K101" s="213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9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213"/>
      <c r="AG101" s="480"/>
      <c r="AH101" s="480"/>
      <c r="AI101" s="480"/>
      <c r="AJ101" s="480"/>
      <c r="AK101" s="480"/>
      <c r="AL101" s="480"/>
      <c r="AM101" s="480"/>
      <c r="AN101" s="480"/>
      <c r="AO101" s="480"/>
      <c r="AP101" s="480"/>
      <c r="AQ101" s="480"/>
      <c r="AR101" s="480"/>
      <c r="AS101" s="480"/>
      <c r="AT101" s="480"/>
      <c r="AU101" s="480"/>
      <c r="AV101" s="480"/>
      <c r="AW101" s="480"/>
      <c r="AX101" s="480"/>
      <c r="AY101" s="480"/>
      <c r="AZ101" s="480"/>
      <c r="BA101" s="480"/>
      <c r="BB101" s="480"/>
      <c r="BC101" s="480"/>
      <c r="BD101" s="480"/>
      <c r="BE101" s="213"/>
      <c r="BF101" s="479"/>
      <c r="BG101" s="479"/>
      <c r="BH101" s="372"/>
      <c r="BI101" s="472"/>
      <c r="BJ101" s="481"/>
      <c r="BK101" s="310"/>
      <c r="BL101" s="310">
        <f t="shared" si="0"/>
        <v>0</v>
      </c>
      <c r="BM101" s="7"/>
    </row>
    <row r="102" spans="1:65" ht="18" customHeight="1">
      <c r="A102" s="486">
        <v>5.4</v>
      </c>
      <c r="B102" s="487" t="s">
        <v>253</v>
      </c>
      <c r="C102" s="488" t="s">
        <v>265</v>
      </c>
      <c r="D102" s="491" t="s">
        <v>183</v>
      </c>
      <c r="E102" s="477"/>
      <c r="F102" s="477"/>
      <c r="G102" s="477"/>
      <c r="H102" s="477"/>
      <c r="I102" s="477"/>
      <c r="J102" s="477"/>
      <c r="K102" s="213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9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213"/>
      <c r="AG102" s="480"/>
      <c r="AH102" s="480"/>
      <c r="AI102" s="480"/>
      <c r="AJ102" s="480"/>
      <c r="AK102" s="480"/>
      <c r="AL102" s="480"/>
      <c r="AM102" s="480"/>
      <c r="AN102" s="480"/>
      <c r="AO102" s="480"/>
      <c r="AP102" s="480"/>
      <c r="AQ102" s="480"/>
      <c r="AR102" s="480"/>
      <c r="AS102" s="480"/>
      <c r="AT102" s="480"/>
      <c r="AU102" s="480"/>
      <c r="AV102" s="480"/>
      <c r="AW102" s="480"/>
      <c r="AX102" s="480"/>
      <c r="AY102" s="480"/>
      <c r="AZ102" s="480"/>
      <c r="BA102" s="480"/>
      <c r="BB102" s="480"/>
      <c r="BC102" s="480"/>
      <c r="BD102" s="480"/>
      <c r="BE102" s="213"/>
      <c r="BF102" s="479"/>
      <c r="BG102" s="479"/>
      <c r="BH102" s="372"/>
      <c r="BI102" s="472"/>
      <c r="BJ102" s="481"/>
      <c r="BK102" s="310"/>
      <c r="BL102" s="310">
        <f t="shared" si="0"/>
        <v>0</v>
      </c>
      <c r="BM102" s="7"/>
    </row>
    <row r="103" spans="1:65" ht="37.5" customHeight="1">
      <c r="A103" s="489">
        <v>3</v>
      </c>
      <c r="B103" s="490" t="s">
        <v>266</v>
      </c>
      <c r="C103" s="490" t="s">
        <v>267</v>
      </c>
      <c r="D103" s="491"/>
      <c r="E103" s="477"/>
      <c r="F103" s="477"/>
      <c r="G103" s="477"/>
      <c r="H103" s="477"/>
      <c r="I103" s="477"/>
      <c r="J103" s="477"/>
      <c r="K103" s="213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9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213"/>
      <c r="AG103" s="480"/>
      <c r="AH103" s="480"/>
      <c r="AI103" s="480"/>
      <c r="AJ103" s="480"/>
      <c r="AK103" s="480"/>
      <c r="AL103" s="480"/>
      <c r="AM103" s="480"/>
      <c r="AN103" s="480"/>
      <c r="AO103" s="480"/>
      <c r="AP103" s="480"/>
      <c r="AQ103" s="480"/>
      <c r="AR103" s="480"/>
      <c r="AS103" s="480"/>
      <c r="AT103" s="480"/>
      <c r="AU103" s="480"/>
      <c r="AV103" s="480"/>
      <c r="AW103" s="480"/>
      <c r="AX103" s="480"/>
      <c r="AY103" s="480"/>
      <c r="AZ103" s="480"/>
      <c r="BA103" s="480"/>
      <c r="BB103" s="480"/>
      <c r="BC103" s="480"/>
      <c r="BD103" s="480"/>
      <c r="BE103" s="213"/>
      <c r="BF103" s="479"/>
      <c r="BG103" s="479"/>
      <c r="BH103" s="372"/>
      <c r="BI103" s="472"/>
      <c r="BJ103" s="481"/>
      <c r="BK103" s="310"/>
      <c r="BL103" s="310">
        <f t="shared" si="0"/>
        <v>0</v>
      </c>
      <c r="BM103" s="7"/>
    </row>
    <row r="104" spans="1:65" ht="20.25" customHeight="1">
      <c r="A104" s="486"/>
      <c r="B104" s="487" t="s">
        <v>269</v>
      </c>
      <c r="C104" s="488" t="s">
        <v>270</v>
      </c>
      <c r="D104" s="412" t="s">
        <v>271</v>
      </c>
      <c r="E104" s="477"/>
      <c r="F104" s="477"/>
      <c r="G104" s="477"/>
      <c r="H104" s="477"/>
      <c r="I104" s="477"/>
      <c r="J104" s="477">
        <v>311.27999999999997</v>
      </c>
      <c r="K104" s="213"/>
      <c r="L104" s="478">
        <v>2.17</v>
      </c>
      <c r="M104" s="478">
        <v>482</v>
      </c>
      <c r="N104" s="478"/>
      <c r="O104" s="478"/>
      <c r="P104" s="478"/>
      <c r="Q104" s="478"/>
      <c r="R104" s="478"/>
      <c r="S104" s="478"/>
      <c r="T104" s="478"/>
      <c r="U104" s="478">
        <v>3</v>
      </c>
      <c r="V104" s="479">
        <v>14</v>
      </c>
      <c r="W104" s="478">
        <v>137</v>
      </c>
      <c r="X104" s="478"/>
      <c r="Y104" s="478"/>
      <c r="Z104" s="478"/>
      <c r="AA104" s="478"/>
      <c r="AB104" s="478"/>
      <c r="AC104" s="478"/>
      <c r="AD104" s="478"/>
      <c r="AE104" s="478"/>
      <c r="AF104" s="213"/>
      <c r="AG104" s="480"/>
      <c r="AH104" s="480"/>
      <c r="AI104" s="480"/>
      <c r="AJ104" s="480"/>
      <c r="AK104" s="480"/>
      <c r="AL104" s="480"/>
      <c r="AM104" s="480"/>
      <c r="AN104" s="480"/>
      <c r="AO104" s="480"/>
      <c r="AP104" s="480"/>
      <c r="AQ104" s="480"/>
      <c r="AR104" s="480"/>
      <c r="AS104" s="480"/>
      <c r="AT104" s="480"/>
      <c r="AU104" s="480"/>
      <c r="AV104" s="480"/>
      <c r="AW104" s="480"/>
      <c r="AX104" s="480"/>
      <c r="AY104" s="480"/>
      <c r="AZ104" s="480"/>
      <c r="BA104" s="480"/>
      <c r="BB104" s="480"/>
      <c r="BC104" s="480"/>
      <c r="BD104" s="480"/>
      <c r="BE104" s="213"/>
      <c r="BF104" s="479"/>
      <c r="BG104" s="479"/>
      <c r="BH104" s="372"/>
      <c r="BI104" s="509"/>
      <c r="BJ104" s="481"/>
      <c r="BK104" s="310"/>
      <c r="BL104" s="310">
        <f t="shared" si="0"/>
        <v>949.45</v>
      </c>
      <c r="BM104" s="7"/>
    </row>
    <row r="105" spans="1:65" ht="20.25" customHeight="1">
      <c r="A105" s="510"/>
      <c r="B105" s="505" t="s">
        <v>273</v>
      </c>
      <c r="C105" s="511" t="s">
        <v>274</v>
      </c>
      <c r="D105" s="512" t="s">
        <v>271</v>
      </c>
      <c r="E105" s="477"/>
      <c r="F105" s="477"/>
      <c r="G105" s="477"/>
      <c r="H105" s="477"/>
      <c r="I105" s="477"/>
      <c r="J105" s="477"/>
      <c r="K105" s="213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9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213"/>
      <c r="AG105" s="480"/>
      <c r="AH105" s="480"/>
      <c r="AI105" s="480"/>
      <c r="AJ105" s="480"/>
      <c r="AK105" s="480"/>
      <c r="AL105" s="480"/>
      <c r="AM105" s="480"/>
      <c r="AN105" s="480"/>
      <c r="AO105" s="480"/>
      <c r="AP105" s="480"/>
      <c r="AQ105" s="480"/>
      <c r="AR105" s="480"/>
      <c r="AS105" s="480"/>
      <c r="AT105" s="480"/>
      <c r="AU105" s="480"/>
      <c r="AV105" s="480"/>
      <c r="AW105" s="480"/>
      <c r="AX105" s="480"/>
      <c r="AY105" s="480"/>
      <c r="AZ105" s="480"/>
      <c r="BA105" s="480"/>
      <c r="BB105" s="480"/>
      <c r="BC105" s="480"/>
      <c r="BD105" s="480"/>
      <c r="BE105" s="213"/>
      <c r="BF105" s="479"/>
      <c r="BG105" s="479"/>
      <c r="BH105" s="370"/>
      <c r="BI105" s="472"/>
      <c r="BJ105" s="481"/>
      <c r="BK105" s="310"/>
      <c r="BL105" s="310">
        <f t="shared" si="0"/>
        <v>0</v>
      </c>
      <c r="BM105" s="7"/>
    </row>
    <row r="106" spans="1:65" ht="20.25" customHeight="1">
      <c r="A106" s="503"/>
      <c r="B106" s="483" t="s">
        <v>275</v>
      </c>
      <c r="C106" s="484" t="s">
        <v>131</v>
      </c>
      <c r="D106" s="504" t="s">
        <v>271</v>
      </c>
      <c r="E106" s="477"/>
      <c r="F106" s="477"/>
      <c r="G106" s="477"/>
      <c r="H106" s="477"/>
      <c r="I106" s="477"/>
      <c r="J106" s="477"/>
      <c r="K106" s="213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9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213"/>
      <c r="AG106" s="480"/>
      <c r="AH106" s="480"/>
      <c r="AI106" s="480"/>
      <c r="AJ106" s="480"/>
      <c r="AK106" s="480"/>
      <c r="AL106" s="480"/>
      <c r="AM106" s="480"/>
      <c r="AN106" s="480"/>
      <c r="AO106" s="480"/>
      <c r="AP106" s="480"/>
      <c r="AQ106" s="480"/>
      <c r="AR106" s="480"/>
      <c r="AS106" s="480"/>
      <c r="AT106" s="480"/>
      <c r="AU106" s="480"/>
      <c r="AV106" s="480"/>
      <c r="AW106" s="480"/>
      <c r="AX106" s="480"/>
      <c r="AY106" s="480"/>
      <c r="AZ106" s="480"/>
      <c r="BA106" s="480"/>
      <c r="BB106" s="480"/>
      <c r="BC106" s="480"/>
      <c r="BD106" s="480"/>
      <c r="BE106" s="213"/>
      <c r="BF106" s="479"/>
      <c r="BG106" s="479"/>
      <c r="BH106" s="370"/>
      <c r="BI106" s="472"/>
      <c r="BJ106" s="481"/>
      <c r="BK106" s="310"/>
      <c r="BL106" s="310">
        <f t="shared" si="0"/>
        <v>0</v>
      </c>
      <c r="BM106" s="7"/>
    </row>
    <row r="107" spans="1:65" ht="20.25" customHeight="1">
      <c r="A107" s="503"/>
      <c r="B107" s="483" t="s">
        <v>276</v>
      </c>
      <c r="C107" s="484" t="s">
        <v>200</v>
      </c>
      <c r="D107" s="504" t="s">
        <v>271</v>
      </c>
      <c r="E107" s="477"/>
      <c r="F107" s="477"/>
      <c r="G107" s="477"/>
      <c r="H107" s="477"/>
      <c r="I107" s="477"/>
      <c r="J107" s="477"/>
      <c r="K107" s="213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9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213"/>
      <c r="AG107" s="480"/>
      <c r="AH107" s="480"/>
      <c r="AI107" s="480"/>
      <c r="AJ107" s="480"/>
      <c r="AK107" s="480"/>
      <c r="AL107" s="480"/>
      <c r="AM107" s="480"/>
      <c r="AN107" s="480"/>
      <c r="AO107" s="480"/>
      <c r="AP107" s="480"/>
      <c r="AQ107" s="480"/>
      <c r="AR107" s="480"/>
      <c r="AS107" s="480"/>
      <c r="AT107" s="480"/>
      <c r="AU107" s="480"/>
      <c r="AV107" s="480"/>
      <c r="AW107" s="480"/>
      <c r="AX107" s="480"/>
      <c r="AY107" s="480"/>
      <c r="AZ107" s="480"/>
      <c r="BA107" s="480"/>
      <c r="BB107" s="480"/>
      <c r="BC107" s="480"/>
      <c r="BD107" s="480"/>
      <c r="BE107" s="213"/>
      <c r="BF107" s="479"/>
      <c r="BG107" s="479"/>
      <c r="BH107" s="370"/>
      <c r="BI107" s="472"/>
      <c r="BJ107" s="481"/>
      <c r="BK107" s="310"/>
      <c r="BL107" s="310">
        <f t="shared" si="0"/>
        <v>0</v>
      </c>
      <c r="BM107" s="7"/>
    </row>
    <row r="108" spans="1:65" ht="20.25" customHeight="1">
      <c r="A108" s="503"/>
      <c r="B108" s="483" t="s">
        <v>277</v>
      </c>
      <c r="C108" s="484" t="s">
        <v>203</v>
      </c>
      <c r="D108" s="504" t="s">
        <v>271</v>
      </c>
      <c r="E108" s="477"/>
      <c r="F108" s="477"/>
      <c r="G108" s="477"/>
      <c r="H108" s="477"/>
      <c r="I108" s="477"/>
      <c r="J108" s="477"/>
      <c r="K108" s="213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9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213"/>
      <c r="AG108" s="480"/>
      <c r="AH108" s="480"/>
      <c r="AI108" s="480"/>
      <c r="AJ108" s="480"/>
      <c r="AK108" s="480"/>
      <c r="AL108" s="480"/>
      <c r="AM108" s="480"/>
      <c r="AN108" s="480"/>
      <c r="AO108" s="480"/>
      <c r="AP108" s="480"/>
      <c r="AQ108" s="480"/>
      <c r="AR108" s="480"/>
      <c r="AS108" s="480"/>
      <c r="AT108" s="480"/>
      <c r="AU108" s="480"/>
      <c r="AV108" s="480"/>
      <c r="AW108" s="480"/>
      <c r="AX108" s="480"/>
      <c r="AY108" s="480"/>
      <c r="AZ108" s="480"/>
      <c r="BA108" s="480"/>
      <c r="BB108" s="480"/>
      <c r="BC108" s="480"/>
      <c r="BD108" s="480"/>
      <c r="BE108" s="213"/>
      <c r="BF108" s="479"/>
      <c r="BG108" s="479"/>
      <c r="BH108" s="370"/>
      <c r="BI108" s="472"/>
      <c r="BJ108" s="481"/>
      <c r="BK108" s="310"/>
      <c r="BL108" s="310">
        <f t="shared" si="0"/>
        <v>0</v>
      </c>
      <c r="BM108" s="7"/>
    </row>
    <row r="109" spans="1:65" ht="20.25" customHeight="1">
      <c r="A109" s="503"/>
      <c r="B109" s="483" t="s">
        <v>278</v>
      </c>
      <c r="C109" s="484" t="s">
        <v>159</v>
      </c>
      <c r="D109" s="504" t="s">
        <v>271</v>
      </c>
      <c r="E109" s="477"/>
      <c r="F109" s="477"/>
      <c r="G109" s="477"/>
      <c r="H109" s="477"/>
      <c r="I109" s="477"/>
      <c r="J109" s="477"/>
      <c r="K109" s="213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9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213"/>
      <c r="AG109" s="480"/>
      <c r="AH109" s="480"/>
      <c r="AI109" s="480"/>
      <c r="AJ109" s="480"/>
      <c r="AK109" s="480"/>
      <c r="AL109" s="480"/>
      <c r="AM109" s="480"/>
      <c r="AN109" s="480"/>
      <c r="AO109" s="480"/>
      <c r="AP109" s="480"/>
      <c r="AQ109" s="480"/>
      <c r="AR109" s="480"/>
      <c r="AS109" s="480"/>
      <c r="AT109" s="480"/>
      <c r="AU109" s="480"/>
      <c r="AV109" s="480"/>
      <c r="AW109" s="480"/>
      <c r="AX109" s="480"/>
      <c r="AY109" s="480"/>
      <c r="AZ109" s="480"/>
      <c r="BA109" s="480"/>
      <c r="BB109" s="480"/>
      <c r="BC109" s="480"/>
      <c r="BD109" s="480"/>
      <c r="BE109" s="213"/>
      <c r="BF109" s="479"/>
      <c r="BG109" s="479"/>
      <c r="BH109" s="370"/>
      <c r="BI109" s="472"/>
      <c r="BJ109" s="481"/>
      <c r="BK109" s="310"/>
      <c r="BL109" s="310">
        <f t="shared" si="0"/>
        <v>0</v>
      </c>
      <c r="BM109" s="7"/>
    </row>
    <row r="110" spans="1:65" ht="20.25" customHeight="1">
      <c r="A110" s="510"/>
      <c r="B110" s="505" t="s">
        <v>279</v>
      </c>
      <c r="C110" s="511" t="s">
        <v>280</v>
      </c>
      <c r="D110" s="512" t="s">
        <v>271</v>
      </c>
      <c r="E110" s="477"/>
      <c r="F110" s="477"/>
      <c r="G110" s="477"/>
      <c r="H110" s="477"/>
      <c r="I110" s="477"/>
      <c r="J110" s="477"/>
      <c r="K110" s="213"/>
      <c r="L110" s="478"/>
      <c r="M110" s="478"/>
      <c r="N110" s="478"/>
      <c r="O110" s="478"/>
      <c r="P110" s="478"/>
      <c r="Q110" s="478"/>
      <c r="R110" s="478"/>
      <c r="S110" s="478"/>
      <c r="T110" s="478"/>
      <c r="U110" s="478"/>
      <c r="V110" s="479"/>
      <c r="W110" s="478"/>
      <c r="X110" s="478"/>
      <c r="Y110" s="478"/>
      <c r="Z110" s="478"/>
      <c r="AA110" s="478"/>
      <c r="AB110" s="478"/>
      <c r="AC110" s="478"/>
      <c r="AD110" s="478"/>
      <c r="AE110" s="478"/>
      <c r="AF110" s="213"/>
      <c r="AG110" s="480"/>
      <c r="AH110" s="480"/>
      <c r="AI110" s="480"/>
      <c r="AJ110" s="480"/>
      <c r="AK110" s="480"/>
      <c r="AL110" s="480"/>
      <c r="AM110" s="480"/>
      <c r="AN110" s="480"/>
      <c r="AO110" s="480"/>
      <c r="AP110" s="480"/>
      <c r="AQ110" s="480"/>
      <c r="AR110" s="480"/>
      <c r="AS110" s="480"/>
      <c r="AT110" s="480"/>
      <c r="AU110" s="480"/>
      <c r="AV110" s="480"/>
      <c r="AW110" s="480"/>
      <c r="AX110" s="480"/>
      <c r="AY110" s="480"/>
      <c r="AZ110" s="480"/>
      <c r="BA110" s="480"/>
      <c r="BB110" s="480"/>
      <c r="BC110" s="480"/>
      <c r="BD110" s="480"/>
      <c r="BE110" s="213"/>
      <c r="BF110" s="479"/>
      <c r="BG110" s="479"/>
      <c r="BH110" s="370"/>
      <c r="BI110" s="472"/>
      <c r="BJ110" s="481"/>
      <c r="BK110" s="310"/>
      <c r="BL110" s="310">
        <f t="shared" si="0"/>
        <v>0</v>
      </c>
      <c r="BM110" s="205"/>
    </row>
    <row r="111" spans="1:65" ht="20.25" customHeight="1">
      <c r="A111" s="482"/>
      <c r="B111" s="483" t="s">
        <v>281</v>
      </c>
      <c r="C111" s="484" t="s">
        <v>131</v>
      </c>
      <c r="D111" s="504" t="s">
        <v>271</v>
      </c>
      <c r="E111" s="477"/>
      <c r="F111" s="477"/>
      <c r="G111" s="477"/>
      <c r="H111" s="477"/>
      <c r="I111" s="477"/>
      <c r="J111" s="477"/>
      <c r="K111" s="213"/>
      <c r="L111" s="478"/>
      <c r="M111" s="478"/>
      <c r="N111" s="478"/>
      <c r="O111" s="478"/>
      <c r="P111" s="478"/>
      <c r="Q111" s="478"/>
      <c r="R111" s="478"/>
      <c r="S111" s="478"/>
      <c r="T111" s="478"/>
      <c r="U111" s="478"/>
      <c r="V111" s="479"/>
      <c r="W111" s="478"/>
      <c r="X111" s="478"/>
      <c r="Y111" s="478"/>
      <c r="Z111" s="478"/>
      <c r="AA111" s="478"/>
      <c r="AB111" s="478"/>
      <c r="AC111" s="478"/>
      <c r="AD111" s="478"/>
      <c r="AE111" s="478"/>
      <c r="AF111" s="213"/>
      <c r="AG111" s="480"/>
      <c r="AH111" s="480"/>
      <c r="AI111" s="480"/>
      <c r="AJ111" s="480"/>
      <c r="AK111" s="480"/>
      <c r="AL111" s="480"/>
      <c r="AM111" s="480"/>
      <c r="AN111" s="480"/>
      <c r="AO111" s="480"/>
      <c r="AP111" s="480"/>
      <c r="AQ111" s="480"/>
      <c r="AR111" s="480"/>
      <c r="AS111" s="480"/>
      <c r="AT111" s="480"/>
      <c r="AU111" s="480"/>
      <c r="AV111" s="480"/>
      <c r="AW111" s="480"/>
      <c r="AX111" s="480"/>
      <c r="AY111" s="480"/>
      <c r="AZ111" s="480"/>
      <c r="BA111" s="480"/>
      <c r="BB111" s="480"/>
      <c r="BC111" s="480"/>
      <c r="BD111" s="480"/>
      <c r="BE111" s="213"/>
      <c r="BF111" s="479"/>
      <c r="BG111" s="479"/>
      <c r="BH111" s="370"/>
      <c r="BI111" s="472"/>
      <c r="BJ111" s="481"/>
      <c r="BK111" s="310"/>
      <c r="BL111" s="310">
        <f t="shared" si="0"/>
        <v>0</v>
      </c>
      <c r="BM111" s="7"/>
    </row>
    <row r="112" spans="1:65" ht="20.25" customHeight="1">
      <c r="A112" s="482"/>
      <c r="B112" s="483" t="s">
        <v>282</v>
      </c>
      <c r="C112" s="484" t="s">
        <v>200</v>
      </c>
      <c r="D112" s="504" t="s">
        <v>271</v>
      </c>
      <c r="E112" s="477"/>
      <c r="F112" s="477"/>
      <c r="G112" s="477"/>
      <c r="H112" s="477"/>
      <c r="I112" s="477"/>
      <c r="J112" s="477"/>
      <c r="K112" s="213"/>
      <c r="L112" s="478"/>
      <c r="M112" s="478"/>
      <c r="N112" s="478"/>
      <c r="O112" s="478"/>
      <c r="P112" s="478"/>
      <c r="Q112" s="478"/>
      <c r="R112" s="478"/>
      <c r="S112" s="478"/>
      <c r="T112" s="478"/>
      <c r="U112" s="478"/>
      <c r="V112" s="479"/>
      <c r="W112" s="478"/>
      <c r="X112" s="478"/>
      <c r="Y112" s="478"/>
      <c r="Z112" s="478"/>
      <c r="AA112" s="478"/>
      <c r="AB112" s="478"/>
      <c r="AC112" s="478"/>
      <c r="AD112" s="478"/>
      <c r="AE112" s="478"/>
      <c r="AF112" s="213"/>
      <c r="AG112" s="480"/>
      <c r="AH112" s="480"/>
      <c r="AI112" s="480"/>
      <c r="AJ112" s="480"/>
      <c r="AK112" s="480"/>
      <c r="AL112" s="480"/>
      <c r="AM112" s="480"/>
      <c r="AN112" s="480"/>
      <c r="AO112" s="480"/>
      <c r="AP112" s="480"/>
      <c r="AQ112" s="480"/>
      <c r="AR112" s="480"/>
      <c r="AS112" s="480"/>
      <c r="AT112" s="480"/>
      <c r="AU112" s="480"/>
      <c r="AV112" s="480"/>
      <c r="AW112" s="480"/>
      <c r="AX112" s="480"/>
      <c r="AY112" s="480"/>
      <c r="AZ112" s="480"/>
      <c r="BA112" s="480"/>
      <c r="BB112" s="480"/>
      <c r="BC112" s="480"/>
      <c r="BD112" s="480"/>
      <c r="BE112" s="213"/>
      <c r="BF112" s="479"/>
      <c r="BG112" s="479"/>
      <c r="BH112" s="370"/>
      <c r="BI112" s="472"/>
      <c r="BJ112" s="481"/>
      <c r="BK112" s="310"/>
      <c r="BL112" s="310">
        <f t="shared" si="0"/>
        <v>0</v>
      </c>
      <c r="BM112" s="7"/>
    </row>
    <row r="113" spans="1:65" ht="20.25" customHeight="1">
      <c r="A113" s="482"/>
      <c r="B113" s="483" t="s">
        <v>283</v>
      </c>
      <c r="C113" s="484" t="s">
        <v>203</v>
      </c>
      <c r="D113" s="504" t="s">
        <v>271</v>
      </c>
      <c r="E113" s="477"/>
      <c r="F113" s="477"/>
      <c r="G113" s="477"/>
      <c r="H113" s="477"/>
      <c r="I113" s="477"/>
      <c r="J113" s="477"/>
      <c r="K113" s="213"/>
      <c r="L113" s="478"/>
      <c r="M113" s="478"/>
      <c r="N113" s="478"/>
      <c r="O113" s="478"/>
      <c r="P113" s="478"/>
      <c r="Q113" s="478"/>
      <c r="R113" s="478"/>
      <c r="S113" s="478"/>
      <c r="T113" s="478"/>
      <c r="U113" s="478"/>
      <c r="V113" s="479"/>
      <c r="W113" s="478"/>
      <c r="X113" s="478"/>
      <c r="Y113" s="478"/>
      <c r="Z113" s="478"/>
      <c r="AA113" s="478"/>
      <c r="AB113" s="478"/>
      <c r="AC113" s="478"/>
      <c r="AD113" s="478"/>
      <c r="AE113" s="478"/>
      <c r="AF113" s="213"/>
      <c r="AG113" s="480"/>
      <c r="AH113" s="480"/>
      <c r="AI113" s="480"/>
      <c r="AJ113" s="480"/>
      <c r="AK113" s="480"/>
      <c r="AL113" s="480"/>
      <c r="AM113" s="480"/>
      <c r="AN113" s="480"/>
      <c r="AO113" s="480"/>
      <c r="AP113" s="480"/>
      <c r="AQ113" s="480"/>
      <c r="AR113" s="480"/>
      <c r="AS113" s="480"/>
      <c r="AT113" s="480"/>
      <c r="AU113" s="480"/>
      <c r="AV113" s="480"/>
      <c r="AW113" s="480"/>
      <c r="AX113" s="480"/>
      <c r="AY113" s="480"/>
      <c r="AZ113" s="480"/>
      <c r="BA113" s="480"/>
      <c r="BB113" s="480"/>
      <c r="BC113" s="480"/>
      <c r="BD113" s="480"/>
      <c r="BE113" s="213"/>
      <c r="BF113" s="479"/>
      <c r="BG113" s="479"/>
      <c r="BH113" s="370"/>
      <c r="BI113" s="472"/>
      <c r="BJ113" s="481"/>
      <c r="BK113" s="310"/>
      <c r="BL113" s="310">
        <f t="shared" si="0"/>
        <v>0</v>
      </c>
      <c r="BM113" s="7"/>
    </row>
    <row r="114" spans="1:65" ht="20.25" customHeight="1">
      <c r="A114" s="482"/>
      <c r="B114" s="483" t="s">
        <v>284</v>
      </c>
      <c r="C114" s="484" t="s">
        <v>159</v>
      </c>
      <c r="D114" s="504" t="s">
        <v>271</v>
      </c>
      <c r="E114" s="477"/>
      <c r="F114" s="477"/>
      <c r="G114" s="477"/>
      <c r="H114" s="477"/>
      <c r="I114" s="477"/>
      <c r="J114" s="477"/>
      <c r="K114" s="213"/>
      <c r="L114" s="478"/>
      <c r="M114" s="478"/>
      <c r="N114" s="478"/>
      <c r="O114" s="478"/>
      <c r="P114" s="478"/>
      <c r="Q114" s="478"/>
      <c r="R114" s="478"/>
      <c r="S114" s="478"/>
      <c r="T114" s="478"/>
      <c r="U114" s="478"/>
      <c r="V114" s="479"/>
      <c r="W114" s="478"/>
      <c r="X114" s="478"/>
      <c r="Y114" s="478"/>
      <c r="Z114" s="478"/>
      <c r="AA114" s="478"/>
      <c r="AB114" s="478"/>
      <c r="AC114" s="478"/>
      <c r="AD114" s="478"/>
      <c r="AE114" s="478"/>
      <c r="AF114" s="213"/>
      <c r="AG114" s="480"/>
      <c r="AH114" s="480"/>
      <c r="AI114" s="480"/>
      <c r="AJ114" s="480"/>
      <c r="AK114" s="480"/>
      <c r="AL114" s="480"/>
      <c r="AM114" s="480"/>
      <c r="AN114" s="480"/>
      <c r="AO114" s="480"/>
      <c r="AP114" s="480"/>
      <c r="AQ114" s="480"/>
      <c r="AR114" s="480"/>
      <c r="AS114" s="480"/>
      <c r="AT114" s="480"/>
      <c r="AU114" s="480"/>
      <c r="AV114" s="480"/>
      <c r="AW114" s="480"/>
      <c r="AX114" s="480"/>
      <c r="AY114" s="480"/>
      <c r="AZ114" s="480"/>
      <c r="BA114" s="480"/>
      <c r="BB114" s="480"/>
      <c r="BC114" s="480"/>
      <c r="BD114" s="480"/>
      <c r="BE114" s="213"/>
      <c r="BF114" s="479"/>
      <c r="BG114" s="479"/>
      <c r="BH114" s="370"/>
      <c r="BI114" s="472"/>
      <c r="BJ114" s="481"/>
      <c r="BK114" s="310"/>
      <c r="BL114" s="310">
        <f t="shared" si="0"/>
        <v>0</v>
      </c>
      <c r="BM114" s="7"/>
    </row>
    <row r="115" spans="1:65" ht="20.25" customHeight="1">
      <c r="A115" s="486"/>
      <c r="B115" s="487" t="s">
        <v>285</v>
      </c>
      <c r="C115" s="488" t="s">
        <v>286</v>
      </c>
      <c r="D115" s="512" t="s">
        <v>271</v>
      </c>
      <c r="E115" s="477"/>
      <c r="F115" s="477"/>
      <c r="G115" s="477"/>
      <c r="H115" s="477"/>
      <c r="I115" s="477"/>
      <c r="J115" s="477"/>
      <c r="K115" s="213"/>
      <c r="L115" s="478"/>
      <c r="M115" s="478"/>
      <c r="N115" s="478"/>
      <c r="O115" s="478"/>
      <c r="P115" s="478"/>
      <c r="Q115" s="478"/>
      <c r="R115" s="478"/>
      <c r="S115" s="478"/>
      <c r="T115" s="478"/>
      <c r="U115" s="478"/>
      <c r="V115" s="479"/>
      <c r="W115" s="478"/>
      <c r="X115" s="478"/>
      <c r="Y115" s="478"/>
      <c r="Z115" s="478"/>
      <c r="AA115" s="478"/>
      <c r="AB115" s="478"/>
      <c r="AC115" s="478"/>
      <c r="AD115" s="478"/>
      <c r="AE115" s="478"/>
      <c r="AF115" s="213"/>
      <c r="AG115" s="480"/>
      <c r="AH115" s="480"/>
      <c r="AI115" s="480"/>
      <c r="AJ115" s="480"/>
      <c r="AK115" s="480"/>
      <c r="AL115" s="480"/>
      <c r="AM115" s="480"/>
      <c r="AN115" s="480"/>
      <c r="AO115" s="480"/>
      <c r="AP115" s="480"/>
      <c r="AQ115" s="480"/>
      <c r="AR115" s="480"/>
      <c r="AS115" s="480"/>
      <c r="AT115" s="480"/>
      <c r="AU115" s="480"/>
      <c r="AV115" s="480"/>
      <c r="AW115" s="480"/>
      <c r="AX115" s="480"/>
      <c r="AY115" s="480"/>
      <c r="AZ115" s="480"/>
      <c r="BA115" s="480"/>
      <c r="BB115" s="480"/>
      <c r="BC115" s="480"/>
      <c r="BD115" s="480"/>
      <c r="BE115" s="213"/>
      <c r="BF115" s="479"/>
      <c r="BG115" s="479"/>
      <c r="BH115" s="370"/>
      <c r="BI115" s="472"/>
      <c r="BJ115" s="481"/>
      <c r="BK115" s="310"/>
      <c r="BL115" s="310">
        <f t="shared" si="0"/>
        <v>0</v>
      </c>
      <c r="BM115" s="205"/>
    </row>
    <row r="116" spans="1:65" ht="20.25" customHeight="1">
      <c r="A116" s="510"/>
      <c r="B116" s="505" t="s">
        <v>287</v>
      </c>
      <c r="C116" s="511" t="s">
        <v>288</v>
      </c>
      <c r="D116" s="512" t="s">
        <v>271</v>
      </c>
      <c r="E116" s="477"/>
      <c r="F116" s="477"/>
      <c r="G116" s="477"/>
      <c r="H116" s="477"/>
      <c r="I116" s="477"/>
      <c r="J116" s="477"/>
      <c r="K116" s="213"/>
      <c r="L116" s="478"/>
      <c r="M116" s="478"/>
      <c r="N116" s="478"/>
      <c r="O116" s="478"/>
      <c r="P116" s="478"/>
      <c r="Q116" s="478"/>
      <c r="R116" s="478"/>
      <c r="S116" s="478"/>
      <c r="T116" s="478"/>
      <c r="U116" s="478"/>
      <c r="V116" s="479"/>
      <c r="W116" s="478"/>
      <c r="X116" s="478"/>
      <c r="Y116" s="478"/>
      <c r="Z116" s="478"/>
      <c r="AA116" s="478"/>
      <c r="AB116" s="478"/>
      <c r="AC116" s="478"/>
      <c r="AD116" s="478"/>
      <c r="AE116" s="478"/>
      <c r="AF116" s="213"/>
      <c r="AG116" s="480"/>
      <c r="AH116" s="480"/>
      <c r="AI116" s="480"/>
      <c r="AJ116" s="480"/>
      <c r="AK116" s="480"/>
      <c r="AL116" s="480"/>
      <c r="AM116" s="480"/>
      <c r="AN116" s="480"/>
      <c r="AO116" s="480"/>
      <c r="AP116" s="480"/>
      <c r="AQ116" s="480"/>
      <c r="AR116" s="480"/>
      <c r="AS116" s="480"/>
      <c r="AT116" s="480"/>
      <c r="AU116" s="480"/>
      <c r="AV116" s="480"/>
      <c r="AW116" s="480"/>
      <c r="AX116" s="480"/>
      <c r="AY116" s="480"/>
      <c r="AZ116" s="480"/>
      <c r="BA116" s="480"/>
      <c r="BB116" s="480"/>
      <c r="BC116" s="480"/>
      <c r="BD116" s="480"/>
      <c r="BE116" s="213"/>
      <c r="BF116" s="479"/>
      <c r="BG116" s="479"/>
      <c r="BH116" s="370"/>
      <c r="BI116" s="472"/>
      <c r="BJ116" s="481"/>
      <c r="BK116" s="310"/>
      <c r="BL116" s="310">
        <f t="shared" si="0"/>
        <v>0</v>
      </c>
      <c r="BM116" s="7"/>
    </row>
    <row r="117" spans="1:65" ht="20.25" customHeight="1">
      <c r="A117" s="503"/>
      <c r="B117" s="483" t="s">
        <v>289</v>
      </c>
      <c r="C117" s="484" t="s">
        <v>131</v>
      </c>
      <c r="D117" s="504" t="s">
        <v>271</v>
      </c>
      <c r="E117" s="477"/>
      <c r="F117" s="477"/>
      <c r="G117" s="477"/>
      <c r="H117" s="477"/>
      <c r="I117" s="477"/>
      <c r="J117" s="477"/>
      <c r="K117" s="213"/>
      <c r="L117" s="478"/>
      <c r="M117" s="478"/>
      <c r="N117" s="478"/>
      <c r="O117" s="478"/>
      <c r="P117" s="478"/>
      <c r="Q117" s="478"/>
      <c r="R117" s="478"/>
      <c r="S117" s="478"/>
      <c r="T117" s="478"/>
      <c r="U117" s="478"/>
      <c r="V117" s="479"/>
      <c r="W117" s="478"/>
      <c r="X117" s="478"/>
      <c r="Y117" s="478"/>
      <c r="Z117" s="478"/>
      <c r="AA117" s="478"/>
      <c r="AB117" s="478"/>
      <c r="AC117" s="478"/>
      <c r="AD117" s="478"/>
      <c r="AE117" s="478"/>
      <c r="AF117" s="213"/>
      <c r="AG117" s="480"/>
      <c r="AH117" s="480"/>
      <c r="AI117" s="480"/>
      <c r="AJ117" s="480"/>
      <c r="AK117" s="480"/>
      <c r="AL117" s="480"/>
      <c r="AM117" s="480"/>
      <c r="AN117" s="480"/>
      <c r="AO117" s="480"/>
      <c r="AP117" s="480"/>
      <c r="AQ117" s="480"/>
      <c r="AR117" s="480"/>
      <c r="AS117" s="480"/>
      <c r="AT117" s="480"/>
      <c r="AU117" s="480"/>
      <c r="AV117" s="480"/>
      <c r="AW117" s="480"/>
      <c r="AX117" s="480"/>
      <c r="AY117" s="480"/>
      <c r="AZ117" s="480"/>
      <c r="BA117" s="480"/>
      <c r="BB117" s="480"/>
      <c r="BC117" s="480"/>
      <c r="BD117" s="480"/>
      <c r="BE117" s="213"/>
      <c r="BF117" s="479"/>
      <c r="BG117" s="479"/>
      <c r="BH117" s="370"/>
      <c r="BI117" s="472"/>
      <c r="BJ117" s="481"/>
      <c r="BK117" s="310"/>
      <c r="BL117" s="310">
        <f t="shared" si="0"/>
        <v>0</v>
      </c>
      <c r="BM117" s="7"/>
    </row>
    <row r="118" spans="1:65" ht="20.25" customHeight="1">
      <c r="A118" s="503"/>
      <c r="B118" s="483" t="s">
        <v>290</v>
      </c>
      <c r="C118" s="484" t="s">
        <v>200</v>
      </c>
      <c r="D118" s="504" t="s">
        <v>271</v>
      </c>
      <c r="E118" s="477"/>
      <c r="F118" s="477"/>
      <c r="G118" s="477"/>
      <c r="H118" s="477"/>
      <c r="I118" s="477"/>
      <c r="J118" s="477"/>
      <c r="K118" s="213"/>
      <c r="L118" s="478"/>
      <c r="M118" s="478"/>
      <c r="N118" s="478"/>
      <c r="O118" s="478"/>
      <c r="P118" s="478"/>
      <c r="Q118" s="478"/>
      <c r="R118" s="478"/>
      <c r="S118" s="478"/>
      <c r="T118" s="478"/>
      <c r="U118" s="478"/>
      <c r="V118" s="479"/>
      <c r="W118" s="478"/>
      <c r="X118" s="478"/>
      <c r="Y118" s="478"/>
      <c r="Z118" s="478"/>
      <c r="AA118" s="478"/>
      <c r="AB118" s="478"/>
      <c r="AC118" s="478"/>
      <c r="AD118" s="478"/>
      <c r="AE118" s="478"/>
      <c r="AF118" s="213"/>
      <c r="AG118" s="480"/>
      <c r="AH118" s="480"/>
      <c r="AI118" s="480"/>
      <c r="AJ118" s="480"/>
      <c r="AK118" s="480"/>
      <c r="AL118" s="480"/>
      <c r="AM118" s="480"/>
      <c r="AN118" s="480"/>
      <c r="AO118" s="480"/>
      <c r="AP118" s="480"/>
      <c r="AQ118" s="480"/>
      <c r="AR118" s="480"/>
      <c r="AS118" s="480"/>
      <c r="AT118" s="480"/>
      <c r="AU118" s="480"/>
      <c r="AV118" s="480"/>
      <c r="AW118" s="480"/>
      <c r="AX118" s="480"/>
      <c r="AY118" s="480"/>
      <c r="AZ118" s="480"/>
      <c r="BA118" s="480"/>
      <c r="BB118" s="480"/>
      <c r="BC118" s="480"/>
      <c r="BD118" s="480"/>
      <c r="BE118" s="213"/>
      <c r="BF118" s="479"/>
      <c r="BG118" s="479"/>
      <c r="BH118" s="370"/>
      <c r="BI118" s="472"/>
      <c r="BJ118" s="481"/>
      <c r="BK118" s="310"/>
      <c r="BL118" s="310">
        <f t="shared" si="0"/>
        <v>0</v>
      </c>
      <c r="BM118" s="7"/>
    </row>
    <row r="119" spans="1:65" ht="20.25" customHeight="1">
      <c r="A119" s="503"/>
      <c r="B119" s="483" t="s">
        <v>291</v>
      </c>
      <c r="C119" s="484" t="s">
        <v>203</v>
      </c>
      <c r="D119" s="504" t="s">
        <v>271</v>
      </c>
      <c r="E119" s="477"/>
      <c r="F119" s="477"/>
      <c r="G119" s="477"/>
      <c r="H119" s="477"/>
      <c r="I119" s="477"/>
      <c r="J119" s="477"/>
      <c r="K119" s="213"/>
      <c r="L119" s="478"/>
      <c r="M119" s="478"/>
      <c r="N119" s="478"/>
      <c r="O119" s="478"/>
      <c r="P119" s="478"/>
      <c r="Q119" s="478"/>
      <c r="R119" s="478"/>
      <c r="S119" s="478"/>
      <c r="T119" s="478"/>
      <c r="U119" s="478"/>
      <c r="V119" s="479"/>
      <c r="W119" s="478"/>
      <c r="X119" s="478"/>
      <c r="Y119" s="478"/>
      <c r="Z119" s="478"/>
      <c r="AA119" s="478"/>
      <c r="AB119" s="478"/>
      <c r="AC119" s="478"/>
      <c r="AD119" s="478"/>
      <c r="AE119" s="478"/>
      <c r="AF119" s="213"/>
      <c r="AG119" s="480"/>
      <c r="AH119" s="480"/>
      <c r="AI119" s="480"/>
      <c r="AJ119" s="480"/>
      <c r="AK119" s="480"/>
      <c r="AL119" s="480"/>
      <c r="AM119" s="480"/>
      <c r="AN119" s="480"/>
      <c r="AO119" s="480"/>
      <c r="AP119" s="480"/>
      <c r="AQ119" s="480"/>
      <c r="AR119" s="480"/>
      <c r="AS119" s="480"/>
      <c r="AT119" s="480"/>
      <c r="AU119" s="480"/>
      <c r="AV119" s="480"/>
      <c r="AW119" s="480"/>
      <c r="AX119" s="480"/>
      <c r="AY119" s="480"/>
      <c r="AZ119" s="480"/>
      <c r="BA119" s="480"/>
      <c r="BB119" s="480"/>
      <c r="BC119" s="480"/>
      <c r="BD119" s="480"/>
      <c r="BE119" s="213"/>
      <c r="BF119" s="479"/>
      <c r="BG119" s="479"/>
      <c r="BH119" s="370"/>
      <c r="BI119" s="472"/>
      <c r="BJ119" s="481"/>
      <c r="BK119" s="310"/>
      <c r="BL119" s="310">
        <f t="shared" si="0"/>
        <v>0</v>
      </c>
      <c r="BM119" s="7"/>
    </row>
    <row r="120" spans="1:65" ht="20.25" customHeight="1">
      <c r="A120" s="503"/>
      <c r="B120" s="483" t="s">
        <v>292</v>
      </c>
      <c r="C120" s="484" t="s">
        <v>159</v>
      </c>
      <c r="D120" s="504" t="s">
        <v>271</v>
      </c>
      <c r="E120" s="477"/>
      <c r="F120" s="477"/>
      <c r="G120" s="477"/>
      <c r="H120" s="477"/>
      <c r="I120" s="477"/>
      <c r="J120" s="477"/>
      <c r="K120" s="213"/>
      <c r="L120" s="478"/>
      <c r="M120" s="478"/>
      <c r="N120" s="478"/>
      <c r="O120" s="478"/>
      <c r="P120" s="478"/>
      <c r="Q120" s="478"/>
      <c r="R120" s="478"/>
      <c r="S120" s="478"/>
      <c r="T120" s="478"/>
      <c r="U120" s="478"/>
      <c r="V120" s="479"/>
      <c r="W120" s="478"/>
      <c r="X120" s="478"/>
      <c r="Y120" s="478"/>
      <c r="Z120" s="478"/>
      <c r="AA120" s="478"/>
      <c r="AB120" s="478"/>
      <c r="AC120" s="478"/>
      <c r="AD120" s="478"/>
      <c r="AE120" s="478"/>
      <c r="AF120" s="213"/>
      <c r="AG120" s="480"/>
      <c r="AH120" s="480"/>
      <c r="AI120" s="480"/>
      <c r="AJ120" s="480"/>
      <c r="AK120" s="480"/>
      <c r="AL120" s="480"/>
      <c r="AM120" s="480"/>
      <c r="AN120" s="480"/>
      <c r="AO120" s="480"/>
      <c r="AP120" s="480"/>
      <c r="AQ120" s="480"/>
      <c r="AR120" s="480"/>
      <c r="AS120" s="480"/>
      <c r="AT120" s="480"/>
      <c r="AU120" s="480"/>
      <c r="AV120" s="480"/>
      <c r="AW120" s="480"/>
      <c r="AX120" s="480"/>
      <c r="AY120" s="480"/>
      <c r="AZ120" s="480"/>
      <c r="BA120" s="480"/>
      <c r="BB120" s="480"/>
      <c r="BC120" s="480"/>
      <c r="BD120" s="480"/>
      <c r="BE120" s="213"/>
      <c r="BF120" s="479"/>
      <c r="BG120" s="479"/>
      <c r="BH120" s="370"/>
      <c r="BI120" s="472"/>
      <c r="BJ120" s="481"/>
      <c r="BK120" s="310"/>
      <c r="BL120" s="310">
        <f t="shared" si="0"/>
        <v>0</v>
      </c>
      <c r="BM120" s="205"/>
    </row>
    <row r="121" spans="1:65" ht="20.25" customHeight="1">
      <c r="A121" s="510"/>
      <c r="B121" s="505" t="s">
        <v>293</v>
      </c>
      <c r="C121" s="511" t="s">
        <v>294</v>
      </c>
      <c r="D121" s="512" t="s">
        <v>271</v>
      </c>
      <c r="E121" s="477"/>
      <c r="F121" s="477"/>
      <c r="G121" s="477"/>
      <c r="H121" s="477"/>
      <c r="I121" s="477"/>
      <c r="J121" s="477"/>
      <c r="K121" s="213"/>
      <c r="L121" s="478"/>
      <c r="M121" s="478"/>
      <c r="N121" s="478"/>
      <c r="O121" s="478"/>
      <c r="P121" s="478"/>
      <c r="Q121" s="478"/>
      <c r="R121" s="478"/>
      <c r="S121" s="478"/>
      <c r="T121" s="478"/>
      <c r="U121" s="478"/>
      <c r="V121" s="479"/>
      <c r="W121" s="478"/>
      <c r="X121" s="478"/>
      <c r="Y121" s="478"/>
      <c r="Z121" s="478"/>
      <c r="AA121" s="478"/>
      <c r="AB121" s="478"/>
      <c r="AC121" s="478"/>
      <c r="AD121" s="478"/>
      <c r="AE121" s="478"/>
      <c r="AF121" s="213"/>
      <c r="AG121" s="480"/>
      <c r="AH121" s="480"/>
      <c r="AI121" s="480"/>
      <c r="AJ121" s="480"/>
      <c r="AK121" s="480"/>
      <c r="AL121" s="480"/>
      <c r="AM121" s="480"/>
      <c r="AN121" s="480"/>
      <c r="AO121" s="480"/>
      <c r="AP121" s="480"/>
      <c r="AQ121" s="480"/>
      <c r="AR121" s="480"/>
      <c r="AS121" s="480"/>
      <c r="AT121" s="480"/>
      <c r="AU121" s="480"/>
      <c r="AV121" s="480"/>
      <c r="AW121" s="480"/>
      <c r="AX121" s="480"/>
      <c r="AY121" s="480"/>
      <c r="AZ121" s="480"/>
      <c r="BA121" s="480"/>
      <c r="BB121" s="480"/>
      <c r="BC121" s="480"/>
      <c r="BD121" s="480"/>
      <c r="BE121" s="213"/>
      <c r="BF121" s="479"/>
      <c r="BG121" s="479"/>
      <c r="BH121" s="370"/>
      <c r="BI121" s="472"/>
      <c r="BJ121" s="481"/>
      <c r="BK121" s="310"/>
      <c r="BL121" s="310">
        <f t="shared" si="0"/>
        <v>0</v>
      </c>
      <c r="BM121" s="7"/>
    </row>
    <row r="122" spans="1:65" ht="20.25" customHeight="1">
      <c r="A122" s="503"/>
      <c r="B122" s="483" t="s">
        <v>295</v>
      </c>
      <c r="C122" s="484" t="s">
        <v>131</v>
      </c>
      <c r="D122" s="504" t="s">
        <v>271</v>
      </c>
      <c r="E122" s="477"/>
      <c r="F122" s="477"/>
      <c r="G122" s="477"/>
      <c r="H122" s="477"/>
      <c r="I122" s="477"/>
      <c r="J122" s="477"/>
      <c r="K122" s="213"/>
      <c r="L122" s="478"/>
      <c r="M122" s="478"/>
      <c r="N122" s="478"/>
      <c r="O122" s="478"/>
      <c r="P122" s="478"/>
      <c r="Q122" s="478"/>
      <c r="R122" s="478"/>
      <c r="S122" s="478"/>
      <c r="T122" s="478"/>
      <c r="U122" s="478"/>
      <c r="V122" s="479"/>
      <c r="W122" s="478"/>
      <c r="X122" s="478"/>
      <c r="Y122" s="478"/>
      <c r="Z122" s="478"/>
      <c r="AA122" s="478"/>
      <c r="AB122" s="478"/>
      <c r="AC122" s="478"/>
      <c r="AD122" s="478"/>
      <c r="AE122" s="478"/>
      <c r="AF122" s="213"/>
      <c r="AG122" s="480"/>
      <c r="AH122" s="480"/>
      <c r="AI122" s="480"/>
      <c r="AJ122" s="480"/>
      <c r="AK122" s="480"/>
      <c r="AL122" s="480"/>
      <c r="AM122" s="480"/>
      <c r="AN122" s="480"/>
      <c r="AO122" s="480"/>
      <c r="AP122" s="480"/>
      <c r="AQ122" s="480"/>
      <c r="AR122" s="480"/>
      <c r="AS122" s="480"/>
      <c r="AT122" s="480"/>
      <c r="AU122" s="480"/>
      <c r="AV122" s="480"/>
      <c r="AW122" s="480"/>
      <c r="AX122" s="480"/>
      <c r="AY122" s="480"/>
      <c r="AZ122" s="480"/>
      <c r="BA122" s="480"/>
      <c r="BB122" s="480"/>
      <c r="BC122" s="480"/>
      <c r="BD122" s="480"/>
      <c r="BE122" s="213"/>
      <c r="BF122" s="479"/>
      <c r="BG122" s="479"/>
      <c r="BH122" s="370"/>
      <c r="BI122" s="472"/>
      <c r="BJ122" s="481"/>
      <c r="BK122" s="310"/>
      <c r="BL122" s="310">
        <f t="shared" si="0"/>
        <v>0</v>
      </c>
      <c r="BM122" s="7"/>
    </row>
    <row r="123" spans="1:65" ht="20.25" customHeight="1">
      <c r="A123" s="503"/>
      <c r="B123" s="483" t="s">
        <v>296</v>
      </c>
      <c r="C123" s="484" t="s">
        <v>200</v>
      </c>
      <c r="D123" s="504" t="s">
        <v>271</v>
      </c>
      <c r="E123" s="477"/>
      <c r="F123" s="477"/>
      <c r="G123" s="477"/>
      <c r="H123" s="477"/>
      <c r="I123" s="477"/>
      <c r="J123" s="477"/>
      <c r="K123" s="213"/>
      <c r="L123" s="478"/>
      <c r="M123" s="478"/>
      <c r="N123" s="478"/>
      <c r="O123" s="478"/>
      <c r="P123" s="478"/>
      <c r="Q123" s="478"/>
      <c r="R123" s="478"/>
      <c r="S123" s="478"/>
      <c r="T123" s="478"/>
      <c r="U123" s="478"/>
      <c r="V123" s="479"/>
      <c r="W123" s="478"/>
      <c r="X123" s="478"/>
      <c r="Y123" s="478"/>
      <c r="Z123" s="478"/>
      <c r="AA123" s="478"/>
      <c r="AB123" s="478"/>
      <c r="AC123" s="478"/>
      <c r="AD123" s="478"/>
      <c r="AE123" s="478"/>
      <c r="AF123" s="213"/>
      <c r="AG123" s="480"/>
      <c r="AH123" s="480"/>
      <c r="AI123" s="480"/>
      <c r="AJ123" s="480"/>
      <c r="AK123" s="480"/>
      <c r="AL123" s="480"/>
      <c r="AM123" s="480"/>
      <c r="AN123" s="480"/>
      <c r="AO123" s="480"/>
      <c r="AP123" s="480"/>
      <c r="AQ123" s="480"/>
      <c r="AR123" s="480"/>
      <c r="AS123" s="480"/>
      <c r="AT123" s="480"/>
      <c r="AU123" s="480"/>
      <c r="AV123" s="480"/>
      <c r="AW123" s="480"/>
      <c r="AX123" s="480"/>
      <c r="AY123" s="480"/>
      <c r="AZ123" s="480"/>
      <c r="BA123" s="480"/>
      <c r="BB123" s="480"/>
      <c r="BC123" s="480"/>
      <c r="BD123" s="480"/>
      <c r="BE123" s="213"/>
      <c r="BF123" s="479"/>
      <c r="BG123" s="479"/>
      <c r="BH123" s="370"/>
      <c r="BI123" s="472"/>
      <c r="BJ123" s="481"/>
      <c r="BK123" s="310"/>
      <c r="BL123" s="310">
        <f t="shared" si="0"/>
        <v>0</v>
      </c>
      <c r="BM123" s="7"/>
    </row>
    <row r="124" spans="1:65" ht="20.25" customHeight="1">
      <c r="A124" s="503"/>
      <c r="B124" s="483" t="s">
        <v>297</v>
      </c>
      <c r="C124" s="484" t="s">
        <v>203</v>
      </c>
      <c r="D124" s="504" t="s">
        <v>271</v>
      </c>
      <c r="E124" s="477"/>
      <c r="F124" s="477"/>
      <c r="G124" s="477"/>
      <c r="H124" s="477"/>
      <c r="I124" s="477"/>
      <c r="J124" s="477"/>
      <c r="K124" s="213"/>
      <c r="L124" s="478"/>
      <c r="M124" s="478"/>
      <c r="N124" s="478"/>
      <c r="O124" s="478"/>
      <c r="P124" s="478"/>
      <c r="Q124" s="478"/>
      <c r="R124" s="478"/>
      <c r="S124" s="478"/>
      <c r="T124" s="478"/>
      <c r="U124" s="478"/>
      <c r="V124" s="479"/>
      <c r="W124" s="478"/>
      <c r="X124" s="478"/>
      <c r="Y124" s="478"/>
      <c r="Z124" s="478"/>
      <c r="AA124" s="478"/>
      <c r="AB124" s="478"/>
      <c r="AC124" s="478"/>
      <c r="AD124" s="478"/>
      <c r="AE124" s="478"/>
      <c r="AF124" s="213"/>
      <c r="AG124" s="480"/>
      <c r="AH124" s="480"/>
      <c r="AI124" s="480"/>
      <c r="AJ124" s="480"/>
      <c r="AK124" s="480"/>
      <c r="AL124" s="480"/>
      <c r="AM124" s="480"/>
      <c r="AN124" s="480"/>
      <c r="AO124" s="480"/>
      <c r="AP124" s="480"/>
      <c r="AQ124" s="480"/>
      <c r="AR124" s="480"/>
      <c r="AS124" s="480"/>
      <c r="AT124" s="480"/>
      <c r="AU124" s="480"/>
      <c r="AV124" s="480"/>
      <c r="AW124" s="480"/>
      <c r="AX124" s="480"/>
      <c r="AY124" s="480"/>
      <c r="AZ124" s="480"/>
      <c r="BA124" s="480"/>
      <c r="BB124" s="480"/>
      <c r="BC124" s="480"/>
      <c r="BD124" s="480"/>
      <c r="BE124" s="213"/>
      <c r="BF124" s="479"/>
      <c r="BG124" s="479"/>
      <c r="BH124" s="370"/>
      <c r="BI124" s="472"/>
      <c r="BJ124" s="481"/>
      <c r="BK124" s="310"/>
      <c r="BL124" s="310">
        <f t="shared" si="0"/>
        <v>0</v>
      </c>
      <c r="BM124" s="7"/>
    </row>
    <row r="125" spans="1:65" ht="20.25" customHeight="1">
      <c r="A125" s="503"/>
      <c r="B125" s="483" t="s">
        <v>298</v>
      </c>
      <c r="C125" s="484" t="s">
        <v>159</v>
      </c>
      <c r="D125" s="504" t="s">
        <v>271</v>
      </c>
      <c r="E125" s="477"/>
      <c r="F125" s="477"/>
      <c r="G125" s="477"/>
      <c r="H125" s="477"/>
      <c r="I125" s="477"/>
      <c r="J125" s="477"/>
      <c r="K125" s="213"/>
      <c r="L125" s="478"/>
      <c r="M125" s="478"/>
      <c r="N125" s="478"/>
      <c r="O125" s="478"/>
      <c r="P125" s="478"/>
      <c r="Q125" s="478"/>
      <c r="R125" s="478"/>
      <c r="S125" s="478"/>
      <c r="T125" s="478"/>
      <c r="U125" s="478"/>
      <c r="V125" s="479"/>
      <c r="W125" s="478"/>
      <c r="X125" s="478"/>
      <c r="Y125" s="478"/>
      <c r="Z125" s="478"/>
      <c r="AA125" s="478"/>
      <c r="AB125" s="478"/>
      <c r="AC125" s="478"/>
      <c r="AD125" s="478"/>
      <c r="AE125" s="478"/>
      <c r="AF125" s="213"/>
      <c r="AG125" s="480"/>
      <c r="AH125" s="480"/>
      <c r="AI125" s="480"/>
      <c r="AJ125" s="480"/>
      <c r="AK125" s="480"/>
      <c r="AL125" s="480"/>
      <c r="AM125" s="480"/>
      <c r="AN125" s="480"/>
      <c r="AO125" s="480"/>
      <c r="AP125" s="480"/>
      <c r="AQ125" s="480"/>
      <c r="AR125" s="480"/>
      <c r="AS125" s="480"/>
      <c r="AT125" s="480"/>
      <c r="AU125" s="480"/>
      <c r="AV125" s="480"/>
      <c r="AW125" s="480"/>
      <c r="AX125" s="480"/>
      <c r="AY125" s="480"/>
      <c r="AZ125" s="480"/>
      <c r="BA125" s="480"/>
      <c r="BB125" s="480"/>
      <c r="BC125" s="480"/>
      <c r="BD125" s="480"/>
      <c r="BE125" s="213"/>
      <c r="BF125" s="479"/>
      <c r="BG125" s="479"/>
      <c r="BH125" s="370"/>
      <c r="BI125" s="472"/>
      <c r="BJ125" s="481"/>
      <c r="BK125" s="310"/>
      <c r="BL125" s="310">
        <f t="shared" si="0"/>
        <v>0</v>
      </c>
      <c r="BM125" s="205"/>
    </row>
    <row r="126" spans="1:65" ht="20.25" customHeight="1">
      <c r="A126" s="486"/>
      <c r="B126" s="487" t="s">
        <v>299</v>
      </c>
      <c r="C126" s="488" t="s">
        <v>300</v>
      </c>
      <c r="D126" s="412" t="s">
        <v>271</v>
      </c>
      <c r="E126" s="477"/>
      <c r="F126" s="477">
        <v>64.900000000000006</v>
      </c>
      <c r="G126" s="477"/>
      <c r="H126" s="477">
        <v>50</v>
      </c>
      <c r="I126" s="477"/>
      <c r="J126" s="477">
        <v>167.9</v>
      </c>
      <c r="K126" s="213"/>
      <c r="L126" s="478">
        <v>3.3</v>
      </c>
      <c r="M126" s="478"/>
      <c r="N126" s="478"/>
      <c r="O126" s="478"/>
      <c r="P126" s="478"/>
      <c r="Q126" s="478"/>
      <c r="R126" s="478"/>
      <c r="S126" s="478">
        <v>18.5</v>
      </c>
      <c r="T126" s="478"/>
      <c r="U126" s="478">
        <v>85.72</v>
      </c>
      <c r="V126" s="479">
        <v>0.2</v>
      </c>
      <c r="W126" s="478">
        <v>62</v>
      </c>
      <c r="X126" s="478">
        <v>5.7</v>
      </c>
      <c r="Y126" s="478">
        <v>74.22</v>
      </c>
      <c r="Z126" s="478">
        <v>30</v>
      </c>
      <c r="AA126" s="478">
        <v>1022.9</v>
      </c>
      <c r="AB126" s="478">
        <v>253</v>
      </c>
      <c r="AC126" s="478">
        <v>35.700000000000003</v>
      </c>
      <c r="AD126" s="478"/>
      <c r="AE126" s="478"/>
      <c r="AF126" s="213"/>
      <c r="AG126" s="480"/>
      <c r="AH126" s="480"/>
      <c r="AI126" s="480"/>
      <c r="AJ126" s="480"/>
      <c r="AK126" s="480"/>
      <c r="AL126" s="480"/>
      <c r="AM126" s="480"/>
      <c r="AN126" s="480"/>
      <c r="AO126" s="480"/>
      <c r="AP126" s="480"/>
      <c r="AQ126" s="480"/>
      <c r="AR126" s="480"/>
      <c r="AS126" s="480"/>
      <c r="AT126" s="480"/>
      <c r="AU126" s="480"/>
      <c r="AV126" s="480"/>
      <c r="AW126" s="480"/>
      <c r="AX126" s="480"/>
      <c r="AY126" s="480"/>
      <c r="AZ126" s="480"/>
      <c r="BA126" s="480"/>
      <c r="BB126" s="480"/>
      <c r="BC126" s="480"/>
      <c r="BD126" s="480"/>
      <c r="BE126" s="213"/>
      <c r="BF126" s="479"/>
      <c r="BG126" s="479"/>
      <c r="BH126" s="372"/>
      <c r="BI126" s="509"/>
      <c r="BJ126" s="481"/>
      <c r="BK126" s="310"/>
      <c r="BL126" s="310">
        <f t="shared" si="0"/>
        <v>1874.0400000000002</v>
      </c>
      <c r="BM126" s="7"/>
    </row>
    <row r="127" spans="1:65" ht="19.5" customHeight="1">
      <c r="A127" s="482"/>
      <c r="B127" s="483" t="s">
        <v>302</v>
      </c>
      <c r="C127" s="484" t="s">
        <v>131</v>
      </c>
      <c r="D127" s="504" t="s">
        <v>271</v>
      </c>
      <c r="E127" s="477"/>
      <c r="F127" s="477"/>
      <c r="G127" s="477"/>
      <c r="H127" s="477"/>
      <c r="I127" s="477"/>
      <c r="J127" s="477"/>
      <c r="K127" s="213"/>
      <c r="L127" s="478"/>
      <c r="M127" s="478"/>
      <c r="N127" s="478"/>
      <c r="O127" s="478"/>
      <c r="P127" s="478"/>
      <c r="Q127" s="478"/>
      <c r="R127" s="478"/>
      <c r="S127" s="478"/>
      <c r="T127" s="478"/>
      <c r="U127" s="478"/>
      <c r="V127" s="479"/>
      <c r="W127" s="478"/>
      <c r="X127" s="478"/>
      <c r="Y127" s="478"/>
      <c r="Z127" s="478"/>
      <c r="AA127" s="478"/>
      <c r="AB127" s="478"/>
      <c r="AC127" s="478"/>
      <c r="AD127" s="478"/>
      <c r="AE127" s="478"/>
      <c r="AF127" s="213"/>
      <c r="AG127" s="480"/>
      <c r="AH127" s="480"/>
      <c r="AI127" s="480"/>
      <c r="AJ127" s="480"/>
      <c r="AK127" s="480"/>
      <c r="AL127" s="480"/>
      <c r="AM127" s="480"/>
      <c r="AN127" s="480"/>
      <c r="AO127" s="480"/>
      <c r="AP127" s="480"/>
      <c r="AQ127" s="480"/>
      <c r="AR127" s="480"/>
      <c r="AS127" s="480"/>
      <c r="AT127" s="480"/>
      <c r="AU127" s="480"/>
      <c r="AV127" s="480"/>
      <c r="AW127" s="480"/>
      <c r="AX127" s="480"/>
      <c r="AY127" s="480"/>
      <c r="AZ127" s="480"/>
      <c r="BA127" s="480"/>
      <c r="BB127" s="480"/>
      <c r="BC127" s="480"/>
      <c r="BD127" s="480"/>
      <c r="BE127" s="213"/>
      <c r="BF127" s="479"/>
      <c r="BG127" s="479"/>
      <c r="BH127" s="370"/>
      <c r="BI127" s="472"/>
      <c r="BJ127" s="481"/>
      <c r="BK127" s="310"/>
      <c r="BL127" s="310">
        <f t="shared" si="0"/>
        <v>0</v>
      </c>
      <c r="BM127" s="7"/>
    </row>
    <row r="128" spans="1:65" ht="20.25" customHeight="1">
      <c r="A128" s="482"/>
      <c r="B128" s="483" t="s">
        <v>303</v>
      </c>
      <c r="C128" s="484" t="s">
        <v>200</v>
      </c>
      <c r="D128" s="504" t="s">
        <v>271</v>
      </c>
      <c r="E128" s="477"/>
      <c r="F128" s="477"/>
      <c r="G128" s="477"/>
      <c r="H128" s="477"/>
      <c r="I128" s="477"/>
      <c r="J128" s="477"/>
      <c r="K128" s="213"/>
      <c r="L128" s="478"/>
      <c r="M128" s="478"/>
      <c r="N128" s="478"/>
      <c r="O128" s="478"/>
      <c r="P128" s="478"/>
      <c r="Q128" s="478"/>
      <c r="R128" s="478"/>
      <c r="S128" s="478"/>
      <c r="T128" s="478"/>
      <c r="U128" s="478"/>
      <c r="V128" s="479"/>
      <c r="W128" s="478"/>
      <c r="X128" s="478"/>
      <c r="Y128" s="478"/>
      <c r="Z128" s="478"/>
      <c r="AA128" s="478"/>
      <c r="AB128" s="478"/>
      <c r="AC128" s="478"/>
      <c r="AD128" s="478"/>
      <c r="AE128" s="478"/>
      <c r="AF128" s="213"/>
      <c r="AG128" s="480"/>
      <c r="AH128" s="480"/>
      <c r="AI128" s="480"/>
      <c r="AJ128" s="480"/>
      <c r="AK128" s="480"/>
      <c r="AL128" s="480"/>
      <c r="AM128" s="480"/>
      <c r="AN128" s="480"/>
      <c r="AO128" s="480"/>
      <c r="AP128" s="480"/>
      <c r="AQ128" s="480"/>
      <c r="AR128" s="480"/>
      <c r="AS128" s="480"/>
      <c r="AT128" s="480"/>
      <c r="AU128" s="480"/>
      <c r="AV128" s="480"/>
      <c r="AW128" s="480"/>
      <c r="AX128" s="480"/>
      <c r="AY128" s="480"/>
      <c r="AZ128" s="480"/>
      <c r="BA128" s="480"/>
      <c r="BB128" s="480"/>
      <c r="BC128" s="480"/>
      <c r="BD128" s="480"/>
      <c r="BE128" s="213"/>
      <c r="BF128" s="479"/>
      <c r="BG128" s="479"/>
      <c r="BH128" s="370"/>
      <c r="BI128" s="472"/>
      <c r="BJ128" s="481"/>
      <c r="BK128" s="310"/>
      <c r="BL128" s="310">
        <f t="shared" si="0"/>
        <v>0</v>
      </c>
      <c r="BM128" s="7"/>
    </row>
    <row r="129" spans="1:65" ht="20.25" customHeight="1">
      <c r="A129" s="482"/>
      <c r="B129" s="483" t="s">
        <v>304</v>
      </c>
      <c r="C129" s="484" t="s">
        <v>203</v>
      </c>
      <c r="D129" s="504" t="s">
        <v>271</v>
      </c>
      <c r="E129" s="477"/>
      <c r="F129" s="477"/>
      <c r="G129" s="477"/>
      <c r="H129" s="477"/>
      <c r="I129" s="477"/>
      <c r="J129" s="477"/>
      <c r="K129" s="213"/>
      <c r="L129" s="478"/>
      <c r="M129" s="478"/>
      <c r="N129" s="478"/>
      <c r="O129" s="478"/>
      <c r="P129" s="478"/>
      <c r="Q129" s="478"/>
      <c r="R129" s="478"/>
      <c r="S129" s="478"/>
      <c r="T129" s="478"/>
      <c r="U129" s="478"/>
      <c r="V129" s="479"/>
      <c r="W129" s="478"/>
      <c r="X129" s="478"/>
      <c r="Y129" s="478"/>
      <c r="Z129" s="478"/>
      <c r="AA129" s="478"/>
      <c r="AB129" s="478"/>
      <c r="AC129" s="478"/>
      <c r="AD129" s="478"/>
      <c r="AE129" s="478"/>
      <c r="AF129" s="213"/>
      <c r="AG129" s="480"/>
      <c r="AH129" s="480"/>
      <c r="AI129" s="480"/>
      <c r="AJ129" s="480"/>
      <c r="AK129" s="480"/>
      <c r="AL129" s="480"/>
      <c r="AM129" s="480"/>
      <c r="AN129" s="480"/>
      <c r="AO129" s="480"/>
      <c r="AP129" s="480"/>
      <c r="AQ129" s="480"/>
      <c r="AR129" s="480"/>
      <c r="AS129" s="480"/>
      <c r="AT129" s="480"/>
      <c r="AU129" s="480"/>
      <c r="AV129" s="480"/>
      <c r="AW129" s="480"/>
      <c r="AX129" s="480"/>
      <c r="AY129" s="480"/>
      <c r="AZ129" s="480"/>
      <c r="BA129" s="480"/>
      <c r="BB129" s="480"/>
      <c r="BC129" s="480"/>
      <c r="BD129" s="480"/>
      <c r="BE129" s="213"/>
      <c r="BF129" s="479"/>
      <c r="BG129" s="479"/>
      <c r="BH129" s="370"/>
      <c r="BI129" s="472"/>
      <c r="BJ129" s="481"/>
      <c r="BK129" s="310"/>
      <c r="BL129" s="310">
        <f t="shared" si="0"/>
        <v>0</v>
      </c>
      <c r="BM129" s="7"/>
    </row>
    <row r="130" spans="1:65" ht="20.25" customHeight="1">
      <c r="A130" s="482"/>
      <c r="B130" s="483" t="s">
        <v>305</v>
      </c>
      <c r="C130" s="484" t="s">
        <v>159</v>
      </c>
      <c r="D130" s="504" t="s">
        <v>271</v>
      </c>
      <c r="E130" s="477"/>
      <c r="F130" s="477"/>
      <c r="G130" s="477"/>
      <c r="H130" s="477"/>
      <c r="I130" s="477"/>
      <c r="J130" s="477"/>
      <c r="K130" s="213"/>
      <c r="L130" s="478"/>
      <c r="M130" s="478"/>
      <c r="N130" s="478"/>
      <c r="O130" s="478"/>
      <c r="P130" s="478"/>
      <c r="Q130" s="478"/>
      <c r="R130" s="478"/>
      <c r="S130" s="478"/>
      <c r="T130" s="478"/>
      <c r="U130" s="478"/>
      <c r="V130" s="479"/>
      <c r="W130" s="478"/>
      <c r="X130" s="478"/>
      <c r="Y130" s="478"/>
      <c r="Z130" s="478"/>
      <c r="AA130" s="478"/>
      <c r="AB130" s="478"/>
      <c r="AC130" s="478"/>
      <c r="AD130" s="478"/>
      <c r="AE130" s="478"/>
      <c r="AF130" s="213"/>
      <c r="AG130" s="480"/>
      <c r="AH130" s="480"/>
      <c r="AI130" s="480"/>
      <c r="AJ130" s="480"/>
      <c r="AK130" s="480"/>
      <c r="AL130" s="480"/>
      <c r="AM130" s="480"/>
      <c r="AN130" s="480"/>
      <c r="AO130" s="480"/>
      <c r="AP130" s="480"/>
      <c r="AQ130" s="480"/>
      <c r="AR130" s="480"/>
      <c r="AS130" s="480"/>
      <c r="AT130" s="480"/>
      <c r="AU130" s="480"/>
      <c r="AV130" s="480"/>
      <c r="AW130" s="480"/>
      <c r="AX130" s="480"/>
      <c r="AY130" s="480"/>
      <c r="AZ130" s="480"/>
      <c r="BA130" s="480"/>
      <c r="BB130" s="480"/>
      <c r="BC130" s="480"/>
      <c r="BD130" s="480"/>
      <c r="BE130" s="213"/>
      <c r="BF130" s="479"/>
      <c r="BG130" s="479"/>
      <c r="BH130" s="370"/>
      <c r="BI130" s="472"/>
      <c r="BJ130" s="481"/>
      <c r="BK130" s="310"/>
      <c r="BL130" s="310">
        <f t="shared" si="0"/>
        <v>0</v>
      </c>
      <c r="BM130" s="205"/>
    </row>
    <row r="131" spans="1:65" ht="20.25" customHeight="1">
      <c r="A131" s="486"/>
      <c r="B131" s="505" t="s">
        <v>306</v>
      </c>
      <c r="C131" s="488" t="s">
        <v>307</v>
      </c>
      <c r="D131" s="412" t="s">
        <v>308</v>
      </c>
      <c r="E131" s="477"/>
      <c r="F131" s="477"/>
      <c r="G131" s="477"/>
      <c r="H131" s="477"/>
      <c r="I131" s="477"/>
      <c r="J131" s="477"/>
      <c r="K131" s="213"/>
      <c r="L131" s="478"/>
      <c r="M131" s="478"/>
      <c r="N131" s="478"/>
      <c r="O131" s="478"/>
      <c r="P131" s="478"/>
      <c r="Q131" s="478"/>
      <c r="R131" s="478"/>
      <c r="S131" s="478"/>
      <c r="T131" s="478"/>
      <c r="U131" s="478"/>
      <c r="V131" s="479"/>
      <c r="W131" s="478"/>
      <c r="X131" s="478"/>
      <c r="Y131" s="478"/>
      <c r="Z131" s="478">
        <v>20000</v>
      </c>
      <c r="AA131" s="478">
        <v>73370</v>
      </c>
      <c r="AB131" s="478"/>
      <c r="AC131" s="478"/>
      <c r="AD131" s="478"/>
      <c r="AE131" s="478"/>
      <c r="AF131" s="213"/>
      <c r="AG131" s="480"/>
      <c r="AH131" s="480"/>
      <c r="AI131" s="480"/>
      <c r="AJ131" s="480"/>
      <c r="AK131" s="480"/>
      <c r="AL131" s="480"/>
      <c r="AM131" s="480"/>
      <c r="AN131" s="480"/>
      <c r="AO131" s="480"/>
      <c r="AP131" s="480"/>
      <c r="AQ131" s="480"/>
      <c r="AR131" s="480"/>
      <c r="AS131" s="480"/>
      <c r="AT131" s="480"/>
      <c r="AU131" s="480"/>
      <c r="AV131" s="480"/>
      <c r="AW131" s="480"/>
      <c r="AX131" s="480"/>
      <c r="AY131" s="480"/>
      <c r="AZ131" s="480"/>
      <c r="BA131" s="480"/>
      <c r="BB131" s="480"/>
      <c r="BC131" s="480"/>
      <c r="BD131" s="480"/>
      <c r="BE131" s="213"/>
      <c r="BF131" s="479"/>
      <c r="BG131" s="479"/>
      <c r="BH131" s="370"/>
      <c r="BI131" s="472"/>
      <c r="BJ131" s="481"/>
      <c r="BK131" s="310"/>
      <c r="BL131" s="310">
        <f t="shared" si="0"/>
        <v>93370</v>
      </c>
      <c r="BM131" s="7"/>
    </row>
    <row r="132" spans="1:65" ht="20.25" customHeight="1">
      <c r="A132" s="482"/>
      <c r="B132" s="483" t="s">
        <v>310</v>
      </c>
      <c r="C132" s="484" t="s">
        <v>131</v>
      </c>
      <c r="D132" s="504" t="s">
        <v>308</v>
      </c>
      <c r="E132" s="477"/>
      <c r="F132" s="477"/>
      <c r="G132" s="477"/>
      <c r="H132" s="477"/>
      <c r="I132" s="477"/>
      <c r="J132" s="477"/>
      <c r="K132" s="213"/>
      <c r="L132" s="478"/>
      <c r="M132" s="478"/>
      <c r="N132" s="478"/>
      <c r="O132" s="478"/>
      <c r="P132" s="478"/>
      <c r="Q132" s="478"/>
      <c r="R132" s="478"/>
      <c r="S132" s="478"/>
      <c r="T132" s="478"/>
      <c r="U132" s="478"/>
      <c r="V132" s="479"/>
      <c r="W132" s="478"/>
      <c r="X132" s="478"/>
      <c r="Y132" s="478"/>
      <c r="Z132" s="478"/>
      <c r="AA132" s="478"/>
      <c r="AB132" s="478"/>
      <c r="AC132" s="478"/>
      <c r="AD132" s="478"/>
      <c r="AE132" s="478"/>
      <c r="AF132" s="213"/>
      <c r="AG132" s="480"/>
      <c r="AH132" s="480"/>
      <c r="AI132" s="480"/>
      <c r="AJ132" s="480"/>
      <c r="AK132" s="480"/>
      <c r="AL132" s="480"/>
      <c r="AM132" s="480"/>
      <c r="AN132" s="480"/>
      <c r="AO132" s="480"/>
      <c r="AP132" s="480"/>
      <c r="AQ132" s="480"/>
      <c r="AR132" s="480"/>
      <c r="AS132" s="480"/>
      <c r="AT132" s="480"/>
      <c r="AU132" s="480"/>
      <c r="AV132" s="480"/>
      <c r="AW132" s="480"/>
      <c r="AX132" s="480"/>
      <c r="AY132" s="480"/>
      <c r="AZ132" s="480"/>
      <c r="BA132" s="480"/>
      <c r="BB132" s="480"/>
      <c r="BC132" s="480"/>
      <c r="BD132" s="480"/>
      <c r="BE132" s="213"/>
      <c r="BF132" s="479"/>
      <c r="BG132" s="479"/>
      <c r="BH132" s="370"/>
      <c r="BI132" s="472"/>
      <c r="BJ132" s="481"/>
      <c r="BK132" s="310"/>
      <c r="BL132" s="310">
        <f t="shared" si="0"/>
        <v>0</v>
      </c>
      <c r="BM132" s="7"/>
    </row>
    <row r="133" spans="1:65" ht="20.25" customHeight="1">
      <c r="A133" s="482"/>
      <c r="B133" s="483" t="s">
        <v>311</v>
      </c>
      <c r="C133" s="484" t="s">
        <v>200</v>
      </c>
      <c r="D133" s="504" t="s">
        <v>308</v>
      </c>
      <c r="E133" s="477"/>
      <c r="F133" s="477"/>
      <c r="G133" s="477"/>
      <c r="H133" s="477"/>
      <c r="I133" s="477"/>
      <c r="J133" s="477"/>
      <c r="K133" s="213"/>
      <c r="L133" s="478"/>
      <c r="M133" s="478"/>
      <c r="N133" s="478"/>
      <c r="O133" s="478"/>
      <c r="P133" s="478"/>
      <c r="Q133" s="478"/>
      <c r="R133" s="478"/>
      <c r="S133" s="478"/>
      <c r="T133" s="478"/>
      <c r="U133" s="478"/>
      <c r="V133" s="479"/>
      <c r="W133" s="478"/>
      <c r="X133" s="478"/>
      <c r="Y133" s="478"/>
      <c r="Z133" s="478"/>
      <c r="AA133" s="478"/>
      <c r="AB133" s="478"/>
      <c r="AC133" s="478"/>
      <c r="AD133" s="478"/>
      <c r="AE133" s="478"/>
      <c r="AF133" s="213"/>
      <c r="AG133" s="480"/>
      <c r="AH133" s="480"/>
      <c r="AI133" s="480"/>
      <c r="AJ133" s="480"/>
      <c r="AK133" s="480"/>
      <c r="AL133" s="480"/>
      <c r="AM133" s="480"/>
      <c r="AN133" s="480"/>
      <c r="AO133" s="480"/>
      <c r="AP133" s="480"/>
      <c r="AQ133" s="480"/>
      <c r="AR133" s="480"/>
      <c r="AS133" s="480"/>
      <c r="AT133" s="480"/>
      <c r="AU133" s="480"/>
      <c r="AV133" s="480"/>
      <c r="AW133" s="480"/>
      <c r="AX133" s="480"/>
      <c r="AY133" s="480"/>
      <c r="AZ133" s="480"/>
      <c r="BA133" s="480"/>
      <c r="BB133" s="480"/>
      <c r="BC133" s="480"/>
      <c r="BD133" s="480"/>
      <c r="BE133" s="213"/>
      <c r="BF133" s="479"/>
      <c r="BG133" s="479"/>
      <c r="BH133" s="370"/>
      <c r="BI133" s="472"/>
      <c r="BJ133" s="481"/>
      <c r="BK133" s="310"/>
      <c r="BL133" s="310">
        <f t="shared" si="0"/>
        <v>0</v>
      </c>
      <c r="BM133" s="7"/>
    </row>
    <row r="134" spans="1:65" ht="20.25" customHeight="1">
      <c r="A134" s="482"/>
      <c r="B134" s="483" t="s">
        <v>312</v>
      </c>
      <c r="C134" s="484" t="s">
        <v>203</v>
      </c>
      <c r="D134" s="504" t="s">
        <v>308</v>
      </c>
      <c r="E134" s="477"/>
      <c r="F134" s="477"/>
      <c r="G134" s="477"/>
      <c r="H134" s="477"/>
      <c r="I134" s="477"/>
      <c r="J134" s="477"/>
      <c r="K134" s="213"/>
      <c r="L134" s="478"/>
      <c r="M134" s="478"/>
      <c r="N134" s="478"/>
      <c r="O134" s="478"/>
      <c r="P134" s="478"/>
      <c r="Q134" s="478"/>
      <c r="R134" s="478"/>
      <c r="S134" s="478"/>
      <c r="T134" s="478"/>
      <c r="U134" s="478"/>
      <c r="V134" s="479"/>
      <c r="W134" s="478"/>
      <c r="X134" s="478"/>
      <c r="Y134" s="478"/>
      <c r="Z134" s="478"/>
      <c r="AA134" s="478"/>
      <c r="AB134" s="478"/>
      <c r="AC134" s="478"/>
      <c r="AD134" s="478"/>
      <c r="AE134" s="478"/>
      <c r="AF134" s="213"/>
      <c r="AG134" s="480"/>
      <c r="AH134" s="480"/>
      <c r="AI134" s="480"/>
      <c r="AJ134" s="480"/>
      <c r="AK134" s="480"/>
      <c r="AL134" s="480"/>
      <c r="AM134" s="480"/>
      <c r="AN134" s="480"/>
      <c r="AO134" s="480"/>
      <c r="AP134" s="480"/>
      <c r="AQ134" s="480"/>
      <c r="AR134" s="480"/>
      <c r="AS134" s="480"/>
      <c r="AT134" s="480"/>
      <c r="AU134" s="480"/>
      <c r="AV134" s="480"/>
      <c r="AW134" s="480"/>
      <c r="AX134" s="480"/>
      <c r="AY134" s="480"/>
      <c r="AZ134" s="480"/>
      <c r="BA134" s="480"/>
      <c r="BB134" s="480"/>
      <c r="BC134" s="480"/>
      <c r="BD134" s="480"/>
      <c r="BE134" s="213"/>
      <c r="BF134" s="479"/>
      <c r="BG134" s="479"/>
      <c r="BH134" s="370"/>
      <c r="BI134" s="472"/>
      <c r="BJ134" s="481"/>
      <c r="BK134" s="310"/>
      <c r="BL134" s="310">
        <f t="shared" si="0"/>
        <v>0</v>
      </c>
      <c r="BM134" s="7"/>
    </row>
    <row r="135" spans="1:65" ht="20.25" customHeight="1">
      <c r="A135" s="482"/>
      <c r="B135" s="483" t="s">
        <v>313</v>
      </c>
      <c r="C135" s="484" t="s">
        <v>159</v>
      </c>
      <c r="D135" s="504" t="s">
        <v>308</v>
      </c>
      <c r="E135" s="477"/>
      <c r="F135" s="477"/>
      <c r="G135" s="477"/>
      <c r="H135" s="477"/>
      <c r="I135" s="477"/>
      <c r="J135" s="477"/>
      <c r="K135" s="213"/>
      <c r="L135" s="478"/>
      <c r="M135" s="478"/>
      <c r="N135" s="478"/>
      <c r="O135" s="478"/>
      <c r="P135" s="478"/>
      <c r="Q135" s="478"/>
      <c r="R135" s="478"/>
      <c r="S135" s="478"/>
      <c r="T135" s="478"/>
      <c r="U135" s="478"/>
      <c r="V135" s="479"/>
      <c r="W135" s="478"/>
      <c r="X135" s="478"/>
      <c r="Y135" s="478"/>
      <c r="Z135" s="478"/>
      <c r="AA135" s="478"/>
      <c r="AB135" s="478"/>
      <c r="AC135" s="478"/>
      <c r="AD135" s="478"/>
      <c r="AE135" s="478"/>
      <c r="AF135" s="213"/>
      <c r="AG135" s="480"/>
      <c r="AH135" s="480"/>
      <c r="AI135" s="480"/>
      <c r="AJ135" s="480"/>
      <c r="AK135" s="480"/>
      <c r="AL135" s="480"/>
      <c r="AM135" s="480"/>
      <c r="AN135" s="480"/>
      <c r="AO135" s="480"/>
      <c r="AP135" s="480"/>
      <c r="AQ135" s="480"/>
      <c r="AR135" s="480"/>
      <c r="AS135" s="480"/>
      <c r="AT135" s="480"/>
      <c r="AU135" s="480"/>
      <c r="AV135" s="480"/>
      <c r="AW135" s="480"/>
      <c r="AX135" s="480"/>
      <c r="AY135" s="480"/>
      <c r="AZ135" s="480"/>
      <c r="BA135" s="480"/>
      <c r="BB135" s="480"/>
      <c r="BC135" s="480"/>
      <c r="BD135" s="480"/>
      <c r="BE135" s="213"/>
      <c r="BF135" s="479"/>
      <c r="BG135" s="479"/>
      <c r="BH135" s="370"/>
      <c r="BI135" s="472"/>
      <c r="BJ135" s="481"/>
      <c r="BK135" s="310"/>
      <c r="BL135" s="310">
        <f t="shared" si="0"/>
        <v>0</v>
      </c>
      <c r="BM135" s="205"/>
    </row>
    <row r="136" spans="1:65" ht="20.25" customHeight="1">
      <c r="A136" s="486"/>
      <c r="B136" s="487" t="s">
        <v>314</v>
      </c>
      <c r="C136" s="513" t="s">
        <v>315</v>
      </c>
      <c r="D136" s="412" t="s">
        <v>271</v>
      </c>
      <c r="E136" s="477"/>
      <c r="F136" s="477"/>
      <c r="G136" s="477"/>
      <c r="H136" s="477"/>
      <c r="I136" s="477"/>
      <c r="J136" s="477"/>
      <c r="K136" s="213"/>
      <c r="L136" s="478">
        <v>0.5</v>
      </c>
      <c r="M136" s="478"/>
      <c r="N136" s="478"/>
      <c r="O136" s="478">
        <v>3</v>
      </c>
      <c r="P136" s="478"/>
      <c r="Q136" s="478"/>
      <c r="R136" s="478"/>
      <c r="S136" s="478"/>
      <c r="T136" s="478"/>
      <c r="U136" s="478">
        <v>1</v>
      </c>
      <c r="V136" s="479"/>
      <c r="W136" s="478"/>
      <c r="X136" s="478"/>
      <c r="Y136" s="478"/>
      <c r="Z136" s="478"/>
      <c r="AA136" s="478"/>
      <c r="AB136" s="478"/>
      <c r="AC136" s="478"/>
      <c r="AD136" s="478"/>
      <c r="AE136" s="478"/>
      <c r="AF136" s="213"/>
      <c r="AG136" s="480"/>
      <c r="AH136" s="480"/>
      <c r="AI136" s="480"/>
      <c r="AJ136" s="480"/>
      <c r="AK136" s="480"/>
      <c r="AL136" s="480"/>
      <c r="AM136" s="480"/>
      <c r="AN136" s="480"/>
      <c r="AO136" s="480"/>
      <c r="AP136" s="480"/>
      <c r="AQ136" s="480"/>
      <c r="AR136" s="480"/>
      <c r="AS136" s="480"/>
      <c r="AT136" s="480"/>
      <c r="AU136" s="480"/>
      <c r="AV136" s="480"/>
      <c r="AW136" s="480"/>
      <c r="AX136" s="480"/>
      <c r="AY136" s="480"/>
      <c r="AZ136" s="480"/>
      <c r="BA136" s="480"/>
      <c r="BB136" s="480"/>
      <c r="BC136" s="480"/>
      <c r="BD136" s="480"/>
      <c r="BE136" s="213"/>
      <c r="BF136" s="479"/>
      <c r="BG136" s="479"/>
      <c r="BH136" s="372"/>
      <c r="BI136" s="472"/>
      <c r="BJ136" s="481"/>
      <c r="BK136" s="310"/>
      <c r="BL136" s="310">
        <f t="shared" si="0"/>
        <v>4.5</v>
      </c>
      <c r="BM136" s="7"/>
    </row>
    <row r="137" spans="1:65" ht="20.25" customHeight="1">
      <c r="A137" s="503"/>
      <c r="B137" s="483" t="s">
        <v>317</v>
      </c>
      <c r="C137" s="484" t="s">
        <v>131</v>
      </c>
      <c r="D137" s="504" t="s">
        <v>271</v>
      </c>
      <c r="E137" s="477"/>
      <c r="F137" s="477"/>
      <c r="G137" s="477"/>
      <c r="H137" s="477"/>
      <c r="I137" s="477"/>
      <c r="J137" s="477"/>
      <c r="K137" s="213"/>
      <c r="L137" s="478"/>
      <c r="M137" s="478"/>
      <c r="N137" s="478"/>
      <c r="O137" s="478"/>
      <c r="P137" s="478"/>
      <c r="Q137" s="478"/>
      <c r="R137" s="478"/>
      <c r="S137" s="478"/>
      <c r="T137" s="478"/>
      <c r="U137" s="478"/>
      <c r="V137" s="479"/>
      <c r="W137" s="478"/>
      <c r="X137" s="478"/>
      <c r="Y137" s="478"/>
      <c r="Z137" s="478"/>
      <c r="AA137" s="478"/>
      <c r="AB137" s="478"/>
      <c r="AC137" s="478"/>
      <c r="AD137" s="478"/>
      <c r="AE137" s="478"/>
      <c r="AF137" s="213"/>
      <c r="AG137" s="480"/>
      <c r="AH137" s="480"/>
      <c r="AI137" s="480"/>
      <c r="AJ137" s="480"/>
      <c r="AK137" s="480"/>
      <c r="AL137" s="480"/>
      <c r="AM137" s="480"/>
      <c r="AN137" s="480"/>
      <c r="AO137" s="480"/>
      <c r="AP137" s="480"/>
      <c r="AQ137" s="480"/>
      <c r="AR137" s="480"/>
      <c r="AS137" s="480"/>
      <c r="AT137" s="480"/>
      <c r="AU137" s="480"/>
      <c r="AV137" s="480"/>
      <c r="AW137" s="480"/>
      <c r="AX137" s="480"/>
      <c r="AY137" s="480"/>
      <c r="AZ137" s="480"/>
      <c r="BA137" s="480"/>
      <c r="BB137" s="480"/>
      <c r="BC137" s="480"/>
      <c r="BD137" s="480"/>
      <c r="BE137" s="213"/>
      <c r="BF137" s="479"/>
      <c r="BG137" s="479"/>
      <c r="BH137" s="370"/>
      <c r="BI137" s="472"/>
      <c r="BJ137" s="481"/>
      <c r="BK137" s="310"/>
      <c r="BL137" s="310">
        <f t="shared" si="0"/>
        <v>0</v>
      </c>
      <c r="BM137" s="7"/>
    </row>
    <row r="138" spans="1:65" ht="20.25" customHeight="1">
      <c r="A138" s="503"/>
      <c r="B138" s="483" t="s">
        <v>318</v>
      </c>
      <c r="C138" s="484" t="s">
        <v>200</v>
      </c>
      <c r="D138" s="504" t="s">
        <v>271</v>
      </c>
      <c r="E138" s="477"/>
      <c r="F138" s="477"/>
      <c r="G138" s="477"/>
      <c r="H138" s="477"/>
      <c r="I138" s="477"/>
      <c r="J138" s="477"/>
      <c r="K138" s="213"/>
      <c r="L138" s="478"/>
      <c r="M138" s="478"/>
      <c r="N138" s="478"/>
      <c r="O138" s="478"/>
      <c r="P138" s="478"/>
      <c r="Q138" s="478"/>
      <c r="R138" s="478"/>
      <c r="S138" s="478"/>
      <c r="T138" s="478"/>
      <c r="U138" s="478"/>
      <c r="V138" s="479"/>
      <c r="W138" s="478"/>
      <c r="X138" s="478"/>
      <c r="Y138" s="478"/>
      <c r="Z138" s="478"/>
      <c r="AA138" s="478"/>
      <c r="AB138" s="478"/>
      <c r="AC138" s="478"/>
      <c r="AD138" s="478"/>
      <c r="AE138" s="478"/>
      <c r="AF138" s="213"/>
      <c r="AG138" s="480"/>
      <c r="AH138" s="480"/>
      <c r="AI138" s="480"/>
      <c r="AJ138" s="480"/>
      <c r="AK138" s="480"/>
      <c r="AL138" s="480"/>
      <c r="AM138" s="480"/>
      <c r="AN138" s="480"/>
      <c r="AO138" s="480"/>
      <c r="AP138" s="480"/>
      <c r="AQ138" s="480"/>
      <c r="AR138" s="480"/>
      <c r="AS138" s="480"/>
      <c r="AT138" s="480"/>
      <c r="AU138" s="480"/>
      <c r="AV138" s="480"/>
      <c r="AW138" s="480"/>
      <c r="AX138" s="480"/>
      <c r="AY138" s="480"/>
      <c r="AZ138" s="480"/>
      <c r="BA138" s="480"/>
      <c r="BB138" s="480"/>
      <c r="BC138" s="480"/>
      <c r="BD138" s="480"/>
      <c r="BE138" s="213"/>
      <c r="BF138" s="479"/>
      <c r="BG138" s="479"/>
      <c r="BH138" s="370"/>
      <c r="BI138" s="472"/>
      <c r="BJ138" s="481"/>
      <c r="BK138" s="310"/>
      <c r="BL138" s="310">
        <f t="shared" si="0"/>
        <v>0</v>
      </c>
      <c r="BM138" s="7"/>
    </row>
    <row r="139" spans="1:65" ht="20.25" customHeight="1">
      <c r="A139" s="503"/>
      <c r="B139" s="483" t="s">
        <v>319</v>
      </c>
      <c r="C139" s="484" t="s">
        <v>203</v>
      </c>
      <c r="D139" s="504" t="s">
        <v>271</v>
      </c>
      <c r="E139" s="477"/>
      <c r="F139" s="477"/>
      <c r="G139" s="477"/>
      <c r="H139" s="477"/>
      <c r="I139" s="477"/>
      <c r="J139" s="477"/>
      <c r="K139" s="213"/>
      <c r="L139" s="478"/>
      <c r="M139" s="478"/>
      <c r="N139" s="478"/>
      <c r="O139" s="478"/>
      <c r="P139" s="478"/>
      <c r="Q139" s="478"/>
      <c r="R139" s="478"/>
      <c r="S139" s="478"/>
      <c r="T139" s="478"/>
      <c r="U139" s="478"/>
      <c r="V139" s="479"/>
      <c r="W139" s="478"/>
      <c r="X139" s="478"/>
      <c r="Y139" s="478"/>
      <c r="Z139" s="478"/>
      <c r="AA139" s="478"/>
      <c r="AB139" s="478"/>
      <c r="AC139" s="478"/>
      <c r="AD139" s="478"/>
      <c r="AE139" s="478"/>
      <c r="AF139" s="213"/>
      <c r="AG139" s="480"/>
      <c r="AH139" s="480"/>
      <c r="AI139" s="480"/>
      <c r="AJ139" s="480"/>
      <c r="AK139" s="480"/>
      <c r="AL139" s="480"/>
      <c r="AM139" s="480"/>
      <c r="AN139" s="480"/>
      <c r="AO139" s="480"/>
      <c r="AP139" s="480"/>
      <c r="AQ139" s="480"/>
      <c r="AR139" s="480"/>
      <c r="AS139" s="480"/>
      <c r="AT139" s="480"/>
      <c r="AU139" s="480"/>
      <c r="AV139" s="480"/>
      <c r="AW139" s="480"/>
      <c r="AX139" s="480"/>
      <c r="AY139" s="480"/>
      <c r="AZ139" s="480"/>
      <c r="BA139" s="480"/>
      <c r="BB139" s="480"/>
      <c r="BC139" s="480"/>
      <c r="BD139" s="480"/>
      <c r="BE139" s="213"/>
      <c r="BF139" s="479"/>
      <c r="BG139" s="479"/>
      <c r="BH139" s="370"/>
      <c r="BI139" s="472"/>
      <c r="BJ139" s="481"/>
      <c r="BK139" s="310"/>
      <c r="BL139" s="310">
        <f t="shared" si="0"/>
        <v>0</v>
      </c>
      <c r="BM139" s="7"/>
    </row>
    <row r="140" spans="1:65" ht="20.25" customHeight="1">
      <c r="A140" s="503"/>
      <c r="B140" s="483" t="s">
        <v>320</v>
      </c>
      <c r="C140" s="484" t="s">
        <v>159</v>
      </c>
      <c r="D140" s="504" t="s">
        <v>271</v>
      </c>
      <c r="E140" s="477"/>
      <c r="F140" s="477"/>
      <c r="G140" s="477"/>
      <c r="H140" s="477"/>
      <c r="I140" s="477"/>
      <c r="J140" s="477"/>
      <c r="K140" s="213"/>
      <c r="L140" s="478"/>
      <c r="M140" s="478"/>
      <c r="N140" s="478"/>
      <c r="O140" s="478"/>
      <c r="P140" s="478"/>
      <c r="Q140" s="478"/>
      <c r="R140" s="478"/>
      <c r="S140" s="478"/>
      <c r="T140" s="478"/>
      <c r="U140" s="478"/>
      <c r="V140" s="479"/>
      <c r="W140" s="478"/>
      <c r="X140" s="478"/>
      <c r="Y140" s="478"/>
      <c r="Z140" s="478"/>
      <c r="AA140" s="478"/>
      <c r="AB140" s="478"/>
      <c r="AC140" s="478"/>
      <c r="AD140" s="478"/>
      <c r="AE140" s="478"/>
      <c r="AF140" s="213"/>
      <c r="AG140" s="480"/>
      <c r="AH140" s="480"/>
      <c r="AI140" s="480"/>
      <c r="AJ140" s="480"/>
      <c r="AK140" s="480"/>
      <c r="AL140" s="480"/>
      <c r="AM140" s="480"/>
      <c r="AN140" s="480"/>
      <c r="AO140" s="480"/>
      <c r="AP140" s="480"/>
      <c r="AQ140" s="480"/>
      <c r="AR140" s="480"/>
      <c r="AS140" s="480"/>
      <c r="AT140" s="480"/>
      <c r="AU140" s="480"/>
      <c r="AV140" s="480"/>
      <c r="AW140" s="480"/>
      <c r="AX140" s="480"/>
      <c r="AY140" s="480"/>
      <c r="AZ140" s="480"/>
      <c r="BA140" s="480"/>
      <c r="BB140" s="480"/>
      <c r="BC140" s="480"/>
      <c r="BD140" s="480"/>
      <c r="BE140" s="213"/>
      <c r="BF140" s="479"/>
      <c r="BG140" s="479"/>
      <c r="BH140" s="370"/>
      <c r="BI140" s="472"/>
      <c r="BJ140" s="481"/>
      <c r="BK140" s="310"/>
      <c r="BL140" s="310">
        <f t="shared" si="0"/>
        <v>0</v>
      </c>
      <c r="BM140" s="7"/>
    </row>
    <row r="141" spans="1:65" ht="20.25" customHeight="1">
      <c r="A141" s="486"/>
      <c r="B141" s="487" t="s">
        <v>321</v>
      </c>
      <c r="C141" s="513" t="s">
        <v>322</v>
      </c>
      <c r="D141" s="412" t="s">
        <v>271</v>
      </c>
      <c r="E141" s="477"/>
      <c r="F141" s="477"/>
      <c r="G141" s="477"/>
      <c r="H141" s="477"/>
      <c r="I141" s="477"/>
      <c r="J141" s="477">
        <v>13.5</v>
      </c>
      <c r="K141" s="213"/>
      <c r="L141" s="478"/>
      <c r="M141" s="478">
        <v>23.9</v>
      </c>
      <c r="N141" s="478"/>
      <c r="O141" s="478"/>
      <c r="P141" s="478"/>
      <c r="Q141" s="478"/>
      <c r="R141" s="478"/>
      <c r="S141" s="478">
        <v>0.3</v>
      </c>
      <c r="T141" s="478"/>
      <c r="U141" s="478">
        <v>16.95</v>
      </c>
      <c r="V141" s="479"/>
      <c r="W141" s="478"/>
      <c r="X141" s="478"/>
      <c r="Y141" s="478"/>
      <c r="Z141" s="478">
        <v>35</v>
      </c>
      <c r="AA141" s="478"/>
      <c r="AB141" s="478"/>
      <c r="AC141" s="478">
        <v>4.2</v>
      </c>
      <c r="AD141" s="478"/>
      <c r="AE141" s="478"/>
      <c r="AF141" s="213"/>
      <c r="AG141" s="480"/>
      <c r="AH141" s="480"/>
      <c r="AI141" s="480"/>
      <c r="AJ141" s="480"/>
      <c r="AK141" s="480"/>
      <c r="AL141" s="480"/>
      <c r="AM141" s="480"/>
      <c r="AN141" s="480"/>
      <c r="AO141" s="480"/>
      <c r="AP141" s="480"/>
      <c r="AQ141" s="480"/>
      <c r="AR141" s="480"/>
      <c r="AS141" s="480"/>
      <c r="AT141" s="480"/>
      <c r="AU141" s="480"/>
      <c r="AV141" s="480"/>
      <c r="AW141" s="480"/>
      <c r="AX141" s="480"/>
      <c r="AY141" s="480"/>
      <c r="AZ141" s="480"/>
      <c r="BA141" s="480"/>
      <c r="BB141" s="480"/>
      <c r="BC141" s="480"/>
      <c r="BD141" s="480"/>
      <c r="BE141" s="213"/>
      <c r="BF141" s="479"/>
      <c r="BG141" s="479"/>
      <c r="BH141" s="372"/>
      <c r="BI141" s="472"/>
      <c r="BJ141" s="481"/>
      <c r="BK141" s="310"/>
      <c r="BL141" s="310">
        <f t="shared" si="0"/>
        <v>93.85</v>
      </c>
      <c r="BM141" s="205"/>
    </row>
    <row r="142" spans="1:65" ht="20.25" customHeight="1">
      <c r="A142" s="503"/>
      <c r="B142" s="483" t="s">
        <v>324</v>
      </c>
      <c r="C142" s="484" t="s">
        <v>131</v>
      </c>
      <c r="D142" s="504" t="s">
        <v>271</v>
      </c>
      <c r="E142" s="477"/>
      <c r="F142" s="477"/>
      <c r="G142" s="477"/>
      <c r="H142" s="477"/>
      <c r="I142" s="477"/>
      <c r="J142" s="477"/>
      <c r="K142" s="213"/>
      <c r="L142" s="478"/>
      <c r="M142" s="478"/>
      <c r="N142" s="478"/>
      <c r="O142" s="478"/>
      <c r="P142" s="478"/>
      <c r="Q142" s="478"/>
      <c r="R142" s="478"/>
      <c r="S142" s="478"/>
      <c r="T142" s="478"/>
      <c r="U142" s="478"/>
      <c r="V142" s="479"/>
      <c r="W142" s="478"/>
      <c r="X142" s="478"/>
      <c r="Y142" s="478"/>
      <c r="Z142" s="478"/>
      <c r="AA142" s="478"/>
      <c r="AB142" s="478"/>
      <c r="AC142" s="478"/>
      <c r="AD142" s="478"/>
      <c r="AE142" s="478"/>
      <c r="AF142" s="213"/>
      <c r="AG142" s="480"/>
      <c r="AH142" s="480"/>
      <c r="AI142" s="480"/>
      <c r="AJ142" s="480"/>
      <c r="AK142" s="480"/>
      <c r="AL142" s="480"/>
      <c r="AM142" s="480"/>
      <c r="AN142" s="480"/>
      <c r="AO142" s="480"/>
      <c r="AP142" s="480"/>
      <c r="AQ142" s="480"/>
      <c r="AR142" s="480"/>
      <c r="AS142" s="480"/>
      <c r="AT142" s="480"/>
      <c r="AU142" s="480"/>
      <c r="AV142" s="480"/>
      <c r="AW142" s="480"/>
      <c r="AX142" s="480"/>
      <c r="AY142" s="480"/>
      <c r="AZ142" s="480"/>
      <c r="BA142" s="480"/>
      <c r="BB142" s="480"/>
      <c r="BC142" s="480"/>
      <c r="BD142" s="480"/>
      <c r="BE142" s="213"/>
      <c r="BF142" s="479"/>
      <c r="BG142" s="479"/>
      <c r="BH142" s="370"/>
      <c r="BI142" s="472"/>
      <c r="BJ142" s="481"/>
      <c r="BK142" s="310"/>
      <c r="BL142" s="310">
        <f t="shared" si="0"/>
        <v>0</v>
      </c>
      <c r="BM142" s="7"/>
    </row>
    <row r="143" spans="1:65" ht="20.25" customHeight="1">
      <c r="A143" s="503"/>
      <c r="B143" s="483" t="s">
        <v>325</v>
      </c>
      <c r="C143" s="484" t="s">
        <v>200</v>
      </c>
      <c r="D143" s="504" t="s">
        <v>271</v>
      </c>
      <c r="E143" s="477"/>
      <c r="F143" s="477"/>
      <c r="G143" s="477"/>
      <c r="H143" s="477"/>
      <c r="I143" s="477"/>
      <c r="J143" s="477"/>
      <c r="K143" s="213"/>
      <c r="L143" s="478"/>
      <c r="M143" s="478"/>
      <c r="N143" s="478"/>
      <c r="O143" s="478"/>
      <c r="P143" s="478"/>
      <c r="Q143" s="478"/>
      <c r="R143" s="478"/>
      <c r="S143" s="478"/>
      <c r="T143" s="478"/>
      <c r="U143" s="478"/>
      <c r="V143" s="479"/>
      <c r="W143" s="478"/>
      <c r="X143" s="478"/>
      <c r="Y143" s="478"/>
      <c r="Z143" s="478"/>
      <c r="AA143" s="478"/>
      <c r="AB143" s="478"/>
      <c r="AC143" s="478"/>
      <c r="AD143" s="478"/>
      <c r="AE143" s="478"/>
      <c r="AF143" s="213"/>
      <c r="AG143" s="480"/>
      <c r="AH143" s="480"/>
      <c r="AI143" s="480"/>
      <c r="AJ143" s="480"/>
      <c r="AK143" s="480"/>
      <c r="AL143" s="480"/>
      <c r="AM143" s="480"/>
      <c r="AN143" s="480"/>
      <c r="AO143" s="480"/>
      <c r="AP143" s="480"/>
      <c r="AQ143" s="480"/>
      <c r="AR143" s="480"/>
      <c r="AS143" s="480"/>
      <c r="AT143" s="480"/>
      <c r="AU143" s="480"/>
      <c r="AV143" s="480"/>
      <c r="AW143" s="480"/>
      <c r="AX143" s="480"/>
      <c r="AY143" s="480"/>
      <c r="AZ143" s="480"/>
      <c r="BA143" s="480"/>
      <c r="BB143" s="480"/>
      <c r="BC143" s="480"/>
      <c r="BD143" s="480"/>
      <c r="BE143" s="213"/>
      <c r="BF143" s="479"/>
      <c r="BG143" s="479"/>
      <c r="BH143" s="370"/>
      <c r="BI143" s="472"/>
      <c r="BJ143" s="481"/>
      <c r="BK143" s="310"/>
      <c r="BL143" s="310">
        <f t="shared" si="0"/>
        <v>0</v>
      </c>
      <c r="BM143" s="7"/>
    </row>
    <row r="144" spans="1:65" ht="20.25" customHeight="1">
      <c r="A144" s="503"/>
      <c r="B144" s="483" t="s">
        <v>326</v>
      </c>
      <c r="C144" s="484" t="s">
        <v>203</v>
      </c>
      <c r="D144" s="504" t="s">
        <v>271</v>
      </c>
      <c r="E144" s="477"/>
      <c r="F144" s="477"/>
      <c r="G144" s="477"/>
      <c r="H144" s="477"/>
      <c r="I144" s="477"/>
      <c r="J144" s="477"/>
      <c r="K144" s="213"/>
      <c r="L144" s="478"/>
      <c r="M144" s="478"/>
      <c r="N144" s="478"/>
      <c r="O144" s="478"/>
      <c r="P144" s="478"/>
      <c r="Q144" s="478"/>
      <c r="R144" s="478"/>
      <c r="S144" s="478"/>
      <c r="T144" s="478"/>
      <c r="U144" s="478"/>
      <c r="V144" s="479"/>
      <c r="W144" s="478"/>
      <c r="X144" s="478"/>
      <c r="Y144" s="478"/>
      <c r="Z144" s="478"/>
      <c r="AA144" s="478"/>
      <c r="AB144" s="478"/>
      <c r="AC144" s="478"/>
      <c r="AD144" s="478"/>
      <c r="AE144" s="478"/>
      <c r="AF144" s="213"/>
      <c r="AG144" s="480"/>
      <c r="AH144" s="480"/>
      <c r="AI144" s="480"/>
      <c r="AJ144" s="480"/>
      <c r="AK144" s="480"/>
      <c r="AL144" s="480"/>
      <c r="AM144" s="480"/>
      <c r="AN144" s="480"/>
      <c r="AO144" s="480"/>
      <c r="AP144" s="480"/>
      <c r="AQ144" s="480"/>
      <c r="AR144" s="480"/>
      <c r="AS144" s="480"/>
      <c r="AT144" s="480"/>
      <c r="AU144" s="480"/>
      <c r="AV144" s="480"/>
      <c r="AW144" s="480"/>
      <c r="AX144" s="480"/>
      <c r="AY144" s="480"/>
      <c r="AZ144" s="480"/>
      <c r="BA144" s="480"/>
      <c r="BB144" s="480"/>
      <c r="BC144" s="480"/>
      <c r="BD144" s="480"/>
      <c r="BE144" s="213"/>
      <c r="BF144" s="479"/>
      <c r="BG144" s="479"/>
      <c r="BH144" s="370"/>
      <c r="BI144" s="472"/>
      <c r="BJ144" s="481"/>
      <c r="BK144" s="310"/>
      <c r="BL144" s="310">
        <f t="shared" si="0"/>
        <v>0</v>
      </c>
      <c r="BM144" s="7"/>
    </row>
    <row r="145" spans="1:65" ht="20.25" customHeight="1">
      <c r="A145" s="503"/>
      <c r="B145" s="483" t="s">
        <v>327</v>
      </c>
      <c r="C145" s="484" t="s">
        <v>159</v>
      </c>
      <c r="D145" s="504" t="s">
        <v>271</v>
      </c>
      <c r="E145" s="477"/>
      <c r="F145" s="477"/>
      <c r="G145" s="477"/>
      <c r="H145" s="477"/>
      <c r="I145" s="477"/>
      <c r="J145" s="477"/>
      <c r="K145" s="213"/>
      <c r="L145" s="478"/>
      <c r="M145" s="478"/>
      <c r="N145" s="478"/>
      <c r="O145" s="478"/>
      <c r="P145" s="478"/>
      <c r="Q145" s="478"/>
      <c r="R145" s="478"/>
      <c r="S145" s="478"/>
      <c r="T145" s="478"/>
      <c r="U145" s="478"/>
      <c r="V145" s="479"/>
      <c r="W145" s="478"/>
      <c r="X145" s="478"/>
      <c r="Y145" s="478"/>
      <c r="Z145" s="478"/>
      <c r="AA145" s="478"/>
      <c r="AB145" s="478"/>
      <c r="AC145" s="478"/>
      <c r="AD145" s="478"/>
      <c r="AE145" s="478"/>
      <c r="AF145" s="213"/>
      <c r="AG145" s="480"/>
      <c r="AH145" s="480"/>
      <c r="AI145" s="480"/>
      <c r="AJ145" s="480"/>
      <c r="AK145" s="480"/>
      <c r="AL145" s="480"/>
      <c r="AM145" s="480"/>
      <c r="AN145" s="480"/>
      <c r="AO145" s="480"/>
      <c r="AP145" s="480"/>
      <c r="AQ145" s="480"/>
      <c r="AR145" s="480"/>
      <c r="AS145" s="480"/>
      <c r="AT145" s="480"/>
      <c r="AU145" s="480"/>
      <c r="AV145" s="480"/>
      <c r="AW145" s="480"/>
      <c r="AX145" s="480"/>
      <c r="AY145" s="480"/>
      <c r="AZ145" s="480"/>
      <c r="BA145" s="480"/>
      <c r="BB145" s="480"/>
      <c r="BC145" s="480"/>
      <c r="BD145" s="480"/>
      <c r="BE145" s="213"/>
      <c r="BF145" s="479"/>
      <c r="BG145" s="479"/>
      <c r="BH145" s="370"/>
      <c r="BI145" s="472"/>
      <c r="BJ145" s="481"/>
      <c r="BK145" s="310"/>
      <c r="BL145" s="310">
        <f t="shared" si="0"/>
        <v>0</v>
      </c>
      <c r="BM145" s="7"/>
    </row>
    <row r="146" spans="1:65" ht="20.25" customHeight="1">
      <c r="A146" s="486"/>
      <c r="B146" s="487" t="s">
        <v>328</v>
      </c>
      <c r="C146" s="488" t="s">
        <v>329</v>
      </c>
      <c r="D146" s="412" t="s">
        <v>271</v>
      </c>
      <c r="E146" s="477"/>
      <c r="F146" s="477">
        <v>85.4</v>
      </c>
      <c r="G146" s="477"/>
      <c r="H146" s="477">
        <v>55</v>
      </c>
      <c r="I146" s="477"/>
      <c r="J146" s="477">
        <v>266.7</v>
      </c>
      <c r="K146" s="213"/>
      <c r="L146" s="478"/>
      <c r="M146" s="478"/>
      <c r="N146" s="478"/>
      <c r="O146" s="478"/>
      <c r="P146" s="478"/>
      <c r="Q146" s="478"/>
      <c r="R146" s="478"/>
      <c r="S146" s="478"/>
      <c r="T146" s="478"/>
      <c r="U146" s="478"/>
      <c r="V146" s="479">
        <v>389</v>
      </c>
      <c r="W146" s="478"/>
      <c r="X146" s="478"/>
      <c r="Y146" s="478"/>
      <c r="Z146" s="478"/>
      <c r="AA146" s="478">
        <v>8.5</v>
      </c>
      <c r="AB146" s="478"/>
      <c r="AC146" s="478"/>
      <c r="AD146" s="478"/>
      <c r="AE146" s="478"/>
      <c r="AF146" s="213"/>
      <c r="AG146" s="480"/>
      <c r="AH146" s="480"/>
      <c r="AI146" s="480"/>
      <c r="AJ146" s="480"/>
      <c r="AK146" s="480"/>
      <c r="AL146" s="480"/>
      <c r="AM146" s="480"/>
      <c r="AN146" s="480"/>
      <c r="AO146" s="480"/>
      <c r="AP146" s="480"/>
      <c r="AQ146" s="480"/>
      <c r="AR146" s="480"/>
      <c r="AS146" s="480"/>
      <c r="AT146" s="480"/>
      <c r="AU146" s="480"/>
      <c r="AV146" s="480"/>
      <c r="AW146" s="480"/>
      <c r="AX146" s="480"/>
      <c r="AY146" s="480"/>
      <c r="AZ146" s="480"/>
      <c r="BA146" s="480"/>
      <c r="BB146" s="480"/>
      <c r="BC146" s="480"/>
      <c r="BD146" s="480"/>
      <c r="BE146" s="213"/>
      <c r="BF146" s="479"/>
      <c r="BG146" s="479"/>
      <c r="BH146" s="372"/>
      <c r="BI146" s="472"/>
      <c r="BJ146" s="481"/>
      <c r="BK146" s="310"/>
      <c r="BL146" s="310">
        <f t="shared" si="0"/>
        <v>804.6</v>
      </c>
      <c r="BM146" s="7"/>
    </row>
    <row r="147" spans="1:65" ht="20.25" customHeight="1">
      <c r="A147" s="482"/>
      <c r="B147" s="483" t="s">
        <v>331</v>
      </c>
      <c r="C147" s="484" t="s">
        <v>131</v>
      </c>
      <c r="D147" s="504" t="s">
        <v>271</v>
      </c>
      <c r="E147" s="477"/>
      <c r="F147" s="477"/>
      <c r="G147" s="477"/>
      <c r="H147" s="477"/>
      <c r="I147" s="477"/>
      <c r="J147" s="477"/>
      <c r="K147" s="213"/>
      <c r="L147" s="478"/>
      <c r="M147" s="478"/>
      <c r="N147" s="478"/>
      <c r="O147" s="478"/>
      <c r="P147" s="478"/>
      <c r="Q147" s="478"/>
      <c r="R147" s="478"/>
      <c r="S147" s="478"/>
      <c r="T147" s="478"/>
      <c r="U147" s="478"/>
      <c r="V147" s="479"/>
      <c r="W147" s="478"/>
      <c r="X147" s="478"/>
      <c r="Y147" s="478"/>
      <c r="Z147" s="478"/>
      <c r="AA147" s="478"/>
      <c r="AB147" s="478"/>
      <c r="AC147" s="478"/>
      <c r="AD147" s="478"/>
      <c r="AE147" s="478"/>
      <c r="AF147" s="213"/>
      <c r="AG147" s="480"/>
      <c r="AH147" s="480"/>
      <c r="AI147" s="480"/>
      <c r="AJ147" s="480"/>
      <c r="AK147" s="480"/>
      <c r="AL147" s="480"/>
      <c r="AM147" s="480"/>
      <c r="AN147" s="480"/>
      <c r="AO147" s="480"/>
      <c r="AP147" s="480"/>
      <c r="AQ147" s="480"/>
      <c r="AR147" s="480"/>
      <c r="AS147" s="480"/>
      <c r="AT147" s="480"/>
      <c r="AU147" s="480"/>
      <c r="AV147" s="480"/>
      <c r="AW147" s="480"/>
      <c r="AX147" s="480"/>
      <c r="AY147" s="480"/>
      <c r="AZ147" s="480"/>
      <c r="BA147" s="480"/>
      <c r="BB147" s="480"/>
      <c r="BC147" s="480"/>
      <c r="BD147" s="480"/>
      <c r="BE147" s="213"/>
      <c r="BF147" s="479"/>
      <c r="BG147" s="479"/>
      <c r="BH147" s="372"/>
      <c r="BI147" s="472"/>
      <c r="BJ147" s="481"/>
      <c r="BK147" s="310"/>
      <c r="BL147" s="310">
        <f t="shared" si="0"/>
        <v>0</v>
      </c>
      <c r="BM147" s="7"/>
    </row>
    <row r="148" spans="1:65" ht="20.25" customHeight="1">
      <c r="A148" s="482"/>
      <c r="B148" s="483" t="s">
        <v>332</v>
      </c>
      <c r="C148" s="484" t="s">
        <v>200</v>
      </c>
      <c r="D148" s="504" t="s">
        <v>271</v>
      </c>
      <c r="E148" s="477"/>
      <c r="F148" s="477"/>
      <c r="G148" s="477"/>
      <c r="H148" s="477"/>
      <c r="I148" s="477"/>
      <c r="J148" s="477"/>
      <c r="K148" s="213"/>
      <c r="L148" s="478"/>
      <c r="M148" s="478"/>
      <c r="N148" s="478"/>
      <c r="O148" s="478"/>
      <c r="P148" s="478"/>
      <c r="Q148" s="478"/>
      <c r="R148" s="478"/>
      <c r="S148" s="478"/>
      <c r="T148" s="478"/>
      <c r="U148" s="478"/>
      <c r="V148" s="479"/>
      <c r="W148" s="478"/>
      <c r="X148" s="478"/>
      <c r="Y148" s="478"/>
      <c r="Z148" s="478"/>
      <c r="AA148" s="478"/>
      <c r="AB148" s="478"/>
      <c r="AC148" s="478"/>
      <c r="AD148" s="478"/>
      <c r="AE148" s="478"/>
      <c r="AF148" s="213"/>
      <c r="AG148" s="480"/>
      <c r="AH148" s="480"/>
      <c r="AI148" s="480"/>
      <c r="AJ148" s="480"/>
      <c r="AK148" s="480"/>
      <c r="AL148" s="480"/>
      <c r="AM148" s="480"/>
      <c r="AN148" s="480"/>
      <c r="AO148" s="480"/>
      <c r="AP148" s="480"/>
      <c r="AQ148" s="480"/>
      <c r="AR148" s="480"/>
      <c r="AS148" s="480"/>
      <c r="AT148" s="480"/>
      <c r="AU148" s="480"/>
      <c r="AV148" s="480"/>
      <c r="AW148" s="480"/>
      <c r="AX148" s="480"/>
      <c r="AY148" s="480"/>
      <c r="AZ148" s="480"/>
      <c r="BA148" s="480"/>
      <c r="BB148" s="480"/>
      <c r="BC148" s="480"/>
      <c r="BD148" s="480"/>
      <c r="BE148" s="213"/>
      <c r="BF148" s="479"/>
      <c r="BG148" s="479"/>
      <c r="BH148" s="372"/>
      <c r="BI148" s="472"/>
      <c r="BJ148" s="481"/>
      <c r="BK148" s="310"/>
      <c r="BL148" s="310">
        <f t="shared" si="0"/>
        <v>0</v>
      </c>
      <c r="BM148" s="7"/>
    </row>
    <row r="149" spans="1:65" ht="20.25" customHeight="1">
      <c r="A149" s="482"/>
      <c r="B149" s="483" t="s">
        <v>333</v>
      </c>
      <c r="C149" s="484" t="s">
        <v>203</v>
      </c>
      <c r="D149" s="504" t="s">
        <v>271</v>
      </c>
      <c r="E149" s="477"/>
      <c r="F149" s="477"/>
      <c r="G149" s="477"/>
      <c r="H149" s="477"/>
      <c r="I149" s="477"/>
      <c r="J149" s="477"/>
      <c r="K149" s="213"/>
      <c r="L149" s="478"/>
      <c r="M149" s="478"/>
      <c r="N149" s="478"/>
      <c r="O149" s="478"/>
      <c r="P149" s="478"/>
      <c r="Q149" s="478"/>
      <c r="R149" s="478"/>
      <c r="S149" s="478"/>
      <c r="T149" s="478"/>
      <c r="U149" s="478"/>
      <c r="V149" s="479"/>
      <c r="W149" s="478"/>
      <c r="X149" s="478"/>
      <c r="Y149" s="478"/>
      <c r="Z149" s="478"/>
      <c r="AA149" s="478"/>
      <c r="AB149" s="478"/>
      <c r="AC149" s="478"/>
      <c r="AD149" s="478"/>
      <c r="AE149" s="478"/>
      <c r="AF149" s="213"/>
      <c r="AG149" s="480"/>
      <c r="AH149" s="480"/>
      <c r="AI149" s="480"/>
      <c r="AJ149" s="480"/>
      <c r="AK149" s="480"/>
      <c r="AL149" s="480"/>
      <c r="AM149" s="480"/>
      <c r="AN149" s="480"/>
      <c r="AO149" s="480"/>
      <c r="AP149" s="480"/>
      <c r="AQ149" s="480"/>
      <c r="AR149" s="480"/>
      <c r="AS149" s="480"/>
      <c r="AT149" s="480"/>
      <c r="AU149" s="480"/>
      <c r="AV149" s="480"/>
      <c r="AW149" s="480"/>
      <c r="AX149" s="480"/>
      <c r="AY149" s="480"/>
      <c r="AZ149" s="480"/>
      <c r="BA149" s="480"/>
      <c r="BB149" s="480"/>
      <c r="BC149" s="480"/>
      <c r="BD149" s="480"/>
      <c r="BE149" s="213"/>
      <c r="BF149" s="479"/>
      <c r="BG149" s="479"/>
      <c r="BH149" s="372"/>
      <c r="BI149" s="472"/>
      <c r="BJ149" s="481"/>
      <c r="BK149" s="310"/>
      <c r="BL149" s="310">
        <f t="shared" si="0"/>
        <v>0</v>
      </c>
      <c r="BM149" s="7"/>
    </row>
    <row r="150" spans="1:65" ht="20.25" customHeight="1">
      <c r="A150" s="482"/>
      <c r="B150" s="483" t="s">
        <v>334</v>
      </c>
      <c r="C150" s="484" t="s">
        <v>159</v>
      </c>
      <c r="D150" s="504" t="s">
        <v>271</v>
      </c>
      <c r="E150" s="477"/>
      <c r="F150" s="477"/>
      <c r="G150" s="477"/>
      <c r="H150" s="477"/>
      <c r="I150" s="477"/>
      <c r="J150" s="477"/>
      <c r="K150" s="213"/>
      <c r="L150" s="478"/>
      <c r="M150" s="478"/>
      <c r="N150" s="478"/>
      <c r="O150" s="478"/>
      <c r="P150" s="478"/>
      <c r="Q150" s="478"/>
      <c r="R150" s="478"/>
      <c r="S150" s="478"/>
      <c r="T150" s="478"/>
      <c r="U150" s="478"/>
      <c r="V150" s="479"/>
      <c r="W150" s="478"/>
      <c r="X150" s="478"/>
      <c r="Y150" s="478"/>
      <c r="Z150" s="478"/>
      <c r="AA150" s="478"/>
      <c r="AB150" s="478"/>
      <c r="AC150" s="478"/>
      <c r="AD150" s="478"/>
      <c r="AE150" s="478"/>
      <c r="AF150" s="213"/>
      <c r="AG150" s="480"/>
      <c r="AH150" s="480"/>
      <c r="AI150" s="480"/>
      <c r="AJ150" s="480"/>
      <c r="AK150" s="480"/>
      <c r="AL150" s="480"/>
      <c r="AM150" s="480"/>
      <c r="AN150" s="480"/>
      <c r="AO150" s="480"/>
      <c r="AP150" s="480"/>
      <c r="AQ150" s="480"/>
      <c r="AR150" s="480"/>
      <c r="AS150" s="480"/>
      <c r="AT150" s="480"/>
      <c r="AU150" s="480"/>
      <c r="AV150" s="480"/>
      <c r="AW150" s="480"/>
      <c r="AX150" s="480"/>
      <c r="AY150" s="480"/>
      <c r="AZ150" s="480"/>
      <c r="BA150" s="480"/>
      <c r="BB150" s="480"/>
      <c r="BC150" s="480"/>
      <c r="BD150" s="480"/>
      <c r="BE150" s="213"/>
      <c r="BF150" s="479"/>
      <c r="BG150" s="479"/>
      <c r="BH150" s="372"/>
      <c r="BI150" s="472"/>
      <c r="BJ150" s="481"/>
      <c r="BK150" s="310"/>
      <c r="BL150" s="310">
        <f t="shared" si="0"/>
        <v>0</v>
      </c>
      <c r="BM150" s="7"/>
    </row>
    <row r="151" spans="1:65" ht="20.25" customHeight="1">
      <c r="A151" s="486"/>
      <c r="B151" s="487" t="s">
        <v>335</v>
      </c>
      <c r="C151" s="488" t="s">
        <v>336</v>
      </c>
      <c r="D151" s="412" t="s">
        <v>271</v>
      </c>
      <c r="E151" s="477"/>
      <c r="F151" s="477"/>
      <c r="G151" s="477"/>
      <c r="H151" s="477"/>
      <c r="I151" s="477"/>
      <c r="J151" s="477"/>
      <c r="K151" s="213"/>
      <c r="L151" s="478"/>
      <c r="M151" s="478"/>
      <c r="N151" s="478"/>
      <c r="O151" s="478"/>
      <c r="P151" s="478"/>
      <c r="Q151" s="478"/>
      <c r="R151" s="478"/>
      <c r="S151" s="478"/>
      <c r="T151" s="478"/>
      <c r="U151" s="478"/>
      <c r="V151" s="479"/>
      <c r="W151" s="478"/>
      <c r="X151" s="478"/>
      <c r="Y151" s="478"/>
      <c r="Z151" s="478"/>
      <c r="AA151" s="478"/>
      <c r="AB151" s="478"/>
      <c r="AC151" s="478"/>
      <c r="AD151" s="478"/>
      <c r="AE151" s="478"/>
      <c r="AF151" s="213"/>
      <c r="AG151" s="480"/>
      <c r="AH151" s="480"/>
      <c r="AI151" s="480"/>
      <c r="AJ151" s="480"/>
      <c r="AK151" s="480"/>
      <c r="AL151" s="480"/>
      <c r="AM151" s="480"/>
      <c r="AN151" s="480"/>
      <c r="AO151" s="480"/>
      <c r="AP151" s="480"/>
      <c r="AQ151" s="480"/>
      <c r="AR151" s="480"/>
      <c r="AS151" s="480"/>
      <c r="AT151" s="480"/>
      <c r="AU151" s="480"/>
      <c r="AV151" s="480"/>
      <c r="AW151" s="480"/>
      <c r="AX151" s="480"/>
      <c r="AY151" s="480"/>
      <c r="AZ151" s="480"/>
      <c r="BA151" s="480"/>
      <c r="BB151" s="480"/>
      <c r="BC151" s="480"/>
      <c r="BD151" s="480"/>
      <c r="BE151" s="213"/>
      <c r="BF151" s="479"/>
      <c r="BG151" s="479"/>
      <c r="BH151" s="372"/>
      <c r="BI151" s="472"/>
      <c r="BJ151" s="481"/>
      <c r="BK151" s="310"/>
      <c r="BL151" s="310">
        <f t="shared" si="0"/>
        <v>0</v>
      </c>
      <c r="BM151" s="7"/>
    </row>
    <row r="152" spans="1:65" ht="20.25" hidden="1" customHeight="1">
      <c r="A152" s="482" t="s">
        <v>1455</v>
      </c>
      <c r="B152" s="483" t="s">
        <v>338</v>
      </c>
      <c r="C152" s="484" t="s">
        <v>131</v>
      </c>
      <c r="D152" s="504" t="s">
        <v>271</v>
      </c>
      <c r="E152" s="477"/>
      <c r="F152" s="477"/>
      <c r="G152" s="477"/>
      <c r="H152" s="477"/>
      <c r="I152" s="477"/>
      <c r="J152" s="477"/>
      <c r="K152" s="213"/>
      <c r="L152" s="478"/>
      <c r="M152" s="478"/>
      <c r="N152" s="478"/>
      <c r="O152" s="478"/>
      <c r="P152" s="478"/>
      <c r="Q152" s="478"/>
      <c r="R152" s="478"/>
      <c r="S152" s="478"/>
      <c r="T152" s="478"/>
      <c r="U152" s="478"/>
      <c r="V152" s="479"/>
      <c r="W152" s="478"/>
      <c r="X152" s="478"/>
      <c r="Y152" s="478"/>
      <c r="Z152" s="478"/>
      <c r="AA152" s="478"/>
      <c r="AB152" s="478"/>
      <c r="AC152" s="478"/>
      <c r="AD152" s="478"/>
      <c r="AE152" s="478"/>
      <c r="AF152" s="213"/>
      <c r="AG152" s="480"/>
      <c r="AH152" s="480"/>
      <c r="AI152" s="480"/>
      <c r="AJ152" s="480"/>
      <c r="AK152" s="480"/>
      <c r="AL152" s="480"/>
      <c r="AM152" s="480"/>
      <c r="AN152" s="480"/>
      <c r="AO152" s="480"/>
      <c r="AP152" s="480"/>
      <c r="AQ152" s="480"/>
      <c r="AR152" s="480"/>
      <c r="AS152" s="480"/>
      <c r="AT152" s="480"/>
      <c r="AU152" s="480"/>
      <c r="AV152" s="480"/>
      <c r="AW152" s="480"/>
      <c r="AX152" s="480"/>
      <c r="AY152" s="480"/>
      <c r="AZ152" s="480"/>
      <c r="BA152" s="480"/>
      <c r="BB152" s="480"/>
      <c r="BC152" s="480"/>
      <c r="BD152" s="480"/>
      <c r="BE152" s="213"/>
      <c r="BF152" s="479"/>
      <c r="BG152" s="479"/>
      <c r="BH152" s="372"/>
      <c r="BI152" s="472"/>
      <c r="BJ152" s="481"/>
      <c r="BK152" s="310"/>
      <c r="BL152" s="310">
        <f t="shared" si="0"/>
        <v>0</v>
      </c>
      <c r="BM152" s="7"/>
    </row>
    <row r="153" spans="1:65" ht="20.25" hidden="1" customHeight="1">
      <c r="A153" s="482" t="s">
        <v>1456</v>
      </c>
      <c r="B153" s="483" t="s">
        <v>339</v>
      </c>
      <c r="C153" s="484" t="s">
        <v>200</v>
      </c>
      <c r="D153" s="504" t="s">
        <v>271</v>
      </c>
      <c r="E153" s="477"/>
      <c r="F153" s="477"/>
      <c r="G153" s="477"/>
      <c r="H153" s="477"/>
      <c r="I153" s="477"/>
      <c r="J153" s="477"/>
      <c r="K153" s="213"/>
      <c r="L153" s="478"/>
      <c r="M153" s="478"/>
      <c r="N153" s="478"/>
      <c r="O153" s="478"/>
      <c r="P153" s="478"/>
      <c r="Q153" s="478"/>
      <c r="R153" s="478"/>
      <c r="S153" s="478"/>
      <c r="T153" s="478"/>
      <c r="U153" s="478"/>
      <c r="V153" s="479"/>
      <c r="W153" s="478"/>
      <c r="X153" s="478"/>
      <c r="Y153" s="478"/>
      <c r="Z153" s="478"/>
      <c r="AA153" s="478"/>
      <c r="AB153" s="478"/>
      <c r="AC153" s="478"/>
      <c r="AD153" s="478"/>
      <c r="AE153" s="478"/>
      <c r="AF153" s="213"/>
      <c r="AG153" s="480"/>
      <c r="AH153" s="480"/>
      <c r="AI153" s="480"/>
      <c r="AJ153" s="480"/>
      <c r="AK153" s="480"/>
      <c r="AL153" s="480"/>
      <c r="AM153" s="480"/>
      <c r="AN153" s="480"/>
      <c r="AO153" s="480"/>
      <c r="AP153" s="480"/>
      <c r="AQ153" s="480"/>
      <c r="AR153" s="480"/>
      <c r="AS153" s="480"/>
      <c r="AT153" s="480"/>
      <c r="AU153" s="480"/>
      <c r="AV153" s="480"/>
      <c r="AW153" s="480"/>
      <c r="AX153" s="480"/>
      <c r="AY153" s="480"/>
      <c r="AZ153" s="480"/>
      <c r="BA153" s="480"/>
      <c r="BB153" s="480"/>
      <c r="BC153" s="480"/>
      <c r="BD153" s="480"/>
      <c r="BE153" s="213"/>
      <c r="BF153" s="479"/>
      <c r="BG153" s="479"/>
      <c r="BH153" s="372"/>
      <c r="BI153" s="472"/>
      <c r="BJ153" s="481"/>
      <c r="BK153" s="310"/>
      <c r="BL153" s="310">
        <f t="shared" si="0"/>
        <v>0</v>
      </c>
      <c r="BM153" s="205"/>
    </row>
    <row r="154" spans="1:65" ht="20.25" hidden="1" customHeight="1">
      <c r="A154" s="482" t="s">
        <v>1457</v>
      </c>
      <c r="B154" s="483" t="s">
        <v>340</v>
      </c>
      <c r="C154" s="484" t="s">
        <v>203</v>
      </c>
      <c r="D154" s="504" t="s">
        <v>271</v>
      </c>
      <c r="E154" s="477"/>
      <c r="F154" s="477"/>
      <c r="G154" s="477"/>
      <c r="H154" s="477"/>
      <c r="I154" s="477"/>
      <c r="J154" s="477"/>
      <c r="K154" s="213"/>
      <c r="L154" s="478"/>
      <c r="M154" s="478"/>
      <c r="N154" s="478"/>
      <c r="O154" s="478"/>
      <c r="P154" s="478"/>
      <c r="Q154" s="478"/>
      <c r="R154" s="478"/>
      <c r="S154" s="478"/>
      <c r="T154" s="478"/>
      <c r="U154" s="478"/>
      <c r="V154" s="479"/>
      <c r="W154" s="478"/>
      <c r="X154" s="478"/>
      <c r="Y154" s="478"/>
      <c r="Z154" s="478"/>
      <c r="AA154" s="478"/>
      <c r="AB154" s="478"/>
      <c r="AC154" s="478"/>
      <c r="AD154" s="478"/>
      <c r="AE154" s="478"/>
      <c r="AF154" s="213"/>
      <c r="AG154" s="480"/>
      <c r="AH154" s="480"/>
      <c r="AI154" s="480"/>
      <c r="AJ154" s="480"/>
      <c r="AK154" s="480"/>
      <c r="AL154" s="480"/>
      <c r="AM154" s="480"/>
      <c r="AN154" s="480"/>
      <c r="AO154" s="480"/>
      <c r="AP154" s="480"/>
      <c r="AQ154" s="480"/>
      <c r="AR154" s="480"/>
      <c r="AS154" s="480"/>
      <c r="AT154" s="480"/>
      <c r="AU154" s="480"/>
      <c r="AV154" s="480"/>
      <c r="AW154" s="480"/>
      <c r="AX154" s="480"/>
      <c r="AY154" s="480"/>
      <c r="AZ154" s="480"/>
      <c r="BA154" s="480"/>
      <c r="BB154" s="480"/>
      <c r="BC154" s="480"/>
      <c r="BD154" s="480"/>
      <c r="BE154" s="213"/>
      <c r="BF154" s="479"/>
      <c r="BG154" s="479"/>
      <c r="BH154" s="372"/>
      <c r="BI154" s="472"/>
      <c r="BJ154" s="481"/>
      <c r="BK154" s="310"/>
      <c r="BL154" s="310">
        <f t="shared" si="0"/>
        <v>0</v>
      </c>
      <c r="BM154" s="205"/>
    </row>
    <row r="155" spans="1:65" ht="20.25" hidden="1" customHeight="1">
      <c r="A155" s="482" t="s">
        <v>1458</v>
      </c>
      <c r="B155" s="483" t="s">
        <v>341</v>
      </c>
      <c r="C155" s="484" t="s">
        <v>159</v>
      </c>
      <c r="D155" s="504" t="s">
        <v>271</v>
      </c>
      <c r="E155" s="477"/>
      <c r="F155" s="477"/>
      <c r="G155" s="477"/>
      <c r="H155" s="477"/>
      <c r="I155" s="477"/>
      <c r="J155" s="477"/>
      <c r="K155" s="213"/>
      <c r="L155" s="478"/>
      <c r="M155" s="478"/>
      <c r="N155" s="478"/>
      <c r="O155" s="478"/>
      <c r="P155" s="478"/>
      <c r="Q155" s="478"/>
      <c r="R155" s="478"/>
      <c r="S155" s="478"/>
      <c r="T155" s="478"/>
      <c r="U155" s="478"/>
      <c r="V155" s="479"/>
      <c r="W155" s="478"/>
      <c r="X155" s="478"/>
      <c r="Y155" s="478"/>
      <c r="Z155" s="478"/>
      <c r="AA155" s="478"/>
      <c r="AB155" s="478"/>
      <c r="AC155" s="478"/>
      <c r="AD155" s="478"/>
      <c r="AE155" s="478"/>
      <c r="AF155" s="213"/>
      <c r="AG155" s="480"/>
      <c r="AH155" s="480"/>
      <c r="AI155" s="480"/>
      <c r="AJ155" s="480"/>
      <c r="AK155" s="480"/>
      <c r="AL155" s="480"/>
      <c r="AM155" s="480"/>
      <c r="AN155" s="480"/>
      <c r="AO155" s="480"/>
      <c r="AP155" s="480"/>
      <c r="AQ155" s="480"/>
      <c r="AR155" s="480"/>
      <c r="AS155" s="480"/>
      <c r="AT155" s="480"/>
      <c r="AU155" s="480"/>
      <c r="AV155" s="480"/>
      <c r="AW155" s="480"/>
      <c r="AX155" s="480"/>
      <c r="AY155" s="480"/>
      <c r="AZ155" s="480"/>
      <c r="BA155" s="480"/>
      <c r="BB155" s="480"/>
      <c r="BC155" s="480"/>
      <c r="BD155" s="480"/>
      <c r="BE155" s="213"/>
      <c r="BF155" s="479"/>
      <c r="BG155" s="479"/>
      <c r="BH155" s="372"/>
      <c r="BI155" s="472"/>
      <c r="BJ155" s="481"/>
      <c r="BK155" s="310"/>
      <c r="BL155" s="310">
        <f t="shared" si="0"/>
        <v>0</v>
      </c>
      <c r="BM155" s="7"/>
    </row>
    <row r="156" spans="1:65" ht="20.25" customHeight="1">
      <c r="A156" s="486"/>
      <c r="B156" s="487" t="s">
        <v>342</v>
      </c>
      <c r="C156" s="488" t="s">
        <v>343</v>
      </c>
      <c r="D156" s="412" t="s">
        <v>271</v>
      </c>
      <c r="E156" s="477"/>
      <c r="F156" s="477"/>
      <c r="G156" s="477"/>
      <c r="H156" s="477"/>
      <c r="I156" s="477"/>
      <c r="J156" s="477"/>
      <c r="K156" s="213"/>
      <c r="L156" s="478"/>
      <c r="M156" s="478"/>
      <c r="N156" s="478"/>
      <c r="O156" s="478"/>
      <c r="P156" s="478"/>
      <c r="Q156" s="478"/>
      <c r="R156" s="478"/>
      <c r="S156" s="478"/>
      <c r="T156" s="478"/>
      <c r="U156" s="478"/>
      <c r="V156" s="479"/>
      <c r="W156" s="478"/>
      <c r="X156" s="478"/>
      <c r="Y156" s="478"/>
      <c r="Z156" s="478"/>
      <c r="AA156" s="478"/>
      <c r="AB156" s="478"/>
      <c r="AC156" s="478"/>
      <c r="AD156" s="478"/>
      <c r="AE156" s="478"/>
      <c r="AF156" s="213"/>
      <c r="AG156" s="480"/>
      <c r="AH156" s="480"/>
      <c r="AI156" s="480"/>
      <c r="AJ156" s="480"/>
      <c r="AK156" s="480"/>
      <c r="AL156" s="480"/>
      <c r="AM156" s="480"/>
      <c r="AN156" s="480"/>
      <c r="AO156" s="480"/>
      <c r="AP156" s="480"/>
      <c r="AQ156" s="480"/>
      <c r="AR156" s="480"/>
      <c r="AS156" s="480"/>
      <c r="AT156" s="480"/>
      <c r="AU156" s="480"/>
      <c r="AV156" s="480"/>
      <c r="AW156" s="480"/>
      <c r="AX156" s="480"/>
      <c r="AY156" s="480"/>
      <c r="AZ156" s="480"/>
      <c r="BA156" s="480"/>
      <c r="BB156" s="480"/>
      <c r="BC156" s="480"/>
      <c r="BD156" s="480"/>
      <c r="BE156" s="213"/>
      <c r="BF156" s="479"/>
      <c r="BG156" s="479"/>
      <c r="BH156" s="372"/>
      <c r="BI156" s="472"/>
      <c r="BJ156" s="481"/>
      <c r="BK156" s="310"/>
      <c r="BL156" s="310">
        <f t="shared" si="0"/>
        <v>0</v>
      </c>
      <c r="BM156" s="7"/>
    </row>
    <row r="157" spans="1:65" ht="20.25" customHeight="1">
      <c r="A157" s="503" t="s">
        <v>1459</v>
      </c>
      <c r="B157" s="483" t="s">
        <v>344</v>
      </c>
      <c r="C157" s="484" t="s">
        <v>131</v>
      </c>
      <c r="D157" s="504" t="s">
        <v>271</v>
      </c>
      <c r="E157" s="477"/>
      <c r="F157" s="477"/>
      <c r="G157" s="477"/>
      <c r="H157" s="477"/>
      <c r="I157" s="477"/>
      <c r="J157" s="477"/>
      <c r="K157" s="213"/>
      <c r="L157" s="478"/>
      <c r="M157" s="478"/>
      <c r="N157" s="478"/>
      <c r="O157" s="478"/>
      <c r="P157" s="478"/>
      <c r="Q157" s="478"/>
      <c r="R157" s="478"/>
      <c r="S157" s="478"/>
      <c r="T157" s="478"/>
      <c r="U157" s="478"/>
      <c r="V157" s="479"/>
      <c r="W157" s="478"/>
      <c r="X157" s="478"/>
      <c r="Y157" s="478"/>
      <c r="Z157" s="478"/>
      <c r="AA157" s="478"/>
      <c r="AB157" s="478"/>
      <c r="AC157" s="478"/>
      <c r="AD157" s="478"/>
      <c r="AE157" s="478"/>
      <c r="AF157" s="213"/>
      <c r="AG157" s="480"/>
      <c r="AH157" s="480"/>
      <c r="AI157" s="480"/>
      <c r="AJ157" s="480"/>
      <c r="AK157" s="480"/>
      <c r="AL157" s="480"/>
      <c r="AM157" s="480"/>
      <c r="AN157" s="480"/>
      <c r="AO157" s="480"/>
      <c r="AP157" s="480"/>
      <c r="AQ157" s="480"/>
      <c r="AR157" s="480"/>
      <c r="AS157" s="480"/>
      <c r="AT157" s="480"/>
      <c r="AU157" s="480"/>
      <c r="AV157" s="480"/>
      <c r="AW157" s="480"/>
      <c r="AX157" s="480"/>
      <c r="AY157" s="480"/>
      <c r="AZ157" s="480"/>
      <c r="BA157" s="480"/>
      <c r="BB157" s="480"/>
      <c r="BC157" s="480"/>
      <c r="BD157" s="480"/>
      <c r="BE157" s="213"/>
      <c r="BF157" s="479"/>
      <c r="BG157" s="479"/>
      <c r="BH157" s="372"/>
      <c r="BI157" s="472"/>
      <c r="BJ157" s="481"/>
      <c r="BK157" s="310"/>
      <c r="BL157" s="310">
        <f t="shared" si="0"/>
        <v>0</v>
      </c>
      <c r="BM157" s="7"/>
    </row>
    <row r="158" spans="1:65" ht="20.25" customHeight="1">
      <c r="A158" s="503" t="s">
        <v>1460</v>
      </c>
      <c r="B158" s="483" t="s">
        <v>345</v>
      </c>
      <c r="C158" s="484" t="s">
        <v>200</v>
      </c>
      <c r="D158" s="504" t="s">
        <v>271</v>
      </c>
      <c r="E158" s="477"/>
      <c r="F158" s="477"/>
      <c r="G158" s="477"/>
      <c r="H158" s="477"/>
      <c r="I158" s="477"/>
      <c r="J158" s="477"/>
      <c r="K158" s="213"/>
      <c r="L158" s="478"/>
      <c r="M158" s="478"/>
      <c r="N158" s="478"/>
      <c r="O158" s="478"/>
      <c r="P158" s="478"/>
      <c r="Q158" s="478"/>
      <c r="R158" s="478"/>
      <c r="S158" s="478"/>
      <c r="T158" s="478"/>
      <c r="U158" s="478"/>
      <c r="V158" s="479"/>
      <c r="W158" s="478"/>
      <c r="X158" s="478"/>
      <c r="Y158" s="478"/>
      <c r="Z158" s="478"/>
      <c r="AA158" s="478"/>
      <c r="AB158" s="478"/>
      <c r="AC158" s="478"/>
      <c r="AD158" s="478"/>
      <c r="AE158" s="478"/>
      <c r="AF158" s="213"/>
      <c r="AG158" s="480"/>
      <c r="AH158" s="480"/>
      <c r="AI158" s="480"/>
      <c r="AJ158" s="480"/>
      <c r="AK158" s="480"/>
      <c r="AL158" s="480"/>
      <c r="AM158" s="480"/>
      <c r="AN158" s="480"/>
      <c r="AO158" s="480"/>
      <c r="AP158" s="480"/>
      <c r="AQ158" s="480"/>
      <c r="AR158" s="480"/>
      <c r="AS158" s="480"/>
      <c r="AT158" s="480"/>
      <c r="AU158" s="480"/>
      <c r="AV158" s="480"/>
      <c r="AW158" s="480"/>
      <c r="AX158" s="480"/>
      <c r="AY158" s="480"/>
      <c r="AZ158" s="480"/>
      <c r="BA158" s="480"/>
      <c r="BB158" s="480"/>
      <c r="BC158" s="480"/>
      <c r="BD158" s="480"/>
      <c r="BE158" s="213"/>
      <c r="BF158" s="479"/>
      <c r="BG158" s="479"/>
      <c r="BH158" s="372"/>
      <c r="BI158" s="472"/>
      <c r="BJ158" s="481"/>
      <c r="BK158" s="310"/>
      <c r="BL158" s="310">
        <f t="shared" si="0"/>
        <v>0</v>
      </c>
      <c r="BM158" s="7"/>
    </row>
    <row r="159" spans="1:65" ht="20.25" customHeight="1">
      <c r="A159" s="503" t="s">
        <v>1461</v>
      </c>
      <c r="B159" s="483" t="s">
        <v>346</v>
      </c>
      <c r="C159" s="484" t="s">
        <v>203</v>
      </c>
      <c r="D159" s="504" t="s">
        <v>271</v>
      </c>
      <c r="E159" s="477"/>
      <c r="F159" s="477"/>
      <c r="G159" s="477"/>
      <c r="H159" s="477"/>
      <c r="I159" s="477"/>
      <c r="J159" s="477"/>
      <c r="K159" s="213"/>
      <c r="L159" s="478"/>
      <c r="M159" s="478"/>
      <c r="N159" s="478"/>
      <c r="O159" s="478"/>
      <c r="P159" s="478"/>
      <c r="Q159" s="478"/>
      <c r="R159" s="478"/>
      <c r="S159" s="478"/>
      <c r="T159" s="478"/>
      <c r="U159" s="478"/>
      <c r="V159" s="479"/>
      <c r="W159" s="478"/>
      <c r="X159" s="478"/>
      <c r="Y159" s="478"/>
      <c r="Z159" s="478"/>
      <c r="AA159" s="478"/>
      <c r="AB159" s="478"/>
      <c r="AC159" s="478"/>
      <c r="AD159" s="478"/>
      <c r="AE159" s="478"/>
      <c r="AF159" s="213"/>
      <c r="AG159" s="480"/>
      <c r="AH159" s="480"/>
      <c r="AI159" s="480"/>
      <c r="AJ159" s="480"/>
      <c r="AK159" s="480"/>
      <c r="AL159" s="480"/>
      <c r="AM159" s="480"/>
      <c r="AN159" s="480"/>
      <c r="AO159" s="480"/>
      <c r="AP159" s="480"/>
      <c r="AQ159" s="480"/>
      <c r="AR159" s="480"/>
      <c r="AS159" s="480"/>
      <c r="AT159" s="480"/>
      <c r="AU159" s="480"/>
      <c r="AV159" s="480"/>
      <c r="AW159" s="480"/>
      <c r="AX159" s="480"/>
      <c r="AY159" s="480"/>
      <c r="AZ159" s="480"/>
      <c r="BA159" s="480"/>
      <c r="BB159" s="480"/>
      <c r="BC159" s="480"/>
      <c r="BD159" s="480"/>
      <c r="BE159" s="213"/>
      <c r="BF159" s="479"/>
      <c r="BG159" s="479"/>
      <c r="BH159" s="372"/>
      <c r="BI159" s="472"/>
      <c r="BJ159" s="481"/>
      <c r="BK159" s="310"/>
      <c r="BL159" s="310">
        <f t="shared" si="0"/>
        <v>0</v>
      </c>
      <c r="BM159" s="7"/>
    </row>
    <row r="160" spans="1:65" ht="20.25" customHeight="1">
      <c r="A160" s="503" t="s">
        <v>1462</v>
      </c>
      <c r="B160" s="483" t="s">
        <v>347</v>
      </c>
      <c r="C160" s="484" t="s">
        <v>159</v>
      </c>
      <c r="D160" s="504" t="s">
        <v>271</v>
      </c>
      <c r="E160" s="477"/>
      <c r="F160" s="477"/>
      <c r="G160" s="477"/>
      <c r="H160" s="477"/>
      <c r="I160" s="477"/>
      <c r="J160" s="477"/>
      <c r="K160" s="213"/>
      <c r="L160" s="478"/>
      <c r="M160" s="478"/>
      <c r="N160" s="478"/>
      <c r="O160" s="478"/>
      <c r="P160" s="478"/>
      <c r="Q160" s="478"/>
      <c r="R160" s="478"/>
      <c r="S160" s="478"/>
      <c r="T160" s="478"/>
      <c r="U160" s="478"/>
      <c r="V160" s="479"/>
      <c r="W160" s="478"/>
      <c r="X160" s="478"/>
      <c r="Y160" s="478"/>
      <c r="Z160" s="478"/>
      <c r="AA160" s="478"/>
      <c r="AB160" s="478"/>
      <c r="AC160" s="478"/>
      <c r="AD160" s="478"/>
      <c r="AE160" s="478"/>
      <c r="AF160" s="213"/>
      <c r="AG160" s="480"/>
      <c r="AH160" s="480"/>
      <c r="AI160" s="480"/>
      <c r="AJ160" s="480"/>
      <c r="AK160" s="480"/>
      <c r="AL160" s="480"/>
      <c r="AM160" s="480"/>
      <c r="AN160" s="480"/>
      <c r="AO160" s="480"/>
      <c r="AP160" s="480"/>
      <c r="AQ160" s="480"/>
      <c r="AR160" s="480"/>
      <c r="AS160" s="480"/>
      <c r="AT160" s="480"/>
      <c r="AU160" s="480"/>
      <c r="AV160" s="480"/>
      <c r="AW160" s="480"/>
      <c r="AX160" s="480"/>
      <c r="AY160" s="480"/>
      <c r="AZ160" s="480"/>
      <c r="BA160" s="480"/>
      <c r="BB160" s="480"/>
      <c r="BC160" s="480"/>
      <c r="BD160" s="480"/>
      <c r="BE160" s="213"/>
      <c r="BF160" s="479"/>
      <c r="BG160" s="479"/>
      <c r="BH160" s="372"/>
      <c r="BI160" s="472"/>
      <c r="BJ160" s="481"/>
      <c r="BK160" s="310"/>
      <c r="BL160" s="310">
        <f t="shared" si="0"/>
        <v>0</v>
      </c>
      <c r="BM160" s="7"/>
    </row>
    <row r="161" spans="1:65" ht="20.25" customHeight="1">
      <c r="A161" s="486">
        <v>6.9</v>
      </c>
      <c r="B161" s="487" t="s">
        <v>348</v>
      </c>
      <c r="C161" s="488" t="s">
        <v>349</v>
      </c>
      <c r="D161" s="412" t="s">
        <v>350</v>
      </c>
      <c r="E161" s="477"/>
      <c r="F161" s="477"/>
      <c r="G161" s="477"/>
      <c r="H161" s="477"/>
      <c r="I161" s="477"/>
      <c r="J161" s="477"/>
      <c r="K161" s="213"/>
      <c r="L161" s="478"/>
      <c r="M161" s="478"/>
      <c r="N161" s="478"/>
      <c r="O161" s="478"/>
      <c r="P161" s="478"/>
      <c r="Q161" s="478"/>
      <c r="R161" s="478"/>
      <c r="S161" s="478"/>
      <c r="T161" s="478"/>
      <c r="U161" s="478"/>
      <c r="V161" s="479"/>
      <c r="W161" s="478"/>
      <c r="X161" s="478"/>
      <c r="Y161" s="478"/>
      <c r="Z161" s="478">
        <v>15</v>
      </c>
      <c r="AA161" s="478"/>
      <c r="AB161" s="478"/>
      <c r="AC161" s="478"/>
      <c r="AD161" s="478"/>
      <c r="AE161" s="478"/>
      <c r="AF161" s="213"/>
      <c r="AG161" s="480"/>
      <c r="AH161" s="480"/>
      <c r="AI161" s="480"/>
      <c r="AJ161" s="480"/>
      <c r="AK161" s="480"/>
      <c r="AL161" s="480"/>
      <c r="AM161" s="480"/>
      <c r="AN161" s="480"/>
      <c r="AO161" s="480"/>
      <c r="AP161" s="480"/>
      <c r="AQ161" s="480"/>
      <c r="AR161" s="480"/>
      <c r="AS161" s="480"/>
      <c r="AT161" s="480"/>
      <c r="AU161" s="480"/>
      <c r="AV161" s="480"/>
      <c r="AW161" s="480"/>
      <c r="AX161" s="480"/>
      <c r="AY161" s="480"/>
      <c r="AZ161" s="480"/>
      <c r="BA161" s="480"/>
      <c r="BB161" s="480"/>
      <c r="BC161" s="480"/>
      <c r="BD161" s="480"/>
      <c r="BE161" s="213"/>
      <c r="BF161" s="479"/>
      <c r="BG161" s="479"/>
      <c r="BH161" s="372"/>
      <c r="BI161" s="472"/>
      <c r="BJ161" s="481"/>
      <c r="BK161" s="310"/>
      <c r="BL161" s="310">
        <f t="shared" si="0"/>
        <v>15</v>
      </c>
      <c r="BM161" s="7"/>
    </row>
    <row r="162" spans="1:65" ht="20.25" customHeight="1">
      <c r="A162" s="486" t="s">
        <v>1463</v>
      </c>
      <c r="B162" s="487" t="s">
        <v>352</v>
      </c>
      <c r="C162" s="488" t="s">
        <v>353</v>
      </c>
      <c r="D162" s="412" t="s">
        <v>271</v>
      </c>
      <c r="E162" s="477"/>
      <c r="F162" s="477"/>
      <c r="G162" s="477"/>
      <c r="H162" s="477"/>
      <c r="I162" s="477"/>
      <c r="J162" s="477"/>
      <c r="K162" s="213"/>
      <c r="L162" s="478"/>
      <c r="M162" s="478"/>
      <c r="N162" s="478"/>
      <c r="O162" s="478"/>
      <c r="P162" s="478"/>
      <c r="Q162" s="478"/>
      <c r="R162" s="478"/>
      <c r="S162" s="478"/>
      <c r="T162" s="478"/>
      <c r="U162" s="478"/>
      <c r="V162" s="479"/>
      <c r="W162" s="478"/>
      <c r="X162" s="478"/>
      <c r="Y162" s="478"/>
      <c r="Z162" s="478"/>
      <c r="AA162" s="478"/>
      <c r="AB162" s="478"/>
      <c r="AC162" s="478"/>
      <c r="AD162" s="478"/>
      <c r="AE162" s="478"/>
      <c r="AF162" s="213"/>
      <c r="AG162" s="480"/>
      <c r="AH162" s="480"/>
      <c r="AI162" s="480"/>
      <c r="AJ162" s="480"/>
      <c r="AK162" s="480"/>
      <c r="AL162" s="480"/>
      <c r="AM162" s="480"/>
      <c r="AN162" s="480"/>
      <c r="AO162" s="480"/>
      <c r="AP162" s="480"/>
      <c r="AQ162" s="480"/>
      <c r="AR162" s="480"/>
      <c r="AS162" s="480"/>
      <c r="AT162" s="480"/>
      <c r="AU162" s="480"/>
      <c r="AV162" s="480"/>
      <c r="AW162" s="480"/>
      <c r="AX162" s="480"/>
      <c r="AY162" s="480"/>
      <c r="AZ162" s="480"/>
      <c r="BA162" s="480"/>
      <c r="BB162" s="480"/>
      <c r="BC162" s="480"/>
      <c r="BD162" s="480"/>
      <c r="BE162" s="213"/>
      <c r="BF162" s="479"/>
      <c r="BG162" s="479"/>
      <c r="BH162" s="370"/>
      <c r="BI162" s="472"/>
      <c r="BJ162" s="481"/>
      <c r="BK162" s="310"/>
      <c r="BL162" s="310">
        <f t="shared" si="0"/>
        <v>0</v>
      </c>
      <c r="BM162" s="7"/>
    </row>
    <row r="163" spans="1:65" ht="20.25" customHeight="1">
      <c r="A163" s="486">
        <v>6.11</v>
      </c>
      <c r="B163" s="487" t="s">
        <v>356</v>
      </c>
      <c r="C163" s="488" t="s">
        <v>357</v>
      </c>
      <c r="D163" s="412" t="s">
        <v>358</v>
      </c>
      <c r="E163" s="477"/>
      <c r="F163" s="477"/>
      <c r="G163" s="477"/>
      <c r="H163" s="477"/>
      <c r="I163" s="477"/>
      <c r="J163" s="477"/>
      <c r="K163" s="213"/>
      <c r="L163" s="478"/>
      <c r="M163" s="478"/>
      <c r="N163" s="478"/>
      <c r="O163" s="478"/>
      <c r="P163" s="478"/>
      <c r="Q163" s="478"/>
      <c r="R163" s="478"/>
      <c r="S163" s="478"/>
      <c r="T163" s="478"/>
      <c r="U163" s="478"/>
      <c r="V163" s="479"/>
      <c r="W163" s="478"/>
      <c r="X163" s="478"/>
      <c r="Y163" s="478"/>
      <c r="Z163" s="478"/>
      <c r="AA163" s="478"/>
      <c r="AB163" s="478"/>
      <c r="AC163" s="478"/>
      <c r="AD163" s="478"/>
      <c r="AE163" s="478"/>
      <c r="AF163" s="213"/>
      <c r="AG163" s="480"/>
      <c r="AH163" s="480"/>
      <c r="AI163" s="480"/>
      <c r="AJ163" s="480"/>
      <c r="AK163" s="480"/>
      <c r="AL163" s="480"/>
      <c r="AM163" s="480"/>
      <c r="AN163" s="480"/>
      <c r="AO163" s="480"/>
      <c r="AP163" s="480"/>
      <c r="AQ163" s="480"/>
      <c r="AR163" s="480"/>
      <c r="AS163" s="480"/>
      <c r="AT163" s="480"/>
      <c r="AU163" s="480"/>
      <c r="AV163" s="480"/>
      <c r="AW163" s="480"/>
      <c r="AX163" s="480"/>
      <c r="AY163" s="480"/>
      <c r="AZ163" s="480"/>
      <c r="BA163" s="480"/>
      <c r="BB163" s="480"/>
      <c r="BC163" s="480"/>
      <c r="BD163" s="480"/>
      <c r="BE163" s="213"/>
      <c r="BF163" s="479"/>
      <c r="BG163" s="479"/>
      <c r="BH163" s="370"/>
      <c r="BI163" s="472"/>
      <c r="BJ163" s="481"/>
      <c r="BK163" s="310"/>
      <c r="BL163" s="310">
        <f t="shared" si="0"/>
        <v>0</v>
      </c>
      <c r="BM163" s="7"/>
    </row>
    <row r="164" spans="1:65" ht="20.25" customHeight="1">
      <c r="A164" s="486">
        <v>6.12</v>
      </c>
      <c r="B164" s="487" t="s">
        <v>360</v>
      </c>
      <c r="C164" s="488" t="s">
        <v>361</v>
      </c>
      <c r="D164" s="412" t="s">
        <v>358</v>
      </c>
      <c r="E164" s="477"/>
      <c r="F164" s="477"/>
      <c r="G164" s="477"/>
      <c r="H164" s="477"/>
      <c r="I164" s="477"/>
      <c r="J164" s="477"/>
      <c r="K164" s="213"/>
      <c r="L164" s="478"/>
      <c r="M164" s="478"/>
      <c r="N164" s="478"/>
      <c r="O164" s="478"/>
      <c r="P164" s="478"/>
      <c r="Q164" s="478"/>
      <c r="R164" s="478"/>
      <c r="S164" s="478"/>
      <c r="T164" s="478"/>
      <c r="U164" s="478"/>
      <c r="V164" s="479"/>
      <c r="W164" s="478"/>
      <c r="X164" s="478"/>
      <c r="Y164" s="478"/>
      <c r="Z164" s="478"/>
      <c r="AA164" s="478"/>
      <c r="AB164" s="478"/>
      <c r="AC164" s="478"/>
      <c r="AD164" s="478"/>
      <c r="AE164" s="478"/>
      <c r="AF164" s="213"/>
      <c r="AG164" s="480"/>
      <c r="AH164" s="480"/>
      <c r="AI164" s="480"/>
      <c r="AJ164" s="480"/>
      <c r="AK164" s="480"/>
      <c r="AL164" s="480"/>
      <c r="AM164" s="480"/>
      <c r="AN164" s="480"/>
      <c r="AO164" s="480"/>
      <c r="AP164" s="480"/>
      <c r="AQ164" s="480"/>
      <c r="AR164" s="480"/>
      <c r="AS164" s="480"/>
      <c r="AT164" s="480"/>
      <c r="AU164" s="480"/>
      <c r="AV164" s="480"/>
      <c r="AW164" s="480"/>
      <c r="AX164" s="480"/>
      <c r="AY164" s="480"/>
      <c r="AZ164" s="480"/>
      <c r="BA164" s="480"/>
      <c r="BB164" s="480"/>
      <c r="BC164" s="480"/>
      <c r="BD164" s="480"/>
      <c r="BE164" s="213"/>
      <c r="BF164" s="479"/>
      <c r="BG164" s="479"/>
      <c r="BH164" s="370"/>
      <c r="BI164" s="472"/>
      <c r="BJ164" s="481"/>
      <c r="BK164" s="310"/>
      <c r="BL164" s="310">
        <f t="shared" si="0"/>
        <v>0</v>
      </c>
      <c r="BM164" s="7"/>
    </row>
    <row r="165" spans="1:65" ht="20.25" customHeight="1">
      <c r="A165" s="486">
        <v>6.13</v>
      </c>
      <c r="B165" s="487" t="s">
        <v>363</v>
      </c>
      <c r="C165" s="488" t="s">
        <v>364</v>
      </c>
      <c r="D165" s="412" t="s">
        <v>271</v>
      </c>
      <c r="E165" s="477"/>
      <c r="F165" s="477"/>
      <c r="G165" s="477"/>
      <c r="H165" s="477"/>
      <c r="I165" s="477"/>
      <c r="J165" s="477"/>
      <c r="K165" s="213"/>
      <c r="L165" s="478"/>
      <c r="M165" s="478"/>
      <c r="N165" s="478"/>
      <c r="O165" s="478"/>
      <c r="P165" s="478"/>
      <c r="Q165" s="478"/>
      <c r="R165" s="478"/>
      <c r="S165" s="478"/>
      <c r="T165" s="478"/>
      <c r="U165" s="478">
        <v>58.851999999999997</v>
      </c>
      <c r="V165" s="479"/>
      <c r="W165" s="478">
        <v>10</v>
      </c>
      <c r="X165" s="478">
        <v>0.35</v>
      </c>
      <c r="Y165" s="478"/>
      <c r="Z165" s="478">
        <v>1.5</v>
      </c>
      <c r="AA165" s="478"/>
      <c r="AB165" s="478"/>
      <c r="AC165" s="478"/>
      <c r="AD165" s="478"/>
      <c r="AE165" s="478"/>
      <c r="AF165" s="213"/>
      <c r="AG165" s="480"/>
      <c r="AH165" s="480"/>
      <c r="AI165" s="480"/>
      <c r="AJ165" s="480"/>
      <c r="AK165" s="480"/>
      <c r="AL165" s="480"/>
      <c r="AM165" s="480"/>
      <c r="AN165" s="480"/>
      <c r="AO165" s="480"/>
      <c r="AP165" s="480"/>
      <c r="AQ165" s="480"/>
      <c r="AR165" s="480"/>
      <c r="AS165" s="480"/>
      <c r="AT165" s="480"/>
      <c r="AU165" s="480"/>
      <c r="AV165" s="480"/>
      <c r="AW165" s="480"/>
      <c r="AX165" s="480"/>
      <c r="AY165" s="480"/>
      <c r="AZ165" s="480"/>
      <c r="BA165" s="480"/>
      <c r="BB165" s="480"/>
      <c r="BC165" s="480"/>
      <c r="BD165" s="480"/>
      <c r="BE165" s="213"/>
      <c r="BF165" s="479"/>
      <c r="BG165" s="479"/>
      <c r="BH165" s="370"/>
      <c r="BI165" s="472"/>
      <c r="BJ165" s="481"/>
      <c r="BK165" s="310"/>
      <c r="BL165" s="310">
        <f t="shared" si="0"/>
        <v>70.701999999999998</v>
      </c>
      <c r="BM165" s="205"/>
    </row>
    <row r="166" spans="1:65" ht="20.25" customHeight="1">
      <c r="A166" s="486">
        <v>6.14</v>
      </c>
      <c r="B166" s="487" t="s">
        <v>365</v>
      </c>
      <c r="C166" s="488" t="s">
        <v>366</v>
      </c>
      <c r="D166" s="412" t="s">
        <v>271</v>
      </c>
      <c r="E166" s="477"/>
      <c r="F166" s="477"/>
      <c r="G166" s="477"/>
      <c r="H166" s="477"/>
      <c r="I166" s="477"/>
      <c r="J166" s="477"/>
      <c r="K166" s="213"/>
      <c r="L166" s="478"/>
      <c r="M166" s="478"/>
      <c r="N166" s="478"/>
      <c r="O166" s="478"/>
      <c r="P166" s="478"/>
      <c r="Q166" s="478"/>
      <c r="R166" s="478"/>
      <c r="S166" s="478"/>
      <c r="T166" s="478"/>
      <c r="U166" s="478"/>
      <c r="V166" s="479"/>
      <c r="W166" s="478"/>
      <c r="X166" s="478"/>
      <c r="Y166" s="478"/>
      <c r="Z166" s="478"/>
      <c r="AA166" s="478"/>
      <c r="AB166" s="478"/>
      <c r="AC166" s="478"/>
      <c r="AD166" s="478"/>
      <c r="AE166" s="478"/>
      <c r="AF166" s="213"/>
      <c r="AG166" s="480"/>
      <c r="AH166" s="480"/>
      <c r="AI166" s="480"/>
      <c r="AJ166" s="480"/>
      <c r="AK166" s="480"/>
      <c r="AL166" s="480"/>
      <c r="AM166" s="480"/>
      <c r="AN166" s="480"/>
      <c r="AO166" s="480"/>
      <c r="AP166" s="480"/>
      <c r="AQ166" s="480"/>
      <c r="AR166" s="480"/>
      <c r="AS166" s="480"/>
      <c r="AT166" s="480"/>
      <c r="AU166" s="480"/>
      <c r="AV166" s="480"/>
      <c r="AW166" s="480"/>
      <c r="AX166" s="480"/>
      <c r="AY166" s="480"/>
      <c r="AZ166" s="480"/>
      <c r="BA166" s="480"/>
      <c r="BB166" s="480"/>
      <c r="BC166" s="480"/>
      <c r="BD166" s="480"/>
      <c r="BE166" s="213"/>
      <c r="BF166" s="479"/>
      <c r="BG166" s="479"/>
      <c r="BH166" s="370"/>
      <c r="BI166" s="472"/>
      <c r="BJ166" s="481"/>
      <c r="BK166" s="310"/>
      <c r="BL166" s="310">
        <f t="shared" si="0"/>
        <v>0</v>
      </c>
      <c r="BM166" s="7"/>
    </row>
    <row r="167" spans="1:65" ht="20.25" customHeight="1">
      <c r="A167" s="486">
        <v>6.15</v>
      </c>
      <c r="B167" s="487" t="s">
        <v>367</v>
      </c>
      <c r="C167" s="488" t="s">
        <v>368</v>
      </c>
      <c r="D167" s="412" t="s">
        <v>358</v>
      </c>
      <c r="E167" s="477"/>
      <c r="F167" s="477"/>
      <c r="G167" s="477"/>
      <c r="H167" s="477"/>
      <c r="I167" s="477"/>
      <c r="J167" s="477"/>
      <c r="K167" s="213"/>
      <c r="L167" s="478"/>
      <c r="M167" s="478"/>
      <c r="N167" s="478"/>
      <c r="O167" s="478"/>
      <c r="P167" s="478"/>
      <c r="Q167" s="478"/>
      <c r="R167" s="478"/>
      <c r="S167" s="478"/>
      <c r="T167" s="478"/>
      <c r="U167" s="478"/>
      <c r="V167" s="479"/>
      <c r="W167" s="478"/>
      <c r="X167" s="478"/>
      <c r="Y167" s="478"/>
      <c r="Z167" s="478"/>
      <c r="AA167" s="478"/>
      <c r="AB167" s="478"/>
      <c r="AC167" s="478"/>
      <c r="AD167" s="478"/>
      <c r="AE167" s="478"/>
      <c r="AF167" s="213"/>
      <c r="AG167" s="480"/>
      <c r="AH167" s="480"/>
      <c r="AI167" s="480"/>
      <c r="AJ167" s="480"/>
      <c r="AK167" s="480"/>
      <c r="AL167" s="480"/>
      <c r="AM167" s="480"/>
      <c r="AN167" s="480"/>
      <c r="AO167" s="480"/>
      <c r="AP167" s="480"/>
      <c r="AQ167" s="480"/>
      <c r="AR167" s="480"/>
      <c r="AS167" s="480"/>
      <c r="AT167" s="480"/>
      <c r="AU167" s="480"/>
      <c r="AV167" s="480"/>
      <c r="AW167" s="480"/>
      <c r="AX167" s="480"/>
      <c r="AY167" s="480"/>
      <c r="AZ167" s="480"/>
      <c r="BA167" s="480"/>
      <c r="BB167" s="480"/>
      <c r="BC167" s="480"/>
      <c r="BD167" s="480"/>
      <c r="BE167" s="213"/>
      <c r="BF167" s="479"/>
      <c r="BG167" s="479"/>
      <c r="BH167" s="370"/>
      <c r="BI167" s="472"/>
      <c r="BJ167" s="481"/>
      <c r="BK167" s="310"/>
      <c r="BL167" s="310">
        <f t="shared" si="0"/>
        <v>0</v>
      </c>
      <c r="BM167" s="7"/>
    </row>
    <row r="168" spans="1:65" ht="20.25" customHeight="1">
      <c r="A168" s="486">
        <v>6.16</v>
      </c>
      <c r="B168" s="487" t="s">
        <v>369</v>
      </c>
      <c r="C168" s="488" t="s">
        <v>370</v>
      </c>
      <c r="D168" s="412" t="s">
        <v>271</v>
      </c>
      <c r="E168" s="477"/>
      <c r="F168" s="477"/>
      <c r="G168" s="477"/>
      <c r="H168" s="477"/>
      <c r="I168" s="477"/>
      <c r="J168" s="477"/>
      <c r="K168" s="213"/>
      <c r="L168" s="478"/>
      <c r="M168" s="478"/>
      <c r="N168" s="478"/>
      <c r="O168" s="478"/>
      <c r="P168" s="478"/>
      <c r="Q168" s="478"/>
      <c r="R168" s="478"/>
      <c r="S168" s="478"/>
      <c r="T168" s="478"/>
      <c r="U168" s="478"/>
      <c r="V168" s="479"/>
      <c r="W168" s="478"/>
      <c r="X168" s="478"/>
      <c r="Y168" s="478"/>
      <c r="Z168" s="478"/>
      <c r="AA168" s="478"/>
      <c r="AB168" s="478"/>
      <c r="AC168" s="478"/>
      <c r="AD168" s="478"/>
      <c r="AE168" s="478"/>
      <c r="AF168" s="213"/>
      <c r="AG168" s="480"/>
      <c r="AH168" s="480"/>
      <c r="AI168" s="480"/>
      <c r="AJ168" s="480"/>
      <c r="AK168" s="480"/>
      <c r="AL168" s="480"/>
      <c r="AM168" s="480"/>
      <c r="AN168" s="480"/>
      <c r="AO168" s="480"/>
      <c r="AP168" s="480"/>
      <c r="AQ168" s="480"/>
      <c r="AR168" s="480"/>
      <c r="AS168" s="480"/>
      <c r="AT168" s="480"/>
      <c r="AU168" s="480"/>
      <c r="AV168" s="480"/>
      <c r="AW168" s="480"/>
      <c r="AX168" s="480"/>
      <c r="AY168" s="480"/>
      <c r="AZ168" s="480"/>
      <c r="BA168" s="480"/>
      <c r="BB168" s="480"/>
      <c r="BC168" s="480"/>
      <c r="BD168" s="480"/>
      <c r="BE168" s="213"/>
      <c r="BF168" s="479"/>
      <c r="BG168" s="479"/>
      <c r="BH168" s="370"/>
      <c r="BI168" s="472"/>
      <c r="BJ168" s="481"/>
      <c r="BK168" s="310"/>
      <c r="BL168" s="310">
        <f t="shared" si="0"/>
        <v>0</v>
      </c>
      <c r="BM168" s="7"/>
    </row>
    <row r="169" spans="1:65" ht="19.5" customHeight="1">
      <c r="A169" s="486">
        <v>6.12</v>
      </c>
      <c r="B169" s="487" t="s">
        <v>371</v>
      </c>
      <c r="C169" s="488" t="s">
        <v>372</v>
      </c>
      <c r="D169" s="412" t="s">
        <v>271</v>
      </c>
      <c r="E169" s="477"/>
      <c r="F169" s="477"/>
      <c r="G169" s="477"/>
      <c r="H169" s="477"/>
      <c r="I169" s="477"/>
      <c r="J169" s="477"/>
      <c r="K169" s="213"/>
      <c r="L169" s="478"/>
      <c r="M169" s="478"/>
      <c r="N169" s="478"/>
      <c r="O169" s="478"/>
      <c r="P169" s="478"/>
      <c r="Q169" s="478"/>
      <c r="R169" s="478"/>
      <c r="S169" s="478"/>
      <c r="T169" s="478"/>
      <c r="U169" s="478"/>
      <c r="V169" s="479"/>
      <c r="W169" s="478"/>
      <c r="X169" s="478"/>
      <c r="Y169" s="478"/>
      <c r="Z169" s="478"/>
      <c r="AA169" s="478"/>
      <c r="AB169" s="478"/>
      <c r="AC169" s="478"/>
      <c r="AD169" s="478"/>
      <c r="AE169" s="478"/>
      <c r="AF169" s="213"/>
      <c r="AG169" s="480"/>
      <c r="AH169" s="480"/>
      <c r="AI169" s="480"/>
      <c r="AJ169" s="480"/>
      <c r="AK169" s="480"/>
      <c r="AL169" s="480"/>
      <c r="AM169" s="480"/>
      <c r="AN169" s="480"/>
      <c r="AO169" s="480"/>
      <c r="AP169" s="480"/>
      <c r="AQ169" s="480"/>
      <c r="AR169" s="480"/>
      <c r="AS169" s="480"/>
      <c r="AT169" s="480"/>
      <c r="AU169" s="480"/>
      <c r="AV169" s="480"/>
      <c r="AW169" s="480"/>
      <c r="AX169" s="480"/>
      <c r="AY169" s="480"/>
      <c r="AZ169" s="480"/>
      <c r="BA169" s="480"/>
      <c r="BB169" s="480"/>
      <c r="BC169" s="480"/>
      <c r="BD169" s="480"/>
      <c r="BE169" s="213"/>
      <c r="BF169" s="479"/>
      <c r="BG169" s="479"/>
      <c r="BH169" s="370"/>
      <c r="BI169" s="472"/>
      <c r="BJ169" s="481"/>
      <c r="BK169" s="310"/>
      <c r="BL169" s="310">
        <f t="shared" si="0"/>
        <v>0</v>
      </c>
      <c r="BM169" s="7"/>
    </row>
    <row r="170" spans="1:65" ht="19.5" customHeight="1">
      <c r="A170" s="486">
        <v>6.12</v>
      </c>
      <c r="B170" s="487" t="s">
        <v>373</v>
      </c>
      <c r="C170" s="488" t="s">
        <v>374</v>
      </c>
      <c r="D170" s="412" t="s">
        <v>271</v>
      </c>
      <c r="E170" s="477"/>
      <c r="F170" s="477"/>
      <c r="G170" s="477"/>
      <c r="H170" s="477"/>
      <c r="I170" s="477"/>
      <c r="J170" s="477"/>
      <c r="K170" s="213"/>
      <c r="L170" s="478"/>
      <c r="M170" s="478"/>
      <c r="N170" s="478"/>
      <c r="O170" s="478"/>
      <c r="P170" s="478"/>
      <c r="Q170" s="478"/>
      <c r="R170" s="478"/>
      <c r="S170" s="478"/>
      <c r="T170" s="478"/>
      <c r="U170" s="478"/>
      <c r="V170" s="479"/>
      <c r="W170" s="478"/>
      <c r="X170" s="478"/>
      <c r="Y170" s="478"/>
      <c r="Z170" s="478"/>
      <c r="AA170" s="478"/>
      <c r="AB170" s="478"/>
      <c r="AC170" s="478"/>
      <c r="AD170" s="478"/>
      <c r="AE170" s="478"/>
      <c r="AF170" s="213"/>
      <c r="AG170" s="480"/>
      <c r="AH170" s="480"/>
      <c r="AI170" s="480"/>
      <c r="AJ170" s="480"/>
      <c r="AK170" s="480"/>
      <c r="AL170" s="480"/>
      <c r="AM170" s="480"/>
      <c r="AN170" s="480"/>
      <c r="AO170" s="480"/>
      <c r="AP170" s="480"/>
      <c r="AQ170" s="480"/>
      <c r="AR170" s="480"/>
      <c r="AS170" s="480"/>
      <c r="AT170" s="480"/>
      <c r="AU170" s="480"/>
      <c r="AV170" s="480"/>
      <c r="AW170" s="480"/>
      <c r="AX170" s="480"/>
      <c r="AY170" s="480"/>
      <c r="AZ170" s="480"/>
      <c r="BA170" s="480"/>
      <c r="BB170" s="480"/>
      <c r="BC170" s="480"/>
      <c r="BD170" s="480"/>
      <c r="BE170" s="213"/>
      <c r="BF170" s="479"/>
      <c r="BG170" s="479"/>
      <c r="BH170" s="370"/>
      <c r="BI170" s="472"/>
      <c r="BJ170" s="481"/>
      <c r="BK170" s="310"/>
      <c r="BL170" s="310">
        <f t="shared" si="0"/>
        <v>0</v>
      </c>
      <c r="BM170" s="7"/>
    </row>
    <row r="171" spans="1:65" ht="19.5" customHeight="1">
      <c r="A171" s="486">
        <v>6.17</v>
      </c>
      <c r="B171" s="487" t="s">
        <v>375</v>
      </c>
      <c r="C171" s="488" t="s">
        <v>376</v>
      </c>
      <c r="D171" s="491" t="s">
        <v>183</v>
      </c>
      <c r="E171" s="477"/>
      <c r="F171" s="477"/>
      <c r="G171" s="477"/>
      <c r="H171" s="477"/>
      <c r="I171" s="477"/>
      <c r="J171" s="477"/>
      <c r="K171" s="213"/>
      <c r="L171" s="478"/>
      <c r="M171" s="478"/>
      <c r="N171" s="478"/>
      <c r="O171" s="478"/>
      <c r="P171" s="478"/>
      <c r="Q171" s="478"/>
      <c r="R171" s="478"/>
      <c r="S171" s="478"/>
      <c r="T171" s="478"/>
      <c r="U171" s="478"/>
      <c r="V171" s="479"/>
      <c r="W171" s="478"/>
      <c r="X171" s="478"/>
      <c r="Y171" s="478"/>
      <c r="Z171" s="478"/>
      <c r="AA171" s="478"/>
      <c r="AB171" s="478"/>
      <c r="AC171" s="478"/>
      <c r="AD171" s="478"/>
      <c r="AE171" s="478"/>
      <c r="AF171" s="213"/>
      <c r="AG171" s="480"/>
      <c r="AH171" s="480"/>
      <c r="AI171" s="480"/>
      <c r="AJ171" s="480"/>
      <c r="AK171" s="480"/>
      <c r="AL171" s="480"/>
      <c r="AM171" s="480"/>
      <c r="AN171" s="480"/>
      <c r="AO171" s="480"/>
      <c r="AP171" s="480"/>
      <c r="AQ171" s="480"/>
      <c r="AR171" s="480"/>
      <c r="AS171" s="480"/>
      <c r="AT171" s="480"/>
      <c r="AU171" s="480"/>
      <c r="AV171" s="480"/>
      <c r="AW171" s="480"/>
      <c r="AX171" s="480"/>
      <c r="AY171" s="480"/>
      <c r="AZ171" s="480"/>
      <c r="BA171" s="480"/>
      <c r="BB171" s="480"/>
      <c r="BC171" s="480"/>
      <c r="BD171" s="480"/>
      <c r="BE171" s="213"/>
      <c r="BF171" s="479"/>
      <c r="BG171" s="479"/>
      <c r="BH171" s="370"/>
      <c r="BI171" s="472"/>
      <c r="BJ171" s="481"/>
      <c r="BK171" s="310"/>
      <c r="BL171" s="310">
        <f t="shared" si="0"/>
        <v>0</v>
      </c>
      <c r="BM171" s="7"/>
    </row>
    <row r="172" spans="1:65" ht="21" customHeight="1">
      <c r="A172" s="489">
        <v>4</v>
      </c>
      <c r="B172" s="490" t="s">
        <v>378</v>
      </c>
      <c r="C172" s="490" t="s">
        <v>379</v>
      </c>
      <c r="D172" s="491"/>
      <c r="E172" s="477"/>
      <c r="F172" s="477"/>
      <c r="G172" s="477"/>
      <c r="H172" s="477"/>
      <c r="I172" s="477"/>
      <c r="J172" s="477"/>
      <c r="K172" s="213"/>
      <c r="L172" s="478"/>
      <c r="M172" s="478"/>
      <c r="N172" s="478"/>
      <c r="O172" s="478"/>
      <c r="P172" s="478"/>
      <c r="Q172" s="478"/>
      <c r="R172" s="478"/>
      <c r="S172" s="478"/>
      <c r="T172" s="478"/>
      <c r="U172" s="478"/>
      <c r="V172" s="479"/>
      <c r="W172" s="478"/>
      <c r="X172" s="478"/>
      <c r="Y172" s="478"/>
      <c r="Z172" s="478"/>
      <c r="AA172" s="478"/>
      <c r="AB172" s="478"/>
      <c r="AC172" s="478"/>
      <c r="AD172" s="478"/>
      <c r="AE172" s="478"/>
      <c r="AF172" s="213"/>
      <c r="AG172" s="480"/>
      <c r="AH172" s="480"/>
      <c r="AI172" s="480"/>
      <c r="AJ172" s="480"/>
      <c r="AK172" s="480"/>
      <c r="AL172" s="480"/>
      <c r="AM172" s="480"/>
      <c r="AN172" s="480"/>
      <c r="AO172" s="480"/>
      <c r="AP172" s="480"/>
      <c r="AQ172" s="480"/>
      <c r="AR172" s="480"/>
      <c r="AS172" s="480"/>
      <c r="AT172" s="480"/>
      <c r="AU172" s="480"/>
      <c r="AV172" s="480"/>
      <c r="AW172" s="480"/>
      <c r="AX172" s="480"/>
      <c r="AY172" s="480"/>
      <c r="AZ172" s="480"/>
      <c r="BA172" s="480"/>
      <c r="BB172" s="480"/>
      <c r="BC172" s="480"/>
      <c r="BD172" s="480"/>
      <c r="BE172" s="213"/>
      <c r="BF172" s="479"/>
      <c r="BG172" s="479"/>
      <c r="BH172" s="372"/>
      <c r="BI172" s="472"/>
      <c r="BJ172" s="481"/>
      <c r="BK172" s="310"/>
      <c r="BL172" s="310">
        <f t="shared" si="0"/>
        <v>0</v>
      </c>
      <c r="BM172" s="7"/>
    </row>
    <row r="173" spans="1:65" ht="20.25" customHeight="1">
      <c r="A173" s="486"/>
      <c r="B173" s="487" t="s">
        <v>381</v>
      </c>
      <c r="C173" s="488" t="s">
        <v>382</v>
      </c>
      <c r="D173" s="412" t="s">
        <v>383</v>
      </c>
      <c r="E173" s="477"/>
      <c r="F173" s="477"/>
      <c r="G173" s="477"/>
      <c r="H173" s="477"/>
      <c r="I173" s="477"/>
      <c r="J173" s="477"/>
      <c r="K173" s="213"/>
      <c r="L173" s="478"/>
      <c r="M173" s="478"/>
      <c r="N173" s="478"/>
      <c r="O173" s="478"/>
      <c r="P173" s="478"/>
      <c r="Q173" s="478"/>
      <c r="R173" s="478"/>
      <c r="S173" s="478"/>
      <c r="T173" s="478"/>
      <c r="U173" s="478">
        <v>20</v>
      </c>
      <c r="V173" s="479">
        <v>3</v>
      </c>
      <c r="W173" s="478"/>
      <c r="X173" s="478">
        <v>2</v>
      </c>
      <c r="Y173" s="478">
        <v>702</v>
      </c>
      <c r="Z173" s="478">
        <v>22</v>
      </c>
      <c r="AA173" s="478"/>
      <c r="AB173" s="478">
        <v>1</v>
      </c>
      <c r="AC173" s="478">
        <v>1</v>
      </c>
      <c r="AD173" s="478"/>
      <c r="AE173" s="478"/>
      <c r="AF173" s="213"/>
      <c r="AG173" s="480"/>
      <c r="AH173" s="480"/>
      <c r="AI173" s="480"/>
      <c r="AJ173" s="480"/>
      <c r="AK173" s="480"/>
      <c r="AL173" s="480"/>
      <c r="AM173" s="480"/>
      <c r="AN173" s="480"/>
      <c r="AO173" s="480"/>
      <c r="AP173" s="480"/>
      <c r="AQ173" s="480"/>
      <c r="AR173" s="480"/>
      <c r="AS173" s="480"/>
      <c r="AT173" s="480"/>
      <c r="AU173" s="480"/>
      <c r="AV173" s="480"/>
      <c r="AW173" s="480"/>
      <c r="AX173" s="480"/>
      <c r="AY173" s="480"/>
      <c r="AZ173" s="480"/>
      <c r="BA173" s="480"/>
      <c r="BB173" s="480"/>
      <c r="BC173" s="480"/>
      <c r="BD173" s="480"/>
      <c r="BE173" s="213"/>
      <c r="BF173" s="479"/>
      <c r="BG173" s="479"/>
      <c r="BH173" s="372"/>
      <c r="BI173" s="472"/>
      <c r="BJ173" s="481"/>
      <c r="BK173" s="310"/>
      <c r="BL173" s="310">
        <f t="shared" si="0"/>
        <v>751</v>
      </c>
      <c r="BM173" s="7"/>
    </row>
    <row r="174" spans="1:65" ht="20.25" hidden="1" customHeight="1">
      <c r="A174" s="503"/>
      <c r="B174" s="483" t="s">
        <v>386</v>
      </c>
      <c r="C174" s="484" t="s">
        <v>387</v>
      </c>
      <c r="D174" s="504" t="s">
        <v>383</v>
      </c>
      <c r="E174" s="477"/>
      <c r="F174" s="477"/>
      <c r="G174" s="477"/>
      <c r="H174" s="477"/>
      <c r="I174" s="477"/>
      <c r="J174" s="477"/>
      <c r="K174" s="213"/>
      <c r="L174" s="478"/>
      <c r="M174" s="478"/>
      <c r="N174" s="478"/>
      <c r="O174" s="478"/>
      <c r="P174" s="478"/>
      <c r="Q174" s="478"/>
      <c r="R174" s="478"/>
      <c r="S174" s="478"/>
      <c r="T174" s="478"/>
      <c r="U174" s="478">
        <v>20</v>
      </c>
      <c r="V174" s="479"/>
      <c r="W174" s="478"/>
      <c r="X174" s="478"/>
      <c r="Y174" s="478"/>
      <c r="Z174" s="478"/>
      <c r="AA174" s="478"/>
      <c r="AB174" s="478"/>
      <c r="AC174" s="478">
        <v>1</v>
      </c>
      <c r="AD174" s="478"/>
      <c r="AE174" s="478"/>
      <c r="AF174" s="213"/>
      <c r="AG174" s="480"/>
      <c r="AH174" s="480"/>
      <c r="AI174" s="480"/>
      <c r="AJ174" s="480"/>
      <c r="AK174" s="480"/>
      <c r="AL174" s="480"/>
      <c r="AM174" s="480"/>
      <c r="AN174" s="480"/>
      <c r="AO174" s="480"/>
      <c r="AP174" s="480"/>
      <c r="AQ174" s="480"/>
      <c r="AR174" s="480"/>
      <c r="AS174" s="480"/>
      <c r="AT174" s="480"/>
      <c r="AU174" s="480"/>
      <c r="AV174" s="480"/>
      <c r="AW174" s="480"/>
      <c r="AX174" s="480"/>
      <c r="AY174" s="480"/>
      <c r="AZ174" s="480"/>
      <c r="BA174" s="480"/>
      <c r="BB174" s="480"/>
      <c r="BC174" s="480"/>
      <c r="BD174" s="480"/>
      <c r="BE174" s="213"/>
      <c r="BF174" s="479"/>
      <c r="BG174" s="479"/>
      <c r="BH174" s="372"/>
      <c r="BI174" s="472"/>
      <c r="BJ174" s="481"/>
      <c r="BK174" s="310"/>
      <c r="BL174" s="310">
        <f t="shared" si="0"/>
        <v>21</v>
      </c>
      <c r="BM174" s="7"/>
    </row>
    <row r="175" spans="1:65" ht="20.25" hidden="1" customHeight="1">
      <c r="A175" s="503"/>
      <c r="B175" s="483" t="s">
        <v>388</v>
      </c>
      <c r="C175" s="484" t="s">
        <v>389</v>
      </c>
      <c r="D175" s="504" t="s">
        <v>383</v>
      </c>
      <c r="E175" s="477"/>
      <c r="F175" s="477"/>
      <c r="G175" s="477"/>
      <c r="H175" s="477"/>
      <c r="I175" s="477"/>
      <c r="J175" s="477"/>
      <c r="K175" s="213"/>
      <c r="L175" s="478"/>
      <c r="M175" s="478"/>
      <c r="N175" s="478"/>
      <c r="O175" s="478"/>
      <c r="P175" s="478"/>
      <c r="Q175" s="478"/>
      <c r="R175" s="478"/>
      <c r="S175" s="478"/>
      <c r="T175" s="478"/>
      <c r="U175" s="478"/>
      <c r="V175" s="479"/>
      <c r="W175" s="478"/>
      <c r="X175" s="478"/>
      <c r="Y175" s="478"/>
      <c r="Z175" s="478"/>
      <c r="AA175" s="478"/>
      <c r="AB175" s="478"/>
      <c r="AC175" s="478"/>
      <c r="AD175" s="478"/>
      <c r="AE175" s="478"/>
      <c r="AF175" s="213"/>
      <c r="AG175" s="480"/>
      <c r="AH175" s="480"/>
      <c r="AI175" s="480"/>
      <c r="AJ175" s="480"/>
      <c r="AK175" s="480"/>
      <c r="AL175" s="480"/>
      <c r="AM175" s="480"/>
      <c r="AN175" s="480"/>
      <c r="AO175" s="480"/>
      <c r="AP175" s="480"/>
      <c r="AQ175" s="480"/>
      <c r="AR175" s="480"/>
      <c r="AS175" s="480"/>
      <c r="AT175" s="480"/>
      <c r="AU175" s="480"/>
      <c r="AV175" s="480"/>
      <c r="AW175" s="480"/>
      <c r="AX175" s="480"/>
      <c r="AY175" s="480"/>
      <c r="AZ175" s="480"/>
      <c r="BA175" s="480"/>
      <c r="BB175" s="480"/>
      <c r="BC175" s="480"/>
      <c r="BD175" s="480"/>
      <c r="BE175" s="213"/>
      <c r="BF175" s="479"/>
      <c r="BG175" s="479"/>
      <c r="BH175" s="372"/>
      <c r="BI175" s="472"/>
      <c r="BJ175" s="481"/>
      <c r="BK175" s="310"/>
      <c r="BL175" s="310">
        <f t="shared" si="0"/>
        <v>0</v>
      </c>
      <c r="BM175" s="205"/>
    </row>
    <row r="176" spans="1:65" ht="20.25" hidden="1" customHeight="1">
      <c r="A176" s="503"/>
      <c r="B176" s="483" t="s">
        <v>390</v>
      </c>
      <c r="C176" s="484" t="s">
        <v>391</v>
      </c>
      <c r="D176" s="504" t="s">
        <v>383</v>
      </c>
      <c r="E176" s="477"/>
      <c r="F176" s="477"/>
      <c r="G176" s="477"/>
      <c r="H176" s="477"/>
      <c r="I176" s="477"/>
      <c r="J176" s="477"/>
      <c r="K176" s="213"/>
      <c r="L176" s="478"/>
      <c r="M176" s="478"/>
      <c r="N176" s="478"/>
      <c r="O176" s="478"/>
      <c r="P176" s="478"/>
      <c r="Q176" s="478"/>
      <c r="R176" s="478"/>
      <c r="S176" s="478"/>
      <c r="T176" s="478"/>
      <c r="U176" s="478"/>
      <c r="V176" s="479"/>
      <c r="W176" s="478"/>
      <c r="X176" s="478"/>
      <c r="Y176" s="478"/>
      <c r="Z176" s="478"/>
      <c r="AA176" s="478"/>
      <c r="AB176" s="478"/>
      <c r="AC176" s="478"/>
      <c r="AD176" s="478"/>
      <c r="AE176" s="478"/>
      <c r="AF176" s="213"/>
      <c r="AG176" s="480"/>
      <c r="AH176" s="480"/>
      <c r="AI176" s="480"/>
      <c r="AJ176" s="480"/>
      <c r="AK176" s="480"/>
      <c r="AL176" s="480"/>
      <c r="AM176" s="480"/>
      <c r="AN176" s="480"/>
      <c r="AO176" s="480"/>
      <c r="AP176" s="480"/>
      <c r="AQ176" s="480"/>
      <c r="AR176" s="480"/>
      <c r="AS176" s="480"/>
      <c r="AT176" s="480"/>
      <c r="AU176" s="480"/>
      <c r="AV176" s="480"/>
      <c r="AW176" s="480"/>
      <c r="AX176" s="480"/>
      <c r="AY176" s="480"/>
      <c r="AZ176" s="480"/>
      <c r="BA176" s="480"/>
      <c r="BB176" s="480"/>
      <c r="BC176" s="480"/>
      <c r="BD176" s="480"/>
      <c r="BE176" s="213"/>
      <c r="BF176" s="479"/>
      <c r="BG176" s="479"/>
      <c r="BH176" s="372"/>
      <c r="BI176" s="472"/>
      <c r="BJ176" s="481"/>
      <c r="BK176" s="310"/>
      <c r="BL176" s="310">
        <f t="shared" si="0"/>
        <v>0</v>
      </c>
      <c r="BM176" s="7"/>
    </row>
    <row r="177" spans="1:65" ht="20.25" hidden="1" customHeight="1">
      <c r="A177" s="503"/>
      <c r="B177" s="483" t="s">
        <v>392</v>
      </c>
      <c r="C177" s="484" t="s">
        <v>393</v>
      </c>
      <c r="D177" s="504" t="s">
        <v>383</v>
      </c>
      <c r="E177" s="477"/>
      <c r="F177" s="477"/>
      <c r="G177" s="477"/>
      <c r="H177" s="477"/>
      <c r="I177" s="477"/>
      <c r="J177" s="477"/>
      <c r="K177" s="213"/>
      <c r="L177" s="478"/>
      <c r="M177" s="478"/>
      <c r="N177" s="478"/>
      <c r="O177" s="478"/>
      <c r="P177" s="478"/>
      <c r="Q177" s="478"/>
      <c r="R177" s="478"/>
      <c r="S177" s="478"/>
      <c r="T177" s="478"/>
      <c r="U177" s="478"/>
      <c r="V177" s="479"/>
      <c r="W177" s="478"/>
      <c r="X177" s="478"/>
      <c r="Y177" s="478"/>
      <c r="Z177" s="478"/>
      <c r="AA177" s="478"/>
      <c r="AB177" s="478"/>
      <c r="AC177" s="478"/>
      <c r="AD177" s="478"/>
      <c r="AE177" s="478"/>
      <c r="AF177" s="213"/>
      <c r="AG177" s="480"/>
      <c r="AH177" s="480"/>
      <c r="AI177" s="480"/>
      <c r="AJ177" s="480"/>
      <c r="AK177" s="480"/>
      <c r="AL177" s="480"/>
      <c r="AM177" s="480"/>
      <c r="AN177" s="480"/>
      <c r="AO177" s="480"/>
      <c r="AP177" s="480"/>
      <c r="AQ177" s="480"/>
      <c r="AR177" s="480"/>
      <c r="AS177" s="480"/>
      <c r="AT177" s="480"/>
      <c r="AU177" s="480"/>
      <c r="AV177" s="480"/>
      <c r="AW177" s="480"/>
      <c r="AX177" s="480"/>
      <c r="AY177" s="480"/>
      <c r="AZ177" s="480"/>
      <c r="BA177" s="480"/>
      <c r="BB177" s="480"/>
      <c r="BC177" s="480"/>
      <c r="BD177" s="480"/>
      <c r="BE177" s="213"/>
      <c r="BF177" s="479"/>
      <c r="BG177" s="479"/>
      <c r="BH177" s="372"/>
      <c r="BI177" s="472"/>
      <c r="BJ177" s="481"/>
      <c r="BK177" s="310"/>
      <c r="BL177" s="310">
        <f t="shared" si="0"/>
        <v>0</v>
      </c>
      <c r="BM177" s="7"/>
    </row>
    <row r="178" spans="1:65" ht="20.25" customHeight="1">
      <c r="A178" s="486"/>
      <c r="B178" s="487" t="s">
        <v>388</v>
      </c>
      <c r="C178" s="488" t="s">
        <v>394</v>
      </c>
      <c r="D178" s="412" t="s">
        <v>383</v>
      </c>
      <c r="E178" s="477"/>
      <c r="F178" s="477"/>
      <c r="G178" s="477"/>
      <c r="H178" s="477"/>
      <c r="I178" s="477"/>
      <c r="J178" s="477"/>
      <c r="K178" s="213"/>
      <c r="L178" s="478">
        <v>10</v>
      </c>
      <c r="M178" s="478"/>
      <c r="N178" s="478"/>
      <c r="O178" s="478"/>
      <c r="P178" s="478"/>
      <c r="Q178" s="478"/>
      <c r="R178" s="478"/>
      <c r="S178" s="478"/>
      <c r="T178" s="478"/>
      <c r="U178" s="478">
        <v>500</v>
      </c>
      <c r="V178" s="479">
        <v>860</v>
      </c>
      <c r="W178" s="478">
        <v>650</v>
      </c>
      <c r="X178" s="478">
        <v>460</v>
      </c>
      <c r="Y178" s="478">
        <v>54801</v>
      </c>
      <c r="Z178" s="478">
        <v>151</v>
      </c>
      <c r="AA178" s="478">
        <v>5800</v>
      </c>
      <c r="AB178" s="478">
        <v>150</v>
      </c>
      <c r="AC178" s="478"/>
      <c r="AD178" s="478"/>
      <c r="AE178" s="478"/>
      <c r="AF178" s="213"/>
      <c r="AG178" s="480"/>
      <c r="AH178" s="480"/>
      <c r="AI178" s="480"/>
      <c r="AJ178" s="480"/>
      <c r="AK178" s="480"/>
      <c r="AL178" s="480"/>
      <c r="AM178" s="480"/>
      <c r="AN178" s="480"/>
      <c r="AO178" s="480"/>
      <c r="AP178" s="480"/>
      <c r="AQ178" s="480"/>
      <c r="AR178" s="480"/>
      <c r="AS178" s="480"/>
      <c r="AT178" s="480"/>
      <c r="AU178" s="480"/>
      <c r="AV178" s="480"/>
      <c r="AW178" s="480"/>
      <c r="AX178" s="480"/>
      <c r="AY178" s="480"/>
      <c r="AZ178" s="480"/>
      <c r="BA178" s="480"/>
      <c r="BB178" s="480"/>
      <c r="BC178" s="480"/>
      <c r="BD178" s="480"/>
      <c r="BE178" s="213"/>
      <c r="BF178" s="479"/>
      <c r="BG178" s="479"/>
      <c r="BH178" s="372"/>
      <c r="BI178" s="472"/>
      <c r="BJ178" s="481"/>
      <c r="BK178" s="310"/>
      <c r="BL178" s="310">
        <f t="shared" si="0"/>
        <v>63382</v>
      </c>
      <c r="BM178" s="7"/>
    </row>
    <row r="179" spans="1:65" ht="20.25" hidden="1" customHeight="1">
      <c r="A179" s="503" t="s">
        <v>396</v>
      </c>
      <c r="B179" s="483" t="s">
        <v>397</v>
      </c>
      <c r="C179" s="484" t="s">
        <v>398</v>
      </c>
      <c r="D179" s="504" t="s">
        <v>383</v>
      </c>
      <c r="E179" s="477"/>
      <c r="F179" s="477"/>
      <c r="G179" s="477"/>
      <c r="H179" s="477"/>
      <c r="I179" s="477"/>
      <c r="J179" s="477"/>
      <c r="K179" s="213"/>
      <c r="L179" s="478"/>
      <c r="M179" s="478"/>
      <c r="N179" s="478"/>
      <c r="O179" s="478"/>
      <c r="P179" s="478"/>
      <c r="Q179" s="478"/>
      <c r="R179" s="478"/>
      <c r="S179" s="478"/>
      <c r="T179" s="478"/>
      <c r="U179" s="478"/>
      <c r="V179" s="479"/>
      <c r="W179" s="478"/>
      <c r="X179" s="478"/>
      <c r="Y179" s="478"/>
      <c r="Z179" s="478"/>
      <c r="AA179" s="478"/>
      <c r="AB179" s="478"/>
      <c r="AC179" s="478"/>
      <c r="AD179" s="478"/>
      <c r="AE179" s="478"/>
      <c r="AF179" s="213"/>
      <c r="AG179" s="480"/>
      <c r="AH179" s="480"/>
      <c r="AI179" s="480"/>
      <c r="AJ179" s="480"/>
      <c r="AK179" s="480"/>
      <c r="AL179" s="480"/>
      <c r="AM179" s="480"/>
      <c r="AN179" s="480"/>
      <c r="AO179" s="480"/>
      <c r="AP179" s="480"/>
      <c r="AQ179" s="480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480"/>
      <c r="BC179" s="480"/>
      <c r="BD179" s="480"/>
      <c r="BE179" s="213"/>
      <c r="BF179" s="479"/>
      <c r="BG179" s="479"/>
      <c r="BH179" s="372"/>
      <c r="BI179" s="472"/>
      <c r="BJ179" s="481"/>
      <c r="BK179" s="310"/>
      <c r="BL179" s="310">
        <f t="shared" si="0"/>
        <v>0</v>
      </c>
      <c r="BM179" s="7"/>
    </row>
    <row r="180" spans="1:65" ht="20.25" hidden="1" customHeight="1">
      <c r="A180" s="503" t="s">
        <v>399</v>
      </c>
      <c r="B180" s="483" t="s">
        <v>400</v>
      </c>
      <c r="C180" s="484" t="s">
        <v>401</v>
      </c>
      <c r="D180" s="504" t="s">
        <v>383</v>
      </c>
      <c r="E180" s="477"/>
      <c r="F180" s="477"/>
      <c r="G180" s="477"/>
      <c r="H180" s="477"/>
      <c r="I180" s="477"/>
      <c r="J180" s="477"/>
      <c r="K180" s="213"/>
      <c r="L180" s="478"/>
      <c r="M180" s="478"/>
      <c r="N180" s="478"/>
      <c r="O180" s="478"/>
      <c r="P180" s="478"/>
      <c r="Q180" s="478"/>
      <c r="R180" s="478"/>
      <c r="S180" s="478"/>
      <c r="T180" s="478"/>
      <c r="U180" s="478"/>
      <c r="V180" s="479"/>
      <c r="W180" s="478"/>
      <c r="X180" s="478"/>
      <c r="Y180" s="478"/>
      <c r="Z180" s="478"/>
      <c r="AA180" s="478"/>
      <c r="AB180" s="478"/>
      <c r="AC180" s="478"/>
      <c r="AD180" s="478"/>
      <c r="AE180" s="478"/>
      <c r="AF180" s="213"/>
      <c r="AG180" s="480"/>
      <c r="AH180" s="480"/>
      <c r="AI180" s="480"/>
      <c r="AJ180" s="480"/>
      <c r="AK180" s="480"/>
      <c r="AL180" s="480"/>
      <c r="AM180" s="480"/>
      <c r="AN180" s="480"/>
      <c r="AO180" s="480"/>
      <c r="AP180" s="480"/>
      <c r="AQ180" s="480"/>
      <c r="AR180" s="480"/>
      <c r="AS180" s="480"/>
      <c r="AT180" s="480"/>
      <c r="AU180" s="480"/>
      <c r="AV180" s="480"/>
      <c r="AW180" s="480"/>
      <c r="AX180" s="480"/>
      <c r="AY180" s="480"/>
      <c r="AZ180" s="480"/>
      <c r="BA180" s="480"/>
      <c r="BB180" s="480"/>
      <c r="BC180" s="480"/>
      <c r="BD180" s="480"/>
      <c r="BE180" s="213"/>
      <c r="BF180" s="479"/>
      <c r="BG180" s="479"/>
      <c r="BH180" s="372"/>
      <c r="BI180" s="472"/>
      <c r="BJ180" s="481"/>
      <c r="BK180" s="310"/>
      <c r="BL180" s="310">
        <f t="shared" si="0"/>
        <v>0</v>
      </c>
      <c r="BM180" s="205"/>
    </row>
    <row r="181" spans="1:65" ht="31.5" hidden="1" customHeight="1">
      <c r="A181" s="486">
        <v>7.3</v>
      </c>
      <c r="B181" s="487" t="s">
        <v>390</v>
      </c>
      <c r="C181" s="488" t="s">
        <v>402</v>
      </c>
      <c r="D181" s="504" t="s">
        <v>383</v>
      </c>
      <c r="E181" s="477"/>
      <c r="F181" s="477"/>
      <c r="G181" s="477"/>
      <c r="H181" s="477"/>
      <c r="I181" s="477"/>
      <c r="J181" s="477"/>
      <c r="K181" s="213"/>
      <c r="L181" s="478"/>
      <c r="M181" s="478"/>
      <c r="N181" s="478"/>
      <c r="O181" s="478"/>
      <c r="P181" s="478"/>
      <c r="Q181" s="478"/>
      <c r="R181" s="478"/>
      <c r="S181" s="478"/>
      <c r="T181" s="478"/>
      <c r="U181" s="478"/>
      <c r="V181" s="479"/>
      <c r="W181" s="478"/>
      <c r="X181" s="478"/>
      <c r="Y181" s="478"/>
      <c r="Z181" s="478"/>
      <c r="AA181" s="478"/>
      <c r="AB181" s="478"/>
      <c r="AC181" s="478"/>
      <c r="AD181" s="478"/>
      <c r="AE181" s="478"/>
      <c r="AF181" s="213"/>
      <c r="AG181" s="480"/>
      <c r="AH181" s="480"/>
      <c r="AI181" s="480"/>
      <c r="AJ181" s="480"/>
      <c r="AK181" s="480"/>
      <c r="AL181" s="480"/>
      <c r="AM181" s="480"/>
      <c r="AN181" s="480"/>
      <c r="AO181" s="480"/>
      <c r="AP181" s="480"/>
      <c r="AQ181" s="480"/>
      <c r="AR181" s="480"/>
      <c r="AS181" s="480"/>
      <c r="AT181" s="480"/>
      <c r="AU181" s="480"/>
      <c r="AV181" s="480"/>
      <c r="AW181" s="480"/>
      <c r="AX181" s="480"/>
      <c r="AY181" s="480"/>
      <c r="AZ181" s="480"/>
      <c r="BA181" s="480"/>
      <c r="BB181" s="480"/>
      <c r="BC181" s="480"/>
      <c r="BD181" s="480"/>
      <c r="BE181" s="213"/>
      <c r="BF181" s="479"/>
      <c r="BG181" s="479"/>
      <c r="BH181" s="372"/>
      <c r="BI181" s="472"/>
      <c r="BJ181" s="481"/>
      <c r="BK181" s="310"/>
      <c r="BL181" s="310">
        <f t="shared" si="0"/>
        <v>0</v>
      </c>
      <c r="BM181" s="7"/>
    </row>
    <row r="182" spans="1:65" ht="31.5" hidden="1" customHeight="1">
      <c r="A182" s="486">
        <v>7.4</v>
      </c>
      <c r="B182" s="487" t="s">
        <v>392</v>
      </c>
      <c r="C182" s="488" t="s">
        <v>403</v>
      </c>
      <c r="D182" s="412" t="s">
        <v>358</v>
      </c>
      <c r="E182" s="477"/>
      <c r="F182" s="477"/>
      <c r="G182" s="477"/>
      <c r="H182" s="477"/>
      <c r="I182" s="477"/>
      <c r="J182" s="477"/>
      <c r="K182" s="213"/>
      <c r="L182" s="478"/>
      <c r="M182" s="478"/>
      <c r="N182" s="478"/>
      <c r="O182" s="478"/>
      <c r="P182" s="478"/>
      <c r="Q182" s="478"/>
      <c r="R182" s="478"/>
      <c r="S182" s="478"/>
      <c r="T182" s="478"/>
      <c r="U182" s="478"/>
      <c r="V182" s="479"/>
      <c r="W182" s="478"/>
      <c r="X182" s="478"/>
      <c r="Y182" s="478"/>
      <c r="Z182" s="478"/>
      <c r="AA182" s="478"/>
      <c r="AB182" s="478"/>
      <c r="AC182" s="478"/>
      <c r="AD182" s="478"/>
      <c r="AE182" s="478"/>
      <c r="AF182" s="213"/>
      <c r="AG182" s="480"/>
      <c r="AH182" s="480"/>
      <c r="AI182" s="480"/>
      <c r="AJ182" s="480"/>
      <c r="AK182" s="480"/>
      <c r="AL182" s="480"/>
      <c r="AM182" s="480"/>
      <c r="AN182" s="480"/>
      <c r="AO182" s="480"/>
      <c r="AP182" s="480"/>
      <c r="AQ182" s="480"/>
      <c r="AR182" s="480"/>
      <c r="AS182" s="480"/>
      <c r="AT182" s="480"/>
      <c r="AU182" s="480"/>
      <c r="AV182" s="480"/>
      <c r="AW182" s="480"/>
      <c r="AX182" s="480"/>
      <c r="AY182" s="480"/>
      <c r="AZ182" s="480"/>
      <c r="BA182" s="480"/>
      <c r="BB182" s="480"/>
      <c r="BC182" s="480"/>
      <c r="BD182" s="480"/>
      <c r="BE182" s="213"/>
      <c r="BF182" s="479"/>
      <c r="BG182" s="479"/>
      <c r="BH182" s="372"/>
      <c r="BI182" s="472"/>
      <c r="BJ182" s="481"/>
      <c r="BK182" s="310"/>
      <c r="BL182" s="310">
        <f t="shared" si="0"/>
        <v>0</v>
      </c>
      <c r="BM182" s="205"/>
    </row>
    <row r="183" spans="1:65" ht="31.5" hidden="1" customHeight="1">
      <c r="A183" s="486">
        <v>7.5</v>
      </c>
      <c r="B183" s="487" t="s">
        <v>404</v>
      </c>
      <c r="C183" s="488" t="s">
        <v>405</v>
      </c>
      <c r="D183" s="491" t="s">
        <v>183</v>
      </c>
      <c r="E183" s="477"/>
      <c r="F183" s="477"/>
      <c r="G183" s="477"/>
      <c r="H183" s="477"/>
      <c r="I183" s="477"/>
      <c r="J183" s="477"/>
      <c r="K183" s="213"/>
      <c r="L183" s="478"/>
      <c r="M183" s="478"/>
      <c r="N183" s="478"/>
      <c r="O183" s="478"/>
      <c r="P183" s="478"/>
      <c r="Q183" s="478"/>
      <c r="R183" s="478"/>
      <c r="S183" s="478"/>
      <c r="T183" s="478"/>
      <c r="U183" s="478"/>
      <c r="V183" s="479"/>
      <c r="W183" s="478"/>
      <c r="X183" s="478"/>
      <c r="Y183" s="478"/>
      <c r="Z183" s="478"/>
      <c r="AA183" s="478"/>
      <c r="AB183" s="478"/>
      <c r="AC183" s="478"/>
      <c r="AD183" s="478"/>
      <c r="AE183" s="478"/>
      <c r="AF183" s="213"/>
      <c r="AG183" s="480"/>
      <c r="AH183" s="480"/>
      <c r="AI183" s="480"/>
      <c r="AJ183" s="480"/>
      <c r="AK183" s="480"/>
      <c r="AL183" s="480"/>
      <c r="AM183" s="480"/>
      <c r="AN183" s="480"/>
      <c r="AO183" s="480"/>
      <c r="AP183" s="480"/>
      <c r="AQ183" s="480"/>
      <c r="AR183" s="480"/>
      <c r="AS183" s="480"/>
      <c r="AT183" s="480"/>
      <c r="AU183" s="480"/>
      <c r="AV183" s="480"/>
      <c r="AW183" s="480"/>
      <c r="AX183" s="480"/>
      <c r="AY183" s="480"/>
      <c r="AZ183" s="480"/>
      <c r="BA183" s="480"/>
      <c r="BB183" s="480"/>
      <c r="BC183" s="480"/>
      <c r="BD183" s="480"/>
      <c r="BE183" s="213"/>
      <c r="BF183" s="479"/>
      <c r="BG183" s="479"/>
      <c r="BH183" s="372"/>
      <c r="BI183" s="472"/>
      <c r="BJ183" s="481"/>
      <c r="BK183" s="310"/>
      <c r="BL183" s="310">
        <f t="shared" si="0"/>
        <v>0</v>
      </c>
      <c r="BM183" s="7"/>
    </row>
    <row r="184" spans="1:65" ht="31.5" hidden="1" customHeight="1">
      <c r="A184" s="486">
        <v>7.6</v>
      </c>
      <c r="B184" s="487" t="s">
        <v>406</v>
      </c>
      <c r="C184" s="488" t="s">
        <v>407</v>
      </c>
      <c r="D184" s="491" t="s">
        <v>183</v>
      </c>
      <c r="E184" s="477"/>
      <c r="F184" s="477"/>
      <c r="G184" s="477"/>
      <c r="H184" s="477"/>
      <c r="I184" s="477"/>
      <c r="J184" s="477"/>
      <c r="K184" s="213"/>
      <c r="L184" s="478"/>
      <c r="M184" s="478"/>
      <c r="N184" s="478"/>
      <c r="O184" s="478"/>
      <c r="P184" s="478"/>
      <c r="Q184" s="478"/>
      <c r="R184" s="478"/>
      <c r="S184" s="478"/>
      <c r="T184" s="478"/>
      <c r="U184" s="478"/>
      <c r="V184" s="479"/>
      <c r="W184" s="478"/>
      <c r="X184" s="478"/>
      <c r="Y184" s="478"/>
      <c r="Z184" s="478"/>
      <c r="AA184" s="478"/>
      <c r="AB184" s="478"/>
      <c r="AC184" s="478"/>
      <c r="AD184" s="478"/>
      <c r="AE184" s="478"/>
      <c r="AF184" s="213"/>
      <c r="AG184" s="480"/>
      <c r="AH184" s="480"/>
      <c r="AI184" s="480"/>
      <c r="AJ184" s="480"/>
      <c r="AK184" s="480"/>
      <c r="AL184" s="480"/>
      <c r="AM184" s="480"/>
      <c r="AN184" s="480"/>
      <c r="AO184" s="480"/>
      <c r="AP184" s="480"/>
      <c r="AQ184" s="480"/>
      <c r="AR184" s="480"/>
      <c r="AS184" s="480"/>
      <c r="AT184" s="480"/>
      <c r="AU184" s="480"/>
      <c r="AV184" s="480"/>
      <c r="AW184" s="480"/>
      <c r="AX184" s="480"/>
      <c r="AY184" s="480"/>
      <c r="AZ184" s="480"/>
      <c r="BA184" s="480"/>
      <c r="BB184" s="480"/>
      <c r="BC184" s="480"/>
      <c r="BD184" s="480"/>
      <c r="BE184" s="213"/>
      <c r="BF184" s="479"/>
      <c r="BG184" s="479"/>
      <c r="BH184" s="372"/>
      <c r="BI184" s="472"/>
      <c r="BJ184" s="481"/>
      <c r="BK184" s="310"/>
      <c r="BL184" s="310">
        <f t="shared" si="0"/>
        <v>0</v>
      </c>
      <c r="BM184" s="7"/>
    </row>
    <row r="185" spans="1:65" ht="31.5" hidden="1" customHeight="1">
      <c r="A185" s="486">
        <v>7.7</v>
      </c>
      <c r="B185" s="487" t="s">
        <v>412</v>
      </c>
      <c r="C185" s="488" t="s">
        <v>413</v>
      </c>
      <c r="D185" s="412" t="s">
        <v>1464</v>
      </c>
      <c r="E185" s="477"/>
      <c r="F185" s="477"/>
      <c r="G185" s="477"/>
      <c r="H185" s="477"/>
      <c r="I185" s="477"/>
      <c r="J185" s="477"/>
      <c r="K185" s="213"/>
      <c r="L185" s="478"/>
      <c r="M185" s="478"/>
      <c r="N185" s="478"/>
      <c r="O185" s="478"/>
      <c r="P185" s="478"/>
      <c r="Q185" s="478"/>
      <c r="R185" s="478"/>
      <c r="S185" s="478"/>
      <c r="T185" s="478"/>
      <c r="U185" s="478"/>
      <c r="V185" s="479"/>
      <c r="W185" s="478"/>
      <c r="X185" s="478"/>
      <c r="Y185" s="478"/>
      <c r="Z185" s="478"/>
      <c r="AA185" s="478"/>
      <c r="AB185" s="478"/>
      <c r="AC185" s="478"/>
      <c r="AD185" s="478"/>
      <c r="AE185" s="478"/>
      <c r="AF185" s="213"/>
      <c r="AG185" s="480"/>
      <c r="AH185" s="480"/>
      <c r="AI185" s="480"/>
      <c r="AJ185" s="480"/>
      <c r="AK185" s="480"/>
      <c r="AL185" s="480"/>
      <c r="AM185" s="480"/>
      <c r="AN185" s="480"/>
      <c r="AO185" s="480"/>
      <c r="AP185" s="480"/>
      <c r="AQ185" s="480"/>
      <c r="AR185" s="480"/>
      <c r="AS185" s="480"/>
      <c r="AT185" s="480"/>
      <c r="AU185" s="480"/>
      <c r="AV185" s="480"/>
      <c r="AW185" s="480"/>
      <c r="AX185" s="480"/>
      <c r="AY185" s="480"/>
      <c r="AZ185" s="480"/>
      <c r="BA185" s="480"/>
      <c r="BB185" s="480"/>
      <c r="BC185" s="480"/>
      <c r="BD185" s="480"/>
      <c r="BE185" s="213"/>
      <c r="BF185" s="479"/>
      <c r="BG185" s="479"/>
      <c r="BH185" s="372"/>
      <c r="BI185" s="472"/>
      <c r="BJ185" s="481"/>
      <c r="BK185" s="310"/>
      <c r="BL185" s="310">
        <f t="shared" si="0"/>
        <v>0</v>
      </c>
      <c r="BM185" s="7"/>
    </row>
    <row r="186" spans="1:65" ht="28.5" hidden="1" customHeight="1">
      <c r="A186" s="486">
        <v>7.8</v>
      </c>
      <c r="B186" s="487" t="s">
        <v>412</v>
      </c>
      <c r="C186" s="488" t="s">
        <v>415</v>
      </c>
      <c r="D186" s="491" t="s">
        <v>183</v>
      </c>
      <c r="E186" s="477"/>
      <c r="F186" s="477"/>
      <c r="G186" s="477"/>
      <c r="H186" s="477"/>
      <c r="I186" s="477"/>
      <c r="J186" s="477"/>
      <c r="K186" s="213"/>
      <c r="L186" s="478"/>
      <c r="M186" s="478"/>
      <c r="N186" s="478"/>
      <c r="O186" s="478"/>
      <c r="P186" s="478"/>
      <c r="Q186" s="478"/>
      <c r="R186" s="478"/>
      <c r="S186" s="478"/>
      <c r="T186" s="478"/>
      <c r="U186" s="478"/>
      <c r="V186" s="479"/>
      <c r="W186" s="478"/>
      <c r="X186" s="478"/>
      <c r="Y186" s="478"/>
      <c r="Z186" s="478"/>
      <c r="AA186" s="478"/>
      <c r="AB186" s="478"/>
      <c r="AC186" s="478"/>
      <c r="AD186" s="478"/>
      <c r="AE186" s="478"/>
      <c r="AF186" s="213"/>
      <c r="AG186" s="480"/>
      <c r="AH186" s="480"/>
      <c r="AI186" s="480"/>
      <c r="AJ186" s="480"/>
      <c r="AK186" s="480"/>
      <c r="AL186" s="480"/>
      <c r="AM186" s="480"/>
      <c r="AN186" s="480"/>
      <c r="AO186" s="480"/>
      <c r="AP186" s="480"/>
      <c r="AQ186" s="480"/>
      <c r="AR186" s="480"/>
      <c r="AS186" s="480"/>
      <c r="AT186" s="480"/>
      <c r="AU186" s="480"/>
      <c r="AV186" s="480"/>
      <c r="AW186" s="480"/>
      <c r="AX186" s="480"/>
      <c r="AY186" s="480"/>
      <c r="AZ186" s="480"/>
      <c r="BA186" s="480"/>
      <c r="BB186" s="480"/>
      <c r="BC186" s="480"/>
      <c r="BD186" s="480"/>
      <c r="BE186" s="213"/>
      <c r="BF186" s="479"/>
      <c r="BG186" s="479"/>
      <c r="BH186" s="372"/>
      <c r="BI186" s="472"/>
      <c r="BJ186" s="481"/>
      <c r="BK186" s="310"/>
      <c r="BL186" s="310">
        <f t="shared" si="0"/>
        <v>0</v>
      </c>
      <c r="BM186" s="7"/>
    </row>
    <row r="187" spans="1:65" ht="29.25" customHeight="1">
      <c r="A187" s="489">
        <v>5</v>
      </c>
      <c r="B187" s="490" t="s">
        <v>416</v>
      </c>
      <c r="C187" s="490" t="s">
        <v>417</v>
      </c>
      <c r="D187" s="491"/>
      <c r="E187" s="477"/>
      <c r="F187" s="477"/>
      <c r="G187" s="477"/>
      <c r="H187" s="477"/>
      <c r="I187" s="477"/>
      <c r="J187" s="477"/>
      <c r="K187" s="213"/>
      <c r="L187" s="478"/>
      <c r="M187" s="478"/>
      <c r="N187" s="478"/>
      <c r="O187" s="478"/>
      <c r="P187" s="478"/>
      <c r="Q187" s="478"/>
      <c r="R187" s="478"/>
      <c r="S187" s="478"/>
      <c r="T187" s="478"/>
      <c r="U187" s="478"/>
      <c r="V187" s="479"/>
      <c r="W187" s="478"/>
      <c r="X187" s="478"/>
      <c r="Y187" s="478"/>
      <c r="Z187" s="478"/>
      <c r="AA187" s="478"/>
      <c r="AB187" s="478"/>
      <c r="AC187" s="478"/>
      <c r="AD187" s="478"/>
      <c r="AE187" s="478"/>
      <c r="AF187" s="213"/>
      <c r="AG187" s="480"/>
      <c r="AH187" s="480"/>
      <c r="AI187" s="480"/>
      <c r="AJ187" s="480"/>
      <c r="AK187" s="480"/>
      <c r="AL187" s="480"/>
      <c r="AM187" s="480"/>
      <c r="AN187" s="480"/>
      <c r="AO187" s="480"/>
      <c r="AP187" s="480"/>
      <c r="AQ187" s="480"/>
      <c r="AR187" s="480"/>
      <c r="AS187" s="480"/>
      <c r="AT187" s="480"/>
      <c r="AU187" s="480"/>
      <c r="AV187" s="480"/>
      <c r="AW187" s="480"/>
      <c r="AX187" s="480"/>
      <c r="AY187" s="480"/>
      <c r="AZ187" s="480"/>
      <c r="BA187" s="480"/>
      <c r="BB187" s="480"/>
      <c r="BC187" s="480"/>
      <c r="BD187" s="480"/>
      <c r="BE187" s="213"/>
      <c r="BF187" s="479"/>
      <c r="BG187" s="479"/>
      <c r="BH187" s="372"/>
      <c r="BI187" s="472"/>
      <c r="BJ187" s="481"/>
      <c r="BK187" s="310"/>
      <c r="BL187" s="310">
        <f t="shared" si="0"/>
        <v>0</v>
      </c>
      <c r="BM187" s="7"/>
    </row>
    <row r="188" spans="1:65" ht="20.25" customHeight="1">
      <c r="A188" s="486"/>
      <c r="B188" s="487" t="s">
        <v>419</v>
      </c>
      <c r="C188" s="488" t="s">
        <v>420</v>
      </c>
      <c r="D188" s="512"/>
      <c r="E188" s="477"/>
      <c r="F188" s="477"/>
      <c r="G188" s="477"/>
      <c r="H188" s="477"/>
      <c r="I188" s="477"/>
      <c r="J188" s="477"/>
      <c r="K188" s="213"/>
      <c r="L188" s="478"/>
      <c r="M188" s="478"/>
      <c r="N188" s="478"/>
      <c r="O188" s="478"/>
      <c r="P188" s="478"/>
      <c r="Q188" s="478"/>
      <c r="R188" s="478"/>
      <c r="S188" s="478"/>
      <c r="T188" s="478"/>
      <c r="U188" s="478"/>
      <c r="V188" s="479"/>
      <c r="W188" s="478"/>
      <c r="X188" s="478"/>
      <c r="Y188" s="478"/>
      <c r="Z188" s="478"/>
      <c r="AA188" s="478"/>
      <c r="AB188" s="478"/>
      <c r="AC188" s="478"/>
      <c r="AD188" s="478"/>
      <c r="AE188" s="478"/>
      <c r="AF188" s="213"/>
      <c r="AG188" s="480"/>
      <c r="AH188" s="480"/>
      <c r="AI188" s="480"/>
      <c r="AJ188" s="480"/>
      <c r="AK188" s="480"/>
      <c r="AL188" s="480"/>
      <c r="AM188" s="480"/>
      <c r="AN188" s="480"/>
      <c r="AO188" s="480"/>
      <c r="AP188" s="480"/>
      <c r="AQ188" s="480"/>
      <c r="AR188" s="480"/>
      <c r="AS188" s="480"/>
      <c r="AT188" s="480"/>
      <c r="AU188" s="480"/>
      <c r="AV188" s="480"/>
      <c r="AW188" s="480"/>
      <c r="AX188" s="480"/>
      <c r="AY188" s="480"/>
      <c r="AZ188" s="480"/>
      <c r="BA188" s="480"/>
      <c r="BB188" s="480"/>
      <c r="BC188" s="480"/>
      <c r="BD188" s="480"/>
      <c r="BE188" s="213"/>
      <c r="BF188" s="479"/>
      <c r="BG188" s="479"/>
      <c r="BH188" s="372"/>
      <c r="BI188" s="472"/>
      <c r="BJ188" s="481"/>
      <c r="BK188" s="310"/>
      <c r="BL188" s="310">
        <f t="shared" si="0"/>
        <v>0</v>
      </c>
      <c r="BM188" s="7"/>
    </row>
    <row r="189" spans="1:65" ht="35.25" customHeight="1">
      <c r="A189" s="503"/>
      <c r="B189" s="483" t="s">
        <v>422</v>
      </c>
      <c r="C189" s="514" t="s">
        <v>423</v>
      </c>
      <c r="D189" s="504" t="s">
        <v>424</v>
      </c>
      <c r="E189" s="477"/>
      <c r="F189" s="477"/>
      <c r="G189" s="477"/>
      <c r="H189" s="477"/>
      <c r="I189" s="477"/>
      <c r="J189" s="477"/>
      <c r="K189" s="213"/>
      <c r="L189" s="478"/>
      <c r="M189" s="478"/>
      <c r="N189" s="478"/>
      <c r="O189" s="478"/>
      <c r="P189" s="478"/>
      <c r="Q189" s="478"/>
      <c r="R189" s="478"/>
      <c r="S189" s="478"/>
      <c r="T189" s="478"/>
      <c r="U189" s="478"/>
      <c r="V189" s="479"/>
      <c r="W189" s="478"/>
      <c r="X189" s="478"/>
      <c r="Y189" s="478"/>
      <c r="Z189" s="478"/>
      <c r="AA189" s="478"/>
      <c r="AB189" s="478"/>
      <c r="AC189" s="478"/>
      <c r="AD189" s="478"/>
      <c r="AE189" s="478"/>
      <c r="AF189" s="213"/>
      <c r="AG189" s="480"/>
      <c r="AH189" s="480"/>
      <c r="AI189" s="480"/>
      <c r="AJ189" s="480"/>
      <c r="AK189" s="480"/>
      <c r="AL189" s="480"/>
      <c r="AM189" s="480"/>
      <c r="AN189" s="480"/>
      <c r="AO189" s="480"/>
      <c r="AP189" s="480"/>
      <c r="AQ189" s="480"/>
      <c r="AR189" s="480"/>
      <c r="AS189" s="480"/>
      <c r="AT189" s="480"/>
      <c r="AU189" s="480"/>
      <c r="AV189" s="480"/>
      <c r="AW189" s="480"/>
      <c r="AX189" s="480"/>
      <c r="AY189" s="480"/>
      <c r="AZ189" s="480"/>
      <c r="BA189" s="480"/>
      <c r="BB189" s="480"/>
      <c r="BC189" s="480"/>
      <c r="BD189" s="480"/>
      <c r="BE189" s="213"/>
      <c r="BF189" s="479"/>
      <c r="BG189" s="479"/>
      <c r="BH189" s="372"/>
      <c r="BI189" s="472"/>
      <c r="BJ189" s="481"/>
      <c r="BK189" s="310"/>
      <c r="BL189" s="310">
        <f t="shared" si="0"/>
        <v>0</v>
      </c>
      <c r="BM189" s="7"/>
    </row>
    <row r="190" spans="1:65" ht="20.25" hidden="1" customHeight="1">
      <c r="A190" s="503"/>
      <c r="B190" s="483" t="s">
        <v>426</v>
      </c>
      <c r="C190" s="514" t="s">
        <v>427</v>
      </c>
      <c r="D190" s="504" t="s">
        <v>132</v>
      </c>
      <c r="E190" s="477"/>
      <c r="F190" s="477"/>
      <c r="G190" s="477"/>
      <c r="H190" s="477"/>
      <c r="I190" s="477"/>
      <c r="J190" s="477"/>
      <c r="K190" s="213"/>
      <c r="L190" s="478"/>
      <c r="M190" s="478"/>
      <c r="N190" s="478"/>
      <c r="O190" s="478"/>
      <c r="P190" s="478"/>
      <c r="Q190" s="478"/>
      <c r="R190" s="478"/>
      <c r="S190" s="478"/>
      <c r="T190" s="478"/>
      <c r="U190" s="478"/>
      <c r="V190" s="479"/>
      <c r="W190" s="478"/>
      <c r="X190" s="478"/>
      <c r="Y190" s="478"/>
      <c r="Z190" s="478"/>
      <c r="AA190" s="478"/>
      <c r="AB190" s="478"/>
      <c r="AC190" s="478"/>
      <c r="AD190" s="478"/>
      <c r="AE190" s="478"/>
      <c r="AF190" s="213"/>
      <c r="AG190" s="480"/>
      <c r="AH190" s="480"/>
      <c r="AI190" s="480"/>
      <c r="AJ190" s="480"/>
      <c r="AK190" s="480"/>
      <c r="AL190" s="480"/>
      <c r="AM190" s="480"/>
      <c r="AN190" s="480"/>
      <c r="AO190" s="480"/>
      <c r="AP190" s="480"/>
      <c r="AQ190" s="480"/>
      <c r="AR190" s="480"/>
      <c r="AS190" s="480"/>
      <c r="AT190" s="480"/>
      <c r="AU190" s="480"/>
      <c r="AV190" s="480"/>
      <c r="AW190" s="480"/>
      <c r="AX190" s="480"/>
      <c r="AY190" s="480"/>
      <c r="AZ190" s="480"/>
      <c r="BA190" s="480"/>
      <c r="BB190" s="480"/>
      <c r="BC190" s="480"/>
      <c r="BD190" s="480"/>
      <c r="BE190" s="213"/>
      <c r="BF190" s="479"/>
      <c r="BG190" s="479"/>
      <c r="BH190" s="372"/>
      <c r="BI190" s="472"/>
      <c r="BJ190" s="481"/>
      <c r="BK190" s="310"/>
      <c r="BL190" s="310">
        <f t="shared" si="0"/>
        <v>0</v>
      </c>
      <c r="BM190" s="205"/>
    </row>
    <row r="191" spans="1:65" ht="20.25" hidden="1" customHeight="1">
      <c r="A191" s="503"/>
      <c r="B191" s="483" t="s">
        <v>428</v>
      </c>
      <c r="C191" s="514" t="s">
        <v>429</v>
      </c>
      <c r="D191" s="504" t="s">
        <v>1465</v>
      </c>
      <c r="E191" s="477"/>
      <c r="F191" s="477"/>
      <c r="G191" s="477"/>
      <c r="H191" s="477"/>
      <c r="I191" s="477"/>
      <c r="J191" s="477"/>
      <c r="K191" s="213"/>
      <c r="L191" s="478"/>
      <c r="M191" s="478"/>
      <c r="N191" s="478"/>
      <c r="O191" s="478"/>
      <c r="P191" s="478"/>
      <c r="Q191" s="478"/>
      <c r="R191" s="478"/>
      <c r="S191" s="478"/>
      <c r="T191" s="478"/>
      <c r="U191" s="478"/>
      <c r="V191" s="479"/>
      <c r="W191" s="478"/>
      <c r="X191" s="478"/>
      <c r="Y191" s="478"/>
      <c r="Z191" s="478"/>
      <c r="AA191" s="478"/>
      <c r="AB191" s="478"/>
      <c r="AC191" s="478"/>
      <c r="AD191" s="478"/>
      <c r="AE191" s="478"/>
      <c r="AF191" s="213"/>
      <c r="AG191" s="480"/>
      <c r="AH191" s="480"/>
      <c r="AI191" s="480"/>
      <c r="AJ191" s="480"/>
      <c r="AK191" s="480"/>
      <c r="AL191" s="480"/>
      <c r="AM191" s="480"/>
      <c r="AN191" s="480"/>
      <c r="AO191" s="480"/>
      <c r="AP191" s="480"/>
      <c r="AQ191" s="480"/>
      <c r="AR191" s="480"/>
      <c r="AS191" s="480"/>
      <c r="AT191" s="480"/>
      <c r="AU191" s="480"/>
      <c r="AV191" s="480"/>
      <c r="AW191" s="480"/>
      <c r="AX191" s="480"/>
      <c r="AY191" s="480"/>
      <c r="AZ191" s="480"/>
      <c r="BA191" s="480"/>
      <c r="BB191" s="480"/>
      <c r="BC191" s="480"/>
      <c r="BD191" s="480"/>
      <c r="BE191" s="213"/>
      <c r="BF191" s="479"/>
      <c r="BG191" s="479"/>
      <c r="BH191" s="372"/>
      <c r="BI191" s="472"/>
      <c r="BJ191" s="481"/>
      <c r="BK191" s="310"/>
      <c r="BL191" s="310">
        <f t="shared" si="0"/>
        <v>0</v>
      </c>
      <c r="BM191" s="7"/>
    </row>
    <row r="192" spans="1:65" ht="20.25" hidden="1" customHeight="1">
      <c r="A192" s="503"/>
      <c r="B192" s="483" t="s">
        <v>426</v>
      </c>
      <c r="C192" s="514" t="s">
        <v>431</v>
      </c>
      <c r="D192" s="504" t="s">
        <v>1466</v>
      </c>
      <c r="E192" s="477"/>
      <c r="F192" s="477"/>
      <c r="G192" s="477"/>
      <c r="H192" s="477"/>
      <c r="I192" s="477"/>
      <c r="J192" s="477"/>
      <c r="K192" s="213"/>
      <c r="L192" s="478"/>
      <c r="M192" s="478"/>
      <c r="N192" s="478"/>
      <c r="O192" s="478"/>
      <c r="P192" s="478"/>
      <c r="Q192" s="478"/>
      <c r="R192" s="478"/>
      <c r="S192" s="478"/>
      <c r="T192" s="478"/>
      <c r="U192" s="478"/>
      <c r="V192" s="479"/>
      <c r="W192" s="478"/>
      <c r="X192" s="478"/>
      <c r="Y192" s="478"/>
      <c r="Z192" s="478"/>
      <c r="AA192" s="478"/>
      <c r="AB192" s="478"/>
      <c r="AC192" s="478"/>
      <c r="AD192" s="478"/>
      <c r="AE192" s="478"/>
      <c r="AF192" s="213"/>
      <c r="AG192" s="480"/>
      <c r="AH192" s="480"/>
      <c r="AI192" s="480"/>
      <c r="AJ192" s="480"/>
      <c r="AK192" s="480"/>
      <c r="AL192" s="480"/>
      <c r="AM192" s="480"/>
      <c r="AN192" s="480"/>
      <c r="AO192" s="480"/>
      <c r="AP192" s="480"/>
      <c r="AQ192" s="480"/>
      <c r="AR192" s="480"/>
      <c r="AS192" s="480"/>
      <c r="AT192" s="480"/>
      <c r="AU192" s="480"/>
      <c r="AV192" s="480"/>
      <c r="AW192" s="480"/>
      <c r="AX192" s="480"/>
      <c r="AY192" s="480"/>
      <c r="AZ192" s="480"/>
      <c r="BA192" s="480"/>
      <c r="BB192" s="480"/>
      <c r="BC192" s="480"/>
      <c r="BD192" s="480"/>
      <c r="BE192" s="213"/>
      <c r="BF192" s="479"/>
      <c r="BG192" s="479"/>
      <c r="BH192" s="372"/>
      <c r="BI192" s="472"/>
      <c r="BJ192" s="481"/>
      <c r="BK192" s="310"/>
      <c r="BL192" s="310">
        <f t="shared" si="0"/>
        <v>0</v>
      </c>
      <c r="BM192" s="205"/>
    </row>
    <row r="193" spans="1:65" ht="20.25" hidden="1" customHeight="1">
      <c r="A193" s="503"/>
      <c r="B193" s="483" t="s">
        <v>428</v>
      </c>
      <c r="C193" s="514" t="s">
        <v>433</v>
      </c>
      <c r="D193" s="504" t="s">
        <v>1467</v>
      </c>
      <c r="E193" s="477"/>
      <c r="F193" s="477"/>
      <c r="G193" s="477"/>
      <c r="H193" s="477"/>
      <c r="I193" s="477"/>
      <c r="J193" s="477"/>
      <c r="K193" s="213"/>
      <c r="L193" s="478"/>
      <c r="M193" s="478"/>
      <c r="N193" s="478"/>
      <c r="O193" s="478"/>
      <c r="P193" s="478"/>
      <c r="Q193" s="478"/>
      <c r="R193" s="478"/>
      <c r="S193" s="478"/>
      <c r="T193" s="478"/>
      <c r="U193" s="478"/>
      <c r="V193" s="479"/>
      <c r="W193" s="478"/>
      <c r="X193" s="478"/>
      <c r="Y193" s="478"/>
      <c r="Z193" s="478"/>
      <c r="AA193" s="478"/>
      <c r="AB193" s="478"/>
      <c r="AC193" s="478"/>
      <c r="AD193" s="478"/>
      <c r="AE193" s="478"/>
      <c r="AF193" s="213"/>
      <c r="AG193" s="480"/>
      <c r="AH193" s="480"/>
      <c r="AI193" s="480"/>
      <c r="AJ193" s="480"/>
      <c r="AK193" s="480"/>
      <c r="AL193" s="480"/>
      <c r="AM193" s="480"/>
      <c r="AN193" s="480"/>
      <c r="AO193" s="480"/>
      <c r="AP193" s="480"/>
      <c r="AQ193" s="480"/>
      <c r="AR193" s="480"/>
      <c r="AS193" s="480"/>
      <c r="AT193" s="480"/>
      <c r="AU193" s="480"/>
      <c r="AV193" s="480"/>
      <c r="AW193" s="480"/>
      <c r="AX193" s="480"/>
      <c r="AY193" s="480"/>
      <c r="AZ193" s="480"/>
      <c r="BA193" s="480"/>
      <c r="BB193" s="480"/>
      <c r="BC193" s="480"/>
      <c r="BD193" s="480"/>
      <c r="BE193" s="213"/>
      <c r="BF193" s="479"/>
      <c r="BG193" s="479"/>
      <c r="BH193" s="372"/>
      <c r="BI193" s="472"/>
      <c r="BJ193" s="481"/>
      <c r="BK193" s="310"/>
      <c r="BL193" s="310">
        <f t="shared" si="0"/>
        <v>0</v>
      </c>
      <c r="BM193" s="205"/>
    </row>
    <row r="194" spans="1:65" ht="31.5" customHeight="1">
      <c r="A194" s="486"/>
      <c r="B194" s="487" t="s">
        <v>435</v>
      </c>
      <c r="C194" s="513" t="s">
        <v>436</v>
      </c>
      <c r="D194" s="412"/>
      <c r="E194" s="477"/>
      <c r="F194" s="477"/>
      <c r="G194" s="477"/>
      <c r="H194" s="477"/>
      <c r="I194" s="477"/>
      <c r="J194" s="477"/>
      <c r="K194" s="213"/>
      <c r="L194" s="478"/>
      <c r="M194" s="478"/>
      <c r="N194" s="478"/>
      <c r="O194" s="478"/>
      <c r="P194" s="478"/>
      <c r="Q194" s="478"/>
      <c r="R194" s="478"/>
      <c r="S194" s="478"/>
      <c r="T194" s="478"/>
      <c r="U194" s="478"/>
      <c r="V194" s="479"/>
      <c r="W194" s="478"/>
      <c r="X194" s="478"/>
      <c r="Y194" s="478"/>
      <c r="Z194" s="478"/>
      <c r="AA194" s="478"/>
      <c r="AB194" s="478"/>
      <c r="AC194" s="478"/>
      <c r="AD194" s="478"/>
      <c r="AE194" s="478"/>
      <c r="AF194" s="213"/>
      <c r="AG194" s="480"/>
      <c r="AH194" s="480"/>
      <c r="AI194" s="480"/>
      <c r="AJ194" s="480"/>
      <c r="AK194" s="480"/>
      <c r="AL194" s="480"/>
      <c r="AM194" s="480"/>
      <c r="AN194" s="480"/>
      <c r="AO194" s="480"/>
      <c r="AP194" s="480"/>
      <c r="AQ194" s="480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480"/>
      <c r="BC194" s="480"/>
      <c r="BD194" s="480"/>
      <c r="BE194" s="213"/>
      <c r="BF194" s="479"/>
      <c r="BG194" s="479"/>
      <c r="BH194" s="372"/>
      <c r="BI194" s="472"/>
      <c r="BJ194" s="481"/>
      <c r="BK194" s="310"/>
      <c r="BL194" s="310">
        <f t="shared" si="0"/>
        <v>0</v>
      </c>
      <c r="BM194" s="7"/>
    </row>
    <row r="195" spans="1:65" ht="33.75" customHeight="1">
      <c r="A195" s="503"/>
      <c r="B195" s="483" t="s">
        <v>438</v>
      </c>
      <c r="C195" s="514" t="s">
        <v>423</v>
      </c>
      <c r="D195" s="504" t="s">
        <v>424</v>
      </c>
      <c r="E195" s="477"/>
      <c r="F195" s="477">
        <v>153</v>
      </c>
      <c r="G195" s="477"/>
      <c r="H195" s="477"/>
      <c r="I195" s="477"/>
      <c r="J195" s="477">
        <v>591</v>
      </c>
      <c r="K195" s="213"/>
      <c r="L195" s="478"/>
      <c r="M195" s="478"/>
      <c r="N195" s="478"/>
      <c r="O195" s="478"/>
      <c r="P195" s="478"/>
      <c r="Q195" s="478"/>
      <c r="R195" s="478"/>
      <c r="S195" s="478"/>
      <c r="T195" s="478"/>
      <c r="U195" s="478"/>
      <c r="V195" s="479"/>
      <c r="W195" s="478"/>
      <c r="X195" s="478"/>
      <c r="Y195" s="478"/>
      <c r="Z195" s="478"/>
      <c r="AA195" s="478">
        <v>38000</v>
      </c>
      <c r="AB195" s="478"/>
      <c r="AC195" s="478">
        <v>7770</v>
      </c>
      <c r="AD195" s="478"/>
      <c r="AE195" s="478"/>
      <c r="AF195" s="213"/>
      <c r="AG195" s="480"/>
      <c r="AH195" s="480"/>
      <c r="AI195" s="480"/>
      <c r="AJ195" s="480"/>
      <c r="AK195" s="480"/>
      <c r="AL195" s="480"/>
      <c r="AM195" s="480"/>
      <c r="AN195" s="480"/>
      <c r="AO195" s="480"/>
      <c r="AP195" s="480"/>
      <c r="AQ195" s="480"/>
      <c r="AR195" s="480"/>
      <c r="AS195" s="480"/>
      <c r="AT195" s="480"/>
      <c r="AU195" s="480"/>
      <c r="AV195" s="480"/>
      <c r="AW195" s="480"/>
      <c r="AX195" s="480"/>
      <c r="AY195" s="480"/>
      <c r="AZ195" s="480"/>
      <c r="BA195" s="480"/>
      <c r="BB195" s="480"/>
      <c r="BC195" s="480"/>
      <c r="BD195" s="480"/>
      <c r="BE195" s="213"/>
      <c r="BF195" s="479"/>
      <c r="BG195" s="479"/>
      <c r="BH195" s="372"/>
      <c r="BI195" s="472"/>
      <c r="BJ195" s="481"/>
      <c r="BK195" s="310"/>
      <c r="BL195" s="310">
        <f t="shared" si="0"/>
        <v>46514</v>
      </c>
      <c r="BM195" s="7"/>
    </row>
    <row r="196" spans="1:65" ht="20.25" hidden="1" customHeight="1">
      <c r="A196" s="503"/>
      <c r="B196" s="483" t="s">
        <v>439</v>
      </c>
      <c r="C196" s="514" t="s">
        <v>427</v>
      </c>
      <c r="D196" s="504" t="s">
        <v>132</v>
      </c>
      <c r="E196" s="477"/>
      <c r="F196" s="477"/>
      <c r="G196" s="477"/>
      <c r="H196" s="477"/>
      <c r="I196" s="477"/>
      <c r="J196" s="477"/>
      <c r="K196" s="213"/>
      <c r="L196" s="478"/>
      <c r="M196" s="478"/>
      <c r="N196" s="478"/>
      <c r="O196" s="478"/>
      <c r="P196" s="478"/>
      <c r="Q196" s="478"/>
      <c r="R196" s="478"/>
      <c r="S196" s="478"/>
      <c r="T196" s="478"/>
      <c r="U196" s="478"/>
      <c r="V196" s="479"/>
      <c r="W196" s="478"/>
      <c r="X196" s="478"/>
      <c r="Y196" s="478"/>
      <c r="Z196" s="478"/>
      <c r="AA196" s="478"/>
      <c r="AB196" s="478"/>
      <c r="AC196" s="478"/>
      <c r="AD196" s="478"/>
      <c r="AE196" s="478"/>
      <c r="AF196" s="213"/>
      <c r="AG196" s="480"/>
      <c r="AH196" s="480"/>
      <c r="AI196" s="480"/>
      <c r="AJ196" s="480"/>
      <c r="AK196" s="480"/>
      <c r="AL196" s="480"/>
      <c r="AM196" s="480"/>
      <c r="AN196" s="480"/>
      <c r="AO196" s="480"/>
      <c r="AP196" s="480"/>
      <c r="AQ196" s="480"/>
      <c r="AR196" s="480"/>
      <c r="AS196" s="480"/>
      <c r="AT196" s="480"/>
      <c r="AU196" s="480"/>
      <c r="AV196" s="480"/>
      <c r="AW196" s="480"/>
      <c r="AX196" s="480"/>
      <c r="AY196" s="480"/>
      <c r="AZ196" s="480"/>
      <c r="BA196" s="480"/>
      <c r="BB196" s="480"/>
      <c r="BC196" s="480"/>
      <c r="BD196" s="480"/>
      <c r="BE196" s="213"/>
      <c r="BF196" s="479"/>
      <c r="BG196" s="479"/>
      <c r="BH196" s="372"/>
      <c r="BI196" s="472"/>
      <c r="BJ196" s="481"/>
      <c r="BK196" s="310"/>
      <c r="BL196" s="310">
        <f t="shared" si="0"/>
        <v>0</v>
      </c>
      <c r="BM196" s="7"/>
    </row>
    <row r="197" spans="1:65" ht="20.25" hidden="1" customHeight="1">
      <c r="A197" s="503"/>
      <c r="B197" s="483" t="s">
        <v>440</v>
      </c>
      <c r="C197" s="514" t="s">
        <v>429</v>
      </c>
      <c r="D197" s="504" t="s">
        <v>1468</v>
      </c>
      <c r="E197" s="477"/>
      <c r="F197" s="477"/>
      <c r="G197" s="477"/>
      <c r="H197" s="477"/>
      <c r="I197" s="477"/>
      <c r="J197" s="477"/>
      <c r="K197" s="213"/>
      <c r="L197" s="478"/>
      <c r="M197" s="478"/>
      <c r="N197" s="478"/>
      <c r="O197" s="478"/>
      <c r="P197" s="478"/>
      <c r="Q197" s="478"/>
      <c r="R197" s="478"/>
      <c r="S197" s="478"/>
      <c r="T197" s="478"/>
      <c r="U197" s="478"/>
      <c r="V197" s="479"/>
      <c r="W197" s="478"/>
      <c r="X197" s="478"/>
      <c r="Y197" s="478"/>
      <c r="Z197" s="478"/>
      <c r="AA197" s="478"/>
      <c r="AB197" s="478"/>
      <c r="AC197" s="478"/>
      <c r="AD197" s="478"/>
      <c r="AE197" s="478"/>
      <c r="AF197" s="213"/>
      <c r="AG197" s="480"/>
      <c r="AH197" s="480"/>
      <c r="AI197" s="480"/>
      <c r="AJ197" s="480"/>
      <c r="AK197" s="480"/>
      <c r="AL197" s="480"/>
      <c r="AM197" s="480"/>
      <c r="AN197" s="480"/>
      <c r="AO197" s="480"/>
      <c r="AP197" s="480"/>
      <c r="AQ197" s="480"/>
      <c r="AR197" s="480"/>
      <c r="AS197" s="480"/>
      <c r="AT197" s="480"/>
      <c r="AU197" s="480"/>
      <c r="AV197" s="480"/>
      <c r="AW197" s="480"/>
      <c r="AX197" s="480"/>
      <c r="AY197" s="480"/>
      <c r="AZ197" s="480"/>
      <c r="BA197" s="480"/>
      <c r="BB197" s="480"/>
      <c r="BC197" s="480"/>
      <c r="BD197" s="480"/>
      <c r="BE197" s="213"/>
      <c r="BF197" s="479"/>
      <c r="BG197" s="479"/>
      <c r="BH197" s="372"/>
      <c r="BI197" s="472"/>
      <c r="BJ197" s="481"/>
      <c r="BK197" s="310"/>
      <c r="BL197" s="310">
        <f t="shared" si="0"/>
        <v>0</v>
      </c>
      <c r="BM197" s="7"/>
    </row>
    <row r="198" spans="1:65" ht="20.25" hidden="1" customHeight="1">
      <c r="A198" s="503"/>
      <c r="B198" s="483" t="s">
        <v>439</v>
      </c>
      <c r="C198" s="514" t="s">
        <v>431</v>
      </c>
      <c r="D198" s="504" t="s">
        <v>1469</v>
      </c>
      <c r="E198" s="477"/>
      <c r="F198" s="477"/>
      <c r="G198" s="477"/>
      <c r="H198" s="477"/>
      <c r="I198" s="477"/>
      <c r="J198" s="477"/>
      <c r="K198" s="213"/>
      <c r="L198" s="478"/>
      <c r="M198" s="478"/>
      <c r="N198" s="478"/>
      <c r="O198" s="478"/>
      <c r="P198" s="478"/>
      <c r="Q198" s="478"/>
      <c r="R198" s="478"/>
      <c r="S198" s="478"/>
      <c r="T198" s="478"/>
      <c r="U198" s="478"/>
      <c r="V198" s="479"/>
      <c r="W198" s="478"/>
      <c r="X198" s="478"/>
      <c r="Y198" s="478"/>
      <c r="Z198" s="478"/>
      <c r="AA198" s="478"/>
      <c r="AB198" s="478"/>
      <c r="AC198" s="478"/>
      <c r="AD198" s="478"/>
      <c r="AE198" s="478"/>
      <c r="AF198" s="213"/>
      <c r="AG198" s="480"/>
      <c r="AH198" s="480"/>
      <c r="AI198" s="480"/>
      <c r="AJ198" s="480"/>
      <c r="AK198" s="480"/>
      <c r="AL198" s="480"/>
      <c r="AM198" s="480"/>
      <c r="AN198" s="480"/>
      <c r="AO198" s="480"/>
      <c r="AP198" s="480"/>
      <c r="AQ198" s="480"/>
      <c r="AR198" s="480"/>
      <c r="AS198" s="480"/>
      <c r="AT198" s="480"/>
      <c r="AU198" s="480"/>
      <c r="AV198" s="480"/>
      <c r="AW198" s="480"/>
      <c r="AX198" s="480"/>
      <c r="AY198" s="480"/>
      <c r="AZ198" s="480"/>
      <c r="BA198" s="480"/>
      <c r="BB198" s="480"/>
      <c r="BC198" s="480"/>
      <c r="BD198" s="480"/>
      <c r="BE198" s="213"/>
      <c r="BF198" s="479"/>
      <c r="BG198" s="479"/>
      <c r="BH198" s="372"/>
      <c r="BI198" s="472"/>
      <c r="BJ198" s="481"/>
      <c r="BK198" s="310"/>
      <c r="BL198" s="310">
        <f t="shared" si="0"/>
        <v>0</v>
      </c>
      <c r="BM198" s="7"/>
    </row>
    <row r="199" spans="1:65" ht="20.25" hidden="1" customHeight="1">
      <c r="A199" s="503"/>
      <c r="B199" s="483" t="s">
        <v>440</v>
      </c>
      <c r="C199" s="514" t="s">
        <v>433</v>
      </c>
      <c r="D199" s="504" t="s">
        <v>1470</v>
      </c>
      <c r="E199" s="477"/>
      <c r="F199" s="477"/>
      <c r="G199" s="477"/>
      <c r="H199" s="477"/>
      <c r="I199" s="477"/>
      <c r="J199" s="477"/>
      <c r="K199" s="213"/>
      <c r="L199" s="478"/>
      <c r="M199" s="478"/>
      <c r="N199" s="478"/>
      <c r="O199" s="478"/>
      <c r="P199" s="478"/>
      <c r="Q199" s="478"/>
      <c r="R199" s="478"/>
      <c r="S199" s="478"/>
      <c r="T199" s="478"/>
      <c r="U199" s="478"/>
      <c r="V199" s="479"/>
      <c r="W199" s="478"/>
      <c r="X199" s="478"/>
      <c r="Y199" s="478"/>
      <c r="Z199" s="478"/>
      <c r="AA199" s="478"/>
      <c r="AB199" s="478"/>
      <c r="AC199" s="478"/>
      <c r="AD199" s="478"/>
      <c r="AE199" s="478"/>
      <c r="AF199" s="213"/>
      <c r="AG199" s="480"/>
      <c r="AH199" s="480"/>
      <c r="AI199" s="480"/>
      <c r="AJ199" s="480"/>
      <c r="AK199" s="480"/>
      <c r="AL199" s="480"/>
      <c r="AM199" s="480"/>
      <c r="AN199" s="480"/>
      <c r="AO199" s="480"/>
      <c r="AP199" s="480"/>
      <c r="AQ199" s="480"/>
      <c r="AR199" s="480"/>
      <c r="AS199" s="480"/>
      <c r="AT199" s="480"/>
      <c r="AU199" s="480"/>
      <c r="AV199" s="480"/>
      <c r="AW199" s="480"/>
      <c r="AX199" s="480"/>
      <c r="AY199" s="480"/>
      <c r="AZ199" s="480"/>
      <c r="BA199" s="480"/>
      <c r="BB199" s="480"/>
      <c r="BC199" s="480"/>
      <c r="BD199" s="480"/>
      <c r="BE199" s="213"/>
      <c r="BF199" s="479"/>
      <c r="BG199" s="479"/>
      <c r="BH199" s="372"/>
      <c r="BI199" s="472"/>
      <c r="BJ199" s="481"/>
      <c r="BK199" s="310"/>
      <c r="BL199" s="310">
        <f t="shared" si="0"/>
        <v>0</v>
      </c>
      <c r="BM199" s="7"/>
    </row>
    <row r="200" spans="1:65" ht="20.25" customHeight="1">
      <c r="A200" s="486"/>
      <c r="B200" s="487" t="s">
        <v>444</v>
      </c>
      <c r="C200" s="513" t="s">
        <v>445</v>
      </c>
      <c r="D200" s="412"/>
      <c r="E200" s="477"/>
      <c r="F200" s="477"/>
      <c r="G200" s="477"/>
      <c r="H200" s="477"/>
      <c r="I200" s="477"/>
      <c r="J200" s="477"/>
      <c r="K200" s="213"/>
      <c r="L200" s="478"/>
      <c r="M200" s="478"/>
      <c r="N200" s="478"/>
      <c r="O200" s="478"/>
      <c r="P200" s="478"/>
      <c r="Q200" s="478"/>
      <c r="R200" s="478"/>
      <c r="S200" s="478"/>
      <c r="T200" s="478"/>
      <c r="U200" s="478"/>
      <c r="V200" s="479"/>
      <c r="W200" s="478"/>
      <c r="X200" s="478"/>
      <c r="Y200" s="478"/>
      <c r="Z200" s="478"/>
      <c r="AA200" s="478"/>
      <c r="AB200" s="478"/>
      <c r="AC200" s="478"/>
      <c r="AD200" s="478"/>
      <c r="AE200" s="478"/>
      <c r="AF200" s="213"/>
      <c r="AG200" s="480"/>
      <c r="AH200" s="480"/>
      <c r="AI200" s="480"/>
      <c r="AJ200" s="480"/>
      <c r="AK200" s="480"/>
      <c r="AL200" s="480"/>
      <c r="AM200" s="480"/>
      <c r="AN200" s="480"/>
      <c r="AO200" s="480"/>
      <c r="AP200" s="480"/>
      <c r="AQ200" s="480"/>
      <c r="AR200" s="480"/>
      <c r="AS200" s="480"/>
      <c r="AT200" s="480"/>
      <c r="AU200" s="480"/>
      <c r="AV200" s="480"/>
      <c r="AW200" s="480"/>
      <c r="AX200" s="480"/>
      <c r="AY200" s="480"/>
      <c r="AZ200" s="480"/>
      <c r="BA200" s="480"/>
      <c r="BB200" s="480"/>
      <c r="BC200" s="480"/>
      <c r="BD200" s="480"/>
      <c r="BE200" s="213"/>
      <c r="BF200" s="479"/>
      <c r="BG200" s="479"/>
      <c r="BH200" s="372"/>
      <c r="BI200" s="472"/>
      <c r="BJ200" s="481"/>
      <c r="BK200" s="310"/>
      <c r="BL200" s="310">
        <f t="shared" si="0"/>
        <v>0</v>
      </c>
      <c r="BM200" s="7"/>
    </row>
    <row r="201" spans="1:65" ht="20.25" customHeight="1">
      <c r="A201" s="503"/>
      <c r="B201" s="483" t="s">
        <v>446</v>
      </c>
      <c r="C201" s="514" t="s">
        <v>447</v>
      </c>
      <c r="D201" s="504" t="s">
        <v>424</v>
      </c>
      <c r="E201" s="477"/>
      <c r="F201" s="477"/>
      <c r="G201" s="477"/>
      <c r="H201" s="477"/>
      <c r="I201" s="477"/>
      <c r="J201" s="477"/>
      <c r="K201" s="213"/>
      <c r="L201" s="478"/>
      <c r="M201" s="478"/>
      <c r="N201" s="478"/>
      <c r="O201" s="478"/>
      <c r="P201" s="478"/>
      <c r="Q201" s="478"/>
      <c r="R201" s="478"/>
      <c r="S201" s="478"/>
      <c r="T201" s="478"/>
      <c r="U201" s="478"/>
      <c r="V201" s="479"/>
      <c r="W201" s="478"/>
      <c r="X201" s="478"/>
      <c r="Y201" s="478"/>
      <c r="Z201" s="478">
        <v>90</v>
      </c>
      <c r="AA201" s="478"/>
      <c r="AB201" s="478"/>
      <c r="AC201" s="478"/>
      <c r="AD201" s="478"/>
      <c r="AE201" s="478"/>
      <c r="AF201" s="213"/>
      <c r="AG201" s="480"/>
      <c r="AH201" s="480"/>
      <c r="AI201" s="480"/>
      <c r="AJ201" s="480"/>
      <c r="AK201" s="480"/>
      <c r="AL201" s="480"/>
      <c r="AM201" s="480"/>
      <c r="AN201" s="480"/>
      <c r="AO201" s="480"/>
      <c r="AP201" s="480"/>
      <c r="AQ201" s="480"/>
      <c r="AR201" s="480"/>
      <c r="AS201" s="480"/>
      <c r="AT201" s="480"/>
      <c r="AU201" s="480"/>
      <c r="AV201" s="480"/>
      <c r="AW201" s="480"/>
      <c r="AX201" s="480"/>
      <c r="AY201" s="480"/>
      <c r="AZ201" s="480"/>
      <c r="BA201" s="480"/>
      <c r="BB201" s="480"/>
      <c r="BC201" s="480"/>
      <c r="BD201" s="480"/>
      <c r="BE201" s="213"/>
      <c r="BF201" s="479"/>
      <c r="BG201" s="479">
        <v>30</v>
      </c>
      <c r="BH201" s="372"/>
      <c r="BI201" s="472"/>
      <c r="BJ201" s="481"/>
      <c r="BK201" s="310"/>
      <c r="BL201" s="310">
        <f t="shared" si="0"/>
        <v>120</v>
      </c>
      <c r="BM201" s="7"/>
    </row>
    <row r="202" spans="1:65" ht="20.25" hidden="1" customHeight="1">
      <c r="A202" s="503"/>
      <c r="B202" s="483" t="s">
        <v>449</v>
      </c>
      <c r="C202" s="514" t="s">
        <v>450</v>
      </c>
      <c r="D202" s="504" t="s">
        <v>1471</v>
      </c>
      <c r="E202" s="477"/>
      <c r="F202" s="477"/>
      <c r="G202" s="477"/>
      <c r="H202" s="477"/>
      <c r="I202" s="477"/>
      <c r="J202" s="477"/>
      <c r="K202" s="213"/>
      <c r="L202" s="478"/>
      <c r="M202" s="478"/>
      <c r="N202" s="478"/>
      <c r="O202" s="478"/>
      <c r="P202" s="478"/>
      <c r="Q202" s="478"/>
      <c r="R202" s="478"/>
      <c r="S202" s="478"/>
      <c r="T202" s="478"/>
      <c r="U202" s="478"/>
      <c r="V202" s="479"/>
      <c r="W202" s="478"/>
      <c r="X202" s="478"/>
      <c r="Y202" s="478"/>
      <c r="Z202" s="478"/>
      <c r="AA202" s="478"/>
      <c r="AB202" s="478"/>
      <c r="AC202" s="478"/>
      <c r="AD202" s="478"/>
      <c r="AE202" s="478"/>
      <c r="AF202" s="213"/>
      <c r="AG202" s="480"/>
      <c r="AH202" s="480"/>
      <c r="AI202" s="480"/>
      <c r="AJ202" s="480"/>
      <c r="AK202" s="480"/>
      <c r="AL202" s="480"/>
      <c r="AM202" s="480"/>
      <c r="AN202" s="480"/>
      <c r="AO202" s="480"/>
      <c r="AP202" s="480"/>
      <c r="AQ202" s="480"/>
      <c r="AR202" s="480"/>
      <c r="AS202" s="480"/>
      <c r="AT202" s="480"/>
      <c r="AU202" s="480"/>
      <c r="AV202" s="480"/>
      <c r="AW202" s="480"/>
      <c r="AX202" s="480"/>
      <c r="AY202" s="480"/>
      <c r="AZ202" s="480"/>
      <c r="BA202" s="480"/>
      <c r="BB202" s="480"/>
      <c r="BC202" s="480"/>
      <c r="BD202" s="480"/>
      <c r="BE202" s="213"/>
      <c r="BF202" s="479"/>
      <c r="BG202" s="479"/>
      <c r="BH202" s="372"/>
      <c r="BI202" s="472"/>
      <c r="BJ202" s="481"/>
      <c r="BK202" s="310"/>
      <c r="BL202" s="310">
        <f t="shared" si="0"/>
        <v>0</v>
      </c>
      <c r="BM202" s="7"/>
    </row>
    <row r="203" spans="1:65" ht="20.25" customHeight="1">
      <c r="A203" s="503"/>
      <c r="B203" s="483" t="s">
        <v>449</v>
      </c>
      <c r="C203" s="514" t="s">
        <v>431</v>
      </c>
      <c r="D203" s="504" t="s">
        <v>1472</v>
      </c>
      <c r="E203" s="477"/>
      <c r="F203" s="477"/>
      <c r="G203" s="477"/>
      <c r="H203" s="477"/>
      <c r="I203" s="477"/>
      <c r="J203" s="477"/>
      <c r="K203" s="213"/>
      <c r="L203" s="478"/>
      <c r="M203" s="478"/>
      <c r="N203" s="478"/>
      <c r="O203" s="478"/>
      <c r="P203" s="478"/>
      <c r="Q203" s="478"/>
      <c r="R203" s="478"/>
      <c r="S203" s="478"/>
      <c r="T203" s="478"/>
      <c r="U203" s="478"/>
      <c r="V203" s="479"/>
      <c r="W203" s="478"/>
      <c r="X203" s="478"/>
      <c r="Y203" s="478"/>
      <c r="Z203" s="478"/>
      <c r="AA203" s="478"/>
      <c r="AB203" s="478"/>
      <c r="AC203" s="478"/>
      <c r="AD203" s="478"/>
      <c r="AE203" s="478"/>
      <c r="AF203" s="213"/>
      <c r="AG203" s="480"/>
      <c r="AH203" s="480"/>
      <c r="AI203" s="480"/>
      <c r="AJ203" s="480"/>
      <c r="AK203" s="480"/>
      <c r="AL203" s="480"/>
      <c r="AM203" s="480"/>
      <c r="AN203" s="480"/>
      <c r="AO203" s="480"/>
      <c r="AP203" s="480"/>
      <c r="AQ203" s="480"/>
      <c r="AR203" s="480"/>
      <c r="AS203" s="480"/>
      <c r="AT203" s="480"/>
      <c r="AU203" s="480"/>
      <c r="AV203" s="480"/>
      <c r="AW203" s="480"/>
      <c r="AX203" s="480"/>
      <c r="AY203" s="480"/>
      <c r="AZ203" s="480"/>
      <c r="BA203" s="480"/>
      <c r="BB203" s="480"/>
      <c r="BC203" s="480"/>
      <c r="BD203" s="480"/>
      <c r="BE203" s="213"/>
      <c r="BF203" s="479"/>
      <c r="BG203" s="479"/>
      <c r="BH203" s="372"/>
      <c r="BI203" s="472"/>
      <c r="BJ203" s="481"/>
      <c r="BK203" s="310"/>
      <c r="BL203" s="310">
        <f t="shared" si="0"/>
        <v>0</v>
      </c>
      <c r="BM203" s="7"/>
    </row>
    <row r="204" spans="1:65" ht="20.25" customHeight="1">
      <c r="A204" s="503"/>
      <c r="B204" s="483" t="s">
        <v>453</v>
      </c>
      <c r="C204" s="514" t="s">
        <v>433</v>
      </c>
      <c r="D204" s="504" t="s">
        <v>1473</v>
      </c>
      <c r="E204" s="477"/>
      <c r="F204" s="477"/>
      <c r="G204" s="477"/>
      <c r="H204" s="477"/>
      <c r="I204" s="477"/>
      <c r="J204" s="477"/>
      <c r="K204" s="213"/>
      <c r="L204" s="478"/>
      <c r="M204" s="478"/>
      <c r="N204" s="478"/>
      <c r="O204" s="478"/>
      <c r="P204" s="478"/>
      <c r="Q204" s="478"/>
      <c r="R204" s="478"/>
      <c r="S204" s="478"/>
      <c r="T204" s="478"/>
      <c r="U204" s="478"/>
      <c r="V204" s="479"/>
      <c r="W204" s="478"/>
      <c r="X204" s="478"/>
      <c r="Y204" s="478"/>
      <c r="Z204" s="478"/>
      <c r="AA204" s="478"/>
      <c r="AB204" s="478"/>
      <c r="AC204" s="478"/>
      <c r="AD204" s="478"/>
      <c r="AE204" s="478"/>
      <c r="AF204" s="213"/>
      <c r="AG204" s="480"/>
      <c r="AH204" s="480"/>
      <c r="AI204" s="480"/>
      <c r="AJ204" s="480"/>
      <c r="AK204" s="480"/>
      <c r="AL204" s="480"/>
      <c r="AM204" s="480"/>
      <c r="AN204" s="480"/>
      <c r="AO204" s="480"/>
      <c r="AP204" s="480"/>
      <c r="AQ204" s="480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480"/>
      <c r="BC204" s="480"/>
      <c r="BD204" s="480"/>
      <c r="BE204" s="213"/>
      <c r="BF204" s="479"/>
      <c r="BG204" s="479"/>
      <c r="BH204" s="372"/>
      <c r="BI204" s="472"/>
      <c r="BJ204" s="481"/>
      <c r="BK204" s="310"/>
      <c r="BL204" s="310">
        <f t="shared" si="0"/>
        <v>0</v>
      </c>
      <c r="BM204" s="7"/>
    </row>
    <row r="205" spans="1:65" ht="21" customHeight="1">
      <c r="A205" s="486"/>
      <c r="B205" s="487" t="s">
        <v>455</v>
      </c>
      <c r="C205" s="513" t="s">
        <v>456</v>
      </c>
      <c r="D205" s="512"/>
      <c r="E205" s="477"/>
      <c r="F205" s="477"/>
      <c r="G205" s="477"/>
      <c r="H205" s="477"/>
      <c r="I205" s="477"/>
      <c r="J205" s="477"/>
      <c r="K205" s="213"/>
      <c r="L205" s="478"/>
      <c r="M205" s="478"/>
      <c r="N205" s="478"/>
      <c r="O205" s="478"/>
      <c r="P205" s="478"/>
      <c r="Q205" s="478"/>
      <c r="R205" s="478"/>
      <c r="S205" s="478"/>
      <c r="T205" s="478"/>
      <c r="U205" s="478"/>
      <c r="V205" s="479"/>
      <c r="W205" s="478"/>
      <c r="X205" s="478"/>
      <c r="Y205" s="478"/>
      <c r="Z205" s="478"/>
      <c r="AA205" s="478"/>
      <c r="AB205" s="478"/>
      <c r="AC205" s="478"/>
      <c r="AD205" s="478"/>
      <c r="AE205" s="478"/>
      <c r="AF205" s="213"/>
      <c r="AG205" s="480"/>
      <c r="AH205" s="480"/>
      <c r="AI205" s="480"/>
      <c r="AJ205" s="480"/>
      <c r="AK205" s="480"/>
      <c r="AL205" s="480"/>
      <c r="AM205" s="480"/>
      <c r="AN205" s="480"/>
      <c r="AO205" s="480"/>
      <c r="AP205" s="480"/>
      <c r="AQ205" s="480"/>
      <c r="AR205" s="480"/>
      <c r="AS205" s="480"/>
      <c r="AT205" s="480"/>
      <c r="AU205" s="480"/>
      <c r="AV205" s="480"/>
      <c r="AW205" s="480"/>
      <c r="AX205" s="480"/>
      <c r="AY205" s="480"/>
      <c r="AZ205" s="480"/>
      <c r="BA205" s="480"/>
      <c r="BB205" s="480"/>
      <c r="BC205" s="480"/>
      <c r="BD205" s="480"/>
      <c r="BE205" s="213"/>
      <c r="BF205" s="479"/>
      <c r="BG205" s="479"/>
      <c r="BH205" s="372"/>
      <c r="BI205" s="472"/>
      <c r="BJ205" s="481"/>
      <c r="BK205" s="310"/>
      <c r="BL205" s="310">
        <f t="shared" si="0"/>
        <v>0</v>
      </c>
      <c r="BM205" s="7"/>
    </row>
    <row r="206" spans="1:65" ht="20.25" customHeight="1">
      <c r="A206" s="503"/>
      <c r="B206" s="483" t="s">
        <v>458</v>
      </c>
      <c r="C206" s="514" t="s">
        <v>459</v>
      </c>
      <c r="D206" s="504" t="s">
        <v>424</v>
      </c>
      <c r="E206" s="477"/>
      <c r="F206" s="477"/>
      <c r="G206" s="477"/>
      <c r="H206" s="477"/>
      <c r="I206" s="477"/>
      <c r="J206" s="477"/>
      <c r="K206" s="213"/>
      <c r="L206" s="478"/>
      <c r="M206" s="478"/>
      <c r="N206" s="478"/>
      <c r="O206" s="478"/>
      <c r="P206" s="478"/>
      <c r="Q206" s="478"/>
      <c r="R206" s="478"/>
      <c r="S206" s="478">
        <v>130</v>
      </c>
      <c r="T206" s="478"/>
      <c r="U206" s="478">
        <v>15155</v>
      </c>
      <c r="V206" s="479"/>
      <c r="W206" s="478"/>
      <c r="X206" s="478">
        <v>260</v>
      </c>
      <c r="Y206" s="478"/>
      <c r="Z206" s="478">
        <v>1368</v>
      </c>
      <c r="AA206" s="478">
        <v>20000</v>
      </c>
      <c r="AB206" s="478">
        <v>268</v>
      </c>
      <c r="AC206" s="478">
        <v>8300</v>
      </c>
      <c r="AD206" s="478">
        <v>10</v>
      </c>
      <c r="AE206" s="478">
        <v>310</v>
      </c>
      <c r="AF206" s="213"/>
      <c r="AG206" s="480"/>
      <c r="AH206" s="480"/>
      <c r="AI206" s="480"/>
      <c r="AJ206" s="480"/>
      <c r="AK206" s="480"/>
      <c r="AL206" s="480"/>
      <c r="AM206" s="480"/>
      <c r="AN206" s="480"/>
      <c r="AO206" s="480"/>
      <c r="AP206" s="480"/>
      <c r="AQ206" s="480"/>
      <c r="AR206" s="480"/>
      <c r="AS206" s="480"/>
      <c r="AT206" s="480"/>
      <c r="AU206" s="480"/>
      <c r="AV206" s="480"/>
      <c r="AW206" s="480"/>
      <c r="AX206" s="480"/>
      <c r="AY206" s="480"/>
      <c r="AZ206" s="480"/>
      <c r="BA206" s="480"/>
      <c r="BB206" s="480"/>
      <c r="BC206" s="480"/>
      <c r="BD206" s="480"/>
      <c r="BE206" s="213"/>
      <c r="BF206" s="479"/>
      <c r="BG206" s="479"/>
      <c r="BH206" s="372"/>
      <c r="BI206" s="472"/>
      <c r="BJ206" s="481"/>
      <c r="BK206" s="310"/>
      <c r="BL206" s="310">
        <f t="shared" si="0"/>
        <v>45801</v>
      </c>
      <c r="BM206" s="7"/>
    </row>
    <row r="207" spans="1:65" ht="20.25" customHeight="1">
      <c r="A207" s="503"/>
      <c r="B207" s="483" t="s">
        <v>461</v>
      </c>
      <c r="C207" s="514" t="s">
        <v>431</v>
      </c>
      <c r="D207" s="504" t="s">
        <v>1474</v>
      </c>
      <c r="E207" s="477"/>
      <c r="F207" s="477"/>
      <c r="G207" s="477"/>
      <c r="H207" s="477"/>
      <c r="I207" s="477"/>
      <c r="J207" s="477"/>
      <c r="K207" s="213"/>
      <c r="L207" s="478"/>
      <c r="M207" s="478"/>
      <c r="N207" s="478"/>
      <c r="O207" s="478"/>
      <c r="P207" s="478"/>
      <c r="Q207" s="478"/>
      <c r="R207" s="478"/>
      <c r="S207" s="478"/>
      <c r="T207" s="478"/>
      <c r="U207" s="478">
        <v>13929</v>
      </c>
      <c r="V207" s="479"/>
      <c r="W207" s="478">
        <v>6977</v>
      </c>
      <c r="X207" s="478">
        <v>85</v>
      </c>
      <c r="Y207" s="478"/>
      <c r="Z207" s="478"/>
      <c r="AA207" s="478"/>
      <c r="AB207" s="478"/>
      <c r="AC207" s="478"/>
      <c r="AD207" s="478"/>
      <c r="AE207" s="478"/>
      <c r="AF207" s="213"/>
      <c r="AG207" s="480"/>
      <c r="AH207" s="480"/>
      <c r="AI207" s="480"/>
      <c r="AJ207" s="480"/>
      <c r="AK207" s="480"/>
      <c r="AL207" s="480"/>
      <c r="AM207" s="480"/>
      <c r="AN207" s="480"/>
      <c r="AO207" s="480"/>
      <c r="AP207" s="480"/>
      <c r="AQ207" s="480"/>
      <c r="AR207" s="480"/>
      <c r="AS207" s="480"/>
      <c r="AT207" s="480"/>
      <c r="AU207" s="480"/>
      <c r="AV207" s="480"/>
      <c r="AW207" s="480"/>
      <c r="AX207" s="480"/>
      <c r="AY207" s="480"/>
      <c r="AZ207" s="480"/>
      <c r="BA207" s="480"/>
      <c r="BB207" s="480"/>
      <c r="BC207" s="480"/>
      <c r="BD207" s="480"/>
      <c r="BE207" s="213"/>
      <c r="BF207" s="479"/>
      <c r="BG207" s="479"/>
      <c r="BH207" s="372"/>
      <c r="BI207" s="472"/>
      <c r="BJ207" s="481"/>
      <c r="BK207" s="310"/>
      <c r="BL207" s="310">
        <f t="shared" si="0"/>
        <v>20991</v>
      </c>
      <c r="BM207" s="7"/>
    </row>
    <row r="208" spans="1:65" ht="20.25" customHeight="1">
      <c r="A208" s="503"/>
      <c r="B208" s="483" t="s">
        <v>464</v>
      </c>
      <c r="C208" s="514" t="s">
        <v>433</v>
      </c>
      <c r="D208" s="504" t="s">
        <v>1475</v>
      </c>
      <c r="E208" s="477"/>
      <c r="F208" s="477"/>
      <c r="G208" s="477"/>
      <c r="H208" s="477"/>
      <c r="I208" s="477"/>
      <c r="J208" s="477"/>
      <c r="K208" s="213"/>
      <c r="L208" s="478"/>
      <c r="M208" s="478"/>
      <c r="N208" s="478"/>
      <c r="O208" s="478"/>
      <c r="P208" s="478"/>
      <c r="Q208" s="478"/>
      <c r="R208" s="478"/>
      <c r="S208" s="478"/>
      <c r="T208" s="478"/>
      <c r="U208" s="478">
        <v>672</v>
      </c>
      <c r="V208" s="479"/>
      <c r="W208" s="478"/>
      <c r="X208" s="478"/>
      <c r="Y208" s="478"/>
      <c r="Z208" s="478"/>
      <c r="AA208" s="478"/>
      <c r="AB208" s="478"/>
      <c r="AC208" s="478"/>
      <c r="AD208" s="478"/>
      <c r="AE208" s="478"/>
      <c r="AF208" s="213"/>
      <c r="AG208" s="480"/>
      <c r="AH208" s="480"/>
      <c r="AI208" s="480"/>
      <c r="AJ208" s="480"/>
      <c r="AK208" s="480"/>
      <c r="AL208" s="480"/>
      <c r="AM208" s="480"/>
      <c r="AN208" s="480"/>
      <c r="AO208" s="480"/>
      <c r="AP208" s="480"/>
      <c r="AQ208" s="480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480"/>
      <c r="BC208" s="480"/>
      <c r="BD208" s="480"/>
      <c r="BE208" s="213"/>
      <c r="BF208" s="479"/>
      <c r="BG208" s="479"/>
      <c r="BH208" s="372"/>
      <c r="BI208" s="472"/>
      <c r="BJ208" s="481"/>
      <c r="BK208" s="310"/>
      <c r="BL208" s="310">
        <f t="shared" si="0"/>
        <v>672</v>
      </c>
      <c r="BM208" s="7"/>
    </row>
    <row r="209" spans="1:65" ht="20.25" customHeight="1">
      <c r="A209" s="486"/>
      <c r="B209" s="487" t="s">
        <v>455</v>
      </c>
      <c r="C209" s="488" t="s">
        <v>467</v>
      </c>
      <c r="D209" s="412"/>
      <c r="E209" s="477"/>
      <c r="F209" s="477"/>
      <c r="G209" s="477"/>
      <c r="H209" s="477"/>
      <c r="I209" s="477"/>
      <c r="J209" s="477"/>
      <c r="K209" s="213"/>
      <c r="L209" s="478"/>
      <c r="M209" s="478"/>
      <c r="N209" s="478"/>
      <c r="O209" s="478"/>
      <c r="P209" s="478"/>
      <c r="Q209" s="478"/>
      <c r="R209" s="478"/>
      <c r="S209" s="478"/>
      <c r="T209" s="478"/>
      <c r="U209" s="478"/>
      <c r="V209" s="479"/>
      <c r="W209" s="478"/>
      <c r="X209" s="478"/>
      <c r="Y209" s="478"/>
      <c r="Z209" s="478"/>
      <c r="AA209" s="478"/>
      <c r="AB209" s="478"/>
      <c r="AC209" s="478"/>
      <c r="AD209" s="478"/>
      <c r="AE209" s="478"/>
      <c r="AF209" s="213"/>
      <c r="AG209" s="480"/>
      <c r="AH209" s="480"/>
      <c r="AI209" s="480"/>
      <c r="AJ209" s="480"/>
      <c r="AK209" s="480"/>
      <c r="AL209" s="480"/>
      <c r="AM209" s="480"/>
      <c r="AN209" s="480"/>
      <c r="AO209" s="480"/>
      <c r="AP209" s="480"/>
      <c r="AQ209" s="480"/>
      <c r="AR209" s="480"/>
      <c r="AS209" s="480"/>
      <c r="AT209" s="480"/>
      <c r="AU209" s="480"/>
      <c r="AV209" s="480"/>
      <c r="AW209" s="480"/>
      <c r="AX209" s="480"/>
      <c r="AY209" s="480"/>
      <c r="AZ209" s="480"/>
      <c r="BA209" s="480"/>
      <c r="BB209" s="480"/>
      <c r="BC209" s="480"/>
      <c r="BD209" s="480"/>
      <c r="BE209" s="213"/>
      <c r="BF209" s="479"/>
      <c r="BG209" s="479"/>
      <c r="BH209" s="372"/>
      <c r="BI209" s="472"/>
      <c r="BJ209" s="481"/>
      <c r="BK209" s="310"/>
      <c r="BL209" s="310">
        <f t="shared" si="0"/>
        <v>0</v>
      </c>
      <c r="BM209" s="7"/>
    </row>
    <row r="210" spans="1:65" ht="20.25" hidden="1" customHeight="1">
      <c r="A210" s="503"/>
      <c r="B210" s="483" t="s">
        <v>458</v>
      </c>
      <c r="C210" s="514" t="s">
        <v>469</v>
      </c>
      <c r="D210" s="504" t="s">
        <v>132</v>
      </c>
      <c r="E210" s="477"/>
      <c r="F210" s="477"/>
      <c r="G210" s="477"/>
      <c r="H210" s="477"/>
      <c r="I210" s="477"/>
      <c r="J210" s="477"/>
      <c r="K210" s="213"/>
      <c r="L210" s="478"/>
      <c r="M210" s="478"/>
      <c r="N210" s="478"/>
      <c r="O210" s="478"/>
      <c r="P210" s="478"/>
      <c r="Q210" s="478"/>
      <c r="R210" s="478"/>
      <c r="S210" s="478"/>
      <c r="T210" s="478"/>
      <c r="U210" s="478"/>
      <c r="V210" s="479"/>
      <c r="W210" s="478"/>
      <c r="X210" s="478"/>
      <c r="Y210" s="478"/>
      <c r="Z210" s="478"/>
      <c r="AA210" s="478"/>
      <c r="AB210" s="478"/>
      <c r="AC210" s="478"/>
      <c r="AD210" s="478"/>
      <c r="AE210" s="478"/>
      <c r="AF210" s="213"/>
      <c r="AG210" s="480"/>
      <c r="AH210" s="480"/>
      <c r="AI210" s="480"/>
      <c r="AJ210" s="480"/>
      <c r="AK210" s="480"/>
      <c r="AL210" s="480"/>
      <c r="AM210" s="480"/>
      <c r="AN210" s="480"/>
      <c r="AO210" s="480"/>
      <c r="AP210" s="480"/>
      <c r="AQ210" s="480"/>
      <c r="AR210" s="480"/>
      <c r="AS210" s="480"/>
      <c r="AT210" s="480"/>
      <c r="AU210" s="480"/>
      <c r="AV210" s="480"/>
      <c r="AW210" s="480"/>
      <c r="AX210" s="480"/>
      <c r="AY210" s="480"/>
      <c r="AZ210" s="480"/>
      <c r="BA210" s="480"/>
      <c r="BB210" s="480"/>
      <c r="BC210" s="480"/>
      <c r="BD210" s="480"/>
      <c r="BE210" s="213"/>
      <c r="BF210" s="479"/>
      <c r="BG210" s="479"/>
      <c r="BH210" s="372"/>
      <c r="BI210" s="472"/>
      <c r="BJ210" s="481"/>
      <c r="BK210" s="310"/>
      <c r="BL210" s="310">
        <f t="shared" si="0"/>
        <v>0</v>
      </c>
      <c r="BM210" s="7"/>
    </row>
    <row r="211" spans="1:65" ht="20.25" hidden="1" customHeight="1">
      <c r="A211" s="503"/>
      <c r="B211" s="483" t="s">
        <v>461</v>
      </c>
      <c r="C211" s="514" t="s">
        <v>471</v>
      </c>
      <c r="D211" s="504" t="s">
        <v>132</v>
      </c>
      <c r="E211" s="477"/>
      <c r="F211" s="477"/>
      <c r="G211" s="477"/>
      <c r="H211" s="477"/>
      <c r="I211" s="477"/>
      <c r="J211" s="477"/>
      <c r="K211" s="213"/>
      <c r="L211" s="478"/>
      <c r="M211" s="478"/>
      <c r="N211" s="478"/>
      <c r="O211" s="478"/>
      <c r="P211" s="478"/>
      <c r="Q211" s="478"/>
      <c r="R211" s="478"/>
      <c r="S211" s="478"/>
      <c r="T211" s="478"/>
      <c r="U211" s="478"/>
      <c r="V211" s="479"/>
      <c r="W211" s="478"/>
      <c r="X211" s="478"/>
      <c r="Y211" s="478"/>
      <c r="Z211" s="478"/>
      <c r="AA211" s="478"/>
      <c r="AB211" s="478"/>
      <c r="AC211" s="478"/>
      <c r="AD211" s="478"/>
      <c r="AE211" s="478"/>
      <c r="AF211" s="213"/>
      <c r="AG211" s="480"/>
      <c r="AH211" s="480"/>
      <c r="AI211" s="480"/>
      <c r="AJ211" s="480"/>
      <c r="AK211" s="480"/>
      <c r="AL211" s="480"/>
      <c r="AM211" s="480"/>
      <c r="AN211" s="480"/>
      <c r="AO211" s="480"/>
      <c r="AP211" s="480"/>
      <c r="AQ211" s="480"/>
      <c r="AR211" s="480"/>
      <c r="AS211" s="480"/>
      <c r="AT211" s="480"/>
      <c r="AU211" s="480"/>
      <c r="AV211" s="480"/>
      <c r="AW211" s="480"/>
      <c r="AX211" s="480"/>
      <c r="AY211" s="480"/>
      <c r="AZ211" s="480"/>
      <c r="BA211" s="480"/>
      <c r="BB211" s="480"/>
      <c r="BC211" s="480"/>
      <c r="BD211" s="480"/>
      <c r="BE211" s="213"/>
      <c r="BF211" s="479"/>
      <c r="BG211" s="479"/>
      <c r="BH211" s="372"/>
      <c r="BI211" s="472"/>
      <c r="BJ211" s="481"/>
      <c r="BK211" s="310"/>
      <c r="BL211" s="310">
        <f t="shared" si="0"/>
        <v>0</v>
      </c>
      <c r="BM211" s="7"/>
    </row>
    <row r="212" spans="1:65" ht="20.25" hidden="1" customHeight="1">
      <c r="A212" s="503"/>
      <c r="B212" s="483" t="s">
        <v>464</v>
      </c>
      <c r="C212" s="514" t="s">
        <v>473</v>
      </c>
      <c r="D212" s="504" t="s">
        <v>132</v>
      </c>
      <c r="E212" s="477"/>
      <c r="F212" s="477"/>
      <c r="G212" s="477"/>
      <c r="H212" s="477"/>
      <c r="I212" s="477"/>
      <c r="J212" s="477"/>
      <c r="K212" s="213"/>
      <c r="L212" s="478"/>
      <c r="M212" s="478"/>
      <c r="N212" s="478"/>
      <c r="O212" s="478"/>
      <c r="P212" s="478"/>
      <c r="Q212" s="478"/>
      <c r="R212" s="478"/>
      <c r="S212" s="478"/>
      <c r="T212" s="478"/>
      <c r="U212" s="478"/>
      <c r="V212" s="479"/>
      <c r="W212" s="478"/>
      <c r="X212" s="478"/>
      <c r="Y212" s="478"/>
      <c r="Z212" s="478"/>
      <c r="AA212" s="478"/>
      <c r="AB212" s="478"/>
      <c r="AC212" s="478"/>
      <c r="AD212" s="478"/>
      <c r="AE212" s="478"/>
      <c r="AF212" s="213"/>
      <c r="AG212" s="480"/>
      <c r="AH212" s="480"/>
      <c r="AI212" s="480"/>
      <c r="AJ212" s="480"/>
      <c r="AK212" s="480"/>
      <c r="AL212" s="480"/>
      <c r="AM212" s="480"/>
      <c r="AN212" s="480"/>
      <c r="AO212" s="480"/>
      <c r="AP212" s="480"/>
      <c r="AQ212" s="480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480"/>
      <c r="BC212" s="480"/>
      <c r="BD212" s="480"/>
      <c r="BE212" s="213"/>
      <c r="BF212" s="479"/>
      <c r="BG212" s="479"/>
      <c r="BH212" s="372"/>
      <c r="BI212" s="472"/>
      <c r="BJ212" s="481"/>
      <c r="BK212" s="310"/>
      <c r="BL212" s="310">
        <f t="shared" si="0"/>
        <v>0</v>
      </c>
      <c r="BM212" s="7"/>
    </row>
    <row r="213" spans="1:65" ht="20.25" customHeight="1">
      <c r="A213" s="486"/>
      <c r="B213" s="487" t="s">
        <v>475</v>
      </c>
      <c r="C213" s="488" t="s">
        <v>476</v>
      </c>
      <c r="D213" s="412"/>
      <c r="E213" s="477"/>
      <c r="F213" s="477"/>
      <c r="G213" s="477"/>
      <c r="H213" s="477"/>
      <c r="I213" s="477"/>
      <c r="J213" s="477"/>
      <c r="K213" s="213"/>
      <c r="L213" s="478"/>
      <c r="M213" s="478"/>
      <c r="N213" s="478"/>
      <c r="O213" s="478"/>
      <c r="P213" s="478"/>
      <c r="Q213" s="478"/>
      <c r="R213" s="478"/>
      <c r="S213" s="478"/>
      <c r="T213" s="478"/>
      <c r="U213" s="478"/>
      <c r="V213" s="479"/>
      <c r="W213" s="478"/>
      <c r="X213" s="478"/>
      <c r="Y213" s="478"/>
      <c r="Z213" s="478"/>
      <c r="AA213" s="478"/>
      <c r="AB213" s="478"/>
      <c r="AC213" s="478"/>
      <c r="AD213" s="478"/>
      <c r="AE213" s="478"/>
      <c r="AF213" s="213"/>
      <c r="AG213" s="480"/>
      <c r="AH213" s="480"/>
      <c r="AI213" s="480"/>
      <c r="AJ213" s="480"/>
      <c r="AK213" s="480"/>
      <c r="AL213" s="480"/>
      <c r="AM213" s="480"/>
      <c r="AN213" s="480"/>
      <c r="AO213" s="480"/>
      <c r="AP213" s="480"/>
      <c r="AQ213" s="480"/>
      <c r="AR213" s="480"/>
      <c r="AS213" s="480"/>
      <c r="AT213" s="480"/>
      <c r="AU213" s="480"/>
      <c r="AV213" s="480"/>
      <c r="AW213" s="480"/>
      <c r="AX213" s="480"/>
      <c r="AY213" s="480"/>
      <c r="AZ213" s="480"/>
      <c r="BA213" s="480"/>
      <c r="BB213" s="480"/>
      <c r="BC213" s="480"/>
      <c r="BD213" s="480"/>
      <c r="BE213" s="213"/>
      <c r="BF213" s="479"/>
      <c r="BG213" s="479"/>
      <c r="BH213" s="372"/>
      <c r="BI213" s="472"/>
      <c r="BJ213" s="481"/>
      <c r="BK213" s="310"/>
      <c r="BL213" s="310">
        <f t="shared" si="0"/>
        <v>0</v>
      </c>
      <c r="BM213" s="7"/>
    </row>
    <row r="214" spans="1:65" ht="20.25" customHeight="1">
      <c r="A214" s="503"/>
      <c r="B214" s="483" t="s">
        <v>478</v>
      </c>
      <c r="C214" s="514" t="s">
        <v>479</v>
      </c>
      <c r="D214" s="504" t="s">
        <v>132</v>
      </c>
      <c r="E214" s="477"/>
      <c r="F214" s="477"/>
      <c r="G214" s="477"/>
      <c r="H214" s="477"/>
      <c r="I214" s="477"/>
      <c r="J214" s="477">
        <v>117</v>
      </c>
      <c r="K214" s="213"/>
      <c r="L214" s="478"/>
      <c r="M214" s="478"/>
      <c r="N214" s="478"/>
      <c r="O214" s="478"/>
      <c r="P214" s="478"/>
      <c r="Q214" s="478"/>
      <c r="R214" s="478"/>
      <c r="S214" s="478"/>
      <c r="T214" s="478"/>
      <c r="U214" s="478">
        <v>40</v>
      </c>
      <c r="V214" s="479"/>
      <c r="W214" s="478"/>
      <c r="X214" s="478"/>
      <c r="Y214" s="478"/>
      <c r="Z214" s="478">
        <v>2</v>
      </c>
      <c r="AA214" s="478"/>
      <c r="AB214" s="478"/>
      <c r="AC214" s="478"/>
      <c r="AD214" s="478"/>
      <c r="AE214" s="478"/>
      <c r="AF214" s="213"/>
      <c r="AG214" s="480"/>
      <c r="AH214" s="480"/>
      <c r="AI214" s="480"/>
      <c r="AJ214" s="480"/>
      <c r="AK214" s="480"/>
      <c r="AL214" s="480"/>
      <c r="AM214" s="480"/>
      <c r="AN214" s="480"/>
      <c r="AO214" s="480"/>
      <c r="AP214" s="480"/>
      <c r="AQ214" s="480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480"/>
      <c r="BC214" s="480"/>
      <c r="BD214" s="480"/>
      <c r="BE214" s="213"/>
      <c r="BF214" s="479"/>
      <c r="BG214" s="479"/>
      <c r="BH214" s="372"/>
      <c r="BI214" s="472"/>
      <c r="BJ214" s="481"/>
      <c r="BK214" s="310"/>
      <c r="BL214" s="310">
        <f t="shared" si="0"/>
        <v>159</v>
      </c>
      <c r="BM214" s="7"/>
    </row>
    <row r="215" spans="1:65" ht="20.25" customHeight="1">
      <c r="A215" s="503"/>
      <c r="B215" s="483" t="s">
        <v>481</v>
      </c>
      <c r="C215" s="514" t="s">
        <v>482</v>
      </c>
      <c r="D215" s="504" t="s">
        <v>132</v>
      </c>
      <c r="E215" s="477"/>
      <c r="F215" s="477"/>
      <c r="G215" s="477"/>
      <c r="H215" s="477"/>
      <c r="I215" s="477"/>
      <c r="J215" s="477"/>
      <c r="K215" s="213"/>
      <c r="L215" s="478"/>
      <c r="M215" s="478"/>
      <c r="N215" s="478"/>
      <c r="O215" s="478"/>
      <c r="P215" s="478"/>
      <c r="Q215" s="478"/>
      <c r="R215" s="478"/>
      <c r="S215" s="478"/>
      <c r="T215" s="478"/>
      <c r="U215" s="478"/>
      <c r="V215" s="479"/>
      <c r="W215" s="478"/>
      <c r="X215" s="478"/>
      <c r="Y215" s="478"/>
      <c r="Z215" s="478"/>
      <c r="AA215" s="478"/>
      <c r="AB215" s="478"/>
      <c r="AC215" s="478"/>
      <c r="AD215" s="478"/>
      <c r="AE215" s="478"/>
      <c r="AF215" s="213"/>
      <c r="AG215" s="480"/>
      <c r="AH215" s="480"/>
      <c r="AI215" s="480"/>
      <c r="AJ215" s="480"/>
      <c r="AK215" s="480"/>
      <c r="AL215" s="480"/>
      <c r="AM215" s="480"/>
      <c r="AN215" s="480"/>
      <c r="AO215" s="480"/>
      <c r="AP215" s="480"/>
      <c r="AQ215" s="480"/>
      <c r="AR215" s="480"/>
      <c r="AS215" s="480"/>
      <c r="AT215" s="480"/>
      <c r="AU215" s="480"/>
      <c r="AV215" s="480"/>
      <c r="AW215" s="480"/>
      <c r="AX215" s="480"/>
      <c r="AY215" s="480"/>
      <c r="AZ215" s="480"/>
      <c r="BA215" s="480"/>
      <c r="BB215" s="480"/>
      <c r="BC215" s="480"/>
      <c r="BD215" s="480"/>
      <c r="BE215" s="213"/>
      <c r="BF215" s="479"/>
      <c r="BG215" s="479"/>
      <c r="BH215" s="372"/>
      <c r="BI215" s="472"/>
      <c r="BJ215" s="481"/>
      <c r="BK215" s="310"/>
      <c r="BL215" s="310">
        <f t="shared" si="0"/>
        <v>0</v>
      </c>
      <c r="BM215" s="7"/>
    </row>
    <row r="216" spans="1:65" ht="20.25" customHeight="1">
      <c r="A216" s="486"/>
      <c r="B216" s="487" t="s">
        <v>484</v>
      </c>
      <c r="C216" s="513" t="s">
        <v>485</v>
      </c>
      <c r="D216" s="512" t="s">
        <v>132</v>
      </c>
      <c r="E216" s="477"/>
      <c r="F216" s="477"/>
      <c r="G216" s="477"/>
      <c r="H216" s="477"/>
      <c r="I216" s="477"/>
      <c r="J216" s="477"/>
      <c r="K216" s="213"/>
      <c r="L216" s="478"/>
      <c r="M216" s="478"/>
      <c r="N216" s="478"/>
      <c r="O216" s="478"/>
      <c r="P216" s="478"/>
      <c r="Q216" s="478"/>
      <c r="R216" s="478"/>
      <c r="S216" s="478"/>
      <c r="T216" s="478"/>
      <c r="U216" s="478"/>
      <c r="V216" s="479"/>
      <c r="W216" s="478"/>
      <c r="X216" s="478"/>
      <c r="Y216" s="478"/>
      <c r="Z216" s="478"/>
      <c r="AA216" s="478"/>
      <c r="AB216" s="478"/>
      <c r="AC216" s="478"/>
      <c r="AD216" s="478"/>
      <c r="AE216" s="478"/>
      <c r="AF216" s="213"/>
      <c r="AG216" s="480"/>
      <c r="AH216" s="480"/>
      <c r="AI216" s="480"/>
      <c r="AJ216" s="480"/>
      <c r="AK216" s="480"/>
      <c r="AL216" s="480"/>
      <c r="AM216" s="480"/>
      <c r="AN216" s="480"/>
      <c r="AO216" s="480"/>
      <c r="AP216" s="480"/>
      <c r="AQ216" s="480"/>
      <c r="AR216" s="480"/>
      <c r="AS216" s="480"/>
      <c r="AT216" s="480"/>
      <c r="AU216" s="480"/>
      <c r="AV216" s="480"/>
      <c r="AW216" s="480"/>
      <c r="AX216" s="480"/>
      <c r="AY216" s="480"/>
      <c r="AZ216" s="480"/>
      <c r="BA216" s="480"/>
      <c r="BB216" s="480"/>
      <c r="BC216" s="480"/>
      <c r="BD216" s="480"/>
      <c r="BE216" s="213"/>
      <c r="BF216" s="479"/>
      <c r="BG216" s="479"/>
      <c r="BH216" s="372"/>
      <c r="BI216" s="472"/>
      <c r="BJ216" s="481"/>
      <c r="BK216" s="310"/>
      <c r="BL216" s="310">
        <f t="shared" si="0"/>
        <v>0</v>
      </c>
      <c r="BM216" s="7"/>
    </row>
    <row r="217" spans="1:65" ht="20.25" hidden="1" customHeight="1">
      <c r="A217" s="503"/>
      <c r="B217" s="483" t="s">
        <v>487</v>
      </c>
      <c r="C217" s="514" t="s">
        <v>488</v>
      </c>
      <c r="D217" s="504" t="s">
        <v>132</v>
      </c>
      <c r="E217" s="477"/>
      <c r="F217" s="477"/>
      <c r="G217" s="477"/>
      <c r="H217" s="477"/>
      <c r="I217" s="477"/>
      <c r="J217" s="477"/>
      <c r="K217" s="213"/>
      <c r="L217" s="478"/>
      <c r="M217" s="478"/>
      <c r="N217" s="478"/>
      <c r="O217" s="478"/>
      <c r="P217" s="478"/>
      <c r="Q217" s="478"/>
      <c r="R217" s="478"/>
      <c r="S217" s="478"/>
      <c r="T217" s="478"/>
      <c r="U217" s="478"/>
      <c r="V217" s="479"/>
      <c r="W217" s="478"/>
      <c r="X217" s="478"/>
      <c r="Y217" s="478"/>
      <c r="Z217" s="478"/>
      <c r="AA217" s="478"/>
      <c r="AB217" s="478"/>
      <c r="AC217" s="478"/>
      <c r="AD217" s="478"/>
      <c r="AE217" s="478"/>
      <c r="AF217" s="213"/>
      <c r="AG217" s="480"/>
      <c r="AH217" s="480"/>
      <c r="AI217" s="480"/>
      <c r="AJ217" s="480"/>
      <c r="AK217" s="480"/>
      <c r="AL217" s="480"/>
      <c r="AM217" s="480"/>
      <c r="AN217" s="480"/>
      <c r="AO217" s="480"/>
      <c r="AP217" s="480"/>
      <c r="AQ217" s="480"/>
      <c r="AR217" s="480"/>
      <c r="AS217" s="480"/>
      <c r="AT217" s="480"/>
      <c r="AU217" s="480"/>
      <c r="AV217" s="480"/>
      <c r="AW217" s="480"/>
      <c r="AX217" s="480"/>
      <c r="AY217" s="480"/>
      <c r="AZ217" s="480"/>
      <c r="BA217" s="480"/>
      <c r="BB217" s="480"/>
      <c r="BC217" s="480"/>
      <c r="BD217" s="480"/>
      <c r="BE217" s="213"/>
      <c r="BF217" s="479"/>
      <c r="BG217" s="479"/>
      <c r="BH217" s="372"/>
      <c r="BI217" s="472"/>
      <c r="BJ217" s="481"/>
      <c r="BK217" s="310"/>
      <c r="BL217" s="310">
        <f t="shared" si="0"/>
        <v>0</v>
      </c>
      <c r="BM217" s="7"/>
    </row>
    <row r="218" spans="1:65" ht="20.25" hidden="1" customHeight="1">
      <c r="A218" s="503"/>
      <c r="B218" s="483" t="s">
        <v>490</v>
      </c>
      <c r="C218" s="514" t="s">
        <v>491</v>
      </c>
      <c r="D218" s="504" t="s">
        <v>132</v>
      </c>
      <c r="E218" s="477"/>
      <c r="F218" s="477"/>
      <c r="G218" s="477"/>
      <c r="H218" s="477"/>
      <c r="I218" s="477"/>
      <c r="J218" s="477"/>
      <c r="K218" s="213"/>
      <c r="L218" s="478"/>
      <c r="M218" s="478"/>
      <c r="N218" s="478"/>
      <c r="O218" s="478"/>
      <c r="P218" s="478"/>
      <c r="Q218" s="478"/>
      <c r="R218" s="478"/>
      <c r="S218" s="478"/>
      <c r="T218" s="478"/>
      <c r="U218" s="478"/>
      <c r="V218" s="479"/>
      <c r="W218" s="478"/>
      <c r="X218" s="478"/>
      <c r="Y218" s="478"/>
      <c r="Z218" s="478"/>
      <c r="AA218" s="478"/>
      <c r="AB218" s="478"/>
      <c r="AC218" s="478"/>
      <c r="AD218" s="478"/>
      <c r="AE218" s="478"/>
      <c r="AF218" s="213"/>
      <c r="AG218" s="480"/>
      <c r="AH218" s="480"/>
      <c r="AI218" s="480"/>
      <c r="AJ218" s="480"/>
      <c r="AK218" s="480"/>
      <c r="AL218" s="480"/>
      <c r="AM218" s="480"/>
      <c r="AN218" s="480"/>
      <c r="AO218" s="480"/>
      <c r="AP218" s="480"/>
      <c r="AQ218" s="480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480"/>
      <c r="BC218" s="480"/>
      <c r="BD218" s="480"/>
      <c r="BE218" s="213"/>
      <c r="BF218" s="479"/>
      <c r="BG218" s="479"/>
      <c r="BH218" s="372"/>
      <c r="BI218" s="472"/>
      <c r="BJ218" s="481"/>
      <c r="BK218" s="310"/>
      <c r="BL218" s="310">
        <f t="shared" si="0"/>
        <v>0</v>
      </c>
      <c r="BM218" s="7"/>
    </row>
    <row r="219" spans="1:65" ht="31.5" customHeight="1">
      <c r="A219" s="486"/>
      <c r="B219" s="487" t="s">
        <v>493</v>
      </c>
      <c r="C219" s="513" t="s">
        <v>494</v>
      </c>
      <c r="D219" s="512" t="s">
        <v>132</v>
      </c>
      <c r="E219" s="477"/>
      <c r="F219" s="477"/>
      <c r="G219" s="477"/>
      <c r="H219" s="477"/>
      <c r="I219" s="477"/>
      <c r="J219" s="477"/>
      <c r="K219" s="213"/>
      <c r="L219" s="478"/>
      <c r="M219" s="478"/>
      <c r="N219" s="478"/>
      <c r="O219" s="478"/>
      <c r="P219" s="478"/>
      <c r="Q219" s="478"/>
      <c r="R219" s="478"/>
      <c r="S219" s="478"/>
      <c r="T219" s="478"/>
      <c r="U219" s="478"/>
      <c r="V219" s="479"/>
      <c r="W219" s="478"/>
      <c r="X219" s="478"/>
      <c r="Y219" s="478"/>
      <c r="Z219" s="478"/>
      <c r="AA219" s="478"/>
      <c r="AB219" s="478"/>
      <c r="AC219" s="478"/>
      <c r="AD219" s="478"/>
      <c r="AE219" s="478"/>
      <c r="AF219" s="213"/>
      <c r="AG219" s="480"/>
      <c r="AH219" s="480"/>
      <c r="AI219" s="480"/>
      <c r="AJ219" s="480"/>
      <c r="AK219" s="480"/>
      <c r="AL219" s="480"/>
      <c r="AM219" s="480"/>
      <c r="AN219" s="480"/>
      <c r="AO219" s="480"/>
      <c r="AP219" s="480"/>
      <c r="AQ219" s="480"/>
      <c r="AR219" s="480"/>
      <c r="AS219" s="480"/>
      <c r="AT219" s="480"/>
      <c r="AU219" s="480"/>
      <c r="AV219" s="480"/>
      <c r="AW219" s="480"/>
      <c r="AX219" s="480"/>
      <c r="AY219" s="480"/>
      <c r="AZ219" s="480"/>
      <c r="BA219" s="480"/>
      <c r="BB219" s="480"/>
      <c r="BC219" s="480"/>
      <c r="BD219" s="480"/>
      <c r="BE219" s="213"/>
      <c r="BF219" s="479"/>
      <c r="BG219" s="479"/>
      <c r="BH219" s="372"/>
      <c r="BI219" s="472"/>
      <c r="BJ219" s="481"/>
      <c r="BK219" s="310"/>
      <c r="BL219" s="310">
        <f t="shared" si="0"/>
        <v>0</v>
      </c>
      <c r="BM219" s="7"/>
    </row>
    <row r="220" spans="1:65" ht="20.25" customHeight="1">
      <c r="A220" s="486"/>
      <c r="B220" s="487" t="s">
        <v>496</v>
      </c>
      <c r="C220" s="488" t="s">
        <v>497</v>
      </c>
      <c r="D220" s="512"/>
      <c r="E220" s="477"/>
      <c r="F220" s="477"/>
      <c r="G220" s="477"/>
      <c r="H220" s="477"/>
      <c r="I220" s="477"/>
      <c r="J220" s="477"/>
      <c r="K220" s="213"/>
      <c r="L220" s="478"/>
      <c r="M220" s="478"/>
      <c r="N220" s="478"/>
      <c r="O220" s="478"/>
      <c r="P220" s="478"/>
      <c r="Q220" s="478"/>
      <c r="R220" s="478"/>
      <c r="S220" s="478"/>
      <c r="T220" s="478"/>
      <c r="U220" s="478"/>
      <c r="V220" s="479"/>
      <c r="W220" s="478"/>
      <c r="X220" s="478"/>
      <c r="Y220" s="478"/>
      <c r="Z220" s="478"/>
      <c r="AA220" s="478"/>
      <c r="AB220" s="478"/>
      <c r="AC220" s="478"/>
      <c r="AD220" s="478"/>
      <c r="AE220" s="478"/>
      <c r="AF220" s="213"/>
      <c r="AG220" s="480"/>
      <c r="AH220" s="480"/>
      <c r="AI220" s="480"/>
      <c r="AJ220" s="480"/>
      <c r="AK220" s="480"/>
      <c r="AL220" s="480"/>
      <c r="AM220" s="480"/>
      <c r="AN220" s="480"/>
      <c r="AO220" s="480"/>
      <c r="AP220" s="480"/>
      <c r="AQ220" s="480"/>
      <c r="AR220" s="480"/>
      <c r="AS220" s="480"/>
      <c r="AT220" s="480"/>
      <c r="AU220" s="480"/>
      <c r="AV220" s="480"/>
      <c r="AW220" s="480"/>
      <c r="AX220" s="480"/>
      <c r="AY220" s="480"/>
      <c r="AZ220" s="480"/>
      <c r="BA220" s="480"/>
      <c r="BB220" s="480"/>
      <c r="BC220" s="480"/>
      <c r="BD220" s="480"/>
      <c r="BE220" s="213"/>
      <c r="BF220" s="479"/>
      <c r="BG220" s="479"/>
      <c r="BH220" s="372"/>
      <c r="BI220" s="472"/>
      <c r="BJ220" s="481"/>
      <c r="BK220" s="310"/>
      <c r="BL220" s="310">
        <f t="shared" si="0"/>
        <v>0</v>
      </c>
      <c r="BM220" s="7"/>
    </row>
    <row r="221" spans="1:65" ht="20.25" customHeight="1">
      <c r="A221" s="482"/>
      <c r="B221" s="483" t="s">
        <v>499</v>
      </c>
      <c r="C221" s="484" t="s">
        <v>500</v>
      </c>
      <c r="D221" s="485" t="s">
        <v>424</v>
      </c>
      <c r="E221" s="477">
        <v>10</v>
      </c>
      <c r="F221" s="477"/>
      <c r="G221" s="477">
        <v>50</v>
      </c>
      <c r="H221" s="477"/>
      <c r="I221" s="477">
        <v>10</v>
      </c>
      <c r="J221" s="477"/>
      <c r="K221" s="213"/>
      <c r="L221" s="478"/>
      <c r="M221" s="478"/>
      <c r="N221" s="478"/>
      <c r="O221" s="478"/>
      <c r="P221" s="478"/>
      <c r="Q221" s="478"/>
      <c r="R221" s="478"/>
      <c r="S221" s="478"/>
      <c r="T221" s="478"/>
      <c r="U221" s="478">
        <v>305</v>
      </c>
      <c r="V221" s="479"/>
      <c r="W221" s="478"/>
      <c r="X221" s="478">
        <v>624</v>
      </c>
      <c r="Y221" s="478"/>
      <c r="Z221" s="478">
        <v>1000</v>
      </c>
      <c r="AA221" s="478">
        <v>21700</v>
      </c>
      <c r="AB221" s="478">
        <v>80</v>
      </c>
      <c r="AC221" s="478"/>
      <c r="AD221" s="478"/>
      <c r="AE221" s="478">
        <v>1230</v>
      </c>
      <c r="AF221" s="213"/>
      <c r="AG221" s="480"/>
      <c r="AH221" s="480"/>
      <c r="AI221" s="480"/>
      <c r="AJ221" s="480"/>
      <c r="AK221" s="480"/>
      <c r="AL221" s="480"/>
      <c r="AM221" s="480"/>
      <c r="AN221" s="480"/>
      <c r="AO221" s="480"/>
      <c r="AP221" s="480"/>
      <c r="AQ221" s="480"/>
      <c r="AR221" s="480"/>
      <c r="AS221" s="480"/>
      <c r="AT221" s="480"/>
      <c r="AU221" s="480"/>
      <c r="AV221" s="480"/>
      <c r="AW221" s="480"/>
      <c r="AX221" s="480"/>
      <c r="AY221" s="480"/>
      <c r="AZ221" s="480"/>
      <c r="BA221" s="480"/>
      <c r="BB221" s="480"/>
      <c r="BC221" s="480"/>
      <c r="BD221" s="480"/>
      <c r="BE221" s="213"/>
      <c r="BF221" s="479"/>
      <c r="BG221" s="479"/>
      <c r="BH221" s="372"/>
      <c r="BI221" s="472"/>
      <c r="BJ221" s="481"/>
      <c r="BK221" s="310"/>
      <c r="BL221" s="310">
        <f t="shared" si="0"/>
        <v>25009</v>
      </c>
      <c r="BM221" s="7"/>
    </row>
    <row r="222" spans="1:65" ht="20.25" hidden="1" customHeight="1">
      <c r="A222" s="482" t="s">
        <v>1007</v>
      </c>
      <c r="B222" s="483" t="s">
        <v>502</v>
      </c>
      <c r="C222" s="484" t="s">
        <v>503</v>
      </c>
      <c r="D222" s="504" t="s">
        <v>1476</v>
      </c>
      <c r="E222" s="477">
        <v>200</v>
      </c>
      <c r="F222" s="477"/>
      <c r="G222" s="477"/>
      <c r="H222" s="477"/>
      <c r="I222" s="477"/>
      <c r="J222" s="477"/>
      <c r="K222" s="213"/>
      <c r="L222" s="478"/>
      <c r="M222" s="478"/>
      <c r="N222" s="478"/>
      <c r="O222" s="478"/>
      <c r="P222" s="478"/>
      <c r="Q222" s="478"/>
      <c r="R222" s="478"/>
      <c r="S222" s="478"/>
      <c r="T222" s="478"/>
      <c r="U222" s="478"/>
      <c r="V222" s="479"/>
      <c r="W222" s="478"/>
      <c r="X222" s="478"/>
      <c r="Y222" s="478"/>
      <c r="Z222" s="478"/>
      <c r="AA222" s="478"/>
      <c r="AB222" s="478"/>
      <c r="AC222" s="478"/>
      <c r="AD222" s="478"/>
      <c r="AE222" s="478"/>
      <c r="AF222" s="213"/>
      <c r="AG222" s="480"/>
      <c r="AH222" s="480"/>
      <c r="AI222" s="480"/>
      <c r="AJ222" s="480"/>
      <c r="AK222" s="480"/>
      <c r="AL222" s="480"/>
      <c r="AM222" s="480"/>
      <c r="AN222" s="480"/>
      <c r="AO222" s="480"/>
      <c r="AP222" s="480"/>
      <c r="AQ222" s="480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480"/>
      <c r="BC222" s="480"/>
      <c r="BD222" s="480"/>
      <c r="BE222" s="213"/>
      <c r="BF222" s="479"/>
      <c r="BG222" s="479"/>
      <c r="BH222" s="372"/>
      <c r="BI222" s="472"/>
      <c r="BJ222" s="481"/>
      <c r="BK222" s="310"/>
      <c r="BL222" s="310">
        <f t="shared" si="0"/>
        <v>200</v>
      </c>
      <c r="BM222" s="7"/>
    </row>
    <row r="223" spans="1:65" ht="20.25" customHeight="1">
      <c r="A223" s="482"/>
      <c r="B223" s="483" t="s">
        <v>506</v>
      </c>
      <c r="C223" s="484" t="s">
        <v>507</v>
      </c>
      <c r="D223" s="485" t="s">
        <v>1477</v>
      </c>
      <c r="E223" s="477"/>
      <c r="F223" s="477"/>
      <c r="G223" s="477"/>
      <c r="H223" s="477"/>
      <c r="I223" s="477"/>
      <c r="J223" s="477"/>
      <c r="K223" s="213"/>
      <c r="L223" s="478"/>
      <c r="M223" s="478"/>
      <c r="N223" s="478"/>
      <c r="O223" s="478"/>
      <c r="P223" s="478"/>
      <c r="Q223" s="478"/>
      <c r="R223" s="478"/>
      <c r="S223" s="478"/>
      <c r="T223" s="478"/>
      <c r="U223" s="478"/>
      <c r="V223" s="479"/>
      <c r="W223" s="478"/>
      <c r="X223" s="478"/>
      <c r="Y223" s="478"/>
      <c r="Z223" s="478"/>
      <c r="AA223" s="478"/>
      <c r="AB223" s="478">
        <v>9000</v>
      </c>
      <c r="AC223" s="478"/>
      <c r="AD223" s="478"/>
      <c r="AE223" s="478"/>
      <c r="AF223" s="213"/>
      <c r="AG223" s="480"/>
      <c r="AH223" s="480"/>
      <c r="AI223" s="480"/>
      <c r="AJ223" s="480"/>
      <c r="AK223" s="480"/>
      <c r="AL223" s="480"/>
      <c r="AM223" s="480"/>
      <c r="AN223" s="480"/>
      <c r="AO223" s="480"/>
      <c r="AP223" s="480"/>
      <c r="AQ223" s="480"/>
      <c r="AR223" s="480"/>
      <c r="AS223" s="480"/>
      <c r="AT223" s="480"/>
      <c r="AU223" s="480"/>
      <c r="AV223" s="480"/>
      <c r="AW223" s="480"/>
      <c r="AX223" s="480"/>
      <c r="AY223" s="480"/>
      <c r="AZ223" s="480"/>
      <c r="BA223" s="480"/>
      <c r="BB223" s="480"/>
      <c r="BC223" s="480"/>
      <c r="BD223" s="480"/>
      <c r="BE223" s="213"/>
      <c r="BF223" s="479"/>
      <c r="BG223" s="479"/>
      <c r="BH223" s="372"/>
      <c r="BI223" s="472"/>
      <c r="BJ223" s="481"/>
      <c r="BK223" s="310"/>
      <c r="BL223" s="310">
        <f t="shared" si="0"/>
        <v>9000</v>
      </c>
      <c r="BM223" s="7"/>
    </row>
    <row r="224" spans="1:65" ht="20.25" customHeight="1">
      <c r="A224" s="486"/>
      <c r="B224" s="487" t="s">
        <v>509</v>
      </c>
      <c r="C224" s="488" t="s">
        <v>510</v>
      </c>
      <c r="D224" s="491" t="s">
        <v>183</v>
      </c>
      <c r="E224" s="477"/>
      <c r="F224" s="477"/>
      <c r="G224" s="477"/>
      <c r="H224" s="477"/>
      <c r="I224" s="477"/>
      <c r="J224" s="477"/>
      <c r="K224" s="213"/>
      <c r="L224" s="478"/>
      <c r="M224" s="478"/>
      <c r="N224" s="478"/>
      <c r="O224" s="478"/>
      <c r="P224" s="478"/>
      <c r="Q224" s="478"/>
      <c r="R224" s="478"/>
      <c r="S224" s="478"/>
      <c r="T224" s="478"/>
      <c r="U224" s="478"/>
      <c r="V224" s="479"/>
      <c r="W224" s="478"/>
      <c r="X224" s="478"/>
      <c r="Y224" s="478"/>
      <c r="Z224" s="478"/>
      <c r="AA224" s="478"/>
      <c r="AB224" s="478"/>
      <c r="AC224" s="478"/>
      <c r="AD224" s="478"/>
      <c r="AE224" s="478"/>
      <c r="AF224" s="213"/>
      <c r="AG224" s="480"/>
      <c r="AH224" s="480"/>
      <c r="AI224" s="480"/>
      <c r="AJ224" s="480"/>
      <c r="AK224" s="480"/>
      <c r="AL224" s="480"/>
      <c r="AM224" s="480"/>
      <c r="AN224" s="480"/>
      <c r="AO224" s="480"/>
      <c r="AP224" s="480"/>
      <c r="AQ224" s="480"/>
      <c r="AR224" s="480"/>
      <c r="AS224" s="480"/>
      <c r="AT224" s="480"/>
      <c r="AU224" s="480"/>
      <c r="AV224" s="480"/>
      <c r="AW224" s="480"/>
      <c r="AX224" s="480"/>
      <c r="AY224" s="480"/>
      <c r="AZ224" s="480"/>
      <c r="BA224" s="480"/>
      <c r="BB224" s="480"/>
      <c r="BC224" s="480"/>
      <c r="BD224" s="480"/>
      <c r="BE224" s="213"/>
      <c r="BF224" s="479"/>
      <c r="BG224" s="479"/>
      <c r="BH224" s="372"/>
      <c r="BI224" s="472"/>
      <c r="BJ224" s="481"/>
      <c r="BK224" s="310"/>
      <c r="BL224" s="310">
        <f t="shared" si="0"/>
        <v>0</v>
      </c>
      <c r="BM224" s="7"/>
    </row>
    <row r="225" spans="1:65" ht="37.5" customHeight="1">
      <c r="A225" s="489">
        <v>6</v>
      </c>
      <c r="B225" s="490" t="s">
        <v>512</v>
      </c>
      <c r="C225" s="490" t="s">
        <v>513</v>
      </c>
      <c r="D225" s="491"/>
      <c r="E225" s="477"/>
      <c r="F225" s="477"/>
      <c r="G225" s="477"/>
      <c r="H225" s="477"/>
      <c r="I225" s="477"/>
      <c r="J225" s="477"/>
      <c r="K225" s="213"/>
      <c r="L225" s="478"/>
      <c r="M225" s="478"/>
      <c r="N225" s="478"/>
      <c r="O225" s="478"/>
      <c r="P225" s="478"/>
      <c r="Q225" s="478"/>
      <c r="R225" s="478"/>
      <c r="S225" s="478"/>
      <c r="T225" s="478"/>
      <c r="U225" s="478"/>
      <c r="V225" s="479"/>
      <c r="W225" s="478"/>
      <c r="X225" s="478"/>
      <c r="Y225" s="478"/>
      <c r="Z225" s="478"/>
      <c r="AA225" s="478"/>
      <c r="AB225" s="478"/>
      <c r="AC225" s="478"/>
      <c r="AD225" s="478"/>
      <c r="AE225" s="478"/>
      <c r="AF225" s="213"/>
      <c r="AG225" s="480"/>
      <c r="AH225" s="480"/>
      <c r="AI225" s="480"/>
      <c r="AJ225" s="480"/>
      <c r="AK225" s="480"/>
      <c r="AL225" s="480"/>
      <c r="AM225" s="480"/>
      <c r="AN225" s="480"/>
      <c r="AO225" s="480"/>
      <c r="AP225" s="480"/>
      <c r="AQ225" s="480"/>
      <c r="AR225" s="480"/>
      <c r="AS225" s="480"/>
      <c r="AT225" s="480"/>
      <c r="AU225" s="480"/>
      <c r="AV225" s="480"/>
      <c r="AW225" s="480"/>
      <c r="AX225" s="480"/>
      <c r="AY225" s="480"/>
      <c r="AZ225" s="480"/>
      <c r="BA225" s="480"/>
      <c r="BB225" s="480"/>
      <c r="BC225" s="480"/>
      <c r="BD225" s="480"/>
      <c r="BE225" s="213"/>
      <c r="BF225" s="479"/>
      <c r="BG225" s="479"/>
      <c r="BH225" s="372"/>
      <c r="BI225" s="472"/>
      <c r="BJ225" s="481"/>
      <c r="BK225" s="310"/>
      <c r="BL225" s="310">
        <f t="shared" si="0"/>
        <v>0</v>
      </c>
      <c r="BM225" s="7"/>
    </row>
    <row r="226" spans="1:65" ht="31.5" customHeight="1">
      <c r="A226" s="486"/>
      <c r="B226" s="487" t="s">
        <v>515</v>
      </c>
      <c r="C226" s="488" t="s">
        <v>516</v>
      </c>
      <c r="D226" s="512"/>
      <c r="E226" s="477"/>
      <c r="F226" s="477"/>
      <c r="G226" s="477"/>
      <c r="H226" s="477"/>
      <c r="I226" s="477"/>
      <c r="J226" s="477"/>
      <c r="K226" s="213"/>
      <c r="L226" s="478"/>
      <c r="M226" s="478"/>
      <c r="N226" s="478"/>
      <c r="O226" s="478"/>
      <c r="P226" s="478"/>
      <c r="Q226" s="478"/>
      <c r="R226" s="478"/>
      <c r="S226" s="478"/>
      <c r="T226" s="478"/>
      <c r="U226" s="478" t="s">
        <v>1478</v>
      </c>
      <c r="V226" s="479"/>
      <c r="W226" s="478"/>
      <c r="X226" s="478"/>
      <c r="Y226" s="478"/>
      <c r="Z226" s="478"/>
      <c r="AA226" s="478"/>
      <c r="AB226" s="478"/>
      <c r="AC226" s="478"/>
      <c r="AD226" s="478"/>
      <c r="AE226" s="478"/>
      <c r="AF226" s="213"/>
      <c r="AG226" s="480"/>
      <c r="AH226" s="480"/>
      <c r="AI226" s="480"/>
      <c r="AJ226" s="480"/>
      <c r="AK226" s="480"/>
      <c r="AL226" s="480"/>
      <c r="AM226" s="480"/>
      <c r="AN226" s="480"/>
      <c r="AO226" s="480"/>
      <c r="AP226" s="480"/>
      <c r="AQ226" s="480"/>
      <c r="AR226" s="480"/>
      <c r="AS226" s="480"/>
      <c r="AT226" s="480"/>
      <c r="AU226" s="480"/>
      <c r="AV226" s="480"/>
      <c r="AW226" s="480"/>
      <c r="AX226" s="480"/>
      <c r="AY226" s="480"/>
      <c r="AZ226" s="480"/>
      <c r="BA226" s="480"/>
      <c r="BB226" s="480"/>
      <c r="BC226" s="480"/>
      <c r="BD226" s="480"/>
      <c r="BE226" s="213"/>
      <c r="BF226" s="479"/>
      <c r="BG226" s="479"/>
      <c r="BH226" s="372"/>
      <c r="BI226" s="472"/>
      <c r="BJ226" s="481"/>
      <c r="BK226" s="310"/>
      <c r="BL226" s="310">
        <f t="shared" si="0"/>
        <v>0</v>
      </c>
      <c r="BM226" s="7"/>
    </row>
    <row r="227" spans="1:65" ht="20.25" customHeight="1">
      <c r="A227" s="503"/>
      <c r="B227" s="483" t="s">
        <v>518</v>
      </c>
      <c r="C227" s="484" t="s">
        <v>447</v>
      </c>
      <c r="D227" s="504" t="s">
        <v>424</v>
      </c>
      <c r="E227" s="477"/>
      <c r="F227" s="477"/>
      <c r="G227" s="477"/>
      <c r="H227" s="477"/>
      <c r="I227" s="477"/>
      <c r="J227" s="477"/>
      <c r="K227" s="213"/>
      <c r="L227" s="478"/>
      <c r="M227" s="478"/>
      <c r="N227" s="478"/>
      <c r="O227" s="478"/>
      <c r="P227" s="478"/>
      <c r="Q227" s="478"/>
      <c r="R227" s="478"/>
      <c r="S227" s="478"/>
      <c r="T227" s="478"/>
      <c r="U227" s="478">
        <v>750</v>
      </c>
      <c r="V227" s="479"/>
      <c r="W227" s="478"/>
      <c r="X227" s="478"/>
      <c r="Y227" s="478"/>
      <c r="Z227" s="478"/>
      <c r="AA227" s="478"/>
      <c r="AB227" s="478">
        <v>155</v>
      </c>
      <c r="AC227" s="478">
        <v>4500</v>
      </c>
      <c r="AD227" s="478"/>
      <c r="AE227" s="478"/>
      <c r="AF227" s="213"/>
      <c r="AG227" s="480"/>
      <c r="AH227" s="480"/>
      <c r="AI227" s="480"/>
      <c r="AJ227" s="480"/>
      <c r="AK227" s="480"/>
      <c r="AL227" s="480"/>
      <c r="AM227" s="480"/>
      <c r="AN227" s="480"/>
      <c r="AO227" s="480"/>
      <c r="AP227" s="480"/>
      <c r="AQ227" s="480"/>
      <c r="AR227" s="480"/>
      <c r="AS227" s="480"/>
      <c r="AT227" s="480"/>
      <c r="AU227" s="480"/>
      <c r="AV227" s="480"/>
      <c r="AW227" s="480"/>
      <c r="AX227" s="480"/>
      <c r="AY227" s="480"/>
      <c r="AZ227" s="480"/>
      <c r="BA227" s="480"/>
      <c r="BB227" s="480"/>
      <c r="BC227" s="480"/>
      <c r="BD227" s="480"/>
      <c r="BE227" s="213"/>
      <c r="BF227" s="479"/>
      <c r="BG227" s="479"/>
      <c r="BH227" s="372"/>
      <c r="BI227" s="472"/>
      <c r="BJ227" s="481"/>
      <c r="BK227" s="310"/>
      <c r="BL227" s="310">
        <f t="shared" si="0"/>
        <v>5405</v>
      </c>
      <c r="BM227" s="7"/>
    </row>
    <row r="228" spans="1:65" ht="20.25" customHeight="1">
      <c r="A228" s="503"/>
      <c r="B228" s="483" t="s">
        <v>520</v>
      </c>
      <c r="C228" s="484" t="s">
        <v>521</v>
      </c>
      <c r="D228" s="504" t="s">
        <v>424</v>
      </c>
      <c r="E228" s="477"/>
      <c r="F228" s="477"/>
      <c r="G228" s="477"/>
      <c r="H228" s="477"/>
      <c r="I228" s="477"/>
      <c r="J228" s="477"/>
      <c r="K228" s="213"/>
      <c r="L228" s="478"/>
      <c r="M228" s="478"/>
      <c r="N228" s="478"/>
      <c r="O228" s="478"/>
      <c r="P228" s="478"/>
      <c r="Q228" s="478"/>
      <c r="R228" s="478"/>
      <c r="S228" s="478"/>
      <c r="T228" s="478"/>
      <c r="U228" s="478"/>
      <c r="V228" s="479"/>
      <c r="W228" s="478"/>
      <c r="X228" s="478"/>
      <c r="Y228" s="478"/>
      <c r="Z228" s="478"/>
      <c r="AA228" s="478"/>
      <c r="AB228" s="478"/>
      <c r="AC228" s="478"/>
      <c r="AD228" s="478"/>
      <c r="AE228" s="478"/>
      <c r="AF228" s="213"/>
      <c r="AG228" s="480"/>
      <c r="AH228" s="480"/>
      <c r="AI228" s="480"/>
      <c r="AJ228" s="480"/>
      <c r="AK228" s="480"/>
      <c r="AL228" s="480"/>
      <c r="AM228" s="480"/>
      <c r="AN228" s="480"/>
      <c r="AO228" s="480"/>
      <c r="AP228" s="480"/>
      <c r="AQ228" s="480"/>
      <c r="AR228" s="480"/>
      <c r="AS228" s="480"/>
      <c r="AT228" s="480"/>
      <c r="AU228" s="480"/>
      <c r="AV228" s="480"/>
      <c r="AW228" s="480"/>
      <c r="AX228" s="480"/>
      <c r="AY228" s="480"/>
      <c r="AZ228" s="480"/>
      <c r="BA228" s="480"/>
      <c r="BB228" s="480"/>
      <c r="BC228" s="480"/>
      <c r="BD228" s="480"/>
      <c r="BE228" s="213"/>
      <c r="BF228" s="479"/>
      <c r="BG228" s="479"/>
      <c r="BH228" s="372"/>
      <c r="BI228" s="472"/>
      <c r="BJ228" s="481"/>
      <c r="BK228" s="310"/>
      <c r="BL228" s="310">
        <f t="shared" si="0"/>
        <v>0</v>
      </c>
      <c r="BM228" s="7"/>
    </row>
    <row r="229" spans="1:65" ht="19.5" customHeight="1">
      <c r="A229" s="503"/>
      <c r="B229" s="483" t="s">
        <v>523</v>
      </c>
      <c r="C229" s="484" t="s">
        <v>524</v>
      </c>
      <c r="D229" s="504" t="s">
        <v>1479</v>
      </c>
      <c r="E229" s="477"/>
      <c r="F229" s="477"/>
      <c r="G229" s="477"/>
      <c r="H229" s="477"/>
      <c r="I229" s="477"/>
      <c r="J229" s="477"/>
      <c r="K229" s="213"/>
      <c r="L229" s="478"/>
      <c r="M229" s="478"/>
      <c r="N229" s="478"/>
      <c r="O229" s="478"/>
      <c r="P229" s="478"/>
      <c r="Q229" s="478"/>
      <c r="R229" s="478"/>
      <c r="S229" s="478"/>
      <c r="T229" s="478"/>
      <c r="U229" s="478">
        <v>6547</v>
      </c>
      <c r="V229" s="479"/>
      <c r="W229" s="478">
        <v>16386</v>
      </c>
      <c r="X229" s="478"/>
      <c r="Y229" s="478"/>
      <c r="Z229" s="478"/>
      <c r="AA229" s="478"/>
      <c r="AB229" s="478"/>
      <c r="AC229" s="478">
        <v>30000</v>
      </c>
      <c r="AD229" s="478"/>
      <c r="AE229" s="478"/>
      <c r="AF229" s="213"/>
      <c r="AG229" s="480"/>
      <c r="AH229" s="480"/>
      <c r="AI229" s="480"/>
      <c r="AJ229" s="480"/>
      <c r="AK229" s="480"/>
      <c r="AL229" s="480"/>
      <c r="AM229" s="480"/>
      <c r="AN229" s="480"/>
      <c r="AO229" s="480"/>
      <c r="AP229" s="480"/>
      <c r="AQ229" s="480"/>
      <c r="AR229" s="480"/>
      <c r="AS229" s="480"/>
      <c r="AT229" s="480"/>
      <c r="AU229" s="480"/>
      <c r="AV229" s="480"/>
      <c r="AW229" s="480"/>
      <c r="AX229" s="480"/>
      <c r="AY229" s="480"/>
      <c r="AZ229" s="480"/>
      <c r="BA229" s="480"/>
      <c r="BB229" s="480"/>
      <c r="BC229" s="480"/>
      <c r="BD229" s="480"/>
      <c r="BE229" s="213"/>
      <c r="BF229" s="479"/>
      <c r="BG229" s="479"/>
      <c r="BH229" s="372"/>
      <c r="BI229" s="472"/>
      <c r="BJ229" s="481"/>
      <c r="BK229" s="310"/>
      <c r="BL229" s="310">
        <f t="shared" si="0"/>
        <v>52933</v>
      </c>
      <c r="BM229" s="7"/>
    </row>
    <row r="230" spans="1:65" ht="20.25" customHeight="1">
      <c r="A230" s="503"/>
      <c r="B230" s="483" t="s">
        <v>526</v>
      </c>
      <c r="C230" s="484" t="s">
        <v>527</v>
      </c>
      <c r="D230" s="504" t="s">
        <v>1480</v>
      </c>
      <c r="E230" s="477"/>
      <c r="F230" s="477"/>
      <c r="G230" s="477"/>
      <c r="H230" s="477"/>
      <c r="I230" s="477"/>
      <c r="J230" s="477"/>
      <c r="K230" s="213"/>
      <c r="L230" s="478"/>
      <c r="M230" s="478"/>
      <c r="N230" s="478"/>
      <c r="O230" s="478"/>
      <c r="P230" s="478"/>
      <c r="Q230" s="478"/>
      <c r="R230" s="478"/>
      <c r="S230" s="478"/>
      <c r="T230" s="478"/>
      <c r="U230" s="478"/>
      <c r="V230" s="479"/>
      <c r="W230" s="478"/>
      <c r="X230" s="478"/>
      <c r="Y230" s="478"/>
      <c r="Z230" s="478"/>
      <c r="AA230" s="478"/>
      <c r="AB230" s="478"/>
      <c r="AC230" s="478">
        <v>4500</v>
      </c>
      <c r="AD230" s="478"/>
      <c r="AE230" s="478"/>
      <c r="AF230" s="213"/>
      <c r="AG230" s="480"/>
      <c r="AH230" s="480"/>
      <c r="AI230" s="480"/>
      <c r="AJ230" s="480"/>
      <c r="AK230" s="480"/>
      <c r="AL230" s="480"/>
      <c r="AM230" s="480"/>
      <c r="AN230" s="480"/>
      <c r="AO230" s="480"/>
      <c r="AP230" s="480"/>
      <c r="AQ230" s="480"/>
      <c r="AR230" s="480"/>
      <c r="AS230" s="480"/>
      <c r="AT230" s="480"/>
      <c r="AU230" s="480"/>
      <c r="AV230" s="480"/>
      <c r="AW230" s="480"/>
      <c r="AX230" s="480"/>
      <c r="AY230" s="480"/>
      <c r="AZ230" s="480"/>
      <c r="BA230" s="480"/>
      <c r="BB230" s="480"/>
      <c r="BC230" s="480"/>
      <c r="BD230" s="480"/>
      <c r="BE230" s="213"/>
      <c r="BF230" s="479"/>
      <c r="BG230" s="479"/>
      <c r="BH230" s="372"/>
      <c r="BI230" s="472"/>
      <c r="BJ230" s="481"/>
      <c r="BK230" s="310"/>
      <c r="BL230" s="310">
        <f t="shared" si="0"/>
        <v>4500</v>
      </c>
      <c r="BM230" s="7"/>
    </row>
    <row r="231" spans="1:65" ht="24.75" customHeight="1">
      <c r="A231" s="503"/>
      <c r="B231" s="483" t="s">
        <v>530</v>
      </c>
      <c r="C231" s="484" t="s">
        <v>531</v>
      </c>
      <c r="D231" s="504" t="s">
        <v>132</v>
      </c>
      <c r="E231" s="477"/>
      <c r="F231" s="477"/>
      <c r="G231" s="477"/>
      <c r="H231" s="477"/>
      <c r="I231" s="477"/>
      <c r="J231" s="477"/>
      <c r="K231" s="213"/>
      <c r="L231" s="478"/>
      <c r="M231" s="478"/>
      <c r="N231" s="478"/>
      <c r="O231" s="478"/>
      <c r="P231" s="478"/>
      <c r="Q231" s="478"/>
      <c r="R231" s="478"/>
      <c r="S231" s="478"/>
      <c r="T231" s="478"/>
      <c r="U231" s="478"/>
      <c r="V231" s="479"/>
      <c r="W231" s="478">
        <v>1</v>
      </c>
      <c r="X231" s="478"/>
      <c r="Y231" s="478"/>
      <c r="Z231" s="478"/>
      <c r="AA231" s="478"/>
      <c r="AB231" s="478"/>
      <c r="AC231" s="478"/>
      <c r="AD231" s="478"/>
      <c r="AE231" s="478"/>
      <c r="AF231" s="213"/>
      <c r="AG231" s="480"/>
      <c r="AH231" s="480"/>
      <c r="AI231" s="480"/>
      <c r="AJ231" s="480"/>
      <c r="AK231" s="480"/>
      <c r="AL231" s="480"/>
      <c r="AM231" s="480"/>
      <c r="AN231" s="480"/>
      <c r="AO231" s="480"/>
      <c r="AP231" s="480"/>
      <c r="AQ231" s="480"/>
      <c r="AR231" s="480"/>
      <c r="AS231" s="480"/>
      <c r="AT231" s="480"/>
      <c r="AU231" s="480"/>
      <c r="AV231" s="480"/>
      <c r="AW231" s="480"/>
      <c r="AX231" s="480"/>
      <c r="AY231" s="480"/>
      <c r="AZ231" s="480"/>
      <c r="BA231" s="480"/>
      <c r="BB231" s="480"/>
      <c r="BC231" s="480"/>
      <c r="BD231" s="480"/>
      <c r="BE231" s="213"/>
      <c r="BF231" s="479"/>
      <c r="BG231" s="479"/>
      <c r="BH231" s="372"/>
      <c r="BI231" s="472"/>
      <c r="BJ231" s="481"/>
      <c r="BK231" s="310"/>
      <c r="BL231" s="310">
        <f t="shared" si="0"/>
        <v>1</v>
      </c>
      <c r="BM231" s="7"/>
    </row>
    <row r="232" spans="1:65" ht="24" customHeight="1">
      <c r="A232" s="503"/>
      <c r="B232" s="483" t="s">
        <v>533</v>
      </c>
      <c r="C232" s="484" t="s">
        <v>534</v>
      </c>
      <c r="D232" s="504" t="s">
        <v>132</v>
      </c>
      <c r="E232" s="477"/>
      <c r="F232" s="477"/>
      <c r="G232" s="477"/>
      <c r="H232" s="477"/>
      <c r="I232" s="477"/>
      <c r="J232" s="477"/>
      <c r="K232" s="213"/>
      <c r="L232" s="478"/>
      <c r="M232" s="478"/>
      <c r="N232" s="478"/>
      <c r="O232" s="478"/>
      <c r="P232" s="478"/>
      <c r="Q232" s="478"/>
      <c r="R232" s="478"/>
      <c r="S232" s="478"/>
      <c r="T232" s="478"/>
      <c r="U232" s="478"/>
      <c r="V232" s="479"/>
      <c r="W232" s="478"/>
      <c r="X232" s="478"/>
      <c r="Y232" s="478"/>
      <c r="Z232" s="478"/>
      <c r="AA232" s="478"/>
      <c r="AB232" s="478"/>
      <c r="AC232" s="478">
        <v>1</v>
      </c>
      <c r="AD232" s="478"/>
      <c r="AE232" s="478"/>
      <c r="AF232" s="213"/>
      <c r="AG232" s="480"/>
      <c r="AH232" s="480"/>
      <c r="AI232" s="480"/>
      <c r="AJ232" s="480"/>
      <c r="AK232" s="480"/>
      <c r="AL232" s="480"/>
      <c r="AM232" s="480"/>
      <c r="AN232" s="480"/>
      <c r="AO232" s="480"/>
      <c r="AP232" s="480"/>
      <c r="AQ232" s="480"/>
      <c r="AR232" s="480"/>
      <c r="AS232" s="480"/>
      <c r="AT232" s="480"/>
      <c r="AU232" s="480"/>
      <c r="AV232" s="480"/>
      <c r="AW232" s="480"/>
      <c r="AX232" s="480"/>
      <c r="AY232" s="480"/>
      <c r="AZ232" s="480"/>
      <c r="BA232" s="480"/>
      <c r="BB232" s="480"/>
      <c r="BC232" s="480"/>
      <c r="BD232" s="480"/>
      <c r="BE232" s="213"/>
      <c r="BF232" s="479"/>
      <c r="BG232" s="479"/>
      <c r="BH232" s="372"/>
      <c r="BI232" s="472"/>
      <c r="BJ232" s="481"/>
      <c r="BK232" s="310"/>
      <c r="BL232" s="310">
        <f t="shared" si="0"/>
        <v>1</v>
      </c>
      <c r="BM232" s="7"/>
    </row>
    <row r="233" spans="1:65" ht="28.5" customHeight="1">
      <c r="A233" s="503"/>
      <c r="B233" s="483" t="s">
        <v>536</v>
      </c>
      <c r="C233" s="484" t="s">
        <v>537</v>
      </c>
      <c r="D233" s="504" t="s">
        <v>194</v>
      </c>
      <c r="E233" s="477"/>
      <c r="F233" s="477"/>
      <c r="G233" s="477"/>
      <c r="H233" s="477"/>
      <c r="I233" s="477"/>
      <c r="J233" s="477"/>
      <c r="K233" s="213"/>
      <c r="L233" s="478"/>
      <c r="M233" s="478"/>
      <c r="N233" s="478"/>
      <c r="O233" s="478"/>
      <c r="P233" s="478"/>
      <c r="Q233" s="478"/>
      <c r="R233" s="478"/>
      <c r="S233" s="478"/>
      <c r="T233" s="478"/>
      <c r="U233" s="478"/>
      <c r="V233" s="479"/>
      <c r="W233" s="478"/>
      <c r="X233" s="478"/>
      <c r="Y233" s="478"/>
      <c r="Z233" s="478"/>
      <c r="AA233" s="478">
        <v>13</v>
      </c>
      <c r="AB233" s="478"/>
      <c r="AC233" s="478"/>
      <c r="AD233" s="478"/>
      <c r="AE233" s="478"/>
      <c r="AF233" s="213"/>
      <c r="AG233" s="480"/>
      <c r="AH233" s="480"/>
      <c r="AI233" s="480"/>
      <c r="AJ233" s="480"/>
      <c r="AK233" s="480"/>
      <c r="AL233" s="480"/>
      <c r="AM233" s="480"/>
      <c r="AN233" s="480"/>
      <c r="AO233" s="480"/>
      <c r="AP233" s="480"/>
      <c r="AQ233" s="480"/>
      <c r="AR233" s="480"/>
      <c r="AS233" s="480"/>
      <c r="AT233" s="480"/>
      <c r="AU233" s="480"/>
      <c r="AV233" s="480"/>
      <c r="AW233" s="480"/>
      <c r="AX233" s="480"/>
      <c r="AY233" s="480"/>
      <c r="AZ233" s="480"/>
      <c r="BA233" s="480"/>
      <c r="BB233" s="480"/>
      <c r="BC233" s="480"/>
      <c r="BD233" s="480"/>
      <c r="BE233" s="213"/>
      <c r="BF233" s="479"/>
      <c r="BG233" s="479"/>
      <c r="BH233" s="372"/>
      <c r="BI233" s="472"/>
      <c r="BJ233" s="481"/>
      <c r="BK233" s="310"/>
      <c r="BL233" s="310">
        <f t="shared" si="0"/>
        <v>13</v>
      </c>
      <c r="BM233" s="7"/>
    </row>
    <row r="234" spans="1:65" ht="20.25" customHeight="1">
      <c r="A234" s="503"/>
      <c r="B234" s="483" t="s">
        <v>539</v>
      </c>
      <c r="C234" s="484" t="s">
        <v>540</v>
      </c>
      <c r="D234" s="515" t="s">
        <v>183</v>
      </c>
      <c r="E234" s="477"/>
      <c r="F234" s="477"/>
      <c r="G234" s="477"/>
      <c r="H234" s="477"/>
      <c r="I234" s="477"/>
      <c r="J234" s="477"/>
      <c r="K234" s="213"/>
      <c r="L234" s="478"/>
      <c r="M234" s="478"/>
      <c r="N234" s="478"/>
      <c r="O234" s="478"/>
      <c r="P234" s="478"/>
      <c r="Q234" s="478"/>
      <c r="R234" s="478"/>
      <c r="S234" s="478"/>
      <c r="T234" s="478"/>
      <c r="U234" s="478"/>
      <c r="V234" s="479"/>
      <c r="W234" s="478"/>
      <c r="X234" s="478"/>
      <c r="Y234" s="478"/>
      <c r="Z234" s="478"/>
      <c r="AA234" s="478"/>
      <c r="AB234" s="478"/>
      <c r="AC234" s="478"/>
      <c r="AD234" s="478"/>
      <c r="AE234" s="478"/>
      <c r="AF234" s="213"/>
      <c r="AG234" s="480"/>
      <c r="AH234" s="480"/>
      <c r="AI234" s="480"/>
      <c r="AJ234" s="480"/>
      <c r="AK234" s="480"/>
      <c r="AL234" s="480"/>
      <c r="AM234" s="480"/>
      <c r="AN234" s="480"/>
      <c r="AO234" s="480"/>
      <c r="AP234" s="480"/>
      <c r="AQ234" s="480"/>
      <c r="AR234" s="480"/>
      <c r="AS234" s="480"/>
      <c r="AT234" s="480"/>
      <c r="AU234" s="480"/>
      <c r="AV234" s="480"/>
      <c r="AW234" s="480"/>
      <c r="AX234" s="480"/>
      <c r="AY234" s="480"/>
      <c r="AZ234" s="480"/>
      <c r="BA234" s="480"/>
      <c r="BB234" s="480"/>
      <c r="BC234" s="480"/>
      <c r="BD234" s="480"/>
      <c r="BE234" s="213"/>
      <c r="BF234" s="479"/>
      <c r="BG234" s="479"/>
      <c r="BH234" s="372"/>
      <c r="BI234" s="472"/>
      <c r="BJ234" s="481"/>
      <c r="BK234" s="310"/>
      <c r="BL234" s="310">
        <f t="shared" si="0"/>
        <v>0</v>
      </c>
      <c r="BM234" s="7"/>
    </row>
    <row r="235" spans="1:65" ht="20.25" customHeight="1">
      <c r="A235" s="503"/>
      <c r="B235" s="483" t="s">
        <v>542</v>
      </c>
      <c r="C235" s="484" t="s">
        <v>543</v>
      </c>
      <c r="D235" s="504" t="s">
        <v>132</v>
      </c>
      <c r="E235" s="477"/>
      <c r="F235" s="477"/>
      <c r="G235" s="477"/>
      <c r="H235" s="477"/>
      <c r="I235" s="477"/>
      <c r="J235" s="477"/>
      <c r="K235" s="213"/>
      <c r="L235" s="478"/>
      <c r="M235" s="478"/>
      <c r="N235" s="478"/>
      <c r="O235" s="478"/>
      <c r="P235" s="478"/>
      <c r="Q235" s="478"/>
      <c r="R235" s="478"/>
      <c r="S235" s="478"/>
      <c r="T235" s="478"/>
      <c r="U235" s="478"/>
      <c r="V235" s="479"/>
      <c r="W235" s="478"/>
      <c r="X235" s="478"/>
      <c r="Y235" s="478"/>
      <c r="Z235" s="478"/>
      <c r="AA235" s="478"/>
      <c r="AB235" s="478"/>
      <c r="AC235" s="478"/>
      <c r="AD235" s="478"/>
      <c r="AE235" s="478"/>
      <c r="AF235" s="213"/>
      <c r="AG235" s="480"/>
      <c r="AH235" s="480"/>
      <c r="AI235" s="480"/>
      <c r="AJ235" s="480"/>
      <c r="AK235" s="480"/>
      <c r="AL235" s="480"/>
      <c r="AM235" s="480"/>
      <c r="AN235" s="480"/>
      <c r="AO235" s="480"/>
      <c r="AP235" s="480"/>
      <c r="AQ235" s="480"/>
      <c r="AR235" s="480"/>
      <c r="AS235" s="480"/>
      <c r="AT235" s="480"/>
      <c r="AU235" s="480"/>
      <c r="AV235" s="480"/>
      <c r="AW235" s="480"/>
      <c r="AX235" s="480"/>
      <c r="AY235" s="480"/>
      <c r="AZ235" s="480"/>
      <c r="BA235" s="480"/>
      <c r="BB235" s="480"/>
      <c r="BC235" s="480"/>
      <c r="BD235" s="480"/>
      <c r="BE235" s="213"/>
      <c r="BF235" s="479"/>
      <c r="BG235" s="479"/>
      <c r="BH235" s="372"/>
      <c r="BI235" s="472"/>
      <c r="BJ235" s="481"/>
      <c r="BK235" s="310"/>
      <c r="BL235" s="310">
        <f t="shared" si="0"/>
        <v>0</v>
      </c>
      <c r="BM235" s="7"/>
    </row>
    <row r="236" spans="1:65" ht="47.25" customHeight="1">
      <c r="A236" s="486"/>
      <c r="B236" s="487" t="s">
        <v>545</v>
      </c>
      <c r="C236" s="488" t="s">
        <v>546</v>
      </c>
      <c r="D236" s="512"/>
      <c r="E236" s="477"/>
      <c r="F236" s="477"/>
      <c r="G236" s="477"/>
      <c r="H236" s="477"/>
      <c r="I236" s="477"/>
      <c r="J236" s="477"/>
      <c r="K236" s="213"/>
      <c r="L236" s="478"/>
      <c r="M236" s="478"/>
      <c r="N236" s="478"/>
      <c r="O236" s="478"/>
      <c r="P236" s="478"/>
      <c r="Q236" s="478"/>
      <c r="R236" s="478"/>
      <c r="S236" s="478"/>
      <c r="T236" s="478"/>
      <c r="U236" s="478"/>
      <c r="V236" s="479"/>
      <c r="W236" s="478"/>
      <c r="X236" s="478"/>
      <c r="Y236" s="478"/>
      <c r="Z236" s="478"/>
      <c r="AA236" s="478"/>
      <c r="AB236" s="478"/>
      <c r="AC236" s="478"/>
      <c r="AD236" s="478"/>
      <c r="AE236" s="478"/>
      <c r="AF236" s="213"/>
      <c r="AG236" s="480"/>
      <c r="AH236" s="480"/>
      <c r="AI236" s="480"/>
      <c r="AJ236" s="480"/>
      <c r="AK236" s="480"/>
      <c r="AL236" s="480"/>
      <c r="AM236" s="480"/>
      <c r="AN236" s="480"/>
      <c r="AO236" s="480"/>
      <c r="AP236" s="480"/>
      <c r="AQ236" s="480"/>
      <c r="AR236" s="480"/>
      <c r="AS236" s="480"/>
      <c r="AT236" s="480"/>
      <c r="AU236" s="480"/>
      <c r="AV236" s="480"/>
      <c r="AW236" s="480"/>
      <c r="AX236" s="480"/>
      <c r="AY236" s="480"/>
      <c r="AZ236" s="480"/>
      <c r="BA236" s="480"/>
      <c r="BB236" s="480"/>
      <c r="BC236" s="480"/>
      <c r="BD236" s="480"/>
      <c r="BE236" s="213"/>
      <c r="BF236" s="479"/>
      <c r="BG236" s="479"/>
      <c r="BH236" s="372"/>
      <c r="BI236" s="472"/>
      <c r="BJ236" s="481"/>
      <c r="BK236" s="310"/>
      <c r="BL236" s="310">
        <f t="shared" si="0"/>
        <v>0</v>
      </c>
      <c r="BM236" s="205"/>
    </row>
    <row r="237" spans="1:65" ht="20.25" customHeight="1">
      <c r="A237" s="503"/>
      <c r="B237" s="483" t="s">
        <v>548</v>
      </c>
      <c r="C237" s="484" t="s">
        <v>447</v>
      </c>
      <c r="D237" s="504" t="s">
        <v>424</v>
      </c>
      <c r="E237" s="477"/>
      <c r="F237" s="477"/>
      <c r="G237" s="477">
        <v>50</v>
      </c>
      <c r="H237" s="477"/>
      <c r="I237" s="477"/>
      <c r="J237" s="477">
        <v>142</v>
      </c>
      <c r="K237" s="213"/>
      <c r="L237" s="478"/>
      <c r="M237" s="478"/>
      <c r="N237" s="478"/>
      <c r="O237" s="478"/>
      <c r="P237" s="478"/>
      <c r="Q237" s="478">
        <v>75</v>
      </c>
      <c r="R237" s="478"/>
      <c r="S237" s="478"/>
      <c r="T237" s="478"/>
      <c r="U237" s="478">
        <v>5573</v>
      </c>
      <c r="V237" s="479"/>
      <c r="W237" s="478"/>
      <c r="X237" s="478">
        <v>32</v>
      </c>
      <c r="Y237" s="478"/>
      <c r="Z237" s="478"/>
      <c r="AA237" s="478">
        <v>2065</v>
      </c>
      <c r="AB237" s="478">
        <v>30</v>
      </c>
      <c r="AC237" s="478">
        <v>6845</v>
      </c>
      <c r="AD237" s="478">
        <v>500</v>
      </c>
      <c r="AE237" s="478">
        <v>55</v>
      </c>
      <c r="AF237" s="213"/>
      <c r="AG237" s="480"/>
      <c r="AH237" s="480"/>
      <c r="AI237" s="480"/>
      <c r="AJ237" s="480"/>
      <c r="AK237" s="480"/>
      <c r="AL237" s="480"/>
      <c r="AM237" s="480"/>
      <c r="AN237" s="480"/>
      <c r="AO237" s="480"/>
      <c r="AP237" s="480"/>
      <c r="AQ237" s="480"/>
      <c r="AR237" s="480"/>
      <c r="AS237" s="480"/>
      <c r="AT237" s="480"/>
      <c r="AU237" s="480"/>
      <c r="AV237" s="480"/>
      <c r="AW237" s="480"/>
      <c r="AX237" s="480"/>
      <c r="AY237" s="480"/>
      <c r="AZ237" s="480"/>
      <c r="BA237" s="480"/>
      <c r="BB237" s="480"/>
      <c r="BC237" s="480"/>
      <c r="BD237" s="480"/>
      <c r="BE237" s="213"/>
      <c r="BF237" s="479"/>
      <c r="BG237" s="479"/>
      <c r="BH237" s="372"/>
      <c r="BI237" s="472"/>
      <c r="BJ237" s="481"/>
      <c r="BK237" s="310"/>
      <c r="BL237" s="310">
        <f t="shared" si="0"/>
        <v>15367</v>
      </c>
      <c r="BM237" s="7"/>
    </row>
    <row r="238" spans="1:65" ht="20.25" customHeight="1">
      <c r="A238" s="503"/>
      <c r="B238" s="483" t="s">
        <v>550</v>
      </c>
      <c r="C238" s="484" t="s">
        <v>521</v>
      </c>
      <c r="D238" s="504" t="s">
        <v>424</v>
      </c>
      <c r="E238" s="477"/>
      <c r="F238" s="477"/>
      <c r="G238" s="477"/>
      <c r="H238" s="477"/>
      <c r="I238" s="477"/>
      <c r="J238" s="477"/>
      <c r="K238" s="213"/>
      <c r="L238" s="478"/>
      <c r="M238" s="478"/>
      <c r="N238" s="478"/>
      <c r="O238" s="478"/>
      <c r="P238" s="478"/>
      <c r="Q238" s="478"/>
      <c r="R238" s="478"/>
      <c r="S238" s="478"/>
      <c r="T238" s="478"/>
      <c r="U238" s="478"/>
      <c r="V238" s="479"/>
      <c r="W238" s="478"/>
      <c r="X238" s="478"/>
      <c r="Y238" s="478"/>
      <c r="Z238" s="478"/>
      <c r="AA238" s="478"/>
      <c r="AB238" s="478"/>
      <c r="AC238" s="478"/>
      <c r="AD238" s="478"/>
      <c r="AE238" s="478"/>
      <c r="AF238" s="213"/>
      <c r="AG238" s="480"/>
      <c r="AH238" s="480"/>
      <c r="AI238" s="480"/>
      <c r="AJ238" s="480"/>
      <c r="AK238" s="480"/>
      <c r="AL238" s="480"/>
      <c r="AM238" s="480"/>
      <c r="AN238" s="480"/>
      <c r="AO238" s="480"/>
      <c r="AP238" s="480"/>
      <c r="AQ238" s="480"/>
      <c r="AR238" s="480"/>
      <c r="AS238" s="480"/>
      <c r="AT238" s="480"/>
      <c r="AU238" s="480"/>
      <c r="AV238" s="480"/>
      <c r="AW238" s="480"/>
      <c r="AX238" s="480"/>
      <c r="AY238" s="480"/>
      <c r="AZ238" s="480"/>
      <c r="BA238" s="480"/>
      <c r="BB238" s="480"/>
      <c r="BC238" s="480"/>
      <c r="BD238" s="480"/>
      <c r="BE238" s="213"/>
      <c r="BF238" s="479"/>
      <c r="BG238" s="479"/>
      <c r="BH238" s="372"/>
      <c r="BI238" s="472"/>
      <c r="BJ238" s="481"/>
      <c r="BK238" s="310"/>
      <c r="BL238" s="310">
        <f t="shared" si="0"/>
        <v>0</v>
      </c>
      <c r="BM238" s="7"/>
    </row>
    <row r="239" spans="1:65" ht="20.25" customHeight="1">
      <c r="A239" s="503"/>
      <c r="B239" s="483" t="s">
        <v>551</v>
      </c>
      <c r="C239" s="484" t="s">
        <v>524</v>
      </c>
      <c r="D239" s="504" t="s">
        <v>1481</v>
      </c>
      <c r="E239" s="477"/>
      <c r="F239" s="477"/>
      <c r="G239" s="477"/>
      <c r="H239" s="477"/>
      <c r="I239" s="477"/>
      <c r="J239" s="477"/>
      <c r="K239" s="213"/>
      <c r="L239" s="478">
        <v>1300</v>
      </c>
      <c r="M239" s="478"/>
      <c r="N239" s="478"/>
      <c r="O239" s="478"/>
      <c r="P239" s="478"/>
      <c r="Q239" s="478">
        <v>120</v>
      </c>
      <c r="R239" s="478"/>
      <c r="S239" s="478"/>
      <c r="T239" s="478"/>
      <c r="U239" s="478">
        <v>69077</v>
      </c>
      <c r="V239" s="479"/>
      <c r="W239" s="478">
        <v>10363</v>
      </c>
      <c r="X239" s="478">
        <v>1480</v>
      </c>
      <c r="Y239" s="478"/>
      <c r="Z239" s="478"/>
      <c r="AA239" s="478">
        <v>15620</v>
      </c>
      <c r="AB239" s="478">
        <v>1292</v>
      </c>
      <c r="AC239" s="478">
        <v>13215</v>
      </c>
      <c r="AD239" s="478"/>
      <c r="AE239" s="478"/>
      <c r="AF239" s="213"/>
      <c r="AG239" s="480"/>
      <c r="AH239" s="480"/>
      <c r="AI239" s="480"/>
      <c r="AJ239" s="480"/>
      <c r="AK239" s="480"/>
      <c r="AL239" s="480"/>
      <c r="AM239" s="480"/>
      <c r="AN239" s="480"/>
      <c r="AO239" s="480"/>
      <c r="AP239" s="480"/>
      <c r="AQ239" s="480"/>
      <c r="AR239" s="480"/>
      <c r="AS239" s="480"/>
      <c r="AT239" s="480"/>
      <c r="AU239" s="480"/>
      <c r="AV239" s="480"/>
      <c r="AW239" s="480"/>
      <c r="AX239" s="480"/>
      <c r="AY239" s="480"/>
      <c r="AZ239" s="480"/>
      <c r="BA239" s="480"/>
      <c r="BB239" s="480"/>
      <c r="BC239" s="480"/>
      <c r="BD239" s="480"/>
      <c r="BE239" s="213"/>
      <c r="BF239" s="479"/>
      <c r="BG239" s="479"/>
      <c r="BH239" s="372"/>
      <c r="BI239" s="472"/>
      <c r="BJ239" s="481"/>
      <c r="BK239" s="310"/>
      <c r="BL239" s="310">
        <f t="shared" si="0"/>
        <v>112467</v>
      </c>
      <c r="BM239" s="7"/>
    </row>
    <row r="240" spans="1:65" ht="20.25" customHeight="1">
      <c r="A240" s="503"/>
      <c r="B240" s="483" t="s">
        <v>553</v>
      </c>
      <c r="C240" s="484" t="s">
        <v>527</v>
      </c>
      <c r="D240" s="504" t="s">
        <v>1482</v>
      </c>
      <c r="E240" s="477"/>
      <c r="F240" s="477"/>
      <c r="G240" s="477"/>
      <c r="H240" s="477"/>
      <c r="I240" s="477"/>
      <c r="J240" s="477"/>
      <c r="K240" s="213"/>
      <c r="L240" s="478"/>
      <c r="M240" s="478"/>
      <c r="N240" s="478"/>
      <c r="O240" s="478"/>
      <c r="P240" s="478"/>
      <c r="Q240" s="478"/>
      <c r="R240" s="478"/>
      <c r="S240" s="478"/>
      <c r="T240" s="478"/>
      <c r="U240" s="478">
        <v>45</v>
      </c>
      <c r="V240" s="479"/>
      <c r="W240" s="478"/>
      <c r="X240" s="478"/>
      <c r="Y240" s="478"/>
      <c r="Z240" s="478"/>
      <c r="AA240" s="478"/>
      <c r="AB240" s="478"/>
      <c r="AC240" s="478">
        <v>2750</v>
      </c>
      <c r="AD240" s="478"/>
      <c r="AE240" s="478"/>
      <c r="AF240" s="213"/>
      <c r="AG240" s="480"/>
      <c r="AH240" s="480"/>
      <c r="AI240" s="480"/>
      <c r="AJ240" s="480"/>
      <c r="AK240" s="480"/>
      <c r="AL240" s="480"/>
      <c r="AM240" s="480"/>
      <c r="AN240" s="480"/>
      <c r="AO240" s="480"/>
      <c r="AP240" s="480"/>
      <c r="AQ240" s="480"/>
      <c r="AR240" s="480"/>
      <c r="AS240" s="480"/>
      <c r="AT240" s="480"/>
      <c r="AU240" s="480"/>
      <c r="AV240" s="480"/>
      <c r="AW240" s="480"/>
      <c r="AX240" s="480"/>
      <c r="AY240" s="480"/>
      <c r="AZ240" s="480"/>
      <c r="BA240" s="480"/>
      <c r="BB240" s="480"/>
      <c r="BC240" s="480"/>
      <c r="BD240" s="480"/>
      <c r="BE240" s="213"/>
      <c r="BF240" s="479"/>
      <c r="BG240" s="479"/>
      <c r="BH240" s="372"/>
      <c r="BI240" s="472"/>
      <c r="BJ240" s="481"/>
      <c r="BK240" s="310"/>
      <c r="BL240" s="310">
        <f t="shared" si="0"/>
        <v>2795</v>
      </c>
      <c r="BM240" s="7"/>
    </row>
    <row r="241" spans="1:65" ht="20.25" customHeight="1">
      <c r="A241" s="503"/>
      <c r="B241" s="483" t="s">
        <v>555</v>
      </c>
      <c r="C241" s="484" t="s">
        <v>531</v>
      </c>
      <c r="D241" s="504" t="s">
        <v>132</v>
      </c>
      <c r="E241" s="477"/>
      <c r="F241" s="477"/>
      <c r="G241" s="477"/>
      <c r="H241" s="477"/>
      <c r="I241" s="477"/>
      <c r="J241" s="477"/>
      <c r="K241" s="213"/>
      <c r="L241" s="478"/>
      <c r="M241" s="478"/>
      <c r="N241" s="478"/>
      <c r="O241" s="478"/>
      <c r="P241" s="478"/>
      <c r="Q241" s="478"/>
      <c r="R241" s="478"/>
      <c r="S241" s="478">
        <v>1</v>
      </c>
      <c r="T241" s="478"/>
      <c r="U241" s="478">
        <v>15</v>
      </c>
      <c r="V241" s="479"/>
      <c r="W241" s="478"/>
      <c r="X241" s="478"/>
      <c r="Y241" s="478"/>
      <c r="Z241" s="478">
        <v>1</v>
      </c>
      <c r="AA241" s="478"/>
      <c r="AB241" s="478"/>
      <c r="AC241" s="478">
        <v>1</v>
      </c>
      <c r="AD241" s="478"/>
      <c r="AE241" s="478"/>
      <c r="AF241" s="213"/>
      <c r="AG241" s="480"/>
      <c r="AH241" s="480"/>
      <c r="AI241" s="480"/>
      <c r="AJ241" s="480"/>
      <c r="AK241" s="480"/>
      <c r="AL241" s="480"/>
      <c r="AM241" s="480"/>
      <c r="AN241" s="480"/>
      <c r="AO241" s="480"/>
      <c r="AP241" s="480"/>
      <c r="AQ241" s="480"/>
      <c r="AR241" s="480"/>
      <c r="AS241" s="480"/>
      <c r="AT241" s="480"/>
      <c r="AU241" s="480"/>
      <c r="AV241" s="480"/>
      <c r="AW241" s="480"/>
      <c r="AX241" s="480"/>
      <c r="AY241" s="480"/>
      <c r="AZ241" s="480"/>
      <c r="BA241" s="480"/>
      <c r="BB241" s="480"/>
      <c r="BC241" s="480"/>
      <c r="BD241" s="480"/>
      <c r="BE241" s="213"/>
      <c r="BF241" s="479"/>
      <c r="BG241" s="479"/>
      <c r="BH241" s="372"/>
      <c r="BI241" s="472"/>
      <c r="BJ241" s="481"/>
      <c r="BK241" s="310"/>
      <c r="BL241" s="310">
        <f t="shared" si="0"/>
        <v>18</v>
      </c>
      <c r="BM241" s="7"/>
    </row>
    <row r="242" spans="1:65" ht="20.25" customHeight="1">
      <c r="A242" s="503"/>
      <c r="B242" s="483" t="s">
        <v>556</v>
      </c>
      <c r="C242" s="484" t="s">
        <v>534</v>
      </c>
      <c r="D242" s="504" t="s">
        <v>132</v>
      </c>
      <c r="E242" s="477"/>
      <c r="F242" s="477"/>
      <c r="G242" s="477"/>
      <c r="H242" s="477"/>
      <c r="I242" s="477"/>
      <c r="J242" s="477"/>
      <c r="K242" s="213"/>
      <c r="L242" s="478"/>
      <c r="M242" s="478"/>
      <c r="N242" s="478"/>
      <c r="O242" s="478"/>
      <c r="P242" s="478"/>
      <c r="Q242" s="478">
        <v>1</v>
      </c>
      <c r="R242" s="478"/>
      <c r="S242" s="478"/>
      <c r="T242" s="478"/>
      <c r="U242" s="478"/>
      <c r="V242" s="479"/>
      <c r="W242" s="478"/>
      <c r="X242" s="478"/>
      <c r="Y242" s="478"/>
      <c r="Z242" s="478"/>
      <c r="AA242" s="478"/>
      <c r="AB242" s="478">
        <v>1</v>
      </c>
      <c r="AC242" s="478">
        <v>3</v>
      </c>
      <c r="AD242" s="478"/>
      <c r="AE242" s="478"/>
      <c r="AF242" s="213"/>
      <c r="AG242" s="480"/>
      <c r="AH242" s="480"/>
      <c r="AI242" s="480"/>
      <c r="AJ242" s="480"/>
      <c r="AK242" s="480"/>
      <c r="AL242" s="480"/>
      <c r="AM242" s="480"/>
      <c r="AN242" s="480"/>
      <c r="AO242" s="480"/>
      <c r="AP242" s="480"/>
      <c r="AQ242" s="480"/>
      <c r="AR242" s="480"/>
      <c r="AS242" s="480"/>
      <c r="AT242" s="480"/>
      <c r="AU242" s="480"/>
      <c r="AV242" s="480"/>
      <c r="AW242" s="480"/>
      <c r="AX242" s="480"/>
      <c r="AY242" s="480"/>
      <c r="AZ242" s="480"/>
      <c r="BA242" s="480"/>
      <c r="BB242" s="480"/>
      <c r="BC242" s="480"/>
      <c r="BD242" s="480"/>
      <c r="BE242" s="213"/>
      <c r="BF242" s="479"/>
      <c r="BG242" s="479"/>
      <c r="BH242" s="372"/>
      <c r="BI242" s="472"/>
      <c r="BJ242" s="481"/>
      <c r="BK242" s="310"/>
      <c r="BL242" s="310">
        <f t="shared" si="0"/>
        <v>5</v>
      </c>
      <c r="BM242" s="7"/>
    </row>
    <row r="243" spans="1:65" ht="31.5" customHeight="1">
      <c r="A243" s="503" t="s">
        <v>1483</v>
      </c>
      <c r="B243" s="483" t="s">
        <v>557</v>
      </c>
      <c r="C243" s="484" t="s">
        <v>537</v>
      </c>
      <c r="D243" s="504" t="s">
        <v>194</v>
      </c>
      <c r="E243" s="477"/>
      <c r="F243" s="477"/>
      <c r="G243" s="477"/>
      <c r="H243" s="477"/>
      <c r="I243" s="477"/>
      <c r="J243" s="477"/>
      <c r="K243" s="213"/>
      <c r="L243" s="478"/>
      <c r="M243" s="478"/>
      <c r="N243" s="478"/>
      <c r="O243" s="478"/>
      <c r="P243" s="478"/>
      <c r="Q243" s="478"/>
      <c r="R243" s="478"/>
      <c r="S243" s="478"/>
      <c r="T243" s="478"/>
      <c r="U243" s="478">
        <v>32</v>
      </c>
      <c r="V243" s="479"/>
      <c r="W243" s="478"/>
      <c r="X243" s="478"/>
      <c r="Y243" s="478"/>
      <c r="Z243" s="478"/>
      <c r="AA243" s="478"/>
      <c r="AB243" s="478"/>
      <c r="AC243" s="478"/>
      <c r="AD243" s="478"/>
      <c r="AE243" s="478"/>
      <c r="AF243" s="213"/>
      <c r="AG243" s="480"/>
      <c r="AH243" s="480"/>
      <c r="AI243" s="480"/>
      <c r="AJ243" s="480"/>
      <c r="AK243" s="480"/>
      <c r="AL243" s="480"/>
      <c r="AM243" s="480"/>
      <c r="AN243" s="480"/>
      <c r="AO243" s="480"/>
      <c r="AP243" s="480"/>
      <c r="AQ243" s="480"/>
      <c r="AR243" s="480"/>
      <c r="AS243" s="480"/>
      <c r="AT243" s="480"/>
      <c r="AU243" s="480"/>
      <c r="AV243" s="480"/>
      <c r="AW243" s="480"/>
      <c r="AX243" s="480"/>
      <c r="AY243" s="480"/>
      <c r="AZ243" s="480"/>
      <c r="BA243" s="480"/>
      <c r="BB243" s="480"/>
      <c r="BC243" s="480"/>
      <c r="BD243" s="480"/>
      <c r="BE243" s="213"/>
      <c r="BF243" s="479"/>
      <c r="BG243" s="479"/>
      <c r="BH243" s="372"/>
      <c r="BI243" s="472"/>
      <c r="BJ243" s="481"/>
      <c r="BK243" s="310"/>
      <c r="BL243" s="310">
        <f t="shared" si="0"/>
        <v>32</v>
      </c>
      <c r="BM243" s="7"/>
    </row>
    <row r="244" spans="1:65" ht="20.25" customHeight="1">
      <c r="A244" s="503" t="s">
        <v>1016</v>
      </c>
      <c r="B244" s="483" t="s">
        <v>558</v>
      </c>
      <c r="C244" s="484" t="s">
        <v>540</v>
      </c>
      <c r="D244" s="515" t="s">
        <v>183</v>
      </c>
      <c r="E244" s="477"/>
      <c r="F244" s="477"/>
      <c r="G244" s="477"/>
      <c r="H244" s="477"/>
      <c r="I244" s="477"/>
      <c r="J244" s="477"/>
      <c r="K244" s="213"/>
      <c r="L244" s="478"/>
      <c r="M244" s="478"/>
      <c r="N244" s="478"/>
      <c r="O244" s="478"/>
      <c r="P244" s="478"/>
      <c r="Q244" s="478"/>
      <c r="R244" s="478"/>
      <c r="S244" s="478"/>
      <c r="T244" s="478"/>
      <c r="U244" s="478"/>
      <c r="V244" s="479"/>
      <c r="W244" s="478"/>
      <c r="X244" s="478"/>
      <c r="Y244" s="478"/>
      <c r="Z244" s="478"/>
      <c r="AA244" s="478"/>
      <c r="AB244" s="478"/>
      <c r="AC244" s="478"/>
      <c r="AD244" s="478"/>
      <c r="AE244" s="478"/>
      <c r="AF244" s="213"/>
      <c r="AG244" s="480"/>
      <c r="AH244" s="480"/>
      <c r="AI244" s="480"/>
      <c r="AJ244" s="480"/>
      <c r="AK244" s="480"/>
      <c r="AL244" s="480"/>
      <c r="AM244" s="480"/>
      <c r="AN244" s="480"/>
      <c r="AO244" s="480"/>
      <c r="AP244" s="480"/>
      <c r="AQ244" s="480"/>
      <c r="AR244" s="480"/>
      <c r="AS244" s="480"/>
      <c r="AT244" s="480"/>
      <c r="AU244" s="480"/>
      <c r="AV244" s="480"/>
      <c r="AW244" s="480"/>
      <c r="AX244" s="480"/>
      <c r="AY244" s="480"/>
      <c r="AZ244" s="480"/>
      <c r="BA244" s="480"/>
      <c r="BB244" s="480"/>
      <c r="BC244" s="480"/>
      <c r="BD244" s="480"/>
      <c r="BE244" s="213"/>
      <c r="BF244" s="479"/>
      <c r="BG244" s="479"/>
      <c r="BH244" s="372"/>
      <c r="BI244" s="472"/>
      <c r="BJ244" s="481"/>
      <c r="BK244" s="310"/>
      <c r="BL244" s="310">
        <f t="shared" si="0"/>
        <v>0</v>
      </c>
      <c r="BM244" s="7"/>
    </row>
    <row r="245" spans="1:65" ht="20.25" customHeight="1">
      <c r="A245" s="503" t="s">
        <v>1017</v>
      </c>
      <c r="B245" s="483" t="s">
        <v>559</v>
      </c>
      <c r="C245" s="484" t="s">
        <v>543</v>
      </c>
      <c r="D245" s="504" t="s">
        <v>132</v>
      </c>
      <c r="E245" s="477"/>
      <c r="F245" s="477"/>
      <c r="G245" s="477"/>
      <c r="H245" s="477"/>
      <c r="I245" s="477"/>
      <c r="J245" s="477"/>
      <c r="K245" s="213"/>
      <c r="L245" s="478"/>
      <c r="M245" s="478"/>
      <c r="N245" s="478"/>
      <c r="O245" s="478"/>
      <c r="P245" s="478"/>
      <c r="Q245" s="478"/>
      <c r="R245" s="478"/>
      <c r="S245" s="478"/>
      <c r="T245" s="478"/>
      <c r="U245" s="478"/>
      <c r="V245" s="479"/>
      <c r="W245" s="478"/>
      <c r="X245" s="478"/>
      <c r="Y245" s="478"/>
      <c r="Z245" s="478"/>
      <c r="AA245" s="478"/>
      <c r="AB245" s="478"/>
      <c r="AC245" s="478"/>
      <c r="AD245" s="478"/>
      <c r="AE245" s="478"/>
      <c r="AF245" s="213"/>
      <c r="AG245" s="480"/>
      <c r="AH245" s="480"/>
      <c r="AI245" s="480"/>
      <c r="AJ245" s="480"/>
      <c r="AK245" s="480"/>
      <c r="AL245" s="480"/>
      <c r="AM245" s="480"/>
      <c r="AN245" s="480"/>
      <c r="AO245" s="480"/>
      <c r="AP245" s="480"/>
      <c r="AQ245" s="480"/>
      <c r="AR245" s="480"/>
      <c r="AS245" s="480"/>
      <c r="AT245" s="480"/>
      <c r="AU245" s="480"/>
      <c r="AV245" s="480"/>
      <c r="AW245" s="480"/>
      <c r="AX245" s="480"/>
      <c r="AY245" s="480"/>
      <c r="AZ245" s="480"/>
      <c r="BA245" s="480"/>
      <c r="BB245" s="480"/>
      <c r="BC245" s="480"/>
      <c r="BD245" s="480"/>
      <c r="BE245" s="213"/>
      <c r="BF245" s="479"/>
      <c r="BG245" s="479"/>
      <c r="BH245" s="372"/>
      <c r="BI245" s="472"/>
      <c r="BJ245" s="481"/>
      <c r="BK245" s="310"/>
      <c r="BL245" s="310">
        <f t="shared" si="0"/>
        <v>0</v>
      </c>
      <c r="BM245" s="7"/>
    </row>
    <row r="246" spans="1:65" ht="19.5" customHeight="1">
      <c r="A246" s="486">
        <v>9.3000000000000007</v>
      </c>
      <c r="B246" s="487" t="s">
        <v>560</v>
      </c>
      <c r="C246" s="488" t="s">
        <v>561</v>
      </c>
      <c r="D246" s="412"/>
      <c r="E246" s="477"/>
      <c r="F246" s="477"/>
      <c r="G246" s="477"/>
      <c r="H246" s="477"/>
      <c r="I246" s="477"/>
      <c r="J246" s="477"/>
      <c r="K246" s="213"/>
      <c r="L246" s="478"/>
      <c r="M246" s="478"/>
      <c r="N246" s="478"/>
      <c r="O246" s="478"/>
      <c r="P246" s="478"/>
      <c r="Q246" s="478"/>
      <c r="R246" s="478"/>
      <c r="S246" s="478"/>
      <c r="T246" s="478"/>
      <c r="U246" s="478"/>
      <c r="V246" s="479"/>
      <c r="W246" s="478"/>
      <c r="X246" s="478"/>
      <c r="Y246" s="478"/>
      <c r="Z246" s="478"/>
      <c r="AA246" s="478"/>
      <c r="AB246" s="478"/>
      <c r="AC246" s="478"/>
      <c r="AD246" s="478"/>
      <c r="AE246" s="478"/>
      <c r="AF246" s="213"/>
      <c r="AG246" s="480"/>
      <c r="AH246" s="480"/>
      <c r="AI246" s="480"/>
      <c r="AJ246" s="480"/>
      <c r="AK246" s="480"/>
      <c r="AL246" s="480"/>
      <c r="AM246" s="480"/>
      <c r="AN246" s="480"/>
      <c r="AO246" s="480"/>
      <c r="AP246" s="480"/>
      <c r="AQ246" s="480"/>
      <c r="AR246" s="480"/>
      <c r="AS246" s="480"/>
      <c r="AT246" s="480"/>
      <c r="AU246" s="480"/>
      <c r="AV246" s="480"/>
      <c r="AW246" s="480"/>
      <c r="AX246" s="480"/>
      <c r="AY246" s="480"/>
      <c r="AZ246" s="480"/>
      <c r="BA246" s="480"/>
      <c r="BB246" s="480"/>
      <c r="BC246" s="480"/>
      <c r="BD246" s="480"/>
      <c r="BE246" s="213"/>
      <c r="BF246" s="479"/>
      <c r="BG246" s="479"/>
      <c r="BH246" s="372"/>
      <c r="BI246" s="472"/>
      <c r="BJ246" s="481"/>
      <c r="BK246" s="310"/>
      <c r="BL246" s="310">
        <f t="shared" si="0"/>
        <v>0</v>
      </c>
      <c r="BM246" s="7"/>
    </row>
    <row r="247" spans="1:65" ht="20.25" customHeight="1">
      <c r="A247" s="503" t="s">
        <v>1018</v>
      </c>
      <c r="B247" s="483" t="s">
        <v>562</v>
      </c>
      <c r="C247" s="484" t="s">
        <v>563</v>
      </c>
      <c r="D247" s="485" t="s">
        <v>424</v>
      </c>
      <c r="E247" s="477"/>
      <c r="F247" s="477"/>
      <c r="G247" s="477"/>
      <c r="H247" s="477"/>
      <c r="I247" s="477"/>
      <c r="J247" s="477"/>
      <c r="K247" s="213"/>
      <c r="L247" s="478"/>
      <c r="M247" s="478"/>
      <c r="N247" s="478"/>
      <c r="O247" s="478"/>
      <c r="P247" s="478"/>
      <c r="Q247" s="478"/>
      <c r="R247" s="478"/>
      <c r="S247" s="478"/>
      <c r="T247" s="478"/>
      <c r="U247" s="478"/>
      <c r="V247" s="479"/>
      <c r="W247" s="478"/>
      <c r="X247" s="478"/>
      <c r="Y247" s="478"/>
      <c r="Z247" s="478"/>
      <c r="AA247" s="478">
        <v>30</v>
      </c>
      <c r="AB247" s="478"/>
      <c r="AC247" s="478"/>
      <c r="AD247" s="478"/>
      <c r="AE247" s="478"/>
      <c r="AF247" s="213"/>
      <c r="AG247" s="480"/>
      <c r="AH247" s="480"/>
      <c r="AI247" s="480"/>
      <c r="AJ247" s="480"/>
      <c r="AK247" s="480"/>
      <c r="AL247" s="480"/>
      <c r="AM247" s="480"/>
      <c r="AN247" s="480"/>
      <c r="AO247" s="480"/>
      <c r="AP247" s="480"/>
      <c r="AQ247" s="480"/>
      <c r="AR247" s="480"/>
      <c r="AS247" s="480"/>
      <c r="AT247" s="480"/>
      <c r="AU247" s="480"/>
      <c r="AV247" s="480"/>
      <c r="AW247" s="480"/>
      <c r="AX247" s="480"/>
      <c r="AY247" s="480"/>
      <c r="AZ247" s="480"/>
      <c r="BA247" s="480"/>
      <c r="BB247" s="480"/>
      <c r="BC247" s="480"/>
      <c r="BD247" s="480"/>
      <c r="BE247" s="213"/>
      <c r="BF247" s="479"/>
      <c r="BG247" s="479"/>
      <c r="BH247" s="372"/>
      <c r="BI247" s="472"/>
      <c r="BJ247" s="481"/>
      <c r="BK247" s="310"/>
      <c r="BL247" s="310">
        <f t="shared" si="0"/>
        <v>30</v>
      </c>
      <c r="BM247" s="7"/>
    </row>
    <row r="248" spans="1:65" ht="20.25" customHeight="1">
      <c r="A248" s="503" t="s">
        <v>1019</v>
      </c>
      <c r="B248" s="483" t="s">
        <v>564</v>
      </c>
      <c r="C248" s="484" t="s">
        <v>565</v>
      </c>
      <c r="D248" s="485" t="s">
        <v>424</v>
      </c>
      <c r="E248" s="477"/>
      <c r="F248" s="477"/>
      <c r="G248" s="477"/>
      <c r="H248" s="477"/>
      <c r="I248" s="477"/>
      <c r="J248" s="477"/>
      <c r="K248" s="213"/>
      <c r="L248" s="478"/>
      <c r="M248" s="478"/>
      <c r="N248" s="478"/>
      <c r="O248" s="478"/>
      <c r="P248" s="478"/>
      <c r="Q248" s="478"/>
      <c r="R248" s="478"/>
      <c r="S248" s="478"/>
      <c r="T248" s="478"/>
      <c r="U248" s="478"/>
      <c r="V248" s="479"/>
      <c r="W248" s="478"/>
      <c r="X248" s="478"/>
      <c r="Y248" s="478"/>
      <c r="Z248" s="478"/>
      <c r="AA248" s="478"/>
      <c r="AB248" s="478"/>
      <c r="AC248" s="478"/>
      <c r="AD248" s="478"/>
      <c r="AE248" s="478"/>
      <c r="AF248" s="213"/>
      <c r="AG248" s="480"/>
      <c r="AH248" s="480"/>
      <c r="AI248" s="480"/>
      <c r="AJ248" s="480"/>
      <c r="AK248" s="480"/>
      <c r="AL248" s="480"/>
      <c r="AM248" s="480"/>
      <c r="AN248" s="480"/>
      <c r="AO248" s="480"/>
      <c r="AP248" s="480"/>
      <c r="AQ248" s="480"/>
      <c r="AR248" s="480"/>
      <c r="AS248" s="480"/>
      <c r="AT248" s="480"/>
      <c r="AU248" s="480"/>
      <c r="AV248" s="480"/>
      <c r="AW248" s="480"/>
      <c r="AX248" s="480"/>
      <c r="AY248" s="480"/>
      <c r="AZ248" s="480"/>
      <c r="BA248" s="480"/>
      <c r="BB248" s="480"/>
      <c r="BC248" s="480"/>
      <c r="BD248" s="480"/>
      <c r="BE248" s="213"/>
      <c r="BF248" s="479"/>
      <c r="BG248" s="479"/>
      <c r="BH248" s="372"/>
      <c r="BI248" s="472"/>
      <c r="BJ248" s="481"/>
      <c r="BK248" s="310"/>
      <c r="BL248" s="310">
        <f t="shared" si="0"/>
        <v>0</v>
      </c>
      <c r="BM248" s="7"/>
    </row>
    <row r="249" spans="1:65" ht="20.25" customHeight="1">
      <c r="A249" s="503" t="s">
        <v>1020</v>
      </c>
      <c r="B249" s="483" t="s">
        <v>566</v>
      </c>
      <c r="C249" s="484" t="s">
        <v>567</v>
      </c>
      <c r="D249" s="485" t="s">
        <v>1484</v>
      </c>
      <c r="E249" s="477"/>
      <c r="F249" s="477"/>
      <c r="G249" s="477"/>
      <c r="H249" s="477"/>
      <c r="I249" s="477"/>
      <c r="J249" s="477"/>
      <c r="K249" s="213"/>
      <c r="L249" s="478"/>
      <c r="M249" s="478"/>
      <c r="N249" s="478"/>
      <c r="O249" s="478"/>
      <c r="P249" s="478"/>
      <c r="Q249" s="478"/>
      <c r="R249" s="478"/>
      <c r="S249" s="478"/>
      <c r="T249" s="478"/>
      <c r="U249" s="478"/>
      <c r="V249" s="479"/>
      <c r="W249" s="478"/>
      <c r="X249" s="478"/>
      <c r="Y249" s="478"/>
      <c r="Z249" s="478"/>
      <c r="AA249" s="478"/>
      <c r="AB249" s="478"/>
      <c r="AC249" s="478"/>
      <c r="AD249" s="478"/>
      <c r="AE249" s="478"/>
      <c r="AF249" s="213"/>
      <c r="AG249" s="480"/>
      <c r="AH249" s="480"/>
      <c r="AI249" s="480"/>
      <c r="AJ249" s="480"/>
      <c r="AK249" s="480"/>
      <c r="AL249" s="480"/>
      <c r="AM249" s="480"/>
      <c r="AN249" s="480"/>
      <c r="AO249" s="480"/>
      <c r="AP249" s="480"/>
      <c r="AQ249" s="480"/>
      <c r="AR249" s="480"/>
      <c r="AS249" s="480"/>
      <c r="AT249" s="480"/>
      <c r="AU249" s="480"/>
      <c r="AV249" s="480"/>
      <c r="AW249" s="480"/>
      <c r="AX249" s="480"/>
      <c r="AY249" s="480"/>
      <c r="AZ249" s="480"/>
      <c r="BA249" s="480"/>
      <c r="BB249" s="480"/>
      <c r="BC249" s="480"/>
      <c r="BD249" s="480"/>
      <c r="BE249" s="213"/>
      <c r="BF249" s="479"/>
      <c r="BG249" s="479"/>
      <c r="BH249" s="372"/>
      <c r="BI249" s="472"/>
      <c r="BJ249" s="481"/>
      <c r="BK249" s="310"/>
      <c r="BL249" s="310">
        <f t="shared" si="0"/>
        <v>0</v>
      </c>
      <c r="BM249" s="7"/>
    </row>
    <row r="250" spans="1:65" ht="20.25" customHeight="1">
      <c r="A250" s="503" t="s">
        <v>1022</v>
      </c>
      <c r="B250" s="483" t="s">
        <v>569</v>
      </c>
      <c r="C250" s="484" t="s">
        <v>570</v>
      </c>
      <c r="D250" s="485" t="s">
        <v>1485</v>
      </c>
      <c r="E250" s="477"/>
      <c r="F250" s="477"/>
      <c r="G250" s="477"/>
      <c r="H250" s="477"/>
      <c r="I250" s="477"/>
      <c r="J250" s="477"/>
      <c r="K250" s="213"/>
      <c r="L250" s="478"/>
      <c r="M250" s="478"/>
      <c r="N250" s="478"/>
      <c r="O250" s="478"/>
      <c r="P250" s="478"/>
      <c r="Q250" s="478"/>
      <c r="R250" s="478"/>
      <c r="S250" s="478"/>
      <c r="T250" s="478"/>
      <c r="U250" s="478"/>
      <c r="V250" s="479"/>
      <c r="W250" s="478"/>
      <c r="X250" s="478"/>
      <c r="Y250" s="478"/>
      <c r="Z250" s="478"/>
      <c r="AA250" s="478"/>
      <c r="AB250" s="478"/>
      <c r="AC250" s="478"/>
      <c r="AD250" s="478"/>
      <c r="AE250" s="478"/>
      <c r="AF250" s="213"/>
      <c r="AG250" s="480"/>
      <c r="AH250" s="480"/>
      <c r="AI250" s="480"/>
      <c r="AJ250" s="480"/>
      <c r="AK250" s="480"/>
      <c r="AL250" s="480"/>
      <c r="AM250" s="480"/>
      <c r="AN250" s="480"/>
      <c r="AO250" s="480"/>
      <c r="AP250" s="480"/>
      <c r="AQ250" s="480"/>
      <c r="AR250" s="480"/>
      <c r="AS250" s="480"/>
      <c r="AT250" s="480"/>
      <c r="AU250" s="480"/>
      <c r="AV250" s="480"/>
      <c r="AW250" s="480"/>
      <c r="AX250" s="480"/>
      <c r="AY250" s="480"/>
      <c r="AZ250" s="480"/>
      <c r="BA250" s="480"/>
      <c r="BB250" s="480"/>
      <c r="BC250" s="480"/>
      <c r="BD250" s="480"/>
      <c r="BE250" s="213"/>
      <c r="BF250" s="479"/>
      <c r="BG250" s="479"/>
      <c r="BH250" s="372"/>
      <c r="BI250" s="472"/>
      <c r="BJ250" s="481"/>
      <c r="BK250" s="310"/>
      <c r="BL250" s="310">
        <f t="shared" si="0"/>
        <v>0</v>
      </c>
      <c r="BM250" s="7"/>
    </row>
    <row r="251" spans="1:65" ht="20.25" customHeight="1">
      <c r="A251" s="503" t="s">
        <v>1024</v>
      </c>
      <c r="B251" s="483" t="s">
        <v>572</v>
      </c>
      <c r="C251" s="484" t="s">
        <v>573</v>
      </c>
      <c r="D251" s="504" t="s">
        <v>132</v>
      </c>
      <c r="E251" s="477"/>
      <c r="F251" s="477"/>
      <c r="G251" s="477"/>
      <c r="H251" s="477"/>
      <c r="I251" s="477"/>
      <c r="J251" s="477"/>
      <c r="K251" s="213"/>
      <c r="L251" s="478"/>
      <c r="M251" s="478"/>
      <c r="N251" s="478"/>
      <c r="O251" s="478"/>
      <c r="P251" s="478"/>
      <c r="Q251" s="478"/>
      <c r="R251" s="478"/>
      <c r="S251" s="478"/>
      <c r="T251" s="478"/>
      <c r="U251" s="478"/>
      <c r="V251" s="479"/>
      <c r="W251" s="478"/>
      <c r="X251" s="478"/>
      <c r="Y251" s="478"/>
      <c r="Z251" s="478"/>
      <c r="AA251" s="478"/>
      <c r="AB251" s="478"/>
      <c r="AC251" s="478"/>
      <c r="AD251" s="478"/>
      <c r="AE251" s="478"/>
      <c r="AF251" s="213"/>
      <c r="AG251" s="480"/>
      <c r="AH251" s="480"/>
      <c r="AI251" s="480"/>
      <c r="AJ251" s="480"/>
      <c r="AK251" s="480"/>
      <c r="AL251" s="480"/>
      <c r="AM251" s="480"/>
      <c r="AN251" s="480"/>
      <c r="AO251" s="480"/>
      <c r="AP251" s="480"/>
      <c r="AQ251" s="480"/>
      <c r="AR251" s="480"/>
      <c r="AS251" s="480"/>
      <c r="AT251" s="480"/>
      <c r="AU251" s="480"/>
      <c r="AV251" s="480"/>
      <c r="AW251" s="480"/>
      <c r="AX251" s="480"/>
      <c r="AY251" s="480"/>
      <c r="AZ251" s="480"/>
      <c r="BA251" s="480"/>
      <c r="BB251" s="480"/>
      <c r="BC251" s="480"/>
      <c r="BD251" s="480"/>
      <c r="BE251" s="213"/>
      <c r="BF251" s="479"/>
      <c r="BG251" s="479"/>
      <c r="BH251" s="372"/>
      <c r="BI251" s="472"/>
      <c r="BJ251" s="481"/>
      <c r="BK251" s="310"/>
      <c r="BL251" s="310">
        <f t="shared" si="0"/>
        <v>0</v>
      </c>
      <c r="BM251" s="7"/>
    </row>
    <row r="252" spans="1:65" ht="20.25" customHeight="1">
      <c r="A252" s="503" t="s">
        <v>1025</v>
      </c>
      <c r="B252" s="483" t="s">
        <v>574</v>
      </c>
      <c r="C252" s="484" t="s">
        <v>575</v>
      </c>
      <c r="D252" s="504" t="s">
        <v>132</v>
      </c>
      <c r="E252" s="477"/>
      <c r="F252" s="477"/>
      <c r="G252" s="477"/>
      <c r="H252" s="477"/>
      <c r="I252" s="477"/>
      <c r="J252" s="477"/>
      <c r="K252" s="213"/>
      <c r="L252" s="478"/>
      <c r="M252" s="478"/>
      <c r="N252" s="478"/>
      <c r="O252" s="478"/>
      <c r="P252" s="478"/>
      <c r="Q252" s="478"/>
      <c r="R252" s="478"/>
      <c r="S252" s="478"/>
      <c r="T252" s="478"/>
      <c r="U252" s="478"/>
      <c r="V252" s="479"/>
      <c r="W252" s="478"/>
      <c r="X252" s="478"/>
      <c r="Y252" s="478"/>
      <c r="Z252" s="478"/>
      <c r="AA252" s="478"/>
      <c r="AB252" s="478"/>
      <c r="AC252" s="478"/>
      <c r="AD252" s="478"/>
      <c r="AE252" s="478"/>
      <c r="AF252" s="213"/>
      <c r="AG252" s="480"/>
      <c r="AH252" s="480"/>
      <c r="AI252" s="480"/>
      <c r="AJ252" s="480"/>
      <c r="AK252" s="480"/>
      <c r="AL252" s="480"/>
      <c r="AM252" s="480"/>
      <c r="AN252" s="480"/>
      <c r="AO252" s="480"/>
      <c r="AP252" s="480"/>
      <c r="AQ252" s="480"/>
      <c r="AR252" s="480"/>
      <c r="AS252" s="480"/>
      <c r="AT252" s="480"/>
      <c r="AU252" s="480"/>
      <c r="AV252" s="480"/>
      <c r="AW252" s="480"/>
      <c r="AX252" s="480"/>
      <c r="AY252" s="480"/>
      <c r="AZ252" s="480"/>
      <c r="BA252" s="480"/>
      <c r="BB252" s="480"/>
      <c r="BC252" s="480"/>
      <c r="BD252" s="480"/>
      <c r="BE252" s="213"/>
      <c r="BF252" s="479"/>
      <c r="BG252" s="479"/>
      <c r="BH252" s="372"/>
      <c r="BI252" s="472"/>
      <c r="BJ252" s="481"/>
      <c r="BK252" s="310"/>
      <c r="BL252" s="310">
        <f t="shared" si="0"/>
        <v>0</v>
      </c>
      <c r="BM252" s="7"/>
    </row>
    <row r="253" spans="1:65" ht="20.25" customHeight="1">
      <c r="A253" s="503" t="s">
        <v>1026</v>
      </c>
      <c r="B253" s="483" t="s">
        <v>576</v>
      </c>
      <c r="C253" s="484" t="s">
        <v>577</v>
      </c>
      <c r="D253" s="515" t="s">
        <v>183</v>
      </c>
      <c r="E253" s="477"/>
      <c r="F253" s="477"/>
      <c r="G253" s="477"/>
      <c r="H253" s="477"/>
      <c r="I253" s="477"/>
      <c r="J253" s="477"/>
      <c r="K253" s="213"/>
      <c r="L253" s="478"/>
      <c r="M253" s="478"/>
      <c r="N253" s="478"/>
      <c r="O253" s="478"/>
      <c r="P253" s="478"/>
      <c r="Q253" s="478"/>
      <c r="R253" s="478"/>
      <c r="S253" s="478"/>
      <c r="T253" s="478"/>
      <c r="U253" s="478"/>
      <c r="V253" s="479"/>
      <c r="W253" s="478"/>
      <c r="X253" s="478"/>
      <c r="Y253" s="478"/>
      <c r="Z253" s="478"/>
      <c r="AA253" s="478"/>
      <c r="AB253" s="478"/>
      <c r="AC253" s="478"/>
      <c r="AD253" s="478"/>
      <c r="AE253" s="478"/>
      <c r="AF253" s="213"/>
      <c r="AG253" s="480"/>
      <c r="AH253" s="480"/>
      <c r="AI253" s="480"/>
      <c r="AJ253" s="480"/>
      <c r="AK253" s="480"/>
      <c r="AL253" s="480"/>
      <c r="AM253" s="480"/>
      <c r="AN253" s="480"/>
      <c r="AO253" s="480"/>
      <c r="AP253" s="480"/>
      <c r="AQ253" s="480"/>
      <c r="AR253" s="480"/>
      <c r="AS253" s="480"/>
      <c r="AT253" s="480"/>
      <c r="AU253" s="480"/>
      <c r="AV253" s="480"/>
      <c r="AW253" s="480"/>
      <c r="AX253" s="480"/>
      <c r="AY253" s="480"/>
      <c r="AZ253" s="480"/>
      <c r="BA253" s="480"/>
      <c r="BB253" s="480"/>
      <c r="BC253" s="480"/>
      <c r="BD253" s="480"/>
      <c r="BE253" s="213"/>
      <c r="BF253" s="479"/>
      <c r="BG253" s="479"/>
      <c r="BH253" s="372"/>
      <c r="BI253" s="472"/>
      <c r="BJ253" s="481"/>
      <c r="BK253" s="310"/>
      <c r="BL253" s="310">
        <f t="shared" si="0"/>
        <v>0</v>
      </c>
      <c r="BM253" s="7"/>
    </row>
    <row r="254" spans="1:65" ht="20.25" customHeight="1">
      <c r="A254" s="503" t="s">
        <v>1027</v>
      </c>
      <c r="B254" s="483" t="s">
        <v>578</v>
      </c>
      <c r="C254" s="484" t="s">
        <v>579</v>
      </c>
      <c r="D254" s="485" t="s">
        <v>194</v>
      </c>
      <c r="E254" s="477"/>
      <c r="F254" s="477"/>
      <c r="G254" s="477"/>
      <c r="H254" s="477"/>
      <c r="I254" s="477"/>
      <c r="J254" s="477"/>
      <c r="K254" s="213"/>
      <c r="L254" s="478"/>
      <c r="M254" s="478"/>
      <c r="N254" s="478"/>
      <c r="O254" s="478"/>
      <c r="P254" s="478"/>
      <c r="Q254" s="478"/>
      <c r="R254" s="478"/>
      <c r="S254" s="478"/>
      <c r="T254" s="478"/>
      <c r="U254" s="478"/>
      <c r="V254" s="479"/>
      <c r="W254" s="478"/>
      <c r="X254" s="478"/>
      <c r="Y254" s="478"/>
      <c r="Z254" s="478"/>
      <c r="AA254" s="478"/>
      <c r="AB254" s="478"/>
      <c r="AC254" s="478"/>
      <c r="AD254" s="478"/>
      <c r="AE254" s="478"/>
      <c r="AF254" s="213"/>
      <c r="AG254" s="480"/>
      <c r="AH254" s="480"/>
      <c r="AI254" s="480"/>
      <c r="AJ254" s="480"/>
      <c r="AK254" s="480"/>
      <c r="AL254" s="480"/>
      <c r="AM254" s="480"/>
      <c r="AN254" s="480"/>
      <c r="AO254" s="480"/>
      <c r="AP254" s="480"/>
      <c r="AQ254" s="480"/>
      <c r="AR254" s="480"/>
      <c r="AS254" s="480"/>
      <c r="AT254" s="480"/>
      <c r="AU254" s="480"/>
      <c r="AV254" s="480"/>
      <c r="AW254" s="480"/>
      <c r="AX254" s="480"/>
      <c r="AY254" s="480"/>
      <c r="AZ254" s="480"/>
      <c r="BA254" s="480"/>
      <c r="BB254" s="480"/>
      <c r="BC254" s="480"/>
      <c r="BD254" s="480"/>
      <c r="BE254" s="213"/>
      <c r="BF254" s="479"/>
      <c r="BG254" s="479"/>
      <c r="BH254" s="372"/>
      <c r="BI254" s="472"/>
      <c r="BJ254" s="481"/>
      <c r="BK254" s="310"/>
      <c r="BL254" s="310">
        <f t="shared" si="0"/>
        <v>0</v>
      </c>
      <c r="BM254" s="7"/>
    </row>
    <row r="255" spans="1:65" ht="20.25" customHeight="1">
      <c r="A255" s="503" t="s">
        <v>1028</v>
      </c>
      <c r="B255" s="483" t="s">
        <v>580</v>
      </c>
      <c r="C255" s="484" t="s">
        <v>543</v>
      </c>
      <c r="D255" s="504" t="s">
        <v>132</v>
      </c>
      <c r="E255" s="477"/>
      <c r="F255" s="477"/>
      <c r="G255" s="477"/>
      <c r="H255" s="477"/>
      <c r="I255" s="477"/>
      <c r="J255" s="477"/>
      <c r="K255" s="213"/>
      <c r="L255" s="478"/>
      <c r="M255" s="478"/>
      <c r="N255" s="478"/>
      <c r="O255" s="478"/>
      <c r="P255" s="478"/>
      <c r="Q255" s="478"/>
      <c r="R255" s="478"/>
      <c r="S255" s="478"/>
      <c r="T255" s="478"/>
      <c r="U255" s="478"/>
      <c r="V255" s="479"/>
      <c r="W255" s="478"/>
      <c r="X255" s="478"/>
      <c r="Y255" s="478"/>
      <c r="Z255" s="478"/>
      <c r="AA255" s="478"/>
      <c r="AB255" s="478"/>
      <c r="AC255" s="478"/>
      <c r="AD255" s="478"/>
      <c r="AE255" s="478"/>
      <c r="AF255" s="213"/>
      <c r="AG255" s="480"/>
      <c r="AH255" s="480"/>
      <c r="AI255" s="480"/>
      <c r="AJ255" s="480"/>
      <c r="AK255" s="480"/>
      <c r="AL255" s="480"/>
      <c r="AM255" s="480"/>
      <c r="AN255" s="480"/>
      <c r="AO255" s="480"/>
      <c r="AP255" s="480"/>
      <c r="AQ255" s="480"/>
      <c r="AR255" s="480"/>
      <c r="AS255" s="480"/>
      <c r="AT255" s="480"/>
      <c r="AU255" s="480"/>
      <c r="AV255" s="480"/>
      <c r="AW255" s="480"/>
      <c r="AX255" s="480"/>
      <c r="AY255" s="480"/>
      <c r="AZ255" s="480"/>
      <c r="BA255" s="480"/>
      <c r="BB255" s="480"/>
      <c r="BC255" s="480"/>
      <c r="BD255" s="480"/>
      <c r="BE255" s="213"/>
      <c r="BF255" s="479"/>
      <c r="BG255" s="479"/>
      <c r="BH255" s="372"/>
      <c r="BI255" s="472"/>
      <c r="BJ255" s="481"/>
      <c r="BK255" s="310"/>
      <c r="BL255" s="310">
        <f t="shared" si="0"/>
        <v>0</v>
      </c>
      <c r="BM255" s="7"/>
    </row>
    <row r="256" spans="1:65" ht="20.25" customHeight="1">
      <c r="A256" s="486">
        <v>9.4</v>
      </c>
      <c r="B256" s="487" t="s">
        <v>581</v>
      </c>
      <c r="C256" s="488" t="s">
        <v>582</v>
      </c>
      <c r="D256" s="512"/>
      <c r="E256" s="477"/>
      <c r="F256" s="477"/>
      <c r="G256" s="477"/>
      <c r="H256" s="477"/>
      <c r="I256" s="477"/>
      <c r="J256" s="477"/>
      <c r="K256" s="213"/>
      <c r="L256" s="478"/>
      <c r="M256" s="478"/>
      <c r="N256" s="478"/>
      <c r="O256" s="478"/>
      <c r="P256" s="478"/>
      <c r="Q256" s="478"/>
      <c r="R256" s="478"/>
      <c r="S256" s="478"/>
      <c r="T256" s="478"/>
      <c r="U256" s="478"/>
      <c r="V256" s="479"/>
      <c r="W256" s="478"/>
      <c r="X256" s="478"/>
      <c r="Y256" s="478"/>
      <c r="Z256" s="478"/>
      <c r="AA256" s="478"/>
      <c r="AB256" s="478"/>
      <c r="AC256" s="478"/>
      <c r="AD256" s="478"/>
      <c r="AE256" s="478"/>
      <c r="AF256" s="213"/>
      <c r="AG256" s="480"/>
      <c r="AH256" s="480"/>
      <c r="AI256" s="480"/>
      <c r="AJ256" s="480"/>
      <c r="AK256" s="480"/>
      <c r="AL256" s="480"/>
      <c r="AM256" s="480"/>
      <c r="AN256" s="480"/>
      <c r="AO256" s="480"/>
      <c r="AP256" s="480"/>
      <c r="AQ256" s="480"/>
      <c r="AR256" s="480"/>
      <c r="AS256" s="480"/>
      <c r="AT256" s="480"/>
      <c r="AU256" s="480"/>
      <c r="AV256" s="480"/>
      <c r="AW256" s="480"/>
      <c r="AX256" s="480"/>
      <c r="AY256" s="480"/>
      <c r="AZ256" s="480"/>
      <c r="BA256" s="480"/>
      <c r="BB256" s="480"/>
      <c r="BC256" s="480"/>
      <c r="BD256" s="480"/>
      <c r="BE256" s="213"/>
      <c r="BF256" s="479"/>
      <c r="BG256" s="479"/>
      <c r="BH256" s="372"/>
      <c r="BI256" s="472"/>
      <c r="BJ256" s="481"/>
      <c r="BK256" s="310"/>
      <c r="BL256" s="310">
        <f t="shared" si="0"/>
        <v>0</v>
      </c>
      <c r="BM256" s="7"/>
    </row>
    <row r="257" spans="1:65" ht="20.25" customHeight="1">
      <c r="A257" s="503" t="s">
        <v>1029</v>
      </c>
      <c r="B257" s="483" t="s">
        <v>584</v>
      </c>
      <c r="C257" s="484" t="s">
        <v>585</v>
      </c>
      <c r="D257" s="504" t="s">
        <v>132</v>
      </c>
      <c r="E257" s="477"/>
      <c r="F257" s="477"/>
      <c r="G257" s="477"/>
      <c r="H257" s="477"/>
      <c r="I257" s="477"/>
      <c r="J257" s="477"/>
      <c r="K257" s="213"/>
      <c r="L257" s="478"/>
      <c r="M257" s="478"/>
      <c r="N257" s="478"/>
      <c r="O257" s="478"/>
      <c r="P257" s="478"/>
      <c r="Q257" s="478"/>
      <c r="R257" s="478"/>
      <c r="S257" s="478"/>
      <c r="T257" s="478"/>
      <c r="U257" s="478"/>
      <c r="V257" s="479"/>
      <c r="W257" s="478"/>
      <c r="X257" s="478"/>
      <c r="Y257" s="478"/>
      <c r="Z257" s="478"/>
      <c r="AA257" s="478"/>
      <c r="AB257" s="478"/>
      <c r="AC257" s="478"/>
      <c r="AD257" s="478"/>
      <c r="AE257" s="478"/>
      <c r="AF257" s="213"/>
      <c r="AG257" s="480"/>
      <c r="AH257" s="480"/>
      <c r="AI257" s="480"/>
      <c r="AJ257" s="480"/>
      <c r="AK257" s="480"/>
      <c r="AL257" s="480"/>
      <c r="AM257" s="480"/>
      <c r="AN257" s="480"/>
      <c r="AO257" s="480"/>
      <c r="AP257" s="480"/>
      <c r="AQ257" s="480"/>
      <c r="AR257" s="480"/>
      <c r="AS257" s="480"/>
      <c r="AT257" s="480"/>
      <c r="AU257" s="480"/>
      <c r="AV257" s="480"/>
      <c r="AW257" s="480"/>
      <c r="AX257" s="480"/>
      <c r="AY257" s="480"/>
      <c r="AZ257" s="480"/>
      <c r="BA257" s="480"/>
      <c r="BB257" s="480"/>
      <c r="BC257" s="480"/>
      <c r="BD257" s="480"/>
      <c r="BE257" s="213"/>
      <c r="BF257" s="479"/>
      <c r="BG257" s="479"/>
      <c r="BH257" s="372"/>
      <c r="BI257" s="472"/>
      <c r="BJ257" s="481"/>
      <c r="BK257" s="310"/>
      <c r="BL257" s="310">
        <f t="shared" si="0"/>
        <v>0</v>
      </c>
      <c r="BM257" s="7"/>
    </row>
    <row r="258" spans="1:65" ht="27" customHeight="1">
      <c r="A258" s="503" t="s">
        <v>1030</v>
      </c>
      <c r="B258" s="483" t="s">
        <v>586</v>
      </c>
      <c r="C258" s="484" t="s">
        <v>587</v>
      </c>
      <c r="D258" s="504" t="s">
        <v>132</v>
      </c>
      <c r="E258" s="477"/>
      <c r="F258" s="477"/>
      <c r="G258" s="477"/>
      <c r="H258" s="477"/>
      <c r="I258" s="477"/>
      <c r="J258" s="477"/>
      <c r="K258" s="213"/>
      <c r="L258" s="478"/>
      <c r="M258" s="478"/>
      <c r="N258" s="478"/>
      <c r="O258" s="478"/>
      <c r="P258" s="478"/>
      <c r="Q258" s="478"/>
      <c r="R258" s="478"/>
      <c r="S258" s="478"/>
      <c r="T258" s="478"/>
      <c r="U258" s="478"/>
      <c r="V258" s="479"/>
      <c r="W258" s="478"/>
      <c r="X258" s="478"/>
      <c r="Y258" s="478"/>
      <c r="Z258" s="478"/>
      <c r="AA258" s="478"/>
      <c r="AB258" s="478"/>
      <c r="AC258" s="478"/>
      <c r="AD258" s="478"/>
      <c r="AE258" s="478"/>
      <c r="AF258" s="213"/>
      <c r="AG258" s="480"/>
      <c r="AH258" s="480"/>
      <c r="AI258" s="480"/>
      <c r="AJ258" s="480"/>
      <c r="AK258" s="480"/>
      <c r="AL258" s="480"/>
      <c r="AM258" s="480"/>
      <c r="AN258" s="480"/>
      <c r="AO258" s="480"/>
      <c r="AP258" s="480"/>
      <c r="AQ258" s="480"/>
      <c r="AR258" s="480"/>
      <c r="AS258" s="480"/>
      <c r="AT258" s="480"/>
      <c r="AU258" s="480"/>
      <c r="AV258" s="480"/>
      <c r="AW258" s="480"/>
      <c r="AX258" s="480"/>
      <c r="AY258" s="480"/>
      <c r="AZ258" s="480"/>
      <c r="BA258" s="480"/>
      <c r="BB258" s="480"/>
      <c r="BC258" s="480"/>
      <c r="BD258" s="480"/>
      <c r="BE258" s="213"/>
      <c r="BF258" s="479"/>
      <c r="BG258" s="479"/>
      <c r="BH258" s="372"/>
      <c r="BI258" s="472"/>
      <c r="BJ258" s="481"/>
      <c r="BK258" s="310"/>
      <c r="BL258" s="310">
        <f t="shared" si="0"/>
        <v>0</v>
      </c>
      <c r="BM258" s="7"/>
    </row>
    <row r="259" spans="1:65" ht="20.25" customHeight="1">
      <c r="A259" s="503" t="s">
        <v>1031</v>
      </c>
      <c r="B259" s="483" t="s">
        <v>589</v>
      </c>
      <c r="C259" s="484" t="s">
        <v>540</v>
      </c>
      <c r="D259" s="515" t="s">
        <v>183</v>
      </c>
      <c r="E259" s="477"/>
      <c r="F259" s="477"/>
      <c r="G259" s="477"/>
      <c r="H259" s="477"/>
      <c r="I259" s="477"/>
      <c r="J259" s="477"/>
      <c r="K259" s="213"/>
      <c r="L259" s="478"/>
      <c r="M259" s="478"/>
      <c r="N259" s="478"/>
      <c r="O259" s="478"/>
      <c r="P259" s="478"/>
      <c r="Q259" s="478"/>
      <c r="R259" s="478"/>
      <c r="S259" s="478"/>
      <c r="T259" s="478"/>
      <c r="U259" s="478"/>
      <c r="V259" s="479"/>
      <c r="W259" s="478"/>
      <c r="X259" s="478"/>
      <c r="Y259" s="478"/>
      <c r="Z259" s="478"/>
      <c r="AA259" s="478"/>
      <c r="AB259" s="478"/>
      <c r="AC259" s="478"/>
      <c r="AD259" s="478"/>
      <c r="AE259" s="478"/>
      <c r="AF259" s="213"/>
      <c r="AG259" s="480"/>
      <c r="AH259" s="480"/>
      <c r="AI259" s="480"/>
      <c r="AJ259" s="480"/>
      <c r="AK259" s="480"/>
      <c r="AL259" s="480"/>
      <c r="AM259" s="480"/>
      <c r="AN259" s="480"/>
      <c r="AO259" s="480"/>
      <c r="AP259" s="480"/>
      <c r="AQ259" s="480"/>
      <c r="AR259" s="480"/>
      <c r="AS259" s="480"/>
      <c r="AT259" s="480"/>
      <c r="AU259" s="480"/>
      <c r="AV259" s="480"/>
      <c r="AW259" s="480"/>
      <c r="AX259" s="480"/>
      <c r="AY259" s="480"/>
      <c r="AZ259" s="480"/>
      <c r="BA259" s="480"/>
      <c r="BB259" s="480"/>
      <c r="BC259" s="480"/>
      <c r="BD259" s="480"/>
      <c r="BE259" s="213"/>
      <c r="BF259" s="479"/>
      <c r="BG259" s="479"/>
      <c r="BH259" s="372"/>
      <c r="BI259" s="472"/>
      <c r="BJ259" s="481"/>
      <c r="BK259" s="310"/>
      <c r="BL259" s="310">
        <f t="shared" si="0"/>
        <v>0</v>
      </c>
      <c r="BM259" s="7"/>
    </row>
    <row r="260" spans="1:65" ht="20.25" customHeight="1">
      <c r="A260" s="503" t="s">
        <v>1032</v>
      </c>
      <c r="B260" s="483" t="s">
        <v>590</v>
      </c>
      <c r="C260" s="484" t="s">
        <v>591</v>
      </c>
      <c r="D260" s="504" t="s">
        <v>132</v>
      </c>
      <c r="E260" s="477"/>
      <c r="F260" s="477"/>
      <c r="G260" s="477"/>
      <c r="H260" s="477"/>
      <c r="I260" s="477"/>
      <c r="J260" s="477"/>
      <c r="K260" s="213"/>
      <c r="L260" s="478"/>
      <c r="M260" s="478"/>
      <c r="N260" s="478"/>
      <c r="O260" s="478"/>
      <c r="P260" s="478"/>
      <c r="Q260" s="478"/>
      <c r="R260" s="478"/>
      <c r="S260" s="478"/>
      <c r="T260" s="478"/>
      <c r="U260" s="478"/>
      <c r="V260" s="479"/>
      <c r="W260" s="478"/>
      <c r="X260" s="478"/>
      <c r="Y260" s="478"/>
      <c r="Z260" s="478"/>
      <c r="AA260" s="478"/>
      <c r="AB260" s="478"/>
      <c r="AC260" s="478"/>
      <c r="AD260" s="478"/>
      <c r="AE260" s="478"/>
      <c r="AF260" s="213"/>
      <c r="AG260" s="480"/>
      <c r="AH260" s="480"/>
      <c r="AI260" s="480"/>
      <c r="AJ260" s="480"/>
      <c r="AK260" s="480"/>
      <c r="AL260" s="480"/>
      <c r="AM260" s="480"/>
      <c r="AN260" s="480"/>
      <c r="AO260" s="480"/>
      <c r="AP260" s="480"/>
      <c r="AQ260" s="480"/>
      <c r="AR260" s="480"/>
      <c r="AS260" s="480"/>
      <c r="AT260" s="480"/>
      <c r="AU260" s="480"/>
      <c r="AV260" s="480"/>
      <c r="AW260" s="480"/>
      <c r="AX260" s="480"/>
      <c r="AY260" s="480"/>
      <c r="AZ260" s="480"/>
      <c r="BA260" s="480"/>
      <c r="BB260" s="480"/>
      <c r="BC260" s="480"/>
      <c r="BD260" s="480"/>
      <c r="BE260" s="213"/>
      <c r="BF260" s="479"/>
      <c r="BG260" s="479"/>
      <c r="BH260" s="372"/>
      <c r="BI260" s="472"/>
      <c r="BJ260" s="481"/>
      <c r="BK260" s="310"/>
      <c r="BL260" s="310">
        <f t="shared" si="0"/>
        <v>0</v>
      </c>
      <c r="BM260" s="7"/>
    </row>
    <row r="261" spans="1:65" ht="20.25" customHeight="1">
      <c r="A261" s="503" t="s">
        <v>1033</v>
      </c>
      <c r="B261" s="483" t="s">
        <v>592</v>
      </c>
      <c r="C261" s="484" t="s">
        <v>593</v>
      </c>
      <c r="D261" s="504" t="s">
        <v>594</v>
      </c>
      <c r="E261" s="477"/>
      <c r="F261" s="477"/>
      <c r="G261" s="477"/>
      <c r="H261" s="477"/>
      <c r="I261" s="477"/>
      <c r="J261" s="477"/>
      <c r="K261" s="213"/>
      <c r="L261" s="478"/>
      <c r="M261" s="478"/>
      <c r="N261" s="478"/>
      <c r="O261" s="478"/>
      <c r="P261" s="478"/>
      <c r="Q261" s="478"/>
      <c r="R261" s="478"/>
      <c r="S261" s="478"/>
      <c r="T261" s="478"/>
      <c r="U261" s="478"/>
      <c r="V261" s="479"/>
      <c r="W261" s="478"/>
      <c r="X261" s="478"/>
      <c r="Y261" s="478"/>
      <c r="Z261" s="478"/>
      <c r="AA261" s="478"/>
      <c r="AB261" s="478"/>
      <c r="AC261" s="478"/>
      <c r="AD261" s="478"/>
      <c r="AE261" s="478"/>
      <c r="AF261" s="213"/>
      <c r="AG261" s="480"/>
      <c r="AH261" s="480"/>
      <c r="AI261" s="480"/>
      <c r="AJ261" s="480"/>
      <c r="AK261" s="480"/>
      <c r="AL261" s="480"/>
      <c r="AM261" s="480"/>
      <c r="AN261" s="480"/>
      <c r="AO261" s="480"/>
      <c r="AP261" s="480"/>
      <c r="AQ261" s="480"/>
      <c r="AR261" s="480"/>
      <c r="AS261" s="480"/>
      <c r="AT261" s="480"/>
      <c r="AU261" s="480"/>
      <c r="AV261" s="480"/>
      <c r="AW261" s="480"/>
      <c r="AX261" s="480"/>
      <c r="AY261" s="480"/>
      <c r="AZ261" s="480"/>
      <c r="BA261" s="480"/>
      <c r="BB261" s="480"/>
      <c r="BC261" s="480"/>
      <c r="BD261" s="480"/>
      <c r="BE261" s="213"/>
      <c r="BF261" s="479"/>
      <c r="BG261" s="479"/>
      <c r="BH261" s="372"/>
      <c r="BI261" s="472"/>
      <c r="BJ261" s="481"/>
      <c r="BK261" s="310"/>
      <c r="BL261" s="310">
        <f t="shared" si="0"/>
        <v>0</v>
      </c>
      <c r="BM261" s="7"/>
    </row>
    <row r="262" spans="1:65" ht="20.25" customHeight="1">
      <c r="A262" s="503" t="s">
        <v>1034</v>
      </c>
      <c r="B262" s="483" t="s">
        <v>595</v>
      </c>
      <c r="C262" s="484" t="s">
        <v>543</v>
      </c>
      <c r="D262" s="504" t="s">
        <v>132</v>
      </c>
      <c r="E262" s="477"/>
      <c r="F262" s="477"/>
      <c r="G262" s="477"/>
      <c r="H262" s="477"/>
      <c r="I262" s="477"/>
      <c r="J262" s="477"/>
      <c r="K262" s="213"/>
      <c r="L262" s="478"/>
      <c r="M262" s="478"/>
      <c r="N262" s="478"/>
      <c r="O262" s="478"/>
      <c r="P262" s="478"/>
      <c r="Q262" s="478"/>
      <c r="R262" s="478"/>
      <c r="S262" s="478"/>
      <c r="T262" s="478"/>
      <c r="U262" s="478"/>
      <c r="V262" s="479"/>
      <c r="W262" s="478"/>
      <c r="X262" s="478"/>
      <c r="Y262" s="478"/>
      <c r="Z262" s="478"/>
      <c r="AA262" s="478"/>
      <c r="AB262" s="478"/>
      <c r="AC262" s="478"/>
      <c r="AD262" s="478"/>
      <c r="AE262" s="478"/>
      <c r="AF262" s="213"/>
      <c r="AG262" s="480"/>
      <c r="AH262" s="480"/>
      <c r="AI262" s="480"/>
      <c r="AJ262" s="480"/>
      <c r="AK262" s="480"/>
      <c r="AL262" s="480"/>
      <c r="AM262" s="480"/>
      <c r="AN262" s="480"/>
      <c r="AO262" s="480"/>
      <c r="AP262" s="480"/>
      <c r="AQ262" s="480"/>
      <c r="AR262" s="480"/>
      <c r="AS262" s="480"/>
      <c r="AT262" s="480"/>
      <c r="AU262" s="480"/>
      <c r="AV262" s="480"/>
      <c r="AW262" s="480"/>
      <c r="AX262" s="480"/>
      <c r="AY262" s="480"/>
      <c r="AZ262" s="480"/>
      <c r="BA262" s="480"/>
      <c r="BB262" s="480"/>
      <c r="BC262" s="480"/>
      <c r="BD262" s="480"/>
      <c r="BE262" s="213"/>
      <c r="BF262" s="479"/>
      <c r="BG262" s="479"/>
      <c r="BH262" s="372"/>
      <c r="BI262" s="472"/>
      <c r="BJ262" s="481"/>
      <c r="BK262" s="310"/>
      <c r="BL262" s="310">
        <f t="shared" si="0"/>
        <v>0</v>
      </c>
      <c r="BM262" s="7"/>
    </row>
    <row r="263" spans="1:65" ht="20.25" customHeight="1">
      <c r="A263" s="486">
        <v>9.5</v>
      </c>
      <c r="B263" s="487" t="s">
        <v>596</v>
      </c>
      <c r="C263" s="488" t="s">
        <v>597</v>
      </c>
      <c r="D263" s="504"/>
      <c r="E263" s="477"/>
      <c r="F263" s="477"/>
      <c r="G263" s="477"/>
      <c r="H263" s="477"/>
      <c r="I263" s="477"/>
      <c r="J263" s="477"/>
      <c r="K263" s="213"/>
      <c r="L263" s="478"/>
      <c r="M263" s="478"/>
      <c r="N263" s="478"/>
      <c r="O263" s="478"/>
      <c r="P263" s="478"/>
      <c r="Q263" s="478"/>
      <c r="R263" s="478"/>
      <c r="S263" s="478"/>
      <c r="T263" s="478"/>
      <c r="U263" s="478"/>
      <c r="V263" s="479"/>
      <c r="W263" s="478"/>
      <c r="X263" s="478"/>
      <c r="Y263" s="478"/>
      <c r="Z263" s="478"/>
      <c r="AA263" s="478"/>
      <c r="AB263" s="478"/>
      <c r="AC263" s="478"/>
      <c r="AD263" s="478"/>
      <c r="AE263" s="478"/>
      <c r="AF263" s="213"/>
      <c r="AG263" s="480"/>
      <c r="AH263" s="480"/>
      <c r="AI263" s="480"/>
      <c r="AJ263" s="480"/>
      <c r="AK263" s="480"/>
      <c r="AL263" s="480"/>
      <c r="AM263" s="480"/>
      <c r="AN263" s="480"/>
      <c r="AO263" s="480"/>
      <c r="AP263" s="480"/>
      <c r="AQ263" s="480"/>
      <c r="AR263" s="480"/>
      <c r="AS263" s="480"/>
      <c r="AT263" s="480"/>
      <c r="AU263" s="480"/>
      <c r="AV263" s="480"/>
      <c r="AW263" s="480"/>
      <c r="AX263" s="480"/>
      <c r="AY263" s="480"/>
      <c r="AZ263" s="480"/>
      <c r="BA263" s="480"/>
      <c r="BB263" s="480"/>
      <c r="BC263" s="480"/>
      <c r="BD263" s="480"/>
      <c r="BE263" s="213"/>
      <c r="BF263" s="479"/>
      <c r="BG263" s="479"/>
      <c r="BH263" s="372"/>
      <c r="BI263" s="472"/>
      <c r="BJ263" s="481"/>
      <c r="BK263" s="310"/>
      <c r="BL263" s="310">
        <f t="shared" si="0"/>
        <v>0</v>
      </c>
      <c r="BM263" s="7"/>
    </row>
    <row r="264" spans="1:65" ht="20.25" customHeight="1">
      <c r="A264" s="503" t="s">
        <v>1035</v>
      </c>
      <c r="B264" s="483" t="s">
        <v>599</v>
      </c>
      <c r="C264" s="484" t="s">
        <v>585</v>
      </c>
      <c r="D264" s="504" t="s">
        <v>132</v>
      </c>
      <c r="E264" s="477"/>
      <c r="F264" s="477"/>
      <c r="G264" s="477"/>
      <c r="H264" s="477"/>
      <c r="I264" s="477"/>
      <c r="J264" s="477"/>
      <c r="K264" s="213"/>
      <c r="L264" s="478"/>
      <c r="M264" s="478"/>
      <c r="N264" s="478"/>
      <c r="O264" s="478"/>
      <c r="P264" s="478"/>
      <c r="Q264" s="478"/>
      <c r="R264" s="478"/>
      <c r="S264" s="478"/>
      <c r="T264" s="478"/>
      <c r="U264" s="478"/>
      <c r="V264" s="479"/>
      <c r="W264" s="478"/>
      <c r="X264" s="478"/>
      <c r="Y264" s="478"/>
      <c r="Z264" s="478"/>
      <c r="AA264" s="478"/>
      <c r="AB264" s="478"/>
      <c r="AC264" s="478"/>
      <c r="AD264" s="478"/>
      <c r="AE264" s="478"/>
      <c r="AF264" s="213"/>
      <c r="AG264" s="480"/>
      <c r="AH264" s="480"/>
      <c r="AI264" s="480"/>
      <c r="AJ264" s="480"/>
      <c r="AK264" s="480"/>
      <c r="AL264" s="480"/>
      <c r="AM264" s="480"/>
      <c r="AN264" s="480"/>
      <c r="AO264" s="480"/>
      <c r="AP264" s="480"/>
      <c r="AQ264" s="480"/>
      <c r="AR264" s="480"/>
      <c r="AS264" s="480"/>
      <c r="AT264" s="480"/>
      <c r="AU264" s="480"/>
      <c r="AV264" s="480"/>
      <c r="AW264" s="480"/>
      <c r="AX264" s="480"/>
      <c r="AY264" s="480"/>
      <c r="AZ264" s="480"/>
      <c r="BA264" s="480"/>
      <c r="BB264" s="480"/>
      <c r="BC264" s="480"/>
      <c r="BD264" s="480"/>
      <c r="BE264" s="213"/>
      <c r="BF264" s="479"/>
      <c r="BG264" s="479"/>
      <c r="BH264" s="372"/>
      <c r="BI264" s="472"/>
      <c r="BJ264" s="481"/>
      <c r="BK264" s="310"/>
      <c r="BL264" s="310">
        <f t="shared" si="0"/>
        <v>0</v>
      </c>
      <c r="BM264" s="7"/>
    </row>
    <row r="265" spans="1:65" ht="20.25" customHeight="1">
      <c r="A265" s="503" t="s">
        <v>601</v>
      </c>
      <c r="B265" s="483" t="s">
        <v>602</v>
      </c>
      <c r="C265" s="484" t="s">
        <v>540</v>
      </c>
      <c r="D265" s="515" t="s">
        <v>183</v>
      </c>
      <c r="E265" s="477"/>
      <c r="F265" s="477"/>
      <c r="G265" s="477"/>
      <c r="H265" s="477"/>
      <c r="I265" s="477"/>
      <c r="J265" s="477"/>
      <c r="K265" s="213"/>
      <c r="L265" s="478"/>
      <c r="M265" s="478"/>
      <c r="N265" s="478"/>
      <c r="O265" s="478"/>
      <c r="P265" s="478"/>
      <c r="Q265" s="478"/>
      <c r="R265" s="478"/>
      <c r="S265" s="478"/>
      <c r="T265" s="478"/>
      <c r="U265" s="478"/>
      <c r="V265" s="479"/>
      <c r="W265" s="478"/>
      <c r="X265" s="478"/>
      <c r="Y265" s="478"/>
      <c r="Z265" s="478"/>
      <c r="AA265" s="478"/>
      <c r="AB265" s="478"/>
      <c r="AC265" s="478"/>
      <c r="AD265" s="478"/>
      <c r="AE265" s="478"/>
      <c r="AF265" s="213"/>
      <c r="AG265" s="480"/>
      <c r="AH265" s="480"/>
      <c r="AI265" s="480"/>
      <c r="AJ265" s="480"/>
      <c r="AK265" s="480"/>
      <c r="AL265" s="480"/>
      <c r="AM265" s="480"/>
      <c r="AN265" s="480"/>
      <c r="AO265" s="480"/>
      <c r="AP265" s="480"/>
      <c r="AQ265" s="480"/>
      <c r="AR265" s="480"/>
      <c r="AS265" s="480"/>
      <c r="AT265" s="480"/>
      <c r="AU265" s="480"/>
      <c r="AV265" s="480"/>
      <c r="AW265" s="480"/>
      <c r="AX265" s="480"/>
      <c r="AY265" s="480"/>
      <c r="AZ265" s="480"/>
      <c r="BA265" s="480"/>
      <c r="BB265" s="480"/>
      <c r="BC265" s="480"/>
      <c r="BD265" s="480"/>
      <c r="BE265" s="213"/>
      <c r="BF265" s="479"/>
      <c r="BG265" s="479"/>
      <c r="BH265" s="372"/>
      <c r="BI265" s="472"/>
      <c r="BJ265" s="481"/>
      <c r="BK265" s="310"/>
      <c r="BL265" s="310">
        <f t="shared" si="0"/>
        <v>0</v>
      </c>
      <c r="BM265" s="7"/>
    </row>
    <row r="266" spans="1:65" ht="20.25" customHeight="1">
      <c r="A266" s="503" t="s">
        <v>603</v>
      </c>
      <c r="B266" s="483" t="s">
        <v>604</v>
      </c>
      <c r="C266" s="484" t="s">
        <v>591</v>
      </c>
      <c r="D266" s="504" t="s">
        <v>132</v>
      </c>
      <c r="E266" s="477"/>
      <c r="F266" s="477"/>
      <c r="G266" s="477"/>
      <c r="H266" s="477"/>
      <c r="I266" s="477"/>
      <c r="J266" s="477"/>
      <c r="K266" s="213"/>
      <c r="L266" s="478"/>
      <c r="M266" s="478"/>
      <c r="N266" s="478"/>
      <c r="O266" s="478"/>
      <c r="P266" s="478"/>
      <c r="Q266" s="478"/>
      <c r="R266" s="478"/>
      <c r="S266" s="478"/>
      <c r="T266" s="478"/>
      <c r="U266" s="478"/>
      <c r="V266" s="479"/>
      <c r="W266" s="478"/>
      <c r="X266" s="478"/>
      <c r="Y266" s="478"/>
      <c r="Z266" s="478"/>
      <c r="AA266" s="478"/>
      <c r="AB266" s="478"/>
      <c r="AC266" s="478"/>
      <c r="AD266" s="478"/>
      <c r="AE266" s="478"/>
      <c r="AF266" s="213"/>
      <c r="AG266" s="480"/>
      <c r="AH266" s="480"/>
      <c r="AI266" s="480"/>
      <c r="AJ266" s="480"/>
      <c r="AK266" s="480"/>
      <c r="AL266" s="480"/>
      <c r="AM266" s="480"/>
      <c r="AN266" s="480"/>
      <c r="AO266" s="480"/>
      <c r="AP266" s="480"/>
      <c r="AQ266" s="480"/>
      <c r="AR266" s="480"/>
      <c r="AS266" s="480"/>
      <c r="AT266" s="480"/>
      <c r="AU266" s="480"/>
      <c r="AV266" s="480"/>
      <c r="AW266" s="480"/>
      <c r="AX266" s="480"/>
      <c r="AY266" s="480"/>
      <c r="AZ266" s="480"/>
      <c r="BA266" s="480"/>
      <c r="BB266" s="480"/>
      <c r="BC266" s="480"/>
      <c r="BD266" s="480"/>
      <c r="BE266" s="213"/>
      <c r="BF266" s="479"/>
      <c r="BG266" s="479"/>
      <c r="BH266" s="372"/>
      <c r="BI266" s="472"/>
      <c r="BJ266" s="481"/>
      <c r="BK266" s="310"/>
      <c r="BL266" s="310">
        <f t="shared" si="0"/>
        <v>0</v>
      </c>
      <c r="BM266" s="7"/>
    </row>
    <row r="267" spans="1:65" ht="20.25" customHeight="1">
      <c r="A267" s="503" t="s">
        <v>605</v>
      </c>
      <c r="B267" s="483" t="s">
        <v>606</v>
      </c>
      <c r="C267" s="484" t="s">
        <v>593</v>
      </c>
      <c r="D267" s="485" t="s">
        <v>1486</v>
      </c>
      <c r="E267" s="477"/>
      <c r="F267" s="477"/>
      <c r="G267" s="477"/>
      <c r="H267" s="477"/>
      <c r="I267" s="477"/>
      <c r="J267" s="477"/>
      <c r="K267" s="213"/>
      <c r="L267" s="478"/>
      <c r="M267" s="478"/>
      <c r="N267" s="478"/>
      <c r="O267" s="478"/>
      <c r="P267" s="478"/>
      <c r="Q267" s="478"/>
      <c r="R267" s="478"/>
      <c r="S267" s="478"/>
      <c r="T267" s="478"/>
      <c r="U267" s="478"/>
      <c r="V267" s="479"/>
      <c r="W267" s="478"/>
      <c r="X267" s="478"/>
      <c r="Y267" s="478"/>
      <c r="Z267" s="478"/>
      <c r="AA267" s="478"/>
      <c r="AB267" s="478"/>
      <c r="AC267" s="478"/>
      <c r="AD267" s="478"/>
      <c r="AE267" s="478"/>
      <c r="AF267" s="213"/>
      <c r="AG267" s="480"/>
      <c r="AH267" s="480"/>
      <c r="AI267" s="480"/>
      <c r="AJ267" s="480"/>
      <c r="AK267" s="480"/>
      <c r="AL267" s="480"/>
      <c r="AM267" s="480"/>
      <c r="AN267" s="480"/>
      <c r="AO267" s="480"/>
      <c r="AP267" s="480"/>
      <c r="AQ267" s="480"/>
      <c r="AR267" s="480"/>
      <c r="AS267" s="480"/>
      <c r="AT267" s="480"/>
      <c r="AU267" s="480"/>
      <c r="AV267" s="480"/>
      <c r="AW267" s="480"/>
      <c r="AX267" s="480"/>
      <c r="AY267" s="480"/>
      <c r="AZ267" s="480"/>
      <c r="BA267" s="480"/>
      <c r="BB267" s="480"/>
      <c r="BC267" s="480"/>
      <c r="BD267" s="480"/>
      <c r="BE267" s="213"/>
      <c r="BF267" s="479"/>
      <c r="BG267" s="479"/>
      <c r="BH267" s="372"/>
      <c r="BI267" s="472"/>
      <c r="BJ267" s="481"/>
      <c r="BK267" s="310"/>
      <c r="BL267" s="310">
        <f t="shared" si="0"/>
        <v>0</v>
      </c>
      <c r="BM267" s="7"/>
    </row>
    <row r="268" spans="1:65" ht="20.25" customHeight="1">
      <c r="A268" s="503" t="s">
        <v>608</v>
      </c>
      <c r="B268" s="483" t="s">
        <v>609</v>
      </c>
      <c r="C268" s="484" t="s">
        <v>543</v>
      </c>
      <c r="D268" s="504" t="s">
        <v>132</v>
      </c>
      <c r="E268" s="477"/>
      <c r="F268" s="477"/>
      <c r="G268" s="477"/>
      <c r="H268" s="477"/>
      <c r="I268" s="477"/>
      <c r="J268" s="477"/>
      <c r="K268" s="213"/>
      <c r="L268" s="478"/>
      <c r="M268" s="478"/>
      <c r="N268" s="478"/>
      <c r="O268" s="478"/>
      <c r="P268" s="478"/>
      <c r="Q268" s="478"/>
      <c r="R268" s="478"/>
      <c r="S268" s="478"/>
      <c r="T268" s="478"/>
      <c r="U268" s="478"/>
      <c r="V268" s="479"/>
      <c r="W268" s="478"/>
      <c r="X268" s="478"/>
      <c r="Y268" s="478"/>
      <c r="Z268" s="478"/>
      <c r="AA268" s="478"/>
      <c r="AB268" s="478"/>
      <c r="AC268" s="478"/>
      <c r="AD268" s="478"/>
      <c r="AE268" s="478"/>
      <c r="AF268" s="213"/>
      <c r="AG268" s="480"/>
      <c r="AH268" s="480"/>
      <c r="AI268" s="480"/>
      <c r="AJ268" s="480"/>
      <c r="AK268" s="480"/>
      <c r="AL268" s="480"/>
      <c r="AM268" s="480"/>
      <c r="AN268" s="480"/>
      <c r="AO268" s="480"/>
      <c r="AP268" s="480"/>
      <c r="AQ268" s="480"/>
      <c r="AR268" s="480"/>
      <c r="AS268" s="480"/>
      <c r="AT268" s="480"/>
      <c r="AU268" s="480"/>
      <c r="AV268" s="480"/>
      <c r="AW268" s="480"/>
      <c r="AX268" s="480"/>
      <c r="AY268" s="480"/>
      <c r="AZ268" s="480"/>
      <c r="BA268" s="480"/>
      <c r="BB268" s="480"/>
      <c r="BC268" s="480"/>
      <c r="BD268" s="480"/>
      <c r="BE268" s="213"/>
      <c r="BF268" s="479"/>
      <c r="BG268" s="479"/>
      <c r="BH268" s="372"/>
      <c r="BI268" s="472"/>
      <c r="BJ268" s="481"/>
      <c r="BK268" s="310"/>
      <c r="BL268" s="310">
        <f t="shared" si="0"/>
        <v>0</v>
      </c>
      <c r="BM268" s="7"/>
    </row>
    <row r="269" spans="1:65" ht="20.25" customHeight="1">
      <c r="A269" s="486">
        <v>9.6</v>
      </c>
      <c r="B269" s="487" t="s">
        <v>610</v>
      </c>
      <c r="C269" s="488" t="s">
        <v>611</v>
      </c>
      <c r="D269" s="504"/>
      <c r="E269" s="477"/>
      <c r="F269" s="477"/>
      <c r="G269" s="477"/>
      <c r="H269" s="477"/>
      <c r="I269" s="477"/>
      <c r="J269" s="477"/>
      <c r="K269" s="213"/>
      <c r="L269" s="478"/>
      <c r="M269" s="478"/>
      <c r="N269" s="478"/>
      <c r="O269" s="478"/>
      <c r="P269" s="478"/>
      <c r="Q269" s="478"/>
      <c r="R269" s="478"/>
      <c r="S269" s="478"/>
      <c r="T269" s="478"/>
      <c r="U269" s="478"/>
      <c r="V269" s="479"/>
      <c r="W269" s="478"/>
      <c r="X269" s="478"/>
      <c r="Y269" s="478"/>
      <c r="Z269" s="478"/>
      <c r="AA269" s="478"/>
      <c r="AB269" s="478"/>
      <c r="AC269" s="478"/>
      <c r="AD269" s="478"/>
      <c r="AE269" s="478"/>
      <c r="AF269" s="213"/>
      <c r="AG269" s="480"/>
      <c r="AH269" s="480"/>
      <c r="AI269" s="480"/>
      <c r="AJ269" s="480"/>
      <c r="AK269" s="480"/>
      <c r="AL269" s="480"/>
      <c r="AM269" s="480"/>
      <c r="AN269" s="480"/>
      <c r="AO269" s="480"/>
      <c r="AP269" s="480"/>
      <c r="AQ269" s="480"/>
      <c r="AR269" s="480"/>
      <c r="AS269" s="480"/>
      <c r="AT269" s="480"/>
      <c r="AU269" s="480"/>
      <c r="AV269" s="480"/>
      <c r="AW269" s="480"/>
      <c r="AX269" s="480"/>
      <c r="AY269" s="480"/>
      <c r="AZ269" s="480"/>
      <c r="BA269" s="480"/>
      <c r="BB269" s="480"/>
      <c r="BC269" s="480"/>
      <c r="BD269" s="480"/>
      <c r="BE269" s="213"/>
      <c r="BF269" s="479"/>
      <c r="BG269" s="479"/>
      <c r="BH269" s="372"/>
      <c r="BI269" s="472"/>
      <c r="BJ269" s="481"/>
      <c r="BK269" s="310"/>
      <c r="BL269" s="310">
        <f t="shared" si="0"/>
        <v>0</v>
      </c>
      <c r="BM269" s="7"/>
    </row>
    <row r="270" spans="1:65" ht="20.25" customHeight="1">
      <c r="A270" s="503" t="s">
        <v>612</v>
      </c>
      <c r="B270" s="483" t="s">
        <v>613</v>
      </c>
      <c r="C270" s="484" t="s">
        <v>614</v>
      </c>
      <c r="D270" s="504" t="s">
        <v>132</v>
      </c>
      <c r="E270" s="477"/>
      <c r="F270" s="477"/>
      <c r="G270" s="477"/>
      <c r="H270" s="477"/>
      <c r="I270" s="477"/>
      <c r="J270" s="477"/>
      <c r="K270" s="213"/>
      <c r="L270" s="478"/>
      <c r="M270" s="478"/>
      <c r="N270" s="478"/>
      <c r="O270" s="478"/>
      <c r="P270" s="478"/>
      <c r="Q270" s="478"/>
      <c r="R270" s="478"/>
      <c r="S270" s="478"/>
      <c r="T270" s="478"/>
      <c r="U270" s="478"/>
      <c r="V270" s="479"/>
      <c r="W270" s="478"/>
      <c r="X270" s="478"/>
      <c r="Y270" s="478"/>
      <c r="Z270" s="478"/>
      <c r="AA270" s="478"/>
      <c r="AB270" s="478"/>
      <c r="AC270" s="478"/>
      <c r="AD270" s="478"/>
      <c r="AE270" s="478"/>
      <c r="AF270" s="213"/>
      <c r="AG270" s="480"/>
      <c r="AH270" s="480"/>
      <c r="AI270" s="480"/>
      <c r="AJ270" s="480"/>
      <c r="AK270" s="480"/>
      <c r="AL270" s="480"/>
      <c r="AM270" s="480"/>
      <c r="AN270" s="480"/>
      <c r="AO270" s="480"/>
      <c r="AP270" s="480"/>
      <c r="AQ270" s="480"/>
      <c r="AR270" s="480"/>
      <c r="AS270" s="480"/>
      <c r="AT270" s="480"/>
      <c r="AU270" s="480"/>
      <c r="AV270" s="480"/>
      <c r="AW270" s="480"/>
      <c r="AX270" s="480"/>
      <c r="AY270" s="480"/>
      <c r="AZ270" s="480"/>
      <c r="BA270" s="480"/>
      <c r="BB270" s="480"/>
      <c r="BC270" s="480"/>
      <c r="BD270" s="480"/>
      <c r="BE270" s="213"/>
      <c r="BF270" s="479"/>
      <c r="BG270" s="479"/>
      <c r="BH270" s="372"/>
      <c r="BI270" s="472"/>
      <c r="BJ270" s="481"/>
      <c r="BK270" s="310"/>
      <c r="BL270" s="310">
        <f t="shared" si="0"/>
        <v>0</v>
      </c>
      <c r="BM270" s="7"/>
    </row>
    <row r="271" spans="1:65" ht="20.25" customHeight="1">
      <c r="A271" s="503" t="s">
        <v>615</v>
      </c>
      <c r="B271" s="483" t="s">
        <v>616</v>
      </c>
      <c r="C271" s="484" t="s">
        <v>591</v>
      </c>
      <c r="D271" s="504" t="s">
        <v>132</v>
      </c>
      <c r="E271" s="477"/>
      <c r="F271" s="477"/>
      <c r="G271" s="477"/>
      <c r="H271" s="477"/>
      <c r="I271" s="477"/>
      <c r="J271" s="477"/>
      <c r="K271" s="213"/>
      <c r="L271" s="478"/>
      <c r="M271" s="478"/>
      <c r="N271" s="478"/>
      <c r="O271" s="478"/>
      <c r="P271" s="478"/>
      <c r="Q271" s="478"/>
      <c r="R271" s="478"/>
      <c r="S271" s="478"/>
      <c r="T271" s="478"/>
      <c r="U271" s="478"/>
      <c r="V271" s="479"/>
      <c r="W271" s="478"/>
      <c r="X271" s="478"/>
      <c r="Y271" s="478"/>
      <c r="Z271" s="478"/>
      <c r="AA271" s="478"/>
      <c r="AB271" s="478"/>
      <c r="AC271" s="478"/>
      <c r="AD271" s="478"/>
      <c r="AE271" s="478"/>
      <c r="AF271" s="213"/>
      <c r="AG271" s="480"/>
      <c r="AH271" s="480"/>
      <c r="AI271" s="480"/>
      <c r="AJ271" s="480"/>
      <c r="AK271" s="480"/>
      <c r="AL271" s="480"/>
      <c r="AM271" s="480"/>
      <c r="AN271" s="480"/>
      <c r="AO271" s="480"/>
      <c r="AP271" s="480"/>
      <c r="AQ271" s="480"/>
      <c r="AR271" s="480"/>
      <c r="AS271" s="480"/>
      <c r="AT271" s="480"/>
      <c r="AU271" s="480"/>
      <c r="AV271" s="480"/>
      <c r="AW271" s="480"/>
      <c r="AX271" s="480"/>
      <c r="AY271" s="480"/>
      <c r="AZ271" s="480"/>
      <c r="BA271" s="480"/>
      <c r="BB271" s="480"/>
      <c r="BC271" s="480"/>
      <c r="BD271" s="480"/>
      <c r="BE271" s="213"/>
      <c r="BF271" s="479"/>
      <c r="BG271" s="479"/>
      <c r="BH271" s="372"/>
      <c r="BI271" s="472"/>
      <c r="BJ271" s="481"/>
      <c r="BK271" s="310"/>
      <c r="BL271" s="310">
        <f t="shared" si="0"/>
        <v>0</v>
      </c>
      <c r="BM271" s="7"/>
    </row>
    <row r="272" spans="1:65" ht="20.25" customHeight="1">
      <c r="A272" s="503" t="s">
        <v>617</v>
      </c>
      <c r="B272" s="483" t="s">
        <v>618</v>
      </c>
      <c r="C272" s="484" t="s">
        <v>619</v>
      </c>
      <c r="D272" s="515" t="s">
        <v>183</v>
      </c>
      <c r="E272" s="477"/>
      <c r="F272" s="477"/>
      <c r="G272" s="477"/>
      <c r="H272" s="477"/>
      <c r="I272" s="477"/>
      <c r="J272" s="477"/>
      <c r="K272" s="213"/>
      <c r="L272" s="478"/>
      <c r="M272" s="478"/>
      <c r="N272" s="478"/>
      <c r="O272" s="478"/>
      <c r="P272" s="478"/>
      <c r="Q272" s="478"/>
      <c r="R272" s="478"/>
      <c r="S272" s="478"/>
      <c r="T272" s="478"/>
      <c r="U272" s="478"/>
      <c r="V272" s="479"/>
      <c r="W272" s="478"/>
      <c r="X272" s="478"/>
      <c r="Y272" s="478"/>
      <c r="Z272" s="478"/>
      <c r="AA272" s="478"/>
      <c r="AB272" s="478"/>
      <c r="AC272" s="478"/>
      <c r="AD272" s="478"/>
      <c r="AE272" s="478"/>
      <c r="AF272" s="213"/>
      <c r="AG272" s="480"/>
      <c r="AH272" s="480"/>
      <c r="AI272" s="480"/>
      <c r="AJ272" s="480"/>
      <c r="AK272" s="480"/>
      <c r="AL272" s="480"/>
      <c r="AM272" s="480"/>
      <c r="AN272" s="480"/>
      <c r="AO272" s="480"/>
      <c r="AP272" s="480"/>
      <c r="AQ272" s="480"/>
      <c r="AR272" s="480"/>
      <c r="AS272" s="480"/>
      <c r="AT272" s="480"/>
      <c r="AU272" s="480"/>
      <c r="AV272" s="480"/>
      <c r="AW272" s="480"/>
      <c r="AX272" s="480"/>
      <c r="AY272" s="480"/>
      <c r="AZ272" s="480"/>
      <c r="BA272" s="480"/>
      <c r="BB272" s="480"/>
      <c r="BC272" s="480"/>
      <c r="BD272" s="480"/>
      <c r="BE272" s="213"/>
      <c r="BF272" s="479"/>
      <c r="BG272" s="479"/>
      <c r="BH272" s="372"/>
      <c r="BI272" s="472"/>
      <c r="BJ272" s="481"/>
      <c r="BK272" s="310"/>
      <c r="BL272" s="310">
        <f t="shared" si="0"/>
        <v>0</v>
      </c>
      <c r="BM272" s="7"/>
    </row>
    <row r="273" spans="1:65" ht="20.25" customHeight="1">
      <c r="A273" s="503" t="s">
        <v>620</v>
      </c>
      <c r="B273" s="483" t="s">
        <v>621</v>
      </c>
      <c r="C273" s="484" t="s">
        <v>622</v>
      </c>
      <c r="D273" s="485" t="s">
        <v>1487</v>
      </c>
      <c r="E273" s="477"/>
      <c r="F273" s="477"/>
      <c r="G273" s="477"/>
      <c r="H273" s="477"/>
      <c r="I273" s="477"/>
      <c r="J273" s="477"/>
      <c r="K273" s="213"/>
      <c r="L273" s="478"/>
      <c r="M273" s="478"/>
      <c r="N273" s="478"/>
      <c r="O273" s="478"/>
      <c r="P273" s="478"/>
      <c r="Q273" s="478"/>
      <c r="R273" s="478"/>
      <c r="S273" s="478"/>
      <c r="T273" s="478"/>
      <c r="U273" s="478"/>
      <c r="V273" s="479"/>
      <c r="W273" s="478"/>
      <c r="X273" s="478"/>
      <c r="Y273" s="478"/>
      <c r="Z273" s="478"/>
      <c r="AA273" s="478"/>
      <c r="AB273" s="478"/>
      <c r="AC273" s="478"/>
      <c r="AD273" s="478"/>
      <c r="AE273" s="478"/>
      <c r="AF273" s="213"/>
      <c r="AG273" s="480"/>
      <c r="AH273" s="480"/>
      <c r="AI273" s="480"/>
      <c r="AJ273" s="480"/>
      <c r="AK273" s="480"/>
      <c r="AL273" s="480"/>
      <c r="AM273" s="480"/>
      <c r="AN273" s="480"/>
      <c r="AO273" s="480"/>
      <c r="AP273" s="480"/>
      <c r="AQ273" s="480"/>
      <c r="AR273" s="480"/>
      <c r="AS273" s="480"/>
      <c r="AT273" s="480"/>
      <c r="AU273" s="480"/>
      <c r="AV273" s="480"/>
      <c r="AW273" s="480"/>
      <c r="AX273" s="480"/>
      <c r="AY273" s="480"/>
      <c r="AZ273" s="480"/>
      <c r="BA273" s="480"/>
      <c r="BB273" s="480"/>
      <c r="BC273" s="480"/>
      <c r="BD273" s="480"/>
      <c r="BE273" s="213"/>
      <c r="BF273" s="479"/>
      <c r="BG273" s="479"/>
      <c r="BH273" s="372"/>
      <c r="BI273" s="472"/>
      <c r="BJ273" s="481"/>
      <c r="BK273" s="310"/>
      <c r="BL273" s="310">
        <f t="shared" si="0"/>
        <v>0</v>
      </c>
      <c r="BM273" s="7"/>
    </row>
    <row r="274" spans="1:65" ht="20.25" customHeight="1">
      <c r="A274" s="503" t="s">
        <v>624</v>
      </c>
      <c r="B274" s="483" t="s">
        <v>625</v>
      </c>
      <c r="C274" s="484" t="s">
        <v>543</v>
      </c>
      <c r="D274" s="504" t="s">
        <v>132</v>
      </c>
      <c r="E274" s="477"/>
      <c r="F274" s="477"/>
      <c r="G274" s="477"/>
      <c r="H274" s="477"/>
      <c r="I274" s="477"/>
      <c r="J274" s="477"/>
      <c r="K274" s="213"/>
      <c r="L274" s="478"/>
      <c r="M274" s="478"/>
      <c r="N274" s="478"/>
      <c r="O274" s="478"/>
      <c r="P274" s="478"/>
      <c r="Q274" s="478"/>
      <c r="R274" s="478"/>
      <c r="S274" s="478"/>
      <c r="T274" s="478"/>
      <c r="U274" s="478"/>
      <c r="V274" s="479"/>
      <c r="W274" s="478"/>
      <c r="X274" s="478"/>
      <c r="Y274" s="478"/>
      <c r="Z274" s="478"/>
      <c r="AA274" s="478"/>
      <c r="AB274" s="478"/>
      <c r="AC274" s="478"/>
      <c r="AD274" s="478"/>
      <c r="AE274" s="478"/>
      <c r="AF274" s="213"/>
      <c r="AG274" s="480"/>
      <c r="AH274" s="480"/>
      <c r="AI274" s="480"/>
      <c r="AJ274" s="480"/>
      <c r="AK274" s="480"/>
      <c r="AL274" s="480"/>
      <c r="AM274" s="480"/>
      <c r="AN274" s="480"/>
      <c r="AO274" s="480"/>
      <c r="AP274" s="480"/>
      <c r="AQ274" s="480"/>
      <c r="AR274" s="480"/>
      <c r="AS274" s="480"/>
      <c r="AT274" s="480"/>
      <c r="AU274" s="480"/>
      <c r="AV274" s="480"/>
      <c r="AW274" s="480"/>
      <c r="AX274" s="480"/>
      <c r="AY274" s="480"/>
      <c r="AZ274" s="480"/>
      <c r="BA274" s="480"/>
      <c r="BB274" s="480"/>
      <c r="BC274" s="480"/>
      <c r="BD274" s="480"/>
      <c r="BE274" s="213"/>
      <c r="BF274" s="479"/>
      <c r="BG274" s="479"/>
      <c r="BH274" s="372"/>
      <c r="BI274" s="472"/>
      <c r="BJ274" s="481"/>
      <c r="BK274" s="310"/>
      <c r="BL274" s="310">
        <f t="shared" si="0"/>
        <v>0</v>
      </c>
      <c r="BM274" s="7"/>
    </row>
    <row r="275" spans="1:65" ht="18" customHeight="1">
      <c r="A275" s="486">
        <v>9.6999999999999993</v>
      </c>
      <c r="B275" s="487" t="s">
        <v>626</v>
      </c>
      <c r="C275" s="488" t="s">
        <v>627</v>
      </c>
      <c r="D275" s="412"/>
      <c r="E275" s="477"/>
      <c r="F275" s="477"/>
      <c r="G275" s="477"/>
      <c r="H275" s="477"/>
      <c r="I275" s="477"/>
      <c r="J275" s="477"/>
      <c r="K275" s="213"/>
      <c r="L275" s="478"/>
      <c r="M275" s="478"/>
      <c r="N275" s="478"/>
      <c r="O275" s="478"/>
      <c r="P275" s="478"/>
      <c r="Q275" s="478"/>
      <c r="R275" s="478"/>
      <c r="S275" s="478"/>
      <c r="T275" s="478"/>
      <c r="U275" s="478"/>
      <c r="V275" s="479"/>
      <c r="W275" s="478"/>
      <c r="X275" s="478"/>
      <c r="Y275" s="478"/>
      <c r="Z275" s="478"/>
      <c r="AA275" s="478"/>
      <c r="AB275" s="478"/>
      <c r="AC275" s="478"/>
      <c r="AD275" s="478"/>
      <c r="AE275" s="478"/>
      <c r="AF275" s="213"/>
      <c r="AG275" s="480"/>
      <c r="AH275" s="480"/>
      <c r="AI275" s="480"/>
      <c r="AJ275" s="480"/>
      <c r="AK275" s="480"/>
      <c r="AL275" s="480"/>
      <c r="AM275" s="480"/>
      <c r="AN275" s="480"/>
      <c r="AO275" s="480"/>
      <c r="AP275" s="480"/>
      <c r="AQ275" s="480"/>
      <c r="AR275" s="480"/>
      <c r="AS275" s="480"/>
      <c r="AT275" s="480"/>
      <c r="AU275" s="480"/>
      <c r="AV275" s="480"/>
      <c r="AW275" s="480"/>
      <c r="AX275" s="480"/>
      <c r="AY275" s="480"/>
      <c r="AZ275" s="480"/>
      <c r="BA275" s="480"/>
      <c r="BB275" s="480"/>
      <c r="BC275" s="480"/>
      <c r="BD275" s="480"/>
      <c r="BE275" s="213"/>
      <c r="BF275" s="479"/>
      <c r="BG275" s="479"/>
      <c r="BH275" s="372"/>
      <c r="BI275" s="472"/>
      <c r="BJ275" s="481"/>
      <c r="BK275" s="310"/>
      <c r="BL275" s="310">
        <f t="shared" ref="BL275:BL447" si="1">SUM(E275:BK275)</f>
        <v>0</v>
      </c>
      <c r="BM275" s="7"/>
    </row>
    <row r="276" spans="1:65" ht="31.5" customHeight="1">
      <c r="A276" s="503" t="s">
        <v>628</v>
      </c>
      <c r="B276" s="483" t="s">
        <v>629</v>
      </c>
      <c r="C276" s="484" t="s">
        <v>630</v>
      </c>
      <c r="D276" s="504" t="s">
        <v>132</v>
      </c>
      <c r="E276" s="477"/>
      <c r="F276" s="477"/>
      <c r="G276" s="477"/>
      <c r="H276" s="477"/>
      <c r="I276" s="477"/>
      <c r="J276" s="477"/>
      <c r="K276" s="213"/>
      <c r="L276" s="478"/>
      <c r="M276" s="478"/>
      <c r="N276" s="478"/>
      <c r="O276" s="478"/>
      <c r="P276" s="478"/>
      <c r="Q276" s="478"/>
      <c r="R276" s="478"/>
      <c r="S276" s="478"/>
      <c r="T276" s="478"/>
      <c r="U276" s="478"/>
      <c r="V276" s="479"/>
      <c r="W276" s="478"/>
      <c r="X276" s="478"/>
      <c r="Y276" s="478"/>
      <c r="Z276" s="478"/>
      <c r="AA276" s="478"/>
      <c r="AB276" s="478"/>
      <c r="AC276" s="478"/>
      <c r="AD276" s="478"/>
      <c r="AE276" s="478"/>
      <c r="AF276" s="213"/>
      <c r="AG276" s="480"/>
      <c r="AH276" s="480"/>
      <c r="AI276" s="480"/>
      <c r="AJ276" s="480"/>
      <c r="AK276" s="480"/>
      <c r="AL276" s="480"/>
      <c r="AM276" s="480"/>
      <c r="AN276" s="480"/>
      <c r="AO276" s="480"/>
      <c r="AP276" s="480"/>
      <c r="AQ276" s="480"/>
      <c r="AR276" s="480"/>
      <c r="AS276" s="480"/>
      <c r="AT276" s="480"/>
      <c r="AU276" s="480"/>
      <c r="AV276" s="480"/>
      <c r="AW276" s="480"/>
      <c r="AX276" s="480"/>
      <c r="AY276" s="480"/>
      <c r="AZ276" s="480"/>
      <c r="BA276" s="480"/>
      <c r="BB276" s="480"/>
      <c r="BC276" s="480"/>
      <c r="BD276" s="480"/>
      <c r="BE276" s="213"/>
      <c r="BF276" s="479"/>
      <c r="BG276" s="479"/>
      <c r="BH276" s="372"/>
      <c r="BI276" s="472"/>
      <c r="BJ276" s="481"/>
      <c r="BK276" s="310"/>
      <c r="BL276" s="310">
        <f t="shared" si="1"/>
        <v>0</v>
      </c>
      <c r="BM276" s="7"/>
    </row>
    <row r="277" spans="1:65" ht="20.25" customHeight="1">
      <c r="A277" s="503" t="s">
        <v>631</v>
      </c>
      <c r="B277" s="483" t="s">
        <v>632</v>
      </c>
      <c r="C277" s="484" t="s">
        <v>633</v>
      </c>
      <c r="D277" s="515" t="s">
        <v>183</v>
      </c>
      <c r="E277" s="477"/>
      <c r="F277" s="477"/>
      <c r="G277" s="477"/>
      <c r="H277" s="477"/>
      <c r="I277" s="477"/>
      <c r="J277" s="477"/>
      <c r="K277" s="213"/>
      <c r="L277" s="478"/>
      <c r="M277" s="478"/>
      <c r="N277" s="478"/>
      <c r="O277" s="478"/>
      <c r="P277" s="478"/>
      <c r="Q277" s="478"/>
      <c r="R277" s="478"/>
      <c r="S277" s="478"/>
      <c r="T277" s="478"/>
      <c r="U277" s="478"/>
      <c r="V277" s="479"/>
      <c r="W277" s="478"/>
      <c r="X277" s="478"/>
      <c r="Y277" s="478"/>
      <c r="Z277" s="478"/>
      <c r="AA277" s="478"/>
      <c r="AB277" s="478"/>
      <c r="AC277" s="478"/>
      <c r="AD277" s="478"/>
      <c r="AE277" s="478"/>
      <c r="AF277" s="213"/>
      <c r="AG277" s="480"/>
      <c r="AH277" s="480"/>
      <c r="AI277" s="480"/>
      <c r="AJ277" s="480"/>
      <c r="AK277" s="480"/>
      <c r="AL277" s="480"/>
      <c r="AM277" s="480"/>
      <c r="AN277" s="480"/>
      <c r="AO277" s="480"/>
      <c r="AP277" s="480"/>
      <c r="AQ277" s="480"/>
      <c r="AR277" s="480"/>
      <c r="AS277" s="480"/>
      <c r="AT277" s="480"/>
      <c r="AU277" s="480"/>
      <c r="AV277" s="480"/>
      <c r="AW277" s="480"/>
      <c r="AX277" s="480"/>
      <c r="AY277" s="480"/>
      <c r="AZ277" s="480"/>
      <c r="BA277" s="480"/>
      <c r="BB277" s="480"/>
      <c r="BC277" s="480"/>
      <c r="BD277" s="480"/>
      <c r="BE277" s="213"/>
      <c r="BF277" s="479"/>
      <c r="BG277" s="479"/>
      <c r="BH277" s="372"/>
      <c r="BI277" s="472"/>
      <c r="BJ277" s="481"/>
      <c r="BK277" s="310"/>
      <c r="BL277" s="310">
        <f t="shared" si="1"/>
        <v>0</v>
      </c>
      <c r="BM277" s="7"/>
    </row>
    <row r="278" spans="1:65" ht="20.25" customHeight="1">
      <c r="A278" s="503" t="s">
        <v>634</v>
      </c>
      <c r="B278" s="483" t="s">
        <v>635</v>
      </c>
      <c r="C278" s="484" t="s">
        <v>591</v>
      </c>
      <c r="D278" s="504" t="s">
        <v>132</v>
      </c>
      <c r="E278" s="477"/>
      <c r="F278" s="477"/>
      <c r="G278" s="477"/>
      <c r="H278" s="477"/>
      <c r="I278" s="477"/>
      <c r="J278" s="477"/>
      <c r="K278" s="213"/>
      <c r="L278" s="478"/>
      <c r="M278" s="478"/>
      <c r="N278" s="478"/>
      <c r="O278" s="478"/>
      <c r="P278" s="478"/>
      <c r="Q278" s="478"/>
      <c r="R278" s="478"/>
      <c r="S278" s="478"/>
      <c r="T278" s="478"/>
      <c r="U278" s="478"/>
      <c r="V278" s="479"/>
      <c r="W278" s="478"/>
      <c r="X278" s="478"/>
      <c r="Y278" s="478"/>
      <c r="Z278" s="478"/>
      <c r="AA278" s="478"/>
      <c r="AB278" s="478"/>
      <c r="AC278" s="478"/>
      <c r="AD278" s="478"/>
      <c r="AE278" s="478"/>
      <c r="AF278" s="213"/>
      <c r="AG278" s="480"/>
      <c r="AH278" s="480"/>
      <c r="AI278" s="480"/>
      <c r="AJ278" s="480"/>
      <c r="AK278" s="480"/>
      <c r="AL278" s="480"/>
      <c r="AM278" s="480"/>
      <c r="AN278" s="480"/>
      <c r="AO278" s="480"/>
      <c r="AP278" s="480"/>
      <c r="AQ278" s="480"/>
      <c r="AR278" s="480"/>
      <c r="AS278" s="480"/>
      <c r="AT278" s="480"/>
      <c r="AU278" s="480"/>
      <c r="AV278" s="480"/>
      <c r="AW278" s="480"/>
      <c r="AX278" s="480"/>
      <c r="AY278" s="480"/>
      <c r="AZ278" s="480"/>
      <c r="BA278" s="480"/>
      <c r="BB278" s="480"/>
      <c r="BC278" s="480"/>
      <c r="BD278" s="480"/>
      <c r="BE278" s="213"/>
      <c r="BF278" s="479"/>
      <c r="BG278" s="479"/>
      <c r="BH278" s="372"/>
      <c r="BI278" s="472"/>
      <c r="BJ278" s="481"/>
      <c r="BK278" s="310"/>
      <c r="BL278" s="310">
        <f t="shared" si="1"/>
        <v>0</v>
      </c>
      <c r="BM278" s="7"/>
    </row>
    <row r="279" spans="1:65" ht="20.25" customHeight="1">
      <c r="A279" s="503" t="s">
        <v>636</v>
      </c>
      <c r="B279" s="483" t="s">
        <v>637</v>
      </c>
      <c r="C279" s="484" t="s">
        <v>638</v>
      </c>
      <c r="D279" s="485" t="s">
        <v>1488</v>
      </c>
      <c r="E279" s="477"/>
      <c r="F279" s="477"/>
      <c r="G279" s="477"/>
      <c r="H279" s="477"/>
      <c r="I279" s="477"/>
      <c r="J279" s="477"/>
      <c r="K279" s="213"/>
      <c r="L279" s="478"/>
      <c r="M279" s="478"/>
      <c r="N279" s="478"/>
      <c r="O279" s="478"/>
      <c r="P279" s="478"/>
      <c r="Q279" s="478"/>
      <c r="R279" s="478"/>
      <c r="S279" s="478"/>
      <c r="T279" s="478"/>
      <c r="U279" s="478"/>
      <c r="V279" s="479"/>
      <c r="W279" s="478"/>
      <c r="X279" s="478"/>
      <c r="Y279" s="478"/>
      <c r="Z279" s="478"/>
      <c r="AA279" s="478"/>
      <c r="AB279" s="478"/>
      <c r="AC279" s="478"/>
      <c r="AD279" s="478"/>
      <c r="AE279" s="478"/>
      <c r="AF279" s="213"/>
      <c r="AG279" s="480"/>
      <c r="AH279" s="480"/>
      <c r="AI279" s="480"/>
      <c r="AJ279" s="480"/>
      <c r="AK279" s="480"/>
      <c r="AL279" s="480"/>
      <c r="AM279" s="480"/>
      <c r="AN279" s="480"/>
      <c r="AO279" s="480"/>
      <c r="AP279" s="480"/>
      <c r="AQ279" s="480"/>
      <c r="AR279" s="480"/>
      <c r="AS279" s="480"/>
      <c r="AT279" s="480"/>
      <c r="AU279" s="480"/>
      <c r="AV279" s="480"/>
      <c r="AW279" s="480"/>
      <c r="AX279" s="480"/>
      <c r="AY279" s="480"/>
      <c r="AZ279" s="480"/>
      <c r="BA279" s="480"/>
      <c r="BB279" s="480"/>
      <c r="BC279" s="480"/>
      <c r="BD279" s="480"/>
      <c r="BE279" s="213"/>
      <c r="BF279" s="479"/>
      <c r="BG279" s="479"/>
      <c r="BH279" s="372"/>
      <c r="BI279" s="472"/>
      <c r="BJ279" s="481"/>
      <c r="BK279" s="310"/>
      <c r="BL279" s="310">
        <f t="shared" si="1"/>
        <v>0</v>
      </c>
      <c r="BM279" s="7"/>
    </row>
    <row r="280" spans="1:65" ht="21" customHeight="1">
      <c r="A280" s="503" t="s">
        <v>640</v>
      </c>
      <c r="B280" s="483" t="s">
        <v>637</v>
      </c>
      <c r="C280" s="484" t="s">
        <v>543</v>
      </c>
      <c r="D280" s="504" t="s">
        <v>132</v>
      </c>
      <c r="E280" s="477"/>
      <c r="F280" s="477"/>
      <c r="G280" s="477"/>
      <c r="H280" s="477"/>
      <c r="I280" s="477"/>
      <c r="J280" s="477"/>
      <c r="K280" s="213"/>
      <c r="L280" s="478"/>
      <c r="M280" s="478"/>
      <c r="N280" s="478"/>
      <c r="O280" s="478"/>
      <c r="P280" s="478"/>
      <c r="Q280" s="478"/>
      <c r="R280" s="478"/>
      <c r="S280" s="478"/>
      <c r="T280" s="478"/>
      <c r="U280" s="478"/>
      <c r="V280" s="479"/>
      <c r="W280" s="478"/>
      <c r="X280" s="478"/>
      <c r="Y280" s="478"/>
      <c r="Z280" s="478"/>
      <c r="AA280" s="478"/>
      <c r="AB280" s="478"/>
      <c r="AC280" s="478"/>
      <c r="AD280" s="478"/>
      <c r="AE280" s="478"/>
      <c r="AF280" s="213"/>
      <c r="AG280" s="480"/>
      <c r="AH280" s="480"/>
      <c r="AI280" s="480"/>
      <c r="AJ280" s="480"/>
      <c r="AK280" s="480"/>
      <c r="AL280" s="480"/>
      <c r="AM280" s="480"/>
      <c r="AN280" s="480"/>
      <c r="AO280" s="480"/>
      <c r="AP280" s="480"/>
      <c r="AQ280" s="480"/>
      <c r="AR280" s="480"/>
      <c r="AS280" s="480"/>
      <c r="AT280" s="480"/>
      <c r="AU280" s="480"/>
      <c r="AV280" s="480"/>
      <c r="AW280" s="480"/>
      <c r="AX280" s="480"/>
      <c r="AY280" s="480"/>
      <c r="AZ280" s="480"/>
      <c r="BA280" s="480"/>
      <c r="BB280" s="480"/>
      <c r="BC280" s="480"/>
      <c r="BD280" s="480"/>
      <c r="BE280" s="213"/>
      <c r="BF280" s="479"/>
      <c r="BG280" s="479"/>
      <c r="BH280" s="372"/>
      <c r="BI280" s="472"/>
      <c r="BJ280" s="481"/>
      <c r="BK280" s="310"/>
      <c r="BL280" s="310">
        <f t="shared" si="1"/>
        <v>0</v>
      </c>
      <c r="BM280" s="7"/>
    </row>
    <row r="281" spans="1:65" ht="21" customHeight="1">
      <c r="A281" s="486">
        <v>10.9</v>
      </c>
      <c r="B281" s="487" t="s">
        <v>641</v>
      </c>
      <c r="C281" s="488" t="s">
        <v>642</v>
      </c>
      <c r="D281" s="515" t="s">
        <v>183</v>
      </c>
      <c r="E281" s="477"/>
      <c r="F281" s="477"/>
      <c r="G281" s="477"/>
      <c r="H281" s="477"/>
      <c r="I281" s="477"/>
      <c r="J281" s="477"/>
      <c r="K281" s="213"/>
      <c r="L281" s="478"/>
      <c r="M281" s="478"/>
      <c r="N281" s="478"/>
      <c r="O281" s="478"/>
      <c r="P281" s="478"/>
      <c r="Q281" s="478"/>
      <c r="R281" s="478"/>
      <c r="S281" s="478"/>
      <c r="T281" s="478"/>
      <c r="U281" s="478"/>
      <c r="V281" s="479"/>
      <c r="W281" s="478"/>
      <c r="X281" s="478"/>
      <c r="Y281" s="478"/>
      <c r="Z281" s="478"/>
      <c r="AA281" s="478"/>
      <c r="AB281" s="478"/>
      <c r="AC281" s="478"/>
      <c r="AD281" s="478"/>
      <c r="AE281" s="478"/>
      <c r="AF281" s="213"/>
      <c r="AG281" s="480"/>
      <c r="AH281" s="480"/>
      <c r="AI281" s="480"/>
      <c r="AJ281" s="480"/>
      <c r="AK281" s="480"/>
      <c r="AL281" s="480"/>
      <c r="AM281" s="480"/>
      <c r="AN281" s="480"/>
      <c r="AO281" s="480"/>
      <c r="AP281" s="480"/>
      <c r="AQ281" s="480"/>
      <c r="AR281" s="480"/>
      <c r="AS281" s="480"/>
      <c r="AT281" s="480"/>
      <c r="AU281" s="480"/>
      <c r="AV281" s="480"/>
      <c r="AW281" s="480"/>
      <c r="AX281" s="480"/>
      <c r="AY281" s="480"/>
      <c r="AZ281" s="480"/>
      <c r="BA281" s="480"/>
      <c r="BB281" s="480"/>
      <c r="BC281" s="480"/>
      <c r="BD281" s="480"/>
      <c r="BE281" s="213"/>
      <c r="BF281" s="479"/>
      <c r="BG281" s="479"/>
      <c r="BH281" s="372"/>
      <c r="BI281" s="472"/>
      <c r="BJ281" s="481"/>
      <c r="BK281" s="310"/>
      <c r="BL281" s="310">
        <f t="shared" si="1"/>
        <v>0</v>
      </c>
      <c r="BM281" s="7"/>
    </row>
    <row r="282" spans="1:65" ht="21" customHeight="1">
      <c r="A282" s="489">
        <v>7</v>
      </c>
      <c r="B282" s="490" t="s">
        <v>643</v>
      </c>
      <c r="C282" s="490" t="s">
        <v>644</v>
      </c>
      <c r="D282" s="516"/>
      <c r="E282" s="477"/>
      <c r="F282" s="477"/>
      <c r="G282" s="477"/>
      <c r="H282" s="477"/>
      <c r="I282" s="477"/>
      <c r="J282" s="477"/>
      <c r="K282" s="213"/>
      <c r="L282" s="478"/>
      <c r="M282" s="478"/>
      <c r="N282" s="478"/>
      <c r="O282" s="478"/>
      <c r="P282" s="478"/>
      <c r="Q282" s="478"/>
      <c r="R282" s="478"/>
      <c r="S282" s="478"/>
      <c r="T282" s="478"/>
      <c r="U282" s="478"/>
      <c r="V282" s="479"/>
      <c r="W282" s="478"/>
      <c r="X282" s="478"/>
      <c r="Y282" s="478"/>
      <c r="Z282" s="478"/>
      <c r="AA282" s="478"/>
      <c r="AB282" s="478"/>
      <c r="AC282" s="478"/>
      <c r="AD282" s="478"/>
      <c r="AE282" s="478"/>
      <c r="AF282" s="213"/>
      <c r="AG282" s="480"/>
      <c r="AH282" s="480"/>
      <c r="AI282" s="480"/>
      <c r="AJ282" s="480"/>
      <c r="AK282" s="480"/>
      <c r="AL282" s="480"/>
      <c r="AM282" s="480"/>
      <c r="AN282" s="480"/>
      <c r="AO282" s="480"/>
      <c r="AP282" s="480"/>
      <c r="AQ282" s="480"/>
      <c r="AR282" s="480"/>
      <c r="AS282" s="480"/>
      <c r="AT282" s="480"/>
      <c r="AU282" s="480"/>
      <c r="AV282" s="480"/>
      <c r="AW282" s="480"/>
      <c r="AX282" s="480"/>
      <c r="AY282" s="480"/>
      <c r="AZ282" s="480"/>
      <c r="BA282" s="480"/>
      <c r="BB282" s="480"/>
      <c r="BC282" s="480"/>
      <c r="BD282" s="480"/>
      <c r="BE282" s="213"/>
      <c r="BF282" s="479"/>
      <c r="BG282" s="479"/>
      <c r="BH282" s="372"/>
      <c r="BI282" s="472"/>
      <c r="BJ282" s="481"/>
      <c r="BK282" s="517"/>
      <c r="BL282" s="310">
        <f t="shared" si="1"/>
        <v>0</v>
      </c>
      <c r="BM282" s="7"/>
    </row>
    <row r="283" spans="1:65" ht="21" customHeight="1">
      <c r="A283" s="486"/>
      <c r="B283" s="487" t="s">
        <v>646</v>
      </c>
      <c r="C283" s="518" t="s">
        <v>647</v>
      </c>
      <c r="D283" s="412" t="s">
        <v>271</v>
      </c>
      <c r="E283" s="477"/>
      <c r="F283" s="477"/>
      <c r="G283" s="477"/>
      <c r="H283" s="477"/>
      <c r="I283" s="477"/>
      <c r="J283" s="477"/>
      <c r="K283" s="213"/>
      <c r="L283" s="478">
        <v>7.0000000000000007E-2</v>
      </c>
      <c r="M283" s="478"/>
      <c r="N283" s="478"/>
      <c r="O283" s="478"/>
      <c r="P283" s="478"/>
      <c r="Q283" s="478"/>
      <c r="R283" s="478"/>
      <c r="S283" s="478">
        <v>53.3</v>
      </c>
      <c r="T283" s="478"/>
      <c r="U283" s="478"/>
      <c r="V283" s="479"/>
      <c r="W283" s="478"/>
      <c r="X283" s="478"/>
      <c r="Y283" s="478"/>
      <c r="Z283" s="478"/>
      <c r="AA283" s="478">
        <v>145</v>
      </c>
      <c r="AB283" s="478">
        <v>1.5</v>
      </c>
      <c r="AC283" s="478">
        <v>1.64</v>
      </c>
      <c r="AD283" s="478"/>
      <c r="AE283" s="478"/>
      <c r="AF283" s="213"/>
      <c r="AG283" s="480"/>
      <c r="AH283" s="480"/>
      <c r="AI283" s="480"/>
      <c r="AJ283" s="480"/>
      <c r="AK283" s="480"/>
      <c r="AL283" s="480"/>
      <c r="AM283" s="480"/>
      <c r="AN283" s="480"/>
      <c r="AO283" s="480"/>
      <c r="AP283" s="480"/>
      <c r="AQ283" s="480"/>
      <c r="AR283" s="480"/>
      <c r="AS283" s="480"/>
      <c r="AT283" s="480"/>
      <c r="AU283" s="480"/>
      <c r="AV283" s="480"/>
      <c r="AW283" s="480"/>
      <c r="AX283" s="480"/>
      <c r="AY283" s="480"/>
      <c r="AZ283" s="480"/>
      <c r="BA283" s="480"/>
      <c r="BB283" s="480"/>
      <c r="BC283" s="480"/>
      <c r="BD283" s="480"/>
      <c r="BE283" s="213"/>
      <c r="BF283" s="479"/>
      <c r="BG283" s="479"/>
      <c r="BH283" s="372"/>
      <c r="BI283" s="472"/>
      <c r="BJ283" s="481"/>
      <c r="BK283" s="310"/>
      <c r="BL283" s="310">
        <f t="shared" si="1"/>
        <v>201.51</v>
      </c>
      <c r="BM283" s="7"/>
    </row>
    <row r="284" spans="1:65" ht="21" customHeight="1">
      <c r="A284" s="510"/>
      <c r="B284" s="505" t="s">
        <v>649</v>
      </c>
      <c r="C284" s="511" t="s">
        <v>650</v>
      </c>
      <c r="D284" s="512" t="s">
        <v>271</v>
      </c>
      <c r="E284" s="477"/>
      <c r="F284" s="477"/>
      <c r="G284" s="477"/>
      <c r="H284" s="477"/>
      <c r="I284" s="477"/>
      <c r="J284" s="477"/>
      <c r="K284" s="213"/>
      <c r="L284" s="478"/>
      <c r="M284" s="478"/>
      <c r="N284" s="478"/>
      <c r="O284" s="478"/>
      <c r="P284" s="478"/>
      <c r="Q284" s="478"/>
      <c r="R284" s="478"/>
      <c r="S284" s="478"/>
      <c r="T284" s="478"/>
      <c r="U284" s="478"/>
      <c r="V284" s="479"/>
      <c r="W284" s="478"/>
      <c r="X284" s="478"/>
      <c r="Y284" s="478"/>
      <c r="Z284" s="478"/>
      <c r="AA284" s="478"/>
      <c r="AB284" s="478"/>
      <c r="AC284" s="478"/>
      <c r="AD284" s="478"/>
      <c r="AE284" s="478"/>
      <c r="AF284" s="213"/>
      <c r="AG284" s="480"/>
      <c r="AH284" s="480"/>
      <c r="AI284" s="480"/>
      <c r="AJ284" s="480"/>
      <c r="AK284" s="480"/>
      <c r="AL284" s="480"/>
      <c r="AM284" s="480"/>
      <c r="AN284" s="480"/>
      <c r="AO284" s="480"/>
      <c r="AP284" s="480"/>
      <c r="AQ284" s="480"/>
      <c r="AR284" s="480"/>
      <c r="AS284" s="480"/>
      <c r="AT284" s="480"/>
      <c r="AU284" s="480"/>
      <c r="AV284" s="480"/>
      <c r="AW284" s="480"/>
      <c r="AX284" s="480"/>
      <c r="AY284" s="480"/>
      <c r="AZ284" s="480"/>
      <c r="BA284" s="480"/>
      <c r="BB284" s="480"/>
      <c r="BC284" s="480"/>
      <c r="BD284" s="480"/>
      <c r="BE284" s="213"/>
      <c r="BF284" s="479"/>
      <c r="BG284" s="479"/>
      <c r="BH284" s="372"/>
      <c r="BI284" s="472"/>
      <c r="BJ284" s="481"/>
      <c r="BK284" s="310"/>
      <c r="BL284" s="310">
        <f t="shared" si="1"/>
        <v>0</v>
      </c>
      <c r="BM284" s="7"/>
    </row>
    <row r="285" spans="1:65" ht="21" customHeight="1">
      <c r="A285" s="503"/>
      <c r="B285" s="483" t="s">
        <v>651</v>
      </c>
      <c r="C285" s="484" t="s">
        <v>131</v>
      </c>
      <c r="D285" s="504" t="s">
        <v>271</v>
      </c>
      <c r="E285" s="477"/>
      <c r="F285" s="477"/>
      <c r="G285" s="477"/>
      <c r="H285" s="477"/>
      <c r="I285" s="477"/>
      <c r="J285" s="477"/>
      <c r="K285" s="213"/>
      <c r="L285" s="478"/>
      <c r="M285" s="478"/>
      <c r="N285" s="478"/>
      <c r="O285" s="478"/>
      <c r="P285" s="478"/>
      <c r="Q285" s="478"/>
      <c r="R285" s="478"/>
      <c r="S285" s="478"/>
      <c r="T285" s="478"/>
      <c r="U285" s="478"/>
      <c r="V285" s="479"/>
      <c r="W285" s="478"/>
      <c r="X285" s="478"/>
      <c r="Y285" s="478"/>
      <c r="Z285" s="478"/>
      <c r="AA285" s="478"/>
      <c r="AB285" s="478"/>
      <c r="AC285" s="478"/>
      <c r="AD285" s="478"/>
      <c r="AE285" s="478"/>
      <c r="AF285" s="213"/>
      <c r="AG285" s="480"/>
      <c r="AH285" s="480"/>
      <c r="AI285" s="480"/>
      <c r="AJ285" s="480"/>
      <c r="AK285" s="480"/>
      <c r="AL285" s="480"/>
      <c r="AM285" s="480"/>
      <c r="AN285" s="480"/>
      <c r="AO285" s="480"/>
      <c r="AP285" s="480"/>
      <c r="AQ285" s="480"/>
      <c r="AR285" s="480"/>
      <c r="AS285" s="480"/>
      <c r="AT285" s="480"/>
      <c r="AU285" s="480"/>
      <c r="AV285" s="480"/>
      <c r="AW285" s="480"/>
      <c r="AX285" s="480"/>
      <c r="AY285" s="480"/>
      <c r="AZ285" s="480"/>
      <c r="BA285" s="480"/>
      <c r="BB285" s="480"/>
      <c r="BC285" s="480"/>
      <c r="BD285" s="480"/>
      <c r="BE285" s="213"/>
      <c r="BF285" s="479"/>
      <c r="BG285" s="479"/>
      <c r="BH285" s="372"/>
      <c r="BI285" s="472"/>
      <c r="BJ285" s="481"/>
      <c r="BK285" s="310"/>
      <c r="BL285" s="310">
        <f t="shared" si="1"/>
        <v>0</v>
      </c>
      <c r="BM285" s="7"/>
    </row>
    <row r="286" spans="1:65" ht="21" customHeight="1">
      <c r="A286" s="503"/>
      <c r="B286" s="483" t="s">
        <v>652</v>
      </c>
      <c r="C286" s="484" t="s">
        <v>200</v>
      </c>
      <c r="D286" s="504" t="s">
        <v>271</v>
      </c>
      <c r="E286" s="477"/>
      <c r="F286" s="477"/>
      <c r="G286" s="477"/>
      <c r="H286" s="477"/>
      <c r="I286" s="477"/>
      <c r="J286" s="477"/>
      <c r="K286" s="213"/>
      <c r="L286" s="478"/>
      <c r="M286" s="478"/>
      <c r="N286" s="478"/>
      <c r="O286" s="478"/>
      <c r="P286" s="478"/>
      <c r="Q286" s="478"/>
      <c r="R286" s="478"/>
      <c r="S286" s="478"/>
      <c r="T286" s="478"/>
      <c r="U286" s="478"/>
      <c r="V286" s="479"/>
      <c r="W286" s="478"/>
      <c r="X286" s="478"/>
      <c r="Y286" s="478"/>
      <c r="Z286" s="478"/>
      <c r="AA286" s="478"/>
      <c r="AB286" s="478"/>
      <c r="AC286" s="478"/>
      <c r="AD286" s="478"/>
      <c r="AE286" s="478"/>
      <c r="AF286" s="213"/>
      <c r="AG286" s="480"/>
      <c r="AH286" s="480"/>
      <c r="AI286" s="480"/>
      <c r="AJ286" s="480"/>
      <c r="AK286" s="480"/>
      <c r="AL286" s="480"/>
      <c r="AM286" s="480"/>
      <c r="AN286" s="480"/>
      <c r="AO286" s="480"/>
      <c r="AP286" s="480"/>
      <c r="AQ286" s="480"/>
      <c r="AR286" s="480"/>
      <c r="AS286" s="480"/>
      <c r="AT286" s="480"/>
      <c r="AU286" s="480"/>
      <c r="AV286" s="480"/>
      <c r="AW286" s="480"/>
      <c r="AX286" s="480"/>
      <c r="AY286" s="480"/>
      <c r="AZ286" s="480"/>
      <c r="BA286" s="480"/>
      <c r="BB286" s="480"/>
      <c r="BC286" s="480"/>
      <c r="BD286" s="480"/>
      <c r="BE286" s="213"/>
      <c r="BF286" s="479"/>
      <c r="BG286" s="479"/>
      <c r="BH286" s="372"/>
      <c r="BI286" s="472"/>
      <c r="BJ286" s="481"/>
      <c r="BK286" s="310"/>
      <c r="BL286" s="310">
        <f t="shared" si="1"/>
        <v>0</v>
      </c>
      <c r="BM286" s="7"/>
    </row>
    <row r="287" spans="1:65" ht="21" customHeight="1">
      <c r="A287" s="503"/>
      <c r="B287" s="483" t="s">
        <v>653</v>
      </c>
      <c r="C287" s="484" t="s">
        <v>203</v>
      </c>
      <c r="D287" s="504" t="s">
        <v>271</v>
      </c>
      <c r="E287" s="477"/>
      <c r="F287" s="477"/>
      <c r="G287" s="477"/>
      <c r="H287" s="477"/>
      <c r="I287" s="477"/>
      <c r="J287" s="477"/>
      <c r="K287" s="213"/>
      <c r="L287" s="478"/>
      <c r="M287" s="478"/>
      <c r="N287" s="478"/>
      <c r="O287" s="478"/>
      <c r="P287" s="478"/>
      <c r="Q287" s="478"/>
      <c r="R287" s="478"/>
      <c r="S287" s="478"/>
      <c r="T287" s="478"/>
      <c r="U287" s="478"/>
      <c r="V287" s="479"/>
      <c r="W287" s="478"/>
      <c r="X287" s="478"/>
      <c r="Y287" s="478"/>
      <c r="Z287" s="478"/>
      <c r="AA287" s="478"/>
      <c r="AB287" s="478"/>
      <c r="AC287" s="478"/>
      <c r="AD287" s="478"/>
      <c r="AE287" s="478"/>
      <c r="AF287" s="213"/>
      <c r="AG287" s="480"/>
      <c r="AH287" s="480"/>
      <c r="AI287" s="480"/>
      <c r="AJ287" s="480"/>
      <c r="AK287" s="480"/>
      <c r="AL287" s="480"/>
      <c r="AM287" s="480"/>
      <c r="AN287" s="480"/>
      <c r="AO287" s="480"/>
      <c r="AP287" s="480"/>
      <c r="AQ287" s="480"/>
      <c r="AR287" s="480"/>
      <c r="AS287" s="480"/>
      <c r="AT287" s="480"/>
      <c r="AU287" s="480"/>
      <c r="AV287" s="480"/>
      <c r="AW287" s="480"/>
      <c r="AX287" s="480"/>
      <c r="AY287" s="480"/>
      <c r="AZ287" s="480"/>
      <c r="BA287" s="480"/>
      <c r="BB287" s="480"/>
      <c r="BC287" s="480"/>
      <c r="BD287" s="480"/>
      <c r="BE287" s="213"/>
      <c r="BF287" s="479"/>
      <c r="BG287" s="479"/>
      <c r="BH287" s="372"/>
      <c r="BI287" s="472"/>
      <c r="BJ287" s="481"/>
      <c r="BK287" s="310"/>
      <c r="BL287" s="310">
        <f t="shared" si="1"/>
        <v>0</v>
      </c>
      <c r="BM287" s="7"/>
    </row>
    <row r="288" spans="1:65" ht="21" customHeight="1">
      <c r="A288" s="503"/>
      <c r="B288" s="483" t="s">
        <v>654</v>
      </c>
      <c r="C288" s="484" t="s">
        <v>159</v>
      </c>
      <c r="D288" s="504" t="s">
        <v>271</v>
      </c>
      <c r="E288" s="477"/>
      <c r="F288" s="477"/>
      <c r="G288" s="477"/>
      <c r="H288" s="477"/>
      <c r="I288" s="477"/>
      <c r="J288" s="477"/>
      <c r="K288" s="213"/>
      <c r="L288" s="478"/>
      <c r="M288" s="478"/>
      <c r="N288" s="478"/>
      <c r="O288" s="478"/>
      <c r="P288" s="478"/>
      <c r="Q288" s="478"/>
      <c r="R288" s="478"/>
      <c r="S288" s="478"/>
      <c r="T288" s="478"/>
      <c r="U288" s="478"/>
      <c r="V288" s="479"/>
      <c r="W288" s="478"/>
      <c r="X288" s="478"/>
      <c r="Y288" s="478"/>
      <c r="Z288" s="478"/>
      <c r="AA288" s="478"/>
      <c r="AB288" s="478"/>
      <c r="AC288" s="478"/>
      <c r="AD288" s="478"/>
      <c r="AE288" s="478"/>
      <c r="AF288" s="213"/>
      <c r="AG288" s="480"/>
      <c r="AH288" s="480"/>
      <c r="AI288" s="480"/>
      <c r="AJ288" s="480"/>
      <c r="AK288" s="480"/>
      <c r="AL288" s="480"/>
      <c r="AM288" s="480"/>
      <c r="AN288" s="480"/>
      <c r="AO288" s="480"/>
      <c r="AP288" s="480"/>
      <c r="AQ288" s="480"/>
      <c r="AR288" s="480"/>
      <c r="AS288" s="480"/>
      <c r="AT288" s="480"/>
      <c r="AU288" s="480"/>
      <c r="AV288" s="480"/>
      <c r="AW288" s="480"/>
      <c r="AX288" s="480"/>
      <c r="AY288" s="480"/>
      <c r="AZ288" s="480"/>
      <c r="BA288" s="480"/>
      <c r="BB288" s="480"/>
      <c r="BC288" s="480"/>
      <c r="BD288" s="480"/>
      <c r="BE288" s="213"/>
      <c r="BF288" s="479"/>
      <c r="BG288" s="479"/>
      <c r="BH288" s="372"/>
      <c r="BI288" s="472"/>
      <c r="BJ288" s="481"/>
      <c r="BK288" s="310"/>
      <c r="BL288" s="310">
        <f t="shared" si="1"/>
        <v>0</v>
      </c>
      <c r="BM288" s="7"/>
    </row>
    <row r="289" spans="1:65" ht="31.5" customHeight="1">
      <c r="A289" s="510"/>
      <c r="B289" s="505" t="s">
        <v>655</v>
      </c>
      <c r="C289" s="511" t="s">
        <v>656</v>
      </c>
      <c r="D289" s="512" t="s">
        <v>271</v>
      </c>
      <c r="E289" s="477"/>
      <c r="F289" s="477"/>
      <c r="G289" s="477"/>
      <c r="H289" s="477"/>
      <c r="I289" s="477"/>
      <c r="J289" s="477"/>
      <c r="K289" s="213"/>
      <c r="L289" s="478"/>
      <c r="M289" s="478"/>
      <c r="N289" s="478"/>
      <c r="O289" s="478"/>
      <c r="P289" s="478"/>
      <c r="Q289" s="478"/>
      <c r="R289" s="478"/>
      <c r="S289" s="478"/>
      <c r="T289" s="478"/>
      <c r="U289" s="478"/>
      <c r="V289" s="479"/>
      <c r="W289" s="478"/>
      <c r="X289" s="478"/>
      <c r="Y289" s="478"/>
      <c r="Z289" s="478"/>
      <c r="AA289" s="478"/>
      <c r="AB289" s="478"/>
      <c r="AC289" s="478"/>
      <c r="AD289" s="478"/>
      <c r="AE289" s="478"/>
      <c r="AF289" s="213"/>
      <c r="AG289" s="480"/>
      <c r="AH289" s="480"/>
      <c r="AI289" s="480"/>
      <c r="AJ289" s="480"/>
      <c r="AK289" s="480"/>
      <c r="AL289" s="480"/>
      <c r="AM289" s="480"/>
      <c r="AN289" s="480"/>
      <c r="AO289" s="480"/>
      <c r="AP289" s="480"/>
      <c r="AQ289" s="480"/>
      <c r="AR289" s="480"/>
      <c r="AS289" s="480"/>
      <c r="AT289" s="480"/>
      <c r="AU289" s="480"/>
      <c r="AV289" s="480"/>
      <c r="AW289" s="480"/>
      <c r="AX289" s="480"/>
      <c r="AY289" s="480"/>
      <c r="AZ289" s="480"/>
      <c r="BA289" s="480"/>
      <c r="BB289" s="480"/>
      <c r="BC289" s="480"/>
      <c r="BD289" s="480"/>
      <c r="BE289" s="213"/>
      <c r="BF289" s="479"/>
      <c r="BG289" s="479"/>
      <c r="BH289" s="372"/>
      <c r="BI289" s="472"/>
      <c r="BJ289" s="481"/>
      <c r="BK289" s="310"/>
      <c r="BL289" s="310">
        <f t="shared" si="1"/>
        <v>0</v>
      </c>
      <c r="BM289" s="7"/>
    </row>
    <row r="290" spans="1:65" ht="21" customHeight="1">
      <c r="A290" s="503"/>
      <c r="B290" s="483" t="s">
        <v>657</v>
      </c>
      <c r="C290" s="484" t="s">
        <v>131</v>
      </c>
      <c r="D290" s="504" t="s">
        <v>271</v>
      </c>
      <c r="E290" s="477"/>
      <c r="F290" s="477"/>
      <c r="G290" s="477"/>
      <c r="H290" s="477"/>
      <c r="I290" s="477"/>
      <c r="J290" s="477"/>
      <c r="K290" s="213"/>
      <c r="L290" s="478"/>
      <c r="M290" s="478"/>
      <c r="N290" s="478"/>
      <c r="O290" s="478"/>
      <c r="P290" s="478"/>
      <c r="Q290" s="478"/>
      <c r="R290" s="478"/>
      <c r="S290" s="478"/>
      <c r="T290" s="478"/>
      <c r="U290" s="478"/>
      <c r="V290" s="479"/>
      <c r="W290" s="478"/>
      <c r="X290" s="478"/>
      <c r="Y290" s="478"/>
      <c r="Z290" s="478"/>
      <c r="AA290" s="478"/>
      <c r="AB290" s="478"/>
      <c r="AC290" s="478"/>
      <c r="AD290" s="478"/>
      <c r="AE290" s="478"/>
      <c r="AF290" s="213"/>
      <c r="AG290" s="480"/>
      <c r="AH290" s="480"/>
      <c r="AI290" s="480"/>
      <c r="AJ290" s="480"/>
      <c r="AK290" s="480"/>
      <c r="AL290" s="480"/>
      <c r="AM290" s="480"/>
      <c r="AN290" s="480"/>
      <c r="AO290" s="480"/>
      <c r="AP290" s="480"/>
      <c r="AQ290" s="480"/>
      <c r="AR290" s="480"/>
      <c r="AS290" s="480"/>
      <c r="AT290" s="480"/>
      <c r="AU290" s="480"/>
      <c r="AV290" s="480"/>
      <c r="AW290" s="480"/>
      <c r="AX290" s="480"/>
      <c r="AY290" s="480"/>
      <c r="AZ290" s="480"/>
      <c r="BA290" s="480"/>
      <c r="BB290" s="480"/>
      <c r="BC290" s="480"/>
      <c r="BD290" s="480"/>
      <c r="BE290" s="213"/>
      <c r="BF290" s="479"/>
      <c r="BG290" s="479"/>
      <c r="BH290" s="372"/>
      <c r="BI290" s="472"/>
      <c r="BJ290" s="481"/>
      <c r="BK290" s="310"/>
      <c r="BL290" s="310">
        <f t="shared" si="1"/>
        <v>0</v>
      </c>
      <c r="BM290" s="7"/>
    </row>
    <row r="291" spans="1:65" ht="21" customHeight="1">
      <c r="A291" s="503"/>
      <c r="B291" s="483" t="s">
        <v>658</v>
      </c>
      <c r="C291" s="484" t="s">
        <v>200</v>
      </c>
      <c r="D291" s="504" t="s">
        <v>271</v>
      </c>
      <c r="E291" s="477"/>
      <c r="F291" s="477"/>
      <c r="G291" s="477"/>
      <c r="H291" s="477"/>
      <c r="I291" s="477"/>
      <c r="J291" s="477"/>
      <c r="K291" s="213"/>
      <c r="L291" s="478"/>
      <c r="M291" s="478"/>
      <c r="N291" s="478"/>
      <c r="O291" s="478"/>
      <c r="P291" s="478"/>
      <c r="Q291" s="478"/>
      <c r="R291" s="478"/>
      <c r="S291" s="478"/>
      <c r="T291" s="478"/>
      <c r="U291" s="478"/>
      <c r="V291" s="479"/>
      <c r="W291" s="478"/>
      <c r="X291" s="478"/>
      <c r="Y291" s="478"/>
      <c r="Z291" s="478"/>
      <c r="AA291" s="478"/>
      <c r="AB291" s="478"/>
      <c r="AC291" s="478"/>
      <c r="AD291" s="478"/>
      <c r="AE291" s="478"/>
      <c r="AF291" s="213"/>
      <c r="AG291" s="480"/>
      <c r="AH291" s="480"/>
      <c r="AI291" s="480"/>
      <c r="AJ291" s="480"/>
      <c r="AK291" s="480"/>
      <c r="AL291" s="480"/>
      <c r="AM291" s="480"/>
      <c r="AN291" s="480"/>
      <c r="AO291" s="480"/>
      <c r="AP291" s="480"/>
      <c r="AQ291" s="480"/>
      <c r="AR291" s="480"/>
      <c r="AS291" s="480"/>
      <c r="AT291" s="480"/>
      <c r="AU291" s="480"/>
      <c r="AV291" s="480"/>
      <c r="AW291" s="480"/>
      <c r="AX291" s="480"/>
      <c r="AY291" s="480"/>
      <c r="AZ291" s="480"/>
      <c r="BA291" s="480"/>
      <c r="BB291" s="480"/>
      <c r="BC291" s="480"/>
      <c r="BD291" s="480"/>
      <c r="BE291" s="213"/>
      <c r="BF291" s="479"/>
      <c r="BG291" s="479"/>
      <c r="BH291" s="372"/>
      <c r="BI291" s="472"/>
      <c r="BJ291" s="481"/>
      <c r="BK291" s="310"/>
      <c r="BL291" s="310">
        <f t="shared" si="1"/>
        <v>0</v>
      </c>
      <c r="BM291" s="7"/>
    </row>
    <row r="292" spans="1:65" ht="21" customHeight="1">
      <c r="A292" s="503"/>
      <c r="B292" s="483" t="s">
        <v>659</v>
      </c>
      <c r="C292" s="484" t="s">
        <v>203</v>
      </c>
      <c r="D292" s="504" t="s">
        <v>271</v>
      </c>
      <c r="E292" s="477"/>
      <c r="F292" s="477"/>
      <c r="G292" s="477"/>
      <c r="H292" s="477"/>
      <c r="I292" s="477"/>
      <c r="J292" s="477"/>
      <c r="K292" s="213"/>
      <c r="L292" s="478"/>
      <c r="M292" s="478"/>
      <c r="N292" s="478"/>
      <c r="O292" s="478"/>
      <c r="P292" s="478"/>
      <c r="Q292" s="478"/>
      <c r="R292" s="478"/>
      <c r="S292" s="478"/>
      <c r="T292" s="478"/>
      <c r="U292" s="478"/>
      <c r="V292" s="479"/>
      <c r="W292" s="478"/>
      <c r="X292" s="478"/>
      <c r="Y292" s="478"/>
      <c r="Z292" s="478"/>
      <c r="AA292" s="478"/>
      <c r="AB292" s="478"/>
      <c r="AC292" s="478"/>
      <c r="AD292" s="478"/>
      <c r="AE292" s="478"/>
      <c r="AF292" s="213"/>
      <c r="AG292" s="480"/>
      <c r="AH292" s="480"/>
      <c r="AI292" s="480"/>
      <c r="AJ292" s="480"/>
      <c r="AK292" s="480"/>
      <c r="AL292" s="480"/>
      <c r="AM292" s="480"/>
      <c r="AN292" s="480"/>
      <c r="AO292" s="480"/>
      <c r="AP292" s="480"/>
      <c r="AQ292" s="480"/>
      <c r="AR292" s="480"/>
      <c r="AS292" s="480"/>
      <c r="AT292" s="480"/>
      <c r="AU292" s="480"/>
      <c r="AV292" s="480"/>
      <c r="AW292" s="480"/>
      <c r="AX292" s="480"/>
      <c r="AY292" s="480"/>
      <c r="AZ292" s="480"/>
      <c r="BA292" s="480"/>
      <c r="BB292" s="480"/>
      <c r="BC292" s="480"/>
      <c r="BD292" s="480"/>
      <c r="BE292" s="213"/>
      <c r="BF292" s="479"/>
      <c r="BG292" s="479"/>
      <c r="BH292" s="372"/>
      <c r="BI292" s="472"/>
      <c r="BJ292" s="481"/>
      <c r="BK292" s="310"/>
      <c r="BL292" s="310">
        <f t="shared" si="1"/>
        <v>0</v>
      </c>
      <c r="BM292" s="7"/>
    </row>
    <row r="293" spans="1:65" ht="21" customHeight="1">
      <c r="A293" s="503"/>
      <c r="B293" s="483" t="s">
        <v>660</v>
      </c>
      <c r="C293" s="484" t="s">
        <v>159</v>
      </c>
      <c r="D293" s="504" t="s">
        <v>271</v>
      </c>
      <c r="E293" s="477"/>
      <c r="F293" s="477"/>
      <c r="G293" s="477"/>
      <c r="H293" s="477"/>
      <c r="I293" s="477"/>
      <c r="J293" s="477"/>
      <c r="K293" s="213"/>
      <c r="L293" s="478"/>
      <c r="M293" s="478"/>
      <c r="N293" s="478"/>
      <c r="O293" s="478"/>
      <c r="P293" s="478"/>
      <c r="Q293" s="478"/>
      <c r="R293" s="478"/>
      <c r="S293" s="478"/>
      <c r="T293" s="478"/>
      <c r="U293" s="478"/>
      <c r="V293" s="479"/>
      <c r="W293" s="478"/>
      <c r="X293" s="478"/>
      <c r="Y293" s="478"/>
      <c r="Z293" s="478"/>
      <c r="AA293" s="478"/>
      <c r="AB293" s="478"/>
      <c r="AC293" s="478"/>
      <c r="AD293" s="478"/>
      <c r="AE293" s="478"/>
      <c r="AF293" s="213"/>
      <c r="AG293" s="480"/>
      <c r="AH293" s="480"/>
      <c r="AI293" s="480"/>
      <c r="AJ293" s="480"/>
      <c r="AK293" s="480"/>
      <c r="AL293" s="480"/>
      <c r="AM293" s="480"/>
      <c r="AN293" s="480"/>
      <c r="AO293" s="480"/>
      <c r="AP293" s="480"/>
      <c r="AQ293" s="480"/>
      <c r="AR293" s="480"/>
      <c r="AS293" s="480"/>
      <c r="AT293" s="480"/>
      <c r="AU293" s="480"/>
      <c r="AV293" s="480"/>
      <c r="AW293" s="480"/>
      <c r="AX293" s="480"/>
      <c r="AY293" s="480"/>
      <c r="AZ293" s="480"/>
      <c r="BA293" s="480"/>
      <c r="BB293" s="480"/>
      <c r="BC293" s="480"/>
      <c r="BD293" s="480"/>
      <c r="BE293" s="213"/>
      <c r="BF293" s="479"/>
      <c r="BG293" s="479"/>
      <c r="BH293" s="372"/>
      <c r="BI293" s="472"/>
      <c r="BJ293" s="481"/>
      <c r="BK293" s="310"/>
      <c r="BL293" s="310">
        <f t="shared" si="1"/>
        <v>0</v>
      </c>
      <c r="BM293" s="7"/>
    </row>
    <row r="294" spans="1:65" ht="21" customHeight="1">
      <c r="A294" s="510"/>
      <c r="B294" s="487" t="s">
        <v>661</v>
      </c>
      <c r="C294" s="488" t="s">
        <v>662</v>
      </c>
      <c r="D294" s="412" t="s">
        <v>271</v>
      </c>
      <c r="E294" s="477"/>
      <c r="F294" s="477"/>
      <c r="G294" s="477"/>
      <c r="H294" s="477"/>
      <c r="I294" s="477"/>
      <c r="J294" s="477"/>
      <c r="K294" s="213"/>
      <c r="L294" s="478"/>
      <c r="M294" s="478"/>
      <c r="N294" s="478"/>
      <c r="O294" s="478"/>
      <c r="P294" s="478"/>
      <c r="Q294" s="478"/>
      <c r="R294" s="478"/>
      <c r="S294" s="478"/>
      <c r="T294" s="478"/>
      <c r="U294" s="478"/>
      <c r="V294" s="479"/>
      <c r="W294" s="478"/>
      <c r="X294" s="478"/>
      <c r="Y294" s="478"/>
      <c r="Z294" s="478"/>
      <c r="AA294" s="478"/>
      <c r="AB294" s="478"/>
      <c r="AC294" s="478"/>
      <c r="AD294" s="478"/>
      <c r="AE294" s="478"/>
      <c r="AF294" s="213"/>
      <c r="AG294" s="480"/>
      <c r="AH294" s="480"/>
      <c r="AI294" s="480"/>
      <c r="AJ294" s="480"/>
      <c r="AK294" s="480"/>
      <c r="AL294" s="480"/>
      <c r="AM294" s="480"/>
      <c r="AN294" s="480"/>
      <c r="AO294" s="480"/>
      <c r="AP294" s="480"/>
      <c r="AQ294" s="480"/>
      <c r="AR294" s="480"/>
      <c r="AS294" s="480"/>
      <c r="AT294" s="480"/>
      <c r="AU294" s="480"/>
      <c r="AV294" s="480"/>
      <c r="AW294" s="480"/>
      <c r="AX294" s="480"/>
      <c r="AY294" s="480"/>
      <c r="AZ294" s="480"/>
      <c r="BA294" s="480"/>
      <c r="BB294" s="480"/>
      <c r="BC294" s="480"/>
      <c r="BD294" s="480"/>
      <c r="BE294" s="213"/>
      <c r="BF294" s="479"/>
      <c r="BG294" s="479"/>
      <c r="BH294" s="372"/>
      <c r="BI294" s="472"/>
      <c r="BJ294" s="481"/>
      <c r="BK294" s="310"/>
      <c r="BL294" s="310">
        <f t="shared" si="1"/>
        <v>0</v>
      </c>
      <c r="BM294" s="7"/>
    </row>
    <row r="295" spans="1:65" ht="21" customHeight="1">
      <c r="A295" s="503"/>
      <c r="B295" s="483" t="s">
        <v>664</v>
      </c>
      <c r="C295" s="484" t="s">
        <v>131</v>
      </c>
      <c r="D295" s="504" t="s">
        <v>271</v>
      </c>
      <c r="E295" s="477"/>
      <c r="F295" s="477"/>
      <c r="G295" s="477"/>
      <c r="H295" s="477"/>
      <c r="I295" s="477"/>
      <c r="J295" s="477"/>
      <c r="K295" s="213"/>
      <c r="L295" s="478"/>
      <c r="M295" s="478"/>
      <c r="N295" s="478"/>
      <c r="O295" s="478"/>
      <c r="P295" s="478"/>
      <c r="Q295" s="478"/>
      <c r="R295" s="478"/>
      <c r="S295" s="478"/>
      <c r="T295" s="478"/>
      <c r="U295" s="478"/>
      <c r="V295" s="479"/>
      <c r="W295" s="478"/>
      <c r="X295" s="478"/>
      <c r="Y295" s="478"/>
      <c r="Z295" s="478"/>
      <c r="AA295" s="478"/>
      <c r="AB295" s="478"/>
      <c r="AC295" s="478"/>
      <c r="AD295" s="478"/>
      <c r="AE295" s="478"/>
      <c r="AF295" s="213"/>
      <c r="AG295" s="480"/>
      <c r="AH295" s="480"/>
      <c r="AI295" s="480"/>
      <c r="AJ295" s="480"/>
      <c r="AK295" s="480"/>
      <c r="AL295" s="480"/>
      <c r="AM295" s="480"/>
      <c r="AN295" s="480"/>
      <c r="AO295" s="480"/>
      <c r="AP295" s="480"/>
      <c r="AQ295" s="480"/>
      <c r="AR295" s="480"/>
      <c r="AS295" s="480"/>
      <c r="AT295" s="480"/>
      <c r="AU295" s="480"/>
      <c r="AV295" s="480"/>
      <c r="AW295" s="480"/>
      <c r="AX295" s="480"/>
      <c r="AY295" s="480"/>
      <c r="AZ295" s="480"/>
      <c r="BA295" s="480"/>
      <c r="BB295" s="480"/>
      <c r="BC295" s="480"/>
      <c r="BD295" s="480"/>
      <c r="BE295" s="213"/>
      <c r="BF295" s="479"/>
      <c r="BG295" s="479"/>
      <c r="BH295" s="372"/>
      <c r="BI295" s="472"/>
      <c r="BJ295" s="481"/>
      <c r="BK295" s="310"/>
      <c r="BL295" s="310">
        <f t="shared" si="1"/>
        <v>0</v>
      </c>
      <c r="BM295" s="7"/>
    </row>
    <row r="296" spans="1:65" ht="21" customHeight="1">
      <c r="A296" s="503"/>
      <c r="B296" s="483" t="s">
        <v>665</v>
      </c>
      <c r="C296" s="484" t="s">
        <v>200</v>
      </c>
      <c r="D296" s="504" t="s">
        <v>271</v>
      </c>
      <c r="E296" s="477"/>
      <c r="F296" s="477"/>
      <c r="G296" s="477"/>
      <c r="H296" s="477"/>
      <c r="I296" s="477"/>
      <c r="J296" s="477"/>
      <c r="K296" s="213"/>
      <c r="L296" s="478"/>
      <c r="M296" s="478"/>
      <c r="N296" s="478"/>
      <c r="O296" s="478"/>
      <c r="P296" s="478"/>
      <c r="Q296" s="478"/>
      <c r="R296" s="478"/>
      <c r="S296" s="478"/>
      <c r="T296" s="478"/>
      <c r="U296" s="478"/>
      <c r="V296" s="479"/>
      <c r="W296" s="478"/>
      <c r="X296" s="478"/>
      <c r="Y296" s="478"/>
      <c r="Z296" s="478"/>
      <c r="AA296" s="478"/>
      <c r="AB296" s="478"/>
      <c r="AC296" s="478"/>
      <c r="AD296" s="478"/>
      <c r="AE296" s="478"/>
      <c r="AF296" s="213"/>
      <c r="AG296" s="480"/>
      <c r="AH296" s="480"/>
      <c r="AI296" s="480"/>
      <c r="AJ296" s="480"/>
      <c r="AK296" s="480"/>
      <c r="AL296" s="480"/>
      <c r="AM296" s="480"/>
      <c r="AN296" s="480"/>
      <c r="AO296" s="480"/>
      <c r="AP296" s="480"/>
      <c r="AQ296" s="480"/>
      <c r="AR296" s="480"/>
      <c r="AS296" s="480"/>
      <c r="AT296" s="480"/>
      <c r="AU296" s="480"/>
      <c r="AV296" s="480"/>
      <c r="AW296" s="480"/>
      <c r="AX296" s="480"/>
      <c r="AY296" s="480"/>
      <c r="AZ296" s="480"/>
      <c r="BA296" s="480"/>
      <c r="BB296" s="480"/>
      <c r="BC296" s="480"/>
      <c r="BD296" s="480"/>
      <c r="BE296" s="213"/>
      <c r="BF296" s="479"/>
      <c r="BG296" s="479"/>
      <c r="BH296" s="372"/>
      <c r="BI296" s="472"/>
      <c r="BJ296" s="481"/>
      <c r="BK296" s="310"/>
      <c r="BL296" s="310">
        <f t="shared" si="1"/>
        <v>0</v>
      </c>
      <c r="BM296" s="7"/>
    </row>
    <row r="297" spans="1:65" ht="21" customHeight="1">
      <c r="A297" s="503"/>
      <c r="B297" s="483" t="s">
        <v>666</v>
      </c>
      <c r="C297" s="484" t="s">
        <v>203</v>
      </c>
      <c r="D297" s="504" t="s">
        <v>271</v>
      </c>
      <c r="E297" s="477"/>
      <c r="F297" s="477"/>
      <c r="G297" s="477"/>
      <c r="H297" s="477"/>
      <c r="I297" s="477"/>
      <c r="J297" s="477"/>
      <c r="K297" s="213"/>
      <c r="L297" s="478"/>
      <c r="M297" s="478"/>
      <c r="N297" s="478"/>
      <c r="O297" s="478"/>
      <c r="P297" s="478"/>
      <c r="Q297" s="478"/>
      <c r="R297" s="478"/>
      <c r="S297" s="478"/>
      <c r="T297" s="478"/>
      <c r="U297" s="478"/>
      <c r="V297" s="479"/>
      <c r="W297" s="478"/>
      <c r="X297" s="478"/>
      <c r="Y297" s="478"/>
      <c r="Z297" s="478"/>
      <c r="AA297" s="478"/>
      <c r="AB297" s="478"/>
      <c r="AC297" s="478"/>
      <c r="AD297" s="478"/>
      <c r="AE297" s="478"/>
      <c r="AF297" s="213"/>
      <c r="AG297" s="480"/>
      <c r="AH297" s="480"/>
      <c r="AI297" s="480"/>
      <c r="AJ297" s="480"/>
      <c r="AK297" s="480"/>
      <c r="AL297" s="480"/>
      <c r="AM297" s="480"/>
      <c r="AN297" s="480"/>
      <c r="AO297" s="480"/>
      <c r="AP297" s="480"/>
      <c r="AQ297" s="480"/>
      <c r="AR297" s="480"/>
      <c r="AS297" s="480"/>
      <c r="AT297" s="480"/>
      <c r="AU297" s="480"/>
      <c r="AV297" s="480"/>
      <c r="AW297" s="480"/>
      <c r="AX297" s="480"/>
      <c r="AY297" s="480"/>
      <c r="AZ297" s="480"/>
      <c r="BA297" s="480"/>
      <c r="BB297" s="480"/>
      <c r="BC297" s="480"/>
      <c r="BD297" s="480"/>
      <c r="BE297" s="213"/>
      <c r="BF297" s="479"/>
      <c r="BG297" s="479"/>
      <c r="BH297" s="372"/>
      <c r="BI297" s="472"/>
      <c r="BJ297" s="481"/>
      <c r="BK297" s="310"/>
      <c r="BL297" s="310">
        <f t="shared" si="1"/>
        <v>0</v>
      </c>
      <c r="BM297" s="7"/>
    </row>
    <row r="298" spans="1:65" ht="21" customHeight="1">
      <c r="A298" s="503"/>
      <c r="B298" s="483" t="s">
        <v>667</v>
      </c>
      <c r="C298" s="484" t="s">
        <v>159</v>
      </c>
      <c r="D298" s="504" t="s">
        <v>271</v>
      </c>
      <c r="E298" s="477"/>
      <c r="F298" s="477"/>
      <c r="G298" s="477"/>
      <c r="H298" s="477"/>
      <c r="I298" s="477"/>
      <c r="J298" s="477"/>
      <c r="K298" s="213"/>
      <c r="L298" s="478"/>
      <c r="M298" s="478"/>
      <c r="N298" s="478"/>
      <c r="O298" s="478"/>
      <c r="P298" s="478"/>
      <c r="Q298" s="478"/>
      <c r="R298" s="478"/>
      <c r="S298" s="478"/>
      <c r="T298" s="478"/>
      <c r="U298" s="478"/>
      <c r="V298" s="479"/>
      <c r="W298" s="478"/>
      <c r="X298" s="478"/>
      <c r="Y298" s="478"/>
      <c r="Z298" s="478"/>
      <c r="AA298" s="478"/>
      <c r="AB298" s="478"/>
      <c r="AC298" s="478"/>
      <c r="AD298" s="478"/>
      <c r="AE298" s="478"/>
      <c r="AF298" s="213"/>
      <c r="AG298" s="480"/>
      <c r="AH298" s="480"/>
      <c r="AI298" s="480"/>
      <c r="AJ298" s="480"/>
      <c r="AK298" s="480"/>
      <c r="AL298" s="480"/>
      <c r="AM298" s="480"/>
      <c r="AN298" s="480"/>
      <c r="AO298" s="480"/>
      <c r="AP298" s="480"/>
      <c r="AQ298" s="480"/>
      <c r="AR298" s="480"/>
      <c r="AS298" s="480"/>
      <c r="AT298" s="480"/>
      <c r="AU298" s="480"/>
      <c r="AV298" s="480"/>
      <c r="AW298" s="480"/>
      <c r="AX298" s="480"/>
      <c r="AY298" s="480"/>
      <c r="AZ298" s="480"/>
      <c r="BA298" s="480"/>
      <c r="BB298" s="480"/>
      <c r="BC298" s="480"/>
      <c r="BD298" s="480"/>
      <c r="BE298" s="213"/>
      <c r="BF298" s="479"/>
      <c r="BG298" s="479"/>
      <c r="BH298" s="372"/>
      <c r="BI298" s="472"/>
      <c r="BJ298" s="481"/>
      <c r="BK298" s="310"/>
      <c r="BL298" s="310">
        <f t="shared" si="1"/>
        <v>0</v>
      </c>
      <c r="BM298" s="7"/>
    </row>
    <row r="299" spans="1:65" ht="21" customHeight="1">
      <c r="A299" s="486"/>
      <c r="B299" s="487" t="s">
        <v>668</v>
      </c>
      <c r="C299" s="488" t="s">
        <v>669</v>
      </c>
      <c r="D299" s="412" t="s">
        <v>271</v>
      </c>
      <c r="E299" s="477"/>
      <c r="F299" s="477"/>
      <c r="G299" s="477"/>
      <c r="H299" s="477"/>
      <c r="I299" s="477"/>
      <c r="J299" s="477"/>
      <c r="K299" s="213"/>
      <c r="L299" s="478"/>
      <c r="M299" s="478"/>
      <c r="N299" s="478"/>
      <c r="O299" s="478"/>
      <c r="P299" s="478"/>
      <c r="Q299" s="478"/>
      <c r="R299" s="478"/>
      <c r="S299" s="478"/>
      <c r="T299" s="478"/>
      <c r="U299" s="478">
        <v>2.0499999999999998</v>
      </c>
      <c r="V299" s="479"/>
      <c r="W299" s="478"/>
      <c r="X299" s="478"/>
      <c r="Y299" s="478"/>
      <c r="Z299" s="478"/>
      <c r="AA299" s="478"/>
      <c r="AB299" s="478"/>
      <c r="AC299" s="478">
        <v>2</v>
      </c>
      <c r="AD299" s="478"/>
      <c r="AE299" s="478"/>
      <c r="AF299" s="213"/>
      <c r="AG299" s="480"/>
      <c r="AH299" s="480"/>
      <c r="AI299" s="480"/>
      <c r="AJ299" s="480"/>
      <c r="AK299" s="480"/>
      <c r="AL299" s="480"/>
      <c r="AM299" s="480"/>
      <c r="AN299" s="480"/>
      <c r="AO299" s="480"/>
      <c r="AP299" s="480"/>
      <c r="AQ299" s="480"/>
      <c r="AR299" s="480"/>
      <c r="AS299" s="480"/>
      <c r="AT299" s="480"/>
      <c r="AU299" s="480"/>
      <c r="AV299" s="480"/>
      <c r="AW299" s="480"/>
      <c r="AX299" s="480"/>
      <c r="AY299" s="480"/>
      <c r="AZ299" s="480"/>
      <c r="BA299" s="480"/>
      <c r="BB299" s="480"/>
      <c r="BC299" s="480"/>
      <c r="BD299" s="480"/>
      <c r="BE299" s="213"/>
      <c r="BF299" s="479"/>
      <c r="BG299" s="479"/>
      <c r="BH299" s="372"/>
      <c r="BI299" s="472"/>
      <c r="BJ299" s="481"/>
      <c r="BK299" s="310"/>
      <c r="BL299" s="310">
        <f t="shared" si="1"/>
        <v>4.05</v>
      </c>
      <c r="BM299" s="7"/>
    </row>
    <row r="300" spans="1:65" ht="18" customHeight="1">
      <c r="A300" s="486"/>
      <c r="B300" s="487" t="s">
        <v>671</v>
      </c>
      <c r="C300" s="511" t="s">
        <v>672</v>
      </c>
      <c r="D300" s="485" t="s">
        <v>271</v>
      </c>
      <c r="E300" s="477"/>
      <c r="F300" s="477"/>
      <c r="G300" s="477"/>
      <c r="H300" s="477"/>
      <c r="I300" s="477"/>
      <c r="J300" s="477"/>
      <c r="K300" s="213"/>
      <c r="L300" s="478"/>
      <c r="M300" s="478"/>
      <c r="N300" s="478"/>
      <c r="O300" s="478"/>
      <c r="P300" s="478"/>
      <c r="Q300" s="478"/>
      <c r="R300" s="478"/>
      <c r="S300" s="478"/>
      <c r="T300" s="478"/>
      <c r="U300" s="478"/>
      <c r="V300" s="479"/>
      <c r="W300" s="478"/>
      <c r="X300" s="478"/>
      <c r="Y300" s="478"/>
      <c r="Z300" s="478"/>
      <c r="AA300" s="478"/>
      <c r="AB300" s="478"/>
      <c r="AC300" s="478">
        <v>2</v>
      </c>
      <c r="AD300" s="478"/>
      <c r="AE300" s="478"/>
      <c r="AF300" s="213"/>
      <c r="AG300" s="480"/>
      <c r="AH300" s="480"/>
      <c r="AI300" s="480"/>
      <c r="AJ300" s="480"/>
      <c r="AK300" s="480"/>
      <c r="AL300" s="480"/>
      <c r="AM300" s="480"/>
      <c r="AN300" s="480"/>
      <c r="AO300" s="480"/>
      <c r="AP300" s="480"/>
      <c r="AQ300" s="480"/>
      <c r="AR300" s="480"/>
      <c r="AS300" s="480"/>
      <c r="AT300" s="480"/>
      <c r="AU300" s="480"/>
      <c r="AV300" s="480"/>
      <c r="AW300" s="480"/>
      <c r="AX300" s="480"/>
      <c r="AY300" s="480"/>
      <c r="AZ300" s="480"/>
      <c r="BA300" s="480"/>
      <c r="BB300" s="480"/>
      <c r="BC300" s="480"/>
      <c r="BD300" s="480"/>
      <c r="BE300" s="213"/>
      <c r="BF300" s="479"/>
      <c r="BG300" s="479"/>
      <c r="BH300" s="372"/>
      <c r="BI300" s="472"/>
      <c r="BJ300" s="481"/>
      <c r="BK300" s="310"/>
      <c r="BL300" s="310">
        <f t="shared" si="1"/>
        <v>2</v>
      </c>
      <c r="BM300" s="7"/>
    </row>
    <row r="301" spans="1:65" ht="26.25" customHeight="1">
      <c r="A301" s="503"/>
      <c r="B301" s="483" t="s">
        <v>673</v>
      </c>
      <c r="C301" s="484" t="s">
        <v>131</v>
      </c>
      <c r="D301" s="504" t="s">
        <v>271</v>
      </c>
      <c r="E301" s="477"/>
      <c r="F301" s="477"/>
      <c r="G301" s="477"/>
      <c r="H301" s="477"/>
      <c r="I301" s="477"/>
      <c r="J301" s="477"/>
      <c r="K301" s="213"/>
      <c r="L301" s="478"/>
      <c r="M301" s="478"/>
      <c r="N301" s="478"/>
      <c r="O301" s="478"/>
      <c r="P301" s="478"/>
      <c r="Q301" s="478"/>
      <c r="R301" s="478"/>
      <c r="S301" s="478"/>
      <c r="T301" s="478"/>
      <c r="U301" s="478"/>
      <c r="V301" s="479"/>
      <c r="W301" s="478"/>
      <c r="X301" s="478"/>
      <c r="Y301" s="478"/>
      <c r="Z301" s="478"/>
      <c r="AA301" s="478"/>
      <c r="AB301" s="478"/>
      <c r="AC301" s="478"/>
      <c r="AD301" s="478"/>
      <c r="AE301" s="478"/>
      <c r="AF301" s="213"/>
      <c r="AG301" s="480"/>
      <c r="AH301" s="480"/>
      <c r="AI301" s="480"/>
      <c r="AJ301" s="480"/>
      <c r="AK301" s="480"/>
      <c r="AL301" s="480"/>
      <c r="AM301" s="480"/>
      <c r="AN301" s="480"/>
      <c r="AO301" s="480"/>
      <c r="AP301" s="480"/>
      <c r="AQ301" s="480"/>
      <c r="AR301" s="480"/>
      <c r="AS301" s="480"/>
      <c r="AT301" s="480"/>
      <c r="AU301" s="480"/>
      <c r="AV301" s="480"/>
      <c r="AW301" s="480"/>
      <c r="AX301" s="480"/>
      <c r="AY301" s="480"/>
      <c r="AZ301" s="480"/>
      <c r="BA301" s="480"/>
      <c r="BB301" s="480"/>
      <c r="BC301" s="480"/>
      <c r="BD301" s="480"/>
      <c r="BE301" s="213"/>
      <c r="BF301" s="479"/>
      <c r="BG301" s="479"/>
      <c r="BH301" s="372"/>
      <c r="BI301" s="472"/>
      <c r="BJ301" s="481"/>
      <c r="BK301" s="310"/>
      <c r="BL301" s="310">
        <f t="shared" si="1"/>
        <v>0</v>
      </c>
      <c r="BM301" s="7"/>
    </row>
    <row r="302" spans="1:65" ht="21" customHeight="1">
      <c r="A302" s="503"/>
      <c r="B302" s="483" t="s">
        <v>674</v>
      </c>
      <c r="C302" s="484" t="s">
        <v>200</v>
      </c>
      <c r="D302" s="504" t="s">
        <v>271</v>
      </c>
      <c r="E302" s="477"/>
      <c r="F302" s="477"/>
      <c r="G302" s="477"/>
      <c r="H302" s="477"/>
      <c r="I302" s="477"/>
      <c r="J302" s="477"/>
      <c r="K302" s="213"/>
      <c r="L302" s="478"/>
      <c r="M302" s="478"/>
      <c r="N302" s="478"/>
      <c r="O302" s="478"/>
      <c r="P302" s="478"/>
      <c r="Q302" s="478"/>
      <c r="R302" s="478"/>
      <c r="S302" s="478"/>
      <c r="T302" s="478"/>
      <c r="U302" s="478"/>
      <c r="V302" s="479"/>
      <c r="W302" s="478"/>
      <c r="X302" s="478"/>
      <c r="Y302" s="478"/>
      <c r="Z302" s="478"/>
      <c r="AA302" s="478"/>
      <c r="AB302" s="478"/>
      <c r="AC302" s="478"/>
      <c r="AD302" s="478"/>
      <c r="AE302" s="478"/>
      <c r="AF302" s="213"/>
      <c r="AG302" s="480"/>
      <c r="AH302" s="480"/>
      <c r="AI302" s="480"/>
      <c r="AJ302" s="480"/>
      <c r="AK302" s="480"/>
      <c r="AL302" s="480"/>
      <c r="AM302" s="480"/>
      <c r="AN302" s="480"/>
      <c r="AO302" s="480"/>
      <c r="AP302" s="480"/>
      <c r="AQ302" s="480"/>
      <c r="AR302" s="480"/>
      <c r="AS302" s="480"/>
      <c r="AT302" s="480"/>
      <c r="AU302" s="480"/>
      <c r="AV302" s="480"/>
      <c r="AW302" s="480"/>
      <c r="AX302" s="480"/>
      <c r="AY302" s="480"/>
      <c r="AZ302" s="480"/>
      <c r="BA302" s="480"/>
      <c r="BB302" s="480"/>
      <c r="BC302" s="480"/>
      <c r="BD302" s="480"/>
      <c r="BE302" s="213"/>
      <c r="BF302" s="479"/>
      <c r="BG302" s="479"/>
      <c r="BH302" s="372"/>
      <c r="BI302" s="472"/>
      <c r="BJ302" s="481"/>
      <c r="BK302" s="310"/>
      <c r="BL302" s="310">
        <f t="shared" si="1"/>
        <v>0</v>
      </c>
      <c r="BM302" s="7"/>
    </row>
    <row r="303" spans="1:65" ht="21" customHeight="1">
      <c r="A303" s="503"/>
      <c r="B303" s="483" t="s">
        <v>675</v>
      </c>
      <c r="C303" s="484" t="s">
        <v>203</v>
      </c>
      <c r="D303" s="504" t="s">
        <v>271</v>
      </c>
      <c r="E303" s="477"/>
      <c r="F303" s="477"/>
      <c r="G303" s="477"/>
      <c r="H303" s="477"/>
      <c r="I303" s="477"/>
      <c r="J303" s="477"/>
      <c r="K303" s="213"/>
      <c r="L303" s="478"/>
      <c r="M303" s="478"/>
      <c r="N303" s="478"/>
      <c r="O303" s="478"/>
      <c r="P303" s="478"/>
      <c r="Q303" s="478"/>
      <c r="R303" s="478"/>
      <c r="S303" s="478"/>
      <c r="T303" s="478"/>
      <c r="U303" s="478"/>
      <c r="V303" s="479"/>
      <c r="W303" s="478"/>
      <c r="X303" s="478"/>
      <c r="Y303" s="478"/>
      <c r="Z303" s="478"/>
      <c r="AA303" s="478"/>
      <c r="AB303" s="478"/>
      <c r="AC303" s="478"/>
      <c r="AD303" s="478"/>
      <c r="AE303" s="478"/>
      <c r="AF303" s="213"/>
      <c r="AG303" s="480"/>
      <c r="AH303" s="480"/>
      <c r="AI303" s="480"/>
      <c r="AJ303" s="480"/>
      <c r="AK303" s="480"/>
      <c r="AL303" s="480"/>
      <c r="AM303" s="480"/>
      <c r="AN303" s="480"/>
      <c r="AO303" s="480"/>
      <c r="AP303" s="480"/>
      <c r="AQ303" s="480"/>
      <c r="AR303" s="480"/>
      <c r="AS303" s="480"/>
      <c r="AT303" s="480"/>
      <c r="AU303" s="480"/>
      <c r="AV303" s="480"/>
      <c r="AW303" s="480"/>
      <c r="AX303" s="480"/>
      <c r="AY303" s="480"/>
      <c r="AZ303" s="480"/>
      <c r="BA303" s="480"/>
      <c r="BB303" s="480"/>
      <c r="BC303" s="480"/>
      <c r="BD303" s="480"/>
      <c r="BE303" s="213"/>
      <c r="BF303" s="479"/>
      <c r="BG303" s="479"/>
      <c r="BH303" s="372"/>
      <c r="BI303" s="472"/>
      <c r="BJ303" s="481"/>
      <c r="BK303" s="310"/>
      <c r="BL303" s="310">
        <f t="shared" si="1"/>
        <v>0</v>
      </c>
      <c r="BM303" s="7"/>
    </row>
    <row r="304" spans="1:65" ht="21" customHeight="1">
      <c r="A304" s="503"/>
      <c r="B304" s="483" t="s">
        <v>676</v>
      </c>
      <c r="C304" s="484" t="s">
        <v>159</v>
      </c>
      <c r="D304" s="504" t="s">
        <v>271</v>
      </c>
      <c r="E304" s="477"/>
      <c r="F304" s="477"/>
      <c r="G304" s="477"/>
      <c r="H304" s="477"/>
      <c r="I304" s="477"/>
      <c r="J304" s="477"/>
      <c r="K304" s="213"/>
      <c r="L304" s="478"/>
      <c r="M304" s="478"/>
      <c r="N304" s="478"/>
      <c r="O304" s="478"/>
      <c r="P304" s="478"/>
      <c r="Q304" s="478"/>
      <c r="R304" s="478"/>
      <c r="S304" s="478"/>
      <c r="T304" s="478"/>
      <c r="U304" s="478"/>
      <c r="V304" s="479"/>
      <c r="W304" s="478"/>
      <c r="X304" s="478"/>
      <c r="Y304" s="478"/>
      <c r="Z304" s="478"/>
      <c r="AA304" s="478"/>
      <c r="AB304" s="478"/>
      <c r="AC304" s="478"/>
      <c r="AD304" s="478"/>
      <c r="AE304" s="478"/>
      <c r="AF304" s="213"/>
      <c r="AG304" s="480"/>
      <c r="AH304" s="480"/>
      <c r="AI304" s="480"/>
      <c r="AJ304" s="480"/>
      <c r="AK304" s="480"/>
      <c r="AL304" s="480"/>
      <c r="AM304" s="480"/>
      <c r="AN304" s="480"/>
      <c r="AO304" s="480"/>
      <c r="AP304" s="480"/>
      <c r="AQ304" s="480"/>
      <c r="AR304" s="480"/>
      <c r="AS304" s="480"/>
      <c r="AT304" s="480"/>
      <c r="AU304" s="480"/>
      <c r="AV304" s="480"/>
      <c r="AW304" s="480"/>
      <c r="AX304" s="480"/>
      <c r="AY304" s="480"/>
      <c r="AZ304" s="480"/>
      <c r="BA304" s="480"/>
      <c r="BB304" s="480"/>
      <c r="BC304" s="480"/>
      <c r="BD304" s="480"/>
      <c r="BE304" s="213"/>
      <c r="BF304" s="479"/>
      <c r="BG304" s="479"/>
      <c r="BH304" s="372"/>
      <c r="BI304" s="472"/>
      <c r="BJ304" s="481"/>
      <c r="BK304" s="310"/>
      <c r="BL304" s="310">
        <f t="shared" si="1"/>
        <v>0</v>
      </c>
      <c r="BM304" s="7"/>
    </row>
    <row r="305" spans="1:65" ht="21" customHeight="1">
      <c r="A305" s="486"/>
      <c r="B305" s="487" t="s">
        <v>677</v>
      </c>
      <c r="C305" s="511" t="s">
        <v>678</v>
      </c>
      <c r="D305" s="485" t="s">
        <v>271</v>
      </c>
      <c r="E305" s="477"/>
      <c r="F305" s="477"/>
      <c r="G305" s="477"/>
      <c r="H305" s="477"/>
      <c r="I305" s="477"/>
      <c r="J305" s="477"/>
      <c r="K305" s="213"/>
      <c r="L305" s="478"/>
      <c r="M305" s="478"/>
      <c r="N305" s="478"/>
      <c r="O305" s="478"/>
      <c r="P305" s="478"/>
      <c r="Q305" s="478"/>
      <c r="R305" s="478"/>
      <c r="S305" s="478"/>
      <c r="T305" s="478"/>
      <c r="U305" s="478"/>
      <c r="V305" s="479"/>
      <c r="W305" s="478"/>
      <c r="X305" s="478"/>
      <c r="Y305" s="478"/>
      <c r="Z305" s="478"/>
      <c r="AA305" s="478"/>
      <c r="AB305" s="478"/>
      <c r="AC305" s="478"/>
      <c r="AD305" s="478"/>
      <c r="AE305" s="478"/>
      <c r="AF305" s="213"/>
      <c r="AG305" s="480"/>
      <c r="AH305" s="480"/>
      <c r="AI305" s="480"/>
      <c r="AJ305" s="480"/>
      <c r="AK305" s="480"/>
      <c r="AL305" s="480"/>
      <c r="AM305" s="480"/>
      <c r="AN305" s="480"/>
      <c r="AO305" s="480"/>
      <c r="AP305" s="480"/>
      <c r="AQ305" s="480"/>
      <c r="AR305" s="480"/>
      <c r="AS305" s="480"/>
      <c r="AT305" s="480"/>
      <c r="AU305" s="480"/>
      <c r="AV305" s="480"/>
      <c r="AW305" s="480"/>
      <c r="AX305" s="480"/>
      <c r="AY305" s="480"/>
      <c r="AZ305" s="480"/>
      <c r="BA305" s="480"/>
      <c r="BB305" s="480"/>
      <c r="BC305" s="480"/>
      <c r="BD305" s="480"/>
      <c r="BE305" s="213"/>
      <c r="BF305" s="479"/>
      <c r="BG305" s="479"/>
      <c r="BH305" s="372"/>
      <c r="BI305" s="472"/>
      <c r="BJ305" s="481"/>
      <c r="BK305" s="310"/>
      <c r="BL305" s="310">
        <f t="shared" si="1"/>
        <v>0</v>
      </c>
      <c r="BM305" s="7"/>
    </row>
    <row r="306" spans="1:65" ht="21" customHeight="1">
      <c r="A306" s="503"/>
      <c r="B306" s="483" t="s">
        <v>679</v>
      </c>
      <c r="C306" s="484" t="s">
        <v>131</v>
      </c>
      <c r="D306" s="504" t="s">
        <v>271</v>
      </c>
      <c r="E306" s="477"/>
      <c r="F306" s="477"/>
      <c r="G306" s="477"/>
      <c r="H306" s="477"/>
      <c r="I306" s="477"/>
      <c r="J306" s="477"/>
      <c r="K306" s="213"/>
      <c r="L306" s="478"/>
      <c r="M306" s="478"/>
      <c r="N306" s="478"/>
      <c r="O306" s="478"/>
      <c r="P306" s="478"/>
      <c r="Q306" s="478"/>
      <c r="R306" s="478"/>
      <c r="S306" s="478"/>
      <c r="T306" s="478"/>
      <c r="U306" s="478"/>
      <c r="V306" s="479"/>
      <c r="W306" s="478"/>
      <c r="X306" s="478"/>
      <c r="Y306" s="478"/>
      <c r="Z306" s="478"/>
      <c r="AA306" s="478"/>
      <c r="AB306" s="478"/>
      <c r="AC306" s="478"/>
      <c r="AD306" s="478"/>
      <c r="AE306" s="478"/>
      <c r="AF306" s="213"/>
      <c r="AG306" s="480"/>
      <c r="AH306" s="480"/>
      <c r="AI306" s="480"/>
      <c r="AJ306" s="480"/>
      <c r="AK306" s="480"/>
      <c r="AL306" s="480"/>
      <c r="AM306" s="480"/>
      <c r="AN306" s="480"/>
      <c r="AO306" s="480"/>
      <c r="AP306" s="480"/>
      <c r="AQ306" s="480"/>
      <c r="AR306" s="480"/>
      <c r="AS306" s="480"/>
      <c r="AT306" s="480"/>
      <c r="AU306" s="480"/>
      <c r="AV306" s="480"/>
      <c r="AW306" s="480"/>
      <c r="AX306" s="480"/>
      <c r="AY306" s="480"/>
      <c r="AZ306" s="480"/>
      <c r="BA306" s="480"/>
      <c r="BB306" s="480"/>
      <c r="BC306" s="480"/>
      <c r="BD306" s="480"/>
      <c r="BE306" s="213"/>
      <c r="BF306" s="479"/>
      <c r="BG306" s="479"/>
      <c r="BH306" s="372"/>
      <c r="BI306" s="472"/>
      <c r="BJ306" s="481"/>
      <c r="BK306" s="310"/>
      <c r="BL306" s="310">
        <f t="shared" si="1"/>
        <v>0</v>
      </c>
      <c r="BM306" s="7"/>
    </row>
    <row r="307" spans="1:65" ht="21" customHeight="1">
      <c r="A307" s="503"/>
      <c r="B307" s="483" t="s">
        <v>680</v>
      </c>
      <c r="C307" s="484" t="s">
        <v>200</v>
      </c>
      <c r="D307" s="504" t="s">
        <v>271</v>
      </c>
      <c r="E307" s="477"/>
      <c r="F307" s="477"/>
      <c r="G307" s="477"/>
      <c r="H307" s="477"/>
      <c r="I307" s="477"/>
      <c r="J307" s="477"/>
      <c r="K307" s="213"/>
      <c r="L307" s="478"/>
      <c r="M307" s="478"/>
      <c r="N307" s="478"/>
      <c r="O307" s="478"/>
      <c r="P307" s="478"/>
      <c r="Q307" s="478"/>
      <c r="R307" s="478"/>
      <c r="S307" s="478"/>
      <c r="T307" s="478"/>
      <c r="U307" s="478"/>
      <c r="V307" s="479"/>
      <c r="W307" s="478"/>
      <c r="X307" s="478"/>
      <c r="Y307" s="478"/>
      <c r="Z307" s="478"/>
      <c r="AA307" s="478"/>
      <c r="AB307" s="478"/>
      <c r="AC307" s="478"/>
      <c r="AD307" s="478"/>
      <c r="AE307" s="478"/>
      <c r="AF307" s="213"/>
      <c r="AG307" s="480"/>
      <c r="AH307" s="480"/>
      <c r="AI307" s="480"/>
      <c r="AJ307" s="480"/>
      <c r="AK307" s="480"/>
      <c r="AL307" s="480"/>
      <c r="AM307" s="480"/>
      <c r="AN307" s="480"/>
      <c r="AO307" s="480"/>
      <c r="AP307" s="480"/>
      <c r="AQ307" s="480"/>
      <c r="AR307" s="480"/>
      <c r="AS307" s="480"/>
      <c r="AT307" s="480"/>
      <c r="AU307" s="480"/>
      <c r="AV307" s="480"/>
      <c r="AW307" s="480"/>
      <c r="AX307" s="480"/>
      <c r="AY307" s="480"/>
      <c r="AZ307" s="480"/>
      <c r="BA307" s="480"/>
      <c r="BB307" s="480"/>
      <c r="BC307" s="480"/>
      <c r="BD307" s="480"/>
      <c r="BE307" s="213"/>
      <c r="BF307" s="479"/>
      <c r="BG307" s="479"/>
      <c r="BH307" s="372"/>
      <c r="BI307" s="472"/>
      <c r="BJ307" s="481"/>
      <c r="BK307" s="310"/>
      <c r="BL307" s="310">
        <f t="shared" si="1"/>
        <v>0</v>
      </c>
      <c r="BM307" s="7"/>
    </row>
    <row r="308" spans="1:65" ht="21" customHeight="1">
      <c r="A308" s="503"/>
      <c r="B308" s="483" t="s">
        <v>681</v>
      </c>
      <c r="C308" s="484" t="s">
        <v>203</v>
      </c>
      <c r="D308" s="504" t="s">
        <v>271</v>
      </c>
      <c r="E308" s="477"/>
      <c r="F308" s="477"/>
      <c r="G308" s="477"/>
      <c r="H308" s="477"/>
      <c r="I308" s="477"/>
      <c r="J308" s="477"/>
      <c r="K308" s="213"/>
      <c r="L308" s="478"/>
      <c r="M308" s="478"/>
      <c r="N308" s="478"/>
      <c r="O308" s="478"/>
      <c r="P308" s="478"/>
      <c r="Q308" s="478"/>
      <c r="R308" s="478"/>
      <c r="S308" s="478"/>
      <c r="T308" s="478"/>
      <c r="U308" s="478"/>
      <c r="V308" s="479"/>
      <c r="W308" s="478"/>
      <c r="X308" s="478"/>
      <c r="Y308" s="478"/>
      <c r="Z308" s="478"/>
      <c r="AA308" s="478"/>
      <c r="AB308" s="478"/>
      <c r="AC308" s="478"/>
      <c r="AD308" s="478"/>
      <c r="AE308" s="478"/>
      <c r="AF308" s="213"/>
      <c r="AG308" s="480"/>
      <c r="AH308" s="480"/>
      <c r="AI308" s="480"/>
      <c r="AJ308" s="480"/>
      <c r="AK308" s="480"/>
      <c r="AL308" s="480"/>
      <c r="AM308" s="480"/>
      <c r="AN308" s="480"/>
      <c r="AO308" s="480"/>
      <c r="AP308" s="480"/>
      <c r="AQ308" s="480"/>
      <c r="AR308" s="480"/>
      <c r="AS308" s="480"/>
      <c r="AT308" s="480"/>
      <c r="AU308" s="480"/>
      <c r="AV308" s="480"/>
      <c r="AW308" s="480"/>
      <c r="AX308" s="480"/>
      <c r="AY308" s="480"/>
      <c r="AZ308" s="480"/>
      <c r="BA308" s="480"/>
      <c r="BB308" s="480"/>
      <c r="BC308" s="480"/>
      <c r="BD308" s="480"/>
      <c r="BE308" s="213"/>
      <c r="BF308" s="479"/>
      <c r="BG308" s="479"/>
      <c r="BH308" s="372"/>
      <c r="BI308" s="472"/>
      <c r="BJ308" s="481"/>
      <c r="BK308" s="310"/>
      <c r="BL308" s="310">
        <f t="shared" si="1"/>
        <v>0</v>
      </c>
      <c r="BM308" s="7"/>
    </row>
    <row r="309" spans="1:65" ht="21" customHeight="1">
      <c r="A309" s="503"/>
      <c r="B309" s="483" t="s">
        <v>682</v>
      </c>
      <c r="C309" s="484" t="s">
        <v>159</v>
      </c>
      <c r="D309" s="504" t="s">
        <v>271</v>
      </c>
      <c r="E309" s="477"/>
      <c r="F309" s="477"/>
      <c r="G309" s="477"/>
      <c r="H309" s="477"/>
      <c r="I309" s="477"/>
      <c r="J309" s="477"/>
      <c r="K309" s="213"/>
      <c r="L309" s="478"/>
      <c r="M309" s="478"/>
      <c r="N309" s="478"/>
      <c r="O309" s="478"/>
      <c r="P309" s="478"/>
      <c r="Q309" s="478"/>
      <c r="R309" s="478"/>
      <c r="S309" s="478"/>
      <c r="T309" s="478"/>
      <c r="U309" s="478"/>
      <c r="V309" s="479"/>
      <c r="W309" s="478"/>
      <c r="X309" s="478"/>
      <c r="Y309" s="478"/>
      <c r="Z309" s="478"/>
      <c r="AA309" s="478"/>
      <c r="AB309" s="478"/>
      <c r="AC309" s="478"/>
      <c r="AD309" s="478"/>
      <c r="AE309" s="478"/>
      <c r="AF309" s="213"/>
      <c r="AG309" s="480"/>
      <c r="AH309" s="480"/>
      <c r="AI309" s="480"/>
      <c r="AJ309" s="480"/>
      <c r="AK309" s="480"/>
      <c r="AL309" s="480"/>
      <c r="AM309" s="480"/>
      <c r="AN309" s="480"/>
      <c r="AO309" s="480"/>
      <c r="AP309" s="480"/>
      <c r="AQ309" s="480"/>
      <c r="AR309" s="480"/>
      <c r="AS309" s="480"/>
      <c r="AT309" s="480"/>
      <c r="AU309" s="480"/>
      <c r="AV309" s="480"/>
      <c r="AW309" s="480"/>
      <c r="AX309" s="480"/>
      <c r="AY309" s="480"/>
      <c r="AZ309" s="480"/>
      <c r="BA309" s="480"/>
      <c r="BB309" s="480"/>
      <c r="BC309" s="480"/>
      <c r="BD309" s="480"/>
      <c r="BE309" s="213"/>
      <c r="BF309" s="479"/>
      <c r="BG309" s="479"/>
      <c r="BH309" s="372"/>
      <c r="BI309" s="472"/>
      <c r="BJ309" s="481"/>
      <c r="BK309" s="310"/>
      <c r="BL309" s="310">
        <f t="shared" si="1"/>
        <v>0</v>
      </c>
      <c r="BM309" s="7"/>
    </row>
    <row r="310" spans="1:65" ht="21" customHeight="1">
      <c r="A310" s="486"/>
      <c r="B310" s="487" t="s">
        <v>683</v>
      </c>
      <c r="C310" s="511" t="s">
        <v>684</v>
      </c>
      <c r="D310" s="485" t="s">
        <v>271</v>
      </c>
      <c r="E310" s="477"/>
      <c r="F310" s="477"/>
      <c r="G310" s="477"/>
      <c r="H310" s="477"/>
      <c r="I310" s="477"/>
      <c r="J310" s="477"/>
      <c r="K310" s="213"/>
      <c r="L310" s="478"/>
      <c r="M310" s="478"/>
      <c r="N310" s="478"/>
      <c r="O310" s="478"/>
      <c r="P310" s="478"/>
      <c r="Q310" s="478"/>
      <c r="R310" s="478"/>
      <c r="S310" s="478"/>
      <c r="T310" s="478"/>
      <c r="U310" s="478"/>
      <c r="V310" s="479"/>
      <c r="W310" s="478"/>
      <c r="X310" s="478"/>
      <c r="Y310" s="478"/>
      <c r="Z310" s="478"/>
      <c r="AA310" s="478"/>
      <c r="AB310" s="478"/>
      <c r="AC310" s="478"/>
      <c r="AD310" s="478"/>
      <c r="AE310" s="478"/>
      <c r="AF310" s="213"/>
      <c r="AG310" s="480"/>
      <c r="AH310" s="480"/>
      <c r="AI310" s="480"/>
      <c r="AJ310" s="480"/>
      <c r="AK310" s="480"/>
      <c r="AL310" s="480"/>
      <c r="AM310" s="480"/>
      <c r="AN310" s="480"/>
      <c r="AO310" s="480"/>
      <c r="AP310" s="480"/>
      <c r="AQ310" s="480"/>
      <c r="AR310" s="480"/>
      <c r="AS310" s="480"/>
      <c r="AT310" s="480"/>
      <c r="AU310" s="480"/>
      <c r="AV310" s="480"/>
      <c r="AW310" s="480"/>
      <c r="AX310" s="480"/>
      <c r="AY310" s="480"/>
      <c r="AZ310" s="480"/>
      <c r="BA310" s="480"/>
      <c r="BB310" s="480"/>
      <c r="BC310" s="480"/>
      <c r="BD310" s="480"/>
      <c r="BE310" s="213"/>
      <c r="BF310" s="479"/>
      <c r="BG310" s="479"/>
      <c r="BH310" s="372"/>
      <c r="BI310" s="472"/>
      <c r="BJ310" s="481"/>
      <c r="BK310" s="310"/>
      <c r="BL310" s="310">
        <f t="shared" si="1"/>
        <v>0</v>
      </c>
      <c r="BM310" s="7"/>
    </row>
    <row r="311" spans="1:65" ht="21" customHeight="1">
      <c r="A311" s="503"/>
      <c r="B311" s="483" t="s">
        <v>685</v>
      </c>
      <c r="C311" s="484" t="s">
        <v>131</v>
      </c>
      <c r="D311" s="504" t="s">
        <v>271</v>
      </c>
      <c r="E311" s="477"/>
      <c r="F311" s="477"/>
      <c r="G311" s="477"/>
      <c r="H311" s="477"/>
      <c r="I311" s="477"/>
      <c r="J311" s="477"/>
      <c r="K311" s="213"/>
      <c r="L311" s="478"/>
      <c r="M311" s="478"/>
      <c r="N311" s="478"/>
      <c r="O311" s="478"/>
      <c r="P311" s="478"/>
      <c r="Q311" s="478"/>
      <c r="R311" s="478"/>
      <c r="S311" s="478"/>
      <c r="T311" s="478"/>
      <c r="U311" s="478"/>
      <c r="V311" s="479"/>
      <c r="W311" s="478"/>
      <c r="X311" s="478"/>
      <c r="Y311" s="478"/>
      <c r="Z311" s="478"/>
      <c r="AA311" s="478"/>
      <c r="AB311" s="478"/>
      <c r="AC311" s="478"/>
      <c r="AD311" s="478"/>
      <c r="AE311" s="478"/>
      <c r="AF311" s="213"/>
      <c r="AG311" s="480"/>
      <c r="AH311" s="480"/>
      <c r="AI311" s="480"/>
      <c r="AJ311" s="480"/>
      <c r="AK311" s="480"/>
      <c r="AL311" s="480"/>
      <c r="AM311" s="480"/>
      <c r="AN311" s="480"/>
      <c r="AO311" s="480"/>
      <c r="AP311" s="480"/>
      <c r="AQ311" s="480"/>
      <c r="AR311" s="480"/>
      <c r="AS311" s="480"/>
      <c r="AT311" s="480"/>
      <c r="AU311" s="480"/>
      <c r="AV311" s="480"/>
      <c r="AW311" s="480"/>
      <c r="AX311" s="480"/>
      <c r="AY311" s="480"/>
      <c r="AZ311" s="480"/>
      <c r="BA311" s="480"/>
      <c r="BB311" s="480"/>
      <c r="BC311" s="480"/>
      <c r="BD311" s="480"/>
      <c r="BE311" s="213"/>
      <c r="BF311" s="479"/>
      <c r="BG311" s="479"/>
      <c r="BH311" s="372"/>
      <c r="BI311" s="472"/>
      <c r="BJ311" s="481"/>
      <c r="BK311" s="310"/>
      <c r="BL311" s="310">
        <f t="shared" si="1"/>
        <v>0</v>
      </c>
      <c r="BM311" s="7"/>
    </row>
    <row r="312" spans="1:65" ht="21" customHeight="1">
      <c r="A312" s="503"/>
      <c r="B312" s="483" t="s">
        <v>686</v>
      </c>
      <c r="C312" s="484" t="s">
        <v>200</v>
      </c>
      <c r="D312" s="504" t="s">
        <v>271</v>
      </c>
      <c r="E312" s="477"/>
      <c r="F312" s="477"/>
      <c r="G312" s="477"/>
      <c r="H312" s="477"/>
      <c r="I312" s="477"/>
      <c r="J312" s="477"/>
      <c r="K312" s="213"/>
      <c r="L312" s="478"/>
      <c r="M312" s="478"/>
      <c r="N312" s="478"/>
      <c r="O312" s="478"/>
      <c r="P312" s="478"/>
      <c r="Q312" s="478"/>
      <c r="R312" s="478"/>
      <c r="S312" s="478"/>
      <c r="T312" s="478"/>
      <c r="U312" s="478"/>
      <c r="V312" s="479"/>
      <c r="W312" s="478"/>
      <c r="X312" s="478"/>
      <c r="Y312" s="478"/>
      <c r="Z312" s="478"/>
      <c r="AA312" s="478"/>
      <c r="AB312" s="478"/>
      <c r="AC312" s="478"/>
      <c r="AD312" s="478"/>
      <c r="AE312" s="478"/>
      <c r="AF312" s="213"/>
      <c r="AG312" s="480"/>
      <c r="AH312" s="480"/>
      <c r="AI312" s="480"/>
      <c r="AJ312" s="480"/>
      <c r="AK312" s="480"/>
      <c r="AL312" s="480"/>
      <c r="AM312" s="480"/>
      <c r="AN312" s="480"/>
      <c r="AO312" s="480"/>
      <c r="AP312" s="480"/>
      <c r="AQ312" s="480"/>
      <c r="AR312" s="480"/>
      <c r="AS312" s="480"/>
      <c r="AT312" s="480"/>
      <c r="AU312" s="480"/>
      <c r="AV312" s="480"/>
      <c r="AW312" s="480"/>
      <c r="AX312" s="480"/>
      <c r="AY312" s="480"/>
      <c r="AZ312" s="480"/>
      <c r="BA312" s="480"/>
      <c r="BB312" s="480"/>
      <c r="BC312" s="480"/>
      <c r="BD312" s="480"/>
      <c r="BE312" s="213"/>
      <c r="BF312" s="479"/>
      <c r="BG312" s="479"/>
      <c r="BH312" s="372"/>
      <c r="BI312" s="472"/>
      <c r="BJ312" s="481"/>
      <c r="BK312" s="310"/>
      <c r="BL312" s="310">
        <f t="shared" si="1"/>
        <v>0</v>
      </c>
      <c r="BM312" s="7"/>
    </row>
    <row r="313" spans="1:65" ht="21" customHeight="1">
      <c r="A313" s="503"/>
      <c r="B313" s="483" t="s">
        <v>687</v>
      </c>
      <c r="C313" s="484" t="s">
        <v>203</v>
      </c>
      <c r="D313" s="504" t="s">
        <v>271</v>
      </c>
      <c r="E313" s="477"/>
      <c r="F313" s="477"/>
      <c r="G313" s="477"/>
      <c r="H313" s="477"/>
      <c r="I313" s="477"/>
      <c r="J313" s="477"/>
      <c r="K313" s="213"/>
      <c r="L313" s="478"/>
      <c r="M313" s="478"/>
      <c r="N313" s="478"/>
      <c r="O313" s="478"/>
      <c r="P313" s="478"/>
      <c r="Q313" s="478"/>
      <c r="R313" s="478"/>
      <c r="S313" s="478"/>
      <c r="T313" s="478"/>
      <c r="U313" s="478"/>
      <c r="V313" s="479"/>
      <c r="W313" s="478"/>
      <c r="X313" s="478"/>
      <c r="Y313" s="478"/>
      <c r="Z313" s="478"/>
      <c r="AA313" s="478"/>
      <c r="AB313" s="478"/>
      <c r="AC313" s="478"/>
      <c r="AD313" s="478"/>
      <c r="AE313" s="478"/>
      <c r="AF313" s="213"/>
      <c r="AG313" s="480"/>
      <c r="AH313" s="480"/>
      <c r="AI313" s="480"/>
      <c r="AJ313" s="480"/>
      <c r="AK313" s="480"/>
      <c r="AL313" s="480"/>
      <c r="AM313" s="480"/>
      <c r="AN313" s="480"/>
      <c r="AO313" s="480"/>
      <c r="AP313" s="480"/>
      <c r="AQ313" s="480"/>
      <c r="AR313" s="480"/>
      <c r="AS313" s="480"/>
      <c r="AT313" s="480"/>
      <c r="AU313" s="480"/>
      <c r="AV313" s="480"/>
      <c r="AW313" s="480"/>
      <c r="AX313" s="480"/>
      <c r="AY313" s="480"/>
      <c r="AZ313" s="480"/>
      <c r="BA313" s="480"/>
      <c r="BB313" s="480"/>
      <c r="BC313" s="480"/>
      <c r="BD313" s="480"/>
      <c r="BE313" s="213"/>
      <c r="BF313" s="479"/>
      <c r="BG313" s="479"/>
      <c r="BH313" s="372"/>
      <c r="BI313" s="472"/>
      <c r="BJ313" s="481"/>
      <c r="BK313" s="310"/>
      <c r="BL313" s="310">
        <f t="shared" si="1"/>
        <v>0</v>
      </c>
      <c r="BM313" s="7"/>
    </row>
    <row r="314" spans="1:65" ht="21" customHeight="1">
      <c r="A314" s="503"/>
      <c r="B314" s="483" t="s">
        <v>688</v>
      </c>
      <c r="C314" s="484" t="s">
        <v>159</v>
      </c>
      <c r="D314" s="504" t="s">
        <v>271</v>
      </c>
      <c r="E314" s="477"/>
      <c r="F314" s="477"/>
      <c r="G314" s="477"/>
      <c r="H314" s="477"/>
      <c r="I314" s="477"/>
      <c r="J314" s="477"/>
      <c r="K314" s="213"/>
      <c r="L314" s="478"/>
      <c r="M314" s="478"/>
      <c r="N314" s="478"/>
      <c r="O314" s="478"/>
      <c r="P314" s="478"/>
      <c r="Q314" s="478"/>
      <c r="R314" s="478"/>
      <c r="S314" s="478"/>
      <c r="T314" s="478"/>
      <c r="U314" s="478"/>
      <c r="V314" s="479"/>
      <c r="W314" s="478"/>
      <c r="X314" s="478"/>
      <c r="Y314" s="478"/>
      <c r="Z314" s="478"/>
      <c r="AA314" s="478"/>
      <c r="AB314" s="478"/>
      <c r="AC314" s="478"/>
      <c r="AD314" s="478"/>
      <c r="AE314" s="478"/>
      <c r="AF314" s="213"/>
      <c r="AG314" s="480"/>
      <c r="AH314" s="480"/>
      <c r="AI314" s="480"/>
      <c r="AJ314" s="480"/>
      <c r="AK314" s="480"/>
      <c r="AL314" s="480"/>
      <c r="AM314" s="480"/>
      <c r="AN314" s="480"/>
      <c r="AO314" s="480"/>
      <c r="AP314" s="480"/>
      <c r="AQ314" s="480"/>
      <c r="AR314" s="480"/>
      <c r="AS314" s="480"/>
      <c r="AT314" s="480"/>
      <c r="AU314" s="480"/>
      <c r="AV314" s="480"/>
      <c r="AW314" s="480"/>
      <c r="AX314" s="480"/>
      <c r="AY314" s="480"/>
      <c r="AZ314" s="480"/>
      <c r="BA314" s="480"/>
      <c r="BB314" s="480"/>
      <c r="BC314" s="480"/>
      <c r="BD314" s="480"/>
      <c r="BE314" s="213"/>
      <c r="BF314" s="479"/>
      <c r="BG314" s="479"/>
      <c r="BH314" s="372"/>
      <c r="BI314" s="472"/>
      <c r="BJ314" s="481"/>
      <c r="BK314" s="310"/>
      <c r="BL314" s="310">
        <f t="shared" si="1"/>
        <v>0</v>
      </c>
      <c r="BM314" s="7"/>
    </row>
    <row r="315" spans="1:65" ht="21" customHeight="1">
      <c r="A315" s="486"/>
      <c r="B315" s="487" t="s">
        <v>689</v>
      </c>
      <c r="C315" s="488" t="s">
        <v>690</v>
      </c>
      <c r="D315" s="512" t="s">
        <v>271</v>
      </c>
      <c r="E315" s="477"/>
      <c r="F315" s="477"/>
      <c r="G315" s="477"/>
      <c r="H315" s="477"/>
      <c r="I315" s="477"/>
      <c r="J315" s="477"/>
      <c r="K315" s="213"/>
      <c r="L315" s="478"/>
      <c r="M315" s="478"/>
      <c r="N315" s="478"/>
      <c r="O315" s="478"/>
      <c r="P315" s="478"/>
      <c r="Q315" s="478"/>
      <c r="R315" s="478"/>
      <c r="S315" s="478"/>
      <c r="T315" s="478"/>
      <c r="U315" s="478"/>
      <c r="V315" s="479"/>
      <c r="W315" s="478"/>
      <c r="X315" s="478"/>
      <c r="Y315" s="478"/>
      <c r="Z315" s="478"/>
      <c r="AA315" s="478"/>
      <c r="AB315" s="478"/>
      <c r="AC315" s="478"/>
      <c r="AD315" s="478"/>
      <c r="AE315" s="478"/>
      <c r="AF315" s="213"/>
      <c r="AG315" s="480"/>
      <c r="AH315" s="480"/>
      <c r="AI315" s="480"/>
      <c r="AJ315" s="480"/>
      <c r="AK315" s="480"/>
      <c r="AL315" s="480"/>
      <c r="AM315" s="480"/>
      <c r="AN315" s="480"/>
      <c r="AO315" s="480"/>
      <c r="AP315" s="480"/>
      <c r="AQ315" s="480"/>
      <c r="AR315" s="480"/>
      <c r="AS315" s="480"/>
      <c r="AT315" s="480"/>
      <c r="AU315" s="480"/>
      <c r="AV315" s="480"/>
      <c r="AW315" s="480"/>
      <c r="AX315" s="480"/>
      <c r="AY315" s="480"/>
      <c r="AZ315" s="480"/>
      <c r="BA315" s="480"/>
      <c r="BB315" s="480"/>
      <c r="BC315" s="480"/>
      <c r="BD315" s="480"/>
      <c r="BE315" s="213"/>
      <c r="BF315" s="479"/>
      <c r="BG315" s="479"/>
      <c r="BH315" s="372"/>
      <c r="BI315" s="472"/>
      <c r="BJ315" s="481"/>
      <c r="BK315" s="310"/>
      <c r="BL315" s="310">
        <f t="shared" si="1"/>
        <v>0</v>
      </c>
      <c r="BM315" s="7"/>
    </row>
    <row r="316" spans="1:65" ht="21" customHeight="1">
      <c r="A316" s="503"/>
      <c r="B316" s="483" t="s">
        <v>692</v>
      </c>
      <c r="C316" s="484" t="s">
        <v>131</v>
      </c>
      <c r="D316" s="504" t="s">
        <v>271</v>
      </c>
      <c r="E316" s="477"/>
      <c r="F316" s="477"/>
      <c r="G316" s="477"/>
      <c r="H316" s="477"/>
      <c r="I316" s="477"/>
      <c r="J316" s="477"/>
      <c r="K316" s="213"/>
      <c r="L316" s="478"/>
      <c r="M316" s="478"/>
      <c r="N316" s="478"/>
      <c r="O316" s="478"/>
      <c r="P316" s="478"/>
      <c r="Q316" s="478"/>
      <c r="R316" s="478"/>
      <c r="S316" s="478"/>
      <c r="T316" s="478"/>
      <c r="U316" s="478"/>
      <c r="V316" s="479"/>
      <c r="W316" s="478"/>
      <c r="X316" s="478"/>
      <c r="Y316" s="478"/>
      <c r="Z316" s="478"/>
      <c r="AA316" s="478"/>
      <c r="AB316" s="478"/>
      <c r="AC316" s="478"/>
      <c r="AD316" s="478"/>
      <c r="AE316" s="478"/>
      <c r="AF316" s="213"/>
      <c r="AG316" s="480"/>
      <c r="AH316" s="480"/>
      <c r="AI316" s="480"/>
      <c r="AJ316" s="480"/>
      <c r="AK316" s="480"/>
      <c r="AL316" s="480"/>
      <c r="AM316" s="480"/>
      <c r="AN316" s="480"/>
      <c r="AO316" s="480"/>
      <c r="AP316" s="480"/>
      <c r="AQ316" s="480"/>
      <c r="AR316" s="480"/>
      <c r="AS316" s="480"/>
      <c r="AT316" s="480"/>
      <c r="AU316" s="480"/>
      <c r="AV316" s="480"/>
      <c r="AW316" s="480"/>
      <c r="AX316" s="480"/>
      <c r="AY316" s="480"/>
      <c r="AZ316" s="480"/>
      <c r="BA316" s="480"/>
      <c r="BB316" s="480"/>
      <c r="BC316" s="480"/>
      <c r="BD316" s="480"/>
      <c r="BE316" s="213"/>
      <c r="BF316" s="479"/>
      <c r="BG316" s="479"/>
      <c r="BH316" s="372"/>
      <c r="BI316" s="472"/>
      <c r="BJ316" s="481"/>
      <c r="BK316" s="310"/>
      <c r="BL316" s="310">
        <f t="shared" si="1"/>
        <v>0</v>
      </c>
      <c r="BM316" s="7"/>
    </row>
    <row r="317" spans="1:65" ht="21" customHeight="1">
      <c r="A317" s="503"/>
      <c r="B317" s="483" t="s">
        <v>693</v>
      </c>
      <c r="C317" s="484" t="s">
        <v>200</v>
      </c>
      <c r="D317" s="504" t="s">
        <v>271</v>
      </c>
      <c r="E317" s="477"/>
      <c r="F317" s="477"/>
      <c r="G317" s="477"/>
      <c r="H317" s="477"/>
      <c r="I317" s="477"/>
      <c r="J317" s="477"/>
      <c r="K317" s="213"/>
      <c r="L317" s="478"/>
      <c r="M317" s="478"/>
      <c r="N317" s="478"/>
      <c r="O317" s="478"/>
      <c r="P317" s="478"/>
      <c r="Q317" s="478"/>
      <c r="R317" s="478"/>
      <c r="S317" s="478"/>
      <c r="T317" s="478"/>
      <c r="U317" s="478"/>
      <c r="V317" s="479"/>
      <c r="W317" s="478"/>
      <c r="X317" s="478"/>
      <c r="Y317" s="478"/>
      <c r="Z317" s="478"/>
      <c r="AA317" s="478"/>
      <c r="AB317" s="478"/>
      <c r="AC317" s="478"/>
      <c r="AD317" s="478"/>
      <c r="AE317" s="478"/>
      <c r="AF317" s="213"/>
      <c r="AG317" s="480"/>
      <c r="AH317" s="480"/>
      <c r="AI317" s="480"/>
      <c r="AJ317" s="480"/>
      <c r="AK317" s="480"/>
      <c r="AL317" s="480"/>
      <c r="AM317" s="480"/>
      <c r="AN317" s="480"/>
      <c r="AO317" s="480"/>
      <c r="AP317" s="480"/>
      <c r="AQ317" s="480"/>
      <c r="AR317" s="480"/>
      <c r="AS317" s="480"/>
      <c r="AT317" s="480"/>
      <c r="AU317" s="480"/>
      <c r="AV317" s="480"/>
      <c r="AW317" s="480"/>
      <c r="AX317" s="480"/>
      <c r="AY317" s="480"/>
      <c r="AZ317" s="480"/>
      <c r="BA317" s="480"/>
      <c r="BB317" s="480"/>
      <c r="BC317" s="480"/>
      <c r="BD317" s="480"/>
      <c r="BE317" s="213"/>
      <c r="BF317" s="479"/>
      <c r="BG317" s="479"/>
      <c r="BH317" s="372"/>
      <c r="BI317" s="472"/>
      <c r="BJ317" s="481"/>
      <c r="BK317" s="310"/>
      <c r="BL317" s="310">
        <f t="shared" si="1"/>
        <v>0</v>
      </c>
      <c r="BM317" s="7"/>
    </row>
    <row r="318" spans="1:65" ht="21" customHeight="1">
      <c r="A318" s="503"/>
      <c r="B318" s="483" t="s">
        <v>694</v>
      </c>
      <c r="C318" s="484" t="s">
        <v>203</v>
      </c>
      <c r="D318" s="504" t="s">
        <v>271</v>
      </c>
      <c r="E318" s="477"/>
      <c r="F318" s="477"/>
      <c r="G318" s="477"/>
      <c r="H318" s="477"/>
      <c r="I318" s="477"/>
      <c r="J318" s="477"/>
      <c r="K318" s="213"/>
      <c r="L318" s="478"/>
      <c r="M318" s="478"/>
      <c r="N318" s="478"/>
      <c r="O318" s="478"/>
      <c r="P318" s="478"/>
      <c r="Q318" s="478"/>
      <c r="R318" s="478"/>
      <c r="S318" s="478"/>
      <c r="T318" s="478"/>
      <c r="U318" s="478"/>
      <c r="V318" s="479"/>
      <c r="W318" s="478"/>
      <c r="X318" s="478"/>
      <c r="Y318" s="478"/>
      <c r="Z318" s="478"/>
      <c r="AA318" s="478"/>
      <c r="AB318" s="478"/>
      <c r="AC318" s="478"/>
      <c r="AD318" s="478"/>
      <c r="AE318" s="478"/>
      <c r="AF318" s="213"/>
      <c r="AG318" s="480"/>
      <c r="AH318" s="480"/>
      <c r="AI318" s="480"/>
      <c r="AJ318" s="480"/>
      <c r="AK318" s="480"/>
      <c r="AL318" s="480"/>
      <c r="AM318" s="480"/>
      <c r="AN318" s="480"/>
      <c r="AO318" s="480"/>
      <c r="AP318" s="480"/>
      <c r="AQ318" s="480"/>
      <c r="AR318" s="480"/>
      <c r="AS318" s="480"/>
      <c r="AT318" s="480"/>
      <c r="AU318" s="480"/>
      <c r="AV318" s="480"/>
      <c r="AW318" s="480"/>
      <c r="AX318" s="480"/>
      <c r="AY318" s="480"/>
      <c r="AZ318" s="480"/>
      <c r="BA318" s="480"/>
      <c r="BB318" s="480"/>
      <c r="BC318" s="480"/>
      <c r="BD318" s="480"/>
      <c r="BE318" s="213"/>
      <c r="BF318" s="479"/>
      <c r="BG318" s="479"/>
      <c r="BH318" s="372"/>
      <c r="BI318" s="472"/>
      <c r="BJ318" s="481"/>
      <c r="BK318" s="310"/>
      <c r="BL318" s="310">
        <f t="shared" si="1"/>
        <v>0</v>
      </c>
      <c r="BM318" s="7"/>
    </row>
    <row r="319" spans="1:65" ht="21" customHeight="1">
      <c r="A319" s="503"/>
      <c r="B319" s="483" t="s">
        <v>695</v>
      </c>
      <c r="C319" s="484" t="s">
        <v>159</v>
      </c>
      <c r="D319" s="504" t="s">
        <v>271</v>
      </c>
      <c r="E319" s="477"/>
      <c r="F319" s="477"/>
      <c r="G319" s="477"/>
      <c r="H319" s="477"/>
      <c r="I319" s="477"/>
      <c r="J319" s="477"/>
      <c r="K319" s="213"/>
      <c r="L319" s="478"/>
      <c r="M319" s="478"/>
      <c r="N319" s="478"/>
      <c r="O319" s="478"/>
      <c r="P319" s="478"/>
      <c r="Q319" s="478"/>
      <c r="R319" s="478"/>
      <c r="S319" s="478"/>
      <c r="T319" s="478"/>
      <c r="U319" s="478"/>
      <c r="V319" s="479"/>
      <c r="W319" s="478"/>
      <c r="X319" s="478"/>
      <c r="Y319" s="478"/>
      <c r="Z319" s="478"/>
      <c r="AA319" s="478"/>
      <c r="AB319" s="478"/>
      <c r="AC319" s="478"/>
      <c r="AD319" s="478"/>
      <c r="AE319" s="478"/>
      <c r="AF319" s="213"/>
      <c r="AG319" s="480"/>
      <c r="AH319" s="480"/>
      <c r="AI319" s="480"/>
      <c r="AJ319" s="480"/>
      <c r="AK319" s="480"/>
      <c r="AL319" s="480"/>
      <c r="AM319" s="480"/>
      <c r="AN319" s="480"/>
      <c r="AO319" s="480"/>
      <c r="AP319" s="480"/>
      <c r="AQ319" s="480"/>
      <c r="AR319" s="480"/>
      <c r="AS319" s="480"/>
      <c r="AT319" s="480"/>
      <c r="AU319" s="480"/>
      <c r="AV319" s="480"/>
      <c r="AW319" s="480"/>
      <c r="AX319" s="480"/>
      <c r="AY319" s="480"/>
      <c r="AZ319" s="480"/>
      <c r="BA319" s="480"/>
      <c r="BB319" s="480"/>
      <c r="BC319" s="480"/>
      <c r="BD319" s="480"/>
      <c r="BE319" s="213"/>
      <c r="BF319" s="479"/>
      <c r="BG319" s="479"/>
      <c r="BH319" s="372"/>
      <c r="BI319" s="472"/>
      <c r="BJ319" s="481"/>
      <c r="BK319" s="310"/>
      <c r="BL319" s="310">
        <f t="shared" si="1"/>
        <v>0</v>
      </c>
      <c r="BM319" s="7"/>
    </row>
    <row r="320" spans="1:65" ht="21" customHeight="1">
      <c r="A320" s="486"/>
      <c r="B320" s="487" t="s">
        <v>696</v>
      </c>
      <c r="C320" s="488" t="s">
        <v>697</v>
      </c>
      <c r="D320" s="412" t="s">
        <v>271</v>
      </c>
      <c r="E320" s="477"/>
      <c r="F320" s="477"/>
      <c r="G320" s="477"/>
      <c r="H320" s="477"/>
      <c r="I320" s="477"/>
      <c r="J320" s="477"/>
      <c r="K320" s="213"/>
      <c r="L320" s="478"/>
      <c r="M320" s="478"/>
      <c r="N320" s="478"/>
      <c r="O320" s="478"/>
      <c r="P320" s="478"/>
      <c r="Q320" s="478"/>
      <c r="R320" s="478"/>
      <c r="S320" s="478"/>
      <c r="T320" s="478"/>
      <c r="U320" s="478"/>
      <c r="V320" s="479"/>
      <c r="W320" s="478"/>
      <c r="X320" s="478"/>
      <c r="Y320" s="478"/>
      <c r="Z320" s="478"/>
      <c r="AA320" s="478"/>
      <c r="AB320" s="478"/>
      <c r="AC320" s="478"/>
      <c r="AD320" s="478"/>
      <c r="AE320" s="478"/>
      <c r="AF320" s="213"/>
      <c r="AG320" s="480"/>
      <c r="AH320" s="480"/>
      <c r="AI320" s="480"/>
      <c r="AJ320" s="480"/>
      <c r="AK320" s="480"/>
      <c r="AL320" s="480"/>
      <c r="AM320" s="480"/>
      <c r="AN320" s="480"/>
      <c r="AO320" s="480"/>
      <c r="AP320" s="480"/>
      <c r="AQ320" s="480"/>
      <c r="AR320" s="480"/>
      <c r="AS320" s="480"/>
      <c r="AT320" s="480"/>
      <c r="AU320" s="480"/>
      <c r="AV320" s="480"/>
      <c r="AW320" s="480"/>
      <c r="AX320" s="480"/>
      <c r="AY320" s="480"/>
      <c r="AZ320" s="480"/>
      <c r="BA320" s="480"/>
      <c r="BB320" s="480"/>
      <c r="BC320" s="480"/>
      <c r="BD320" s="480"/>
      <c r="BE320" s="213"/>
      <c r="BF320" s="479"/>
      <c r="BG320" s="479"/>
      <c r="BH320" s="372"/>
      <c r="BI320" s="472"/>
      <c r="BJ320" s="481"/>
      <c r="BK320" s="310"/>
      <c r="BL320" s="310">
        <f t="shared" si="1"/>
        <v>0</v>
      </c>
      <c r="BM320" s="7"/>
    </row>
    <row r="321" spans="1:65" ht="21" customHeight="1">
      <c r="A321" s="503"/>
      <c r="B321" s="483" t="s">
        <v>699</v>
      </c>
      <c r="C321" s="484" t="s">
        <v>131</v>
      </c>
      <c r="D321" s="504" t="s">
        <v>271</v>
      </c>
      <c r="E321" s="477"/>
      <c r="F321" s="477"/>
      <c r="G321" s="477"/>
      <c r="H321" s="477"/>
      <c r="I321" s="477"/>
      <c r="J321" s="477"/>
      <c r="K321" s="213"/>
      <c r="L321" s="478"/>
      <c r="M321" s="478"/>
      <c r="N321" s="478"/>
      <c r="O321" s="478"/>
      <c r="P321" s="478"/>
      <c r="Q321" s="478"/>
      <c r="R321" s="478"/>
      <c r="S321" s="478"/>
      <c r="T321" s="478"/>
      <c r="U321" s="478"/>
      <c r="V321" s="479"/>
      <c r="W321" s="478"/>
      <c r="X321" s="478"/>
      <c r="Y321" s="478"/>
      <c r="Z321" s="478"/>
      <c r="AA321" s="478"/>
      <c r="AB321" s="478"/>
      <c r="AC321" s="478"/>
      <c r="AD321" s="478"/>
      <c r="AE321" s="478"/>
      <c r="AF321" s="213"/>
      <c r="AG321" s="480"/>
      <c r="AH321" s="480"/>
      <c r="AI321" s="480"/>
      <c r="AJ321" s="480"/>
      <c r="AK321" s="480"/>
      <c r="AL321" s="480"/>
      <c r="AM321" s="480"/>
      <c r="AN321" s="480"/>
      <c r="AO321" s="480"/>
      <c r="AP321" s="480"/>
      <c r="AQ321" s="480"/>
      <c r="AR321" s="480"/>
      <c r="AS321" s="480"/>
      <c r="AT321" s="480"/>
      <c r="AU321" s="480"/>
      <c r="AV321" s="480"/>
      <c r="AW321" s="480"/>
      <c r="AX321" s="480"/>
      <c r="AY321" s="480"/>
      <c r="AZ321" s="480"/>
      <c r="BA321" s="480"/>
      <c r="BB321" s="480"/>
      <c r="BC321" s="480"/>
      <c r="BD321" s="480"/>
      <c r="BE321" s="213"/>
      <c r="BF321" s="479"/>
      <c r="BG321" s="479"/>
      <c r="BH321" s="372"/>
      <c r="BI321" s="472"/>
      <c r="BJ321" s="481"/>
      <c r="BK321" s="310"/>
      <c r="BL321" s="310">
        <f t="shared" si="1"/>
        <v>0</v>
      </c>
      <c r="BM321" s="7"/>
    </row>
    <row r="322" spans="1:65" ht="21" customHeight="1">
      <c r="A322" s="503"/>
      <c r="B322" s="483" t="s">
        <v>700</v>
      </c>
      <c r="C322" s="484" t="s">
        <v>200</v>
      </c>
      <c r="D322" s="504" t="s">
        <v>271</v>
      </c>
      <c r="E322" s="477"/>
      <c r="F322" s="477"/>
      <c r="G322" s="477"/>
      <c r="H322" s="477"/>
      <c r="I322" s="477"/>
      <c r="J322" s="477"/>
      <c r="K322" s="213"/>
      <c r="L322" s="478"/>
      <c r="M322" s="478"/>
      <c r="N322" s="478"/>
      <c r="O322" s="478"/>
      <c r="P322" s="478"/>
      <c r="Q322" s="478"/>
      <c r="R322" s="478"/>
      <c r="S322" s="478"/>
      <c r="T322" s="478"/>
      <c r="U322" s="478"/>
      <c r="V322" s="479"/>
      <c r="W322" s="478"/>
      <c r="X322" s="478"/>
      <c r="Y322" s="478"/>
      <c r="Z322" s="478"/>
      <c r="AA322" s="478"/>
      <c r="AB322" s="478"/>
      <c r="AC322" s="478"/>
      <c r="AD322" s="478"/>
      <c r="AE322" s="478"/>
      <c r="AF322" s="213"/>
      <c r="AG322" s="480"/>
      <c r="AH322" s="480"/>
      <c r="AI322" s="480"/>
      <c r="AJ322" s="480"/>
      <c r="AK322" s="480"/>
      <c r="AL322" s="480"/>
      <c r="AM322" s="480"/>
      <c r="AN322" s="480"/>
      <c r="AO322" s="480"/>
      <c r="AP322" s="480"/>
      <c r="AQ322" s="480"/>
      <c r="AR322" s="480"/>
      <c r="AS322" s="480"/>
      <c r="AT322" s="480"/>
      <c r="AU322" s="480"/>
      <c r="AV322" s="480"/>
      <c r="AW322" s="480"/>
      <c r="AX322" s="480"/>
      <c r="AY322" s="480"/>
      <c r="AZ322" s="480"/>
      <c r="BA322" s="480"/>
      <c r="BB322" s="480"/>
      <c r="BC322" s="480"/>
      <c r="BD322" s="480"/>
      <c r="BE322" s="213"/>
      <c r="BF322" s="479"/>
      <c r="BG322" s="479"/>
      <c r="BH322" s="372"/>
      <c r="BI322" s="472"/>
      <c r="BJ322" s="481"/>
      <c r="BK322" s="310"/>
      <c r="BL322" s="310">
        <f t="shared" si="1"/>
        <v>0</v>
      </c>
      <c r="BM322" s="7"/>
    </row>
    <row r="323" spans="1:65" ht="21" customHeight="1">
      <c r="A323" s="503"/>
      <c r="B323" s="483" t="s">
        <v>701</v>
      </c>
      <c r="C323" s="484" t="s">
        <v>203</v>
      </c>
      <c r="D323" s="504" t="s">
        <v>271</v>
      </c>
      <c r="E323" s="477"/>
      <c r="F323" s="477"/>
      <c r="G323" s="477"/>
      <c r="H323" s="477"/>
      <c r="I323" s="477"/>
      <c r="J323" s="477"/>
      <c r="K323" s="213"/>
      <c r="L323" s="478"/>
      <c r="M323" s="478"/>
      <c r="N323" s="478"/>
      <c r="O323" s="478"/>
      <c r="P323" s="478"/>
      <c r="Q323" s="478"/>
      <c r="R323" s="478"/>
      <c r="S323" s="478"/>
      <c r="T323" s="478"/>
      <c r="U323" s="478"/>
      <c r="V323" s="479"/>
      <c r="W323" s="478"/>
      <c r="X323" s="478"/>
      <c r="Y323" s="478"/>
      <c r="Z323" s="478"/>
      <c r="AA323" s="478"/>
      <c r="AB323" s="478"/>
      <c r="AC323" s="478"/>
      <c r="AD323" s="478"/>
      <c r="AE323" s="478"/>
      <c r="AF323" s="213"/>
      <c r="AG323" s="480"/>
      <c r="AH323" s="480"/>
      <c r="AI323" s="480"/>
      <c r="AJ323" s="480"/>
      <c r="AK323" s="480"/>
      <c r="AL323" s="480"/>
      <c r="AM323" s="480"/>
      <c r="AN323" s="480"/>
      <c r="AO323" s="480"/>
      <c r="AP323" s="480"/>
      <c r="AQ323" s="480"/>
      <c r="AR323" s="480"/>
      <c r="AS323" s="480"/>
      <c r="AT323" s="480"/>
      <c r="AU323" s="480"/>
      <c r="AV323" s="480"/>
      <c r="AW323" s="480"/>
      <c r="AX323" s="480"/>
      <c r="AY323" s="480"/>
      <c r="AZ323" s="480"/>
      <c r="BA323" s="480"/>
      <c r="BB323" s="480"/>
      <c r="BC323" s="480"/>
      <c r="BD323" s="480"/>
      <c r="BE323" s="213"/>
      <c r="BF323" s="479"/>
      <c r="BG323" s="479"/>
      <c r="BH323" s="372"/>
      <c r="BI323" s="472"/>
      <c r="BJ323" s="481"/>
      <c r="BK323" s="310"/>
      <c r="BL323" s="310">
        <f t="shared" si="1"/>
        <v>0</v>
      </c>
      <c r="BM323" s="7"/>
    </row>
    <row r="324" spans="1:65" ht="21" customHeight="1">
      <c r="A324" s="503"/>
      <c r="B324" s="483" t="s">
        <v>702</v>
      </c>
      <c r="C324" s="484" t="s">
        <v>159</v>
      </c>
      <c r="D324" s="504" t="s">
        <v>271</v>
      </c>
      <c r="E324" s="477"/>
      <c r="F324" s="477"/>
      <c r="G324" s="477"/>
      <c r="H324" s="477"/>
      <c r="I324" s="477"/>
      <c r="J324" s="477"/>
      <c r="K324" s="213"/>
      <c r="L324" s="478"/>
      <c r="M324" s="478"/>
      <c r="N324" s="478"/>
      <c r="O324" s="478"/>
      <c r="P324" s="478"/>
      <c r="Q324" s="478"/>
      <c r="R324" s="478"/>
      <c r="S324" s="478"/>
      <c r="T324" s="478"/>
      <c r="U324" s="478"/>
      <c r="V324" s="479"/>
      <c r="W324" s="478"/>
      <c r="X324" s="478"/>
      <c r="Y324" s="478"/>
      <c r="Z324" s="478"/>
      <c r="AA324" s="478"/>
      <c r="AB324" s="478"/>
      <c r="AC324" s="478"/>
      <c r="AD324" s="478"/>
      <c r="AE324" s="478"/>
      <c r="AF324" s="213"/>
      <c r="AG324" s="480"/>
      <c r="AH324" s="480"/>
      <c r="AI324" s="480"/>
      <c r="AJ324" s="480"/>
      <c r="AK324" s="480"/>
      <c r="AL324" s="480"/>
      <c r="AM324" s="480"/>
      <c r="AN324" s="480"/>
      <c r="AO324" s="480"/>
      <c r="AP324" s="480"/>
      <c r="AQ324" s="480"/>
      <c r="AR324" s="480"/>
      <c r="AS324" s="480"/>
      <c r="AT324" s="480"/>
      <c r="AU324" s="480"/>
      <c r="AV324" s="480"/>
      <c r="AW324" s="480"/>
      <c r="AX324" s="480"/>
      <c r="AY324" s="480"/>
      <c r="AZ324" s="480"/>
      <c r="BA324" s="480"/>
      <c r="BB324" s="480"/>
      <c r="BC324" s="480"/>
      <c r="BD324" s="480"/>
      <c r="BE324" s="213"/>
      <c r="BF324" s="479"/>
      <c r="BG324" s="479"/>
      <c r="BH324" s="372"/>
      <c r="BI324" s="472"/>
      <c r="BJ324" s="481"/>
      <c r="BK324" s="310"/>
      <c r="BL324" s="310">
        <f t="shared" si="1"/>
        <v>0</v>
      </c>
      <c r="BM324" s="7"/>
    </row>
    <row r="325" spans="1:65" ht="33.75" customHeight="1">
      <c r="A325" s="486"/>
      <c r="B325" s="487" t="s">
        <v>703</v>
      </c>
      <c r="C325" s="513" t="s">
        <v>704</v>
      </c>
      <c r="D325" s="519" t="s">
        <v>1489</v>
      </c>
      <c r="E325" s="477"/>
      <c r="F325" s="477"/>
      <c r="G325" s="477"/>
      <c r="H325" s="477"/>
      <c r="I325" s="477"/>
      <c r="J325" s="477"/>
      <c r="K325" s="213"/>
      <c r="L325" s="478"/>
      <c r="M325" s="478"/>
      <c r="N325" s="478"/>
      <c r="O325" s="478"/>
      <c r="P325" s="478"/>
      <c r="Q325" s="478"/>
      <c r="R325" s="478"/>
      <c r="S325" s="478"/>
      <c r="T325" s="478"/>
      <c r="U325" s="478"/>
      <c r="V325" s="479"/>
      <c r="W325" s="478"/>
      <c r="X325" s="478"/>
      <c r="Y325" s="478"/>
      <c r="Z325" s="478"/>
      <c r="AA325" s="478"/>
      <c r="AB325" s="478"/>
      <c r="AC325" s="478"/>
      <c r="AD325" s="478"/>
      <c r="AE325" s="478"/>
      <c r="AF325" s="213"/>
      <c r="AG325" s="480"/>
      <c r="AH325" s="480"/>
      <c r="AI325" s="480"/>
      <c r="AJ325" s="480"/>
      <c r="AK325" s="480"/>
      <c r="AL325" s="480"/>
      <c r="AM325" s="480"/>
      <c r="AN325" s="480"/>
      <c r="AO325" s="480"/>
      <c r="AP325" s="480"/>
      <c r="AQ325" s="480"/>
      <c r="AR325" s="480"/>
      <c r="AS325" s="480"/>
      <c r="AT325" s="480"/>
      <c r="AU325" s="480"/>
      <c r="AV325" s="480"/>
      <c r="AW325" s="480"/>
      <c r="AX325" s="480"/>
      <c r="AY325" s="480"/>
      <c r="AZ325" s="480"/>
      <c r="BA325" s="480"/>
      <c r="BB325" s="480"/>
      <c r="BC325" s="480"/>
      <c r="BD325" s="480"/>
      <c r="BE325" s="213"/>
      <c r="BF325" s="479"/>
      <c r="BG325" s="479"/>
      <c r="BH325" s="372"/>
      <c r="BI325" s="472"/>
      <c r="BJ325" s="481"/>
      <c r="BK325" s="310"/>
      <c r="BL325" s="310">
        <f t="shared" si="1"/>
        <v>0</v>
      </c>
      <c r="BM325" s="205"/>
    </row>
    <row r="326" spans="1:65" ht="25.5" customHeight="1">
      <c r="A326" s="503"/>
      <c r="B326" s="483" t="s">
        <v>707</v>
      </c>
      <c r="C326" s="484" t="s">
        <v>131</v>
      </c>
      <c r="D326" s="354" t="s">
        <v>1490</v>
      </c>
      <c r="E326" s="477"/>
      <c r="F326" s="477"/>
      <c r="G326" s="477"/>
      <c r="H326" s="477"/>
      <c r="I326" s="477"/>
      <c r="J326" s="477"/>
      <c r="K326" s="213"/>
      <c r="L326" s="478"/>
      <c r="M326" s="478"/>
      <c r="N326" s="478"/>
      <c r="O326" s="478"/>
      <c r="P326" s="478"/>
      <c r="Q326" s="478"/>
      <c r="R326" s="478"/>
      <c r="S326" s="478"/>
      <c r="T326" s="478"/>
      <c r="U326" s="478"/>
      <c r="V326" s="479"/>
      <c r="W326" s="478"/>
      <c r="X326" s="478"/>
      <c r="Y326" s="478"/>
      <c r="Z326" s="478"/>
      <c r="AA326" s="478"/>
      <c r="AB326" s="478"/>
      <c r="AC326" s="478"/>
      <c r="AD326" s="478"/>
      <c r="AE326" s="478"/>
      <c r="AF326" s="213"/>
      <c r="AG326" s="480"/>
      <c r="AH326" s="480"/>
      <c r="AI326" s="480"/>
      <c r="AJ326" s="480"/>
      <c r="AK326" s="480"/>
      <c r="AL326" s="480"/>
      <c r="AM326" s="480"/>
      <c r="AN326" s="480"/>
      <c r="AO326" s="480"/>
      <c r="AP326" s="480"/>
      <c r="AQ326" s="480"/>
      <c r="AR326" s="480"/>
      <c r="AS326" s="480"/>
      <c r="AT326" s="480"/>
      <c r="AU326" s="480"/>
      <c r="AV326" s="480"/>
      <c r="AW326" s="480"/>
      <c r="AX326" s="480"/>
      <c r="AY326" s="480"/>
      <c r="AZ326" s="480"/>
      <c r="BA326" s="480"/>
      <c r="BB326" s="480"/>
      <c r="BC326" s="480"/>
      <c r="BD326" s="480"/>
      <c r="BE326" s="213"/>
      <c r="BF326" s="479"/>
      <c r="BG326" s="479"/>
      <c r="BH326" s="372"/>
      <c r="BI326" s="472"/>
      <c r="BJ326" s="481"/>
      <c r="BK326" s="310"/>
      <c r="BL326" s="310">
        <f t="shared" si="1"/>
        <v>0</v>
      </c>
      <c r="BM326" s="7"/>
    </row>
    <row r="327" spans="1:65" ht="21" customHeight="1">
      <c r="A327" s="503"/>
      <c r="B327" s="483" t="s">
        <v>709</v>
      </c>
      <c r="C327" s="484" t="s">
        <v>200</v>
      </c>
      <c r="D327" s="354" t="s">
        <v>1491</v>
      </c>
      <c r="E327" s="477"/>
      <c r="F327" s="477"/>
      <c r="G327" s="477"/>
      <c r="H327" s="477"/>
      <c r="I327" s="477"/>
      <c r="J327" s="477"/>
      <c r="K327" s="213"/>
      <c r="L327" s="478"/>
      <c r="M327" s="478"/>
      <c r="N327" s="478"/>
      <c r="O327" s="478"/>
      <c r="P327" s="478"/>
      <c r="Q327" s="478"/>
      <c r="R327" s="478"/>
      <c r="S327" s="478"/>
      <c r="T327" s="478"/>
      <c r="U327" s="478"/>
      <c r="V327" s="479"/>
      <c r="W327" s="478"/>
      <c r="X327" s="478"/>
      <c r="Y327" s="478"/>
      <c r="Z327" s="478"/>
      <c r="AA327" s="478"/>
      <c r="AB327" s="478"/>
      <c r="AC327" s="478"/>
      <c r="AD327" s="478"/>
      <c r="AE327" s="478"/>
      <c r="AF327" s="213"/>
      <c r="AG327" s="480"/>
      <c r="AH327" s="480"/>
      <c r="AI327" s="480"/>
      <c r="AJ327" s="480"/>
      <c r="AK327" s="480"/>
      <c r="AL327" s="480"/>
      <c r="AM327" s="480"/>
      <c r="AN327" s="480"/>
      <c r="AO327" s="480"/>
      <c r="AP327" s="480"/>
      <c r="AQ327" s="480"/>
      <c r="AR327" s="480"/>
      <c r="AS327" s="480"/>
      <c r="AT327" s="480"/>
      <c r="AU327" s="480"/>
      <c r="AV327" s="480"/>
      <c r="AW327" s="480"/>
      <c r="AX327" s="480"/>
      <c r="AY327" s="480"/>
      <c r="AZ327" s="480"/>
      <c r="BA327" s="480"/>
      <c r="BB327" s="480"/>
      <c r="BC327" s="480"/>
      <c r="BD327" s="480"/>
      <c r="BE327" s="213"/>
      <c r="BF327" s="479"/>
      <c r="BG327" s="479"/>
      <c r="BH327" s="372"/>
      <c r="BI327" s="472"/>
      <c r="BJ327" s="481"/>
      <c r="BK327" s="310"/>
      <c r="BL327" s="310">
        <f t="shared" si="1"/>
        <v>0</v>
      </c>
      <c r="BM327" s="205"/>
    </row>
    <row r="328" spans="1:65" ht="21" customHeight="1">
      <c r="A328" s="503"/>
      <c r="B328" s="483" t="s">
        <v>711</v>
      </c>
      <c r="C328" s="484" t="s">
        <v>203</v>
      </c>
      <c r="D328" s="354" t="s">
        <v>1492</v>
      </c>
      <c r="E328" s="477"/>
      <c r="F328" s="477"/>
      <c r="G328" s="477"/>
      <c r="H328" s="477"/>
      <c r="I328" s="477"/>
      <c r="J328" s="477"/>
      <c r="K328" s="213"/>
      <c r="L328" s="478"/>
      <c r="M328" s="478"/>
      <c r="N328" s="478"/>
      <c r="O328" s="478"/>
      <c r="P328" s="478"/>
      <c r="Q328" s="478"/>
      <c r="R328" s="478"/>
      <c r="S328" s="478"/>
      <c r="T328" s="478"/>
      <c r="U328" s="478"/>
      <c r="V328" s="479"/>
      <c r="W328" s="478"/>
      <c r="X328" s="478"/>
      <c r="Y328" s="478"/>
      <c r="Z328" s="478"/>
      <c r="AA328" s="478"/>
      <c r="AB328" s="478"/>
      <c r="AC328" s="478"/>
      <c r="AD328" s="478"/>
      <c r="AE328" s="478"/>
      <c r="AF328" s="213"/>
      <c r="AG328" s="480"/>
      <c r="AH328" s="480"/>
      <c r="AI328" s="480"/>
      <c r="AJ328" s="480"/>
      <c r="AK328" s="480"/>
      <c r="AL328" s="480"/>
      <c r="AM328" s="480"/>
      <c r="AN328" s="480"/>
      <c r="AO328" s="480"/>
      <c r="AP328" s="480"/>
      <c r="AQ328" s="480"/>
      <c r="AR328" s="480"/>
      <c r="AS328" s="480"/>
      <c r="AT328" s="480"/>
      <c r="AU328" s="480"/>
      <c r="AV328" s="480"/>
      <c r="AW328" s="480"/>
      <c r="AX328" s="480"/>
      <c r="AY328" s="480"/>
      <c r="AZ328" s="480"/>
      <c r="BA328" s="480"/>
      <c r="BB328" s="480"/>
      <c r="BC328" s="480"/>
      <c r="BD328" s="480"/>
      <c r="BE328" s="213"/>
      <c r="BF328" s="479"/>
      <c r="BG328" s="479"/>
      <c r="BH328" s="372"/>
      <c r="BI328" s="472"/>
      <c r="BJ328" s="481"/>
      <c r="BK328" s="310"/>
      <c r="BL328" s="310">
        <f t="shared" si="1"/>
        <v>0</v>
      </c>
      <c r="BM328" s="7"/>
    </row>
    <row r="329" spans="1:65" ht="21" customHeight="1">
      <c r="A329" s="503"/>
      <c r="B329" s="483" t="s">
        <v>713</v>
      </c>
      <c r="C329" s="484" t="s">
        <v>159</v>
      </c>
      <c r="D329" s="354" t="s">
        <v>1493</v>
      </c>
      <c r="E329" s="477"/>
      <c r="F329" s="477"/>
      <c r="G329" s="477"/>
      <c r="H329" s="477"/>
      <c r="I329" s="477"/>
      <c r="J329" s="477"/>
      <c r="K329" s="213"/>
      <c r="L329" s="478"/>
      <c r="M329" s="478"/>
      <c r="N329" s="478"/>
      <c r="O329" s="478"/>
      <c r="P329" s="478"/>
      <c r="Q329" s="478"/>
      <c r="R329" s="478"/>
      <c r="S329" s="478"/>
      <c r="T329" s="478"/>
      <c r="U329" s="478"/>
      <c r="V329" s="479"/>
      <c r="W329" s="478"/>
      <c r="X329" s="478"/>
      <c r="Y329" s="478"/>
      <c r="Z329" s="478"/>
      <c r="AA329" s="478"/>
      <c r="AB329" s="478"/>
      <c r="AC329" s="478"/>
      <c r="AD329" s="478"/>
      <c r="AE329" s="478"/>
      <c r="AF329" s="213"/>
      <c r="AG329" s="480"/>
      <c r="AH329" s="480"/>
      <c r="AI329" s="480"/>
      <c r="AJ329" s="480"/>
      <c r="AK329" s="480"/>
      <c r="AL329" s="480"/>
      <c r="AM329" s="480"/>
      <c r="AN329" s="480"/>
      <c r="AO329" s="480"/>
      <c r="AP329" s="480"/>
      <c r="AQ329" s="480"/>
      <c r="AR329" s="480"/>
      <c r="AS329" s="480"/>
      <c r="AT329" s="480"/>
      <c r="AU329" s="480"/>
      <c r="AV329" s="480"/>
      <c r="AW329" s="480"/>
      <c r="AX329" s="480"/>
      <c r="AY329" s="480"/>
      <c r="AZ329" s="480"/>
      <c r="BA329" s="480"/>
      <c r="BB329" s="480"/>
      <c r="BC329" s="480"/>
      <c r="BD329" s="480"/>
      <c r="BE329" s="213"/>
      <c r="BF329" s="479"/>
      <c r="BG329" s="479"/>
      <c r="BH329" s="372"/>
      <c r="BI329" s="472"/>
      <c r="BJ329" s="481"/>
      <c r="BK329" s="310"/>
      <c r="BL329" s="310">
        <f t="shared" si="1"/>
        <v>0</v>
      </c>
      <c r="BM329" s="7"/>
    </row>
    <row r="330" spans="1:65" ht="30.75" customHeight="1">
      <c r="A330" s="486"/>
      <c r="B330" s="487" t="s">
        <v>715</v>
      </c>
      <c r="C330" s="513" t="s">
        <v>716</v>
      </c>
      <c r="D330" s="412" t="s">
        <v>717</v>
      </c>
      <c r="E330" s="477"/>
      <c r="F330" s="477"/>
      <c r="G330" s="477"/>
      <c r="H330" s="477"/>
      <c r="I330" s="477"/>
      <c r="J330" s="477"/>
      <c r="K330" s="213"/>
      <c r="L330" s="478"/>
      <c r="M330" s="478"/>
      <c r="N330" s="478"/>
      <c r="O330" s="478"/>
      <c r="P330" s="478"/>
      <c r="Q330" s="478"/>
      <c r="R330" s="478"/>
      <c r="S330" s="478"/>
      <c r="T330" s="478"/>
      <c r="U330" s="478"/>
      <c r="V330" s="479"/>
      <c r="W330" s="478"/>
      <c r="X330" s="478"/>
      <c r="Y330" s="478"/>
      <c r="Z330" s="478"/>
      <c r="AA330" s="478"/>
      <c r="AB330" s="478">
        <v>6</v>
      </c>
      <c r="AC330" s="478"/>
      <c r="AD330" s="478"/>
      <c r="AE330" s="478"/>
      <c r="AF330" s="213"/>
      <c r="AG330" s="480"/>
      <c r="AH330" s="480"/>
      <c r="AI330" s="480"/>
      <c r="AJ330" s="480"/>
      <c r="AK330" s="480"/>
      <c r="AL330" s="480"/>
      <c r="AM330" s="480"/>
      <c r="AN330" s="480"/>
      <c r="AO330" s="480"/>
      <c r="AP330" s="480"/>
      <c r="AQ330" s="480"/>
      <c r="AR330" s="480"/>
      <c r="AS330" s="480"/>
      <c r="AT330" s="480"/>
      <c r="AU330" s="480"/>
      <c r="AV330" s="480"/>
      <c r="AW330" s="480"/>
      <c r="AX330" s="480"/>
      <c r="AY330" s="480"/>
      <c r="AZ330" s="480"/>
      <c r="BA330" s="480"/>
      <c r="BB330" s="480"/>
      <c r="BC330" s="480"/>
      <c r="BD330" s="480"/>
      <c r="BE330" s="213"/>
      <c r="BF330" s="479">
        <v>1</v>
      </c>
      <c r="BG330" s="479"/>
      <c r="BH330" s="372"/>
      <c r="BI330" s="472"/>
      <c r="BJ330" s="481"/>
      <c r="BK330" s="310"/>
      <c r="BL330" s="310">
        <f t="shared" si="1"/>
        <v>7</v>
      </c>
      <c r="BM330" s="7"/>
    </row>
    <row r="331" spans="1:65" ht="21" customHeight="1">
      <c r="A331" s="510" t="s">
        <v>719</v>
      </c>
      <c r="B331" s="505" t="s">
        <v>720</v>
      </c>
      <c r="C331" s="520" t="s">
        <v>721</v>
      </c>
      <c r="D331" s="504" t="s">
        <v>717</v>
      </c>
      <c r="E331" s="477"/>
      <c r="F331" s="477"/>
      <c r="G331" s="477"/>
      <c r="H331" s="477"/>
      <c r="I331" s="477"/>
      <c r="J331" s="477"/>
      <c r="K331" s="213"/>
      <c r="L331" s="478"/>
      <c r="M331" s="478"/>
      <c r="N331" s="478"/>
      <c r="O331" s="478"/>
      <c r="P331" s="478"/>
      <c r="Q331" s="478"/>
      <c r="R331" s="478"/>
      <c r="S331" s="478"/>
      <c r="T331" s="478"/>
      <c r="U331" s="478"/>
      <c r="V331" s="479"/>
      <c r="W331" s="478"/>
      <c r="X331" s="478"/>
      <c r="Y331" s="478"/>
      <c r="Z331" s="478"/>
      <c r="AA331" s="478"/>
      <c r="AB331" s="478"/>
      <c r="AC331" s="478"/>
      <c r="AD331" s="478"/>
      <c r="AE331" s="478"/>
      <c r="AF331" s="213"/>
      <c r="AG331" s="480"/>
      <c r="AH331" s="480"/>
      <c r="AI331" s="480"/>
      <c r="AJ331" s="480"/>
      <c r="AK331" s="480"/>
      <c r="AL331" s="480"/>
      <c r="AM331" s="480"/>
      <c r="AN331" s="480"/>
      <c r="AO331" s="480"/>
      <c r="AP331" s="480"/>
      <c r="AQ331" s="480"/>
      <c r="AR331" s="480"/>
      <c r="AS331" s="480"/>
      <c r="AT331" s="480"/>
      <c r="AU331" s="480"/>
      <c r="AV331" s="480"/>
      <c r="AW331" s="480"/>
      <c r="AX331" s="480"/>
      <c r="AY331" s="480"/>
      <c r="AZ331" s="480"/>
      <c r="BA331" s="480"/>
      <c r="BB331" s="480"/>
      <c r="BC331" s="480"/>
      <c r="BD331" s="480"/>
      <c r="BE331" s="213"/>
      <c r="BF331" s="479"/>
      <c r="BG331" s="479"/>
      <c r="BH331" s="372"/>
      <c r="BI331" s="472"/>
      <c r="BJ331" s="481"/>
      <c r="BK331" s="310"/>
      <c r="BL331" s="310">
        <f t="shared" si="1"/>
        <v>0</v>
      </c>
      <c r="BM331" s="7"/>
    </row>
    <row r="332" spans="1:65" ht="21" customHeight="1">
      <c r="A332" s="503" t="s">
        <v>722</v>
      </c>
      <c r="B332" s="483" t="s">
        <v>723</v>
      </c>
      <c r="C332" s="484" t="s">
        <v>131</v>
      </c>
      <c r="D332" s="504" t="s">
        <v>717</v>
      </c>
      <c r="E332" s="477"/>
      <c r="F332" s="477"/>
      <c r="G332" s="477"/>
      <c r="H332" s="477"/>
      <c r="I332" s="477"/>
      <c r="J332" s="477"/>
      <c r="K332" s="213"/>
      <c r="L332" s="478"/>
      <c r="M332" s="478"/>
      <c r="N332" s="478"/>
      <c r="O332" s="478"/>
      <c r="P332" s="478"/>
      <c r="Q332" s="478"/>
      <c r="R332" s="478"/>
      <c r="S332" s="478"/>
      <c r="T332" s="478"/>
      <c r="U332" s="478"/>
      <c r="V332" s="479"/>
      <c r="W332" s="478"/>
      <c r="X332" s="478"/>
      <c r="Y332" s="478"/>
      <c r="Z332" s="478"/>
      <c r="AA332" s="478"/>
      <c r="AB332" s="478"/>
      <c r="AC332" s="478"/>
      <c r="AD332" s="478"/>
      <c r="AE332" s="478"/>
      <c r="AF332" s="213"/>
      <c r="AG332" s="480"/>
      <c r="AH332" s="480"/>
      <c r="AI332" s="480"/>
      <c r="AJ332" s="480"/>
      <c r="AK332" s="480"/>
      <c r="AL332" s="480"/>
      <c r="AM332" s="480"/>
      <c r="AN332" s="480"/>
      <c r="AO332" s="480"/>
      <c r="AP332" s="480"/>
      <c r="AQ332" s="480"/>
      <c r="AR332" s="480"/>
      <c r="AS332" s="480"/>
      <c r="AT332" s="480"/>
      <c r="AU332" s="480"/>
      <c r="AV332" s="480"/>
      <c r="AW332" s="480"/>
      <c r="AX332" s="480"/>
      <c r="AY332" s="480"/>
      <c r="AZ332" s="480"/>
      <c r="BA332" s="480"/>
      <c r="BB332" s="480"/>
      <c r="BC332" s="480"/>
      <c r="BD332" s="480"/>
      <c r="BE332" s="213"/>
      <c r="BF332" s="479"/>
      <c r="BG332" s="479"/>
      <c r="BH332" s="372"/>
      <c r="BI332" s="472"/>
      <c r="BJ332" s="481"/>
      <c r="BK332" s="310"/>
      <c r="BL332" s="310">
        <f t="shared" si="1"/>
        <v>0</v>
      </c>
      <c r="BM332" s="7"/>
    </row>
    <row r="333" spans="1:65" ht="21" customHeight="1">
      <c r="A333" s="503" t="s">
        <v>724</v>
      </c>
      <c r="B333" s="483" t="s">
        <v>725</v>
      </c>
      <c r="C333" s="484" t="s">
        <v>200</v>
      </c>
      <c r="D333" s="504" t="s">
        <v>717</v>
      </c>
      <c r="E333" s="477"/>
      <c r="F333" s="477"/>
      <c r="G333" s="477"/>
      <c r="H333" s="477"/>
      <c r="I333" s="477"/>
      <c r="J333" s="477"/>
      <c r="K333" s="213"/>
      <c r="L333" s="478"/>
      <c r="M333" s="478"/>
      <c r="N333" s="478"/>
      <c r="O333" s="478"/>
      <c r="P333" s="478"/>
      <c r="Q333" s="478"/>
      <c r="R333" s="478"/>
      <c r="S333" s="478"/>
      <c r="T333" s="478"/>
      <c r="U333" s="478"/>
      <c r="V333" s="479"/>
      <c r="W333" s="478"/>
      <c r="X333" s="478"/>
      <c r="Y333" s="478"/>
      <c r="Z333" s="478"/>
      <c r="AA333" s="478"/>
      <c r="AB333" s="478"/>
      <c r="AC333" s="478"/>
      <c r="AD333" s="478"/>
      <c r="AE333" s="478"/>
      <c r="AF333" s="213"/>
      <c r="AG333" s="480"/>
      <c r="AH333" s="480"/>
      <c r="AI333" s="480"/>
      <c r="AJ333" s="480"/>
      <c r="AK333" s="480"/>
      <c r="AL333" s="480"/>
      <c r="AM333" s="480"/>
      <c r="AN333" s="480"/>
      <c r="AO333" s="480"/>
      <c r="AP333" s="480"/>
      <c r="AQ333" s="480"/>
      <c r="AR333" s="480"/>
      <c r="AS333" s="480"/>
      <c r="AT333" s="480"/>
      <c r="AU333" s="480"/>
      <c r="AV333" s="480"/>
      <c r="AW333" s="480"/>
      <c r="AX333" s="480"/>
      <c r="AY333" s="480"/>
      <c r="AZ333" s="480"/>
      <c r="BA333" s="480"/>
      <c r="BB333" s="480"/>
      <c r="BC333" s="480"/>
      <c r="BD333" s="480"/>
      <c r="BE333" s="213"/>
      <c r="BF333" s="479"/>
      <c r="BG333" s="479"/>
      <c r="BH333" s="372"/>
      <c r="BI333" s="472"/>
      <c r="BJ333" s="481"/>
      <c r="BK333" s="310"/>
      <c r="BL333" s="310">
        <f t="shared" si="1"/>
        <v>0</v>
      </c>
      <c r="BM333" s="7"/>
    </row>
    <row r="334" spans="1:65" ht="21" customHeight="1">
      <c r="A334" s="503" t="s">
        <v>726</v>
      </c>
      <c r="B334" s="483" t="s">
        <v>727</v>
      </c>
      <c r="C334" s="484" t="s">
        <v>203</v>
      </c>
      <c r="D334" s="504" t="s">
        <v>717</v>
      </c>
      <c r="E334" s="477"/>
      <c r="F334" s="477"/>
      <c r="G334" s="477"/>
      <c r="H334" s="477"/>
      <c r="I334" s="477"/>
      <c r="J334" s="477"/>
      <c r="K334" s="213"/>
      <c r="L334" s="478"/>
      <c r="M334" s="478"/>
      <c r="N334" s="478"/>
      <c r="O334" s="478"/>
      <c r="P334" s="478"/>
      <c r="Q334" s="478"/>
      <c r="R334" s="478"/>
      <c r="S334" s="478"/>
      <c r="T334" s="478"/>
      <c r="U334" s="478"/>
      <c r="V334" s="479"/>
      <c r="W334" s="478"/>
      <c r="X334" s="478"/>
      <c r="Y334" s="478"/>
      <c r="Z334" s="478"/>
      <c r="AA334" s="478"/>
      <c r="AB334" s="478"/>
      <c r="AC334" s="478"/>
      <c r="AD334" s="478"/>
      <c r="AE334" s="478"/>
      <c r="AF334" s="213"/>
      <c r="AG334" s="480"/>
      <c r="AH334" s="480"/>
      <c r="AI334" s="480"/>
      <c r="AJ334" s="480"/>
      <c r="AK334" s="480"/>
      <c r="AL334" s="480"/>
      <c r="AM334" s="480"/>
      <c r="AN334" s="480"/>
      <c r="AO334" s="480"/>
      <c r="AP334" s="480"/>
      <c r="AQ334" s="480"/>
      <c r="AR334" s="480"/>
      <c r="AS334" s="480"/>
      <c r="AT334" s="480"/>
      <c r="AU334" s="480"/>
      <c r="AV334" s="480"/>
      <c r="AW334" s="480"/>
      <c r="AX334" s="480"/>
      <c r="AY334" s="480"/>
      <c r="AZ334" s="480"/>
      <c r="BA334" s="480"/>
      <c r="BB334" s="480"/>
      <c r="BC334" s="480"/>
      <c r="BD334" s="480"/>
      <c r="BE334" s="213"/>
      <c r="BF334" s="479"/>
      <c r="BG334" s="479"/>
      <c r="BH334" s="372"/>
      <c r="BI334" s="472"/>
      <c r="BJ334" s="481"/>
      <c r="BK334" s="310"/>
      <c r="BL334" s="310">
        <f t="shared" si="1"/>
        <v>0</v>
      </c>
      <c r="BM334" s="7"/>
    </row>
    <row r="335" spans="1:65" ht="21" customHeight="1">
      <c r="A335" s="503" t="s">
        <v>728</v>
      </c>
      <c r="B335" s="483" t="s">
        <v>729</v>
      </c>
      <c r="C335" s="484" t="s">
        <v>159</v>
      </c>
      <c r="D335" s="504" t="s">
        <v>717</v>
      </c>
      <c r="E335" s="477"/>
      <c r="F335" s="477"/>
      <c r="G335" s="477"/>
      <c r="H335" s="477"/>
      <c r="I335" s="477"/>
      <c r="J335" s="477"/>
      <c r="K335" s="213"/>
      <c r="L335" s="478"/>
      <c r="M335" s="478"/>
      <c r="N335" s="478"/>
      <c r="O335" s="478"/>
      <c r="P335" s="478"/>
      <c r="Q335" s="478"/>
      <c r="R335" s="478"/>
      <c r="S335" s="478"/>
      <c r="T335" s="478"/>
      <c r="U335" s="478"/>
      <c r="V335" s="479"/>
      <c r="W335" s="478"/>
      <c r="X335" s="478"/>
      <c r="Y335" s="478"/>
      <c r="Z335" s="478"/>
      <c r="AA335" s="478"/>
      <c r="AB335" s="478"/>
      <c r="AC335" s="478"/>
      <c r="AD335" s="478"/>
      <c r="AE335" s="478"/>
      <c r="AF335" s="213"/>
      <c r="AG335" s="480"/>
      <c r="AH335" s="480"/>
      <c r="AI335" s="480"/>
      <c r="AJ335" s="480"/>
      <c r="AK335" s="480"/>
      <c r="AL335" s="480"/>
      <c r="AM335" s="480"/>
      <c r="AN335" s="480"/>
      <c r="AO335" s="480"/>
      <c r="AP335" s="480"/>
      <c r="AQ335" s="480"/>
      <c r="AR335" s="480"/>
      <c r="AS335" s="480"/>
      <c r="AT335" s="480"/>
      <c r="AU335" s="480"/>
      <c r="AV335" s="480"/>
      <c r="AW335" s="480"/>
      <c r="AX335" s="480"/>
      <c r="AY335" s="480"/>
      <c r="AZ335" s="480"/>
      <c r="BA335" s="480"/>
      <c r="BB335" s="480"/>
      <c r="BC335" s="480"/>
      <c r="BD335" s="480"/>
      <c r="BE335" s="213"/>
      <c r="BF335" s="479"/>
      <c r="BG335" s="479"/>
      <c r="BH335" s="372"/>
      <c r="BI335" s="472"/>
      <c r="BJ335" s="481"/>
      <c r="BK335" s="310"/>
      <c r="BL335" s="310">
        <f t="shared" si="1"/>
        <v>0</v>
      </c>
      <c r="BM335" s="7"/>
    </row>
    <row r="336" spans="1:65" ht="21" customHeight="1">
      <c r="A336" s="510" t="s">
        <v>730</v>
      </c>
      <c r="B336" s="505" t="s">
        <v>731</v>
      </c>
      <c r="C336" s="520" t="s">
        <v>732</v>
      </c>
      <c r="D336" s="512" t="s">
        <v>717</v>
      </c>
      <c r="E336" s="477"/>
      <c r="F336" s="477"/>
      <c r="G336" s="477"/>
      <c r="H336" s="477"/>
      <c r="I336" s="477"/>
      <c r="J336" s="477"/>
      <c r="K336" s="213"/>
      <c r="L336" s="478"/>
      <c r="M336" s="478"/>
      <c r="N336" s="478"/>
      <c r="O336" s="478"/>
      <c r="P336" s="478"/>
      <c r="Q336" s="478"/>
      <c r="R336" s="478"/>
      <c r="S336" s="478"/>
      <c r="T336" s="478"/>
      <c r="U336" s="478"/>
      <c r="V336" s="479"/>
      <c r="W336" s="478"/>
      <c r="X336" s="478"/>
      <c r="Y336" s="478"/>
      <c r="Z336" s="478"/>
      <c r="AA336" s="478"/>
      <c r="AB336" s="478"/>
      <c r="AC336" s="478"/>
      <c r="AD336" s="478"/>
      <c r="AE336" s="478"/>
      <c r="AF336" s="213"/>
      <c r="AG336" s="480"/>
      <c r="AH336" s="480"/>
      <c r="AI336" s="480"/>
      <c r="AJ336" s="480"/>
      <c r="AK336" s="480"/>
      <c r="AL336" s="480"/>
      <c r="AM336" s="480"/>
      <c r="AN336" s="480"/>
      <c r="AO336" s="480"/>
      <c r="AP336" s="480"/>
      <c r="AQ336" s="480"/>
      <c r="AR336" s="480"/>
      <c r="AS336" s="480"/>
      <c r="AT336" s="480"/>
      <c r="AU336" s="480"/>
      <c r="AV336" s="480"/>
      <c r="AW336" s="480"/>
      <c r="AX336" s="480"/>
      <c r="AY336" s="480"/>
      <c r="AZ336" s="480"/>
      <c r="BA336" s="480"/>
      <c r="BB336" s="480"/>
      <c r="BC336" s="480"/>
      <c r="BD336" s="480"/>
      <c r="BE336" s="213"/>
      <c r="BF336" s="479"/>
      <c r="BG336" s="479"/>
      <c r="BH336" s="372"/>
      <c r="BI336" s="472"/>
      <c r="BJ336" s="481"/>
      <c r="BK336" s="310"/>
      <c r="BL336" s="310">
        <f t="shared" si="1"/>
        <v>0</v>
      </c>
      <c r="BM336" s="7"/>
    </row>
    <row r="337" spans="1:65" ht="21" customHeight="1">
      <c r="A337" s="503" t="s">
        <v>733</v>
      </c>
      <c r="B337" s="483" t="s">
        <v>734</v>
      </c>
      <c r="C337" s="484" t="s">
        <v>131</v>
      </c>
      <c r="D337" s="504" t="s">
        <v>717</v>
      </c>
      <c r="E337" s="477"/>
      <c r="F337" s="477"/>
      <c r="G337" s="477"/>
      <c r="H337" s="477"/>
      <c r="I337" s="477"/>
      <c r="J337" s="477"/>
      <c r="K337" s="213"/>
      <c r="L337" s="478"/>
      <c r="M337" s="478"/>
      <c r="N337" s="478"/>
      <c r="O337" s="478"/>
      <c r="P337" s="478"/>
      <c r="Q337" s="478"/>
      <c r="R337" s="478"/>
      <c r="S337" s="478"/>
      <c r="T337" s="478"/>
      <c r="U337" s="478"/>
      <c r="V337" s="479"/>
      <c r="W337" s="478"/>
      <c r="X337" s="478"/>
      <c r="Y337" s="478"/>
      <c r="Z337" s="478"/>
      <c r="AA337" s="478"/>
      <c r="AB337" s="478"/>
      <c r="AC337" s="478"/>
      <c r="AD337" s="478"/>
      <c r="AE337" s="478"/>
      <c r="AF337" s="213"/>
      <c r="AG337" s="480"/>
      <c r="AH337" s="480"/>
      <c r="AI337" s="480"/>
      <c r="AJ337" s="480"/>
      <c r="AK337" s="480"/>
      <c r="AL337" s="480"/>
      <c r="AM337" s="480"/>
      <c r="AN337" s="480"/>
      <c r="AO337" s="480"/>
      <c r="AP337" s="480"/>
      <c r="AQ337" s="480"/>
      <c r="AR337" s="480"/>
      <c r="AS337" s="480"/>
      <c r="AT337" s="480"/>
      <c r="AU337" s="480"/>
      <c r="AV337" s="480"/>
      <c r="AW337" s="480"/>
      <c r="AX337" s="480"/>
      <c r="AY337" s="480"/>
      <c r="AZ337" s="480"/>
      <c r="BA337" s="480"/>
      <c r="BB337" s="480"/>
      <c r="BC337" s="480"/>
      <c r="BD337" s="480"/>
      <c r="BE337" s="213"/>
      <c r="BF337" s="479"/>
      <c r="BG337" s="479"/>
      <c r="BH337" s="372"/>
      <c r="BI337" s="472"/>
      <c r="BJ337" s="481"/>
      <c r="BK337" s="310"/>
      <c r="BL337" s="310">
        <f t="shared" si="1"/>
        <v>0</v>
      </c>
      <c r="BM337" s="7"/>
    </row>
    <row r="338" spans="1:65" ht="21" customHeight="1">
      <c r="A338" s="503" t="s">
        <v>735</v>
      </c>
      <c r="B338" s="483" t="s">
        <v>736</v>
      </c>
      <c r="C338" s="484" t="s">
        <v>200</v>
      </c>
      <c r="D338" s="504" t="s">
        <v>717</v>
      </c>
      <c r="E338" s="477"/>
      <c r="F338" s="477"/>
      <c r="G338" s="477"/>
      <c r="H338" s="477"/>
      <c r="I338" s="477"/>
      <c r="J338" s="477"/>
      <c r="K338" s="213"/>
      <c r="L338" s="478"/>
      <c r="M338" s="478"/>
      <c r="N338" s="478"/>
      <c r="O338" s="478"/>
      <c r="P338" s="478"/>
      <c r="Q338" s="478"/>
      <c r="R338" s="478"/>
      <c r="S338" s="478"/>
      <c r="T338" s="478"/>
      <c r="U338" s="478"/>
      <c r="V338" s="479"/>
      <c r="W338" s="478"/>
      <c r="X338" s="478"/>
      <c r="Y338" s="478"/>
      <c r="Z338" s="478"/>
      <c r="AA338" s="478"/>
      <c r="AB338" s="478"/>
      <c r="AC338" s="478"/>
      <c r="AD338" s="478"/>
      <c r="AE338" s="478"/>
      <c r="AF338" s="213"/>
      <c r="AG338" s="480"/>
      <c r="AH338" s="480"/>
      <c r="AI338" s="480"/>
      <c r="AJ338" s="480"/>
      <c r="AK338" s="480"/>
      <c r="AL338" s="480"/>
      <c r="AM338" s="480"/>
      <c r="AN338" s="480"/>
      <c r="AO338" s="480"/>
      <c r="AP338" s="480"/>
      <c r="AQ338" s="480"/>
      <c r="AR338" s="480"/>
      <c r="AS338" s="480"/>
      <c r="AT338" s="480"/>
      <c r="AU338" s="480"/>
      <c r="AV338" s="480"/>
      <c r="AW338" s="480"/>
      <c r="AX338" s="480"/>
      <c r="AY338" s="480"/>
      <c r="AZ338" s="480"/>
      <c r="BA338" s="480"/>
      <c r="BB338" s="480"/>
      <c r="BC338" s="480"/>
      <c r="BD338" s="480"/>
      <c r="BE338" s="213"/>
      <c r="BF338" s="479"/>
      <c r="BG338" s="479"/>
      <c r="BH338" s="372"/>
      <c r="BI338" s="472"/>
      <c r="BJ338" s="481"/>
      <c r="BK338" s="310"/>
      <c r="BL338" s="310">
        <f t="shared" si="1"/>
        <v>0</v>
      </c>
      <c r="BM338" s="7"/>
    </row>
    <row r="339" spans="1:65" ht="21" customHeight="1">
      <c r="A339" s="503" t="s">
        <v>737</v>
      </c>
      <c r="B339" s="483" t="s">
        <v>738</v>
      </c>
      <c r="C339" s="484" t="s">
        <v>203</v>
      </c>
      <c r="D339" s="504" t="s">
        <v>717</v>
      </c>
      <c r="E339" s="477"/>
      <c r="F339" s="477"/>
      <c r="G339" s="477"/>
      <c r="H339" s="477"/>
      <c r="I339" s="477"/>
      <c r="J339" s="477"/>
      <c r="K339" s="213"/>
      <c r="L339" s="478"/>
      <c r="M339" s="478"/>
      <c r="N339" s="478"/>
      <c r="O339" s="478"/>
      <c r="P339" s="478"/>
      <c r="Q339" s="478"/>
      <c r="R339" s="478"/>
      <c r="S339" s="478"/>
      <c r="T339" s="478"/>
      <c r="U339" s="478"/>
      <c r="V339" s="479"/>
      <c r="W339" s="478"/>
      <c r="X339" s="478"/>
      <c r="Y339" s="478"/>
      <c r="Z339" s="478"/>
      <c r="AA339" s="478"/>
      <c r="AB339" s="478"/>
      <c r="AC339" s="478"/>
      <c r="AD339" s="478"/>
      <c r="AE339" s="478"/>
      <c r="AF339" s="213"/>
      <c r="AG339" s="480"/>
      <c r="AH339" s="480"/>
      <c r="AI339" s="480"/>
      <c r="AJ339" s="480"/>
      <c r="AK339" s="480"/>
      <c r="AL339" s="480"/>
      <c r="AM339" s="480"/>
      <c r="AN339" s="480"/>
      <c r="AO339" s="480"/>
      <c r="AP339" s="480"/>
      <c r="AQ339" s="480"/>
      <c r="AR339" s="480"/>
      <c r="AS339" s="480"/>
      <c r="AT339" s="480"/>
      <c r="AU339" s="480"/>
      <c r="AV339" s="480"/>
      <c r="AW339" s="480"/>
      <c r="AX339" s="480"/>
      <c r="AY339" s="480"/>
      <c r="AZ339" s="480"/>
      <c r="BA339" s="480"/>
      <c r="BB339" s="480"/>
      <c r="BC339" s="480"/>
      <c r="BD339" s="480"/>
      <c r="BE339" s="213"/>
      <c r="BF339" s="479"/>
      <c r="BG339" s="479"/>
      <c r="BH339" s="372"/>
      <c r="BI339" s="472"/>
      <c r="BJ339" s="481"/>
      <c r="BK339" s="310"/>
      <c r="BL339" s="310">
        <f t="shared" si="1"/>
        <v>0</v>
      </c>
      <c r="BM339" s="7"/>
    </row>
    <row r="340" spans="1:65" ht="21" customHeight="1">
      <c r="A340" s="503" t="s">
        <v>739</v>
      </c>
      <c r="B340" s="483" t="s">
        <v>740</v>
      </c>
      <c r="C340" s="484" t="s">
        <v>159</v>
      </c>
      <c r="D340" s="504" t="s">
        <v>717</v>
      </c>
      <c r="E340" s="477"/>
      <c r="F340" s="477"/>
      <c r="G340" s="477"/>
      <c r="H340" s="477"/>
      <c r="I340" s="477"/>
      <c r="J340" s="477"/>
      <c r="K340" s="213"/>
      <c r="L340" s="478"/>
      <c r="M340" s="478"/>
      <c r="N340" s="478"/>
      <c r="O340" s="478"/>
      <c r="P340" s="478"/>
      <c r="Q340" s="478"/>
      <c r="R340" s="478"/>
      <c r="S340" s="478"/>
      <c r="T340" s="478"/>
      <c r="U340" s="478"/>
      <c r="V340" s="479"/>
      <c r="W340" s="478"/>
      <c r="X340" s="478"/>
      <c r="Y340" s="478"/>
      <c r="Z340" s="478"/>
      <c r="AA340" s="478"/>
      <c r="AB340" s="478"/>
      <c r="AC340" s="478"/>
      <c r="AD340" s="478"/>
      <c r="AE340" s="478"/>
      <c r="AF340" s="213"/>
      <c r="AG340" s="480"/>
      <c r="AH340" s="480"/>
      <c r="AI340" s="480"/>
      <c r="AJ340" s="480"/>
      <c r="AK340" s="480"/>
      <c r="AL340" s="480"/>
      <c r="AM340" s="480"/>
      <c r="AN340" s="480"/>
      <c r="AO340" s="480"/>
      <c r="AP340" s="480"/>
      <c r="AQ340" s="480"/>
      <c r="AR340" s="480"/>
      <c r="AS340" s="480"/>
      <c r="AT340" s="480"/>
      <c r="AU340" s="480"/>
      <c r="AV340" s="480"/>
      <c r="AW340" s="480"/>
      <c r="AX340" s="480"/>
      <c r="AY340" s="480"/>
      <c r="AZ340" s="480"/>
      <c r="BA340" s="480"/>
      <c r="BB340" s="480"/>
      <c r="BC340" s="480"/>
      <c r="BD340" s="480"/>
      <c r="BE340" s="213"/>
      <c r="BF340" s="479"/>
      <c r="BG340" s="479"/>
      <c r="BH340" s="372"/>
      <c r="BI340" s="472"/>
      <c r="BJ340" s="481"/>
      <c r="BK340" s="310"/>
      <c r="BL340" s="310">
        <f t="shared" si="1"/>
        <v>0</v>
      </c>
      <c r="BM340" s="7"/>
    </row>
    <row r="341" spans="1:65" ht="21" customHeight="1">
      <c r="A341" s="510" t="s">
        <v>741</v>
      </c>
      <c r="B341" s="505" t="s">
        <v>742</v>
      </c>
      <c r="C341" s="520" t="s">
        <v>743</v>
      </c>
      <c r="D341" s="512" t="s">
        <v>717</v>
      </c>
      <c r="E341" s="477"/>
      <c r="F341" s="477"/>
      <c r="G341" s="477"/>
      <c r="H341" s="477"/>
      <c r="I341" s="477"/>
      <c r="J341" s="477"/>
      <c r="K341" s="213"/>
      <c r="L341" s="478"/>
      <c r="M341" s="478"/>
      <c r="N341" s="478"/>
      <c r="O341" s="478"/>
      <c r="P341" s="478"/>
      <c r="Q341" s="478"/>
      <c r="R341" s="478"/>
      <c r="S341" s="478"/>
      <c r="T341" s="478"/>
      <c r="U341" s="478"/>
      <c r="V341" s="479"/>
      <c r="W341" s="478"/>
      <c r="X341" s="478"/>
      <c r="Y341" s="478"/>
      <c r="Z341" s="478"/>
      <c r="AA341" s="478"/>
      <c r="AB341" s="478"/>
      <c r="AC341" s="478"/>
      <c r="AD341" s="478"/>
      <c r="AE341" s="478"/>
      <c r="AF341" s="213"/>
      <c r="AG341" s="480"/>
      <c r="AH341" s="480"/>
      <c r="AI341" s="480"/>
      <c r="AJ341" s="480"/>
      <c r="AK341" s="480"/>
      <c r="AL341" s="480"/>
      <c r="AM341" s="480"/>
      <c r="AN341" s="480"/>
      <c r="AO341" s="480"/>
      <c r="AP341" s="480"/>
      <c r="AQ341" s="480"/>
      <c r="AR341" s="480"/>
      <c r="AS341" s="480"/>
      <c r="AT341" s="480"/>
      <c r="AU341" s="480"/>
      <c r="AV341" s="480"/>
      <c r="AW341" s="480"/>
      <c r="AX341" s="480"/>
      <c r="AY341" s="480"/>
      <c r="AZ341" s="480"/>
      <c r="BA341" s="480"/>
      <c r="BB341" s="480"/>
      <c r="BC341" s="480"/>
      <c r="BD341" s="480"/>
      <c r="BE341" s="213"/>
      <c r="BF341" s="479"/>
      <c r="BG341" s="479"/>
      <c r="BH341" s="372"/>
      <c r="BI341" s="472"/>
      <c r="BJ341" s="481"/>
      <c r="BK341" s="310"/>
      <c r="BL341" s="310">
        <f t="shared" si="1"/>
        <v>0</v>
      </c>
      <c r="BM341" s="7"/>
    </row>
    <row r="342" spans="1:65" ht="21" customHeight="1">
      <c r="A342" s="503" t="s">
        <v>744</v>
      </c>
      <c r="B342" s="483" t="s">
        <v>720</v>
      </c>
      <c r="C342" s="484" t="s">
        <v>131</v>
      </c>
      <c r="D342" s="504" t="s">
        <v>717</v>
      </c>
      <c r="E342" s="477"/>
      <c r="F342" s="477"/>
      <c r="G342" s="477"/>
      <c r="H342" s="477"/>
      <c r="I342" s="477"/>
      <c r="J342" s="477"/>
      <c r="K342" s="213"/>
      <c r="L342" s="478"/>
      <c r="M342" s="478"/>
      <c r="N342" s="478"/>
      <c r="O342" s="478"/>
      <c r="P342" s="478"/>
      <c r="Q342" s="478"/>
      <c r="R342" s="478"/>
      <c r="S342" s="478"/>
      <c r="T342" s="478"/>
      <c r="U342" s="478"/>
      <c r="V342" s="479"/>
      <c r="W342" s="478"/>
      <c r="X342" s="478"/>
      <c r="Y342" s="478"/>
      <c r="Z342" s="478"/>
      <c r="AA342" s="478"/>
      <c r="AB342" s="478"/>
      <c r="AC342" s="478"/>
      <c r="AD342" s="478"/>
      <c r="AE342" s="478"/>
      <c r="AF342" s="213"/>
      <c r="AG342" s="480"/>
      <c r="AH342" s="480"/>
      <c r="AI342" s="480"/>
      <c r="AJ342" s="480"/>
      <c r="AK342" s="480"/>
      <c r="AL342" s="480"/>
      <c r="AM342" s="480"/>
      <c r="AN342" s="480"/>
      <c r="AO342" s="480"/>
      <c r="AP342" s="480"/>
      <c r="AQ342" s="480"/>
      <c r="AR342" s="480"/>
      <c r="AS342" s="480"/>
      <c r="AT342" s="480"/>
      <c r="AU342" s="480"/>
      <c r="AV342" s="480"/>
      <c r="AW342" s="480"/>
      <c r="AX342" s="480"/>
      <c r="AY342" s="480"/>
      <c r="AZ342" s="480"/>
      <c r="BA342" s="480"/>
      <c r="BB342" s="480"/>
      <c r="BC342" s="480"/>
      <c r="BD342" s="480"/>
      <c r="BE342" s="213"/>
      <c r="BF342" s="479"/>
      <c r="BG342" s="479"/>
      <c r="BH342" s="372"/>
      <c r="BI342" s="472"/>
      <c r="BJ342" s="481"/>
      <c r="BK342" s="310"/>
      <c r="BL342" s="310">
        <f t="shared" si="1"/>
        <v>0</v>
      </c>
      <c r="BM342" s="7"/>
    </row>
    <row r="343" spans="1:65" ht="21" customHeight="1">
      <c r="A343" s="503" t="s">
        <v>745</v>
      </c>
      <c r="B343" s="483" t="s">
        <v>731</v>
      </c>
      <c r="C343" s="484" t="s">
        <v>200</v>
      </c>
      <c r="D343" s="504" t="s">
        <v>717</v>
      </c>
      <c r="E343" s="477"/>
      <c r="F343" s="477"/>
      <c r="G343" s="477"/>
      <c r="H343" s="477"/>
      <c r="I343" s="477"/>
      <c r="J343" s="477"/>
      <c r="K343" s="213"/>
      <c r="L343" s="478"/>
      <c r="M343" s="478"/>
      <c r="N343" s="478"/>
      <c r="O343" s="478"/>
      <c r="P343" s="478"/>
      <c r="Q343" s="478"/>
      <c r="R343" s="478"/>
      <c r="S343" s="478"/>
      <c r="T343" s="478"/>
      <c r="U343" s="478"/>
      <c r="V343" s="479"/>
      <c r="W343" s="478"/>
      <c r="X343" s="478"/>
      <c r="Y343" s="478"/>
      <c r="Z343" s="478"/>
      <c r="AA343" s="478"/>
      <c r="AB343" s="478"/>
      <c r="AC343" s="478"/>
      <c r="AD343" s="478"/>
      <c r="AE343" s="478"/>
      <c r="AF343" s="213"/>
      <c r="AG343" s="480"/>
      <c r="AH343" s="480"/>
      <c r="AI343" s="480"/>
      <c r="AJ343" s="480"/>
      <c r="AK343" s="480"/>
      <c r="AL343" s="480"/>
      <c r="AM343" s="480"/>
      <c r="AN343" s="480"/>
      <c r="AO343" s="480"/>
      <c r="AP343" s="480"/>
      <c r="AQ343" s="480"/>
      <c r="AR343" s="480"/>
      <c r="AS343" s="480"/>
      <c r="AT343" s="480"/>
      <c r="AU343" s="480"/>
      <c r="AV343" s="480"/>
      <c r="AW343" s="480"/>
      <c r="AX343" s="480"/>
      <c r="AY343" s="480"/>
      <c r="AZ343" s="480"/>
      <c r="BA343" s="480"/>
      <c r="BB343" s="480"/>
      <c r="BC343" s="480"/>
      <c r="BD343" s="480"/>
      <c r="BE343" s="213"/>
      <c r="BF343" s="479"/>
      <c r="BG343" s="479"/>
      <c r="BH343" s="372"/>
      <c r="BI343" s="472"/>
      <c r="BJ343" s="481"/>
      <c r="BK343" s="310"/>
      <c r="BL343" s="310">
        <f t="shared" si="1"/>
        <v>0</v>
      </c>
      <c r="BM343" s="7"/>
    </row>
    <row r="344" spans="1:65" ht="21" customHeight="1">
      <c r="A344" s="503" t="s">
        <v>746</v>
      </c>
      <c r="B344" s="483" t="s">
        <v>742</v>
      </c>
      <c r="C344" s="484" t="s">
        <v>203</v>
      </c>
      <c r="D344" s="504" t="s">
        <v>717</v>
      </c>
      <c r="E344" s="477"/>
      <c r="F344" s="477"/>
      <c r="G344" s="477"/>
      <c r="H344" s="477"/>
      <c r="I344" s="477"/>
      <c r="J344" s="477"/>
      <c r="K344" s="213"/>
      <c r="L344" s="478"/>
      <c r="M344" s="478"/>
      <c r="N344" s="478"/>
      <c r="O344" s="478"/>
      <c r="P344" s="478"/>
      <c r="Q344" s="478"/>
      <c r="R344" s="478"/>
      <c r="S344" s="478"/>
      <c r="T344" s="478"/>
      <c r="U344" s="478"/>
      <c r="V344" s="479"/>
      <c r="W344" s="478"/>
      <c r="X344" s="478"/>
      <c r="Y344" s="478"/>
      <c r="Z344" s="478"/>
      <c r="AA344" s="478"/>
      <c r="AB344" s="478"/>
      <c r="AC344" s="478"/>
      <c r="AD344" s="478"/>
      <c r="AE344" s="478"/>
      <c r="AF344" s="213"/>
      <c r="AG344" s="480"/>
      <c r="AH344" s="480"/>
      <c r="AI344" s="480"/>
      <c r="AJ344" s="480"/>
      <c r="AK344" s="480"/>
      <c r="AL344" s="480"/>
      <c r="AM344" s="480"/>
      <c r="AN344" s="480"/>
      <c r="AO344" s="480"/>
      <c r="AP344" s="480"/>
      <c r="AQ344" s="480"/>
      <c r="AR344" s="480"/>
      <c r="AS344" s="480"/>
      <c r="AT344" s="480"/>
      <c r="AU344" s="480"/>
      <c r="AV344" s="480"/>
      <c r="AW344" s="480"/>
      <c r="AX344" s="480"/>
      <c r="AY344" s="480"/>
      <c r="AZ344" s="480"/>
      <c r="BA344" s="480"/>
      <c r="BB344" s="480"/>
      <c r="BC344" s="480"/>
      <c r="BD344" s="480"/>
      <c r="BE344" s="213"/>
      <c r="BF344" s="479"/>
      <c r="BG344" s="479"/>
      <c r="BH344" s="372"/>
      <c r="BI344" s="472"/>
      <c r="BJ344" s="481"/>
      <c r="BK344" s="310"/>
      <c r="BL344" s="310">
        <f t="shared" si="1"/>
        <v>0</v>
      </c>
      <c r="BM344" s="7"/>
    </row>
    <row r="345" spans="1:65" ht="21" customHeight="1">
      <c r="A345" s="503" t="s">
        <v>747</v>
      </c>
      <c r="B345" s="483" t="s">
        <v>748</v>
      </c>
      <c r="C345" s="484" t="s">
        <v>159</v>
      </c>
      <c r="D345" s="504" t="s">
        <v>717</v>
      </c>
      <c r="E345" s="477"/>
      <c r="F345" s="477"/>
      <c r="G345" s="477"/>
      <c r="H345" s="477"/>
      <c r="I345" s="477"/>
      <c r="J345" s="477"/>
      <c r="K345" s="213"/>
      <c r="L345" s="478"/>
      <c r="M345" s="478"/>
      <c r="N345" s="478"/>
      <c r="O345" s="478"/>
      <c r="P345" s="478"/>
      <c r="Q345" s="478"/>
      <c r="R345" s="478"/>
      <c r="S345" s="478"/>
      <c r="T345" s="478"/>
      <c r="U345" s="478"/>
      <c r="V345" s="479"/>
      <c r="W345" s="478"/>
      <c r="X345" s="478"/>
      <c r="Y345" s="478"/>
      <c r="Z345" s="478"/>
      <c r="AA345" s="478"/>
      <c r="AB345" s="478"/>
      <c r="AC345" s="478"/>
      <c r="AD345" s="478"/>
      <c r="AE345" s="478"/>
      <c r="AF345" s="213"/>
      <c r="AG345" s="480"/>
      <c r="AH345" s="480"/>
      <c r="AI345" s="480"/>
      <c r="AJ345" s="480"/>
      <c r="AK345" s="480"/>
      <c r="AL345" s="480"/>
      <c r="AM345" s="480"/>
      <c r="AN345" s="480"/>
      <c r="AO345" s="480"/>
      <c r="AP345" s="480"/>
      <c r="AQ345" s="480"/>
      <c r="AR345" s="480"/>
      <c r="AS345" s="480"/>
      <c r="AT345" s="480"/>
      <c r="AU345" s="480"/>
      <c r="AV345" s="480"/>
      <c r="AW345" s="480"/>
      <c r="AX345" s="480"/>
      <c r="AY345" s="480"/>
      <c r="AZ345" s="480"/>
      <c r="BA345" s="480"/>
      <c r="BB345" s="480"/>
      <c r="BC345" s="480"/>
      <c r="BD345" s="480"/>
      <c r="BE345" s="213"/>
      <c r="BF345" s="479"/>
      <c r="BG345" s="479"/>
      <c r="BH345" s="372"/>
      <c r="BI345" s="472"/>
      <c r="BJ345" s="481"/>
      <c r="BK345" s="310"/>
      <c r="BL345" s="310">
        <f t="shared" si="1"/>
        <v>0</v>
      </c>
      <c r="BM345" s="7"/>
    </row>
    <row r="346" spans="1:65" ht="39" customHeight="1">
      <c r="A346" s="486">
        <v>10.8</v>
      </c>
      <c r="B346" s="487" t="s">
        <v>749</v>
      </c>
      <c r="C346" s="513" t="s">
        <v>750</v>
      </c>
      <c r="D346" s="515" t="s">
        <v>183</v>
      </c>
      <c r="E346" s="477"/>
      <c r="F346" s="477"/>
      <c r="G346" s="477"/>
      <c r="H346" s="477"/>
      <c r="I346" s="477"/>
      <c r="J346" s="477"/>
      <c r="K346" s="213"/>
      <c r="L346" s="478"/>
      <c r="M346" s="478"/>
      <c r="N346" s="478"/>
      <c r="O346" s="478"/>
      <c r="P346" s="478"/>
      <c r="Q346" s="478"/>
      <c r="R346" s="478"/>
      <c r="S346" s="478"/>
      <c r="T346" s="478"/>
      <c r="U346" s="478"/>
      <c r="V346" s="479"/>
      <c r="W346" s="478"/>
      <c r="X346" s="478"/>
      <c r="Y346" s="478"/>
      <c r="Z346" s="478"/>
      <c r="AA346" s="478"/>
      <c r="AB346" s="478"/>
      <c r="AC346" s="478"/>
      <c r="AD346" s="478"/>
      <c r="AE346" s="478"/>
      <c r="AF346" s="213"/>
      <c r="AG346" s="480"/>
      <c r="AH346" s="480"/>
      <c r="AI346" s="480"/>
      <c r="AJ346" s="480"/>
      <c r="AK346" s="480"/>
      <c r="AL346" s="480"/>
      <c r="AM346" s="480"/>
      <c r="AN346" s="480"/>
      <c r="AO346" s="480"/>
      <c r="AP346" s="480"/>
      <c r="AQ346" s="480"/>
      <c r="AR346" s="480"/>
      <c r="AS346" s="480"/>
      <c r="AT346" s="480"/>
      <c r="AU346" s="480"/>
      <c r="AV346" s="480"/>
      <c r="AW346" s="480"/>
      <c r="AX346" s="480"/>
      <c r="AY346" s="480"/>
      <c r="AZ346" s="480"/>
      <c r="BA346" s="480"/>
      <c r="BB346" s="480"/>
      <c r="BC346" s="480"/>
      <c r="BD346" s="480"/>
      <c r="BE346" s="213"/>
      <c r="BF346" s="479"/>
      <c r="BG346" s="479"/>
      <c r="BH346" s="372"/>
      <c r="BI346" s="472"/>
      <c r="BJ346" s="481"/>
      <c r="BK346" s="310"/>
      <c r="BL346" s="310">
        <f t="shared" si="1"/>
        <v>0</v>
      </c>
      <c r="BM346" s="7"/>
    </row>
    <row r="347" spans="1:65" ht="21" customHeight="1">
      <c r="A347" s="503" t="s">
        <v>751</v>
      </c>
      <c r="B347" s="483" t="s">
        <v>752</v>
      </c>
      <c r="C347" s="484" t="s">
        <v>131</v>
      </c>
      <c r="D347" s="515" t="s">
        <v>183</v>
      </c>
      <c r="E347" s="477"/>
      <c r="F347" s="477"/>
      <c r="G347" s="477"/>
      <c r="H347" s="477"/>
      <c r="I347" s="477"/>
      <c r="J347" s="477"/>
      <c r="K347" s="213"/>
      <c r="L347" s="478"/>
      <c r="M347" s="478"/>
      <c r="N347" s="478"/>
      <c r="O347" s="478"/>
      <c r="P347" s="478"/>
      <c r="Q347" s="478"/>
      <c r="R347" s="478"/>
      <c r="S347" s="478"/>
      <c r="T347" s="478"/>
      <c r="U347" s="478"/>
      <c r="V347" s="479"/>
      <c r="W347" s="478"/>
      <c r="X347" s="478"/>
      <c r="Y347" s="478"/>
      <c r="Z347" s="478"/>
      <c r="AA347" s="478"/>
      <c r="AB347" s="478"/>
      <c r="AC347" s="478"/>
      <c r="AD347" s="478"/>
      <c r="AE347" s="478"/>
      <c r="AF347" s="213"/>
      <c r="AG347" s="480"/>
      <c r="AH347" s="480"/>
      <c r="AI347" s="480"/>
      <c r="AJ347" s="480"/>
      <c r="AK347" s="480"/>
      <c r="AL347" s="480"/>
      <c r="AM347" s="480"/>
      <c r="AN347" s="480"/>
      <c r="AO347" s="480"/>
      <c r="AP347" s="480"/>
      <c r="AQ347" s="480"/>
      <c r="AR347" s="480"/>
      <c r="AS347" s="480"/>
      <c r="AT347" s="480"/>
      <c r="AU347" s="480"/>
      <c r="AV347" s="480"/>
      <c r="AW347" s="480"/>
      <c r="AX347" s="480"/>
      <c r="AY347" s="480"/>
      <c r="AZ347" s="480"/>
      <c r="BA347" s="480"/>
      <c r="BB347" s="480"/>
      <c r="BC347" s="480"/>
      <c r="BD347" s="480"/>
      <c r="BE347" s="213"/>
      <c r="BF347" s="479"/>
      <c r="BG347" s="479"/>
      <c r="BH347" s="372"/>
      <c r="BI347" s="472"/>
      <c r="BJ347" s="481"/>
      <c r="BK347" s="310"/>
      <c r="BL347" s="310">
        <f t="shared" si="1"/>
        <v>0</v>
      </c>
      <c r="BM347" s="7"/>
    </row>
    <row r="348" spans="1:65" ht="21" customHeight="1">
      <c r="A348" s="503" t="s">
        <v>753</v>
      </c>
      <c r="B348" s="483" t="s">
        <v>754</v>
      </c>
      <c r="C348" s="484" t="s">
        <v>200</v>
      </c>
      <c r="D348" s="515" t="s">
        <v>183</v>
      </c>
      <c r="E348" s="477"/>
      <c r="F348" s="477"/>
      <c r="G348" s="477"/>
      <c r="H348" s="477"/>
      <c r="I348" s="477"/>
      <c r="J348" s="477"/>
      <c r="K348" s="213"/>
      <c r="L348" s="478"/>
      <c r="M348" s="478"/>
      <c r="N348" s="478"/>
      <c r="O348" s="478"/>
      <c r="P348" s="478"/>
      <c r="Q348" s="478"/>
      <c r="R348" s="478"/>
      <c r="S348" s="478"/>
      <c r="T348" s="478"/>
      <c r="U348" s="478"/>
      <c r="V348" s="479"/>
      <c r="W348" s="478"/>
      <c r="X348" s="478"/>
      <c r="Y348" s="478"/>
      <c r="Z348" s="478"/>
      <c r="AA348" s="478"/>
      <c r="AB348" s="478"/>
      <c r="AC348" s="478"/>
      <c r="AD348" s="478"/>
      <c r="AE348" s="478"/>
      <c r="AF348" s="213"/>
      <c r="AG348" s="480"/>
      <c r="AH348" s="480"/>
      <c r="AI348" s="480"/>
      <c r="AJ348" s="480"/>
      <c r="AK348" s="480"/>
      <c r="AL348" s="480"/>
      <c r="AM348" s="480"/>
      <c r="AN348" s="480"/>
      <c r="AO348" s="480"/>
      <c r="AP348" s="480"/>
      <c r="AQ348" s="480"/>
      <c r="AR348" s="480"/>
      <c r="AS348" s="480"/>
      <c r="AT348" s="480"/>
      <c r="AU348" s="480"/>
      <c r="AV348" s="480"/>
      <c r="AW348" s="480"/>
      <c r="AX348" s="480"/>
      <c r="AY348" s="480"/>
      <c r="AZ348" s="480"/>
      <c r="BA348" s="480"/>
      <c r="BB348" s="480"/>
      <c r="BC348" s="480"/>
      <c r="BD348" s="480"/>
      <c r="BE348" s="213"/>
      <c r="BF348" s="479"/>
      <c r="BG348" s="479"/>
      <c r="BH348" s="372"/>
      <c r="BI348" s="472"/>
      <c r="BJ348" s="481"/>
      <c r="BK348" s="310"/>
      <c r="BL348" s="310">
        <f t="shared" si="1"/>
        <v>0</v>
      </c>
      <c r="BM348" s="7"/>
    </row>
    <row r="349" spans="1:65" ht="21" customHeight="1">
      <c r="A349" s="503" t="s">
        <v>755</v>
      </c>
      <c r="B349" s="483" t="s">
        <v>756</v>
      </c>
      <c r="C349" s="484" t="s">
        <v>203</v>
      </c>
      <c r="D349" s="515" t="s">
        <v>183</v>
      </c>
      <c r="E349" s="477"/>
      <c r="F349" s="477"/>
      <c r="G349" s="477"/>
      <c r="H349" s="477"/>
      <c r="I349" s="477"/>
      <c r="J349" s="477"/>
      <c r="K349" s="213"/>
      <c r="L349" s="478"/>
      <c r="M349" s="478"/>
      <c r="N349" s="478"/>
      <c r="O349" s="478"/>
      <c r="P349" s="478"/>
      <c r="Q349" s="478"/>
      <c r="R349" s="478"/>
      <c r="S349" s="478"/>
      <c r="T349" s="478"/>
      <c r="U349" s="478"/>
      <c r="V349" s="479"/>
      <c r="W349" s="478"/>
      <c r="X349" s="478"/>
      <c r="Y349" s="478"/>
      <c r="Z349" s="478"/>
      <c r="AA349" s="478"/>
      <c r="AB349" s="478"/>
      <c r="AC349" s="478"/>
      <c r="AD349" s="478"/>
      <c r="AE349" s="478"/>
      <c r="AF349" s="213"/>
      <c r="AG349" s="480"/>
      <c r="AH349" s="480"/>
      <c r="AI349" s="480"/>
      <c r="AJ349" s="480"/>
      <c r="AK349" s="480"/>
      <c r="AL349" s="480"/>
      <c r="AM349" s="480"/>
      <c r="AN349" s="480"/>
      <c r="AO349" s="480"/>
      <c r="AP349" s="480"/>
      <c r="AQ349" s="480"/>
      <c r="AR349" s="480"/>
      <c r="AS349" s="480"/>
      <c r="AT349" s="480"/>
      <c r="AU349" s="480"/>
      <c r="AV349" s="480"/>
      <c r="AW349" s="480"/>
      <c r="AX349" s="480"/>
      <c r="AY349" s="480"/>
      <c r="AZ349" s="480"/>
      <c r="BA349" s="480"/>
      <c r="BB349" s="480"/>
      <c r="BC349" s="480"/>
      <c r="BD349" s="480"/>
      <c r="BE349" s="213"/>
      <c r="BF349" s="479"/>
      <c r="BG349" s="479"/>
      <c r="BH349" s="372"/>
      <c r="BI349" s="472"/>
      <c r="BJ349" s="481"/>
      <c r="BK349" s="310"/>
      <c r="BL349" s="310">
        <f t="shared" si="1"/>
        <v>0</v>
      </c>
      <c r="BM349" s="7"/>
    </row>
    <row r="350" spans="1:65" ht="21" customHeight="1">
      <c r="A350" s="503" t="s">
        <v>757</v>
      </c>
      <c r="B350" s="483" t="s">
        <v>758</v>
      </c>
      <c r="C350" s="484" t="s">
        <v>159</v>
      </c>
      <c r="D350" s="515" t="s">
        <v>183</v>
      </c>
      <c r="E350" s="477"/>
      <c r="F350" s="477"/>
      <c r="G350" s="477"/>
      <c r="H350" s="477"/>
      <c r="I350" s="477"/>
      <c r="J350" s="477"/>
      <c r="K350" s="213"/>
      <c r="L350" s="478"/>
      <c r="M350" s="478"/>
      <c r="N350" s="478"/>
      <c r="O350" s="478"/>
      <c r="P350" s="478"/>
      <c r="Q350" s="478"/>
      <c r="R350" s="478"/>
      <c r="S350" s="478"/>
      <c r="T350" s="478"/>
      <c r="U350" s="478"/>
      <c r="V350" s="479"/>
      <c r="W350" s="478"/>
      <c r="X350" s="478"/>
      <c r="Y350" s="478"/>
      <c r="Z350" s="478"/>
      <c r="AA350" s="478"/>
      <c r="AB350" s="478"/>
      <c r="AC350" s="478"/>
      <c r="AD350" s="478"/>
      <c r="AE350" s="478"/>
      <c r="AF350" s="213"/>
      <c r="AG350" s="480"/>
      <c r="AH350" s="480"/>
      <c r="AI350" s="480"/>
      <c r="AJ350" s="480"/>
      <c r="AK350" s="480"/>
      <c r="AL350" s="480"/>
      <c r="AM350" s="480"/>
      <c r="AN350" s="480"/>
      <c r="AO350" s="480"/>
      <c r="AP350" s="480"/>
      <c r="AQ350" s="480"/>
      <c r="AR350" s="480"/>
      <c r="AS350" s="480"/>
      <c r="AT350" s="480"/>
      <c r="AU350" s="480"/>
      <c r="AV350" s="480"/>
      <c r="AW350" s="480"/>
      <c r="AX350" s="480"/>
      <c r="AY350" s="480"/>
      <c r="AZ350" s="480"/>
      <c r="BA350" s="480"/>
      <c r="BB350" s="480"/>
      <c r="BC350" s="480"/>
      <c r="BD350" s="480"/>
      <c r="BE350" s="213"/>
      <c r="BF350" s="479"/>
      <c r="BG350" s="479"/>
      <c r="BH350" s="372"/>
      <c r="BI350" s="472"/>
      <c r="BJ350" s="481"/>
      <c r="BK350" s="310"/>
      <c r="BL350" s="310">
        <f t="shared" si="1"/>
        <v>0</v>
      </c>
      <c r="BM350" s="7"/>
    </row>
    <row r="351" spans="1:65" ht="21" customHeight="1">
      <c r="A351" s="486">
        <v>10.9</v>
      </c>
      <c r="B351" s="487" t="s">
        <v>641</v>
      </c>
      <c r="C351" s="513" t="s">
        <v>759</v>
      </c>
      <c r="D351" s="513" t="s">
        <v>760</v>
      </c>
      <c r="E351" s="477"/>
      <c r="F351" s="477"/>
      <c r="G351" s="477"/>
      <c r="H351" s="477"/>
      <c r="I351" s="477"/>
      <c r="J351" s="477"/>
      <c r="K351" s="213"/>
      <c r="L351" s="478"/>
      <c r="M351" s="478"/>
      <c r="N351" s="478"/>
      <c r="O351" s="478"/>
      <c r="P351" s="478"/>
      <c r="Q351" s="478"/>
      <c r="R351" s="478"/>
      <c r="S351" s="478"/>
      <c r="T351" s="478"/>
      <c r="U351" s="478"/>
      <c r="V351" s="479"/>
      <c r="W351" s="478"/>
      <c r="X351" s="478"/>
      <c r="Y351" s="478"/>
      <c r="Z351" s="478"/>
      <c r="AA351" s="478"/>
      <c r="AB351" s="478"/>
      <c r="AC351" s="478"/>
      <c r="AD351" s="478"/>
      <c r="AE351" s="478"/>
      <c r="AF351" s="213"/>
      <c r="AG351" s="480"/>
      <c r="AH351" s="480"/>
      <c r="AI351" s="480"/>
      <c r="AJ351" s="480"/>
      <c r="AK351" s="480"/>
      <c r="AL351" s="480"/>
      <c r="AM351" s="480"/>
      <c r="AN351" s="480"/>
      <c r="AO351" s="480"/>
      <c r="AP351" s="480"/>
      <c r="AQ351" s="480"/>
      <c r="AR351" s="480"/>
      <c r="AS351" s="480"/>
      <c r="AT351" s="480"/>
      <c r="AU351" s="480"/>
      <c r="AV351" s="480"/>
      <c r="AW351" s="480"/>
      <c r="AX351" s="480"/>
      <c r="AY351" s="480"/>
      <c r="AZ351" s="480"/>
      <c r="BA351" s="480"/>
      <c r="BB351" s="480"/>
      <c r="BC351" s="480"/>
      <c r="BD351" s="480"/>
      <c r="BE351" s="213"/>
      <c r="BF351" s="479"/>
      <c r="BG351" s="479"/>
      <c r="BH351" s="372"/>
      <c r="BI351" s="472"/>
      <c r="BJ351" s="481"/>
      <c r="BK351" s="310"/>
      <c r="BL351" s="310">
        <f t="shared" si="1"/>
        <v>0</v>
      </c>
      <c r="BM351" s="7"/>
    </row>
    <row r="352" spans="1:65" ht="21" customHeight="1">
      <c r="A352" s="486" t="s">
        <v>1081</v>
      </c>
      <c r="B352" s="521" t="s">
        <v>761</v>
      </c>
      <c r="C352" s="513" t="s">
        <v>762</v>
      </c>
      <c r="D352" s="515" t="s">
        <v>183</v>
      </c>
      <c r="E352" s="477"/>
      <c r="F352" s="477"/>
      <c r="G352" s="477"/>
      <c r="H352" s="477"/>
      <c r="I352" s="477"/>
      <c r="J352" s="477"/>
      <c r="K352" s="213"/>
      <c r="L352" s="478"/>
      <c r="M352" s="478"/>
      <c r="N352" s="478"/>
      <c r="O352" s="478"/>
      <c r="P352" s="478"/>
      <c r="Q352" s="478"/>
      <c r="R352" s="478"/>
      <c r="S352" s="478"/>
      <c r="T352" s="478"/>
      <c r="U352" s="478"/>
      <c r="V352" s="479"/>
      <c r="W352" s="478"/>
      <c r="X352" s="478"/>
      <c r="Y352" s="478"/>
      <c r="Z352" s="478"/>
      <c r="AA352" s="478"/>
      <c r="AB352" s="478"/>
      <c r="AC352" s="478"/>
      <c r="AD352" s="478"/>
      <c r="AE352" s="478"/>
      <c r="AF352" s="213"/>
      <c r="AG352" s="480"/>
      <c r="AH352" s="480"/>
      <c r="AI352" s="480"/>
      <c r="AJ352" s="480"/>
      <c r="AK352" s="480"/>
      <c r="AL352" s="480"/>
      <c r="AM352" s="480"/>
      <c r="AN352" s="480"/>
      <c r="AO352" s="480"/>
      <c r="AP352" s="480"/>
      <c r="AQ352" s="480"/>
      <c r="AR352" s="480"/>
      <c r="AS352" s="480"/>
      <c r="AT352" s="480"/>
      <c r="AU352" s="480"/>
      <c r="AV352" s="480"/>
      <c r="AW352" s="480"/>
      <c r="AX352" s="480"/>
      <c r="AY352" s="480"/>
      <c r="AZ352" s="480"/>
      <c r="BA352" s="480"/>
      <c r="BB352" s="480"/>
      <c r="BC352" s="480"/>
      <c r="BD352" s="480"/>
      <c r="BE352" s="213"/>
      <c r="BF352" s="479"/>
      <c r="BG352" s="479"/>
      <c r="BH352" s="372"/>
      <c r="BI352" s="472"/>
      <c r="BJ352" s="481"/>
      <c r="BK352" s="310"/>
      <c r="BL352" s="310">
        <f t="shared" si="1"/>
        <v>0</v>
      </c>
      <c r="BM352" s="7"/>
    </row>
    <row r="353" spans="1:65" ht="37.5" customHeight="1">
      <c r="A353" s="489">
        <v>8</v>
      </c>
      <c r="B353" s="490" t="s">
        <v>5</v>
      </c>
      <c r="C353" s="490" t="s">
        <v>764</v>
      </c>
      <c r="D353" s="516"/>
      <c r="E353" s="477"/>
      <c r="F353" s="477"/>
      <c r="G353" s="477"/>
      <c r="H353" s="477"/>
      <c r="I353" s="477"/>
      <c r="J353" s="477"/>
      <c r="K353" s="213"/>
      <c r="L353" s="478"/>
      <c r="M353" s="478"/>
      <c r="N353" s="478"/>
      <c r="O353" s="478"/>
      <c r="P353" s="478"/>
      <c r="Q353" s="478"/>
      <c r="R353" s="478"/>
      <c r="S353" s="478"/>
      <c r="T353" s="478"/>
      <c r="U353" s="478"/>
      <c r="V353" s="479"/>
      <c r="W353" s="478"/>
      <c r="X353" s="478"/>
      <c r="Y353" s="478"/>
      <c r="Z353" s="478"/>
      <c r="AA353" s="478"/>
      <c r="AB353" s="478"/>
      <c r="AC353" s="478"/>
      <c r="AD353" s="478"/>
      <c r="AE353" s="478"/>
      <c r="AF353" s="213"/>
      <c r="AG353" s="480"/>
      <c r="AH353" s="480"/>
      <c r="AI353" s="480"/>
      <c r="AJ353" s="480"/>
      <c r="AK353" s="480"/>
      <c r="AL353" s="480"/>
      <c r="AM353" s="480"/>
      <c r="AN353" s="480"/>
      <c r="AO353" s="480"/>
      <c r="AP353" s="480"/>
      <c r="AQ353" s="480"/>
      <c r="AR353" s="480"/>
      <c r="AS353" s="480"/>
      <c r="AT353" s="480"/>
      <c r="AU353" s="480"/>
      <c r="AV353" s="480"/>
      <c r="AW353" s="480"/>
      <c r="AX353" s="480"/>
      <c r="AY353" s="480"/>
      <c r="AZ353" s="480"/>
      <c r="BA353" s="480"/>
      <c r="BB353" s="480"/>
      <c r="BC353" s="480"/>
      <c r="BD353" s="480"/>
      <c r="BE353" s="213"/>
      <c r="BF353" s="479"/>
      <c r="BG353" s="479"/>
      <c r="BH353" s="372"/>
      <c r="BI353" s="472"/>
      <c r="BJ353" s="481"/>
      <c r="BK353" s="310"/>
      <c r="BL353" s="310">
        <f t="shared" si="1"/>
        <v>0</v>
      </c>
      <c r="BM353" s="7"/>
    </row>
    <row r="354" spans="1:65" ht="21.75" customHeight="1">
      <c r="A354" s="522"/>
      <c r="B354" s="488" t="s">
        <v>766</v>
      </c>
      <c r="C354" s="488" t="s">
        <v>1082</v>
      </c>
      <c r="D354" s="507" t="s">
        <v>132</v>
      </c>
      <c r="E354" s="477"/>
      <c r="F354" s="477"/>
      <c r="G354" s="477"/>
      <c r="H354" s="477"/>
      <c r="I354" s="477"/>
      <c r="J354" s="477"/>
      <c r="K354" s="213"/>
      <c r="L354" s="478"/>
      <c r="M354" s="478"/>
      <c r="N354" s="478"/>
      <c r="O354" s="478"/>
      <c r="P354" s="478"/>
      <c r="Q354" s="478"/>
      <c r="R354" s="478"/>
      <c r="S354" s="478"/>
      <c r="T354" s="478"/>
      <c r="U354" s="478"/>
      <c r="V354" s="479"/>
      <c r="W354" s="478"/>
      <c r="X354" s="478"/>
      <c r="Y354" s="478"/>
      <c r="Z354" s="478"/>
      <c r="AA354" s="478"/>
      <c r="AB354" s="478"/>
      <c r="AC354" s="478"/>
      <c r="AD354" s="478"/>
      <c r="AE354" s="478"/>
      <c r="AF354" s="213"/>
      <c r="AG354" s="480"/>
      <c r="AH354" s="480"/>
      <c r="AI354" s="480"/>
      <c r="AJ354" s="480"/>
      <c r="AK354" s="480"/>
      <c r="AL354" s="480"/>
      <c r="AM354" s="480"/>
      <c r="AN354" s="480"/>
      <c r="AO354" s="480"/>
      <c r="AP354" s="480"/>
      <c r="AQ354" s="480"/>
      <c r="AR354" s="480"/>
      <c r="AS354" s="480"/>
      <c r="AT354" s="480"/>
      <c r="AU354" s="480"/>
      <c r="AV354" s="480"/>
      <c r="AW354" s="480"/>
      <c r="AX354" s="480"/>
      <c r="AY354" s="480"/>
      <c r="AZ354" s="480"/>
      <c r="BA354" s="480"/>
      <c r="BB354" s="480"/>
      <c r="BC354" s="480"/>
      <c r="BD354" s="480"/>
      <c r="BE354" s="213"/>
      <c r="BF354" s="479"/>
      <c r="BG354" s="479"/>
      <c r="BH354" s="372"/>
      <c r="BI354" s="472"/>
      <c r="BJ354" s="481"/>
      <c r="BK354" s="310"/>
      <c r="BL354" s="310">
        <f t="shared" si="1"/>
        <v>0</v>
      </c>
      <c r="BM354" s="7"/>
    </row>
    <row r="355" spans="1:65" ht="21.75" customHeight="1">
      <c r="A355" s="523"/>
      <c r="B355" s="488" t="s">
        <v>769</v>
      </c>
      <c r="C355" s="488" t="s">
        <v>770</v>
      </c>
      <c r="D355" s="507" t="s">
        <v>132</v>
      </c>
      <c r="E355" s="477"/>
      <c r="F355" s="477"/>
      <c r="G355" s="477"/>
      <c r="H355" s="477"/>
      <c r="I355" s="477"/>
      <c r="J355" s="477"/>
      <c r="K355" s="213"/>
      <c r="L355" s="478"/>
      <c r="M355" s="478"/>
      <c r="N355" s="478"/>
      <c r="O355" s="478"/>
      <c r="P355" s="478"/>
      <c r="Q355" s="478"/>
      <c r="R355" s="478"/>
      <c r="S355" s="478"/>
      <c r="T355" s="478"/>
      <c r="U355" s="478"/>
      <c r="V355" s="479"/>
      <c r="W355" s="478"/>
      <c r="X355" s="478"/>
      <c r="Y355" s="478"/>
      <c r="Z355" s="478"/>
      <c r="AA355" s="478"/>
      <c r="AB355" s="478"/>
      <c r="AC355" s="478"/>
      <c r="AD355" s="478"/>
      <c r="AE355" s="478"/>
      <c r="AF355" s="213"/>
      <c r="AG355" s="480"/>
      <c r="AH355" s="480"/>
      <c r="AI355" s="480"/>
      <c r="AJ355" s="480"/>
      <c r="AK355" s="480"/>
      <c r="AL355" s="480"/>
      <c r="AM355" s="480"/>
      <c r="AN355" s="480"/>
      <c r="AO355" s="480"/>
      <c r="AP355" s="480"/>
      <c r="AQ355" s="480"/>
      <c r="AR355" s="480"/>
      <c r="AS355" s="480"/>
      <c r="AT355" s="480"/>
      <c r="AU355" s="480"/>
      <c r="AV355" s="480"/>
      <c r="AW355" s="480"/>
      <c r="AX355" s="480"/>
      <c r="AY355" s="480"/>
      <c r="AZ355" s="480"/>
      <c r="BA355" s="480"/>
      <c r="BB355" s="480"/>
      <c r="BC355" s="480"/>
      <c r="BD355" s="480"/>
      <c r="BE355" s="213"/>
      <c r="BF355" s="479"/>
      <c r="BG355" s="479"/>
      <c r="BH355" s="372"/>
      <c r="BI355" s="472"/>
      <c r="BJ355" s="481"/>
      <c r="BK355" s="310"/>
      <c r="BL355" s="310">
        <f t="shared" si="1"/>
        <v>0</v>
      </c>
      <c r="BM355" s="7"/>
    </row>
    <row r="356" spans="1:65" ht="21.75" customHeight="1">
      <c r="A356" s="522"/>
      <c r="B356" s="488" t="s">
        <v>772</v>
      </c>
      <c r="C356" s="488" t="s">
        <v>773</v>
      </c>
      <c r="D356" s="507" t="s">
        <v>132</v>
      </c>
      <c r="E356" s="477"/>
      <c r="F356" s="477"/>
      <c r="G356" s="477"/>
      <c r="H356" s="477"/>
      <c r="I356" s="477"/>
      <c r="J356" s="477"/>
      <c r="K356" s="213"/>
      <c r="L356" s="478"/>
      <c r="M356" s="478"/>
      <c r="N356" s="478"/>
      <c r="O356" s="478"/>
      <c r="P356" s="478"/>
      <c r="Q356" s="478"/>
      <c r="R356" s="478"/>
      <c r="S356" s="478"/>
      <c r="T356" s="478"/>
      <c r="U356" s="478"/>
      <c r="V356" s="479"/>
      <c r="W356" s="478"/>
      <c r="X356" s="478"/>
      <c r="Y356" s="478"/>
      <c r="Z356" s="478"/>
      <c r="AA356" s="478"/>
      <c r="AB356" s="478"/>
      <c r="AC356" s="478"/>
      <c r="AD356" s="478"/>
      <c r="AE356" s="478"/>
      <c r="AF356" s="213"/>
      <c r="AG356" s="480"/>
      <c r="AH356" s="480"/>
      <c r="AI356" s="480"/>
      <c r="AJ356" s="480"/>
      <c r="AK356" s="480"/>
      <c r="AL356" s="480"/>
      <c r="AM356" s="480"/>
      <c r="AN356" s="480"/>
      <c r="AO356" s="480"/>
      <c r="AP356" s="480"/>
      <c r="AQ356" s="480"/>
      <c r="AR356" s="480"/>
      <c r="AS356" s="480"/>
      <c r="AT356" s="480"/>
      <c r="AU356" s="480"/>
      <c r="AV356" s="480"/>
      <c r="AW356" s="480"/>
      <c r="AX356" s="480"/>
      <c r="AY356" s="480"/>
      <c r="AZ356" s="480"/>
      <c r="BA356" s="480"/>
      <c r="BB356" s="480"/>
      <c r="BC356" s="480"/>
      <c r="BD356" s="480"/>
      <c r="BE356" s="213"/>
      <c r="BF356" s="479"/>
      <c r="BG356" s="479"/>
      <c r="BH356" s="372"/>
      <c r="BI356" s="472"/>
      <c r="BJ356" s="481"/>
      <c r="BK356" s="310"/>
      <c r="BL356" s="310">
        <f t="shared" si="1"/>
        <v>0</v>
      </c>
      <c r="BM356" s="7"/>
    </row>
    <row r="357" spans="1:65" ht="21.75" customHeight="1">
      <c r="A357" s="503" t="s">
        <v>775</v>
      </c>
      <c r="B357" s="524" t="s">
        <v>776</v>
      </c>
      <c r="C357" s="484" t="s">
        <v>131</v>
      </c>
      <c r="D357" s="525" t="s">
        <v>132</v>
      </c>
      <c r="E357" s="477"/>
      <c r="F357" s="477"/>
      <c r="G357" s="477"/>
      <c r="H357" s="477"/>
      <c r="I357" s="477"/>
      <c r="J357" s="477"/>
      <c r="K357" s="213"/>
      <c r="L357" s="478"/>
      <c r="M357" s="478"/>
      <c r="N357" s="478"/>
      <c r="O357" s="478"/>
      <c r="P357" s="478"/>
      <c r="Q357" s="478"/>
      <c r="R357" s="478"/>
      <c r="S357" s="478"/>
      <c r="T357" s="478"/>
      <c r="U357" s="478"/>
      <c r="V357" s="479"/>
      <c r="W357" s="478"/>
      <c r="X357" s="478"/>
      <c r="Y357" s="478"/>
      <c r="Z357" s="478"/>
      <c r="AA357" s="478"/>
      <c r="AB357" s="478"/>
      <c r="AC357" s="478"/>
      <c r="AD357" s="478"/>
      <c r="AE357" s="478"/>
      <c r="AF357" s="213"/>
      <c r="AG357" s="480"/>
      <c r="AH357" s="480"/>
      <c r="AI357" s="480"/>
      <c r="AJ357" s="480"/>
      <c r="AK357" s="480"/>
      <c r="AL357" s="480"/>
      <c r="AM357" s="480"/>
      <c r="AN357" s="480"/>
      <c r="AO357" s="480"/>
      <c r="AP357" s="480"/>
      <c r="AQ357" s="480"/>
      <c r="AR357" s="480"/>
      <c r="AS357" s="480"/>
      <c r="AT357" s="480"/>
      <c r="AU357" s="480"/>
      <c r="AV357" s="480"/>
      <c r="AW357" s="480"/>
      <c r="AX357" s="480"/>
      <c r="AY357" s="480"/>
      <c r="AZ357" s="480"/>
      <c r="BA357" s="480"/>
      <c r="BB357" s="480"/>
      <c r="BC357" s="480"/>
      <c r="BD357" s="480"/>
      <c r="BE357" s="213"/>
      <c r="BF357" s="479"/>
      <c r="BG357" s="479"/>
      <c r="BH357" s="372"/>
      <c r="BI357" s="472"/>
      <c r="BJ357" s="481"/>
      <c r="BK357" s="310"/>
      <c r="BL357" s="310">
        <f t="shared" si="1"/>
        <v>0</v>
      </c>
      <c r="BM357" s="7"/>
    </row>
    <row r="358" spans="1:65" ht="21.75" customHeight="1">
      <c r="A358" s="503" t="s">
        <v>777</v>
      </c>
      <c r="B358" s="524" t="s">
        <v>778</v>
      </c>
      <c r="C358" s="484" t="s">
        <v>200</v>
      </c>
      <c r="D358" s="525" t="s">
        <v>132</v>
      </c>
      <c r="E358" s="477"/>
      <c r="F358" s="477"/>
      <c r="G358" s="477"/>
      <c r="H358" s="477"/>
      <c r="I358" s="477"/>
      <c r="J358" s="477"/>
      <c r="K358" s="213"/>
      <c r="L358" s="478"/>
      <c r="M358" s="478"/>
      <c r="N358" s="478"/>
      <c r="O358" s="478"/>
      <c r="P358" s="478"/>
      <c r="Q358" s="478"/>
      <c r="R358" s="478"/>
      <c r="S358" s="478"/>
      <c r="T358" s="478"/>
      <c r="U358" s="478"/>
      <c r="V358" s="479"/>
      <c r="W358" s="478"/>
      <c r="X358" s="478"/>
      <c r="Y358" s="478"/>
      <c r="Z358" s="478"/>
      <c r="AA358" s="478"/>
      <c r="AB358" s="478"/>
      <c r="AC358" s="478"/>
      <c r="AD358" s="478"/>
      <c r="AE358" s="478"/>
      <c r="AF358" s="213"/>
      <c r="AG358" s="480"/>
      <c r="AH358" s="480"/>
      <c r="AI358" s="480"/>
      <c r="AJ358" s="480"/>
      <c r="AK358" s="480"/>
      <c r="AL358" s="480"/>
      <c r="AM358" s="480"/>
      <c r="AN358" s="480"/>
      <c r="AO358" s="480"/>
      <c r="AP358" s="480"/>
      <c r="AQ358" s="480"/>
      <c r="AR358" s="480"/>
      <c r="AS358" s="480"/>
      <c r="AT358" s="480"/>
      <c r="AU358" s="480"/>
      <c r="AV358" s="480"/>
      <c r="AW358" s="480"/>
      <c r="AX358" s="480"/>
      <c r="AY358" s="480"/>
      <c r="AZ358" s="480"/>
      <c r="BA358" s="480"/>
      <c r="BB358" s="480"/>
      <c r="BC358" s="480"/>
      <c r="BD358" s="480"/>
      <c r="BE358" s="213"/>
      <c r="BF358" s="479"/>
      <c r="BG358" s="479"/>
      <c r="BH358" s="372"/>
      <c r="BI358" s="472"/>
      <c r="BJ358" s="481"/>
      <c r="BK358" s="310"/>
      <c r="BL358" s="310">
        <f t="shared" si="1"/>
        <v>0</v>
      </c>
      <c r="BM358" s="7"/>
    </row>
    <row r="359" spans="1:65" ht="21.75" customHeight="1">
      <c r="A359" s="503" t="s">
        <v>779</v>
      </c>
      <c r="B359" s="524" t="s">
        <v>780</v>
      </c>
      <c r="C359" s="484" t="s">
        <v>203</v>
      </c>
      <c r="D359" s="525" t="s">
        <v>132</v>
      </c>
      <c r="E359" s="477"/>
      <c r="F359" s="477"/>
      <c r="G359" s="477"/>
      <c r="H359" s="477"/>
      <c r="I359" s="477"/>
      <c r="J359" s="477"/>
      <c r="K359" s="213"/>
      <c r="L359" s="478"/>
      <c r="M359" s="478"/>
      <c r="N359" s="478"/>
      <c r="O359" s="478"/>
      <c r="P359" s="478"/>
      <c r="Q359" s="478"/>
      <c r="R359" s="478"/>
      <c r="S359" s="478"/>
      <c r="T359" s="478"/>
      <c r="U359" s="478"/>
      <c r="V359" s="479"/>
      <c r="W359" s="478"/>
      <c r="X359" s="478"/>
      <c r="Y359" s="478"/>
      <c r="Z359" s="478"/>
      <c r="AA359" s="478"/>
      <c r="AB359" s="478"/>
      <c r="AC359" s="478"/>
      <c r="AD359" s="478"/>
      <c r="AE359" s="478"/>
      <c r="AF359" s="213"/>
      <c r="AG359" s="480"/>
      <c r="AH359" s="480"/>
      <c r="AI359" s="480"/>
      <c r="AJ359" s="480"/>
      <c r="AK359" s="480"/>
      <c r="AL359" s="480"/>
      <c r="AM359" s="480"/>
      <c r="AN359" s="480"/>
      <c r="AO359" s="480"/>
      <c r="AP359" s="480"/>
      <c r="AQ359" s="480"/>
      <c r="AR359" s="480"/>
      <c r="AS359" s="480"/>
      <c r="AT359" s="480"/>
      <c r="AU359" s="480"/>
      <c r="AV359" s="480"/>
      <c r="AW359" s="480"/>
      <c r="AX359" s="480"/>
      <c r="AY359" s="480"/>
      <c r="AZ359" s="480"/>
      <c r="BA359" s="480"/>
      <c r="BB359" s="480"/>
      <c r="BC359" s="480"/>
      <c r="BD359" s="480"/>
      <c r="BE359" s="213"/>
      <c r="BF359" s="479"/>
      <c r="BG359" s="479"/>
      <c r="BH359" s="372"/>
      <c r="BI359" s="472"/>
      <c r="BJ359" s="481"/>
      <c r="BK359" s="310"/>
      <c r="BL359" s="310">
        <f t="shared" si="1"/>
        <v>0</v>
      </c>
      <c r="BM359" s="7"/>
    </row>
    <row r="360" spans="1:65" ht="21.75" customHeight="1">
      <c r="A360" s="503" t="s">
        <v>781</v>
      </c>
      <c r="B360" s="524" t="s">
        <v>782</v>
      </c>
      <c r="C360" s="484" t="s">
        <v>159</v>
      </c>
      <c r="D360" s="525" t="s">
        <v>132</v>
      </c>
      <c r="E360" s="477"/>
      <c r="F360" s="477"/>
      <c r="G360" s="477"/>
      <c r="H360" s="477"/>
      <c r="I360" s="477"/>
      <c r="J360" s="477"/>
      <c r="K360" s="213"/>
      <c r="L360" s="478"/>
      <c r="M360" s="478"/>
      <c r="N360" s="478"/>
      <c r="O360" s="478"/>
      <c r="P360" s="478"/>
      <c r="Q360" s="478"/>
      <c r="R360" s="478"/>
      <c r="S360" s="478"/>
      <c r="T360" s="478"/>
      <c r="U360" s="478"/>
      <c r="V360" s="479"/>
      <c r="W360" s="478"/>
      <c r="X360" s="478"/>
      <c r="Y360" s="478"/>
      <c r="Z360" s="478"/>
      <c r="AA360" s="478"/>
      <c r="AB360" s="478"/>
      <c r="AC360" s="478"/>
      <c r="AD360" s="478"/>
      <c r="AE360" s="478"/>
      <c r="AF360" s="213"/>
      <c r="AG360" s="480"/>
      <c r="AH360" s="480"/>
      <c r="AI360" s="480"/>
      <c r="AJ360" s="480"/>
      <c r="AK360" s="480"/>
      <c r="AL360" s="480"/>
      <c r="AM360" s="480"/>
      <c r="AN360" s="480"/>
      <c r="AO360" s="480"/>
      <c r="AP360" s="480"/>
      <c r="AQ360" s="480"/>
      <c r="AR360" s="480"/>
      <c r="AS360" s="480"/>
      <c r="AT360" s="480"/>
      <c r="AU360" s="480"/>
      <c r="AV360" s="480"/>
      <c r="AW360" s="480"/>
      <c r="AX360" s="480"/>
      <c r="AY360" s="480"/>
      <c r="AZ360" s="480"/>
      <c r="BA360" s="480"/>
      <c r="BB360" s="480"/>
      <c r="BC360" s="480"/>
      <c r="BD360" s="480"/>
      <c r="BE360" s="213"/>
      <c r="BF360" s="479"/>
      <c r="BG360" s="479"/>
      <c r="BH360" s="372"/>
      <c r="BI360" s="472"/>
      <c r="BJ360" s="481"/>
      <c r="BK360" s="310"/>
      <c r="BL360" s="310">
        <f t="shared" si="1"/>
        <v>0</v>
      </c>
      <c r="BM360" s="7"/>
    </row>
    <row r="361" spans="1:65" ht="21.75" customHeight="1">
      <c r="A361" s="510">
        <v>11.4</v>
      </c>
      <c r="B361" s="526" t="s">
        <v>783</v>
      </c>
      <c r="C361" s="488" t="s">
        <v>784</v>
      </c>
      <c r="D361" s="515" t="s">
        <v>183</v>
      </c>
      <c r="E361" s="477"/>
      <c r="F361" s="477"/>
      <c r="G361" s="477"/>
      <c r="H361" s="477"/>
      <c r="I361" s="477"/>
      <c r="J361" s="477"/>
      <c r="K361" s="213"/>
      <c r="L361" s="478"/>
      <c r="M361" s="478"/>
      <c r="N361" s="478"/>
      <c r="O361" s="478"/>
      <c r="P361" s="478"/>
      <c r="Q361" s="478"/>
      <c r="R361" s="478"/>
      <c r="S361" s="478"/>
      <c r="T361" s="478"/>
      <c r="U361" s="478"/>
      <c r="V361" s="479"/>
      <c r="W361" s="478"/>
      <c r="X361" s="478"/>
      <c r="Y361" s="478"/>
      <c r="Z361" s="478"/>
      <c r="AA361" s="478"/>
      <c r="AB361" s="478"/>
      <c r="AC361" s="478"/>
      <c r="AD361" s="478"/>
      <c r="AE361" s="478"/>
      <c r="AF361" s="213"/>
      <c r="AG361" s="480"/>
      <c r="AH361" s="480"/>
      <c r="AI361" s="480"/>
      <c r="AJ361" s="480"/>
      <c r="AK361" s="480"/>
      <c r="AL361" s="480"/>
      <c r="AM361" s="480"/>
      <c r="AN361" s="480"/>
      <c r="AO361" s="480"/>
      <c r="AP361" s="480"/>
      <c r="AQ361" s="480"/>
      <c r="AR361" s="480"/>
      <c r="AS361" s="480"/>
      <c r="AT361" s="480"/>
      <c r="AU361" s="480"/>
      <c r="AV361" s="480"/>
      <c r="AW361" s="480"/>
      <c r="AX361" s="480"/>
      <c r="AY361" s="480"/>
      <c r="AZ361" s="480"/>
      <c r="BA361" s="480"/>
      <c r="BB361" s="480"/>
      <c r="BC361" s="480"/>
      <c r="BD361" s="480"/>
      <c r="BE361" s="213"/>
      <c r="BF361" s="479"/>
      <c r="BG361" s="479"/>
      <c r="BH361" s="372"/>
      <c r="BI361" s="472"/>
      <c r="BJ361" s="481"/>
      <c r="BK361" s="310"/>
      <c r="BL361" s="310">
        <f t="shared" si="1"/>
        <v>0</v>
      </c>
      <c r="BM361" s="7"/>
    </row>
    <row r="362" spans="1:65" ht="21.75" customHeight="1">
      <c r="A362" s="503" t="s">
        <v>786</v>
      </c>
      <c r="B362" s="524" t="s">
        <v>787</v>
      </c>
      <c r="C362" s="484" t="s">
        <v>131</v>
      </c>
      <c r="D362" s="515" t="s">
        <v>183</v>
      </c>
      <c r="E362" s="477"/>
      <c r="F362" s="477"/>
      <c r="G362" s="477"/>
      <c r="H362" s="477"/>
      <c r="I362" s="477"/>
      <c r="J362" s="477"/>
      <c r="K362" s="213"/>
      <c r="L362" s="478"/>
      <c r="M362" s="478"/>
      <c r="N362" s="478"/>
      <c r="O362" s="478"/>
      <c r="P362" s="478"/>
      <c r="Q362" s="478"/>
      <c r="R362" s="478"/>
      <c r="S362" s="478"/>
      <c r="T362" s="478"/>
      <c r="U362" s="478"/>
      <c r="V362" s="479"/>
      <c r="W362" s="478"/>
      <c r="X362" s="478"/>
      <c r="Y362" s="478"/>
      <c r="Z362" s="478"/>
      <c r="AA362" s="478"/>
      <c r="AB362" s="478"/>
      <c r="AC362" s="478"/>
      <c r="AD362" s="478"/>
      <c r="AE362" s="478"/>
      <c r="AF362" s="213"/>
      <c r="AG362" s="480"/>
      <c r="AH362" s="480"/>
      <c r="AI362" s="480"/>
      <c r="AJ362" s="480"/>
      <c r="AK362" s="480"/>
      <c r="AL362" s="480"/>
      <c r="AM362" s="480"/>
      <c r="AN362" s="480"/>
      <c r="AO362" s="480"/>
      <c r="AP362" s="480"/>
      <c r="AQ362" s="480"/>
      <c r="AR362" s="480"/>
      <c r="AS362" s="480"/>
      <c r="AT362" s="480"/>
      <c r="AU362" s="480"/>
      <c r="AV362" s="480"/>
      <c r="AW362" s="480"/>
      <c r="AX362" s="480"/>
      <c r="AY362" s="480"/>
      <c r="AZ362" s="480"/>
      <c r="BA362" s="480"/>
      <c r="BB362" s="480"/>
      <c r="BC362" s="480"/>
      <c r="BD362" s="480"/>
      <c r="BE362" s="213"/>
      <c r="BF362" s="479"/>
      <c r="BG362" s="479"/>
      <c r="BH362" s="372"/>
      <c r="BI362" s="472"/>
      <c r="BJ362" s="481"/>
      <c r="BK362" s="310"/>
      <c r="BL362" s="310">
        <f t="shared" si="1"/>
        <v>0</v>
      </c>
      <c r="BM362" s="7"/>
    </row>
    <row r="363" spans="1:65" ht="21.75" customHeight="1">
      <c r="A363" s="503" t="s">
        <v>788</v>
      </c>
      <c r="B363" s="524" t="s">
        <v>789</v>
      </c>
      <c r="C363" s="484" t="s">
        <v>200</v>
      </c>
      <c r="D363" s="515" t="s">
        <v>183</v>
      </c>
      <c r="E363" s="477"/>
      <c r="F363" s="477"/>
      <c r="G363" s="477"/>
      <c r="H363" s="477"/>
      <c r="I363" s="477"/>
      <c r="J363" s="477"/>
      <c r="K363" s="213"/>
      <c r="L363" s="478"/>
      <c r="M363" s="478"/>
      <c r="N363" s="478"/>
      <c r="O363" s="478"/>
      <c r="P363" s="478"/>
      <c r="Q363" s="478"/>
      <c r="R363" s="478"/>
      <c r="S363" s="478"/>
      <c r="T363" s="478"/>
      <c r="U363" s="478"/>
      <c r="V363" s="479"/>
      <c r="W363" s="478"/>
      <c r="X363" s="478"/>
      <c r="Y363" s="478"/>
      <c r="Z363" s="478"/>
      <c r="AA363" s="478"/>
      <c r="AB363" s="478"/>
      <c r="AC363" s="478"/>
      <c r="AD363" s="478"/>
      <c r="AE363" s="478"/>
      <c r="AF363" s="213"/>
      <c r="AG363" s="480"/>
      <c r="AH363" s="480"/>
      <c r="AI363" s="480"/>
      <c r="AJ363" s="480"/>
      <c r="AK363" s="480"/>
      <c r="AL363" s="480"/>
      <c r="AM363" s="480"/>
      <c r="AN363" s="480"/>
      <c r="AO363" s="480"/>
      <c r="AP363" s="480"/>
      <c r="AQ363" s="480"/>
      <c r="AR363" s="480"/>
      <c r="AS363" s="480"/>
      <c r="AT363" s="480"/>
      <c r="AU363" s="480"/>
      <c r="AV363" s="480"/>
      <c r="AW363" s="480"/>
      <c r="AX363" s="480"/>
      <c r="AY363" s="480"/>
      <c r="AZ363" s="480"/>
      <c r="BA363" s="480"/>
      <c r="BB363" s="480"/>
      <c r="BC363" s="480"/>
      <c r="BD363" s="480"/>
      <c r="BE363" s="213"/>
      <c r="BF363" s="479"/>
      <c r="BG363" s="479"/>
      <c r="BH363" s="372"/>
      <c r="BI363" s="472"/>
      <c r="BJ363" s="481"/>
      <c r="BK363" s="310"/>
      <c r="BL363" s="310">
        <f t="shared" si="1"/>
        <v>0</v>
      </c>
      <c r="BM363" s="7"/>
    </row>
    <row r="364" spans="1:65" ht="21.75" customHeight="1">
      <c r="A364" s="503" t="s">
        <v>790</v>
      </c>
      <c r="B364" s="524" t="s">
        <v>791</v>
      </c>
      <c r="C364" s="484" t="s">
        <v>203</v>
      </c>
      <c r="D364" s="515" t="s">
        <v>183</v>
      </c>
      <c r="E364" s="477"/>
      <c r="F364" s="477"/>
      <c r="G364" s="477"/>
      <c r="H364" s="477"/>
      <c r="I364" s="477"/>
      <c r="J364" s="477"/>
      <c r="K364" s="213"/>
      <c r="L364" s="478"/>
      <c r="M364" s="478"/>
      <c r="N364" s="478"/>
      <c r="O364" s="478"/>
      <c r="P364" s="478"/>
      <c r="Q364" s="478"/>
      <c r="R364" s="478"/>
      <c r="S364" s="478"/>
      <c r="T364" s="478"/>
      <c r="U364" s="478"/>
      <c r="V364" s="479"/>
      <c r="W364" s="478"/>
      <c r="X364" s="478"/>
      <c r="Y364" s="478"/>
      <c r="Z364" s="478"/>
      <c r="AA364" s="478"/>
      <c r="AB364" s="478"/>
      <c r="AC364" s="478"/>
      <c r="AD364" s="478"/>
      <c r="AE364" s="478"/>
      <c r="AF364" s="213"/>
      <c r="AG364" s="480"/>
      <c r="AH364" s="480"/>
      <c r="AI364" s="480"/>
      <c r="AJ364" s="480"/>
      <c r="AK364" s="480"/>
      <c r="AL364" s="480"/>
      <c r="AM364" s="480"/>
      <c r="AN364" s="480"/>
      <c r="AO364" s="480"/>
      <c r="AP364" s="480"/>
      <c r="AQ364" s="480"/>
      <c r="AR364" s="480"/>
      <c r="AS364" s="480"/>
      <c r="AT364" s="480"/>
      <c r="AU364" s="480"/>
      <c r="AV364" s="480"/>
      <c r="AW364" s="480"/>
      <c r="AX364" s="480"/>
      <c r="AY364" s="480"/>
      <c r="AZ364" s="480"/>
      <c r="BA364" s="480"/>
      <c r="BB364" s="480"/>
      <c r="BC364" s="480"/>
      <c r="BD364" s="480"/>
      <c r="BE364" s="213"/>
      <c r="BF364" s="479"/>
      <c r="BG364" s="479"/>
      <c r="BH364" s="372"/>
      <c r="BI364" s="472"/>
      <c r="BJ364" s="481"/>
      <c r="BK364" s="310"/>
      <c r="BL364" s="310">
        <f t="shared" si="1"/>
        <v>0</v>
      </c>
      <c r="BM364" s="7"/>
    </row>
    <row r="365" spans="1:65" ht="21.75" customHeight="1">
      <c r="A365" s="503" t="s">
        <v>792</v>
      </c>
      <c r="B365" s="524" t="s">
        <v>793</v>
      </c>
      <c r="C365" s="484" t="s">
        <v>159</v>
      </c>
      <c r="D365" s="515" t="s">
        <v>183</v>
      </c>
      <c r="E365" s="477"/>
      <c r="F365" s="477"/>
      <c r="G365" s="477"/>
      <c r="H365" s="477"/>
      <c r="I365" s="477"/>
      <c r="J365" s="477"/>
      <c r="K365" s="213"/>
      <c r="L365" s="478"/>
      <c r="M365" s="478"/>
      <c r="N365" s="478"/>
      <c r="O365" s="478"/>
      <c r="P365" s="478"/>
      <c r="Q365" s="478"/>
      <c r="R365" s="478"/>
      <c r="S365" s="478"/>
      <c r="T365" s="478"/>
      <c r="U365" s="478"/>
      <c r="V365" s="479"/>
      <c r="W365" s="478"/>
      <c r="X365" s="478"/>
      <c r="Y365" s="478"/>
      <c r="Z365" s="478"/>
      <c r="AA365" s="478"/>
      <c r="AB365" s="478"/>
      <c r="AC365" s="478"/>
      <c r="AD365" s="478"/>
      <c r="AE365" s="478"/>
      <c r="AF365" s="213"/>
      <c r="AG365" s="480"/>
      <c r="AH365" s="480"/>
      <c r="AI365" s="480"/>
      <c r="AJ365" s="480"/>
      <c r="AK365" s="480"/>
      <c r="AL365" s="480"/>
      <c r="AM365" s="480"/>
      <c r="AN365" s="480"/>
      <c r="AO365" s="480"/>
      <c r="AP365" s="480"/>
      <c r="AQ365" s="480"/>
      <c r="AR365" s="480"/>
      <c r="AS365" s="480"/>
      <c r="AT365" s="480"/>
      <c r="AU365" s="480"/>
      <c r="AV365" s="480"/>
      <c r="AW365" s="480"/>
      <c r="AX365" s="480"/>
      <c r="AY365" s="480"/>
      <c r="AZ365" s="480"/>
      <c r="BA365" s="480"/>
      <c r="BB365" s="480"/>
      <c r="BC365" s="480"/>
      <c r="BD365" s="480"/>
      <c r="BE365" s="213"/>
      <c r="BF365" s="479"/>
      <c r="BG365" s="479"/>
      <c r="BH365" s="372"/>
      <c r="BI365" s="472"/>
      <c r="BJ365" s="481"/>
      <c r="BK365" s="310"/>
      <c r="BL365" s="310">
        <f t="shared" si="1"/>
        <v>0</v>
      </c>
      <c r="BM365" s="7"/>
    </row>
    <row r="366" spans="1:65" ht="31.5" customHeight="1">
      <c r="A366" s="522">
        <v>11.5</v>
      </c>
      <c r="B366" s="488" t="s">
        <v>794</v>
      </c>
      <c r="C366" s="488" t="s">
        <v>795</v>
      </c>
      <c r="D366" s="515" t="s">
        <v>183</v>
      </c>
      <c r="E366" s="477"/>
      <c r="F366" s="477"/>
      <c r="G366" s="477"/>
      <c r="H366" s="477"/>
      <c r="I366" s="477"/>
      <c r="J366" s="477"/>
      <c r="K366" s="213"/>
      <c r="L366" s="478"/>
      <c r="M366" s="478"/>
      <c r="N366" s="478"/>
      <c r="O366" s="478"/>
      <c r="P366" s="478"/>
      <c r="Q366" s="478"/>
      <c r="R366" s="478"/>
      <c r="S366" s="478"/>
      <c r="T366" s="478"/>
      <c r="U366" s="478"/>
      <c r="V366" s="479"/>
      <c r="W366" s="478"/>
      <c r="X366" s="478"/>
      <c r="Y366" s="478"/>
      <c r="Z366" s="478"/>
      <c r="AA366" s="478"/>
      <c r="AB366" s="478"/>
      <c r="AC366" s="478"/>
      <c r="AD366" s="478"/>
      <c r="AE366" s="478"/>
      <c r="AF366" s="213"/>
      <c r="AG366" s="480"/>
      <c r="AH366" s="480"/>
      <c r="AI366" s="480"/>
      <c r="AJ366" s="480"/>
      <c r="AK366" s="480"/>
      <c r="AL366" s="480"/>
      <c r="AM366" s="480"/>
      <c r="AN366" s="480"/>
      <c r="AO366" s="480"/>
      <c r="AP366" s="480"/>
      <c r="AQ366" s="480"/>
      <c r="AR366" s="480"/>
      <c r="AS366" s="480"/>
      <c r="AT366" s="480"/>
      <c r="AU366" s="480"/>
      <c r="AV366" s="480"/>
      <c r="AW366" s="480"/>
      <c r="AX366" s="480"/>
      <c r="AY366" s="480"/>
      <c r="AZ366" s="480"/>
      <c r="BA366" s="480"/>
      <c r="BB366" s="480"/>
      <c r="BC366" s="480"/>
      <c r="BD366" s="480"/>
      <c r="BE366" s="213"/>
      <c r="BF366" s="479"/>
      <c r="BG366" s="479"/>
      <c r="BH366" s="372"/>
      <c r="BI366" s="472"/>
      <c r="BJ366" s="481"/>
      <c r="BK366" s="310"/>
      <c r="BL366" s="310">
        <f t="shared" si="1"/>
        <v>0</v>
      </c>
      <c r="BM366" s="7"/>
    </row>
    <row r="367" spans="1:65" ht="31.5" customHeight="1">
      <c r="A367" s="523">
        <v>11.6</v>
      </c>
      <c r="B367" s="488" t="s">
        <v>797</v>
      </c>
      <c r="C367" s="488" t="s">
        <v>798</v>
      </c>
      <c r="D367" s="515" t="s">
        <v>183</v>
      </c>
      <c r="E367" s="477"/>
      <c r="F367" s="477"/>
      <c r="G367" s="477"/>
      <c r="H367" s="477"/>
      <c r="I367" s="477"/>
      <c r="J367" s="477"/>
      <c r="K367" s="213"/>
      <c r="L367" s="478"/>
      <c r="M367" s="478"/>
      <c r="N367" s="478"/>
      <c r="O367" s="478"/>
      <c r="P367" s="478"/>
      <c r="Q367" s="478"/>
      <c r="R367" s="478"/>
      <c r="S367" s="478"/>
      <c r="T367" s="478"/>
      <c r="U367" s="478"/>
      <c r="V367" s="479"/>
      <c r="W367" s="478"/>
      <c r="X367" s="478"/>
      <c r="Y367" s="478"/>
      <c r="Z367" s="478"/>
      <c r="AA367" s="478"/>
      <c r="AB367" s="478"/>
      <c r="AC367" s="478"/>
      <c r="AD367" s="478"/>
      <c r="AE367" s="478"/>
      <c r="AF367" s="213"/>
      <c r="AG367" s="480"/>
      <c r="AH367" s="480"/>
      <c r="AI367" s="480"/>
      <c r="AJ367" s="480"/>
      <c r="AK367" s="480"/>
      <c r="AL367" s="480"/>
      <c r="AM367" s="480"/>
      <c r="AN367" s="480"/>
      <c r="AO367" s="480"/>
      <c r="AP367" s="480"/>
      <c r="AQ367" s="480"/>
      <c r="AR367" s="480"/>
      <c r="AS367" s="480"/>
      <c r="AT367" s="480"/>
      <c r="AU367" s="480"/>
      <c r="AV367" s="480"/>
      <c r="AW367" s="480"/>
      <c r="AX367" s="480"/>
      <c r="AY367" s="480"/>
      <c r="AZ367" s="480"/>
      <c r="BA367" s="480"/>
      <c r="BB367" s="480"/>
      <c r="BC367" s="480"/>
      <c r="BD367" s="480"/>
      <c r="BE367" s="213"/>
      <c r="BF367" s="479"/>
      <c r="BG367" s="479"/>
      <c r="BH367" s="372"/>
      <c r="BI367" s="472"/>
      <c r="BJ367" s="481"/>
      <c r="BK367" s="310"/>
      <c r="BL367" s="310">
        <f t="shared" si="1"/>
        <v>0</v>
      </c>
      <c r="BM367" s="7"/>
    </row>
    <row r="368" spans="1:65" ht="37.5" customHeight="1">
      <c r="A368" s="489">
        <v>9</v>
      </c>
      <c r="B368" s="490" t="s">
        <v>800</v>
      </c>
      <c r="C368" s="490" t="s">
        <v>801</v>
      </c>
      <c r="D368" s="516"/>
      <c r="E368" s="477"/>
      <c r="F368" s="477"/>
      <c r="G368" s="477"/>
      <c r="H368" s="477"/>
      <c r="I368" s="477"/>
      <c r="J368" s="477"/>
      <c r="K368" s="213"/>
      <c r="L368" s="478"/>
      <c r="M368" s="478"/>
      <c r="N368" s="478"/>
      <c r="O368" s="478"/>
      <c r="P368" s="478"/>
      <c r="Q368" s="478"/>
      <c r="R368" s="478"/>
      <c r="S368" s="478"/>
      <c r="T368" s="478"/>
      <c r="U368" s="478"/>
      <c r="V368" s="479"/>
      <c r="W368" s="478"/>
      <c r="X368" s="478"/>
      <c r="Y368" s="478"/>
      <c r="Z368" s="478"/>
      <c r="AA368" s="478"/>
      <c r="AB368" s="478"/>
      <c r="AC368" s="478"/>
      <c r="AD368" s="478"/>
      <c r="AE368" s="478"/>
      <c r="AF368" s="213"/>
      <c r="AG368" s="480"/>
      <c r="AH368" s="480"/>
      <c r="AI368" s="480"/>
      <c r="AJ368" s="480"/>
      <c r="AK368" s="480"/>
      <c r="AL368" s="480"/>
      <c r="AM368" s="480"/>
      <c r="AN368" s="480"/>
      <c r="AO368" s="480"/>
      <c r="AP368" s="480"/>
      <c r="AQ368" s="480"/>
      <c r="AR368" s="480"/>
      <c r="AS368" s="480"/>
      <c r="AT368" s="480"/>
      <c r="AU368" s="480"/>
      <c r="AV368" s="480"/>
      <c r="AW368" s="480"/>
      <c r="AX368" s="480"/>
      <c r="AY368" s="480"/>
      <c r="AZ368" s="480"/>
      <c r="BA368" s="480"/>
      <c r="BB368" s="480"/>
      <c r="BC368" s="480"/>
      <c r="BD368" s="480"/>
      <c r="BE368" s="213"/>
      <c r="BF368" s="479"/>
      <c r="BG368" s="479"/>
      <c r="BH368" s="372"/>
      <c r="BI368" s="472"/>
      <c r="BJ368" s="481"/>
      <c r="BK368" s="310"/>
      <c r="BL368" s="310">
        <f t="shared" si="1"/>
        <v>0</v>
      </c>
      <c r="BM368" s="7"/>
    </row>
    <row r="369" spans="1:65" ht="21.75" customHeight="1">
      <c r="A369" s="486"/>
      <c r="B369" s="487" t="s">
        <v>803</v>
      </c>
      <c r="C369" s="488" t="s">
        <v>1083</v>
      </c>
      <c r="D369" s="412" t="s">
        <v>805</v>
      </c>
      <c r="E369" s="477"/>
      <c r="F369" s="477"/>
      <c r="G369" s="477"/>
      <c r="H369" s="477"/>
      <c r="I369" s="477"/>
      <c r="J369" s="477"/>
      <c r="K369" s="213"/>
      <c r="L369" s="478"/>
      <c r="M369" s="478"/>
      <c r="N369" s="478"/>
      <c r="O369" s="478"/>
      <c r="P369" s="478"/>
      <c r="Q369" s="478"/>
      <c r="R369" s="478"/>
      <c r="S369" s="478"/>
      <c r="T369" s="478"/>
      <c r="U369" s="478"/>
      <c r="V369" s="479"/>
      <c r="W369" s="478"/>
      <c r="X369" s="478"/>
      <c r="Y369" s="478"/>
      <c r="Z369" s="478"/>
      <c r="AA369" s="478"/>
      <c r="AB369" s="478">
        <v>1</v>
      </c>
      <c r="AC369" s="478"/>
      <c r="AD369" s="478"/>
      <c r="AE369" s="478"/>
      <c r="AF369" s="213"/>
      <c r="AG369" s="480"/>
      <c r="AH369" s="480"/>
      <c r="AI369" s="480"/>
      <c r="AJ369" s="480"/>
      <c r="AK369" s="480"/>
      <c r="AL369" s="480"/>
      <c r="AM369" s="480"/>
      <c r="AN369" s="480"/>
      <c r="AO369" s="480"/>
      <c r="AP369" s="480"/>
      <c r="AQ369" s="480"/>
      <c r="AR369" s="480"/>
      <c r="AS369" s="480"/>
      <c r="AT369" s="480"/>
      <c r="AU369" s="480"/>
      <c r="AV369" s="480"/>
      <c r="AW369" s="480"/>
      <c r="AX369" s="480"/>
      <c r="AY369" s="480"/>
      <c r="AZ369" s="480"/>
      <c r="BA369" s="480"/>
      <c r="BB369" s="480"/>
      <c r="BC369" s="480"/>
      <c r="BD369" s="480"/>
      <c r="BE369" s="213"/>
      <c r="BF369" s="479"/>
      <c r="BG369" s="479"/>
      <c r="BH369" s="372"/>
      <c r="BI369" s="472"/>
      <c r="BJ369" s="481"/>
      <c r="BK369" s="310"/>
      <c r="BL369" s="310">
        <f t="shared" si="1"/>
        <v>1</v>
      </c>
      <c r="BM369" s="7"/>
    </row>
    <row r="370" spans="1:65" ht="21.75" customHeight="1">
      <c r="A370" s="503"/>
      <c r="B370" s="483" t="s">
        <v>807</v>
      </c>
      <c r="C370" s="484" t="s">
        <v>808</v>
      </c>
      <c r="D370" s="504" t="s">
        <v>132</v>
      </c>
      <c r="E370" s="477"/>
      <c r="F370" s="477"/>
      <c r="G370" s="477"/>
      <c r="H370" s="477"/>
      <c r="I370" s="477"/>
      <c r="J370" s="477"/>
      <c r="K370" s="213"/>
      <c r="L370" s="478"/>
      <c r="M370" s="478"/>
      <c r="N370" s="478"/>
      <c r="O370" s="478"/>
      <c r="P370" s="478"/>
      <c r="Q370" s="478"/>
      <c r="R370" s="478"/>
      <c r="S370" s="478"/>
      <c r="T370" s="478"/>
      <c r="U370" s="478"/>
      <c r="V370" s="479"/>
      <c r="W370" s="478"/>
      <c r="X370" s="478"/>
      <c r="Y370" s="478"/>
      <c r="Z370" s="478"/>
      <c r="AA370" s="478"/>
      <c r="AB370" s="478"/>
      <c r="AC370" s="478"/>
      <c r="AD370" s="478"/>
      <c r="AE370" s="478"/>
      <c r="AF370" s="213"/>
      <c r="AG370" s="480"/>
      <c r="AH370" s="480"/>
      <c r="AI370" s="480"/>
      <c r="AJ370" s="480"/>
      <c r="AK370" s="480"/>
      <c r="AL370" s="480"/>
      <c r="AM370" s="480"/>
      <c r="AN370" s="480"/>
      <c r="AO370" s="480"/>
      <c r="AP370" s="480"/>
      <c r="AQ370" s="480"/>
      <c r="AR370" s="480"/>
      <c r="AS370" s="480"/>
      <c r="AT370" s="480"/>
      <c r="AU370" s="480"/>
      <c r="AV370" s="480"/>
      <c r="AW370" s="480"/>
      <c r="AX370" s="480"/>
      <c r="AY370" s="480"/>
      <c r="AZ370" s="480"/>
      <c r="BA370" s="480"/>
      <c r="BB370" s="480"/>
      <c r="BC370" s="480"/>
      <c r="BD370" s="480"/>
      <c r="BE370" s="213"/>
      <c r="BF370" s="479"/>
      <c r="BG370" s="479"/>
      <c r="BH370" s="372"/>
      <c r="BI370" s="472"/>
      <c r="BJ370" s="481"/>
      <c r="BK370" s="310"/>
      <c r="BL370" s="310">
        <f t="shared" si="1"/>
        <v>0</v>
      </c>
      <c r="BM370" s="7"/>
    </row>
    <row r="371" spans="1:65" ht="21.75" customHeight="1">
      <c r="A371" s="503"/>
      <c r="B371" s="483" t="s">
        <v>810</v>
      </c>
      <c r="C371" s="484" t="s">
        <v>811</v>
      </c>
      <c r="D371" s="504" t="s">
        <v>132</v>
      </c>
      <c r="E371" s="477"/>
      <c r="F371" s="477"/>
      <c r="G371" s="477"/>
      <c r="H371" s="477"/>
      <c r="I371" s="477"/>
      <c r="J371" s="477"/>
      <c r="K371" s="213"/>
      <c r="L371" s="478"/>
      <c r="M371" s="478"/>
      <c r="N371" s="478"/>
      <c r="O371" s="478"/>
      <c r="P371" s="478"/>
      <c r="Q371" s="478"/>
      <c r="R371" s="478"/>
      <c r="S371" s="478"/>
      <c r="T371" s="478"/>
      <c r="U371" s="478"/>
      <c r="V371" s="479"/>
      <c r="W371" s="478"/>
      <c r="X371" s="478"/>
      <c r="Y371" s="478"/>
      <c r="Z371" s="478"/>
      <c r="AA371" s="478"/>
      <c r="AB371" s="478"/>
      <c r="AC371" s="478"/>
      <c r="AD371" s="478"/>
      <c r="AE371" s="478"/>
      <c r="AF371" s="213"/>
      <c r="AG371" s="480"/>
      <c r="AH371" s="480"/>
      <c r="AI371" s="480"/>
      <c r="AJ371" s="480"/>
      <c r="AK371" s="480"/>
      <c r="AL371" s="480"/>
      <c r="AM371" s="480"/>
      <c r="AN371" s="480"/>
      <c r="AO371" s="480"/>
      <c r="AP371" s="480"/>
      <c r="AQ371" s="480"/>
      <c r="AR371" s="480"/>
      <c r="AS371" s="480"/>
      <c r="AT371" s="480"/>
      <c r="AU371" s="480"/>
      <c r="AV371" s="480"/>
      <c r="AW371" s="480"/>
      <c r="AX371" s="480"/>
      <c r="AY371" s="480"/>
      <c r="AZ371" s="480"/>
      <c r="BA371" s="480"/>
      <c r="BB371" s="480"/>
      <c r="BC371" s="480"/>
      <c r="BD371" s="480"/>
      <c r="BE371" s="213"/>
      <c r="BF371" s="479"/>
      <c r="BG371" s="479"/>
      <c r="BH371" s="372"/>
      <c r="BI371" s="472"/>
      <c r="BJ371" s="481"/>
      <c r="BK371" s="310"/>
      <c r="BL371" s="310">
        <f t="shared" si="1"/>
        <v>0</v>
      </c>
      <c r="BM371" s="7"/>
    </row>
    <row r="372" spans="1:65" ht="21.75" customHeight="1">
      <c r="A372" s="486"/>
      <c r="B372" s="487" t="s">
        <v>813</v>
      </c>
      <c r="C372" s="488" t="s">
        <v>814</v>
      </c>
      <c r="D372" s="412" t="s">
        <v>424</v>
      </c>
      <c r="E372" s="477"/>
      <c r="F372" s="477"/>
      <c r="G372" s="477"/>
      <c r="H372" s="477"/>
      <c r="I372" s="477"/>
      <c r="J372" s="477"/>
      <c r="K372" s="213"/>
      <c r="L372" s="478"/>
      <c r="M372" s="478"/>
      <c r="N372" s="478"/>
      <c r="O372" s="478"/>
      <c r="P372" s="478"/>
      <c r="Q372" s="478"/>
      <c r="R372" s="478"/>
      <c r="S372" s="478"/>
      <c r="T372" s="478"/>
      <c r="U372" s="478"/>
      <c r="V372" s="479"/>
      <c r="W372" s="478"/>
      <c r="X372" s="478"/>
      <c r="Y372" s="478"/>
      <c r="Z372" s="478"/>
      <c r="AA372" s="478"/>
      <c r="AB372" s="478"/>
      <c r="AC372" s="478"/>
      <c r="AD372" s="478"/>
      <c r="AE372" s="478"/>
      <c r="AF372" s="213"/>
      <c r="AG372" s="480"/>
      <c r="AH372" s="480"/>
      <c r="AI372" s="480"/>
      <c r="AJ372" s="480"/>
      <c r="AK372" s="480"/>
      <c r="AL372" s="480"/>
      <c r="AM372" s="480"/>
      <c r="AN372" s="480"/>
      <c r="AO372" s="480"/>
      <c r="AP372" s="480"/>
      <c r="AQ372" s="480"/>
      <c r="AR372" s="480"/>
      <c r="AS372" s="480"/>
      <c r="AT372" s="480"/>
      <c r="AU372" s="480"/>
      <c r="AV372" s="480"/>
      <c r="AW372" s="480"/>
      <c r="AX372" s="480"/>
      <c r="AY372" s="480"/>
      <c r="AZ372" s="480"/>
      <c r="BA372" s="480"/>
      <c r="BB372" s="480"/>
      <c r="BC372" s="480"/>
      <c r="BD372" s="480"/>
      <c r="BE372" s="213"/>
      <c r="BF372" s="479"/>
      <c r="BG372" s="479"/>
      <c r="BH372" s="372"/>
      <c r="BI372" s="472"/>
      <c r="BJ372" s="481"/>
      <c r="BK372" s="310"/>
      <c r="BL372" s="310">
        <f t="shared" si="1"/>
        <v>0</v>
      </c>
      <c r="BM372" s="7"/>
    </row>
    <row r="373" spans="1:65" ht="21.75" customHeight="1">
      <c r="A373" s="503" t="s">
        <v>1494</v>
      </c>
      <c r="B373" s="483" t="s">
        <v>816</v>
      </c>
      <c r="C373" s="484" t="s">
        <v>808</v>
      </c>
      <c r="D373" s="504" t="s">
        <v>424</v>
      </c>
      <c r="E373" s="477"/>
      <c r="F373" s="477"/>
      <c r="G373" s="477"/>
      <c r="H373" s="477"/>
      <c r="I373" s="477"/>
      <c r="J373" s="477"/>
      <c r="K373" s="213"/>
      <c r="L373" s="478"/>
      <c r="M373" s="478"/>
      <c r="N373" s="478"/>
      <c r="O373" s="478"/>
      <c r="P373" s="478"/>
      <c r="Q373" s="478"/>
      <c r="R373" s="478"/>
      <c r="S373" s="478"/>
      <c r="T373" s="478"/>
      <c r="U373" s="478"/>
      <c r="V373" s="479"/>
      <c r="W373" s="478"/>
      <c r="X373" s="478"/>
      <c r="Y373" s="478"/>
      <c r="Z373" s="478"/>
      <c r="AA373" s="478"/>
      <c r="AB373" s="478"/>
      <c r="AC373" s="478"/>
      <c r="AD373" s="478"/>
      <c r="AE373" s="478"/>
      <c r="AF373" s="213"/>
      <c r="AG373" s="480"/>
      <c r="AH373" s="480"/>
      <c r="AI373" s="480"/>
      <c r="AJ373" s="480"/>
      <c r="AK373" s="480"/>
      <c r="AL373" s="480"/>
      <c r="AM373" s="480"/>
      <c r="AN373" s="480"/>
      <c r="AO373" s="480"/>
      <c r="AP373" s="480"/>
      <c r="AQ373" s="480"/>
      <c r="AR373" s="480"/>
      <c r="AS373" s="480"/>
      <c r="AT373" s="480"/>
      <c r="AU373" s="480"/>
      <c r="AV373" s="480"/>
      <c r="AW373" s="480"/>
      <c r="AX373" s="480"/>
      <c r="AY373" s="480"/>
      <c r="AZ373" s="480"/>
      <c r="BA373" s="480"/>
      <c r="BB373" s="480"/>
      <c r="BC373" s="480"/>
      <c r="BD373" s="480"/>
      <c r="BE373" s="213"/>
      <c r="BF373" s="479"/>
      <c r="BG373" s="479"/>
      <c r="BH373" s="372"/>
      <c r="BI373" s="472"/>
      <c r="BJ373" s="481"/>
      <c r="BK373" s="310"/>
      <c r="BL373" s="310">
        <f t="shared" si="1"/>
        <v>0</v>
      </c>
      <c r="BM373" s="7"/>
    </row>
    <row r="374" spans="1:65" ht="21.75" customHeight="1">
      <c r="A374" s="503" t="s">
        <v>1495</v>
      </c>
      <c r="B374" s="483" t="s">
        <v>817</v>
      </c>
      <c r="C374" s="484" t="s">
        <v>811</v>
      </c>
      <c r="D374" s="504" t="s">
        <v>424</v>
      </c>
      <c r="E374" s="477"/>
      <c r="F374" s="477"/>
      <c r="G374" s="477"/>
      <c r="H374" s="477"/>
      <c r="I374" s="477"/>
      <c r="J374" s="477"/>
      <c r="K374" s="213"/>
      <c r="L374" s="478"/>
      <c r="M374" s="478"/>
      <c r="N374" s="478"/>
      <c r="O374" s="478"/>
      <c r="P374" s="478"/>
      <c r="Q374" s="478"/>
      <c r="R374" s="478"/>
      <c r="S374" s="478"/>
      <c r="T374" s="478"/>
      <c r="U374" s="478"/>
      <c r="V374" s="479"/>
      <c r="W374" s="478"/>
      <c r="X374" s="478"/>
      <c r="Y374" s="478"/>
      <c r="Z374" s="478"/>
      <c r="AA374" s="478"/>
      <c r="AB374" s="478"/>
      <c r="AC374" s="478"/>
      <c r="AD374" s="478"/>
      <c r="AE374" s="478"/>
      <c r="AF374" s="213"/>
      <c r="AG374" s="480"/>
      <c r="AH374" s="480"/>
      <c r="AI374" s="480"/>
      <c r="AJ374" s="480"/>
      <c r="AK374" s="480"/>
      <c r="AL374" s="480"/>
      <c r="AM374" s="480"/>
      <c r="AN374" s="480"/>
      <c r="AO374" s="480"/>
      <c r="AP374" s="480"/>
      <c r="AQ374" s="480"/>
      <c r="AR374" s="480"/>
      <c r="AS374" s="480"/>
      <c r="AT374" s="480"/>
      <c r="AU374" s="480"/>
      <c r="AV374" s="480"/>
      <c r="AW374" s="480"/>
      <c r="AX374" s="480"/>
      <c r="AY374" s="480"/>
      <c r="AZ374" s="480"/>
      <c r="BA374" s="480"/>
      <c r="BB374" s="480"/>
      <c r="BC374" s="480"/>
      <c r="BD374" s="480"/>
      <c r="BE374" s="213"/>
      <c r="BF374" s="479"/>
      <c r="BG374" s="479"/>
      <c r="BH374" s="372"/>
      <c r="BI374" s="472"/>
      <c r="BJ374" s="481"/>
      <c r="BK374" s="310"/>
      <c r="BL374" s="310">
        <f t="shared" si="1"/>
        <v>0</v>
      </c>
      <c r="BM374" s="7"/>
    </row>
    <row r="375" spans="1:65" ht="21.75" customHeight="1">
      <c r="A375" s="486">
        <v>12.3</v>
      </c>
      <c r="B375" s="487" t="s">
        <v>818</v>
      </c>
      <c r="C375" s="488" t="s">
        <v>819</v>
      </c>
      <c r="D375" s="412" t="s">
        <v>132</v>
      </c>
      <c r="E375" s="477"/>
      <c r="F375" s="477"/>
      <c r="G375" s="477"/>
      <c r="H375" s="477"/>
      <c r="I375" s="477"/>
      <c r="J375" s="477"/>
      <c r="K375" s="213"/>
      <c r="L375" s="478"/>
      <c r="M375" s="478"/>
      <c r="N375" s="478"/>
      <c r="O375" s="478"/>
      <c r="P375" s="478"/>
      <c r="Q375" s="478"/>
      <c r="R375" s="478"/>
      <c r="S375" s="478"/>
      <c r="T375" s="478"/>
      <c r="U375" s="478"/>
      <c r="V375" s="479"/>
      <c r="W375" s="478"/>
      <c r="X375" s="478"/>
      <c r="Y375" s="478"/>
      <c r="Z375" s="478"/>
      <c r="AA375" s="478"/>
      <c r="AB375" s="478"/>
      <c r="AC375" s="478"/>
      <c r="AD375" s="478"/>
      <c r="AE375" s="478"/>
      <c r="AF375" s="213"/>
      <c r="AG375" s="480"/>
      <c r="AH375" s="480"/>
      <c r="AI375" s="480"/>
      <c r="AJ375" s="480"/>
      <c r="AK375" s="480"/>
      <c r="AL375" s="480"/>
      <c r="AM375" s="480"/>
      <c r="AN375" s="480"/>
      <c r="AO375" s="480"/>
      <c r="AP375" s="480"/>
      <c r="AQ375" s="480"/>
      <c r="AR375" s="480"/>
      <c r="AS375" s="480"/>
      <c r="AT375" s="480"/>
      <c r="AU375" s="480"/>
      <c r="AV375" s="480"/>
      <c r="AW375" s="480"/>
      <c r="AX375" s="480"/>
      <c r="AY375" s="480"/>
      <c r="AZ375" s="480"/>
      <c r="BA375" s="480"/>
      <c r="BB375" s="480"/>
      <c r="BC375" s="480"/>
      <c r="BD375" s="480"/>
      <c r="BE375" s="213"/>
      <c r="BF375" s="479"/>
      <c r="BG375" s="479"/>
      <c r="BH375" s="372"/>
      <c r="BI375" s="472"/>
      <c r="BJ375" s="481"/>
      <c r="BK375" s="310"/>
      <c r="BL375" s="310">
        <f t="shared" si="1"/>
        <v>0</v>
      </c>
      <c r="BM375" s="7"/>
    </row>
    <row r="376" spans="1:65" ht="21.75" customHeight="1">
      <c r="A376" s="503" t="s">
        <v>1496</v>
      </c>
      <c r="B376" s="483" t="s">
        <v>821</v>
      </c>
      <c r="C376" s="484" t="s">
        <v>808</v>
      </c>
      <c r="D376" s="504" t="s">
        <v>132</v>
      </c>
      <c r="E376" s="477"/>
      <c r="F376" s="477"/>
      <c r="G376" s="477"/>
      <c r="H376" s="477"/>
      <c r="I376" s="477"/>
      <c r="J376" s="477"/>
      <c r="K376" s="213"/>
      <c r="L376" s="478"/>
      <c r="M376" s="478"/>
      <c r="N376" s="478"/>
      <c r="O376" s="478"/>
      <c r="P376" s="478"/>
      <c r="Q376" s="478"/>
      <c r="R376" s="478"/>
      <c r="S376" s="478"/>
      <c r="T376" s="478"/>
      <c r="U376" s="478"/>
      <c r="V376" s="479"/>
      <c r="W376" s="478"/>
      <c r="X376" s="478"/>
      <c r="Y376" s="478"/>
      <c r="Z376" s="478"/>
      <c r="AA376" s="478"/>
      <c r="AB376" s="478"/>
      <c r="AC376" s="478"/>
      <c r="AD376" s="478"/>
      <c r="AE376" s="478"/>
      <c r="AF376" s="213"/>
      <c r="AG376" s="480"/>
      <c r="AH376" s="480"/>
      <c r="AI376" s="480"/>
      <c r="AJ376" s="480"/>
      <c r="AK376" s="480"/>
      <c r="AL376" s="480"/>
      <c r="AM376" s="480"/>
      <c r="AN376" s="480"/>
      <c r="AO376" s="480"/>
      <c r="AP376" s="480"/>
      <c r="AQ376" s="480"/>
      <c r="AR376" s="480"/>
      <c r="AS376" s="480"/>
      <c r="AT376" s="480"/>
      <c r="AU376" s="480"/>
      <c r="AV376" s="480"/>
      <c r="AW376" s="480"/>
      <c r="AX376" s="480"/>
      <c r="AY376" s="480"/>
      <c r="AZ376" s="480"/>
      <c r="BA376" s="480"/>
      <c r="BB376" s="480"/>
      <c r="BC376" s="480"/>
      <c r="BD376" s="480"/>
      <c r="BE376" s="213"/>
      <c r="BF376" s="479"/>
      <c r="BG376" s="479"/>
      <c r="BH376" s="372"/>
      <c r="BI376" s="472"/>
      <c r="BJ376" s="481"/>
      <c r="BK376" s="310"/>
      <c r="BL376" s="310">
        <f t="shared" si="1"/>
        <v>0</v>
      </c>
      <c r="BM376" s="7"/>
    </row>
    <row r="377" spans="1:65" ht="21.75" customHeight="1">
      <c r="A377" s="503" t="s">
        <v>1497</v>
      </c>
      <c r="B377" s="483" t="s">
        <v>822</v>
      </c>
      <c r="C377" s="484" t="s">
        <v>811</v>
      </c>
      <c r="D377" s="504" t="s">
        <v>132</v>
      </c>
      <c r="E377" s="477"/>
      <c r="F377" s="477"/>
      <c r="G377" s="477"/>
      <c r="H377" s="477"/>
      <c r="I377" s="477"/>
      <c r="J377" s="477"/>
      <c r="K377" s="213"/>
      <c r="L377" s="478"/>
      <c r="M377" s="478"/>
      <c r="N377" s="478"/>
      <c r="O377" s="478"/>
      <c r="P377" s="478"/>
      <c r="Q377" s="478"/>
      <c r="R377" s="478"/>
      <c r="S377" s="478"/>
      <c r="T377" s="478"/>
      <c r="U377" s="478"/>
      <c r="V377" s="479"/>
      <c r="W377" s="478"/>
      <c r="X377" s="478"/>
      <c r="Y377" s="478"/>
      <c r="Z377" s="478"/>
      <c r="AA377" s="478"/>
      <c r="AB377" s="478"/>
      <c r="AC377" s="478"/>
      <c r="AD377" s="478"/>
      <c r="AE377" s="478"/>
      <c r="AF377" s="213"/>
      <c r="AG377" s="480"/>
      <c r="AH377" s="480"/>
      <c r="AI377" s="480"/>
      <c r="AJ377" s="480"/>
      <c r="AK377" s="480"/>
      <c r="AL377" s="480"/>
      <c r="AM377" s="480"/>
      <c r="AN377" s="480"/>
      <c r="AO377" s="480"/>
      <c r="AP377" s="480"/>
      <c r="AQ377" s="480"/>
      <c r="AR377" s="480"/>
      <c r="AS377" s="480"/>
      <c r="AT377" s="480"/>
      <c r="AU377" s="480"/>
      <c r="AV377" s="480"/>
      <c r="AW377" s="480"/>
      <c r="AX377" s="480"/>
      <c r="AY377" s="480"/>
      <c r="AZ377" s="480"/>
      <c r="BA377" s="480"/>
      <c r="BB377" s="480"/>
      <c r="BC377" s="480"/>
      <c r="BD377" s="480"/>
      <c r="BE377" s="213"/>
      <c r="BF377" s="479"/>
      <c r="BG377" s="479"/>
      <c r="BH377" s="372"/>
      <c r="BI377" s="472"/>
      <c r="BJ377" s="481"/>
      <c r="BK377" s="310"/>
      <c r="BL377" s="310">
        <f t="shared" si="1"/>
        <v>0</v>
      </c>
      <c r="BM377" s="7"/>
    </row>
    <row r="378" spans="1:65" ht="21.75" customHeight="1">
      <c r="A378" s="486">
        <v>12.4</v>
      </c>
      <c r="B378" s="487" t="s">
        <v>823</v>
      </c>
      <c r="C378" s="488" t="s">
        <v>824</v>
      </c>
      <c r="D378" s="412" t="s">
        <v>424</v>
      </c>
      <c r="E378" s="477"/>
      <c r="F378" s="477"/>
      <c r="G378" s="477"/>
      <c r="H378" s="477"/>
      <c r="I378" s="477"/>
      <c r="J378" s="477"/>
      <c r="K378" s="213"/>
      <c r="L378" s="478"/>
      <c r="M378" s="478"/>
      <c r="N378" s="478"/>
      <c r="O378" s="478"/>
      <c r="P378" s="478"/>
      <c r="Q378" s="478"/>
      <c r="R378" s="478"/>
      <c r="S378" s="478"/>
      <c r="T378" s="478"/>
      <c r="U378" s="478">
        <v>1</v>
      </c>
      <c r="V378" s="479"/>
      <c r="W378" s="478"/>
      <c r="X378" s="478"/>
      <c r="Y378" s="478"/>
      <c r="Z378" s="478"/>
      <c r="AA378" s="478"/>
      <c r="AB378" s="478"/>
      <c r="AC378" s="478"/>
      <c r="AD378" s="478"/>
      <c r="AE378" s="478"/>
      <c r="AF378" s="213"/>
      <c r="AG378" s="480"/>
      <c r="AH378" s="480"/>
      <c r="AI378" s="480"/>
      <c r="AJ378" s="480"/>
      <c r="AK378" s="480"/>
      <c r="AL378" s="480"/>
      <c r="AM378" s="480"/>
      <c r="AN378" s="480"/>
      <c r="AO378" s="480"/>
      <c r="AP378" s="480"/>
      <c r="AQ378" s="480"/>
      <c r="AR378" s="480"/>
      <c r="AS378" s="480"/>
      <c r="AT378" s="480"/>
      <c r="AU378" s="480"/>
      <c r="AV378" s="480"/>
      <c r="AW378" s="480"/>
      <c r="AX378" s="480"/>
      <c r="AY378" s="480"/>
      <c r="AZ378" s="480"/>
      <c r="BA378" s="480"/>
      <c r="BB378" s="480"/>
      <c r="BC378" s="480"/>
      <c r="BD378" s="480"/>
      <c r="BE378" s="213"/>
      <c r="BF378" s="479"/>
      <c r="BG378" s="479"/>
      <c r="BH378" s="372"/>
      <c r="BI378" s="472"/>
      <c r="BJ378" s="481"/>
      <c r="BK378" s="310"/>
      <c r="BL378" s="310">
        <f t="shared" si="1"/>
        <v>1</v>
      </c>
      <c r="BM378" s="7"/>
    </row>
    <row r="379" spans="1:65" ht="21.75" customHeight="1">
      <c r="A379" s="503" t="s">
        <v>1498</v>
      </c>
      <c r="B379" s="483" t="s">
        <v>826</v>
      </c>
      <c r="C379" s="514" t="s">
        <v>827</v>
      </c>
      <c r="D379" s="504" t="s">
        <v>424</v>
      </c>
      <c r="E379" s="477"/>
      <c r="F379" s="477"/>
      <c r="G379" s="477"/>
      <c r="H379" s="477"/>
      <c r="I379" s="477"/>
      <c r="J379" s="477"/>
      <c r="K379" s="213"/>
      <c r="L379" s="478"/>
      <c r="M379" s="478"/>
      <c r="N379" s="478"/>
      <c r="O379" s="478"/>
      <c r="P379" s="478"/>
      <c r="Q379" s="478"/>
      <c r="R379" s="478"/>
      <c r="S379" s="478"/>
      <c r="T379" s="478"/>
      <c r="U379" s="478"/>
      <c r="V379" s="479"/>
      <c r="W379" s="478"/>
      <c r="X379" s="478"/>
      <c r="Y379" s="478"/>
      <c r="Z379" s="478"/>
      <c r="AA379" s="478"/>
      <c r="AB379" s="478"/>
      <c r="AC379" s="478"/>
      <c r="AD379" s="478"/>
      <c r="AE379" s="478"/>
      <c r="AF379" s="213"/>
      <c r="AG379" s="480"/>
      <c r="AH379" s="480"/>
      <c r="AI379" s="480"/>
      <c r="AJ379" s="480"/>
      <c r="AK379" s="480"/>
      <c r="AL379" s="480"/>
      <c r="AM379" s="480"/>
      <c r="AN379" s="480"/>
      <c r="AO379" s="480"/>
      <c r="AP379" s="480"/>
      <c r="AQ379" s="480"/>
      <c r="AR379" s="480"/>
      <c r="AS379" s="480"/>
      <c r="AT379" s="480"/>
      <c r="AU379" s="480"/>
      <c r="AV379" s="480"/>
      <c r="AW379" s="480"/>
      <c r="AX379" s="480"/>
      <c r="AY379" s="480"/>
      <c r="AZ379" s="480"/>
      <c r="BA379" s="480"/>
      <c r="BB379" s="480"/>
      <c r="BC379" s="480"/>
      <c r="BD379" s="480"/>
      <c r="BE379" s="213"/>
      <c r="BF379" s="479"/>
      <c r="BG379" s="479"/>
      <c r="BH379" s="372"/>
      <c r="BI379" s="472"/>
      <c r="BJ379" s="481"/>
      <c r="BK379" s="310"/>
      <c r="BL379" s="310">
        <f t="shared" si="1"/>
        <v>0</v>
      </c>
      <c r="BM379" s="7"/>
    </row>
    <row r="380" spans="1:65" ht="21.75" customHeight="1">
      <c r="A380" s="503" t="s">
        <v>1499</v>
      </c>
      <c r="B380" s="483" t="s">
        <v>828</v>
      </c>
      <c r="C380" s="514" t="s">
        <v>829</v>
      </c>
      <c r="D380" s="504" t="s">
        <v>1500</v>
      </c>
      <c r="E380" s="477"/>
      <c r="F380" s="477"/>
      <c r="G380" s="477"/>
      <c r="H380" s="477"/>
      <c r="I380" s="477"/>
      <c r="J380" s="477"/>
      <c r="K380" s="213"/>
      <c r="L380" s="478"/>
      <c r="M380" s="478"/>
      <c r="N380" s="478"/>
      <c r="O380" s="478"/>
      <c r="P380" s="478"/>
      <c r="Q380" s="478"/>
      <c r="R380" s="478"/>
      <c r="S380" s="478"/>
      <c r="T380" s="478"/>
      <c r="U380" s="478"/>
      <c r="V380" s="479"/>
      <c r="W380" s="478"/>
      <c r="X380" s="478"/>
      <c r="Y380" s="478"/>
      <c r="Z380" s="478"/>
      <c r="AA380" s="478"/>
      <c r="AB380" s="478"/>
      <c r="AC380" s="478"/>
      <c r="AD380" s="478"/>
      <c r="AE380" s="478"/>
      <c r="AF380" s="213"/>
      <c r="AG380" s="480"/>
      <c r="AH380" s="480"/>
      <c r="AI380" s="480"/>
      <c r="AJ380" s="480"/>
      <c r="AK380" s="480"/>
      <c r="AL380" s="480"/>
      <c r="AM380" s="480"/>
      <c r="AN380" s="480"/>
      <c r="AO380" s="480"/>
      <c r="AP380" s="480"/>
      <c r="AQ380" s="480"/>
      <c r="AR380" s="480"/>
      <c r="AS380" s="480"/>
      <c r="AT380" s="480"/>
      <c r="AU380" s="480"/>
      <c r="AV380" s="480"/>
      <c r="AW380" s="480"/>
      <c r="AX380" s="480"/>
      <c r="AY380" s="480"/>
      <c r="AZ380" s="480"/>
      <c r="BA380" s="480"/>
      <c r="BB380" s="480"/>
      <c r="BC380" s="480"/>
      <c r="BD380" s="480"/>
      <c r="BE380" s="213"/>
      <c r="BF380" s="479"/>
      <c r="BG380" s="479"/>
      <c r="BH380" s="372"/>
      <c r="BI380" s="472"/>
      <c r="BJ380" s="481"/>
      <c r="BK380" s="310"/>
      <c r="BL380" s="310">
        <f t="shared" si="1"/>
        <v>0</v>
      </c>
      <c r="BM380" s="7"/>
    </row>
    <row r="381" spans="1:65" ht="21.75" customHeight="1">
      <c r="A381" s="503" t="s">
        <v>1501</v>
      </c>
      <c r="B381" s="483" t="s">
        <v>831</v>
      </c>
      <c r="C381" s="514" t="s">
        <v>433</v>
      </c>
      <c r="D381" s="504" t="s">
        <v>594</v>
      </c>
      <c r="E381" s="477"/>
      <c r="F381" s="477"/>
      <c r="G381" s="477"/>
      <c r="H381" s="477"/>
      <c r="I381" s="477"/>
      <c r="J381" s="477"/>
      <c r="K381" s="213"/>
      <c r="L381" s="478"/>
      <c r="M381" s="478"/>
      <c r="N381" s="478"/>
      <c r="O381" s="478"/>
      <c r="P381" s="478"/>
      <c r="Q381" s="478"/>
      <c r="R381" s="478"/>
      <c r="S381" s="478"/>
      <c r="T381" s="478"/>
      <c r="U381" s="478"/>
      <c r="V381" s="479"/>
      <c r="W381" s="478"/>
      <c r="X381" s="478"/>
      <c r="Y381" s="478"/>
      <c r="Z381" s="478"/>
      <c r="AA381" s="478"/>
      <c r="AB381" s="478"/>
      <c r="AC381" s="478"/>
      <c r="AD381" s="478"/>
      <c r="AE381" s="478"/>
      <c r="AF381" s="213"/>
      <c r="AG381" s="480"/>
      <c r="AH381" s="480"/>
      <c r="AI381" s="480"/>
      <c r="AJ381" s="480"/>
      <c r="AK381" s="480"/>
      <c r="AL381" s="480"/>
      <c r="AM381" s="480"/>
      <c r="AN381" s="480"/>
      <c r="AO381" s="480"/>
      <c r="AP381" s="480"/>
      <c r="AQ381" s="480"/>
      <c r="AR381" s="480"/>
      <c r="AS381" s="480"/>
      <c r="AT381" s="480"/>
      <c r="AU381" s="480"/>
      <c r="AV381" s="480"/>
      <c r="AW381" s="480"/>
      <c r="AX381" s="480"/>
      <c r="AY381" s="480"/>
      <c r="AZ381" s="480"/>
      <c r="BA381" s="480"/>
      <c r="BB381" s="480"/>
      <c r="BC381" s="480"/>
      <c r="BD381" s="480"/>
      <c r="BE381" s="213"/>
      <c r="BF381" s="479"/>
      <c r="BG381" s="479"/>
      <c r="BH381" s="372"/>
      <c r="BI381" s="472"/>
      <c r="BJ381" s="481"/>
      <c r="BK381" s="310"/>
      <c r="BL381" s="310">
        <f t="shared" si="1"/>
        <v>0</v>
      </c>
      <c r="BM381" s="7"/>
    </row>
    <row r="382" spans="1:65" ht="31.5" customHeight="1">
      <c r="A382" s="486">
        <v>12.5</v>
      </c>
      <c r="B382" s="487" t="s">
        <v>832</v>
      </c>
      <c r="C382" s="488" t="s">
        <v>833</v>
      </c>
      <c r="D382" s="412" t="s">
        <v>424</v>
      </c>
      <c r="E382" s="477"/>
      <c r="F382" s="477"/>
      <c r="G382" s="477"/>
      <c r="H382" s="477"/>
      <c r="I382" s="477"/>
      <c r="J382" s="477"/>
      <c r="K382" s="213"/>
      <c r="L382" s="478"/>
      <c r="M382" s="478"/>
      <c r="N382" s="478"/>
      <c r="O382" s="478"/>
      <c r="P382" s="478"/>
      <c r="Q382" s="478"/>
      <c r="R382" s="478"/>
      <c r="S382" s="478"/>
      <c r="T382" s="478"/>
      <c r="U382" s="478"/>
      <c r="V382" s="479"/>
      <c r="W382" s="478"/>
      <c r="X382" s="478"/>
      <c r="Y382" s="478"/>
      <c r="Z382" s="478"/>
      <c r="AA382" s="478"/>
      <c r="AB382" s="478"/>
      <c r="AC382" s="478"/>
      <c r="AD382" s="478"/>
      <c r="AE382" s="478"/>
      <c r="AF382" s="213"/>
      <c r="AG382" s="480"/>
      <c r="AH382" s="480"/>
      <c r="AI382" s="480"/>
      <c r="AJ382" s="480"/>
      <c r="AK382" s="480"/>
      <c r="AL382" s="480"/>
      <c r="AM382" s="480"/>
      <c r="AN382" s="480"/>
      <c r="AO382" s="480"/>
      <c r="AP382" s="480"/>
      <c r="AQ382" s="480"/>
      <c r="AR382" s="480"/>
      <c r="AS382" s="480"/>
      <c r="AT382" s="480"/>
      <c r="AU382" s="480"/>
      <c r="AV382" s="480"/>
      <c r="AW382" s="480"/>
      <c r="AX382" s="480"/>
      <c r="AY382" s="480"/>
      <c r="AZ382" s="480"/>
      <c r="BA382" s="480"/>
      <c r="BB382" s="480"/>
      <c r="BC382" s="480"/>
      <c r="BD382" s="480"/>
      <c r="BE382" s="213"/>
      <c r="BF382" s="479"/>
      <c r="BG382" s="479"/>
      <c r="BH382" s="372"/>
      <c r="BI382" s="472"/>
      <c r="BJ382" s="481"/>
      <c r="BK382" s="310"/>
      <c r="BL382" s="310">
        <f t="shared" si="1"/>
        <v>0</v>
      </c>
      <c r="BM382" s="7"/>
    </row>
    <row r="383" spans="1:65" ht="31.5" customHeight="1">
      <c r="A383" s="486">
        <v>12.6</v>
      </c>
      <c r="B383" s="487" t="s">
        <v>835</v>
      </c>
      <c r="C383" s="488" t="s">
        <v>836</v>
      </c>
      <c r="D383" s="412" t="s">
        <v>132</v>
      </c>
      <c r="E383" s="477"/>
      <c r="F383" s="477"/>
      <c r="G383" s="477"/>
      <c r="H383" s="477"/>
      <c r="I383" s="477"/>
      <c r="J383" s="477"/>
      <c r="K383" s="213"/>
      <c r="L383" s="478"/>
      <c r="M383" s="478"/>
      <c r="N383" s="478"/>
      <c r="O383" s="478"/>
      <c r="P383" s="478"/>
      <c r="Q383" s="478"/>
      <c r="R383" s="478"/>
      <c r="S383" s="478"/>
      <c r="T383" s="478"/>
      <c r="U383" s="478"/>
      <c r="V383" s="479"/>
      <c r="W383" s="478"/>
      <c r="X383" s="478"/>
      <c r="Y383" s="478"/>
      <c r="Z383" s="478"/>
      <c r="AA383" s="478"/>
      <c r="AB383" s="478"/>
      <c r="AC383" s="478"/>
      <c r="AD383" s="478"/>
      <c r="AE383" s="478"/>
      <c r="AF383" s="213"/>
      <c r="AG383" s="480"/>
      <c r="AH383" s="480"/>
      <c r="AI383" s="480"/>
      <c r="AJ383" s="480"/>
      <c r="AK383" s="480"/>
      <c r="AL383" s="480"/>
      <c r="AM383" s="480"/>
      <c r="AN383" s="480"/>
      <c r="AO383" s="480"/>
      <c r="AP383" s="480"/>
      <c r="AQ383" s="480"/>
      <c r="AR383" s="480"/>
      <c r="AS383" s="480"/>
      <c r="AT383" s="480"/>
      <c r="AU383" s="480"/>
      <c r="AV383" s="480"/>
      <c r="AW383" s="480"/>
      <c r="AX383" s="480"/>
      <c r="AY383" s="480"/>
      <c r="AZ383" s="480"/>
      <c r="BA383" s="480"/>
      <c r="BB383" s="480"/>
      <c r="BC383" s="480"/>
      <c r="BD383" s="480"/>
      <c r="BE383" s="213"/>
      <c r="BF383" s="479"/>
      <c r="BG383" s="479"/>
      <c r="BH383" s="372"/>
      <c r="BI383" s="472"/>
      <c r="BJ383" s="481"/>
      <c r="BK383" s="310"/>
      <c r="BL383" s="310">
        <f t="shared" si="1"/>
        <v>0</v>
      </c>
      <c r="BM383" s="7"/>
    </row>
    <row r="384" spans="1:65" ht="21.75" customHeight="1">
      <c r="A384" s="503" t="s">
        <v>1502</v>
      </c>
      <c r="B384" s="483" t="s">
        <v>838</v>
      </c>
      <c r="C384" s="484" t="s">
        <v>131</v>
      </c>
      <c r="D384" s="485" t="s">
        <v>132</v>
      </c>
      <c r="E384" s="477"/>
      <c r="F384" s="477"/>
      <c r="G384" s="477"/>
      <c r="H384" s="477"/>
      <c r="I384" s="477"/>
      <c r="J384" s="477"/>
      <c r="K384" s="213"/>
      <c r="L384" s="478"/>
      <c r="M384" s="478"/>
      <c r="N384" s="478"/>
      <c r="O384" s="478"/>
      <c r="P384" s="478"/>
      <c r="Q384" s="478"/>
      <c r="R384" s="478"/>
      <c r="S384" s="478"/>
      <c r="T384" s="478"/>
      <c r="U384" s="478"/>
      <c r="V384" s="479"/>
      <c r="W384" s="478"/>
      <c r="X384" s="478"/>
      <c r="Y384" s="478"/>
      <c r="Z384" s="478"/>
      <c r="AA384" s="478"/>
      <c r="AB384" s="478"/>
      <c r="AC384" s="478"/>
      <c r="AD384" s="478"/>
      <c r="AE384" s="478"/>
      <c r="AF384" s="213"/>
      <c r="AG384" s="480"/>
      <c r="AH384" s="480"/>
      <c r="AI384" s="480"/>
      <c r="AJ384" s="480"/>
      <c r="AK384" s="480"/>
      <c r="AL384" s="480"/>
      <c r="AM384" s="480"/>
      <c r="AN384" s="480"/>
      <c r="AO384" s="480"/>
      <c r="AP384" s="480"/>
      <c r="AQ384" s="480"/>
      <c r="AR384" s="480"/>
      <c r="AS384" s="480"/>
      <c r="AT384" s="480"/>
      <c r="AU384" s="480"/>
      <c r="AV384" s="480"/>
      <c r="AW384" s="480"/>
      <c r="AX384" s="480"/>
      <c r="AY384" s="480"/>
      <c r="AZ384" s="480"/>
      <c r="BA384" s="480"/>
      <c r="BB384" s="480"/>
      <c r="BC384" s="480"/>
      <c r="BD384" s="480"/>
      <c r="BE384" s="213"/>
      <c r="BF384" s="479"/>
      <c r="BG384" s="479"/>
      <c r="BH384" s="372"/>
      <c r="BI384" s="472"/>
      <c r="BJ384" s="481"/>
      <c r="BK384" s="310"/>
      <c r="BL384" s="310">
        <f t="shared" si="1"/>
        <v>0</v>
      </c>
      <c r="BM384" s="7"/>
    </row>
    <row r="385" spans="1:65" ht="21.75" customHeight="1">
      <c r="A385" s="503" t="s">
        <v>1503</v>
      </c>
      <c r="B385" s="483" t="s">
        <v>839</v>
      </c>
      <c r="C385" s="484" t="s">
        <v>200</v>
      </c>
      <c r="D385" s="485" t="s">
        <v>132</v>
      </c>
      <c r="E385" s="477"/>
      <c r="F385" s="477"/>
      <c r="G385" s="477"/>
      <c r="H385" s="477"/>
      <c r="I385" s="477"/>
      <c r="J385" s="477"/>
      <c r="K385" s="213"/>
      <c r="L385" s="478"/>
      <c r="M385" s="478"/>
      <c r="N385" s="478"/>
      <c r="O385" s="478"/>
      <c r="P385" s="478"/>
      <c r="Q385" s="478"/>
      <c r="R385" s="478"/>
      <c r="S385" s="478"/>
      <c r="T385" s="478"/>
      <c r="U385" s="478"/>
      <c r="V385" s="479"/>
      <c r="W385" s="478"/>
      <c r="X385" s="478"/>
      <c r="Y385" s="478"/>
      <c r="Z385" s="478"/>
      <c r="AA385" s="478"/>
      <c r="AB385" s="478"/>
      <c r="AC385" s="478"/>
      <c r="AD385" s="478"/>
      <c r="AE385" s="478"/>
      <c r="AF385" s="213"/>
      <c r="AG385" s="480"/>
      <c r="AH385" s="480"/>
      <c r="AI385" s="480"/>
      <c r="AJ385" s="480"/>
      <c r="AK385" s="480"/>
      <c r="AL385" s="480"/>
      <c r="AM385" s="480"/>
      <c r="AN385" s="480"/>
      <c r="AO385" s="480"/>
      <c r="AP385" s="480"/>
      <c r="AQ385" s="480"/>
      <c r="AR385" s="480"/>
      <c r="AS385" s="480"/>
      <c r="AT385" s="480"/>
      <c r="AU385" s="480"/>
      <c r="AV385" s="480"/>
      <c r="AW385" s="480"/>
      <c r="AX385" s="480"/>
      <c r="AY385" s="480"/>
      <c r="AZ385" s="480"/>
      <c r="BA385" s="480"/>
      <c r="BB385" s="480"/>
      <c r="BC385" s="480"/>
      <c r="BD385" s="480"/>
      <c r="BE385" s="213"/>
      <c r="BF385" s="479"/>
      <c r="BG385" s="479"/>
      <c r="BH385" s="372"/>
      <c r="BI385" s="472"/>
      <c r="BJ385" s="481"/>
      <c r="BK385" s="310"/>
      <c r="BL385" s="310">
        <f t="shared" si="1"/>
        <v>0</v>
      </c>
      <c r="BM385" s="7"/>
    </row>
    <row r="386" spans="1:65" ht="21.75" customHeight="1">
      <c r="A386" s="503" t="s">
        <v>1504</v>
      </c>
      <c r="B386" s="483" t="s">
        <v>840</v>
      </c>
      <c r="C386" s="484" t="s">
        <v>203</v>
      </c>
      <c r="D386" s="485" t="s">
        <v>132</v>
      </c>
      <c r="E386" s="477"/>
      <c r="F386" s="477"/>
      <c r="G386" s="477"/>
      <c r="H386" s="477"/>
      <c r="I386" s="477"/>
      <c r="J386" s="477"/>
      <c r="K386" s="213"/>
      <c r="L386" s="478"/>
      <c r="M386" s="478"/>
      <c r="N386" s="478"/>
      <c r="O386" s="478"/>
      <c r="P386" s="478"/>
      <c r="Q386" s="478"/>
      <c r="R386" s="478"/>
      <c r="S386" s="478"/>
      <c r="T386" s="478"/>
      <c r="U386" s="478"/>
      <c r="V386" s="479"/>
      <c r="W386" s="478"/>
      <c r="X386" s="478"/>
      <c r="Y386" s="478"/>
      <c r="Z386" s="478"/>
      <c r="AA386" s="478"/>
      <c r="AB386" s="478"/>
      <c r="AC386" s="478"/>
      <c r="AD386" s="478"/>
      <c r="AE386" s="478"/>
      <c r="AF386" s="213"/>
      <c r="AG386" s="480"/>
      <c r="AH386" s="480"/>
      <c r="AI386" s="480"/>
      <c r="AJ386" s="480"/>
      <c r="AK386" s="480"/>
      <c r="AL386" s="480"/>
      <c r="AM386" s="480"/>
      <c r="AN386" s="480"/>
      <c r="AO386" s="480"/>
      <c r="AP386" s="480"/>
      <c r="AQ386" s="480"/>
      <c r="AR386" s="480"/>
      <c r="AS386" s="480"/>
      <c r="AT386" s="480"/>
      <c r="AU386" s="480"/>
      <c r="AV386" s="480"/>
      <c r="AW386" s="480"/>
      <c r="AX386" s="480"/>
      <c r="AY386" s="480"/>
      <c r="AZ386" s="480"/>
      <c r="BA386" s="480"/>
      <c r="BB386" s="480"/>
      <c r="BC386" s="480"/>
      <c r="BD386" s="480"/>
      <c r="BE386" s="213"/>
      <c r="BF386" s="479"/>
      <c r="BG386" s="479"/>
      <c r="BH386" s="372"/>
      <c r="BI386" s="472"/>
      <c r="BJ386" s="481"/>
      <c r="BK386" s="310"/>
      <c r="BL386" s="310">
        <f t="shared" si="1"/>
        <v>0</v>
      </c>
      <c r="BM386" s="7"/>
    </row>
    <row r="387" spans="1:65" ht="21.75" customHeight="1">
      <c r="A387" s="503" t="s">
        <v>1505</v>
      </c>
      <c r="B387" s="483" t="s">
        <v>841</v>
      </c>
      <c r="C387" s="484" t="s">
        <v>159</v>
      </c>
      <c r="D387" s="485" t="s">
        <v>132</v>
      </c>
      <c r="E387" s="477"/>
      <c r="F387" s="477"/>
      <c r="G387" s="477"/>
      <c r="H387" s="477"/>
      <c r="I387" s="477"/>
      <c r="J387" s="477"/>
      <c r="K387" s="213"/>
      <c r="L387" s="478"/>
      <c r="M387" s="478"/>
      <c r="N387" s="478"/>
      <c r="O387" s="478"/>
      <c r="P387" s="478"/>
      <c r="Q387" s="478"/>
      <c r="R387" s="478"/>
      <c r="S387" s="478"/>
      <c r="T387" s="478"/>
      <c r="U387" s="478"/>
      <c r="V387" s="479"/>
      <c r="W387" s="478"/>
      <c r="X387" s="478"/>
      <c r="Y387" s="478"/>
      <c r="Z387" s="478"/>
      <c r="AA387" s="478"/>
      <c r="AB387" s="478"/>
      <c r="AC387" s="478"/>
      <c r="AD387" s="478"/>
      <c r="AE387" s="478"/>
      <c r="AF387" s="213"/>
      <c r="AG387" s="480"/>
      <c r="AH387" s="480"/>
      <c r="AI387" s="480"/>
      <c r="AJ387" s="480"/>
      <c r="AK387" s="480"/>
      <c r="AL387" s="480"/>
      <c r="AM387" s="480"/>
      <c r="AN387" s="480"/>
      <c r="AO387" s="480"/>
      <c r="AP387" s="480"/>
      <c r="AQ387" s="480"/>
      <c r="AR387" s="480"/>
      <c r="AS387" s="480"/>
      <c r="AT387" s="480"/>
      <c r="AU387" s="480"/>
      <c r="AV387" s="480"/>
      <c r="AW387" s="480"/>
      <c r="AX387" s="480"/>
      <c r="AY387" s="480"/>
      <c r="AZ387" s="480"/>
      <c r="BA387" s="480"/>
      <c r="BB387" s="480"/>
      <c r="BC387" s="480"/>
      <c r="BD387" s="480"/>
      <c r="BE387" s="213"/>
      <c r="BF387" s="479"/>
      <c r="BG387" s="479"/>
      <c r="BH387" s="372"/>
      <c r="BI387" s="472"/>
      <c r="BJ387" s="481"/>
      <c r="BK387" s="310"/>
      <c r="BL387" s="310">
        <f t="shared" si="1"/>
        <v>0</v>
      </c>
      <c r="BM387" s="7"/>
    </row>
    <row r="388" spans="1:65" ht="21.75" customHeight="1">
      <c r="A388" s="486">
        <v>12.7</v>
      </c>
      <c r="B388" s="487" t="s">
        <v>842</v>
      </c>
      <c r="C388" s="488" t="s">
        <v>843</v>
      </c>
      <c r="D388" s="412" t="s">
        <v>132</v>
      </c>
      <c r="E388" s="477"/>
      <c r="F388" s="477"/>
      <c r="G388" s="477"/>
      <c r="H388" s="477"/>
      <c r="I388" s="477"/>
      <c r="J388" s="477"/>
      <c r="K388" s="213"/>
      <c r="L388" s="478"/>
      <c r="M388" s="478"/>
      <c r="N388" s="478"/>
      <c r="O388" s="478"/>
      <c r="P388" s="478"/>
      <c r="Q388" s="478"/>
      <c r="R388" s="478"/>
      <c r="S388" s="478"/>
      <c r="T388" s="478"/>
      <c r="U388" s="478"/>
      <c r="V388" s="479"/>
      <c r="W388" s="478"/>
      <c r="X388" s="478"/>
      <c r="Y388" s="478"/>
      <c r="Z388" s="478"/>
      <c r="AA388" s="478"/>
      <c r="AB388" s="478"/>
      <c r="AC388" s="478"/>
      <c r="AD388" s="478"/>
      <c r="AE388" s="478"/>
      <c r="AF388" s="213"/>
      <c r="AG388" s="480"/>
      <c r="AH388" s="480"/>
      <c r="AI388" s="480"/>
      <c r="AJ388" s="480"/>
      <c r="AK388" s="480"/>
      <c r="AL388" s="480"/>
      <c r="AM388" s="480"/>
      <c r="AN388" s="480"/>
      <c r="AO388" s="480"/>
      <c r="AP388" s="480"/>
      <c r="AQ388" s="480"/>
      <c r="AR388" s="480"/>
      <c r="AS388" s="480"/>
      <c r="AT388" s="480"/>
      <c r="AU388" s="480"/>
      <c r="AV388" s="480"/>
      <c r="AW388" s="480"/>
      <c r="AX388" s="480"/>
      <c r="AY388" s="480"/>
      <c r="AZ388" s="480"/>
      <c r="BA388" s="480"/>
      <c r="BB388" s="480"/>
      <c r="BC388" s="480"/>
      <c r="BD388" s="480"/>
      <c r="BE388" s="213"/>
      <c r="BF388" s="479"/>
      <c r="BG388" s="479"/>
      <c r="BH388" s="372"/>
      <c r="BI388" s="472"/>
      <c r="BJ388" s="481"/>
      <c r="BK388" s="310"/>
      <c r="BL388" s="310">
        <f t="shared" si="1"/>
        <v>0</v>
      </c>
      <c r="BM388" s="7"/>
    </row>
    <row r="389" spans="1:65" ht="21.75" customHeight="1">
      <c r="A389" s="486">
        <v>12.8</v>
      </c>
      <c r="B389" s="487" t="s">
        <v>845</v>
      </c>
      <c r="C389" s="488" t="s">
        <v>846</v>
      </c>
      <c r="D389" s="412" t="s">
        <v>358</v>
      </c>
      <c r="E389" s="477"/>
      <c r="F389" s="477"/>
      <c r="G389" s="477"/>
      <c r="H389" s="477"/>
      <c r="I389" s="477"/>
      <c r="J389" s="477"/>
      <c r="K389" s="213"/>
      <c r="L389" s="478"/>
      <c r="M389" s="478"/>
      <c r="N389" s="478"/>
      <c r="O389" s="478"/>
      <c r="P389" s="478"/>
      <c r="Q389" s="478"/>
      <c r="R389" s="478"/>
      <c r="S389" s="478"/>
      <c r="T389" s="478"/>
      <c r="U389" s="478"/>
      <c r="V389" s="479"/>
      <c r="W389" s="478"/>
      <c r="X389" s="478"/>
      <c r="Y389" s="478"/>
      <c r="Z389" s="478"/>
      <c r="AA389" s="478"/>
      <c r="AB389" s="478"/>
      <c r="AC389" s="478"/>
      <c r="AD389" s="478"/>
      <c r="AE389" s="478"/>
      <c r="AF389" s="213"/>
      <c r="AG389" s="480"/>
      <c r="AH389" s="480"/>
      <c r="AI389" s="480"/>
      <c r="AJ389" s="480"/>
      <c r="AK389" s="480"/>
      <c r="AL389" s="480"/>
      <c r="AM389" s="480"/>
      <c r="AN389" s="480"/>
      <c r="AO389" s="480"/>
      <c r="AP389" s="480"/>
      <c r="AQ389" s="480"/>
      <c r="AR389" s="480"/>
      <c r="AS389" s="480"/>
      <c r="AT389" s="480"/>
      <c r="AU389" s="480"/>
      <c r="AV389" s="480"/>
      <c r="AW389" s="480"/>
      <c r="AX389" s="480"/>
      <c r="AY389" s="480"/>
      <c r="AZ389" s="480"/>
      <c r="BA389" s="480"/>
      <c r="BB389" s="480"/>
      <c r="BC389" s="480"/>
      <c r="BD389" s="480"/>
      <c r="BE389" s="213"/>
      <c r="BF389" s="479"/>
      <c r="BG389" s="479"/>
      <c r="BH389" s="372"/>
      <c r="BI389" s="472"/>
      <c r="BJ389" s="481"/>
      <c r="BK389" s="310"/>
      <c r="BL389" s="310">
        <f t="shared" si="1"/>
        <v>0</v>
      </c>
      <c r="BM389" s="7"/>
    </row>
    <row r="390" spans="1:65" ht="21.75" customHeight="1">
      <c r="A390" s="486">
        <v>12.9</v>
      </c>
      <c r="B390" s="487" t="s">
        <v>847</v>
      </c>
      <c r="C390" s="488" t="s">
        <v>848</v>
      </c>
      <c r="D390" s="515" t="s">
        <v>183</v>
      </c>
      <c r="E390" s="477"/>
      <c r="F390" s="477"/>
      <c r="G390" s="477"/>
      <c r="H390" s="477"/>
      <c r="I390" s="477"/>
      <c r="J390" s="477"/>
      <c r="K390" s="213"/>
      <c r="L390" s="478"/>
      <c r="M390" s="478"/>
      <c r="N390" s="478"/>
      <c r="O390" s="478"/>
      <c r="P390" s="478"/>
      <c r="Q390" s="478"/>
      <c r="R390" s="478"/>
      <c r="S390" s="478"/>
      <c r="T390" s="478"/>
      <c r="U390" s="478"/>
      <c r="V390" s="479"/>
      <c r="W390" s="478"/>
      <c r="X390" s="478"/>
      <c r="Y390" s="478"/>
      <c r="Z390" s="478"/>
      <c r="AA390" s="478"/>
      <c r="AB390" s="478"/>
      <c r="AC390" s="478"/>
      <c r="AD390" s="478"/>
      <c r="AE390" s="478"/>
      <c r="AF390" s="213"/>
      <c r="AG390" s="480"/>
      <c r="AH390" s="480"/>
      <c r="AI390" s="480"/>
      <c r="AJ390" s="480"/>
      <c r="AK390" s="480"/>
      <c r="AL390" s="480"/>
      <c r="AM390" s="480"/>
      <c r="AN390" s="480"/>
      <c r="AO390" s="480"/>
      <c r="AP390" s="480"/>
      <c r="AQ390" s="480"/>
      <c r="AR390" s="480"/>
      <c r="AS390" s="480"/>
      <c r="AT390" s="480"/>
      <c r="AU390" s="480"/>
      <c r="AV390" s="480"/>
      <c r="AW390" s="480"/>
      <c r="AX390" s="480"/>
      <c r="AY390" s="480"/>
      <c r="AZ390" s="480"/>
      <c r="BA390" s="480"/>
      <c r="BB390" s="480"/>
      <c r="BC390" s="480"/>
      <c r="BD390" s="480"/>
      <c r="BE390" s="213"/>
      <c r="BF390" s="479"/>
      <c r="BG390" s="479"/>
      <c r="BH390" s="372"/>
      <c r="BI390" s="472"/>
      <c r="BJ390" s="481"/>
      <c r="BK390" s="310"/>
      <c r="BL390" s="310">
        <f t="shared" si="1"/>
        <v>0</v>
      </c>
      <c r="BM390" s="7"/>
    </row>
    <row r="391" spans="1:65" ht="21.75" customHeight="1">
      <c r="A391" s="486" t="s">
        <v>849</v>
      </c>
      <c r="B391" s="487" t="s">
        <v>850</v>
      </c>
      <c r="C391" s="488" t="s">
        <v>851</v>
      </c>
      <c r="D391" s="515" t="s">
        <v>183</v>
      </c>
      <c r="E391" s="477"/>
      <c r="F391" s="477"/>
      <c r="G391" s="477"/>
      <c r="H391" s="477"/>
      <c r="I391" s="477"/>
      <c r="J391" s="477"/>
      <c r="K391" s="213"/>
      <c r="L391" s="478"/>
      <c r="M391" s="478"/>
      <c r="N391" s="478"/>
      <c r="O391" s="478"/>
      <c r="P391" s="478"/>
      <c r="Q391" s="478"/>
      <c r="R391" s="478"/>
      <c r="S391" s="478"/>
      <c r="T391" s="478"/>
      <c r="U391" s="478"/>
      <c r="V391" s="479"/>
      <c r="W391" s="478"/>
      <c r="X391" s="478"/>
      <c r="Y391" s="478"/>
      <c r="Z391" s="478"/>
      <c r="AA391" s="478"/>
      <c r="AB391" s="478"/>
      <c r="AC391" s="478"/>
      <c r="AD391" s="478"/>
      <c r="AE391" s="478"/>
      <c r="AF391" s="213"/>
      <c r="AG391" s="480"/>
      <c r="AH391" s="480"/>
      <c r="AI391" s="480"/>
      <c r="AJ391" s="480"/>
      <c r="AK391" s="480"/>
      <c r="AL391" s="480"/>
      <c r="AM391" s="480"/>
      <c r="AN391" s="480"/>
      <c r="AO391" s="480"/>
      <c r="AP391" s="480"/>
      <c r="AQ391" s="480"/>
      <c r="AR391" s="480"/>
      <c r="AS391" s="480"/>
      <c r="AT391" s="480"/>
      <c r="AU391" s="480"/>
      <c r="AV391" s="480"/>
      <c r="AW391" s="480"/>
      <c r="AX391" s="480"/>
      <c r="AY391" s="480"/>
      <c r="AZ391" s="480"/>
      <c r="BA391" s="480"/>
      <c r="BB391" s="480"/>
      <c r="BC391" s="480"/>
      <c r="BD391" s="480"/>
      <c r="BE391" s="213"/>
      <c r="BF391" s="479"/>
      <c r="BG391" s="479"/>
      <c r="BH391" s="372"/>
      <c r="BI391" s="472"/>
      <c r="BJ391" s="481"/>
      <c r="BK391" s="310"/>
      <c r="BL391" s="310">
        <f t="shared" si="1"/>
        <v>0</v>
      </c>
      <c r="BM391" s="7"/>
    </row>
    <row r="392" spans="1:65" ht="21.75" customHeight="1">
      <c r="A392" s="486" t="s">
        <v>852</v>
      </c>
      <c r="B392" s="487" t="s">
        <v>853</v>
      </c>
      <c r="C392" s="488" t="s">
        <v>854</v>
      </c>
      <c r="D392" s="515" t="s">
        <v>183</v>
      </c>
      <c r="E392" s="477"/>
      <c r="F392" s="477"/>
      <c r="G392" s="477"/>
      <c r="H392" s="477"/>
      <c r="I392" s="477"/>
      <c r="J392" s="477"/>
      <c r="K392" s="213"/>
      <c r="L392" s="478"/>
      <c r="M392" s="478"/>
      <c r="N392" s="478"/>
      <c r="O392" s="478"/>
      <c r="P392" s="478"/>
      <c r="Q392" s="478"/>
      <c r="R392" s="478"/>
      <c r="S392" s="478"/>
      <c r="T392" s="478"/>
      <c r="U392" s="478"/>
      <c r="V392" s="479"/>
      <c r="W392" s="478"/>
      <c r="X392" s="478"/>
      <c r="Y392" s="478"/>
      <c r="Z392" s="478"/>
      <c r="AA392" s="478"/>
      <c r="AB392" s="478"/>
      <c r="AC392" s="478"/>
      <c r="AD392" s="478"/>
      <c r="AE392" s="478"/>
      <c r="AF392" s="213"/>
      <c r="AG392" s="480"/>
      <c r="AH392" s="480"/>
      <c r="AI392" s="480"/>
      <c r="AJ392" s="480"/>
      <c r="AK392" s="480"/>
      <c r="AL392" s="480"/>
      <c r="AM392" s="480"/>
      <c r="AN392" s="480"/>
      <c r="AO392" s="480"/>
      <c r="AP392" s="480"/>
      <c r="AQ392" s="480"/>
      <c r="AR392" s="480"/>
      <c r="AS392" s="480"/>
      <c r="AT392" s="480"/>
      <c r="AU392" s="480"/>
      <c r="AV392" s="480"/>
      <c r="AW392" s="480"/>
      <c r="AX392" s="480"/>
      <c r="AY392" s="480"/>
      <c r="AZ392" s="480"/>
      <c r="BA392" s="480"/>
      <c r="BB392" s="480"/>
      <c r="BC392" s="480"/>
      <c r="BD392" s="480"/>
      <c r="BE392" s="213"/>
      <c r="BF392" s="479"/>
      <c r="BG392" s="479"/>
      <c r="BH392" s="372"/>
      <c r="BI392" s="472"/>
      <c r="BJ392" s="481"/>
      <c r="BK392" s="310"/>
      <c r="BL392" s="310">
        <f t="shared" si="1"/>
        <v>0</v>
      </c>
      <c r="BM392" s="7"/>
    </row>
    <row r="393" spans="1:65" ht="21.75" customHeight="1">
      <c r="A393" s="486">
        <v>12.12</v>
      </c>
      <c r="B393" s="487" t="s">
        <v>855</v>
      </c>
      <c r="C393" s="488" t="s">
        <v>856</v>
      </c>
      <c r="D393" s="515" t="s">
        <v>183</v>
      </c>
      <c r="E393" s="477"/>
      <c r="F393" s="477"/>
      <c r="G393" s="477"/>
      <c r="H393" s="477"/>
      <c r="I393" s="477"/>
      <c r="J393" s="477"/>
      <c r="K393" s="213"/>
      <c r="L393" s="478"/>
      <c r="M393" s="478"/>
      <c r="N393" s="478"/>
      <c r="O393" s="478"/>
      <c r="P393" s="478"/>
      <c r="Q393" s="478"/>
      <c r="R393" s="478"/>
      <c r="S393" s="478"/>
      <c r="T393" s="478"/>
      <c r="U393" s="478"/>
      <c r="V393" s="479"/>
      <c r="W393" s="478"/>
      <c r="X393" s="478"/>
      <c r="Y393" s="478"/>
      <c r="Z393" s="478"/>
      <c r="AA393" s="478"/>
      <c r="AB393" s="478"/>
      <c r="AC393" s="478"/>
      <c r="AD393" s="478"/>
      <c r="AE393" s="478"/>
      <c r="AF393" s="213"/>
      <c r="AG393" s="480"/>
      <c r="AH393" s="480"/>
      <c r="AI393" s="480"/>
      <c r="AJ393" s="480"/>
      <c r="AK393" s="480"/>
      <c r="AL393" s="480"/>
      <c r="AM393" s="480"/>
      <c r="AN393" s="480"/>
      <c r="AO393" s="480"/>
      <c r="AP393" s="480"/>
      <c r="AQ393" s="480"/>
      <c r="AR393" s="480"/>
      <c r="AS393" s="480"/>
      <c r="AT393" s="480"/>
      <c r="AU393" s="480"/>
      <c r="AV393" s="480"/>
      <c r="AW393" s="480"/>
      <c r="AX393" s="480"/>
      <c r="AY393" s="480"/>
      <c r="AZ393" s="480"/>
      <c r="BA393" s="480"/>
      <c r="BB393" s="480"/>
      <c r="BC393" s="480"/>
      <c r="BD393" s="480"/>
      <c r="BE393" s="213"/>
      <c r="BF393" s="479"/>
      <c r="BG393" s="479"/>
      <c r="BH393" s="372"/>
      <c r="BI393" s="472"/>
      <c r="BJ393" s="481"/>
      <c r="BK393" s="310"/>
      <c r="BL393" s="310">
        <f t="shared" si="1"/>
        <v>0</v>
      </c>
      <c r="BM393" s="7"/>
    </row>
    <row r="394" spans="1:65" ht="21.75" customHeight="1">
      <c r="A394" s="486">
        <v>12.13</v>
      </c>
      <c r="B394" s="487" t="s">
        <v>857</v>
      </c>
      <c r="C394" s="488" t="s">
        <v>858</v>
      </c>
      <c r="D394" s="485" t="s">
        <v>132</v>
      </c>
      <c r="E394" s="477"/>
      <c r="F394" s="477"/>
      <c r="G394" s="477"/>
      <c r="H394" s="477"/>
      <c r="I394" s="477"/>
      <c r="J394" s="477"/>
      <c r="K394" s="213"/>
      <c r="L394" s="478"/>
      <c r="M394" s="478"/>
      <c r="N394" s="478"/>
      <c r="O394" s="478"/>
      <c r="P394" s="478"/>
      <c r="Q394" s="478"/>
      <c r="R394" s="478"/>
      <c r="S394" s="478"/>
      <c r="T394" s="478"/>
      <c r="U394" s="478"/>
      <c r="V394" s="479"/>
      <c r="W394" s="478"/>
      <c r="X394" s="478"/>
      <c r="Y394" s="478"/>
      <c r="Z394" s="478"/>
      <c r="AA394" s="478"/>
      <c r="AB394" s="478"/>
      <c r="AC394" s="478"/>
      <c r="AD394" s="478"/>
      <c r="AE394" s="478"/>
      <c r="AF394" s="213"/>
      <c r="AG394" s="480"/>
      <c r="AH394" s="480"/>
      <c r="AI394" s="480"/>
      <c r="AJ394" s="480"/>
      <c r="AK394" s="480"/>
      <c r="AL394" s="480"/>
      <c r="AM394" s="480"/>
      <c r="AN394" s="480"/>
      <c r="AO394" s="480"/>
      <c r="AP394" s="480"/>
      <c r="AQ394" s="480"/>
      <c r="AR394" s="480"/>
      <c r="AS394" s="480"/>
      <c r="AT394" s="480"/>
      <c r="AU394" s="480"/>
      <c r="AV394" s="480"/>
      <c r="AW394" s="480"/>
      <c r="AX394" s="480"/>
      <c r="AY394" s="480"/>
      <c r="AZ394" s="480"/>
      <c r="BA394" s="480"/>
      <c r="BB394" s="480"/>
      <c r="BC394" s="480"/>
      <c r="BD394" s="480"/>
      <c r="BE394" s="213"/>
      <c r="BF394" s="479"/>
      <c r="BG394" s="479"/>
      <c r="BH394" s="372"/>
      <c r="BI394" s="472"/>
      <c r="BJ394" s="481"/>
      <c r="BK394" s="310"/>
      <c r="BL394" s="310">
        <f t="shared" si="1"/>
        <v>0</v>
      </c>
      <c r="BM394" s="7"/>
    </row>
    <row r="395" spans="1:65" ht="21.75" customHeight="1">
      <c r="A395" s="482" t="s">
        <v>859</v>
      </c>
      <c r="B395" s="483" t="s">
        <v>860</v>
      </c>
      <c r="C395" s="484" t="s">
        <v>861</v>
      </c>
      <c r="D395" s="485" t="s">
        <v>132</v>
      </c>
      <c r="E395" s="477"/>
      <c r="F395" s="477"/>
      <c r="G395" s="477"/>
      <c r="H395" s="477"/>
      <c r="I395" s="477"/>
      <c r="J395" s="477"/>
      <c r="K395" s="213"/>
      <c r="L395" s="478"/>
      <c r="M395" s="478"/>
      <c r="N395" s="478"/>
      <c r="O395" s="478"/>
      <c r="P395" s="478"/>
      <c r="Q395" s="478"/>
      <c r="R395" s="478"/>
      <c r="S395" s="478"/>
      <c r="T395" s="478"/>
      <c r="U395" s="478"/>
      <c r="V395" s="479"/>
      <c r="W395" s="478"/>
      <c r="X395" s="478"/>
      <c r="Y395" s="478"/>
      <c r="Z395" s="478"/>
      <c r="AA395" s="478"/>
      <c r="AB395" s="478"/>
      <c r="AC395" s="478"/>
      <c r="AD395" s="478"/>
      <c r="AE395" s="478"/>
      <c r="AF395" s="213"/>
      <c r="AG395" s="480"/>
      <c r="AH395" s="480"/>
      <c r="AI395" s="480"/>
      <c r="AJ395" s="480"/>
      <c r="AK395" s="480"/>
      <c r="AL395" s="480"/>
      <c r="AM395" s="480"/>
      <c r="AN395" s="480"/>
      <c r="AO395" s="480"/>
      <c r="AP395" s="480"/>
      <c r="AQ395" s="480"/>
      <c r="AR395" s="480"/>
      <c r="AS395" s="480"/>
      <c r="AT395" s="480"/>
      <c r="AU395" s="480"/>
      <c r="AV395" s="480"/>
      <c r="AW395" s="480"/>
      <c r="AX395" s="480"/>
      <c r="AY395" s="480"/>
      <c r="AZ395" s="480"/>
      <c r="BA395" s="480"/>
      <c r="BB395" s="480"/>
      <c r="BC395" s="480"/>
      <c r="BD395" s="480"/>
      <c r="BE395" s="213"/>
      <c r="BF395" s="479"/>
      <c r="BG395" s="479"/>
      <c r="BH395" s="372"/>
      <c r="BI395" s="472"/>
      <c r="BJ395" s="481"/>
      <c r="BK395" s="310"/>
      <c r="BL395" s="310">
        <f t="shared" si="1"/>
        <v>0</v>
      </c>
      <c r="BM395" s="7"/>
    </row>
    <row r="396" spans="1:65" ht="21.75" customHeight="1">
      <c r="A396" s="482" t="s">
        <v>862</v>
      </c>
      <c r="B396" s="483" t="s">
        <v>863</v>
      </c>
      <c r="C396" s="484" t="s">
        <v>864</v>
      </c>
      <c r="D396" s="485" t="s">
        <v>132</v>
      </c>
      <c r="E396" s="477"/>
      <c r="F396" s="477"/>
      <c r="G396" s="477"/>
      <c r="H396" s="477"/>
      <c r="I396" s="477"/>
      <c r="J396" s="477"/>
      <c r="K396" s="213"/>
      <c r="L396" s="478"/>
      <c r="M396" s="478"/>
      <c r="N396" s="478"/>
      <c r="O396" s="478"/>
      <c r="P396" s="478"/>
      <c r="Q396" s="478"/>
      <c r="R396" s="478"/>
      <c r="S396" s="478"/>
      <c r="T396" s="478"/>
      <c r="U396" s="478"/>
      <c r="V396" s="479"/>
      <c r="W396" s="478"/>
      <c r="X396" s="478"/>
      <c r="Y396" s="478"/>
      <c r="Z396" s="478"/>
      <c r="AA396" s="478"/>
      <c r="AB396" s="478"/>
      <c r="AC396" s="478"/>
      <c r="AD396" s="478"/>
      <c r="AE396" s="478"/>
      <c r="AF396" s="213"/>
      <c r="AG396" s="480"/>
      <c r="AH396" s="480"/>
      <c r="AI396" s="480"/>
      <c r="AJ396" s="480"/>
      <c r="AK396" s="480"/>
      <c r="AL396" s="480"/>
      <c r="AM396" s="480"/>
      <c r="AN396" s="480"/>
      <c r="AO396" s="480"/>
      <c r="AP396" s="480"/>
      <c r="AQ396" s="480"/>
      <c r="AR396" s="480"/>
      <c r="AS396" s="480"/>
      <c r="AT396" s="480"/>
      <c r="AU396" s="480"/>
      <c r="AV396" s="480"/>
      <c r="AW396" s="480"/>
      <c r="AX396" s="480"/>
      <c r="AY396" s="480"/>
      <c r="AZ396" s="480"/>
      <c r="BA396" s="480"/>
      <c r="BB396" s="480"/>
      <c r="BC396" s="480"/>
      <c r="BD396" s="480"/>
      <c r="BE396" s="213"/>
      <c r="BF396" s="479"/>
      <c r="BG396" s="479"/>
      <c r="BH396" s="372"/>
      <c r="BI396" s="472"/>
      <c r="BJ396" s="481"/>
      <c r="BK396" s="310"/>
      <c r="BL396" s="310">
        <f t="shared" si="1"/>
        <v>0</v>
      </c>
      <c r="BM396" s="7"/>
    </row>
    <row r="397" spans="1:65" ht="21.75" customHeight="1">
      <c r="A397" s="486">
        <v>12.14</v>
      </c>
      <c r="B397" s="487" t="s">
        <v>865</v>
      </c>
      <c r="C397" s="488" t="s">
        <v>866</v>
      </c>
      <c r="D397" s="412" t="s">
        <v>424</v>
      </c>
      <c r="E397" s="477"/>
      <c r="F397" s="477"/>
      <c r="G397" s="477"/>
      <c r="H397" s="477"/>
      <c r="I397" s="477"/>
      <c r="J397" s="477"/>
      <c r="K397" s="213"/>
      <c r="L397" s="478"/>
      <c r="M397" s="478"/>
      <c r="N397" s="478"/>
      <c r="O397" s="478"/>
      <c r="P397" s="478"/>
      <c r="Q397" s="478"/>
      <c r="R397" s="478"/>
      <c r="S397" s="478"/>
      <c r="T397" s="478"/>
      <c r="U397" s="478"/>
      <c r="V397" s="479"/>
      <c r="W397" s="478"/>
      <c r="X397" s="478"/>
      <c r="Y397" s="478"/>
      <c r="Z397" s="478"/>
      <c r="AA397" s="478"/>
      <c r="AB397" s="478"/>
      <c r="AC397" s="478"/>
      <c r="AD397" s="478"/>
      <c r="AE397" s="478"/>
      <c r="AF397" s="213"/>
      <c r="AG397" s="480"/>
      <c r="AH397" s="480"/>
      <c r="AI397" s="480"/>
      <c r="AJ397" s="480"/>
      <c r="AK397" s="480"/>
      <c r="AL397" s="480"/>
      <c r="AM397" s="480"/>
      <c r="AN397" s="480"/>
      <c r="AO397" s="480"/>
      <c r="AP397" s="480"/>
      <c r="AQ397" s="480"/>
      <c r="AR397" s="480"/>
      <c r="AS397" s="480"/>
      <c r="AT397" s="480"/>
      <c r="AU397" s="480"/>
      <c r="AV397" s="480"/>
      <c r="AW397" s="480"/>
      <c r="AX397" s="480"/>
      <c r="AY397" s="480"/>
      <c r="AZ397" s="480"/>
      <c r="BA397" s="480"/>
      <c r="BB397" s="480"/>
      <c r="BC397" s="480"/>
      <c r="BD397" s="480"/>
      <c r="BE397" s="213"/>
      <c r="BF397" s="479"/>
      <c r="BG397" s="479"/>
      <c r="BH397" s="372"/>
      <c r="BI397" s="472"/>
      <c r="BJ397" s="481"/>
      <c r="BK397" s="310"/>
      <c r="BL397" s="310">
        <f t="shared" si="1"/>
        <v>0</v>
      </c>
      <c r="BM397" s="205"/>
    </row>
    <row r="398" spans="1:65" ht="21.75" customHeight="1">
      <c r="A398" s="482" t="s">
        <v>867</v>
      </c>
      <c r="B398" s="483" t="s">
        <v>860</v>
      </c>
      <c r="C398" s="484" t="s">
        <v>868</v>
      </c>
      <c r="D398" s="485" t="s">
        <v>424</v>
      </c>
      <c r="E398" s="477"/>
      <c r="F398" s="477"/>
      <c r="G398" s="477"/>
      <c r="H398" s="477"/>
      <c r="I398" s="477"/>
      <c r="J398" s="477"/>
      <c r="K398" s="213"/>
      <c r="L398" s="478"/>
      <c r="M398" s="478"/>
      <c r="N398" s="478"/>
      <c r="O398" s="478"/>
      <c r="P398" s="478"/>
      <c r="Q398" s="478"/>
      <c r="R398" s="478"/>
      <c r="S398" s="478"/>
      <c r="T398" s="478"/>
      <c r="U398" s="478"/>
      <c r="V398" s="479"/>
      <c r="W398" s="478"/>
      <c r="X398" s="478"/>
      <c r="Y398" s="478"/>
      <c r="Z398" s="478"/>
      <c r="AA398" s="478"/>
      <c r="AB398" s="478"/>
      <c r="AC398" s="478"/>
      <c r="AD398" s="478"/>
      <c r="AE398" s="478"/>
      <c r="AF398" s="213"/>
      <c r="AG398" s="480"/>
      <c r="AH398" s="480"/>
      <c r="AI398" s="480"/>
      <c r="AJ398" s="480"/>
      <c r="AK398" s="480"/>
      <c r="AL398" s="480"/>
      <c r="AM398" s="480"/>
      <c r="AN398" s="480"/>
      <c r="AO398" s="480"/>
      <c r="AP398" s="480"/>
      <c r="AQ398" s="480"/>
      <c r="AR398" s="480"/>
      <c r="AS398" s="480"/>
      <c r="AT398" s="480"/>
      <c r="AU398" s="480"/>
      <c r="AV398" s="480"/>
      <c r="AW398" s="480"/>
      <c r="AX398" s="480"/>
      <c r="AY398" s="480"/>
      <c r="AZ398" s="480"/>
      <c r="BA398" s="480"/>
      <c r="BB398" s="480"/>
      <c r="BC398" s="480"/>
      <c r="BD398" s="480"/>
      <c r="BE398" s="213"/>
      <c r="BF398" s="479"/>
      <c r="BG398" s="479"/>
      <c r="BH398" s="372"/>
      <c r="BI398" s="472"/>
      <c r="BJ398" s="481"/>
      <c r="BK398" s="310"/>
      <c r="BL398" s="310">
        <f t="shared" si="1"/>
        <v>0</v>
      </c>
      <c r="BM398" s="7"/>
    </row>
    <row r="399" spans="1:65" ht="21.75" customHeight="1">
      <c r="A399" s="482" t="s">
        <v>869</v>
      </c>
      <c r="B399" s="483" t="s">
        <v>863</v>
      </c>
      <c r="C399" s="484" t="s">
        <v>870</v>
      </c>
      <c r="D399" s="485" t="s">
        <v>424</v>
      </c>
      <c r="E399" s="477"/>
      <c r="F399" s="477"/>
      <c r="G399" s="477"/>
      <c r="H399" s="477"/>
      <c r="I399" s="477"/>
      <c r="J399" s="477"/>
      <c r="K399" s="213"/>
      <c r="L399" s="478"/>
      <c r="M399" s="478"/>
      <c r="N399" s="478"/>
      <c r="O399" s="478"/>
      <c r="P399" s="478"/>
      <c r="Q399" s="478"/>
      <c r="R399" s="478"/>
      <c r="S399" s="478"/>
      <c r="T399" s="478"/>
      <c r="U399" s="478"/>
      <c r="V399" s="479"/>
      <c r="W399" s="478"/>
      <c r="X399" s="478"/>
      <c r="Y399" s="478"/>
      <c r="Z399" s="478"/>
      <c r="AA399" s="478"/>
      <c r="AB399" s="478"/>
      <c r="AC399" s="478"/>
      <c r="AD399" s="478"/>
      <c r="AE399" s="478"/>
      <c r="AF399" s="213"/>
      <c r="AG399" s="480"/>
      <c r="AH399" s="480"/>
      <c r="AI399" s="480"/>
      <c r="AJ399" s="480"/>
      <c r="AK399" s="480"/>
      <c r="AL399" s="480"/>
      <c r="AM399" s="480"/>
      <c r="AN399" s="480"/>
      <c r="AO399" s="480"/>
      <c r="AP399" s="480"/>
      <c r="AQ399" s="480"/>
      <c r="AR399" s="480"/>
      <c r="AS399" s="480"/>
      <c r="AT399" s="480"/>
      <c r="AU399" s="480"/>
      <c r="AV399" s="480"/>
      <c r="AW399" s="480"/>
      <c r="AX399" s="480"/>
      <c r="AY399" s="480"/>
      <c r="AZ399" s="480"/>
      <c r="BA399" s="480"/>
      <c r="BB399" s="480"/>
      <c r="BC399" s="480"/>
      <c r="BD399" s="480"/>
      <c r="BE399" s="213"/>
      <c r="BF399" s="479"/>
      <c r="BG399" s="479"/>
      <c r="BH399" s="372"/>
      <c r="BI399" s="472"/>
      <c r="BJ399" s="481"/>
      <c r="BK399" s="310"/>
      <c r="BL399" s="310">
        <f t="shared" si="1"/>
        <v>0</v>
      </c>
      <c r="BM399" s="7"/>
    </row>
    <row r="400" spans="1:65" ht="21.75" customHeight="1">
      <c r="A400" s="486">
        <v>12.15</v>
      </c>
      <c r="B400" s="487" t="s">
        <v>871</v>
      </c>
      <c r="C400" s="488" t="s">
        <v>872</v>
      </c>
      <c r="D400" s="412" t="s">
        <v>132</v>
      </c>
      <c r="E400" s="477"/>
      <c r="F400" s="477"/>
      <c r="G400" s="477"/>
      <c r="H400" s="477"/>
      <c r="I400" s="477"/>
      <c r="J400" s="477"/>
      <c r="K400" s="213"/>
      <c r="L400" s="478"/>
      <c r="M400" s="478"/>
      <c r="N400" s="478"/>
      <c r="O400" s="478"/>
      <c r="P400" s="478"/>
      <c r="Q400" s="478"/>
      <c r="R400" s="478"/>
      <c r="S400" s="478"/>
      <c r="T400" s="478"/>
      <c r="U400" s="478"/>
      <c r="V400" s="479"/>
      <c r="W400" s="478"/>
      <c r="X400" s="478"/>
      <c r="Y400" s="478"/>
      <c r="Z400" s="478"/>
      <c r="AA400" s="478"/>
      <c r="AB400" s="478"/>
      <c r="AC400" s="478"/>
      <c r="AD400" s="478"/>
      <c r="AE400" s="478"/>
      <c r="AF400" s="213"/>
      <c r="AG400" s="480"/>
      <c r="AH400" s="480"/>
      <c r="AI400" s="480"/>
      <c r="AJ400" s="480"/>
      <c r="AK400" s="480"/>
      <c r="AL400" s="480"/>
      <c r="AM400" s="480"/>
      <c r="AN400" s="480"/>
      <c r="AO400" s="480"/>
      <c r="AP400" s="480"/>
      <c r="AQ400" s="480"/>
      <c r="AR400" s="480"/>
      <c r="AS400" s="480"/>
      <c r="AT400" s="480"/>
      <c r="AU400" s="480"/>
      <c r="AV400" s="480"/>
      <c r="AW400" s="480"/>
      <c r="AX400" s="480"/>
      <c r="AY400" s="480"/>
      <c r="AZ400" s="480"/>
      <c r="BA400" s="480"/>
      <c r="BB400" s="480"/>
      <c r="BC400" s="480"/>
      <c r="BD400" s="480"/>
      <c r="BE400" s="213"/>
      <c r="BF400" s="479"/>
      <c r="BG400" s="479"/>
      <c r="BH400" s="372"/>
      <c r="BI400" s="472"/>
      <c r="BJ400" s="481"/>
      <c r="BK400" s="310"/>
      <c r="BL400" s="310">
        <f t="shared" si="1"/>
        <v>0</v>
      </c>
      <c r="BM400" s="205"/>
    </row>
    <row r="401" spans="1:65" ht="21.75" customHeight="1">
      <c r="A401" s="482" t="s">
        <v>873</v>
      </c>
      <c r="B401" s="483" t="s">
        <v>874</v>
      </c>
      <c r="C401" s="484" t="s">
        <v>875</v>
      </c>
      <c r="D401" s="485" t="s">
        <v>132</v>
      </c>
      <c r="E401" s="477"/>
      <c r="F401" s="477"/>
      <c r="G401" s="477"/>
      <c r="H401" s="477"/>
      <c r="I401" s="477"/>
      <c r="J401" s="477"/>
      <c r="K401" s="213"/>
      <c r="L401" s="478"/>
      <c r="M401" s="478"/>
      <c r="N401" s="478"/>
      <c r="O401" s="478"/>
      <c r="P401" s="478"/>
      <c r="Q401" s="478"/>
      <c r="R401" s="478"/>
      <c r="S401" s="478"/>
      <c r="T401" s="478"/>
      <c r="U401" s="478"/>
      <c r="V401" s="479"/>
      <c r="W401" s="478"/>
      <c r="X401" s="478"/>
      <c r="Y401" s="478"/>
      <c r="Z401" s="478"/>
      <c r="AA401" s="478"/>
      <c r="AB401" s="478"/>
      <c r="AC401" s="478"/>
      <c r="AD401" s="478"/>
      <c r="AE401" s="478"/>
      <c r="AF401" s="213"/>
      <c r="AG401" s="480"/>
      <c r="AH401" s="480"/>
      <c r="AI401" s="480"/>
      <c r="AJ401" s="480"/>
      <c r="AK401" s="480"/>
      <c r="AL401" s="480"/>
      <c r="AM401" s="480"/>
      <c r="AN401" s="480"/>
      <c r="AO401" s="480"/>
      <c r="AP401" s="480"/>
      <c r="AQ401" s="480"/>
      <c r="AR401" s="480"/>
      <c r="AS401" s="480"/>
      <c r="AT401" s="480"/>
      <c r="AU401" s="480"/>
      <c r="AV401" s="480"/>
      <c r="AW401" s="480"/>
      <c r="AX401" s="480"/>
      <c r="AY401" s="480"/>
      <c r="AZ401" s="480"/>
      <c r="BA401" s="480"/>
      <c r="BB401" s="480"/>
      <c r="BC401" s="480"/>
      <c r="BD401" s="480"/>
      <c r="BE401" s="213"/>
      <c r="BF401" s="479"/>
      <c r="BG401" s="479"/>
      <c r="BH401" s="372"/>
      <c r="BI401" s="472"/>
      <c r="BJ401" s="481"/>
      <c r="BK401" s="310"/>
      <c r="BL401" s="310">
        <f t="shared" si="1"/>
        <v>0</v>
      </c>
      <c r="BM401" s="7"/>
    </row>
    <row r="402" spans="1:65" ht="21.75" customHeight="1">
      <c r="A402" s="482" t="s">
        <v>876</v>
      </c>
      <c r="B402" s="483" t="s">
        <v>877</v>
      </c>
      <c r="C402" s="484" t="s">
        <v>878</v>
      </c>
      <c r="D402" s="485" t="s">
        <v>132</v>
      </c>
      <c r="E402" s="477"/>
      <c r="F402" s="477"/>
      <c r="G402" s="477"/>
      <c r="H402" s="477"/>
      <c r="I402" s="477"/>
      <c r="J402" s="477"/>
      <c r="K402" s="213"/>
      <c r="L402" s="478"/>
      <c r="M402" s="478"/>
      <c r="N402" s="478"/>
      <c r="O402" s="478"/>
      <c r="P402" s="478"/>
      <c r="Q402" s="478"/>
      <c r="R402" s="478"/>
      <c r="S402" s="478"/>
      <c r="T402" s="478"/>
      <c r="U402" s="478"/>
      <c r="V402" s="479"/>
      <c r="W402" s="478"/>
      <c r="X402" s="478"/>
      <c r="Y402" s="478"/>
      <c r="Z402" s="478"/>
      <c r="AA402" s="478"/>
      <c r="AB402" s="478"/>
      <c r="AC402" s="478"/>
      <c r="AD402" s="478"/>
      <c r="AE402" s="478"/>
      <c r="AF402" s="213"/>
      <c r="AG402" s="480"/>
      <c r="AH402" s="480"/>
      <c r="AI402" s="480"/>
      <c r="AJ402" s="480"/>
      <c r="AK402" s="480"/>
      <c r="AL402" s="480"/>
      <c r="AM402" s="480"/>
      <c r="AN402" s="480"/>
      <c r="AO402" s="480"/>
      <c r="AP402" s="480"/>
      <c r="AQ402" s="480"/>
      <c r="AR402" s="480"/>
      <c r="AS402" s="480"/>
      <c r="AT402" s="480"/>
      <c r="AU402" s="480"/>
      <c r="AV402" s="480"/>
      <c r="AW402" s="480"/>
      <c r="AX402" s="480"/>
      <c r="AY402" s="480"/>
      <c r="AZ402" s="480"/>
      <c r="BA402" s="480"/>
      <c r="BB402" s="480"/>
      <c r="BC402" s="480"/>
      <c r="BD402" s="480"/>
      <c r="BE402" s="213"/>
      <c r="BF402" s="479"/>
      <c r="BG402" s="479"/>
      <c r="BH402" s="372"/>
      <c r="BI402" s="472"/>
      <c r="BJ402" s="481"/>
      <c r="BK402" s="310"/>
      <c r="BL402" s="310">
        <f t="shared" si="1"/>
        <v>0</v>
      </c>
      <c r="BM402" s="7"/>
    </row>
    <row r="403" spans="1:65" ht="21.75" customHeight="1">
      <c r="A403" s="482">
        <v>12.17</v>
      </c>
      <c r="B403" s="483" t="s">
        <v>879</v>
      </c>
      <c r="C403" s="488" t="s">
        <v>880</v>
      </c>
      <c r="D403" s="515" t="s">
        <v>183</v>
      </c>
      <c r="E403" s="477"/>
      <c r="F403" s="477"/>
      <c r="G403" s="477"/>
      <c r="H403" s="477"/>
      <c r="I403" s="477"/>
      <c r="J403" s="477"/>
      <c r="K403" s="213"/>
      <c r="L403" s="478"/>
      <c r="M403" s="478"/>
      <c r="N403" s="478"/>
      <c r="O403" s="478"/>
      <c r="P403" s="478"/>
      <c r="Q403" s="478"/>
      <c r="R403" s="478"/>
      <c r="S403" s="478"/>
      <c r="T403" s="478"/>
      <c r="U403" s="478"/>
      <c r="V403" s="479"/>
      <c r="W403" s="478"/>
      <c r="X403" s="478"/>
      <c r="Y403" s="478"/>
      <c r="Z403" s="478"/>
      <c r="AA403" s="478"/>
      <c r="AB403" s="478"/>
      <c r="AC403" s="478"/>
      <c r="AD403" s="478"/>
      <c r="AE403" s="478"/>
      <c r="AF403" s="213"/>
      <c r="AG403" s="480"/>
      <c r="AH403" s="480"/>
      <c r="AI403" s="480"/>
      <c r="AJ403" s="480"/>
      <c r="AK403" s="480"/>
      <c r="AL403" s="480"/>
      <c r="AM403" s="480"/>
      <c r="AN403" s="480"/>
      <c r="AO403" s="480"/>
      <c r="AP403" s="480"/>
      <c r="AQ403" s="480"/>
      <c r="AR403" s="480"/>
      <c r="AS403" s="480"/>
      <c r="AT403" s="480"/>
      <c r="AU403" s="480"/>
      <c r="AV403" s="480"/>
      <c r="AW403" s="480"/>
      <c r="AX403" s="480"/>
      <c r="AY403" s="480"/>
      <c r="AZ403" s="480"/>
      <c r="BA403" s="480"/>
      <c r="BB403" s="480"/>
      <c r="BC403" s="480"/>
      <c r="BD403" s="480"/>
      <c r="BE403" s="213"/>
      <c r="BF403" s="479"/>
      <c r="BG403" s="479"/>
      <c r="BH403" s="372"/>
      <c r="BI403" s="472"/>
      <c r="BJ403" s="481"/>
      <c r="BK403" s="310"/>
      <c r="BL403" s="310">
        <f t="shared" si="1"/>
        <v>0</v>
      </c>
      <c r="BM403" s="7"/>
    </row>
    <row r="404" spans="1:65" ht="21.75" customHeight="1">
      <c r="A404" s="489">
        <v>13</v>
      </c>
      <c r="B404" s="490" t="s">
        <v>881</v>
      </c>
      <c r="C404" s="490" t="s">
        <v>882</v>
      </c>
      <c r="D404" s="515" t="s">
        <v>183</v>
      </c>
      <c r="E404" s="477"/>
      <c r="F404" s="477"/>
      <c r="G404" s="477"/>
      <c r="H404" s="477"/>
      <c r="I404" s="477"/>
      <c r="J404" s="477"/>
      <c r="K404" s="213"/>
      <c r="L404" s="478"/>
      <c r="M404" s="478"/>
      <c r="N404" s="478"/>
      <c r="O404" s="478"/>
      <c r="P404" s="478"/>
      <c r="Q404" s="478"/>
      <c r="R404" s="478"/>
      <c r="S404" s="478"/>
      <c r="T404" s="478"/>
      <c r="U404" s="478"/>
      <c r="V404" s="479"/>
      <c r="W404" s="478"/>
      <c r="X404" s="478"/>
      <c r="Y404" s="478"/>
      <c r="Z404" s="478"/>
      <c r="AA404" s="478"/>
      <c r="AB404" s="478"/>
      <c r="AC404" s="478"/>
      <c r="AD404" s="478"/>
      <c r="AE404" s="478"/>
      <c r="AF404" s="213"/>
      <c r="AG404" s="480"/>
      <c r="AH404" s="480"/>
      <c r="AI404" s="480"/>
      <c r="AJ404" s="480"/>
      <c r="AK404" s="480"/>
      <c r="AL404" s="480"/>
      <c r="AM404" s="480"/>
      <c r="AN404" s="480"/>
      <c r="AO404" s="480"/>
      <c r="AP404" s="480"/>
      <c r="AQ404" s="480"/>
      <c r="AR404" s="480"/>
      <c r="AS404" s="480"/>
      <c r="AT404" s="480"/>
      <c r="AU404" s="480"/>
      <c r="AV404" s="480"/>
      <c r="AW404" s="480"/>
      <c r="AX404" s="480"/>
      <c r="AY404" s="480"/>
      <c r="AZ404" s="480"/>
      <c r="BA404" s="480"/>
      <c r="BB404" s="480"/>
      <c r="BC404" s="480"/>
      <c r="BD404" s="480"/>
      <c r="BE404" s="213"/>
      <c r="BF404" s="479"/>
      <c r="BG404" s="479"/>
      <c r="BH404" s="372"/>
      <c r="BI404" s="472"/>
      <c r="BJ404" s="481"/>
      <c r="BK404" s="310"/>
      <c r="BL404" s="310">
        <f t="shared" si="1"/>
        <v>0</v>
      </c>
      <c r="BM404" s="7"/>
    </row>
    <row r="405" spans="1:65" ht="21.75" customHeight="1">
      <c r="A405" s="486">
        <v>13.1</v>
      </c>
      <c r="B405" s="487" t="s">
        <v>883</v>
      </c>
      <c r="C405" s="488" t="s">
        <v>884</v>
      </c>
      <c r="D405" s="515" t="s">
        <v>183</v>
      </c>
      <c r="E405" s="477"/>
      <c r="F405" s="477"/>
      <c r="G405" s="477"/>
      <c r="H405" s="477"/>
      <c r="I405" s="477"/>
      <c r="J405" s="477"/>
      <c r="K405" s="213"/>
      <c r="L405" s="478"/>
      <c r="M405" s="478"/>
      <c r="N405" s="478"/>
      <c r="O405" s="478"/>
      <c r="P405" s="478"/>
      <c r="Q405" s="478"/>
      <c r="R405" s="478"/>
      <c r="S405" s="478"/>
      <c r="T405" s="478"/>
      <c r="U405" s="478"/>
      <c r="V405" s="479"/>
      <c r="W405" s="478"/>
      <c r="X405" s="478"/>
      <c r="Y405" s="478"/>
      <c r="Z405" s="478"/>
      <c r="AA405" s="478"/>
      <c r="AB405" s="478"/>
      <c r="AC405" s="478"/>
      <c r="AD405" s="478"/>
      <c r="AE405" s="478"/>
      <c r="AF405" s="213"/>
      <c r="AG405" s="480"/>
      <c r="AH405" s="480"/>
      <c r="AI405" s="480"/>
      <c r="AJ405" s="480"/>
      <c r="AK405" s="480"/>
      <c r="AL405" s="480"/>
      <c r="AM405" s="480"/>
      <c r="AN405" s="480"/>
      <c r="AO405" s="480"/>
      <c r="AP405" s="480"/>
      <c r="AQ405" s="480"/>
      <c r="AR405" s="480"/>
      <c r="AS405" s="480"/>
      <c r="AT405" s="480"/>
      <c r="AU405" s="480"/>
      <c r="AV405" s="480"/>
      <c r="AW405" s="480"/>
      <c r="AX405" s="480"/>
      <c r="AY405" s="480"/>
      <c r="AZ405" s="480"/>
      <c r="BA405" s="480"/>
      <c r="BB405" s="480"/>
      <c r="BC405" s="480"/>
      <c r="BD405" s="480"/>
      <c r="BE405" s="213"/>
      <c r="BF405" s="479"/>
      <c r="BG405" s="479"/>
      <c r="BH405" s="372"/>
      <c r="BI405" s="472"/>
      <c r="BJ405" s="481"/>
      <c r="BK405" s="310"/>
      <c r="BL405" s="310">
        <f t="shared" si="1"/>
        <v>0</v>
      </c>
      <c r="BM405" s="7"/>
    </row>
    <row r="406" spans="1:65" ht="21.75" customHeight="1">
      <c r="A406" s="503" t="s">
        <v>885</v>
      </c>
      <c r="B406" s="483" t="s">
        <v>886</v>
      </c>
      <c r="C406" s="484" t="s">
        <v>131</v>
      </c>
      <c r="D406" s="515" t="s">
        <v>183</v>
      </c>
      <c r="E406" s="477"/>
      <c r="F406" s="477"/>
      <c r="G406" s="477"/>
      <c r="H406" s="477"/>
      <c r="I406" s="477"/>
      <c r="J406" s="477"/>
      <c r="K406" s="213"/>
      <c r="L406" s="478"/>
      <c r="M406" s="478"/>
      <c r="N406" s="478"/>
      <c r="O406" s="478"/>
      <c r="P406" s="478"/>
      <c r="Q406" s="478"/>
      <c r="R406" s="478"/>
      <c r="S406" s="478"/>
      <c r="T406" s="478"/>
      <c r="U406" s="478"/>
      <c r="V406" s="479"/>
      <c r="W406" s="478"/>
      <c r="X406" s="478"/>
      <c r="Y406" s="478"/>
      <c r="Z406" s="478"/>
      <c r="AA406" s="478"/>
      <c r="AB406" s="478"/>
      <c r="AC406" s="478"/>
      <c r="AD406" s="478"/>
      <c r="AE406" s="478"/>
      <c r="AF406" s="213"/>
      <c r="AG406" s="480"/>
      <c r="AH406" s="480"/>
      <c r="AI406" s="480"/>
      <c r="AJ406" s="480"/>
      <c r="AK406" s="480"/>
      <c r="AL406" s="480"/>
      <c r="AM406" s="480"/>
      <c r="AN406" s="480"/>
      <c r="AO406" s="480"/>
      <c r="AP406" s="480"/>
      <c r="AQ406" s="480"/>
      <c r="AR406" s="480"/>
      <c r="AS406" s="480"/>
      <c r="AT406" s="480"/>
      <c r="AU406" s="480"/>
      <c r="AV406" s="480"/>
      <c r="AW406" s="480"/>
      <c r="AX406" s="480"/>
      <c r="AY406" s="480"/>
      <c r="AZ406" s="480"/>
      <c r="BA406" s="480"/>
      <c r="BB406" s="480"/>
      <c r="BC406" s="480"/>
      <c r="BD406" s="480"/>
      <c r="BE406" s="213"/>
      <c r="BF406" s="479"/>
      <c r="BG406" s="479"/>
      <c r="BH406" s="372"/>
      <c r="BI406" s="472"/>
      <c r="BJ406" s="481"/>
      <c r="BK406" s="310"/>
      <c r="BL406" s="310">
        <f t="shared" si="1"/>
        <v>0</v>
      </c>
      <c r="BM406" s="7"/>
    </row>
    <row r="407" spans="1:65" ht="21.75" customHeight="1">
      <c r="A407" s="503" t="s">
        <v>887</v>
      </c>
      <c r="B407" s="483" t="s">
        <v>888</v>
      </c>
      <c r="C407" s="484" t="s">
        <v>200</v>
      </c>
      <c r="D407" s="515" t="s">
        <v>183</v>
      </c>
      <c r="E407" s="477"/>
      <c r="F407" s="477"/>
      <c r="G407" s="477"/>
      <c r="H407" s="477"/>
      <c r="I407" s="477"/>
      <c r="J407" s="477"/>
      <c r="K407" s="213"/>
      <c r="L407" s="478"/>
      <c r="M407" s="478"/>
      <c r="N407" s="478"/>
      <c r="O407" s="478"/>
      <c r="P407" s="478"/>
      <c r="Q407" s="478"/>
      <c r="R407" s="478"/>
      <c r="S407" s="478"/>
      <c r="T407" s="478"/>
      <c r="U407" s="478"/>
      <c r="V407" s="479"/>
      <c r="W407" s="478"/>
      <c r="X407" s="478"/>
      <c r="Y407" s="478"/>
      <c r="Z407" s="478"/>
      <c r="AA407" s="478"/>
      <c r="AB407" s="478"/>
      <c r="AC407" s="478"/>
      <c r="AD407" s="478"/>
      <c r="AE407" s="478"/>
      <c r="AF407" s="213"/>
      <c r="AG407" s="480"/>
      <c r="AH407" s="480"/>
      <c r="AI407" s="480"/>
      <c r="AJ407" s="480"/>
      <c r="AK407" s="480"/>
      <c r="AL407" s="480"/>
      <c r="AM407" s="480"/>
      <c r="AN407" s="480"/>
      <c r="AO407" s="480"/>
      <c r="AP407" s="480"/>
      <c r="AQ407" s="480"/>
      <c r="AR407" s="480"/>
      <c r="AS407" s="480"/>
      <c r="AT407" s="480"/>
      <c r="AU407" s="480"/>
      <c r="AV407" s="480"/>
      <c r="AW407" s="480"/>
      <c r="AX407" s="480"/>
      <c r="AY407" s="480"/>
      <c r="AZ407" s="480"/>
      <c r="BA407" s="480"/>
      <c r="BB407" s="480"/>
      <c r="BC407" s="480"/>
      <c r="BD407" s="480"/>
      <c r="BE407" s="213"/>
      <c r="BF407" s="479"/>
      <c r="BG407" s="479"/>
      <c r="BH407" s="372"/>
      <c r="BI407" s="472"/>
      <c r="BJ407" s="481"/>
      <c r="BK407" s="310"/>
      <c r="BL407" s="310">
        <f t="shared" si="1"/>
        <v>0</v>
      </c>
      <c r="BM407" s="7"/>
    </row>
    <row r="408" spans="1:65" ht="21.75" customHeight="1">
      <c r="A408" s="503" t="s">
        <v>889</v>
      </c>
      <c r="B408" s="483" t="s">
        <v>890</v>
      </c>
      <c r="C408" s="484" t="s">
        <v>203</v>
      </c>
      <c r="D408" s="515" t="s">
        <v>183</v>
      </c>
      <c r="E408" s="477"/>
      <c r="F408" s="477"/>
      <c r="G408" s="477"/>
      <c r="H408" s="477"/>
      <c r="I408" s="477"/>
      <c r="J408" s="477"/>
      <c r="K408" s="213"/>
      <c r="L408" s="478"/>
      <c r="M408" s="478"/>
      <c r="N408" s="478"/>
      <c r="O408" s="478"/>
      <c r="P408" s="478"/>
      <c r="Q408" s="478"/>
      <c r="R408" s="478"/>
      <c r="S408" s="478"/>
      <c r="T408" s="478"/>
      <c r="U408" s="478"/>
      <c r="V408" s="479"/>
      <c r="W408" s="478"/>
      <c r="X408" s="478"/>
      <c r="Y408" s="478"/>
      <c r="Z408" s="478"/>
      <c r="AA408" s="478"/>
      <c r="AB408" s="478"/>
      <c r="AC408" s="478"/>
      <c r="AD408" s="478"/>
      <c r="AE408" s="478"/>
      <c r="AF408" s="213"/>
      <c r="AG408" s="480"/>
      <c r="AH408" s="480"/>
      <c r="AI408" s="480"/>
      <c r="AJ408" s="480"/>
      <c r="AK408" s="480"/>
      <c r="AL408" s="480"/>
      <c r="AM408" s="480"/>
      <c r="AN408" s="480"/>
      <c r="AO408" s="480"/>
      <c r="AP408" s="480"/>
      <c r="AQ408" s="480"/>
      <c r="AR408" s="480"/>
      <c r="AS408" s="480"/>
      <c r="AT408" s="480"/>
      <c r="AU408" s="480"/>
      <c r="AV408" s="480"/>
      <c r="AW408" s="480"/>
      <c r="AX408" s="480"/>
      <c r="AY408" s="480"/>
      <c r="AZ408" s="480"/>
      <c r="BA408" s="480"/>
      <c r="BB408" s="480"/>
      <c r="BC408" s="480"/>
      <c r="BD408" s="480"/>
      <c r="BE408" s="213"/>
      <c r="BF408" s="479"/>
      <c r="BG408" s="479"/>
      <c r="BH408" s="372"/>
      <c r="BI408" s="472"/>
      <c r="BJ408" s="481"/>
      <c r="BK408" s="310"/>
      <c r="BL408" s="310">
        <f t="shared" si="1"/>
        <v>0</v>
      </c>
      <c r="BM408" s="7"/>
    </row>
    <row r="409" spans="1:65" ht="21.75" customHeight="1">
      <c r="A409" s="503" t="s">
        <v>891</v>
      </c>
      <c r="B409" s="483" t="s">
        <v>892</v>
      </c>
      <c r="C409" s="484" t="s">
        <v>159</v>
      </c>
      <c r="D409" s="515" t="s">
        <v>183</v>
      </c>
      <c r="E409" s="477"/>
      <c r="F409" s="477"/>
      <c r="G409" s="477"/>
      <c r="H409" s="477"/>
      <c r="I409" s="477"/>
      <c r="J409" s="477"/>
      <c r="K409" s="213"/>
      <c r="L409" s="478"/>
      <c r="M409" s="478"/>
      <c r="N409" s="478"/>
      <c r="O409" s="478"/>
      <c r="P409" s="478"/>
      <c r="Q409" s="478"/>
      <c r="R409" s="478"/>
      <c r="S409" s="478"/>
      <c r="T409" s="478"/>
      <c r="U409" s="478"/>
      <c r="V409" s="479"/>
      <c r="W409" s="478"/>
      <c r="X409" s="478"/>
      <c r="Y409" s="478"/>
      <c r="Z409" s="478"/>
      <c r="AA409" s="478"/>
      <c r="AB409" s="478"/>
      <c r="AC409" s="478"/>
      <c r="AD409" s="478"/>
      <c r="AE409" s="478"/>
      <c r="AF409" s="213"/>
      <c r="AG409" s="480"/>
      <c r="AH409" s="480"/>
      <c r="AI409" s="480"/>
      <c r="AJ409" s="480"/>
      <c r="AK409" s="480"/>
      <c r="AL409" s="480"/>
      <c r="AM409" s="480"/>
      <c r="AN409" s="480"/>
      <c r="AO409" s="480"/>
      <c r="AP409" s="480"/>
      <c r="AQ409" s="480"/>
      <c r="AR409" s="480"/>
      <c r="AS409" s="480"/>
      <c r="AT409" s="480"/>
      <c r="AU409" s="480"/>
      <c r="AV409" s="480"/>
      <c r="AW409" s="480"/>
      <c r="AX409" s="480"/>
      <c r="AY409" s="480"/>
      <c r="AZ409" s="480"/>
      <c r="BA409" s="480"/>
      <c r="BB409" s="480"/>
      <c r="BC409" s="480"/>
      <c r="BD409" s="480"/>
      <c r="BE409" s="213"/>
      <c r="BF409" s="479"/>
      <c r="BG409" s="479"/>
      <c r="BH409" s="372"/>
      <c r="BI409" s="472"/>
      <c r="BJ409" s="481"/>
      <c r="BK409" s="310"/>
      <c r="BL409" s="310">
        <f t="shared" si="1"/>
        <v>0</v>
      </c>
      <c r="BM409" s="7"/>
    </row>
    <row r="410" spans="1:65" ht="21.75" customHeight="1">
      <c r="A410" s="486">
        <v>13.2</v>
      </c>
      <c r="B410" s="487" t="s">
        <v>893</v>
      </c>
      <c r="C410" s="488" t="s">
        <v>894</v>
      </c>
      <c r="D410" s="515" t="s">
        <v>183</v>
      </c>
      <c r="E410" s="477"/>
      <c r="F410" s="477"/>
      <c r="G410" s="477"/>
      <c r="H410" s="477"/>
      <c r="I410" s="477"/>
      <c r="J410" s="477"/>
      <c r="K410" s="213"/>
      <c r="L410" s="478"/>
      <c r="M410" s="478"/>
      <c r="N410" s="478"/>
      <c r="O410" s="478"/>
      <c r="P410" s="478"/>
      <c r="Q410" s="478"/>
      <c r="R410" s="478"/>
      <c r="S410" s="478"/>
      <c r="T410" s="478"/>
      <c r="U410" s="478"/>
      <c r="V410" s="479"/>
      <c r="W410" s="478"/>
      <c r="X410" s="478"/>
      <c r="Y410" s="478"/>
      <c r="Z410" s="478"/>
      <c r="AA410" s="478"/>
      <c r="AB410" s="478"/>
      <c r="AC410" s="478"/>
      <c r="AD410" s="478"/>
      <c r="AE410" s="478"/>
      <c r="AF410" s="213"/>
      <c r="AG410" s="480"/>
      <c r="AH410" s="480"/>
      <c r="AI410" s="480"/>
      <c r="AJ410" s="480"/>
      <c r="AK410" s="480"/>
      <c r="AL410" s="480"/>
      <c r="AM410" s="480"/>
      <c r="AN410" s="480"/>
      <c r="AO410" s="480"/>
      <c r="AP410" s="480"/>
      <c r="AQ410" s="480"/>
      <c r="AR410" s="480"/>
      <c r="AS410" s="480"/>
      <c r="AT410" s="480"/>
      <c r="AU410" s="480"/>
      <c r="AV410" s="480"/>
      <c r="AW410" s="480"/>
      <c r="AX410" s="480"/>
      <c r="AY410" s="480"/>
      <c r="AZ410" s="480"/>
      <c r="BA410" s="480"/>
      <c r="BB410" s="480"/>
      <c r="BC410" s="480"/>
      <c r="BD410" s="480"/>
      <c r="BE410" s="213"/>
      <c r="BF410" s="479"/>
      <c r="BG410" s="479"/>
      <c r="BH410" s="372"/>
      <c r="BI410" s="472"/>
      <c r="BJ410" s="481"/>
      <c r="BK410" s="310"/>
      <c r="BL410" s="310">
        <f t="shared" si="1"/>
        <v>0</v>
      </c>
      <c r="BM410" s="7"/>
    </row>
    <row r="411" spans="1:65" ht="21.75" customHeight="1">
      <c r="A411" s="503" t="s">
        <v>895</v>
      </c>
      <c r="B411" s="483" t="s">
        <v>896</v>
      </c>
      <c r="C411" s="484" t="s">
        <v>131</v>
      </c>
      <c r="D411" s="515" t="s">
        <v>183</v>
      </c>
      <c r="E411" s="477"/>
      <c r="F411" s="477"/>
      <c r="G411" s="477"/>
      <c r="H411" s="477"/>
      <c r="I411" s="477"/>
      <c r="J411" s="477"/>
      <c r="K411" s="213"/>
      <c r="L411" s="478"/>
      <c r="M411" s="478"/>
      <c r="N411" s="478"/>
      <c r="O411" s="478"/>
      <c r="P411" s="478"/>
      <c r="Q411" s="478"/>
      <c r="R411" s="478"/>
      <c r="S411" s="478"/>
      <c r="T411" s="478"/>
      <c r="U411" s="478"/>
      <c r="V411" s="479"/>
      <c r="W411" s="478"/>
      <c r="X411" s="478"/>
      <c r="Y411" s="478"/>
      <c r="Z411" s="478"/>
      <c r="AA411" s="478"/>
      <c r="AB411" s="478"/>
      <c r="AC411" s="478"/>
      <c r="AD411" s="478"/>
      <c r="AE411" s="478"/>
      <c r="AF411" s="213"/>
      <c r="AG411" s="480"/>
      <c r="AH411" s="480"/>
      <c r="AI411" s="480"/>
      <c r="AJ411" s="480"/>
      <c r="AK411" s="480"/>
      <c r="AL411" s="480"/>
      <c r="AM411" s="480"/>
      <c r="AN411" s="480"/>
      <c r="AO411" s="480"/>
      <c r="AP411" s="480"/>
      <c r="AQ411" s="480"/>
      <c r="AR411" s="480"/>
      <c r="AS411" s="480"/>
      <c r="AT411" s="480"/>
      <c r="AU411" s="480"/>
      <c r="AV411" s="480"/>
      <c r="AW411" s="480"/>
      <c r="AX411" s="480"/>
      <c r="AY411" s="480"/>
      <c r="AZ411" s="480"/>
      <c r="BA411" s="480"/>
      <c r="BB411" s="480"/>
      <c r="BC411" s="480"/>
      <c r="BD411" s="480"/>
      <c r="BE411" s="213"/>
      <c r="BF411" s="479"/>
      <c r="BG411" s="479"/>
      <c r="BH411" s="372"/>
      <c r="BI411" s="472"/>
      <c r="BJ411" s="481"/>
      <c r="BK411" s="310"/>
      <c r="BL411" s="310">
        <f t="shared" si="1"/>
        <v>0</v>
      </c>
      <c r="BM411" s="7"/>
    </row>
    <row r="412" spans="1:65" ht="21.75" customHeight="1">
      <c r="A412" s="503" t="s">
        <v>897</v>
      </c>
      <c r="B412" s="483" t="s">
        <v>898</v>
      </c>
      <c r="C412" s="484" t="s">
        <v>200</v>
      </c>
      <c r="D412" s="515" t="s">
        <v>183</v>
      </c>
      <c r="E412" s="477"/>
      <c r="F412" s="477"/>
      <c r="G412" s="477"/>
      <c r="H412" s="477"/>
      <c r="I412" s="477"/>
      <c r="J412" s="477"/>
      <c r="K412" s="213"/>
      <c r="L412" s="478"/>
      <c r="M412" s="478"/>
      <c r="N412" s="478"/>
      <c r="O412" s="478"/>
      <c r="P412" s="478"/>
      <c r="Q412" s="478"/>
      <c r="R412" s="478"/>
      <c r="S412" s="478"/>
      <c r="T412" s="478"/>
      <c r="U412" s="478"/>
      <c r="V412" s="479"/>
      <c r="W412" s="478"/>
      <c r="X412" s="478"/>
      <c r="Y412" s="478"/>
      <c r="Z412" s="478"/>
      <c r="AA412" s="478"/>
      <c r="AB412" s="478"/>
      <c r="AC412" s="478"/>
      <c r="AD412" s="478"/>
      <c r="AE412" s="478"/>
      <c r="AF412" s="213"/>
      <c r="AG412" s="480"/>
      <c r="AH412" s="480"/>
      <c r="AI412" s="480"/>
      <c r="AJ412" s="480"/>
      <c r="AK412" s="480"/>
      <c r="AL412" s="480"/>
      <c r="AM412" s="480"/>
      <c r="AN412" s="480"/>
      <c r="AO412" s="480"/>
      <c r="AP412" s="480"/>
      <c r="AQ412" s="480"/>
      <c r="AR412" s="480"/>
      <c r="AS412" s="480"/>
      <c r="AT412" s="480"/>
      <c r="AU412" s="480"/>
      <c r="AV412" s="480"/>
      <c r="AW412" s="480"/>
      <c r="AX412" s="480"/>
      <c r="AY412" s="480"/>
      <c r="AZ412" s="480"/>
      <c r="BA412" s="480"/>
      <c r="BB412" s="480"/>
      <c r="BC412" s="480"/>
      <c r="BD412" s="480"/>
      <c r="BE412" s="213"/>
      <c r="BF412" s="479"/>
      <c r="BG412" s="479"/>
      <c r="BH412" s="372"/>
      <c r="BI412" s="472"/>
      <c r="BJ412" s="481"/>
      <c r="BK412" s="310"/>
      <c r="BL412" s="310">
        <f t="shared" si="1"/>
        <v>0</v>
      </c>
      <c r="BM412" s="7"/>
    </row>
    <row r="413" spans="1:65" ht="21.75" customHeight="1">
      <c r="A413" s="503" t="s">
        <v>899</v>
      </c>
      <c r="B413" s="483" t="s">
        <v>900</v>
      </c>
      <c r="C413" s="484" t="s">
        <v>203</v>
      </c>
      <c r="D413" s="515" t="s">
        <v>183</v>
      </c>
      <c r="E413" s="477"/>
      <c r="F413" s="477"/>
      <c r="G413" s="477"/>
      <c r="H413" s="477"/>
      <c r="I413" s="477"/>
      <c r="J413" s="477"/>
      <c r="K413" s="213"/>
      <c r="L413" s="478"/>
      <c r="M413" s="478"/>
      <c r="N413" s="478"/>
      <c r="O413" s="478"/>
      <c r="P413" s="478"/>
      <c r="Q413" s="478"/>
      <c r="R413" s="478"/>
      <c r="S413" s="478"/>
      <c r="T413" s="478"/>
      <c r="U413" s="478"/>
      <c r="V413" s="479"/>
      <c r="W413" s="478"/>
      <c r="X413" s="478"/>
      <c r="Y413" s="478"/>
      <c r="Z413" s="478"/>
      <c r="AA413" s="478"/>
      <c r="AB413" s="478"/>
      <c r="AC413" s="478"/>
      <c r="AD413" s="478"/>
      <c r="AE413" s="478"/>
      <c r="AF413" s="213"/>
      <c r="AG413" s="480"/>
      <c r="AH413" s="480"/>
      <c r="AI413" s="480"/>
      <c r="AJ413" s="480"/>
      <c r="AK413" s="480"/>
      <c r="AL413" s="480"/>
      <c r="AM413" s="480"/>
      <c r="AN413" s="480"/>
      <c r="AO413" s="480"/>
      <c r="AP413" s="480"/>
      <c r="AQ413" s="480"/>
      <c r="AR413" s="480"/>
      <c r="AS413" s="480"/>
      <c r="AT413" s="480"/>
      <c r="AU413" s="480"/>
      <c r="AV413" s="480"/>
      <c r="AW413" s="480"/>
      <c r="AX413" s="480"/>
      <c r="AY413" s="480"/>
      <c r="AZ413" s="480"/>
      <c r="BA413" s="480"/>
      <c r="BB413" s="480"/>
      <c r="BC413" s="480"/>
      <c r="BD413" s="480"/>
      <c r="BE413" s="213"/>
      <c r="BF413" s="479"/>
      <c r="BG413" s="479"/>
      <c r="BH413" s="372"/>
      <c r="BI413" s="472"/>
      <c r="BJ413" s="481"/>
      <c r="BK413" s="310"/>
      <c r="BL413" s="310">
        <f t="shared" si="1"/>
        <v>0</v>
      </c>
      <c r="BM413" s="7"/>
    </row>
    <row r="414" spans="1:65" ht="21.75" customHeight="1">
      <c r="A414" s="503" t="s">
        <v>901</v>
      </c>
      <c r="B414" s="483" t="s">
        <v>902</v>
      </c>
      <c r="C414" s="484" t="s">
        <v>159</v>
      </c>
      <c r="D414" s="515" t="s">
        <v>183</v>
      </c>
      <c r="E414" s="477"/>
      <c r="F414" s="477"/>
      <c r="G414" s="477"/>
      <c r="H414" s="477"/>
      <c r="I414" s="477"/>
      <c r="J414" s="477"/>
      <c r="K414" s="213"/>
      <c r="L414" s="478"/>
      <c r="M414" s="478"/>
      <c r="N414" s="478"/>
      <c r="O414" s="478"/>
      <c r="P414" s="478"/>
      <c r="Q414" s="478"/>
      <c r="R414" s="478"/>
      <c r="S414" s="478"/>
      <c r="T414" s="478"/>
      <c r="U414" s="478"/>
      <c r="V414" s="479"/>
      <c r="W414" s="478"/>
      <c r="X414" s="478"/>
      <c r="Y414" s="478"/>
      <c r="Z414" s="478"/>
      <c r="AA414" s="478"/>
      <c r="AB414" s="478"/>
      <c r="AC414" s="478"/>
      <c r="AD414" s="478"/>
      <c r="AE414" s="478"/>
      <c r="AF414" s="213"/>
      <c r="AG414" s="480"/>
      <c r="AH414" s="480"/>
      <c r="AI414" s="480"/>
      <c r="AJ414" s="480"/>
      <c r="AK414" s="480"/>
      <c r="AL414" s="480"/>
      <c r="AM414" s="480"/>
      <c r="AN414" s="480"/>
      <c r="AO414" s="480"/>
      <c r="AP414" s="480"/>
      <c r="AQ414" s="480"/>
      <c r="AR414" s="480"/>
      <c r="AS414" s="480"/>
      <c r="AT414" s="480"/>
      <c r="AU414" s="480"/>
      <c r="AV414" s="480"/>
      <c r="AW414" s="480"/>
      <c r="AX414" s="480"/>
      <c r="AY414" s="480"/>
      <c r="AZ414" s="480"/>
      <c r="BA414" s="480"/>
      <c r="BB414" s="480"/>
      <c r="BC414" s="480"/>
      <c r="BD414" s="480"/>
      <c r="BE414" s="213"/>
      <c r="BF414" s="479"/>
      <c r="BG414" s="479"/>
      <c r="BH414" s="372"/>
      <c r="BI414" s="472"/>
      <c r="BJ414" s="481"/>
      <c r="BK414" s="310"/>
      <c r="BL414" s="310">
        <f t="shared" si="1"/>
        <v>0</v>
      </c>
      <c r="BM414" s="7"/>
    </row>
    <row r="415" spans="1:65" ht="21.75" customHeight="1">
      <c r="A415" s="486">
        <v>13.3</v>
      </c>
      <c r="B415" s="487" t="s">
        <v>903</v>
      </c>
      <c r="C415" s="488" t="s">
        <v>904</v>
      </c>
      <c r="D415" s="515" t="s">
        <v>183</v>
      </c>
      <c r="E415" s="477"/>
      <c r="F415" s="477"/>
      <c r="G415" s="477"/>
      <c r="H415" s="477"/>
      <c r="I415" s="477"/>
      <c r="J415" s="477"/>
      <c r="K415" s="213"/>
      <c r="L415" s="478"/>
      <c r="M415" s="478"/>
      <c r="N415" s="478"/>
      <c r="O415" s="478"/>
      <c r="P415" s="478"/>
      <c r="Q415" s="478"/>
      <c r="R415" s="478"/>
      <c r="S415" s="478"/>
      <c r="T415" s="478"/>
      <c r="U415" s="478"/>
      <c r="V415" s="479"/>
      <c r="W415" s="478"/>
      <c r="X415" s="478"/>
      <c r="Y415" s="478"/>
      <c r="Z415" s="478"/>
      <c r="AA415" s="478"/>
      <c r="AB415" s="478"/>
      <c r="AC415" s="478"/>
      <c r="AD415" s="478"/>
      <c r="AE415" s="478"/>
      <c r="AF415" s="213"/>
      <c r="AG415" s="480"/>
      <c r="AH415" s="480"/>
      <c r="AI415" s="480"/>
      <c r="AJ415" s="480"/>
      <c r="AK415" s="480"/>
      <c r="AL415" s="480"/>
      <c r="AM415" s="480"/>
      <c r="AN415" s="480"/>
      <c r="AO415" s="480"/>
      <c r="AP415" s="480"/>
      <c r="AQ415" s="480"/>
      <c r="AR415" s="480"/>
      <c r="AS415" s="480"/>
      <c r="AT415" s="480"/>
      <c r="AU415" s="480"/>
      <c r="AV415" s="480"/>
      <c r="AW415" s="480"/>
      <c r="AX415" s="480"/>
      <c r="AY415" s="480"/>
      <c r="AZ415" s="480"/>
      <c r="BA415" s="480"/>
      <c r="BB415" s="480"/>
      <c r="BC415" s="480"/>
      <c r="BD415" s="480"/>
      <c r="BE415" s="213"/>
      <c r="BF415" s="479"/>
      <c r="BG415" s="479"/>
      <c r="BH415" s="372"/>
      <c r="BI415" s="472"/>
      <c r="BJ415" s="481"/>
      <c r="BK415" s="310"/>
      <c r="BL415" s="310">
        <f t="shared" si="1"/>
        <v>0</v>
      </c>
      <c r="BM415" s="7"/>
    </row>
    <row r="416" spans="1:65" ht="21.75" customHeight="1">
      <c r="A416" s="503" t="s">
        <v>905</v>
      </c>
      <c r="B416" s="483" t="s">
        <v>906</v>
      </c>
      <c r="C416" s="484" t="s">
        <v>131</v>
      </c>
      <c r="D416" s="515" t="s">
        <v>183</v>
      </c>
      <c r="E416" s="477"/>
      <c r="F416" s="477"/>
      <c r="G416" s="477"/>
      <c r="H416" s="477"/>
      <c r="I416" s="477"/>
      <c r="J416" s="477"/>
      <c r="K416" s="213"/>
      <c r="L416" s="478"/>
      <c r="M416" s="478"/>
      <c r="N416" s="478"/>
      <c r="O416" s="478"/>
      <c r="P416" s="478"/>
      <c r="Q416" s="478"/>
      <c r="R416" s="478"/>
      <c r="S416" s="478"/>
      <c r="T416" s="478"/>
      <c r="U416" s="478"/>
      <c r="V416" s="479"/>
      <c r="W416" s="478"/>
      <c r="X416" s="478"/>
      <c r="Y416" s="478"/>
      <c r="Z416" s="478"/>
      <c r="AA416" s="478"/>
      <c r="AB416" s="478"/>
      <c r="AC416" s="478"/>
      <c r="AD416" s="478"/>
      <c r="AE416" s="478"/>
      <c r="AF416" s="213"/>
      <c r="AG416" s="480"/>
      <c r="AH416" s="480"/>
      <c r="AI416" s="480"/>
      <c r="AJ416" s="480"/>
      <c r="AK416" s="480"/>
      <c r="AL416" s="480"/>
      <c r="AM416" s="480"/>
      <c r="AN416" s="480"/>
      <c r="AO416" s="480"/>
      <c r="AP416" s="480"/>
      <c r="AQ416" s="480"/>
      <c r="AR416" s="480"/>
      <c r="AS416" s="480"/>
      <c r="AT416" s="480"/>
      <c r="AU416" s="480"/>
      <c r="AV416" s="480"/>
      <c r="AW416" s="480"/>
      <c r="AX416" s="480"/>
      <c r="AY416" s="480"/>
      <c r="AZ416" s="480"/>
      <c r="BA416" s="480"/>
      <c r="BB416" s="480"/>
      <c r="BC416" s="480"/>
      <c r="BD416" s="480"/>
      <c r="BE416" s="213"/>
      <c r="BF416" s="479"/>
      <c r="BG416" s="479"/>
      <c r="BH416" s="372"/>
      <c r="BI416" s="472"/>
      <c r="BJ416" s="481"/>
      <c r="BK416" s="310"/>
      <c r="BL416" s="310">
        <f t="shared" si="1"/>
        <v>0</v>
      </c>
      <c r="BM416" s="7"/>
    </row>
    <row r="417" spans="1:65" ht="21.75" customHeight="1">
      <c r="A417" s="503" t="s">
        <v>907</v>
      </c>
      <c r="B417" s="483" t="s">
        <v>908</v>
      </c>
      <c r="C417" s="484" t="s">
        <v>200</v>
      </c>
      <c r="D417" s="515" t="s">
        <v>183</v>
      </c>
      <c r="E417" s="477"/>
      <c r="F417" s="477"/>
      <c r="G417" s="477"/>
      <c r="H417" s="477"/>
      <c r="I417" s="477"/>
      <c r="J417" s="477"/>
      <c r="K417" s="213"/>
      <c r="L417" s="478"/>
      <c r="M417" s="478"/>
      <c r="N417" s="478"/>
      <c r="O417" s="478"/>
      <c r="P417" s="478"/>
      <c r="Q417" s="478"/>
      <c r="R417" s="478"/>
      <c r="S417" s="478"/>
      <c r="T417" s="478"/>
      <c r="U417" s="478"/>
      <c r="V417" s="479"/>
      <c r="W417" s="478"/>
      <c r="X417" s="478"/>
      <c r="Y417" s="478"/>
      <c r="Z417" s="478"/>
      <c r="AA417" s="478"/>
      <c r="AB417" s="478"/>
      <c r="AC417" s="478"/>
      <c r="AD417" s="478"/>
      <c r="AE417" s="478"/>
      <c r="AF417" s="213"/>
      <c r="AG417" s="480"/>
      <c r="AH417" s="480"/>
      <c r="AI417" s="480"/>
      <c r="AJ417" s="480"/>
      <c r="AK417" s="480"/>
      <c r="AL417" s="480"/>
      <c r="AM417" s="480"/>
      <c r="AN417" s="480"/>
      <c r="AO417" s="480"/>
      <c r="AP417" s="480"/>
      <c r="AQ417" s="480"/>
      <c r="AR417" s="480"/>
      <c r="AS417" s="480"/>
      <c r="AT417" s="480"/>
      <c r="AU417" s="480"/>
      <c r="AV417" s="480"/>
      <c r="AW417" s="480"/>
      <c r="AX417" s="480"/>
      <c r="AY417" s="480"/>
      <c r="AZ417" s="480"/>
      <c r="BA417" s="480"/>
      <c r="BB417" s="480"/>
      <c r="BC417" s="480"/>
      <c r="BD417" s="480"/>
      <c r="BE417" s="213"/>
      <c r="BF417" s="479"/>
      <c r="BG417" s="479"/>
      <c r="BH417" s="372"/>
      <c r="BI417" s="472"/>
      <c r="BJ417" s="481"/>
      <c r="BK417" s="310"/>
      <c r="BL417" s="310">
        <f t="shared" si="1"/>
        <v>0</v>
      </c>
      <c r="BM417" s="7"/>
    </row>
    <row r="418" spans="1:65" ht="21.75" customHeight="1">
      <c r="A418" s="503" t="s">
        <v>909</v>
      </c>
      <c r="B418" s="483" t="s">
        <v>910</v>
      </c>
      <c r="C418" s="484" t="s">
        <v>203</v>
      </c>
      <c r="D418" s="515" t="s">
        <v>183</v>
      </c>
      <c r="E418" s="477"/>
      <c r="F418" s="477"/>
      <c r="G418" s="477"/>
      <c r="H418" s="477"/>
      <c r="I418" s="477"/>
      <c r="J418" s="477"/>
      <c r="K418" s="213"/>
      <c r="L418" s="478"/>
      <c r="M418" s="478"/>
      <c r="N418" s="478"/>
      <c r="O418" s="478"/>
      <c r="P418" s="478"/>
      <c r="Q418" s="478"/>
      <c r="R418" s="478"/>
      <c r="S418" s="478"/>
      <c r="T418" s="478"/>
      <c r="U418" s="478"/>
      <c r="V418" s="479"/>
      <c r="W418" s="478"/>
      <c r="X418" s="478"/>
      <c r="Y418" s="478"/>
      <c r="Z418" s="478"/>
      <c r="AA418" s="478"/>
      <c r="AB418" s="478"/>
      <c r="AC418" s="478"/>
      <c r="AD418" s="478"/>
      <c r="AE418" s="478"/>
      <c r="AF418" s="213"/>
      <c r="AG418" s="480"/>
      <c r="AH418" s="480"/>
      <c r="AI418" s="480"/>
      <c r="AJ418" s="480"/>
      <c r="AK418" s="480"/>
      <c r="AL418" s="480"/>
      <c r="AM418" s="480"/>
      <c r="AN418" s="480"/>
      <c r="AO418" s="480"/>
      <c r="AP418" s="480"/>
      <c r="AQ418" s="480"/>
      <c r="AR418" s="480"/>
      <c r="AS418" s="480"/>
      <c r="AT418" s="480"/>
      <c r="AU418" s="480"/>
      <c r="AV418" s="480"/>
      <c r="AW418" s="480"/>
      <c r="AX418" s="480"/>
      <c r="AY418" s="480"/>
      <c r="AZ418" s="480"/>
      <c r="BA418" s="480"/>
      <c r="BB418" s="480"/>
      <c r="BC418" s="480"/>
      <c r="BD418" s="480"/>
      <c r="BE418" s="213"/>
      <c r="BF418" s="479"/>
      <c r="BG418" s="479"/>
      <c r="BH418" s="372"/>
      <c r="BI418" s="472"/>
      <c r="BJ418" s="481"/>
      <c r="BK418" s="310"/>
      <c r="BL418" s="310">
        <f t="shared" si="1"/>
        <v>0</v>
      </c>
      <c r="BM418" s="7"/>
    </row>
    <row r="419" spans="1:65" ht="21.75" customHeight="1">
      <c r="A419" s="503" t="s">
        <v>911</v>
      </c>
      <c r="B419" s="483" t="s">
        <v>912</v>
      </c>
      <c r="C419" s="484" t="s">
        <v>159</v>
      </c>
      <c r="D419" s="515" t="s">
        <v>183</v>
      </c>
      <c r="E419" s="477"/>
      <c r="F419" s="477"/>
      <c r="G419" s="477"/>
      <c r="H419" s="477"/>
      <c r="I419" s="477"/>
      <c r="J419" s="477"/>
      <c r="K419" s="213"/>
      <c r="L419" s="478"/>
      <c r="M419" s="478"/>
      <c r="N419" s="478"/>
      <c r="O419" s="478"/>
      <c r="P419" s="478"/>
      <c r="Q419" s="478"/>
      <c r="R419" s="478"/>
      <c r="S419" s="478"/>
      <c r="T419" s="478"/>
      <c r="U419" s="478"/>
      <c r="V419" s="479"/>
      <c r="W419" s="478"/>
      <c r="X419" s="478"/>
      <c r="Y419" s="478"/>
      <c r="Z419" s="478"/>
      <c r="AA419" s="478"/>
      <c r="AB419" s="478"/>
      <c r="AC419" s="478"/>
      <c r="AD419" s="478"/>
      <c r="AE419" s="478"/>
      <c r="AF419" s="213"/>
      <c r="AG419" s="480"/>
      <c r="AH419" s="480"/>
      <c r="AI419" s="480"/>
      <c r="AJ419" s="480"/>
      <c r="AK419" s="480"/>
      <c r="AL419" s="480"/>
      <c r="AM419" s="480"/>
      <c r="AN419" s="480"/>
      <c r="AO419" s="480"/>
      <c r="AP419" s="480"/>
      <c r="AQ419" s="480"/>
      <c r="AR419" s="480"/>
      <c r="AS419" s="480"/>
      <c r="AT419" s="480"/>
      <c r="AU419" s="480"/>
      <c r="AV419" s="480"/>
      <c r="AW419" s="480"/>
      <c r="AX419" s="480"/>
      <c r="AY419" s="480"/>
      <c r="AZ419" s="480"/>
      <c r="BA419" s="480"/>
      <c r="BB419" s="480"/>
      <c r="BC419" s="480"/>
      <c r="BD419" s="480"/>
      <c r="BE419" s="213"/>
      <c r="BF419" s="479"/>
      <c r="BG419" s="479"/>
      <c r="BH419" s="372"/>
      <c r="BI419" s="472"/>
      <c r="BJ419" s="481"/>
      <c r="BK419" s="310"/>
      <c r="BL419" s="310">
        <f t="shared" si="1"/>
        <v>0</v>
      </c>
      <c r="BM419" s="7"/>
    </row>
    <row r="420" spans="1:65" ht="21.75" customHeight="1">
      <c r="A420" s="486">
        <v>13.4</v>
      </c>
      <c r="B420" s="487" t="s">
        <v>913</v>
      </c>
      <c r="C420" s="488" t="s">
        <v>914</v>
      </c>
      <c r="D420" s="515" t="s">
        <v>183</v>
      </c>
      <c r="E420" s="477"/>
      <c r="F420" s="477"/>
      <c r="G420" s="477"/>
      <c r="H420" s="477"/>
      <c r="I420" s="477"/>
      <c r="J420" s="477"/>
      <c r="K420" s="213"/>
      <c r="L420" s="478"/>
      <c r="M420" s="478"/>
      <c r="N420" s="478"/>
      <c r="O420" s="478"/>
      <c r="P420" s="478"/>
      <c r="Q420" s="478"/>
      <c r="R420" s="478"/>
      <c r="S420" s="478"/>
      <c r="T420" s="478"/>
      <c r="U420" s="478"/>
      <c r="V420" s="479"/>
      <c r="W420" s="478"/>
      <c r="X420" s="478"/>
      <c r="Y420" s="478"/>
      <c r="Z420" s="478"/>
      <c r="AA420" s="478"/>
      <c r="AB420" s="478"/>
      <c r="AC420" s="478"/>
      <c r="AD420" s="478"/>
      <c r="AE420" s="478"/>
      <c r="AF420" s="213"/>
      <c r="AG420" s="480"/>
      <c r="AH420" s="480"/>
      <c r="AI420" s="480"/>
      <c r="AJ420" s="480"/>
      <c r="AK420" s="480"/>
      <c r="AL420" s="480"/>
      <c r="AM420" s="480"/>
      <c r="AN420" s="480"/>
      <c r="AO420" s="480"/>
      <c r="AP420" s="480"/>
      <c r="AQ420" s="480"/>
      <c r="AR420" s="480"/>
      <c r="AS420" s="480"/>
      <c r="AT420" s="480"/>
      <c r="AU420" s="480"/>
      <c r="AV420" s="480"/>
      <c r="AW420" s="480"/>
      <c r="AX420" s="480"/>
      <c r="AY420" s="480"/>
      <c r="AZ420" s="480"/>
      <c r="BA420" s="480"/>
      <c r="BB420" s="480"/>
      <c r="BC420" s="480"/>
      <c r="BD420" s="480"/>
      <c r="BE420" s="213"/>
      <c r="BF420" s="479"/>
      <c r="BG420" s="479"/>
      <c r="BH420" s="372"/>
      <c r="BI420" s="472"/>
      <c r="BJ420" s="481"/>
      <c r="BK420" s="310"/>
      <c r="BL420" s="310">
        <f t="shared" si="1"/>
        <v>0</v>
      </c>
      <c r="BM420" s="7"/>
    </row>
    <row r="421" spans="1:65" ht="39" customHeight="1">
      <c r="A421" s="489">
        <v>10</v>
      </c>
      <c r="B421" s="490" t="s">
        <v>915</v>
      </c>
      <c r="C421" s="490" t="s">
        <v>916</v>
      </c>
      <c r="D421" s="516"/>
      <c r="E421" s="477"/>
      <c r="F421" s="477"/>
      <c r="G421" s="477"/>
      <c r="H421" s="477"/>
      <c r="I421" s="477"/>
      <c r="J421" s="477"/>
      <c r="K421" s="213"/>
      <c r="L421" s="478"/>
      <c r="M421" s="478"/>
      <c r="N421" s="478"/>
      <c r="O421" s="478"/>
      <c r="P421" s="478"/>
      <c r="Q421" s="478"/>
      <c r="R421" s="478"/>
      <c r="S421" s="478"/>
      <c r="T421" s="478"/>
      <c r="U421" s="478"/>
      <c r="V421" s="479"/>
      <c r="W421" s="478"/>
      <c r="X421" s="478"/>
      <c r="Y421" s="478"/>
      <c r="Z421" s="478"/>
      <c r="AA421" s="478"/>
      <c r="AB421" s="478"/>
      <c r="AC421" s="478"/>
      <c r="AD421" s="478"/>
      <c r="AE421" s="478"/>
      <c r="AF421" s="213"/>
      <c r="AG421" s="480"/>
      <c r="AH421" s="480"/>
      <c r="AI421" s="480"/>
      <c r="AJ421" s="480"/>
      <c r="AK421" s="480"/>
      <c r="AL421" s="480"/>
      <c r="AM421" s="480"/>
      <c r="AN421" s="480"/>
      <c r="AO421" s="480"/>
      <c r="AP421" s="480"/>
      <c r="AQ421" s="480"/>
      <c r="AR421" s="480"/>
      <c r="AS421" s="480"/>
      <c r="AT421" s="480"/>
      <c r="AU421" s="480"/>
      <c r="AV421" s="480"/>
      <c r="AW421" s="480"/>
      <c r="AX421" s="480"/>
      <c r="AY421" s="480"/>
      <c r="AZ421" s="480"/>
      <c r="BA421" s="480"/>
      <c r="BB421" s="480"/>
      <c r="BC421" s="480"/>
      <c r="BD421" s="480"/>
      <c r="BE421" s="213"/>
      <c r="BF421" s="479"/>
      <c r="BG421" s="479"/>
      <c r="BH421" s="370"/>
      <c r="BI421" s="472"/>
      <c r="BJ421" s="481"/>
      <c r="BK421" s="310"/>
      <c r="BL421" s="310">
        <f t="shared" si="1"/>
        <v>0</v>
      </c>
      <c r="BM421" s="7"/>
    </row>
    <row r="422" spans="1:65" ht="31.5" customHeight="1">
      <c r="A422" s="482"/>
      <c r="B422" s="496" t="s">
        <v>918</v>
      </c>
      <c r="C422" s="497" t="s">
        <v>919</v>
      </c>
      <c r="D422" s="527" t="s">
        <v>271</v>
      </c>
      <c r="E422" s="477"/>
      <c r="F422" s="477"/>
      <c r="G422" s="477"/>
      <c r="H422" s="477"/>
      <c r="I422" s="477"/>
      <c r="J422" s="477"/>
      <c r="K422" s="213"/>
      <c r="L422" s="478"/>
      <c r="M422" s="478"/>
      <c r="N422" s="478"/>
      <c r="O422" s="478"/>
      <c r="P422" s="478"/>
      <c r="Q422" s="478"/>
      <c r="R422" s="478"/>
      <c r="S422" s="478"/>
      <c r="T422" s="478"/>
      <c r="U422" s="478"/>
      <c r="V422" s="479"/>
      <c r="W422" s="478"/>
      <c r="X422" s="478"/>
      <c r="Y422" s="478"/>
      <c r="Z422" s="478"/>
      <c r="AA422" s="478"/>
      <c r="AB422" s="478"/>
      <c r="AC422" s="478"/>
      <c r="AD422" s="478"/>
      <c r="AE422" s="478"/>
      <c r="AF422" s="213"/>
      <c r="AG422" s="480"/>
      <c r="AH422" s="480"/>
      <c r="AI422" s="480"/>
      <c r="AJ422" s="480"/>
      <c r="AK422" s="480"/>
      <c r="AL422" s="480"/>
      <c r="AM422" s="480"/>
      <c r="AN422" s="480"/>
      <c r="AO422" s="480"/>
      <c r="AP422" s="480"/>
      <c r="AQ422" s="480"/>
      <c r="AR422" s="480"/>
      <c r="AS422" s="480"/>
      <c r="AT422" s="480"/>
      <c r="AU422" s="480"/>
      <c r="AV422" s="480"/>
      <c r="AW422" s="480"/>
      <c r="AX422" s="480"/>
      <c r="AY422" s="480"/>
      <c r="AZ422" s="480"/>
      <c r="BA422" s="480"/>
      <c r="BB422" s="480"/>
      <c r="BC422" s="480"/>
      <c r="BD422" s="480"/>
      <c r="BE422" s="213"/>
      <c r="BF422" s="479"/>
      <c r="BG422" s="479"/>
      <c r="BH422" s="370"/>
      <c r="BI422" s="472"/>
      <c r="BJ422" s="481"/>
      <c r="BK422" s="310"/>
      <c r="BL422" s="310">
        <f t="shared" si="1"/>
        <v>0</v>
      </c>
      <c r="BM422" s="7"/>
    </row>
    <row r="423" spans="1:65" ht="21" customHeight="1">
      <c r="A423" s="482"/>
      <c r="B423" s="496" t="s">
        <v>920</v>
      </c>
      <c r="C423" s="497" t="s">
        <v>921</v>
      </c>
      <c r="D423" s="527" t="s">
        <v>271</v>
      </c>
      <c r="E423" s="477"/>
      <c r="F423" s="477"/>
      <c r="G423" s="477"/>
      <c r="H423" s="477"/>
      <c r="I423" s="477"/>
      <c r="J423" s="477"/>
      <c r="K423" s="213"/>
      <c r="L423" s="478"/>
      <c r="M423" s="478"/>
      <c r="N423" s="478"/>
      <c r="O423" s="478"/>
      <c r="P423" s="478"/>
      <c r="Q423" s="478"/>
      <c r="R423" s="478"/>
      <c r="S423" s="478"/>
      <c r="T423" s="478"/>
      <c r="U423" s="478"/>
      <c r="V423" s="479"/>
      <c r="W423" s="478"/>
      <c r="X423" s="478"/>
      <c r="Y423" s="478"/>
      <c r="Z423" s="478"/>
      <c r="AA423" s="478"/>
      <c r="AB423" s="478"/>
      <c r="AC423" s="478"/>
      <c r="AD423" s="478"/>
      <c r="AE423" s="478"/>
      <c r="AF423" s="213"/>
      <c r="AG423" s="480"/>
      <c r="AH423" s="480"/>
      <c r="AI423" s="480"/>
      <c r="AJ423" s="480"/>
      <c r="AK423" s="480"/>
      <c r="AL423" s="480"/>
      <c r="AM423" s="480"/>
      <c r="AN423" s="480"/>
      <c r="AO423" s="480"/>
      <c r="AP423" s="480"/>
      <c r="AQ423" s="480"/>
      <c r="AR423" s="480"/>
      <c r="AS423" s="480"/>
      <c r="AT423" s="480"/>
      <c r="AU423" s="480"/>
      <c r="AV423" s="480"/>
      <c r="AW423" s="480"/>
      <c r="AX423" s="480"/>
      <c r="AY423" s="480"/>
      <c r="AZ423" s="480"/>
      <c r="BA423" s="480"/>
      <c r="BB423" s="480"/>
      <c r="BC423" s="480"/>
      <c r="BD423" s="480"/>
      <c r="BE423" s="213"/>
      <c r="BF423" s="479"/>
      <c r="BG423" s="479"/>
      <c r="BH423" s="370"/>
      <c r="BI423" s="472"/>
      <c r="BJ423" s="481"/>
      <c r="BK423" s="310"/>
      <c r="BL423" s="310">
        <f t="shared" si="1"/>
        <v>0</v>
      </c>
      <c r="BM423" s="7"/>
    </row>
    <row r="424" spans="1:65" ht="21" customHeight="1">
      <c r="A424" s="482"/>
      <c r="B424" s="496" t="s">
        <v>922</v>
      </c>
      <c r="C424" s="497" t="s">
        <v>923</v>
      </c>
      <c r="D424" s="527" t="s">
        <v>122</v>
      </c>
      <c r="E424" s="477"/>
      <c r="F424" s="477"/>
      <c r="G424" s="477"/>
      <c r="H424" s="477"/>
      <c r="I424" s="477"/>
      <c r="J424" s="477"/>
      <c r="K424" s="213"/>
      <c r="L424" s="478"/>
      <c r="M424" s="478"/>
      <c r="N424" s="478"/>
      <c r="O424" s="478"/>
      <c r="P424" s="478"/>
      <c r="Q424" s="478"/>
      <c r="R424" s="478"/>
      <c r="S424" s="478"/>
      <c r="T424" s="478"/>
      <c r="U424" s="478"/>
      <c r="V424" s="479"/>
      <c r="W424" s="478"/>
      <c r="X424" s="478"/>
      <c r="Y424" s="478"/>
      <c r="Z424" s="478"/>
      <c r="AA424" s="478"/>
      <c r="AB424" s="478"/>
      <c r="AC424" s="478"/>
      <c r="AD424" s="478"/>
      <c r="AE424" s="478"/>
      <c r="AF424" s="213"/>
      <c r="AG424" s="480"/>
      <c r="AH424" s="480"/>
      <c r="AI424" s="480"/>
      <c r="AJ424" s="480"/>
      <c r="AK424" s="480"/>
      <c r="AL424" s="480"/>
      <c r="AM424" s="480"/>
      <c r="AN424" s="480"/>
      <c r="AO424" s="480"/>
      <c r="AP424" s="480"/>
      <c r="AQ424" s="480"/>
      <c r="AR424" s="480"/>
      <c r="AS424" s="480"/>
      <c r="AT424" s="480"/>
      <c r="AU424" s="480"/>
      <c r="AV424" s="480"/>
      <c r="AW424" s="480"/>
      <c r="AX424" s="480"/>
      <c r="AY424" s="480"/>
      <c r="AZ424" s="480"/>
      <c r="BA424" s="480"/>
      <c r="BB424" s="480"/>
      <c r="BC424" s="480"/>
      <c r="BD424" s="480"/>
      <c r="BE424" s="213"/>
      <c r="BF424" s="479"/>
      <c r="BG424" s="479"/>
      <c r="BH424" s="370"/>
      <c r="BI424" s="472"/>
      <c r="BJ424" s="481"/>
      <c r="BK424" s="310"/>
      <c r="BL424" s="310">
        <f t="shared" si="1"/>
        <v>0</v>
      </c>
      <c r="BM424" s="7"/>
    </row>
    <row r="425" spans="1:65" ht="21" customHeight="1">
      <c r="A425" s="486">
        <v>14.4</v>
      </c>
      <c r="B425" s="487" t="s">
        <v>924</v>
      </c>
      <c r="C425" s="488" t="s">
        <v>925</v>
      </c>
      <c r="D425" s="528" t="s">
        <v>760</v>
      </c>
      <c r="E425" s="477"/>
      <c r="F425" s="477"/>
      <c r="G425" s="477"/>
      <c r="H425" s="477"/>
      <c r="I425" s="477"/>
      <c r="J425" s="477"/>
      <c r="K425" s="213"/>
      <c r="L425" s="478"/>
      <c r="M425" s="478"/>
      <c r="N425" s="478"/>
      <c r="O425" s="478"/>
      <c r="P425" s="478"/>
      <c r="Q425" s="478"/>
      <c r="R425" s="478"/>
      <c r="S425" s="478"/>
      <c r="T425" s="478"/>
      <c r="U425" s="478">
        <v>4</v>
      </c>
      <c r="V425" s="479"/>
      <c r="W425" s="478"/>
      <c r="X425" s="478"/>
      <c r="Y425" s="478"/>
      <c r="Z425" s="478"/>
      <c r="AA425" s="478"/>
      <c r="AB425" s="478"/>
      <c r="AC425" s="478"/>
      <c r="AD425" s="478"/>
      <c r="AE425" s="478"/>
      <c r="AF425" s="213"/>
      <c r="AG425" s="480"/>
      <c r="AH425" s="480"/>
      <c r="AI425" s="480"/>
      <c r="AJ425" s="480"/>
      <c r="AK425" s="480"/>
      <c r="AL425" s="480"/>
      <c r="AM425" s="480"/>
      <c r="AN425" s="480"/>
      <c r="AO425" s="480"/>
      <c r="AP425" s="480"/>
      <c r="AQ425" s="480"/>
      <c r="AR425" s="480"/>
      <c r="AS425" s="480"/>
      <c r="AT425" s="480"/>
      <c r="AU425" s="480"/>
      <c r="AV425" s="480"/>
      <c r="AW425" s="480"/>
      <c r="AX425" s="480"/>
      <c r="AY425" s="480"/>
      <c r="AZ425" s="480"/>
      <c r="BA425" s="480"/>
      <c r="BB425" s="480"/>
      <c r="BC425" s="480"/>
      <c r="BD425" s="480"/>
      <c r="BE425" s="213"/>
      <c r="BF425" s="479"/>
      <c r="BG425" s="479"/>
      <c r="BH425" s="370"/>
      <c r="BI425" s="472"/>
      <c r="BJ425" s="481"/>
      <c r="BK425" s="310"/>
      <c r="BL425" s="310">
        <f t="shared" si="1"/>
        <v>4</v>
      </c>
      <c r="BM425" s="7"/>
    </row>
    <row r="426" spans="1:65" ht="31.5" customHeight="1">
      <c r="A426" s="486">
        <v>14.5</v>
      </c>
      <c r="B426" s="487" t="s">
        <v>927</v>
      </c>
      <c r="C426" s="488" t="s">
        <v>928</v>
      </c>
      <c r="D426" s="515" t="s">
        <v>183</v>
      </c>
      <c r="E426" s="477"/>
      <c r="F426" s="477"/>
      <c r="G426" s="477"/>
      <c r="H426" s="477"/>
      <c r="I426" s="477"/>
      <c r="J426" s="477"/>
      <c r="K426" s="213"/>
      <c r="L426" s="478"/>
      <c r="M426" s="478"/>
      <c r="N426" s="478"/>
      <c r="O426" s="478"/>
      <c r="P426" s="478"/>
      <c r="Q426" s="478"/>
      <c r="R426" s="478"/>
      <c r="S426" s="478"/>
      <c r="T426" s="478"/>
      <c r="U426" s="478"/>
      <c r="V426" s="479"/>
      <c r="W426" s="478"/>
      <c r="X426" s="478"/>
      <c r="Y426" s="478"/>
      <c r="Z426" s="478"/>
      <c r="AA426" s="478"/>
      <c r="AB426" s="478"/>
      <c r="AC426" s="478"/>
      <c r="AD426" s="478"/>
      <c r="AE426" s="478"/>
      <c r="AF426" s="213"/>
      <c r="AG426" s="480"/>
      <c r="AH426" s="480"/>
      <c r="AI426" s="480"/>
      <c r="AJ426" s="480"/>
      <c r="AK426" s="480"/>
      <c r="AL426" s="480"/>
      <c r="AM426" s="480"/>
      <c r="AN426" s="480"/>
      <c r="AO426" s="480"/>
      <c r="AP426" s="480"/>
      <c r="AQ426" s="480"/>
      <c r="AR426" s="480"/>
      <c r="AS426" s="480"/>
      <c r="AT426" s="480"/>
      <c r="AU426" s="480"/>
      <c r="AV426" s="480"/>
      <c r="AW426" s="480"/>
      <c r="AX426" s="480"/>
      <c r="AY426" s="480"/>
      <c r="AZ426" s="480"/>
      <c r="BA426" s="480"/>
      <c r="BB426" s="480"/>
      <c r="BC426" s="480"/>
      <c r="BD426" s="480"/>
      <c r="BE426" s="213"/>
      <c r="BF426" s="479"/>
      <c r="BG426" s="479"/>
      <c r="BH426" s="370"/>
      <c r="BI426" s="472"/>
      <c r="BJ426" s="481"/>
      <c r="BK426" s="310"/>
      <c r="BL426" s="310">
        <f t="shared" si="1"/>
        <v>0</v>
      </c>
      <c r="BM426" s="7"/>
    </row>
    <row r="427" spans="1:65" ht="37.5" customHeight="1">
      <c r="A427" s="489">
        <v>15</v>
      </c>
      <c r="B427" s="490" t="s">
        <v>930</v>
      </c>
      <c r="C427" s="490" t="s">
        <v>931</v>
      </c>
      <c r="D427" s="515" t="s">
        <v>183</v>
      </c>
      <c r="E427" s="477"/>
      <c r="F427" s="477"/>
      <c r="G427" s="477"/>
      <c r="H427" s="477"/>
      <c r="I427" s="477"/>
      <c r="J427" s="477"/>
      <c r="K427" s="213"/>
      <c r="L427" s="478"/>
      <c r="M427" s="478"/>
      <c r="N427" s="478"/>
      <c r="O427" s="478"/>
      <c r="P427" s="478"/>
      <c r="Q427" s="478"/>
      <c r="R427" s="478"/>
      <c r="S427" s="478"/>
      <c r="T427" s="478"/>
      <c r="U427" s="478"/>
      <c r="V427" s="479"/>
      <c r="W427" s="478"/>
      <c r="X427" s="478"/>
      <c r="Y427" s="478"/>
      <c r="Z427" s="478"/>
      <c r="AA427" s="478"/>
      <c r="AB427" s="478"/>
      <c r="AC427" s="478"/>
      <c r="AD427" s="478"/>
      <c r="AE427" s="478"/>
      <c r="AF427" s="213"/>
      <c r="AG427" s="480"/>
      <c r="AH427" s="480"/>
      <c r="AI427" s="480"/>
      <c r="AJ427" s="480"/>
      <c r="AK427" s="480"/>
      <c r="AL427" s="480"/>
      <c r="AM427" s="480"/>
      <c r="AN427" s="480"/>
      <c r="AO427" s="480"/>
      <c r="AP427" s="480"/>
      <c r="AQ427" s="480"/>
      <c r="AR427" s="480"/>
      <c r="AS427" s="480"/>
      <c r="AT427" s="480"/>
      <c r="AU427" s="480"/>
      <c r="AV427" s="480"/>
      <c r="AW427" s="480"/>
      <c r="AX427" s="480"/>
      <c r="AY427" s="480"/>
      <c r="AZ427" s="480"/>
      <c r="BA427" s="480"/>
      <c r="BB427" s="480"/>
      <c r="BC427" s="480"/>
      <c r="BD427" s="480"/>
      <c r="BE427" s="213"/>
      <c r="BF427" s="479"/>
      <c r="BG427" s="479"/>
      <c r="BH427" s="372"/>
      <c r="BI427" s="472"/>
      <c r="BJ427" s="481"/>
      <c r="BK427" s="310"/>
      <c r="BL427" s="310">
        <f t="shared" si="1"/>
        <v>0</v>
      </c>
      <c r="BM427" s="7"/>
    </row>
    <row r="428" spans="1:65" ht="21.75" customHeight="1">
      <c r="A428" s="486">
        <v>15.1</v>
      </c>
      <c r="B428" s="487" t="s">
        <v>933</v>
      </c>
      <c r="C428" s="488" t="s">
        <v>934</v>
      </c>
      <c r="D428" s="412" t="s">
        <v>132</v>
      </c>
      <c r="E428" s="477"/>
      <c r="F428" s="477"/>
      <c r="G428" s="477"/>
      <c r="H428" s="477"/>
      <c r="I428" s="477"/>
      <c r="J428" s="477"/>
      <c r="K428" s="213"/>
      <c r="L428" s="478"/>
      <c r="M428" s="478"/>
      <c r="N428" s="478"/>
      <c r="O428" s="478"/>
      <c r="P428" s="478"/>
      <c r="Q428" s="478"/>
      <c r="R428" s="478"/>
      <c r="S428" s="478"/>
      <c r="T428" s="478"/>
      <c r="U428" s="478"/>
      <c r="V428" s="479"/>
      <c r="W428" s="478"/>
      <c r="X428" s="478"/>
      <c r="Y428" s="478"/>
      <c r="Z428" s="478"/>
      <c r="AA428" s="478"/>
      <c r="AB428" s="478"/>
      <c r="AC428" s="478"/>
      <c r="AD428" s="478"/>
      <c r="AE428" s="478"/>
      <c r="AF428" s="213"/>
      <c r="AG428" s="480"/>
      <c r="AH428" s="480"/>
      <c r="AI428" s="480"/>
      <c r="AJ428" s="480"/>
      <c r="AK428" s="480"/>
      <c r="AL428" s="480"/>
      <c r="AM428" s="480"/>
      <c r="AN428" s="480"/>
      <c r="AO428" s="480"/>
      <c r="AP428" s="480"/>
      <c r="AQ428" s="480"/>
      <c r="AR428" s="480"/>
      <c r="AS428" s="480"/>
      <c r="AT428" s="480"/>
      <c r="AU428" s="480"/>
      <c r="AV428" s="480"/>
      <c r="AW428" s="480"/>
      <c r="AX428" s="480"/>
      <c r="AY428" s="480"/>
      <c r="AZ428" s="480"/>
      <c r="BA428" s="480"/>
      <c r="BB428" s="480"/>
      <c r="BC428" s="480"/>
      <c r="BD428" s="480"/>
      <c r="BE428" s="213"/>
      <c r="BF428" s="479"/>
      <c r="BG428" s="479"/>
      <c r="BH428" s="372"/>
      <c r="BI428" s="472"/>
      <c r="BJ428" s="481"/>
      <c r="BK428" s="310"/>
      <c r="BL428" s="310">
        <f t="shared" si="1"/>
        <v>0</v>
      </c>
      <c r="BM428" s="7"/>
    </row>
    <row r="429" spans="1:65" ht="21.75" customHeight="1">
      <c r="A429" s="503" t="s">
        <v>1506</v>
      </c>
      <c r="B429" s="483" t="s">
        <v>936</v>
      </c>
      <c r="C429" s="484" t="s">
        <v>131</v>
      </c>
      <c r="D429" s="485" t="s">
        <v>132</v>
      </c>
      <c r="E429" s="477"/>
      <c r="F429" s="477"/>
      <c r="G429" s="477"/>
      <c r="H429" s="477"/>
      <c r="I429" s="477"/>
      <c r="J429" s="477"/>
      <c r="K429" s="213"/>
      <c r="L429" s="478"/>
      <c r="M429" s="478"/>
      <c r="N429" s="478"/>
      <c r="O429" s="478"/>
      <c r="P429" s="478"/>
      <c r="Q429" s="478"/>
      <c r="R429" s="478"/>
      <c r="S429" s="478"/>
      <c r="T429" s="478"/>
      <c r="U429" s="478"/>
      <c r="V429" s="479"/>
      <c r="W429" s="478"/>
      <c r="X429" s="478"/>
      <c r="Y429" s="478"/>
      <c r="Z429" s="478"/>
      <c r="AA429" s="478"/>
      <c r="AB429" s="478"/>
      <c r="AC429" s="478"/>
      <c r="AD429" s="478"/>
      <c r="AE429" s="478"/>
      <c r="AF429" s="213"/>
      <c r="AG429" s="480"/>
      <c r="AH429" s="480"/>
      <c r="AI429" s="480"/>
      <c r="AJ429" s="480"/>
      <c r="AK429" s="480"/>
      <c r="AL429" s="480"/>
      <c r="AM429" s="480"/>
      <c r="AN429" s="480"/>
      <c r="AO429" s="480"/>
      <c r="AP429" s="480"/>
      <c r="AQ429" s="480"/>
      <c r="AR429" s="480"/>
      <c r="AS429" s="480"/>
      <c r="AT429" s="480"/>
      <c r="AU429" s="480"/>
      <c r="AV429" s="480"/>
      <c r="AW429" s="480"/>
      <c r="AX429" s="480"/>
      <c r="AY429" s="480"/>
      <c r="AZ429" s="480"/>
      <c r="BA429" s="480"/>
      <c r="BB429" s="480"/>
      <c r="BC429" s="480"/>
      <c r="BD429" s="480"/>
      <c r="BE429" s="213"/>
      <c r="BF429" s="479"/>
      <c r="BG429" s="479"/>
      <c r="BH429" s="372"/>
      <c r="BI429" s="472"/>
      <c r="BJ429" s="481"/>
      <c r="BK429" s="310"/>
      <c r="BL429" s="310">
        <f t="shared" si="1"/>
        <v>0</v>
      </c>
      <c r="BM429" s="7"/>
    </row>
    <row r="430" spans="1:65" ht="21.75" customHeight="1">
      <c r="A430" s="503" t="s">
        <v>1507</v>
      </c>
      <c r="B430" s="483" t="s">
        <v>937</v>
      </c>
      <c r="C430" s="484" t="s">
        <v>200</v>
      </c>
      <c r="D430" s="485" t="s">
        <v>132</v>
      </c>
      <c r="E430" s="477"/>
      <c r="F430" s="477"/>
      <c r="G430" s="477"/>
      <c r="H430" s="477"/>
      <c r="I430" s="477"/>
      <c r="J430" s="477"/>
      <c r="K430" s="213"/>
      <c r="L430" s="478"/>
      <c r="M430" s="478"/>
      <c r="N430" s="478"/>
      <c r="O430" s="478"/>
      <c r="P430" s="478"/>
      <c r="Q430" s="478"/>
      <c r="R430" s="478"/>
      <c r="S430" s="478"/>
      <c r="T430" s="478"/>
      <c r="U430" s="478"/>
      <c r="V430" s="479"/>
      <c r="W430" s="478"/>
      <c r="X430" s="478"/>
      <c r="Y430" s="478"/>
      <c r="Z430" s="478"/>
      <c r="AA430" s="478"/>
      <c r="AB430" s="478"/>
      <c r="AC430" s="478"/>
      <c r="AD430" s="478"/>
      <c r="AE430" s="478"/>
      <c r="AF430" s="213"/>
      <c r="AG430" s="480"/>
      <c r="AH430" s="480"/>
      <c r="AI430" s="480"/>
      <c r="AJ430" s="480"/>
      <c r="AK430" s="480"/>
      <c r="AL430" s="480"/>
      <c r="AM430" s="480"/>
      <c r="AN430" s="480"/>
      <c r="AO430" s="480"/>
      <c r="AP430" s="480"/>
      <c r="AQ430" s="480"/>
      <c r="AR430" s="480"/>
      <c r="AS430" s="480"/>
      <c r="AT430" s="480"/>
      <c r="AU430" s="480"/>
      <c r="AV430" s="480"/>
      <c r="AW430" s="480"/>
      <c r="AX430" s="480"/>
      <c r="AY430" s="480"/>
      <c r="AZ430" s="480"/>
      <c r="BA430" s="480"/>
      <c r="BB430" s="480"/>
      <c r="BC430" s="480"/>
      <c r="BD430" s="480"/>
      <c r="BE430" s="213"/>
      <c r="BF430" s="479"/>
      <c r="BG430" s="479"/>
      <c r="BH430" s="372"/>
      <c r="BI430" s="472"/>
      <c r="BJ430" s="481"/>
      <c r="BK430" s="310"/>
      <c r="BL430" s="310">
        <f t="shared" si="1"/>
        <v>0</v>
      </c>
      <c r="BM430" s="7"/>
    </row>
    <row r="431" spans="1:65" ht="21.75" customHeight="1">
      <c r="A431" s="503" t="s">
        <v>1508</v>
      </c>
      <c r="B431" s="483" t="s">
        <v>938</v>
      </c>
      <c r="C431" s="484" t="s">
        <v>203</v>
      </c>
      <c r="D431" s="485" t="s">
        <v>132</v>
      </c>
      <c r="E431" s="477"/>
      <c r="F431" s="477"/>
      <c r="G431" s="477"/>
      <c r="H431" s="477"/>
      <c r="I431" s="477"/>
      <c r="J431" s="477"/>
      <c r="K431" s="213"/>
      <c r="L431" s="478"/>
      <c r="M431" s="478"/>
      <c r="N431" s="478"/>
      <c r="O431" s="478"/>
      <c r="P431" s="478"/>
      <c r="Q431" s="478"/>
      <c r="R431" s="478"/>
      <c r="S431" s="478"/>
      <c r="T431" s="478"/>
      <c r="U431" s="478"/>
      <c r="V431" s="479"/>
      <c r="W431" s="478"/>
      <c r="X431" s="478"/>
      <c r="Y431" s="478"/>
      <c r="Z431" s="478"/>
      <c r="AA431" s="478"/>
      <c r="AB431" s="478"/>
      <c r="AC431" s="478"/>
      <c r="AD431" s="478"/>
      <c r="AE431" s="478"/>
      <c r="AF431" s="213"/>
      <c r="AG431" s="480"/>
      <c r="AH431" s="480"/>
      <c r="AI431" s="480"/>
      <c r="AJ431" s="480"/>
      <c r="AK431" s="480"/>
      <c r="AL431" s="480"/>
      <c r="AM431" s="480"/>
      <c r="AN431" s="480"/>
      <c r="AO431" s="480"/>
      <c r="AP431" s="480"/>
      <c r="AQ431" s="480"/>
      <c r="AR431" s="480"/>
      <c r="AS431" s="480"/>
      <c r="AT431" s="480"/>
      <c r="AU431" s="480"/>
      <c r="AV431" s="480"/>
      <c r="AW431" s="480"/>
      <c r="AX431" s="480"/>
      <c r="AY431" s="480"/>
      <c r="AZ431" s="480"/>
      <c r="BA431" s="480"/>
      <c r="BB431" s="480"/>
      <c r="BC431" s="480"/>
      <c r="BD431" s="480"/>
      <c r="BE431" s="213"/>
      <c r="BF431" s="479"/>
      <c r="BG431" s="479"/>
      <c r="BH431" s="372"/>
      <c r="BI431" s="472"/>
      <c r="BJ431" s="481"/>
      <c r="BK431" s="310"/>
      <c r="BL431" s="310">
        <f t="shared" si="1"/>
        <v>0</v>
      </c>
      <c r="BM431" s="7"/>
    </row>
    <row r="432" spans="1:65" ht="21.75" customHeight="1">
      <c r="A432" s="503" t="s">
        <v>1509</v>
      </c>
      <c r="B432" s="483" t="s">
        <v>939</v>
      </c>
      <c r="C432" s="484" t="s">
        <v>159</v>
      </c>
      <c r="D432" s="485" t="s">
        <v>132</v>
      </c>
      <c r="E432" s="477"/>
      <c r="F432" s="477"/>
      <c r="G432" s="477"/>
      <c r="H432" s="477"/>
      <c r="I432" s="477"/>
      <c r="J432" s="477"/>
      <c r="K432" s="213"/>
      <c r="L432" s="478"/>
      <c r="M432" s="478"/>
      <c r="N432" s="478"/>
      <c r="O432" s="478"/>
      <c r="P432" s="478"/>
      <c r="Q432" s="478"/>
      <c r="R432" s="478"/>
      <c r="S432" s="478"/>
      <c r="T432" s="478"/>
      <c r="U432" s="478"/>
      <c r="V432" s="479"/>
      <c r="W432" s="478"/>
      <c r="X432" s="478"/>
      <c r="Y432" s="478"/>
      <c r="Z432" s="478"/>
      <c r="AA432" s="478"/>
      <c r="AB432" s="478"/>
      <c r="AC432" s="478"/>
      <c r="AD432" s="478"/>
      <c r="AE432" s="478"/>
      <c r="AF432" s="213"/>
      <c r="AG432" s="480"/>
      <c r="AH432" s="480"/>
      <c r="AI432" s="480"/>
      <c r="AJ432" s="480"/>
      <c r="AK432" s="480"/>
      <c r="AL432" s="480"/>
      <c r="AM432" s="480"/>
      <c r="AN432" s="480"/>
      <c r="AO432" s="480"/>
      <c r="AP432" s="480"/>
      <c r="AQ432" s="480"/>
      <c r="AR432" s="480"/>
      <c r="AS432" s="480"/>
      <c r="AT432" s="480"/>
      <c r="AU432" s="480"/>
      <c r="AV432" s="480"/>
      <c r="AW432" s="480"/>
      <c r="AX432" s="480"/>
      <c r="AY432" s="480"/>
      <c r="AZ432" s="480"/>
      <c r="BA432" s="480"/>
      <c r="BB432" s="480"/>
      <c r="BC432" s="480"/>
      <c r="BD432" s="480"/>
      <c r="BE432" s="213"/>
      <c r="BF432" s="479"/>
      <c r="BG432" s="479"/>
      <c r="BH432" s="372"/>
      <c r="BI432" s="472"/>
      <c r="BJ432" s="481"/>
      <c r="BK432" s="310"/>
      <c r="BL432" s="310">
        <f t="shared" si="1"/>
        <v>0</v>
      </c>
      <c r="BM432" s="7"/>
    </row>
    <row r="433" spans="1:65" ht="21.75" customHeight="1">
      <c r="A433" s="486">
        <v>15.2</v>
      </c>
      <c r="B433" s="487" t="s">
        <v>940</v>
      </c>
      <c r="C433" s="488" t="s">
        <v>941</v>
      </c>
      <c r="D433" s="412" t="s">
        <v>132</v>
      </c>
      <c r="E433" s="477"/>
      <c r="F433" s="477"/>
      <c r="G433" s="477"/>
      <c r="H433" s="477"/>
      <c r="I433" s="477"/>
      <c r="J433" s="477"/>
      <c r="K433" s="213"/>
      <c r="L433" s="478"/>
      <c r="M433" s="478"/>
      <c r="N433" s="478"/>
      <c r="O433" s="478"/>
      <c r="P433" s="478"/>
      <c r="Q433" s="478"/>
      <c r="R433" s="478"/>
      <c r="S433" s="478"/>
      <c r="T433" s="478"/>
      <c r="U433" s="478"/>
      <c r="V433" s="479"/>
      <c r="W433" s="478"/>
      <c r="X433" s="478"/>
      <c r="Y433" s="478"/>
      <c r="Z433" s="478"/>
      <c r="AA433" s="478"/>
      <c r="AB433" s="478"/>
      <c r="AC433" s="478"/>
      <c r="AD433" s="478"/>
      <c r="AE433" s="478"/>
      <c r="AF433" s="213"/>
      <c r="AG433" s="480"/>
      <c r="AH433" s="480"/>
      <c r="AI433" s="480"/>
      <c r="AJ433" s="480"/>
      <c r="AK433" s="480"/>
      <c r="AL433" s="480"/>
      <c r="AM433" s="480"/>
      <c r="AN433" s="480"/>
      <c r="AO433" s="480"/>
      <c r="AP433" s="480"/>
      <c r="AQ433" s="480"/>
      <c r="AR433" s="480"/>
      <c r="AS433" s="480"/>
      <c r="AT433" s="480"/>
      <c r="AU433" s="480"/>
      <c r="AV433" s="480"/>
      <c r="AW433" s="480"/>
      <c r="AX433" s="480"/>
      <c r="AY433" s="480"/>
      <c r="AZ433" s="480"/>
      <c r="BA433" s="480"/>
      <c r="BB433" s="480"/>
      <c r="BC433" s="480"/>
      <c r="BD433" s="480"/>
      <c r="BE433" s="213"/>
      <c r="BF433" s="479"/>
      <c r="BG433" s="479"/>
      <c r="BH433" s="372"/>
      <c r="BI433" s="472"/>
      <c r="BJ433" s="481"/>
      <c r="BK433" s="310"/>
      <c r="BL433" s="310">
        <f t="shared" si="1"/>
        <v>0</v>
      </c>
      <c r="BM433" s="7"/>
    </row>
    <row r="434" spans="1:65" ht="21.75" customHeight="1">
      <c r="A434" s="503" t="s">
        <v>1510</v>
      </c>
      <c r="B434" s="483" t="s">
        <v>943</v>
      </c>
      <c r="C434" s="484" t="s">
        <v>131</v>
      </c>
      <c r="D434" s="485" t="s">
        <v>132</v>
      </c>
      <c r="E434" s="477"/>
      <c r="F434" s="477"/>
      <c r="G434" s="477"/>
      <c r="H434" s="477"/>
      <c r="I434" s="477"/>
      <c r="J434" s="477"/>
      <c r="K434" s="213"/>
      <c r="L434" s="478"/>
      <c r="M434" s="478"/>
      <c r="N434" s="478"/>
      <c r="O434" s="478"/>
      <c r="P434" s="478"/>
      <c r="Q434" s="478"/>
      <c r="R434" s="478"/>
      <c r="S434" s="478"/>
      <c r="T434" s="478"/>
      <c r="U434" s="478"/>
      <c r="V434" s="479"/>
      <c r="W434" s="478"/>
      <c r="X434" s="478"/>
      <c r="Y434" s="478"/>
      <c r="Z434" s="478"/>
      <c r="AA434" s="478"/>
      <c r="AB434" s="478"/>
      <c r="AC434" s="478"/>
      <c r="AD434" s="478"/>
      <c r="AE434" s="478"/>
      <c r="AF434" s="213"/>
      <c r="AG434" s="480"/>
      <c r="AH434" s="480"/>
      <c r="AI434" s="480"/>
      <c r="AJ434" s="480"/>
      <c r="AK434" s="480"/>
      <c r="AL434" s="480"/>
      <c r="AM434" s="480"/>
      <c r="AN434" s="480"/>
      <c r="AO434" s="480"/>
      <c r="AP434" s="480"/>
      <c r="AQ434" s="480"/>
      <c r="AR434" s="480"/>
      <c r="AS434" s="480"/>
      <c r="AT434" s="480"/>
      <c r="AU434" s="480"/>
      <c r="AV434" s="480"/>
      <c r="AW434" s="480"/>
      <c r="AX434" s="480"/>
      <c r="AY434" s="480"/>
      <c r="AZ434" s="480"/>
      <c r="BA434" s="480"/>
      <c r="BB434" s="480"/>
      <c r="BC434" s="480"/>
      <c r="BD434" s="480"/>
      <c r="BE434" s="213"/>
      <c r="BF434" s="479"/>
      <c r="BG434" s="479"/>
      <c r="BH434" s="372"/>
      <c r="BI434" s="472"/>
      <c r="BJ434" s="481"/>
      <c r="BK434" s="310"/>
      <c r="BL434" s="310">
        <f t="shared" si="1"/>
        <v>0</v>
      </c>
      <c r="BM434" s="7"/>
    </row>
    <row r="435" spans="1:65" ht="21.75" customHeight="1">
      <c r="A435" s="503" t="s">
        <v>1511</v>
      </c>
      <c r="B435" s="483" t="s">
        <v>944</v>
      </c>
      <c r="C435" s="484" t="s">
        <v>200</v>
      </c>
      <c r="D435" s="485" t="s">
        <v>132</v>
      </c>
      <c r="E435" s="477"/>
      <c r="F435" s="477"/>
      <c r="G435" s="477"/>
      <c r="H435" s="477"/>
      <c r="I435" s="477"/>
      <c r="J435" s="477"/>
      <c r="K435" s="213"/>
      <c r="L435" s="478"/>
      <c r="M435" s="478"/>
      <c r="N435" s="478"/>
      <c r="O435" s="478"/>
      <c r="P435" s="478"/>
      <c r="Q435" s="478"/>
      <c r="R435" s="478"/>
      <c r="S435" s="478"/>
      <c r="T435" s="478"/>
      <c r="U435" s="478"/>
      <c r="V435" s="479"/>
      <c r="W435" s="478"/>
      <c r="X435" s="478"/>
      <c r="Y435" s="478"/>
      <c r="Z435" s="478"/>
      <c r="AA435" s="478"/>
      <c r="AB435" s="478"/>
      <c r="AC435" s="478"/>
      <c r="AD435" s="478"/>
      <c r="AE435" s="478"/>
      <c r="AF435" s="213"/>
      <c r="AG435" s="480"/>
      <c r="AH435" s="480"/>
      <c r="AI435" s="480"/>
      <c r="AJ435" s="480"/>
      <c r="AK435" s="480"/>
      <c r="AL435" s="480"/>
      <c r="AM435" s="480"/>
      <c r="AN435" s="480"/>
      <c r="AO435" s="480"/>
      <c r="AP435" s="480"/>
      <c r="AQ435" s="480"/>
      <c r="AR435" s="480"/>
      <c r="AS435" s="480"/>
      <c r="AT435" s="480"/>
      <c r="AU435" s="480"/>
      <c r="AV435" s="480"/>
      <c r="AW435" s="480"/>
      <c r="AX435" s="480"/>
      <c r="AY435" s="480"/>
      <c r="AZ435" s="480"/>
      <c r="BA435" s="480"/>
      <c r="BB435" s="480"/>
      <c r="BC435" s="480"/>
      <c r="BD435" s="480"/>
      <c r="BE435" s="213"/>
      <c r="BF435" s="479"/>
      <c r="BG435" s="479"/>
      <c r="BH435" s="372"/>
      <c r="BI435" s="472"/>
      <c r="BJ435" s="481"/>
      <c r="BK435" s="310"/>
      <c r="BL435" s="310">
        <f t="shared" si="1"/>
        <v>0</v>
      </c>
      <c r="BM435" s="7"/>
    </row>
    <row r="436" spans="1:65" ht="21.75" customHeight="1">
      <c r="A436" s="503" t="s">
        <v>1512</v>
      </c>
      <c r="B436" s="483" t="s">
        <v>945</v>
      </c>
      <c r="C436" s="484" t="s">
        <v>203</v>
      </c>
      <c r="D436" s="485" t="s">
        <v>132</v>
      </c>
      <c r="E436" s="477"/>
      <c r="F436" s="477"/>
      <c r="G436" s="477"/>
      <c r="H436" s="477"/>
      <c r="I436" s="477"/>
      <c r="J436" s="477"/>
      <c r="K436" s="213"/>
      <c r="L436" s="478"/>
      <c r="M436" s="478"/>
      <c r="N436" s="478"/>
      <c r="O436" s="478"/>
      <c r="P436" s="478"/>
      <c r="Q436" s="478"/>
      <c r="R436" s="478"/>
      <c r="S436" s="478"/>
      <c r="T436" s="478"/>
      <c r="U436" s="478"/>
      <c r="V436" s="479"/>
      <c r="W436" s="478"/>
      <c r="X436" s="478"/>
      <c r="Y436" s="478"/>
      <c r="Z436" s="478"/>
      <c r="AA436" s="478"/>
      <c r="AB436" s="478"/>
      <c r="AC436" s="478"/>
      <c r="AD436" s="478"/>
      <c r="AE436" s="478"/>
      <c r="AF436" s="213"/>
      <c r="AG436" s="480"/>
      <c r="AH436" s="480"/>
      <c r="AI436" s="480"/>
      <c r="AJ436" s="480"/>
      <c r="AK436" s="480"/>
      <c r="AL436" s="480"/>
      <c r="AM436" s="480"/>
      <c r="AN436" s="480"/>
      <c r="AO436" s="480"/>
      <c r="AP436" s="480"/>
      <c r="AQ436" s="480"/>
      <c r="AR436" s="480"/>
      <c r="AS436" s="480"/>
      <c r="AT436" s="480"/>
      <c r="AU436" s="480"/>
      <c r="AV436" s="480"/>
      <c r="AW436" s="480"/>
      <c r="AX436" s="480"/>
      <c r="AY436" s="480"/>
      <c r="AZ436" s="480"/>
      <c r="BA436" s="480"/>
      <c r="BB436" s="480"/>
      <c r="BC436" s="480"/>
      <c r="BD436" s="480"/>
      <c r="BE436" s="213"/>
      <c r="BF436" s="479"/>
      <c r="BG436" s="479"/>
      <c r="BH436" s="372"/>
      <c r="BI436" s="472"/>
      <c r="BJ436" s="481"/>
      <c r="BK436" s="310"/>
      <c r="BL436" s="310">
        <f t="shared" si="1"/>
        <v>0</v>
      </c>
      <c r="BM436" s="7"/>
    </row>
    <row r="437" spans="1:65" ht="21.75" customHeight="1">
      <c r="A437" s="503" t="s">
        <v>1513</v>
      </c>
      <c r="B437" s="483" t="s">
        <v>946</v>
      </c>
      <c r="C437" s="484" t="s">
        <v>159</v>
      </c>
      <c r="D437" s="485" t="s">
        <v>132</v>
      </c>
      <c r="E437" s="477"/>
      <c r="F437" s="477"/>
      <c r="G437" s="477"/>
      <c r="H437" s="477"/>
      <c r="I437" s="477"/>
      <c r="J437" s="477"/>
      <c r="K437" s="213"/>
      <c r="L437" s="478"/>
      <c r="M437" s="478"/>
      <c r="N437" s="478"/>
      <c r="O437" s="478"/>
      <c r="P437" s="478"/>
      <c r="Q437" s="478"/>
      <c r="R437" s="478"/>
      <c r="S437" s="478"/>
      <c r="T437" s="478"/>
      <c r="U437" s="478"/>
      <c r="V437" s="479"/>
      <c r="W437" s="478"/>
      <c r="X437" s="478"/>
      <c r="Y437" s="478"/>
      <c r="Z437" s="478"/>
      <c r="AA437" s="478"/>
      <c r="AB437" s="478"/>
      <c r="AC437" s="478"/>
      <c r="AD437" s="478"/>
      <c r="AE437" s="478"/>
      <c r="AF437" s="213"/>
      <c r="AG437" s="480"/>
      <c r="AH437" s="480"/>
      <c r="AI437" s="480"/>
      <c r="AJ437" s="480"/>
      <c r="AK437" s="480"/>
      <c r="AL437" s="480"/>
      <c r="AM437" s="480"/>
      <c r="AN437" s="480"/>
      <c r="AO437" s="480"/>
      <c r="AP437" s="480"/>
      <c r="AQ437" s="480"/>
      <c r="AR437" s="480"/>
      <c r="AS437" s="480"/>
      <c r="AT437" s="480"/>
      <c r="AU437" s="480"/>
      <c r="AV437" s="480"/>
      <c r="AW437" s="480"/>
      <c r="AX437" s="480"/>
      <c r="AY437" s="480"/>
      <c r="AZ437" s="480"/>
      <c r="BA437" s="480"/>
      <c r="BB437" s="480"/>
      <c r="BC437" s="480"/>
      <c r="BD437" s="480"/>
      <c r="BE437" s="213"/>
      <c r="BF437" s="479"/>
      <c r="BG437" s="479"/>
      <c r="BH437" s="372"/>
      <c r="BI437" s="472"/>
      <c r="BJ437" s="481"/>
      <c r="BK437" s="310"/>
      <c r="BL437" s="310">
        <f t="shared" si="1"/>
        <v>0</v>
      </c>
      <c r="BM437" s="7"/>
    </row>
    <row r="438" spans="1:65" ht="21.75" customHeight="1">
      <c r="A438" s="486">
        <v>15.3</v>
      </c>
      <c r="B438" s="487" t="s">
        <v>947</v>
      </c>
      <c r="C438" s="488" t="s">
        <v>948</v>
      </c>
      <c r="D438" s="412" t="s">
        <v>1514</v>
      </c>
      <c r="E438" s="477"/>
      <c r="F438" s="477"/>
      <c r="G438" s="477"/>
      <c r="H438" s="477"/>
      <c r="I438" s="477"/>
      <c r="J438" s="477"/>
      <c r="K438" s="213"/>
      <c r="L438" s="478"/>
      <c r="M438" s="478"/>
      <c r="N438" s="478"/>
      <c r="O438" s="478"/>
      <c r="P438" s="478"/>
      <c r="Q438" s="478"/>
      <c r="R438" s="478"/>
      <c r="S438" s="478"/>
      <c r="T438" s="478"/>
      <c r="U438" s="478"/>
      <c r="V438" s="479"/>
      <c r="W438" s="478"/>
      <c r="X438" s="478"/>
      <c r="Y438" s="478"/>
      <c r="Z438" s="478"/>
      <c r="AA438" s="478"/>
      <c r="AB438" s="478"/>
      <c r="AC438" s="478"/>
      <c r="AD438" s="478"/>
      <c r="AE438" s="478"/>
      <c r="AF438" s="213"/>
      <c r="AG438" s="480"/>
      <c r="AH438" s="480"/>
      <c r="AI438" s="480"/>
      <c r="AJ438" s="480"/>
      <c r="AK438" s="480"/>
      <c r="AL438" s="480"/>
      <c r="AM438" s="480"/>
      <c r="AN438" s="480"/>
      <c r="AO438" s="480"/>
      <c r="AP438" s="480"/>
      <c r="AQ438" s="480"/>
      <c r="AR438" s="480"/>
      <c r="AS438" s="480"/>
      <c r="AT438" s="480"/>
      <c r="AU438" s="480"/>
      <c r="AV438" s="480"/>
      <c r="AW438" s="480"/>
      <c r="AX438" s="480"/>
      <c r="AY438" s="480"/>
      <c r="AZ438" s="480"/>
      <c r="BA438" s="480"/>
      <c r="BB438" s="480"/>
      <c r="BC438" s="480"/>
      <c r="BD438" s="480"/>
      <c r="BE438" s="213"/>
      <c r="BF438" s="479"/>
      <c r="BG438" s="479"/>
      <c r="BH438" s="372"/>
      <c r="BI438" s="472"/>
      <c r="BJ438" s="481"/>
      <c r="BK438" s="310"/>
      <c r="BL438" s="310">
        <f t="shared" si="1"/>
        <v>0</v>
      </c>
      <c r="BM438" s="7"/>
    </row>
    <row r="439" spans="1:65" ht="21.75" customHeight="1">
      <c r="A439" s="503" t="s">
        <v>1515</v>
      </c>
      <c r="B439" s="483" t="s">
        <v>951</v>
      </c>
      <c r="C439" s="484" t="s">
        <v>131</v>
      </c>
      <c r="D439" s="485" t="s">
        <v>1516</v>
      </c>
      <c r="E439" s="477"/>
      <c r="F439" s="477"/>
      <c r="G439" s="477"/>
      <c r="H439" s="477"/>
      <c r="I439" s="477"/>
      <c r="J439" s="477"/>
      <c r="K439" s="213"/>
      <c r="L439" s="478"/>
      <c r="M439" s="478"/>
      <c r="N439" s="478"/>
      <c r="O439" s="478"/>
      <c r="P439" s="478"/>
      <c r="Q439" s="478"/>
      <c r="R439" s="478"/>
      <c r="S439" s="478"/>
      <c r="T439" s="478"/>
      <c r="U439" s="478"/>
      <c r="V439" s="479"/>
      <c r="W439" s="478"/>
      <c r="X439" s="478"/>
      <c r="Y439" s="478"/>
      <c r="Z439" s="478"/>
      <c r="AA439" s="478"/>
      <c r="AB439" s="478"/>
      <c r="AC439" s="478"/>
      <c r="AD439" s="478"/>
      <c r="AE439" s="478"/>
      <c r="AF439" s="213"/>
      <c r="AG439" s="480"/>
      <c r="AH439" s="480"/>
      <c r="AI439" s="480"/>
      <c r="AJ439" s="480"/>
      <c r="AK439" s="480"/>
      <c r="AL439" s="480"/>
      <c r="AM439" s="480"/>
      <c r="AN439" s="480"/>
      <c r="AO439" s="480"/>
      <c r="AP439" s="480"/>
      <c r="AQ439" s="480"/>
      <c r="AR439" s="480"/>
      <c r="AS439" s="480"/>
      <c r="AT439" s="480"/>
      <c r="AU439" s="480"/>
      <c r="AV439" s="480"/>
      <c r="AW439" s="480"/>
      <c r="AX439" s="480"/>
      <c r="AY439" s="480"/>
      <c r="AZ439" s="480"/>
      <c r="BA439" s="480"/>
      <c r="BB439" s="480"/>
      <c r="BC439" s="480"/>
      <c r="BD439" s="480"/>
      <c r="BE439" s="213"/>
      <c r="BF439" s="479"/>
      <c r="BG439" s="479"/>
      <c r="BH439" s="372"/>
      <c r="BI439" s="472"/>
      <c r="BJ439" s="481"/>
      <c r="BK439" s="310"/>
      <c r="BL439" s="310">
        <f t="shared" si="1"/>
        <v>0</v>
      </c>
      <c r="BM439" s="7"/>
    </row>
    <row r="440" spans="1:65" ht="21.75" customHeight="1">
      <c r="A440" s="503" t="s">
        <v>1517</v>
      </c>
      <c r="B440" s="483" t="s">
        <v>953</v>
      </c>
      <c r="C440" s="484" t="s">
        <v>200</v>
      </c>
      <c r="D440" s="485" t="s">
        <v>1518</v>
      </c>
      <c r="E440" s="477"/>
      <c r="F440" s="477"/>
      <c r="G440" s="477"/>
      <c r="H440" s="477"/>
      <c r="I440" s="477"/>
      <c r="J440" s="477"/>
      <c r="K440" s="213"/>
      <c r="L440" s="478"/>
      <c r="M440" s="478"/>
      <c r="N440" s="478"/>
      <c r="O440" s="478"/>
      <c r="P440" s="478"/>
      <c r="Q440" s="478"/>
      <c r="R440" s="478"/>
      <c r="S440" s="478"/>
      <c r="T440" s="478"/>
      <c r="U440" s="478"/>
      <c r="V440" s="479"/>
      <c r="W440" s="478"/>
      <c r="X440" s="478"/>
      <c r="Y440" s="478"/>
      <c r="Z440" s="478"/>
      <c r="AA440" s="478"/>
      <c r="AB440" s="478"/>
      <c r="AC440" s="478"/>
      <c r="AD440" s="478"/>
      <c r="AE440" s="478"/>
      <c r="AF440" s="213"/>
      <c r="AG440" s="480"/>
      <c r="AH440" s="480"/>
      <c r="AI440" s="480"/>
      <c r="AJ440" s="480"/>
      <c r="AK440" s="480"/>
      <c r="AL440" s="480"/>
      <c r="AM440" s="480"/>
      <c r="AN440" s="480"/>
      <c r="AO440" s="480"/>
      <c r="AP440" s="480"/>
      <c r="AQ440" s="480"/>
      <c r="AR440" s="480"/>
      <c r="AS440" s="480"/>
      <c r="AT440" s="480"/>
      <c r="AU440" s="480"/>
      <c r="AV440" s="480"/>
      <c r="AW440" s="480"/>
      <c r="AX440" s="480"/>
      <c r="AY440" s="480"/>
      <c r="AZ440" s="480"/>
      <c r="BA440" s="480"/>
      <c r="BB440" s="480"/>
      <c r="BC440" s="480"/>
      <c r="BD440" s="480"/>
      <c r="BE440" s="213"/>
      <c r="BF440" s="479"/>
      <c r="BG440" s="479"/>
      <c r="BH440" s="372"/>
      <c r="BI440" s="472"/>
      <c r="BJ440" s="481"/>
      <c r="BK440" s="310"/>
      <c r="BL440" s="310">
        <f t="shared" si="1"/>
        <v>0</v>
      </c>
      <c r="BM440" s="7"/>
    </row>
    <row r="441" spans="1:65" ht="21.75" customHeight="1">
      <c r="A441" s="503" t="s">
        <v>1519</v>
      </c>
      <c r="B441" s="483" t="s">
        <v>955</v>
      </c>
      <c r="C441" s="484" t="s">
        <v>203</v>
      </c>
      <c r="D441" s="485" t="s">
        <v>1520</v>
      </c>
      <c r="E441" s="477"/>
      <c r="F441" s="477"/>
      <c r="G441" s="477"/>
      <c r="H441" s="477"/>
      <c r="I441" s="477"/>
      <c r="J441" s="477"/>
      <c r="K441" s="213"/>
      <c r="L441" s="478"/>
      <c r="M441" s="478"/>
      <c r="N441" s="478"/>
      <c r="O441" s="478"/>
      <c r="P441" s="478"/>
      <c r="Q441" s="478"/>
      <c r="R441" s="478"/>
      <c r="S441" s="478"/>
      <c r="T441" s="478"/>
      <c r="U441" s="478"/>
      <c r="V441" s="479"/>
      <c r="W441" s="478"/>
      <c r="X441" s="478"/>
      <c r="Y441" s="478"/>
      <c r="Z441" s="478"/>
      <c r="AA441" s="478"/>
      <c r="AB441" s="478"/>
      <c r="AC441" s="478"/>
      <c r="AD441" s="478"/>
      <c r="AE441" s="478"/>
      <c r="AF441" s="213"/>
      <c r="AG441" s="480"/>
      <c r="AH441" s="480"/>
      <c r="AI441" s="480"/>
      <c r="AJ441" s="480"/>
      <c r="AK441" s="480"/>
      <c r="AL441" s="480"/>
      <c r="AM441" s="480"/>
      <c r="AN441" s="480"/>
      <c r="AO441" s="480"/>
      <c r="AP441" s="480"/>
      <c r="AQ441" s="480"/>
      <c r="AR441" s="480"/>
      <c r="AS441" s="480"/>
      <c r="AT441" s="480"/>
      <c r="AU441" s="480"/>
      <c r="AV441" s="480"/>
      <c r="AW441" s="480"/>
      <c r="AX441" s="480"/>
      <c r="AY441" s="480"/>
      <c r="AZ441" s="480"/>
      <c r="BA441" s="480"/>
      <c r="BB441" s="480"/>
      <c r="BC441" s="480"/>
      <c r="BD441" s="480"/>
      <c r="BE441" s="213"/>
      <c r="BF441" s="479"/>
      <c r="BG441" s="479"/>
      <c r="BH441" s="372"/>
      <c r="BI441" s="472"/>
      <c r="BJ441" s="481"/>
      <c r="BK441" s="310"/>
      <c r="BL441" s="310">
        <f t="shared" si="1"/>
        <v>0</v>
      </c>
      <c r="BM441" s="7"/>
    </row>
    <row r="442" spans="1:65" ht="21.75" customHeight="1">
      <c r="A442" s="503" t="s">
        <v>1521</v>
      </c>
      <c r="B442" s="483" t="s">
        <v>957</v>
      </c>
      <c r="C442" s="484" t="s">
        <v>159</v>
      </c>
      <c r="D442" s="485" t="s">
        <v>1522</v>
      </c>
      <c r="E442" s="477"/>
      <c r="F442" s="477"/>
      <c r="G442" s="477"/>
      <c r="H442" s="477"/>
      <c r="I442" s="477"/>
      <c r="J442" s="477"/>
      <c r="K442" s="213"/>
      <c r="L442" s="478"/>
      <c r="M442" s="478"/>
      <c r="N442" s="478"/>
      <c r="O442" s="478"/>
      <c r="P442" s="478"/>
      <c r="Q442" s="478"/>
      <c r="R442" s="478"/>
      <c r="S442" s="478"/>
      <c r="T442" s="478"/>
      <c r="U442" s="478"/>
      <c r="V442" s="479"/>
      <c r="W442" s="478"/>
      <c r="X442" s="478"/>
      <c r="Y442" s="478"/>
      <c r="Z442" s="478"/>
      <c r="AA442" s="478"/>
      <c r="AB442" s="478"/>
      <c r="AC442" s="478"/>
      <c r="AD442" s="478"/>
      <c r="AE442" s="478"/>
      <c r="AF442" s="213"/>
      <c r="AG442" s="480"/>
      <c r="AH442" s="480"/>
      <c r="AI442" s="480"/>
      <c r="AJ442" s="480"/>
      <c r="AK442" s="480"/>
      <c r="AL442" s="480"/>
      <c r="AM442" s="480"/>
      <c r="AN442" s="480"/>
      <c r="AO442" s="480"/>
      <c r="AP442" s="480"/>
      <c r="AQ442" s="480"/>
      <c r="AR442" s="480"/>
      <c r="AS442" s="480"/>
      <c r="AT442" s="480"/>
      <c r="AU442" s="480"/>
      <c r="AV442" s="480"/>
      <c r="AW442" s="480"/>
      <c r="AX442" s="480"/>
      <c r="AY442" s="480"/>
      <c r="AZ442" s="480"/>
      <c r="BA442" s="480"/>
      <c r="BB442" s="480"/>
      <c r="BC442" s="480"/>
      <c r="BD442" s="480"/>
      <c r="BE442" s="213"/>
      <c r="BF442" s="479"/>
      <c r="BG442" s="479"/>
      <c r="BH442" s="372"/>
      <c r="BI442" s="472"/>
      <c r="BJ442" s="481"/>
      <c r="BK442" s="310"/>
      <c r="BL442" s="310">
        <f t="shared" si="1"/>
        <v>0</v>
      </c>
      <c r="BM442" s="7"/>
    </row>
    <row r="443" spans="1:65" ht="31.5" customHeight="1">
      <c r="A443" s="486">
        <v>15.4</v>
      </c>
      <c r="B443" s="487" t="s">
        <v>959</v>
      </c>
      <c r="C443" s="488" t="s">
        <v>960</v>
      </c>
      <c r="D443" s="412" t="s">
        <v>132</v>
      </c>
      <c r="E443" s="477"/>
      <c r="F443" s="477"/>
      <c r="G443" s="477"/>
      <c r="H443" s="477"/>
      <c r="I443" s="477"/>
      <c r="J443" s="477"/>
      <c r="K443" s="213"/>
      <c r="L443" s="478"/>
      <c r="M443" s="478"/>
      <c r="N443" s="478"/>
      <c r="O443" s="478"/>
      <c r="P443" s="478"/>
      <c r="Q443" s="478"/>
      <c r="R443" s="478"/>
      <c r="S443" s="478"/>
      <c r="T443" s="478"/>
      <c r="U443" s="478"/>
      <c r="V443" s="479"/>
      <c r="W443" s="478"/>
      <c r="X443" s="478"/>
      <c r="Y443" s="478"/>
      <c r="Z443" s="478"/>
      <c r="AA443" s="478"/>
      <c r="AB443" s="478"/>
      <c r="AC443" s="478"/>
      <c r="AD443" s="478"/>
      <c r="AE443" s="478"/>
      <c r="AF443" s="213"/>
      <c r="AG443" s="480"/>
      <c r="AH443" s="480"/>
      <c r="AI443" s="480"/>
      <c r="AJ443" s="480"/>
      <c r="AK443" s="480"/>
      <c r="AL443" s="480"/>
      <c r="AM443" s="480"/>
      <c r="AN443" s="480"/>
      <c r="AO443" s="480"/>
      <c r="AP443" s="480"/>
      <c r="AQ443" s="480"/>
      <c r="AR443" s="480"/>
      <c r="AS443" s="480"/>
      <c r="AT443" s="480"/>
      <c r="AU443" s="480"/>
      <c r="AV443" s="480"/>
      <c r="AW443" s="480"/>
      <c r="AX443" s="480"/>
      <c r="AY443" s="480"/>
      <c r="AZ443" s="480"/>
      <c r="BA443" s="480"/>
      <c r="BB443" s="480"/>
      <c r="BC443" s="480"/>
      <c r="BD443" s="480"/>
      <c r="BE443" s="213"/>
      <c r="BF443" s="479"/>
      <c r="BG443" s="479"/>
      <c r="BH443" s="372"/>
      <c r="BI443" s="472"/>
      <c r="BJ443" s="481"/>
      <c r="BK443" s="310"/>
      <c r="BL443" s="310">
        <f t="shared" si="1"/>
        <v>0</v>
      </c>
      <c r="BM443" s="7"/>
    </row>
    <row r="444" spans="1:65" ht="33" customHeight="1">
      <c r="A444" s="486">
        <v>15.5</v>
      </c>
      <c r="B444" s="487" t="s">
        <v>962</v>
      </c>
      <c r="C444" s="488" t="s">
        <v>963</v>
      </c>
      <c r="D444" s="515" t="s">
        <v>424</v>
      </c>
      <c r="E444" s="477"/>
      <c r="F444" s="477"/>
      <c r="G444" s="477"/>
      <c r="H444" s="477"/>
      <c r="I444" s="477"/>
      <c r="J444" s="477"/>
      <c r="K444" s="213"/>
      <c r="L444" s="478"/>
      <c r="M444" s="478"/>
      <c r="N444" s="478"/>
      <c r="O444" s="478"/>
      <c r="P444" s="478"/>
      <c r="Q444" s="478"/>
      <c r="R444" s="478"/>
      <c r="S444" s="478"/>
      <c r="T444" s="478"/>
      <c r="U444" s="478"/>
      <c r="V444" s="479"/>
      <c r="W444" s="478"/>
      <c r="X444" s="478"/>
      <c r="Y444" s="478"/>
      <c r="Z444" s="478"/>
      <c r="AA444" s="478"/>
      <c r="AB444" s="478"/>
      <c r="AC444" s="478"/>
      <c r="AD444" s="478"/>
      <c r="AE444" s="478"/>
      <c r="AF444" s="213"/>
      <c r="AG444" s="480"/>
      <c r="AH444" s="480"/>
      <c r="AI444" s="480"/>
      <c r="AJ444" s="480"/>
      <c r="AK444" s="480"/>
      <c r="AL444" s="480"/>
      <c r="AM444" s="480"/>
      <c r="AN444" s="480"/>
      <c r="AO444" s="480"/>
      <c r="AP444" s="480"/>
      <c r="AQ444" s="480"/>
      <c r="AR444" s="480"/>
      <c r="AS444" s="480"/>
      <c r="AT444" s="480"/>
      <c r="AU444" s="480"/>
      <c r="AV444" s="480"/>
      <c r="AW444" s="480"/>
      <c r="AX444" s="480"/>
      <c r="AY444" s="480"/>
      <c r="AZ444" s="480"/>
      <c r="BA444" s="480"/>
      <c r="BB444" s="480"/>
      <c r="BC444" s="480"/>
      <c r="BD444" s="480"/>
      <c r="BE444" s="213"/>
      <c r="BF444" s="479"/>
      <c r="BG444" s="479"/>
      <c r="BH444" s="372"/>
      <c r="BI444" s="472"/>
      <c r="BJ444" s="481"/>
      <c r="BK444" s="310"/>
      <c r="BL444" s="310">
        <f t="shared" si="1"/>
        <v>0</v>
      </c>
      <c r="BM444" s="7"/>
    </row>
    <row r="445" spans="1:65" ht="21.75" customHeight="1">
      <c r="A445" s="486">
        <v>15.6</v>
      </c>
      <c r="B445" s="487" t="s">
        <v>965</v>
      </c>
      <c r="C445" s="488" t="s">
        <v>966</v>
      </c>
      <c r="D445" s="515" t="s">
        <v>183</v>
      </c>
      <c r="E445" s="477"/>
      <c r="F445" s="477"/>
      <c r="G445" s="477"/>
      <c r="H445" s="477"/>
      <c r="I445" s="477"/>
      <c r="J445" s="477"/>
      <c r="K445" s="213"/>
      <c r="L445" s="478"/>
      <c r="M445" s="478"/>
      <c r="N445" s="478"/>
      <c r="O445" s="478"/>
      <c r="P445" s="478"/>
      <c r="Q445" s="478"/>
      <c r="R445" s="478"/>
      <c r="S445" s="478"/>
      <c r="T445" s="478"/>
      <c r="U445" s="478"/>
      <c r="V445" s="479"/>
      <c r="W445" s="478"/>
      <c r="X445" s="478"/>
      <c r="Y445" s="478"/>
      <c r="Z445" s="478"/>
      <c r="AA445" s="478"/>
      <c r="AB445" s="478"/>
      <c r="AC445" s="478"/>
      <c r="AD445" s="478"/>
      <c r="AE445" s="478"/>
      <c r="AF445" s="213"/>
      <c r="AG445" s="480"/>
      <c r="AH445" s="480"/>
      <c r="AI445" s="480"/>
      <c r="AJ445" s="480"/>
      <c r="AK445" s="480"/>
      <c r="AL445" s="480"/>
      <c r="AM445" s="480"/>
      <c r="AN445" s="480"/>
      <c r="AO445" s="480"/>
      <c r="AP445" s="480"/>
      <c r="AQ445" s="480"/>
      <c r="AR445" s="480"/>
      <c r="AS445" s="480"/>
      <c r="AT445" s="480"/>
      <c r="AU445" s="480"/>
      <c r="AV445" s="480"/>
      <c r="AW445" s="480"/>
      <c r="AX445" s="480"/>
      <c r="AY445" s="480"/>
      <c r="AZ445" s="480"/>
      <c r="BA445" s="480"/>
      <c r="BB445" s="480"/>
      <c r="BC445" s="480"/>
      <c r="BD445" s="480"/>
      <c r="BE445" s="213"/>
      <c r="BF445" s="479"/>
      <c r="BG445" s="479"/>
      <c r="BH445" s="372"/>
      <c r="BI445" s="472"/>
      <c r="BJ445" s="481"/>
      <c r="BK445" s="310"/>
      <c r="BL445" s="310">
        <f t="shared" si="1"/>
        <v>0</v>
      </c>
      <c r="BM445" s="7"/>
    </row>
    <row r="446" spans="1:65" ht="21.75" customHeight="1">
      <c r="A446" s="486">
        <v>15.7</v>
      </c>
      <c r="B446" s="487" t="s">
        <v>967</v>
      </c>
      <c r="C446" s="488" t="s">
        <v>968</v>
      </c>
      <c r="D446" s="515" t="s">
        <v>183</v>
      </c>
      <c r="E446" s="477"/>
      <c r="F446" s="477"/>
      <c r="G446" s="477"/>
      <c r="H446" s="477"/>
      <c r="I446" s="477"/>
      <c r="J446" s="477"/>
      <c r="K446" s="213"/>
      <c r="L446" s="478"/>
      <c r="M446" s="478"/>
      <c r="N446" s="478"/>
      <c r="O446" s="478"/>
      <c r="P446" s="478"/>
      <c r="Q446" s="478"/>
      <c r="R446" s="478"/>
      <c r="S446" s="478"/>
      <c r="T446" s="478"/>
      <c r="U446" s="478"/>
      <c r="V446" s="479"/>
      <c r="W446" s="478"/>
      <c r="X446" s="478"/>
      <c r="Y446" s="478"/>
      <c r="Z446" s="478"/>
      <c r="AA446" s="478"/>
      <c r="AB446" s="478"/>
      <c r="AC446" s="478"/>
      <c r="AD446" s="478"/>
      <c r="AE446" s="478"/>
      <c r="AF446" s="213"/>
      <c r="AG446" s="480"/>
      <c r="AH446" s="480"/>
      <c r="AI446" s="480"/>
      <c r="AJ446" s="480"/>
      <c r="AK446" s="480"/>
      <c r="AL446" s="480"/>
      <c r="AM446" s="480"/>
      <c r="AN446" s="480"/>
      <c r="AO446" s="480"/>
      <c r="AP446" s="480"/>
      <c r="AQ446" s="480"/>
      <c r="AR446" s="480"/>
      <c r="AS446" s="480"/>
      <c r="AT446" s="480"/>
      <c r="AU446" s="480"/>
      <c r="AV446" s="480"/>
      <c r="AW446" s="480"/>
      <c r="AX446" s="480"/>
      <c r="AY446" s="480"/>
      <c r="AZ446" s="480"/>
      <c r="BA446" s="480"/>
      <c r="BB446" s="480"/>
      <c r="BC446" s="480"/>
      <c r="BD446" s="480"/>
      <c r="BE446" s="213"/>
      <c r="BF446" s="479"/>
      <c r="BG446" s="479"/>
      <c r="BH446" s="372"/>
      <c r="BI446" s="472"/>
      <c r="BJ446" s="481"/>
      <c r="BK446" s="310"/>
      <c r="BL446" s="310">
        <f t="shared" si="1"/>
        <v>0</v>
      </c>
      <c r="BM446" s="7"/>
    </row>
    <row r="447" spans="1:65" ht="42" customHeight="1">
      <c r="A447" s="519"/>
      <c r="B447" s="801" t="s">
        <v>969</v>
      </c>
      <c r="C447" s="771"/>
      <c r="D447" s="491" t="s">
        <v>970</v>
      </c>
      <c r="E447" s="500"/>
      <c r="F447" s="500">
        <v>943.2</v>
      </c>
      <c r="G447" s="500"/>
      <c r="H447" s="500"/>
      <c r="I447" s="500"/>
      <c r="J447" s="500">
        <v>5529</v>
      </c>
      <c r="K447" s="231"/>
      <c r="L447" s="529">
        <v>700</v>
      </c>
      <c r="M447" s="529"/>
      <c r="N447" s="529"/>
      <c r="O447" s="529"/>
      <c r="P447" s="529"/>
      <c r="Q447" s="529"/>
      <c r="R447" s="529"/>
      <c r="S447" s="529"/>
      <c r="T447" s="529"/>
      <c r="U447" s="529">
        <v>323000</v>
      </c>
      <c r="V447" s="530">
        <v>2250</v>
      </c>
      <c r="W447" s="529"/>
      <c r="X447" s="529"/>
      <c r="Y447" s="529">
        <v>1500000</v>
      </c>
      <c r="Z447" s="529"/>
      <c r="AA447" s="529">
        <v>337600</v>
      </c>
      <c r="AB447" s="529"/>
      <c r="AC447" s="529">
        <v>75083</v>
      </c>
      <c r="AD447" s="529">
        <v>4000</v>
      </c>
      <c r="AE447" s="529"/>
      <c r="AF447" s="231"/>
      <c r="AG447" s="531"/>
      <c r="AH447" s="531"/>
      <c r="AI447" s="531"/>
      <c r="AJ447" s="531"/>
      <c r="AK447" s="531"/>
      <c r="AL447" s="531"/>
      <c r="AM447" s="531"/>
      <c r="AN447" s="531"/>
      <c r="AO447" s="531"/>
      <c r="AP447" s="531"/>
      <c r="AQ447" s="531"/>
      <c r="AR447" s="531"/>
      <c r="AS447" s="531"/>
      <c r="AT447" s="531"/>
      <c r="AU447" s="531"/>
      <c r="AV447" s="531"/>
      <c r="AW447" s="531"/>
      <c r="AX447" s="531"/>
      <c r="AY447" s="531"/>
      <c r="AZ447" s="531"/>
      <c r="BA447" s="531"/>
      <c r="BB447" s="531"/>
      <c r="BC447" s="531"/>
      <c r="BD447" s="531"/>
      <c r="BE447" s="231"/>
      <c r="BF447" s="530"/>
      <c r="BG447" s="530">
        <v>450</v>
      </c>
      <c r="BH447" s="385"/>
      <c r="BI447" s="472"/>
      <c r="BJ447" s="532"/>
      <c r="BK447" s="533"/>
      <c r="BL447" s="310">
        <f t="shared" si="1"/>
        <v>2249555.2000000002</v>
      </c>
      <c r="BM447" s="7"/>
    </row>
    <row r="448" spans="1:65" ht="21.75" customHeight="1">
      <c r="A448" s="534"/>
      <c r="B448" s="535"/>
      <c r="C448" s="535"/>
      <c r="D448" s="536"/>
      <c r="E448" s="537"/>
      <c r="F448" s="537"/>
      <c r="G448" s="537"/>
      <c r="H448" s="537"/>
      <c r="I448" s="537"/>
      <c r="J448" s="537"/>
      <c r="K448" s="538"/>
      <c r="L448" s="538"/>
      <c r="M448" s="538"/>
      <c r="N448" s="538"/>
      <c r="O448" s="538"/>
      <c r="P448" s="538"/>
      <c r="Q448" s="538"/>
      <c r="R448" s="538"/>
      <c r="S448" s="539"/>
      <c r="T448" s="539"/>
      <c r="U448" s="539"/>
      <c r="V448" s="537"/>
      <c r="W448" s="539"/>
      <c r="X448" s="539"/>
      <c r="Y448" s="539"/>
      <c r="Z448" s="537"/>
      <c r="AA448" s="537"/>
      <c r="AB448" s="537"/>
      <c r="AC448" s="537"/>
      <c r="AD448" s="537"/>
      <c r="AE448" s="537"/>
      <c r="AF448" s="540"/>
      <c r="AG448" s="537"/>
      <c r="AH448" s="537"/>
      <c r="AI448" s="537"/>
      <c r="AJ448" s="537"/>
      <c r="AK448" s="537"/>
      <c r="AL448" s="537"/>
      <c r="AM448" s="537"/>
      <c r="AN448" s="537"/>
      <c r="AO448" s="537"/>
      <c r="AP448" s="537"/>
      <c r="AQ448" s="537"/>
      <c r="AR448" s="537"/>
      <c r="AS448" s="537"/>
      <c r="AT448" s="537"/>
      <c r="AU448" s="537"/>
      <c r="AV448" s="537"/>
      <c r="AW448" s="537"/>
      <c r="AX448" s="537"/>
      <c r="AY448" s="537"/>
      <c r="AZ448" s="537"/>
      <c r="BA448" s="537"/>
      <c r="BB448" s="537"/>
      <c r="BC448" s="537"/>
      <c r="BD448" s="537"/>
      <c r="BE448" s="540"/>
      <c r="BF448" s="537"/>
      <c r="BG448" s="537"/>
      <c r="BH448" s="239"/>
      <c r="BI448" s="239"/>
      <c r="BJ448" s="36"/>
      <c r="BK448" s="174"/>
      <c r="BL448" s="174"/>
      <c r="BM448" s="7"/>
    </row>
    <row r="449" spans="1:65" ht="15.75" customHeight="1">
      <c r="A449" s="541"/>
      <c r="B449" s="542" t="s">
        <v>1523</v>
      </c>
      <c r="C449" s="542"/>
      <c r="D449" s="541"/>
      <c r="E449" s="542"/>
      <c r="F449" s="542"/>
      <c r="G449" s="542"/>
      <c r="H449" s="542"/>
      <c r="I449" s="542"/>
      <c r="J449" s="542"/>
      <c r="K449" s="543"/>
      <c r="L449" s="543"/>
      <c r="M449" s="543"/>
      <c r="N449" s="543"/>
      <c r="O449" s="543"/>
      <c r="P449" s="543"/>
      <c r="Q449" s="543"/>
      <c r="R449" s="543"/>
      <c r="S449" s="539"/>
      <c r="T449" s="539"/>
      <c r="U449" s="539"/>
      <c r="V449" s="542"/>
      <c r="W449" s="539"/>
      <c r="X449" s="539"/>
      <c r="Y449" s="539"/>
      <c r="Z449" s="542"/>
      <c r="AA449" s="542"/>
      <c r="AB449" s="542"/>
      <c r="AC449" s="542"/>
      <c r="AD449" s="542"/>
      <c r="AE449" s="542"/>
      <c r="AF449" s="544"/>
      <c r="AG449" s="542"/>
      <c r="AH449" s="542"/>
      <c r="AI449" s="542"/>
      <c r="AJ449" s="542"/>
      <c r="AK449" s="542"/>
      <c r="AL449" s="542"/>
      <c r="AM449" s="542"/>
      <c r="AN449" s="542"/>
      <c r="AO449" s="542"/>
      <c r="AP449" s="542"/>
      <c r="AQ449" s="542"/>
      <c r="AR449" s="542"/>
      <c r="AS449" s="542"/>
      <c r="AT449" s="542"/>
      <c r="AU449" s="542"/>
      <c r="AV449" s="542"/>
      <c r="AW449" s="542"/>
      <c r="AX449" s="542"/>
      <c r="AY449" s="542"/>
      <c r="AZ449" s="542"/>
      <c r="BA449" s="542"/>
      <c r="BB449" s="542"/>
      <c r="BC449" s="542"/>
      <c r="BD449" s="542"/>
      <c r="BE449" s="544"/>
      <c r="BF449" s="542"/>
      <c r="BG449" s="542"/>
      <c r="BH449" s="239"/>
      <c r="BI449" s="239"/>
      <c r="BJ449" s="36"/>
      <c r="BK449" s="174"/>
      <c r="BL449" s="174"/>
      <c r="BM449" s="7"/>
    </row>
    <row r="450" spans="1:65" ht="15.75" customHeight="1">
      <c r="A450" s="541"/>
      <c r="B450" s="545" t="s">
        <v>1524</v>
      </c>
      <c r="C450" s="542" t="s">
        <v>1525</v>
      </c>
      <c r="D450" s="541"/>
      <c r="E450" s="542"/>
      <c r="F450" s="542"/>
      <c r="G450" s="542"/>
      <c r="H450" s="542"/>
      <c r="I450" s="542"/>
      <c r="J450" s="542"/>
      <c r="K450" s="543"/>
      <c r="L450" s="543"/>
      <c r="M450" s="543"/>
      <c r="N450" s="543"/>
      <c r="O450" s="542"/>
      <c r="P450" s="542"/>
      <c r="Q450" s="542"/>
      <c r="R450" s="539"/>
      <c r="S450" s="539"/>
      <c r="T450" s="539"/>
      <c r="U450" s="539"/>
      <c r="V450" s="542"/>
      <c r="W450" s="539"/>
      <c r="X450" s="539"/>
      <c r="Y450" s="539"/>
      <c r="Z450" s="542"/>
      <c r="AA450" s="542"/>
      <c r="AB450" s="542"/>
      <c r="AC450" s="542"/>
      <c r="AD450" s="542"/>
      <c r="AE450" s="542"/>
      <c r="AF450" s="544"/>
      <c r="AG450" s="542"/>
      <c r="AH450" s="542"/>
      <c r="AI450" s="542"/>
      <c r="AJ450" s="542"/>
      <c r="AK450" s="542"/>
      <c r="AL450" s="542"/>
      <c r="AM450" s="542"/>
      <c r="AN450" s="542"/>
      <c r="AO450" s="542"/>
      <c r="AP450" s="542"/>
      <c r="AQ450" s="542"/>
      <c r="AR450" s="542"/>
      <c r="AS450" s="542"/>
      <c r="AT450" s="542"/>
      <c r="AU450" s="542"/>
      <c r="AV450" s="542"/>
      <c r="AW450" s="542"/>
      <c r="AX450" s="542"/>
      <c r="AY450" s="542"/>
      <c r="AZ450" s="542"/>
      <c r="BA450" s="542"/>
      <c r="BB450" s="542"/>
      <c r="BC450" s="542"/>
      <c r="BD450" s="542"/>
      <c r="BE450" s="544"/>
      <c r="BF450" s="542"/>
      <c r="BG450" s="542"/>
      <c r="BH450" s="239"/>
      <c r="BI450" s="239"/>
      <c r="BJ450" s="36"/>
      <c r="BK450" s="174"/>
      <c r="BL450" s="174"/>
      <c r="BM450" s="7"/>
    </row>
    <row r="451" spans="1:65" ht="15.75" customHeight="1">
      <c r="A451" s="541"/>
      <c r="B451" s="545" t="s">
        <v>1526</v>
      </c>
      <c r="C451" s="542" t="s">
        <v>1527</v>
      </c>
      <c r="D451" s="541"/>
      <c r="E451" s="542"/>
      <c r="F451" s="542"/>
      <c r="G451" s="542"/>
      <c r="H451" s="542"/>
      <c r="I451" s="542"/>
      <c r="J451" s="542"/>
      <c r="K451" s="542"/>
      <c r="L451" s="542"/>
      <c r="M451" s="542"/>
      <c r="N451" s="542"/>
      <c r="O451" s="542"/>
      <c r="P451" s="542"/>
      <c r="Q451" s="542"/>
      <c r="R451" s="542"/>
      <c r="S451" s="542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4"/>
      <c r="AG451" s="542"/>
      <c r="AH451" s="542"/>
      <c r="AI451" s="542"/>
      <c r="AJ451" s="542"/>
      <c r="AK451" s="542"/>
      <c r="AL451" s="542"/>
      <c r="AM451" s="542"/>
      <c r="AN451" s="542"/>
      <c r="AO451" s="542"/>
      <c r="AP451" s="542"/>
      <c r="AQ451" s="542"/>
      <c r="AR451" s="542"/>
      <c r="AS451" s="542"/>
      <c r="AT451" s="542"/>
      <c r="AU451" s="542"/>
      <c r="AV451" s="542"/>
      <c r="AW451" s="542"/>
      <c r="AX451" s="542"/>
      <c r="AY451" s="542"/>
      <c r="AZ451" s="542"/>
      <c r="BA451" s="542"/>
      <c r="BB451" s="542"/>
      <c r="BC451" s="542"/>
      <c r="BD451" s="542"/>
      <c r="BE451" s="544"/>
      <c r="BF451" s="542"/>
      <c r="BG451" s="542"/>
      <c r="BH451" s="239"/>
      <c r="BI451" s="239"/>
      <c r="BJ451" s="36"/>
      <c r="BK451" s="174"/>
      <c r="BL451" s="174"/>
      <c r="BM451" s="7"/>
    </row>
    <row r="452" spans="1:65" ht="15.75" customHeight="1">
      <c r="A452" s="541"/>
      <c r="B452" s="545"/>
      <c r="C452" s="542"/>
      <c r="D452" s="541"/>
      <c r="E452" s="542"/>
      <c r="F452" s="542"/>
      <c r="G452" s="542"/>
      <c r="H452" s="542"/>
      <c r="I452" s="542"/>
      <c r="J452" s="542"/>
      <c r="K452" s="542"/>
      <c r="L452" s="542"/>
      <c r="M452" s="542"/>
      <c r="N452" s="542"/>
      <c r="O452" s="542"/>
      <c r="P452" s="542"/>
      <c r="Q452" s="542"/>
      <c r="R452" s="542"/>
      <c r="S452" s="542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4"/>
      <c r="AG452" s="542"/>
      <c r="AH452" s="542"/>
      <c r="AI452" s="542"/>
      <c r="AJ452" s="542"/>
      <c r="AK452" s="542"/>
      <c r="AL452" s="542"/>
      <c r="AM452" s="542"/>
      <c r="AN452" s="542"/>
      <c r="AO452" s="542"/>
      <c r="AP452" s="542"/>
      <c r="AQ452" s="542"/>
      <c r="AR452" s="542"/>
      <c r="AS452" s="542"/>
      <c r="AT452" s="542"/>
      <c r="AU452" s="542"/>
      <c r="AV452" s="542"/>
      <c r="AW452" s="542"/>
      <c r="AX452" s="542"/>
      <c r="AY452" s="542"/>
      <c r="AZ452" s="542"/>
      <c r="BA452" s="542"/>
      <c r="BB452" s="542"/>
      <c r="BC452" s="542"/>
      <c r="BD452" s="542"/>
      <c r="BE452" s="544"/>
      <c r="BF452" s="542"/>
      <c r="BG452" s="542"/>
      <c r="BH452" s="239"/>
      <c r="BI452" s="239"/>
      <c r="BJ452" s="36"/>
      <c r="BK452" s="174"/>
      <c r="BL452" s="174"/>
      <c r="BM452" s="7"/>
    </row>
    <row r="453" spans="1:65" ht="15.75" customHeight="1">
      <c r="A453" s="541"/>
      <c r="B453" s="802" t="s">
        <v>1528</v>
      </c>
      <c r="C453" s="791"/>
      <c r="D453" s="541"/>
      <c r="E453" s="542"/>
      <c r="F453" s="542"/>
      <c r="G453" s="542"/>
      <c r="H453" s="542"/>
      <c r="I453" s="542"/>
      <c r="J453" s="542"/>
      <c r="K453" s="542"/>
      <c r="L453" s="542"/>
      <c r="M453" s="542"/>
      <c r="N453" s="542"/>
      <c r="O453" s="542"/>
      <c r="P453" s="542"/>
      <c r="Q453" s="542"/>
      <c r="R453" s="542"/>
      <c r="S453" s="542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4"/>
      <c r="AG453" s="542"/>
      <c r="AH453" s="542"/>
      <c r="AI453" s="542"/>
      <c r="AJ453" s="542"/>
      <c r="AK453" s="542"/>
      <c r="AL453" s="542"/>
      <c r="AM453" s="542"/>
      <c r="AN453" s="542"/>
      <c r="AO453" s="542"/>
      <c r="AP453" s="542"/>
      <c r="AQ453" s="542"/>
      <c r="AR453" s="542"/>
      <c r="AS453" s="542"/>
      <c r="AT453" s="542"/>
      <c r="AU453" s="542"/>
      <c r="AV453" s="542"/>
      <c r="AW453" s="542"/>
      <c r="AX453" s="542"/>
      <c r="AY453" s="542"/>
      <c r="AZ453" s="542"/>
      <c r="BA453" s="542"/>
      <c r="BB453" s="542"/>
      <c r="BC453" s="542"/>
      <c r="BD453" s="542"/>
      <c r="BE453" s="544"/>
      <c r="BF453" s="542"/>
      <c r="BG453" s="542"/>
      <c r="BH453" s="239"/>
      <c r="BI453" s="239"/>
      <c r="BJ453" s="36"/>
      <c r="BK453" s="174"/>
      <c r="BL453" s="174"/>
      <c r="BM453" s="7"/>
    </row>
    <row r="454" spans="1:65" ht="15.75" customHeight="1">
      <c r="A454" s="541"/>
      <c r="B454" s="790" t="s">
        <v>1529</v>
      </c>
      <c r="C454" s="791"/>
      <c r="D454" s="541" t="s">
        <v>1530</v>
      </c>
      <c r="E454" s="542"/>
      <c r="F454" s="542"/>
      <c r="G454" s="542"/>
      <c r="H454" s="542"/>
      <c r="I454" s="542"/>
      <c r="J454" s="542"/>
      <c r="K454" s="542"/>
      <c r="L454" s="542"/>
      <c r="M454" s="542"/>
      <c r="N454" s="542"/>
      <c r="O454" s="542"/>
      <c r="P454" s="542"/>
      <c r="Q454" s="542"/>
      <c r="R454" s="542"/>
      <c r="S454" s="542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4"/>
      <c r="AG454" s="542"/>
      <c r="AH454" s="542"/>
      <c r="AI454" s="542"/>
      <c r="AJ454" s="542"/>
      <c r="AK454" s="542"/>
      <c r="AL454" s="542"/>
      <c r="AM454" s="542"/>
      <c r="AN454" s="542"/>
      <c r="AO454" s="542"/>
      <c r="AP454" s="542"/>
      <c r="AQ454" s="542"/>
      <c r="AR454" s="542"/>
      <c r="AS454" s="542"/>
      <c r="AT454" s="542"/>
      <c r="AU454" s="542"/>
      <c r="AV454" s="542"/>
      <c r="AW454" s="542"/>
      <c r="AX454" s="542"/>
      <c r="AY454" s="542"/>
      <c r="AZ454" s="542"/>
      <c r="BA454" s="542"/>
      <c r="BB454" s="542"/>
      <c r="BC454" s="542"/>
      <c r="BD454" s="542"/>
      <c r="BE454" s="544"/>
      <c r="BF454" s="542"/>
      <c r="BG454" s="542"/>
      <c r="BH454" s="239"/>
      <c r="BI454" s="239"/>
      <c r="BJ454" s="36"/>
      <c r="BK454" s="174"/>
      <c r="BL454" s="174"/>
      <c r="BM454" s="7"/>
    </row>
    <row r="455" spans="1:65" ht="15.75" customHeight="1">
      <c r="A455" s="541"/>
      <c r="B455" s="545"/>
      <c r="C455" s="542"/>
      <c r="D455" s="541"/>
      <c r="E455" s="542"/>
      <c r="F455" s="542"/>
      <c r="G455" s="542"/>
      <c r="H455" s="542"/>
      <c r="I455" s="542"/>
      <c r="J455" s="542"/>
      <c r="K455" s="542"/>
      <c r="L455" s="542"/>
      <c r="M455" s="542"/>
      <c r="N455" s="542"/>
      <c r="O455" s="542"/>
      <c r="P455" s="542"/>
      <c r="Q455" s="542"/>
      <c r="R455" s="542"/>
      <c r="S455" s="542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4"/>
      <c r="AG455" s="542"/>
      <c r="AH455" s="542"/>
      <c r="AI455" s="542"/>
      <c r="AJ455" s="542"/>
      <c r="AK455" s="542"/>
      <c r="AL455" s="542"/>
      <c r="AM455" s="542"/>
      <c r="AN455" s="542"/>
      <c r="AO455" s="542"/>
      <c r="AP455" s="542"/>
      <c r="AQ455" s="542"/>
      <c r="AR455" s="542"/>
      <c r="AS455" s="542"/>
      <c r="AT455" s="542"/>
      <c r="AU455" s="542"/>
      <c r="AV455" s="542"/>
      <c r="AW455" s="542"/>
      <c r="AX455" s="542"/>
      <c r="AY455" s="542"/>
      <c r="AZ455" s="542"/>
      <c r="BA455" s="542"/>
      <c r="BB455" s="542"/>
      <c r="BC455" s="542"/>
      <c r="BD455" s="542"/>
      <c r="BE455" s="544"/>
      <c r="BF455" s="542"/>
      <c r="BG455" s="542"/>
      <c r="BH455" s="239"/>
      <c r="BI455" s="239"/>
      <c r="BJ455" s="36"/>
      <c r="BK455" s="174"/>
      <c r="BL455" s="174"/>
      <c r="BM455" s="7"/>
    </row>
    <row r="456" spans="1:65" ht="15.75" customHeight="1">
      <c r="A456" s="546" t="s">
        <v>971</v>
      </c>
      <c r="B456" s="547"/>
      <c r="C456" s="547"/>
      <c r="D456" s="547"/>
      <c r="E456" s="547"/>
      <c r="F456" s="547"/>
      <c r="G456" s="547"/>
      <c r="H456" s="547"/>
      <c r="I456" s="547"/>
      <c r="J456" s="547"/>
      <c r="K456" s="547"/>
      <c r="L456" s="547"/>
      <c r="M456" s="547"/>
      <c r="N456" s="547"/>
      <c r="O456" s="547"/>
      <c r="P456" s="547"/>
      <c r="Q456" s="547"/>
      <c r="R456" s="547"/>
      <c r="S456" s="547"/>
      <c r="T456" s="547"/>
      <c r="U456" s="547"/>
      <c r="V456" s="547"/>
      <c r="W456" s="547"/>
      <c r="X456" s="547"/>
      <c r="Y456" s="547"/>
      <c r="Z456" s="547"/>
      <c r="AA456" s="547"/>
      <c r="AB456" s="547"/>
      <c r="AC456" s="547"/>
      <c r="AD456" s="547"/>
      <c r="AE456" s="547"/>
      <c r="AF456" s="548"/>
      <c r="AG456" s="547"/>
      <c r="AH456" s="547"/>
      <c r="AI456" s="547"/>
      <c r="AJ456" s="547"/>
      <c r="AK456" s="547"/>
      <c r="AL456" s="547"/>
      <c r="AM456" s="547"/>
      <c r="AN456" s="547"/>
      <c r="AO456" s="547"/>
      <c r="AP456" s="547"/>
      <c r="AQ456" s="547"/>
      <c r="AR456" s="547"/>
      <c r="AS456" s="547"/>
      <c r="AT456" s="547"/>
      <c r="AU456" s="547"/>
      <c r="AV456" s="547"/>
      <c r="AW456" s="547"/>
      <c r="AX456" s="547"/>
      <c r="AY456" s="547"/>
      <c r="AZ456" s="547"/>
      <c r="BA456" s="547"/>
      <c r="BB456" s="547"/>
      <c r="BC456" s="547"/>
      <c r="BD456" s="547"/>
      <c r="BE456" s="548"/>
      <c r="BF456" s="547"/>
      <c r="BG456" s="547"/>
      <c r="BH456" s="239"/>
      <c r="BI456" s="239"/>
      <c r="BJ456" s="36"/>
      <c r="BK456" s="174"/>
      <c r="BL456" s="174"/>
      <c r="BM456" s="7"/>
    </row>
    <row r="457" spans="1:65" ht="15.75" customHeight="1">
      <c r="A457" s="549" t="s">
        <v>972</v>
      </c>
      <c r="B457" s="550"/>
      <c r="C457" s="550"/>
      <c r="D457" s="550"/>
      <c r="E457" s="550"/>
      <c r="F457" s="550"/>
      <c r="G457" s="550"/>
      <c r="H457" s="550"/>
      <c r="I457" s="550"/>
      <c r="J457" s="550"/>
      <c r="K457" s="550"/>
      <c r="L457" s="550"/>
      <c r="M457" s="550"/>
      <c r="N457" s="550"/>
      <c r="O457" s="550"/>
      <c r="P457" s="550"/>
      <c r="Q457" s="550"/>
      <c r="R457" s="550"/>
      <c r="S457" s="550"/>
      <c r="T457" s="550"/>
      <c r="U457" s="550"/>
      <c r="V457" s="550"/>
      <c r="W457" s="550"/>
      <c r="X457" s="550"/>
      <c r="Y457" s="550"/>
      <c r="Z457" s="550"/>
      <c r="AA457" s="550"/>
      <c r="AB457" s="550"/>
      <c r="AC457" s="550"/>
      <c r="AD457" s="550"/>
      <c r="AE457" s="550"/>
      <c r="AF457" s="551"/>
      <c r="AG457" s="550"/>
      <c r="AH457" s="550"/>
      <c r="AI457" s="550"/>
      <c r="AJ457" s="550"/>
      <c r="AK457" s="550"/>
      <c r="AL457" s="550"/>
      <c r="AM457" s="550"/>
      <c r="AN457" s="550"/>
      <c r="AO457" s="550"/>
      <c r="AP457" s="550"/>
      <c r="AQ457" s="550"/>
      <c r="AR457" s="550"/>
      <c r="AS457" s="550"/>
      <c r="AT457" s="550"/>
      <c r="AU457" s="550"/>
      <c r="AV457" s="550"/>
      <c r="AW457" s="550"/>
      <c r="AX457" s="550"/>
      <c r="AY457" s="550"/>
      <c r="AZ457" s="550"/>
      <c r="BA457" s="550"/>
      <c r="BB457" s="550"/>
      <c r="BC457" s="550"/>
      <c r="BD457" s="550"/>
      <c r="BE457" s="551"/>
      <c r="BF457" s="550"/>
      <c r="BG457" s="550"/>
      <c r="BH457" s="239"/>
      <c r="BI457" s="239"/>
      <c r="BJ457" s="36"/>
      <c r="BK457" s="174"/>
      <c r="BL457" s="174"/>
      <c r="BM457" s="7"/>
    </row>
    <row r="458" spans="1:65" ht="15.75" customHeight="1">
      <c r="A458" s="546"/>
      <c r="B458" s="547"/>
      <c r="C458" s="547"/>
      <c r="D458" s="546"/>
      <c r="E458" s="547"/>
      <c r="F458" s="547"/>
      <c r="G458" s="547"/>
      <c r="H458" s="547"/>
      <c r="I458" s="547"/>
      <c r="J458" s="547"/>
      <c r="K458" s="547"/>
      <c r="L458" s="547"/>
      <c r="M458" s="547"/>
      <c r="N458" s="547"/>
      <c r="O458" s="547"/>
      <c r="P458" s="547"/>
      <c r="Q458" s="547"/>
      <c r="R458" s="547"/>
      <c r="S458" s="547"/>
      <c r="T458" s="547"/>
      <c r="U458" s="547"/>
      <c r="V458" s="547"/>
      <c r="W458" s="547"/>
      <c r="X458" s="547"/>
      <c r="Y458" s="547"/>
      <c r="Z458" s="547"/>
      <c r="AA458" s="547"/>
      <c r="AB458" s="547"/>
      <c r="AC458" s="547"/>
      <c r="AD458" s="547"/>
      <c r="AE458" s="547"/>
      <c r="AF458" s="548"/>
      <c r="AG458" s="547"/>
      <c r="AH458" s="547"/>
      <c r="AI458" s="547"/>
      <c r="AJ458" s="547"/>
      <c r="AK458" s="547"/>
      <c r="AL458" s="547"/>
      <c r="AM458" s="547"/>
      <c r="AN458" s="547"/>
      <c r="AO458" s="547"/>
      <c r="AP458" s="547"/>
      <c r="AQ458" s="547"/>
      <c r="AR458" s="547"/>
      <c r="AS458" s="547"/>
      <c r="AT458" s="547"/>
      <c r="AU458" s="547"/>
      <c r="AV458" s="547"/>
      <c r="AW458" s="547"/>
      <c r="AX458" s="547"/>
      <c r="AY458" s="547"/>
      <c r="AZ458" s="547"/>
      <c r="BA458" s="547"/>
      <c r="BB458" s="547"/>
      <c r="BC458" s="547"/>
      <c r="BD458" s="547"/>
      <c r="BE458" s="548"/>
      <c r="BF458" s="547"/>
      <c r="BG458" s="547"/>
      <c r="BH458" s="239"/>
      <c r="BI458" s="239"/>
      <c r="BJ458" s="36"/>
      <c r="BK458" s="174"/>
      <c r="BL458" s="174"/>
      <c r="BM458" s="7"/>
    </row>
    <row r="459" spans="1:65" ht="15.75" customHeight="1">
      <c r="A459" s="546"/>
      <c r="B459" s="547"/>
      <c r="C459" s="547"/>
      <c r="D459" s="546"/>
      <c r="E459" s="547"/>
      <c r="F459" s="547"/>
      <c r="G459" s="547"/>
      <c r="H459" s="547"/>
      <c r="I459" s="547"/>
      <c r="J459" s="547"/>
      <c r="K459" s="547"/>
      <c r="L459" s="547"/>
      <c r="M459" s="547"/>
      <c r="N459" s="547"/>
      <c r="O459" s="547"/>
      <c r="P459" s="547"/>
      <c r="Q459" s="547"/>
      <c r="R459" s="547"/>
      <c r="S459" s="547"/>
      <c r="T459" s="547"/>
      <c r="U459" s="547"/>
      <c r="V459" s="547"/>
      <c r="W459" s="547"/>
      <c r="X459" s="547"/>
      <c r="Y459" s="547"/>
      <c r="Z459" s="547"/>
      <c r="AA459" s="547"/>
      <c r="AB459" s="547"/>
      <c r="AC459" s="547"/>
      <c r="AD459" s="547"/>
      <c r="AE459" s="547"/>
      <c r="AF459" s="548"/>
      <c r="AG459" s="547"/>
      <c r="AH459" s="547"/>
      <c r="AI459" s="547"/>
      <c r="AJ459" s="547"/>
      <c r="AK459" s="547"/>
      <c r="AL459" s="547"/>
      <c r="AM459" s="547"/>
      <c r="AN459" s="547"/>
      <c r="AO459" s="547"/>
      <c r="AP459" s="547"/>
      <c r="AQ459" s="547"/>
      <c r="AR459" s="547"/>
      <c r="AS459" s="547"/>
      <c r="AT459" s="547"/>
      <c r="AU459" s="547"/>
      <c r="AV459" s="547"/>
      <c r="AW459" s="547"/>
      <c r="AX459" s="547"/>
      <c r="AY459" s="547"/>
      <c r="AZ459" s="547"/>
      <c r="BA459" s="547"/>
      <c r="BB459" s="547"/>
      <c r="BC459" s="547"/>
      <c r="BD459" s="547"/>
      <c r="BE459" s="548"/>
      <c r="BF459" s="547"/>
      <c r="BG459" s="547"/>
      <c r="BH459" s="547"/>
      <c r="BI459" s="547"/>
      <c r="BJ459" s="36"/>
      <c r="BK459" s="174"/>
      <c r="BL459" s="174"/>
      <c r="BM459" s="7"/>
    </row>
    <row r="460" spans="1:65" ht="15.75" customHeight="1">
      <c r="A460" s="546"/>
      <c r="B460" s="552"/>
      <c r="C460" s="547"/>
      <c r="D460" s="546"/>
      <c r="E460" s="547"/>
      <c r="F460" s="547"/>
      <c r="G460" s="547"/>
      <c r="H460" s="547"/>
      <c r="I460" s="547"/>
      <c r="J460" s="547"/>
      <c r="K460" s="547"/>
      <c r="L460" s="547"/>
      <c r="M460" s="547"/>
      <c r="N460" s="547"/>
      <c r="O460" s="547"/>
      <c r="P460" s="547"/>
      <c r="Q460" s="547"/>
      <c r="R460" s="547"/>
      <c r="S460" s="547"/>
      <c r="T460" s="547"/>
      <c r="U460" s="547"/>
      <c r="V460" s="547"/>
      <c r="W460" s="547"/>
      <c r="X460" s="547"/>
      <c r="Y460" s="547"/>
      <c r="Z460" s="547"/>
      <c r="AA460" s="547"/>
      <c r="AB460" s="547"/>
      <c r="AC460" s="547"/>
      <c r="AD460" s="547"/>
      <c r="AE460" s="547"/>
      <c r="AF460" s="548"/>
      <c r="AG460" s="547"/>
      <c r="AH460" s="547"/>
      <c r="AI460" s="547"/>
      <c r="AJ460" s="547"/>
      <c r="AK460" s="547"/>
      <c r="AL460" s="547"/>
      <c r="AM460" s="547"/>
      <c r="AN460" s="547"/>
      <c r="AO460" s="547"/>
      <c r="AP460" s="547"/>
      <c r="AQ460" s="547"/>
      <c r="AR460" s="547"/>
      <c r="AS460" s="547"/>
      <c r="AT460" s="547"/>
      <c r="AU460" s="547"/>
      <c r="AV460" s="547"/>
      <c r="AW460" s="547"/>
      <c r="AX460" s="547"/>
      <c r="AY460" s="547"/>
      <c r="AZ460" s="547"/>
      <c r="BA460" s="547"/>
      <c r="BB460" s="547"/>
      <c r="BC460" s="547"/>
      <c r="BD460" s="547"/>
      <c r="BE460" s="548"/>
      <c r="BF460" s="547"/>
      <c r="BG460" s="547"/>
      <c r="BH460" s="547"/>
      <c r="BI460" s="547"/>
      <c r="BJ460" s="36"/>
      <c r="BK460" s="174"/>
      <c r="BL460" s="174"/>
      <c r="BM460" s="7"/>
    </row>
    <row r="461" spans="1:65" ht="15.75" customHeight="1">
      <c r="A461" s="546"/>
      <c r="B461" s="552"/>
      <c r="C461" s="547"/>
      <c r="D461" s="546"/>
      <c r="E461" s="547"/>
      <c r="F461" s="547"/>
      <c r="G461" s="547"/>
      <c r="H461" s="547"/>
      <c r="I461" s="547"/>
      <c r="J461" s="547"/>
      <c r="K461" s="547"/>
      <c r="L461" s="547"/>
      <c r="M461" s="547"/>
      <c r="N461" s="547"/>
      <c r="O461" s="547"/>
      <c r="P461" s="547"/>
      <c r="Q461" s="547"/>
      <c r="R461" s="547"/>
      <c r="S461" s="547"/>
      <c r="T461" s="547"/>
      <c r="U461" s="547"/>
      <c r="V461" s="547"/>
      <c r="W461" s="547"/>
      <c r="X461" s="547"/>
      <c r="Y461" s="547"/>
      <c r="Z461" s="547"/>
      <c r="AA461" s="547"/>
      <c r="AB461" s="547"/>
      <c r="AC461" s="547"/>
      <c r="AD461" s="547"/>
      <c r="AE461" s="547"/>
      <c r="AF461" s="548"/>
      <c r="AG461" s="547"/>
      <c r="AH461" s="547"/>
      <c r="AI461" s="547"/>
      <c r="AJ461" s="547"/>
      <c r="AK461" s="547"/>
      <c r="AL461" s="547"/>
      <c r="AM461" s="547"/>
      <c r="AN461" s="547"/>
      <c r="AO461" s="547"/>
      <c r="AP461" s="547"/>
      <c r="AQ461" s="547"/>
      <c r="AR461" s="547"/>
      <c r="AS461" s="547"/>
      <c r="AT461" s="547"/>
      <c r="AU461" s="547"/>
      <c r="AV461" s="547"/>
      <c r="AW461" s="547"/>
      <c r="AX461" s="547"/>
      <c r="AY461" s="547"/>
      <c r="AZ461" s="547"/>
      <c r="BA461" s="547"/>
      <c r="BB461" s="547"/>
      <c r="BC461" s="547"/>
      <c r="BD461" s="547"/>
      <c r="BE461" s="548"/>
      <c r="BF461" s="547"/>
      <c r="BG461" s="547"/>
      <c r="BH461" s="547"/>
      <c r="BI461" s="547"/>
      <c r="BJ461" s="36"/>
      <c r="BK461" s="174"/>
      <c r="BL461" s="174"/>
      <c r="BM461" s="7"/>
    </row>
    <row r="462" spans="1:65" ht="15.75" customHeight="1">
      <c r="A462" s="546"/>
      <c r="B462" s="552"/>
      <c r="C462" s="547"/>
      <c r="D462" s="546"/>
      <c r="E462" s="547"/>
      <c r="F462" s="547"/>
      <c r="G462" s="547"/>
      <c r="H462" s="547"/>
      <c r="I462" s="547"/>
      <c r="J462" s="547"/>
      <c r="K462" s="547"/>
      <c r="L462" s="547"/>
      <c r="M462" s="547"/>
      <c r="N462" s="547"/>
      <c r="O462" s="547"/>
      <c r="P462" s="547"/>
      <c r="Q462" s="547"/>
      <c r="R462" s="547"/>
      <c r="S462" s="547"/>
      <c r="T462" s="547"/>
      <c r="U462" s="547"/>
      <c r="V462" s="547"/>
      <c r="W462" s="547"/>
      <c r="X462" s="547"/>
      <c r="Y462" s="547"/>
      <c r="Z462" s="547"/>
      <c r="AA462" s="547"/>
      <c r="AB462" s="547"/>
      <c r="AC462" s="547"/>
      <c r="AD462" s="547"/>
      <c r="AE462" s="547"/>
      <c r="AF462" s="548"/>
      <c r="AG462" s="547"/>
      <c r="AH462" s="547"/>
      <c r="AI462" s="547"/>
      <c r="AJ462" s="547"/>
      <c r="AK462" s="547"/>
      <c r="AL462" s="547"/>
      <c r="AM462" s="547"/>
      <c r="AN462" s="547"/>
      <c r="AO462" s="547"/>
      <c r="AP462" s="547"/>
      <c r="AQ462" s="547"/>
      <c r="AR462" s="547"/>
      <c r="AS462" s="547"/>
      <c r="AT462" s="547"/>
      <c r="AU462" s="547"/>
      <c r="AV462" s="547"/>
      <c r="AW462" s="547"/>
      <c r="AX462" s="547"/>
      <c r="AY462" s="547"/>
      <c r="AZ462" s="547"/>
      <c r="BA462" s="547"/>
      <c r="BB462" s="547"/>
      <c r="BC462" s="547"/>
      <c r="BD462" s="547"/>
      <c r="BE462" s="548"/>
      <c r="BF462" s="547"/>
      <c r="BG462" s="547"/>
      <c r="BH462" s="547"/>
      <c r="BI462" s="547"/>
      <c r="BJ462" s="36"/>
      <c r="BK462" s="174"/>
      <c r="BL462" s="174"/>
      <c r="BM462" s="7"/>
    </row>
    <row r="463" spans="1:65" ht="15.75" customHeight="1">
      <c r="A463" s="546"/>
      <c r="B463" s="552"/>
      <c r="C463" s="547"/>
      <c r="D463" s="546"/>
      <c r="E463" s="547"/>
      <c r="F463" s="547"/>
      <c r="G463" s="547"/>
      <c r="H463" s="547"/>
      <c r="I463" s="547"/>
      <c r="J463" s="547"/>
      <c r="K463" s="547"/>
      <c r="L463" s="547"/>
      <c r="M463" s="547"/>
      <c r="N463" s="547"/>
      <c r="O463" s="547"/>
      <c r="P463" s="547"/>
      <c r="Q463" s="547"/>
      <c r="R463" s="547"/>
      <c r="S463" s="547"/>
      <c r="T463" s="547"/>
      <c r="U463" s="547"/>
      <c r="V463" s="547"/>
      <c r="W463" s="547"/>
      <c r="X463" s="547"/>
      <c r="Y463" s="547"/>
      <c r="Z463" s="547"/>
      <c r="AA463" s="547"/>
      <c r="AB463" s="547"/>
      <c r="AC463" s="547"/>
      <c r="AD463" s="547"/>
      <c r="AE463" s="547"/>
      <c r="AF463" s="548"/>
      <c r="AG463" s="547"/>
      <c r="AH463" s="547"/>
      <c r="AI463" s="547"/>
      <c r="AJ463" s="547"/>
      <c r="AK463" s="547"/>
      <c r="AL463" s="547"/>
      <c r="AM463" s="547"/>
      <c r="AN463" s="547"/>
      <c r="AO463" s="547"/>
      <c r="AP463" s="547"/>
      <c r="AQ463" s="547"/>
      <c r="AR463" s="547"/>
      <c r="AS463" s="547"/>
      <c r="AT463" s="547"/>
      <c r="AU463" s="547"/>
      <c r="AV463" s="547"/>
      <c r="AW463" s="547"/>
      <c r="AX463" s="547"/>
      <c r="AY463" s="547"/>
      <c r="AZ463" s="547"/>
      <c r="BA463" s="547"/>
      <c r="BB463" s="547"/>
      <c r="BC463" s="547"/>
      <c r="BD463" s="547"/>
      <c r="BE463" s="548"/>
      <c r="BF463" s="547"/>
      <c r="BG463" s="547"/>
      <c r="BH463" s="547"/>
      <c r="BI463" s="547"/>
      <c r="BJ463" s="36"/>
      <c r="BK463" s="174"/>
      <c r="BL463" s="174"/>
      <c r="BM463" s="7"/>
    </row>
    <row r="464" spans="1:65" ht="15.75" customHeight="1">
      <c r="A464" s="546"/>
      <c r="B464" s="552"/>
      <c r="C464" s="547"/>
      <c r="D464" s="546"/>
      <c r="E464" s="547"/>
      <c r="F464" s="547"/>
      <c r="G464" s="547"/>
      <c r="H464" s="547"/>
      <c r="I464" s="547"/>
      <c r="J464" s="547"/>
      <c r="K464" s="547"/>
      <c r="L464" s="547"/>
      <c r="M464" s="547"/>
      <c r="N464" s="547"/>
      <c r="O464" s="547"/>
      <c r="P464" s="547"/>
      <c r="Q464" s="547"/>
      <c r="R464" s="547"/>
      <c r="S464" s="547"/>
      <c r="T464" s="547"/>
      <c r="U464" s="547"/>
      <c r="V464" s="547"/>
      <c r="W464" s="547"/>
      <c r="X464" s="547"/>
      <c r="Y464" s="547"/>
      <c r="Z464" s="547"/>
      <c r="AA464" s="547"/>
      <c r="AB464" s="547"/>
      <c r="AC464" s="547"/>
      <c r="AD464" s="547"/>
      <c r="AE464" s="547"/>
      <c r="AF464" s="548"/>
      <c r="AG464" s="547"/>
      <c r="AH464" s="547"/>
      <c r="AI464" s="547"/>
      <c r="AJ464" s="547"/>
      <c r="AK464" s="547"/>
      <c r="AL464" s="547"/>
      <c r="AM464" s="547"/>
      <c r="AN464" s="547"/>
      <c r="AO464" s="547"/>
      <c r="AP464" s="547"/>
      <c r="AQ464" s="547"/>
      <c r="AR464" s="547"/>
      <c r="AS464" s="547"/>
      <c r="AT464" s="547"/>
      <c r="AU464" s="547"/>
      <c r="AV464" s="547"/>
      <c r="AW464" s="547"/>
      <c r="AX464" s="547"/>
      <c r="AY464" s="547"/>
      <c r="AZ464" s="547"/>
      <c r="BA464" s="547"/>
      <c r="BB464" s="547"/>
      <c r="BC464" s="547"/>
      <c r="BD464" s="547"/>
      <c r="BE464" s="548"/>
      <c r="BF464" s="547"/>
      <c r="BG464" s="547"/>
      <c r="BH464" s="547"/>
      <c r="BI464" s="547"/>
      <c r="BJ464" s="36"/>
      <c r="BK464" s="174"/>
      <c r="BL464" s="174"/>
      <c r="BM464" s="7"/>
    </row>
    <row r="465" spans="1:65" ht="15.75" customHeight="1">
      <c r="A465" s="546"/>
      <c r="B465" s="552"/>
      <c r="C465" s="547"/>
      <c r="D465" s="546"/>
      <c r="E465" s="547"/>
      <c r="F465" s="547"/>
      <c r="G465" s="547"/>
      <c r="H465" s="547"/>
      <c r="I465" s="547"/>
      <c r="J465" s="547"/>
      <c r="K465" s="547"/>
      <c r="L465" s="547"/>
      <c r="M465" s="547"/>
      <c r="N465" s="547"/>
      <c r="O465" s="547"/>
      <c r="P465" s="547"/>
      <c r="Q465" s="547"/>
      <c r="R465" s="547"/>
      <c r="S465" s="547"/>
      <c r="T465" s="547"/>
      <c r="U465" s="547"/>
      <c r="V465" s="547"/>
      <c r="W465" s="547"/>
      <c r="X465" s="547"/>
      <c r="Y465" s="547"/>
      <c r="Z465" s="547"/>
      <c r="AA465" s="547"/>
      <c r="AB465" s="547"/>
      <c r="AC465" s="547"/>
      <c r="AD465" s="547"/>
      <c r="AE465" s="547"/>
      <c r="AF465" s="548"/>
      <c r="AG465" s="547"/>
      <c r="AH465" s="547"/>
      <c r="AI465" s="547"/>
      <c r="AJ465" s="547"/>
      <c r="AK465" s="547"/>
      <c r="AL465" s="547"/>
      <c r="AM465" s="547"/>
      <c r="AN465" s="547"/>
      <c r="AO465" s="547"/>
      <c r="AP465" s="547"/>
      <c r="AQ465" s="547"/>
      <c r="AR465" s="547"/>
      <c r="AS465" s="547"/>
      <c r="AT465" s="547"/>
      <c r="AU465" s="547"/>
      <c r="AV465" s="547"/>
      <c r="AW465" s="547"/>
      <c r="AX465" s="547"/>
      <c r="AY465" s="547"/>
      <c r="AZ465" s="547"/>
      <c r="BA465" s="547"/>
      <c r="BB465" s="547"/>
      <c r="BC465" s="547"/>
      <c r="BD465" s="547"/>
      <c r="BE465" s="548"/>
      <c r="BF465" s="547"/>
      <c r="BG465" s="547"/>
      <c r="BH465" s="547"/>
      <c r="BI465" s="547"/>
      <c r="BJ465" s="36"/>
      <c r="BK465" s="174"/>
      <c r="BL465" s="174"/>
      <c r="BM465" s="7"/>
    </row>
    <row r="466" spans="1:65" ht="15.75" customHeight="1">
      <c r="A466" s="546"/>
      <c r="B466" s="552"/>
      <c r="C466" s="547"/>
      <c r="D466" s="546"/>
      <c r="E466" s="547"/>
      <c r="F466" s="547"/>
      <c r="G466" s="547"/>
      <c r="H466" s="547"/>
      <c r="I466" s="547"/>
      <c r="J466" s="547"/>
      <c r="K466" s="547"/>
      <c r="L466" s="547"/>
      <c r="M466" s="547"/>
      <c r="N466" s="547"/>
      <c r="O466" s="547"/>
      <c r="P466" s="547"/>
      <c r="Q466" s="547"/>
      <c r="R466" s="547"/>
      <c r="S466" s="547"/>
      <c r="T466" s="547"/>
      <c r="U466" s="547"/>
      <c r="V466" s="547"/>
      <c r="W466" s="547"/>
      <c r="X466" s="547"/>
      <c r="Y466" s="547"/>
      <c r="Z466" s="547"/>
      <c r="AA466" s="547"/>
      <c r="AB466" s="547"/>
      <c r="AC466" s="547"/>
      <c r="AD466" s="547"/>
      <c r="AE466" s="547"/>
      <c r="AF466" s="548"/>
      <c r="AG466" s="547"/>
      <c r="AH466" s="547"/>
      <c r="AI466" s="547"/>
      <c r="AJ466" s="547"/>
      <c r="AK466" s="547"/>
      <c r="AL466" s="547"/>
      <c r="AM466" s="547"/>
      <c r="AN466" s="547"/>
      <c r="AO466" s="547"/>
      <c r="AP466" s="547"/>
      <c r="AQ466" s="547"/>
      <c r="AR466" s="547"/>
      <c r="AS466" s="547"/>
      <c r="AT466" s="547"/>
      <c r="AU466" s="547"/>
      <c r="AV466" s="547"/>
      <c r="AW466" s="547"/>
      <c r="AX466" s="547"/>
      <c r="AY466" s="547"/>
      <c r="AZ466" s="547"/>
      <c r="BA466" s="547"/>
      <c r="BB466" s="547"/>
      <c r="BC466" s="547"/>
      <c r="BD466" s="547"/>
      <c r="BE466" s="548"/>
      <c r="BF466" s="547"/>
      <c r="BG466" s="547"/>
      <c r="BH466" s="547"/>
      <c r="BI466" s="547"/>
      <c r="BJ466" s="36"/>
      <c r="BK466" s="174"/>
      <c r="BL466" s="174"/>
      <c r="BM466" s="7"/>
    </row>
    <row r="467" spans="1:65" ht="15.75" customHeight="1">
      <c r="A467" s="546"/>
      <c r="B467" s="552"/>
      <c r="C467" s="547"/>
      <c r="D467" s="546"/>
      <c r="E467" s="547"/>
      <c r="F467" s="547"/>
      <c r="G467" s="547"/>
      <c r="H467" s="547"/>
      <c r="I467" s="547"/>
      <c r="J467" s="547"/>
      <c r="K467" s="547"/>
      <c r="L467" s="547"/>
      <c r="M467" s="547"/>
      <c r="N467" s="547"/>
      <c r="O467" s="547"/>
      <c r="P467" s="547"/>
      <c r="Q467" s="547"/>
      <c r="R467" s="547"/>
      <c r="S467" s="547"/>
      <c r="T467" s="547"/>
      <c r="U467" s="547"/>
      <c r="V467" s="547"/>
      <c r="W467" s="547"/>
      <c r="X467" s="547"/>
      <c r="Y467" s="547"/>
      <c r="Z467" s="547"/>
      <c r="AA467" s="547"/>
      <c r="AB467" s="547"/>
      <c r="AC467" s="547"/>
      <c r="AD467" s="547"/>
      <c r="AE467" s="547"/>
      <c r="AF467" s="548"/>
      <c r="AG467" s="547"/>
      <c r="AH467" s="547"/>
      <c r="AI467" s="547"/>
      <c r="AJ467" s="547"/>
      <c r="AK467" s="547"/>
      <c r="AL467" s="547"/>
      <c r="AM467" s="547"/>
      <c r="AN467" s="547"/>
      <c r="AO467" s="547"/>
      <c r="AP467" s="547"/>
      <c r="AQ467" s="547"/>
      <c r="AR467" s="547"/>
      <c r="AS467" s="547"/>
      <c r="AT467" s="547"/>
      <c r="AU467" s="547"/>
      <c r="AV467" s="547"/>
      <c r="AW467" s="547"/>
      <c r="AX467" s="547"/>
      <c r="AY467" s="547"/>
      <c r="AZ467" s="547"/>
      <c r="BA467" s="547"/>
      <c r="BB467" s="547"/>
      <c r="BC467" s="547"/>
      <c r="BD467" s="547"/>
      <c r="BE467" s="548"/>
      <c r="BF467" s="547"/>
      <c r="BG467" s="547"/>
      <c r="BH467" s="547"/>
      <c r="BI467" s="547"/>
      <c r="BJ467" s="36"/>
      <c r="BK467" s="174"/>
      <c r="BL467" s="174"/>
      <c r="BM467" s="7"/>
    </row>
    <row r="468" spans="1:65" ht="15.75" customHeight="1">
      <c r="A468" s="546"/>
      <c r="B468" s="552"/>
      <c r="C468" s="547"/>
      <c r="D468" s="546"/>
      <c r="E468" s="547"/>
      <c r="F468" s="547"/>
      <c r="G468" s="547"/>
      <c r="H468" s="547"/>
      <c r="I468" s="547"/>
      <c r="J468" s="547"/>
      <c r="K468" s="547"/>
      <c r="L468" s="547"/>
      <c r="M468" s="547"/>
      <c r="N468" s="547"/>
      <c r="O468" s="547"/>
      <c r="P468" s="547"/>
      <c r="Q468" s="547"/>
      <c r="R468" s="547"/>
      <c r="S468" s="547"/>
      <c r="T468" s="547"/>
      <c r="U468" s="547"/>
      <c r="V468" s="547"/>
      <c r="W468" s="547"/>
      <c r="X468" s="547"/>
      <c r="Y468" s="547"/>
      <c r="Z468" s="547"/>
      <c r="AA468" s="547"/>
      <c r="AB468" s="547"/>
      <c r="AC468" s="547"/>
      <c r="AD468" s="547"/>
      <c r="AE468" s="547"/>
      <c r="AF468" s="548"/>
      <c r="AG468" s="547"/>
      <c r="AH468" s="547"/>
      <c r="AI468" s="547"/>
      <c r="AJ468" s="547"/>
      <c r="AK468" s="547"/>
      <c r="AL468" s="547"/>
      <c r="AM468" s="547"/>
      <c r="AN468" s="547"/>
      <c r="AO468" s="547"/>
      <c r="AP468" s="547"/>
      <c r="AQ468" s="547"/>
      <c r="AR468" s="547"/>
      <c r="AS468" s="547"/>
      <c r="AT468" s="547"/>
      <c r="AU468" s="547"/>
      <c r="AV468" s="547"/>
      <c r="AW468" s="547"/>
      <c r="AX468" s="547"/>
      <c r="AY468" s="547"/>
      <c r="AZ468" s="547"/>
      <c r="BA468" s="547"/>
      <c r="BB468" s="547"/>
      <c r="BC468" s="547"/>
      <c r="BD468" s="547"/>
      <c r="BE468" s="548"/>
      <c r="BF468" s="547"/>
      <c r="BG468" s="547"/>
      <c r="BH468" s="547"/>
      <c r="BI468" s="547"/>
      <c r="BJ468" s="36"/>
      <c r="BK468" s="174"/>
      <c r="BL468" s="174"/>
      <c r="BM468" s="7"/>
    </row>
    <row r="469" spans="1:65" ht="15.75" customHeight="1">
      <c r="A469" s="546"/>
      <c r="B469" s="552"/>
      <c r="C469" s="547"/>
      <c r="D469" s="546"/>
      <c r="E469" s="547"/>
      <c r="F469" s="547"/>
      <c r="G469" s="547"/>
      <c r="H469" s="547"/>
      <c r="I469" s="547"/>
      <c r="J469" s="547"/>
      <c r="K469" s="547"/>
      <c r="L469" s="547"/>
      <c r="M469" s="547"/>
      <c r="N469" s="547"/>
      <c r="O469" s="547"/>
      <c r="P469" s="547"/>
      <c r="Q469" s="547"/>
      <c r="R469" s="547"/>
      <c r="S469" s="547"/>
      <c r="T469" s="547"/>
      <c r="U469" s="547"/>
      <c r="V469" s="547"/>
      <c r="W469" s="547"/>
      <c r="X469" s="547"/>
      <c r="Y469" s="547"/>
      <c r="Z469" s="547"/>
      <c r="AA469" s="547"/>
      <c r="AB469" s="547"/>
      <c r="AC469" s="547"/>
      <c r="AD469" s="547"/>
      <c r="AE469" s="547"/>
      <c r="AF469" s="548"/>
      <c r="AG469" s="547"/>
      <c r="AH469" s="547"/>
      <c r="AI469" s="547"/>
      <c r="AJ469" s="547"/>
      <c r="AK469" s="547"/>
      <c r="AL469" s="547"/>
      <c r="AM469" s="547"/>
      <c r="AN469" s="547"/>
      <c r="AO469" s="547"/>
      <c r="AP469" s="547"/>
      <c r="AQ469" s="547"/>
      <c r="AR469" s="547"/>
      <c r="AS469" s="547"/>
      <c r="AT469" s="547"/>
      <c r="AU469" s="547"/>
      <c r="AV469" s="547"/>
      <c r="AW469" s="547"/>
      <c r="AX469" s="547"/>
      <c r="AY469" s="547"/>
      <c r="AZ469" s="547"/>
      <c r="BA469" s="547"/>
      <c r="BB469" s="547"/>
      <c r="BC469" s="547"/>
      <c r="BD469" s="547"/>
      <c r="BE469" s="548"/>
      <c r="BF469" s="547"/>
      <c r="BG469" s="547"/>
      <c r="BH469" s="547"/>
      <c r="BI469" s="547"/>
      <c r="BJ469" s="36"/>
      <c r="BK469" s="174"/>
      <c r="BL469" s="174"/>
      <c r="BM469" s="7"/>
    </row>
    <row r="470" spans="1:65" ht="15.75" customHeight="1">
      <c r="A470" s="546"/>
      <c r="B470" s="552"/>
      <c r="C470" s="547"/>
      <c r="D470" s="546"/>
      <c r="E470" s="547"/>
      <c r="F470" s="547"/>
      <c r="G470" s="547"/>
      <c r="H470" s="547"/>
      <c r="I470" s="547"/>
      <c r="J470" s="547"/>
      <c r="K470" s="547"/>
      <c r="L470" s="547"/>
      <c r="M470" s="547"/>
      <c r="N470" s="547"/>
      <c r="O470" s="547"/>
      <c r="P470" s="547"/>
      <c r="Q470" s="547"/>
      <c r="R470" s="547"/>
      <c r="S470" s="547"/>
      <c r="T470" s="547"/>
      <c r="U470" s="547"/>
      <c r="V470" s="547"/>
      <c r="W470" s="547"/>
      <c r="X470" s="547"/>
      <c r="Y470" s="547"/>
      <c r="Z470" s="547"/>
      <c r="AA470" s="547"/>
      <c r="AB470" s="547"/>
      <c r="AC470" s="547"/>
      <c r="AD470" s="547"/>
      <c r="AE470" s="547"/>
      <c r="AF470" s="548"/>
      <c r="AG470" s="547"/>
      <c r="AH470" s="547"/>
      <c r="AI470" s="547"/>
      <c r="AJ470" s="547"/>
      <c r="AK470" s="547"/>
      <c r="AL470" s="547"/>
      <c r="AM470" s="547"/>
      <c r="AN470" s="547"/>
      <c r="AO470" s="547"/>
      <c r="AP470" s="547"/>
      <c r="AQ470" s="547"/>
      <c r="AR470" s="547"/>
      <c r="AS470" s="547"/>
      <c r="AT470" s="547"/>
      <c r="AU470" s="547"/>
      <c r="AV470" s="547"/>
      <c r="AW470" s="547"/>
      <c r="AX470" s="547"/>
      <c r="AY470" s="547"/>
      <c r="AZ470" s="547"/>
      <c r="BA470" s="547"/>
      <c r="BB470" s="547"/>
      <c r="BC470" s="547"/>
      <c r="BD470" s="547"/>
      <c r="BE470" s="548"/>
      <c r="BF470" s="547"/>
      <c r="BG470" s="547"/>
      <c r="BH470" s="547"/>
      <c r="BI470" s="547"/>
      <c r="BJ470" s="36"/>
      <c r="BK470" s="174"/>
      <c r="BL470" s="174"/>
      <c r="BM470" s="7"/>
    </row>
    <row r="471" spans="1:65" ht="15.75" customHeight="1">
      <c r="A471" s="546"/>
      <c r="B471" s="552"/>
      <c r="C471" s="547"/>
      <c r="D471" s="546"/>
      <c r="E471" s="547"/>
      <c r="F471" s="547"/>
      <c r="G471" s="547"/>
      <c r="H471" s="547"/>
      <c r="I471" s="547"/>
      <c r="J471" s="547"/>
      <c r="K471" s="547"/>
      <c r="L471" s="547"/>
      <c r="M471" s="547"/>
      <c r="N471" s="547"/>
      <c r="O471" s="547"/>
      <c r="P471" s="547"/>
      <c r="Q471" s="547"/>
      <c r="R471" s="547"/>
      <c r="S471" s="547"/>
      <c r="T471" s="547"/>
      <c r="U471" s="547"/>
      <c r="V471" s="547"/>
      <c r="W471" s="547"/>
      <c r="X471" s="547"/>
      <c r="Y471" s="547"/>
      <c r="Z471" s="547"/>
      <c r="AA471" s="547"/>
      <c r="AB471" s="547"/>
      <c r="AC471" s="547"/>
      <c r="AD471" s="547"/>
      <c r="AE471" s="547"/>
      <c r="AF471" s="548"/>
      <c r="AG471" s="547"/>
      <c r="AH471" s="547"/>
      <c r="AI471" s="547"/>
      <c r="AJ471" s="547"/>
      <c r="AK471" s="547"/>
      <c r="AL471" s="547"/>
      <c r="AM471" s="547"/>
      <c r="AN471" s="547"/>
      <c r="AO471" s="547"/>
      <c r="AP471" s="547"/>
      <c r="AQ471" s="547"/>
      <c r="AR471" s="547"/>
      <c r="AS471" s="547"/>
      <c r="AT471" s="547"/>
      <c r="AU471" s="547"/>
      <c r="AV471" s="547"/>
      <c r="AW471" s="547"/>
      <c r="AX471" s="547"/>
      <c r="AY471" s="547"/>
      <c r="AZ471" s="547"/>
      <c r="BA471" s="547"/>
      <c r="BB471" s="547"/>
      <c r="BC471" s="547"/>
      <c r="BD471" s="547"/>
      <c r="BE471" s="548"/>
      <c r="BF471" s="547"/>
      <c r="BG471" s="547"/>
      <c r="BH471" s="547"/>
      <c r="BI471" s="547"/>
      <c r="BJ471" s="36"/>
      <c r="BK471" s="174"/>
      <c r="BL471" s="174"/>
      <c r="BM471" s="7"/>
    </row>
    <row r="472" spans="1:65" ht="15.75" customHeight="1">
      <c r="A472" s="546"/>
      <c r="B472" s="552"/>
      <c r="C472" s="547"/>
      <c r="D472" s="546"/>
      <c r="E472" s="547"/>
      <c r="F472" s="547"/>
      <c r="G472" s="547"/>
      <c r="H472" s="547"/>
      <c r="I472" s="547"/>
      <c r="J472" s="547"/>
      <c r="K472" s="547"/>
      <c r="L472" s="547"/>
      <c r="M472" s="547"/>
      <c r="N472" s="547"/>
      <c r="O472" s="547"/>
      <c r="P472" s="547"/>
      <c r="Q472" s="547"/>
      <c r="R472" s="547"/>
      <c r="S472" s="547"/>
      <c r="T472" s="547"/>
      <c r="U472" s="547"/>
      <c r="V472" s="547"/>
      <c r="W472" s="547"/>
      <c r="X472" s="547"/>
      <c r="Y472" s="547"/>
      <c r="Z472" s="547"/>
      <c r="AA472" s="547"/>
      <c r="AB472" s="547"/>
      <c r="AC472" s="547"/>
      <c r="AD472" s="547"/>
      <c r="AE472" s="547"/>
      <c r="AF472" s="548"/>
      <c r="AG472" s="547"/>
      <c r="AH472" s="547"/>
      <c r="AI472" s="547"/>
      <c r="AJ472" s="547"/>
      <c r="AK472" s="547"/>
      <c r="AL472" s="547"/>
      <c r="AM472" s="547"/>
      <c r="AN472" s="547"/>
      <c r="AO472" s="547"/>
      <c r="AP472" s="547"/>
      <c r="AQ472" s="547"/>
      <c r="AR472" s="547"/>
      <c r="AS472" s="547"/>
      <c r="AT472" s="547"/>
      <c r="AU472" s="547"/>
      <c r="AV472" s="547"/>
      <c r="AW472" s="547"/>
      <c r="AX472" s="547"/>
      <c r="AY472" s="547"/>
      <c r="AZ472" s="547"/>
      <c r="BA472" s="547"/>
      <c r="BB472" s="547"/>
      <c r="BC472" s="547"/>
      <c r="BD472" s="547"/>
      <c r="BE472" s="548"/>
      <c r="BF472" s="547"/>
      <c r="BG472" s="547"/>
      <c r="BH472" s="547"/>
      <c r="BI472" s="547"/>
      <c r="BJ472" s="36"/>
      <c r="BK472" s="174"/>
      <c r="BL472" s="174"/>
      <c r="BM472" s="7"/>
    </row>
    <row r="473" spans="1:65" ht="15.75" customHeight="1">
      <c r="A473" s="546"/>
      <c r="B473" s="552"/>
      <c r="C473" s="547"/>
      <c r="D473" s="546"/>
      <c r="E473" s="547"/>
      <c r="F473" s="547"/>
      <c r="G473" s="547"/>
      <c r="H473" s="547"/>
      <c r="I473" s="547"/>
      <c r="J473" s="547"/>
      <c r="K473" s="547"/>
      <c r="L473" s="547"/>
      <c r="M473" s="547"/>
      <c r="N473" s="547"/>
      <c r="O473" s="547"/>
      <c r="P473" s="547"/>
      <c r="Q473" s="547"/>
      <c r="R473" s="547"/>
      <c r="S473" s="547"/>
      <c r="T473" s="547"/>
      <c r="U473" s="547"/>
      <c r="V473" s="547"/>
      <c r="W473" s="547"/>
      <c r="X473" s="547"/>
      <c r="Y473" s="547"/>
      <c r="Z473" s="547"/>
      <c r="AA473" s="547"/>
      <c r="AB473" s="547"/>
      <c r="AC473" s="547"/>
      <c r="AD473" s="547"/>
      <c r="AE473" s="547"/>
      <c r="AF473" s="548"/>
      <c r="AG473" s="547"/>
      <c r="AH473" s="547"/>
      <c r="AI473" s="547"/>
      <c r="AJ473" s="547"/>
      <c r="AK473" s="547"/>
      <c r="AL473" s="547"/>
      <c r="AM473" s="547"/>
      <c r="AN473" s="547"/>
      <c r="AO473" s="547"/>
      <c r="AP473" s="547"/>
      <c r="AQ473" s="547"/>
      <c r="AR473" s="547"/>
      <c r="AS473" s="547"/>
      <c r="AT473" s="547"/>
      <c r="AU473" s="547"/>
      <c r="AV473" s="547"/>
      <c r="AW473" s="547"/>
      <c r="AX473" s="547"/>
      <c r="AY473" s="547"/>
      <c r="AZ473" s="547"/>
      <c r="BA473" s="547"/>
      <c r="BB473" s="547"/>
      <c r="BC473" s="547"/>
      <c r="BD473" s="547"/>
      <c r="BE473" s="548"/>
      <c r="BF473" s="547"/>
      <c r="BG473" s="547"/>
      <c r="BH473" s="547"/>
      <c r="BI473" s="547"/>
      <c r="BJ473" s="36"/>
      <c r="BK473" s="174"/>
      <c r="BL473" s="174"/>
      <c r="BM473" s="7"/>
    </row>
    <row r="474" spans="1:65" ht="15.75" customHeight="1">
      <c r="A474" s="546"/>
      <c r="B474" s="552"/>
      <c r="C474" s="547"/>
      <c r="D474" s="546"/>
      <c r="E474" s="547"/>
      <c r="F474" s="547"/>
      <c r="G474" s="547"/>
      <c r="H474" s="547"/>
      <c r="I474" s="547"/>
      <c r="J474" s="547"/>
      <c r="K474" s="547"/>
      <c r="L474" s="547"/>
      <c r="M474" s="547"/>
      <c r="N474" s="547"/>
      <c r="O474" s="547"/>
      <c r="P474" s="547"/>
      <c r="Q474" s="547"/>
      <c r="R474" s="547"/>
      <c r="S474" s="547"/>
      <c r="T474" s="547"/>
      <c r="U474" s="547"/>
      <c r="V474" s="547"/>
      <c r="W474" s="547"/>
      <c r="X474" s="547"/>
      <c r="Y474" s="547"/>
      <c r="Z474" s="547"/>
      <c r="AA474" s="547"/>
      <c r="AB474" s="547"/>
      <c r="AC474" s="547"/>
      <c r="AD474" s="547"/>
      <c r="AE474" s="547"/>
      <c r="AF474" s="548"/>
      <c r="AG474" s="547"/>
      <c r="AH474" s="547"/>
      <c r="AI474" s="547"/>
      <c r="AJ474" s="547"/>
      <c r="AK474" s="547"/>
      <c r="AL474" s="547"/>
      <c r="AM474" s="547"/>
      <c r="AN474" s="547"/>
      <c r="AO474" s="547"/>
      <c r="AP474" s="547"/>
      <c r="AQ474" s="547"/>
      <c r="AR474" s="547"/>
      <c r="AS474" s="547"/>
      <c r="AT474" s="547"/>
      <c r="AU474" s="547"/>
      <c r="AV474" s="547"/>
      <c r="AW474" s="547"/>
      <c r="AX474" s="547"/>
      <c r="AY474" s="547"/>
      <c r="AZ474" s="547"/>
      <c r="BA474" s="547"/>
      <c r="BB474" s="547"/>
      <c r="BC474" s="547"/>
      <c r="BD474" s="547"/>
      <c r="BE474" s="548"/>
      <c r="BF474" s="547"/>
      <c r="BG474" s="547"/>
      <c r="BH474" s="547"/>
      <c r="BI474" s="547"/>
      <c r="BJ474" s="36"/>
      <c r="BK474" s="174"/>
      <c r="BL474" s="174"/>
      <c r="BM474" s="7"/>
    </row>
    <row r="475" spans="1:65" ht="15.75" customHeight="1">
      <c r="A475" s="546"/>
      <c r="B475" s="552"/>
      <c r="C475" s="547"/>
      <c r="D475" s="546"/>
      <c r="E475" s="547"/>
      <c r="F475" s="547"/>
      <c r="G475" s="547"/>
      <c r="H475" s="547"/>
      <c r="I475" s="547"/>
      <c r="J475" s="547"/>
      <c r="K475" s="547"/>
      <c r="L475" s="547"/>
      <c r="M475" s="547"/>
      <c r="N475" s="547"/>
      <c r="O475" s="547"/>
      <c r="P475" s="547"/>
      <c r="Q475" s="547"/>
      <c r="R475" s="547"/>
      <c r="S475" s="547"/>
      <c r="T475" s="547"/>
      <c r="U475" s="547"/>
      <c r="V475" s="547"/>
      <c r="W475" s="547"/>
      <c r="X475" s="547"/>
      <c r="Y475" s="547"/>
      <c r="Z475" s="547"/>
      <c r="AA475" s="547"/>
      <c r="AB475" s="547"/>
      <c r="AC475" s="547"/>
      <c r="AD475" s="547"/>
      <c r="AE475" s="547"/>
      <c r="AF475" s="548"/>
      <c r="AG475" s="547"/>
      <c r="AH475" s="547"/>
      <c r="AI475" s="547"/>
      <c r="AJ475" s="547"/>
      <c r="AK475" s="547"/>
      <c r="AL475" s="547"/>
      <c r="AM475" s="547"/>
      <c r="AN475" s="547"/>
      <c r="AO475" s="547"/>
      <c r="AP475" s="547"/>
      <c r="AQ475" s="547"/>
      <c r="AR475" s="547"/>
      <c r="AS475" s="547"/>
      <c r="AT475" s="547"/>
      <c r="AU475" s="547"/>
      <c r="AV475" s="547"/>
      <c r="AW475" s="547"/>
      <c r="AX475" s="547"/>
      <c r="AY475" s="547"/>
      <c r="AZ475" s="547"/>
      <c r="BA475" s="547"/>
      <c r="BB475" s="547"/>
      <c r="BC475" s="547"/>
      <c r="BD475" s="547"/>
      <c r="BE475" s="548"/>
      <c r="BF475" s="547"/>
      <c r="BG475" s="547"/>
      <c r="BH475" s="547"/>
      <c r="BI475" s="547"/>
      <c r="BJ475" s="36"/>
      <c r="BK475" s="174"/>
      <c r="BL475" s="174"/>
      <c r="BM475" s="7"/>
    </row>
    <row r="476" spans="1:65" ht="15.75" customHeight="1">
      <c r="A476" s="546"/>
      <c r="B476" s="552"/>
      <c r="C476" s="547"/>
      <c r="D476" s="546"/>
      <c r="E476" s="547"/>
      <c r="F476" s="547"/>
      <c r="G476" s="547"/>
      <c r="H476" s="547"/>
      <c r="I476" s="547"/>
      <c r="J476" s="547"/>
      <c r="K476" s="547"/>
      <c r="L476" s="547"/>
      <c r="M476" s="547"/>
      <c r="N476" s="547"/>
      <c r="O476" s="547"/>
      <c r="P476" s="547"/>
      <c r="Q476" s="547"/>
      <c r="R476" s="547"/>
      <c r="S476" s="547"/>
      <c r="T476" s="547"/>
      <c r="U476" s="547"/>
      <c r="V476" s="547"/>
      <c r="W476" s="547"/>
      <c r="X476" s="547"/>
      <c r="Y476" s="547"/>
      <c r="Z476" s="547"/>
      <c r="AA476" s="547"/>
      <c r="AB476" s="547"/>
      <c r="AC476" s="547"/>
      <c r="AD476" s="547"/>
      <c r="AE476" s="547"/>
      <c r="AF476" s="548"/>
      <c r="AG476" s="547"/>
      <c r="AH476" s="547"/>
      <c r="AI476" s="547"/>
      <c r="AJ476" s="547"/>
      <c r="AK476" s="547"/>
      <c r="AL476" s="547"/>
      <c r="AM476" s="547"/>
      <c r="AN476" s="547"/>
      <c r="AO476" s="547"/>
      <c r="AP476" s="547"/>
      <c r="AQ476" s="547"/>
      <c r="AR476" s="547"/>
      <c r="AS476" s="547"/>
      <c r="AT476" s="547"/>
      <c r="AU476" s="547"/>
      <c r="AV476" s="547"/>
      <c r="AW476" s="547"/>
      <c r="AX476" s="547"/>
      <c r="AY476" s="547"/>
      <c r="AZ476" s="547"/>
      <c r="BA476" s="547"/>
      <c r="BB476" s="547"/>
      <c r="BC476" s="547"/>
      <c r="BD476" s="547"/>
      <c r="BE476" s="548"/>
      <c r="BF476" s="547"/>
      <c r="BG476" s="547"/>
      <c r="BH476" s="547"/>
      <c r="BI476" s="547"/>
      <c r="BJ476" s="36"/>
      <c r="BK476" s="174"/>
      <c r="BL476" s="174"/>
      <c r="BM476" s="7"/>
    </row>
    <row r="477" spans="1:65" ht="15.75" customHeight="1">
      <c r="A477" s="546"/>
      <c r="B477" s="552"/>
      <c r="C477" s="547"/>
      <c r="D477" s="546"/>
      <c r="E477" s="547"/>
      <c r="F477" s="547"/>
      <c r="G477" s="547"/>
      <c r="H477" s="547"/>
      <c r="I477" s="547"/>
      <c r="J477" s="547"/>
      <c r="K477" s="547"/>
      <c r="L477" s="547"/>
      <c r="M477" s="547"/>
      <c r="N477" s="547"/>
      <c r="O477" s="547"/>
      <c r="P477" s="547"/>
      <c r="Q477" s="547"/>
      <c r="R477" s="547"/>
      <c r="S477" s="547"/>
      <c r="T477" s="547"/>
      <c r="U477" s="547"/>
      <c r="V477" s="547"/>
      <c r="W477" s="547"/>
      <c r="X477" s="547"/>
      <c r="Y477" s="547"/>
      <c r="Z477" s="547"/>
      <c r="AA477" s="547"/>
      <c r="AB477" s="547"/>
      <c r="AC477" s="547"/>
      <c r="AD477" s="547"/>
      <c r="AE477" s="547"/>
      <c r="AF477" s="548"/>
      <c r="AG477" s="547"/>
      <c r="AH477" s="547"/>
      <c r="AI477" s="547"/>
      <c r="AJ477" s="547"/>
      <c r="AK477" s="547"/>
      <c r="AL477" s="547"/>
      <c r="AM477" s="547"/>
      <c r="AN477" s="547"/>
      <c r="AO477" s="547"/>
      <c r="AP477" s="547"/>
      <c r="AQ477" s="547"/>
      <c r="AR477" s="547"/>
      <c r="AS477" s="547"/>
      <c r="AT477" s="547"/>
      <c r="AU477" s="547"/>
      <c r="AV477" s="547"/>
      <c r="AW477" s="547"/>
      <c r="AX477" s="547"/>
      <c r="AY477" s="547"/>
      <c r="AZ477" s="547"/>
      <c r="BA477" s="547"/>
      <c r="BB477" s="547"/>
      <c r="BC477" s="547"/>
      <c r="BD477" s="547"/>
      <c r="BE477" s="548"/>
      <c r="BF477" s="547"/>
      <c r="BG477" s="547"/>
      <c r="BH477" s="547"/>
      <c r="BI477" s="547"/>
      <c r="BJ477" s="36"/>
      <c r="BK477" s="174"/>
      <c r="BL477" s="174"/>
      <c r="BM477" s="7"/>
    </row>
    <row r="478" spans="1:65" ht="15.75" customHeight="1">
      <c r="A478" s="546"/>
      <c r="B478" s="552"/>
      <c r="C478" s="547"/>
      <c r="D478" s="546"/>
      <c r="E478" s="547"/>
      <c r="F478" s="547"/>
      <c r="G478" s="547"/>
      <c r="H478" s="547"/>
      <c r="I478" s="547"/>
      <c r="J478" s="547"/>
      <c r="K478" s="547"/>
      <c r="L478" s="547"/>
      <c r="M478" s="547"/>
      <c r="N478" s="547"/>
      <c r="O478" s="547"/>
      <c r="P478" s="547"/>
      <c r="Q478" s="547"/>
      <c r="R478" s="547"/>
      <c r="S478" s="547"/>
      <c r="T478" s="547"/>
      <c r="U478" s="547"/>
      <c r="V478" s="547"/>
      <c r="W478" s="547"/>
      <c r="X478" s="547"/>
      <c r="Y478" s="547"/>
      <c r="Z478" s="547"/>
      <c r="AA478" s="547"/>
      <c r="AB478" s="547"/>
      <c r="AC478" s="547"/>
      <c r="AD478" s="547"/>
      <c r="AE478" s="547"/>
      <c r="AF478" s="548"/>
      <c r="AG478" s="547"/>
      <c r="AH478" s="547"/>
      <c r="AI478" s="547"/>
      <c r="AJ478" s="547"/>
      <c r="AK478" s="547"/>
      <c r="AL478" s="547"/>
      <c r="AM478" s="547"/>
      <c r="AN478" s="547"/>
      <c r="AO478" s="547"/>
      <c r="AP478" s="547"/>
      <c r="AQ478" s="547"/>
      <c r="AR478" s="547"/>
      <c r="AS478" s="547"/>
      <c r="AT478" s="547"/>
      <c r="AU478" s="547"/>
      <c r="AV478" s="547"/>
      <c r="AW478" s="547"/>
      <c r="AX478" s="547"/>
      <c r="AY478" s="547"/>
      <c r="AZ478" s="547"/>
      <c r="BA478" s="547"/>
      <c r="BB478" s="547"/>
      <c r="BC478" s="547"/>
      <c r="BD478" s="547"/>
      <c r="BE478" s="548"/>
      <c r="BF478" s="547"/>
      <c r="BG478" s="547"/>
      <c r="BH478" s="547"/>
      <c r="BI478" s="547"/>
      <c r="BJ478" s="36"/>
      <c r="BK478" s="174"/>
      <c r="BL478" s="174"/>
      <c r="BM478" s="7"/>
    </row>
    <row r="479" spans="1:65" ht="15.75" customHeight="1">
      <c r="A479" s="546"/>
      <c r="B479" s="552"/>
      <c r="C479" s="547"/>
      <c r="D479" s="546"/>
      <c r="E479" s="547"/>
      <c r="F479" s="547"/>
      <c r="G479" s="547"/>
      <c r="H479" s="547"/>
      <c r="I479" s="547"/>
      <c r="J479" s="547"/>
      <c r="K479" s="547"/>
      <c r="L479" s="547"/>
      <c r="M479" s="547"/>
      <c r="N479" s="547"/>
      <c r="O479" s="547"/>
      <c r="P479" s="547"/>
      <c r="Q479" s="547"/>
      <c r="R479" s="547"/>
      <c r="S479" s="547"/>
      <c r="T479" s="547"/>
      <c r="U479" s="547"/>
      <c r="V479" s="547"/>
      <c r="W479" s="547"/>
      <c r="X479" s="547"/>
      <c r="Y479" s="547"/>
      <c r="Z479" s="547"/>
      <c r="AA479" s="547"/>
      <c r="AB479" s="547"/>
      <c r="AC479" s="547"/>
      <c r="AD479" s="547"/>
      <c r="AE479" s="547"/>
      <c r="AF479" s="548"/>
      <c r="AG479" s="547"/>
      <c r="AH479" s="547"/>
      <c r="AI479" s="547"/>
      <c r="AJ479" s="547"/>
      <c r="AK479" s="547"/>
      <c r="AL479" s="547"/>
      <c r="AM479" s="547"/>
      <c r="AN479" s="547"/>
      <c r="AO479" s="547"/>
      <c r="AP479" s="547"/>
      <c r="AQ479" s="547"/>
      <c r="AR479" s="547"/>
      <c r="AS479" s="547"/>
      <c r="AT479" s="547"/>
      <c r="AU479" s="547"/>
      <c r="AV479" s="547"/>
      <c r="AW479" s="547"/>
      <c r="AX479" s="547"/>
      <c r="AY479" s="547"/>
      <c r="AZ479" s="547"/>
      <c r="BA479" s="547"/>
      <c r="BB479" s="547"/>
      <c r="BC479" s="547"/>
      <c r="BD479" s="547"/>
      <c r="BE479" s="548"/>
      <c r="BF479" s="547"/>
      <c r="BG479" s="547"/>
      <c r="BH479" s="547"/>
      <c r="BI479" s="547"/>
      <c r="BJ479" s="36"/>
      <c r="BK479" s="174"/>
      <c r="BL479" s="174"/>
      <c r="BM479" s="7"/>
    </row>
    <row r="480" spans="1:65" ht="15.75" customHeight="1">
      <c r="A480" s="546"/>
      <c r="B480" s="552"/>
      <c r="C480" s="547"/>
      <c r="D480" s="546"/>
      <c r="E480" s="547"/>
      <c r="F480" s="547"/>
      <c r="G480" s="547"/>
      <c r="H480" s="547"/>
      <c r="I480" s="547"/>
      <c r="J480" s="547"/>
      <c r="K480" s="547"/>
      <c r="L480" s="547"/>
      <c r="M480" s="547"/>
      <c r="N480" s="547"/>
      <c r="O480" s="547"/>
      <c r="P480" s="547"/>
      <c r="Q480" s="547"/>
      <c r="R480" s="547"/>
      <c r="S480" s="547"/>
      <c r="T480" s="547"/>
      <c r="U480" s="547"/>
      <c r="V480" s="547"/>
      <c r="W480" s="547"/>
      <c r="X480" s="547"/>
      <c r="Y480" s="547"/>
      <c r="Z480" s="547"/>
      <c r="AA480" s="547"/>
      <c r="AB480" s="547"/>
      <c r="AC480" s="547"/>
      <c r="AD480" s="547"/>
      <c r="AE480" s="547"/>
      <c r="AF480" s="548"/>
      <c r="AG480" s="547"/>
      <c r="AH480" s="547"/>
      <c r="AI480" s="547"/>
      <c r="AJ480" s="547"/>
      <c r="AK480" s="547"/>
      <c r="AL480" s="547"/>
      <c r="AM480" s="547"/>
      <c r="AN480" s="547"/>
      <c r="AO480" s="547"/>
      <c r="AP480" s="547"/>
      <c r="AQ480" s="547"/>
      <c r="AR480" s="547"/>
      <c r="AS480" s="547"/>
      <c r="AT480" s="547"/>
      <c r="AU480" s="547"/>
      <c r="AV480" s="547"/>
      <c r="AW480" s="547"/>
      <c r="AX480" s="547"/>
      <c r="AY480" s="547"/>
      <c r="AZ480" s="547"/>
      <c r="BA480" s="547"/>
      <c r="BB480" s="547"/>
      <c r="BC480" s="547"/>
      <c r="BD480" s="547"/>
      <c r="BE480" s="548"/>
      <c r="BF480" s="547"/>
      <c r="BG480" s="547"/>
      <c r="BH480" s="547"/>
      <c r="BI480" s="547"/>
      <c r="BJ480" s="36"/>
      <c r="BK480" s="174"/>
      <c r="BL480" s="174"/>
      <c r="BM480" s="7"/>
    </row>
    <row r="481" spans="1:65" ht="15.75" customHeight="1">
      <c r="A481" s="546"/>
      <c r="B481" s="552"/>
      <c r="C481" s="547"/>
      <c r="D481" s="546"/>
      <c r="E481" s="547"/>
      <c r="F481" s="547"/>
      <c r="G481" s="547"/>
      <c r="H481" s="547"/>
      <c r="I481" s="547"/>
      <c r="J481" s="547"/>
      <c r="K481" s="547"/>
      <c r="L481" s="547"/>
      <c r="M481" s="547"/>
      <c r="N481" s="547"/>
      <c r="O481" s="547"/>
      <c r="P481" s="547"/>
      <c r="Q481" s="547"/>
      <c r="R481" s="547"/>
      <c r="S481" s="547"/>
      <c r="T481" s="547"/>
      <c r="U481" s="547"/>
      <c r="V481" s="547"/>
      <c r="W481" s="547"/>
      <c r="X481" s="547"/>
      <c r="Y481" s="547"/>
      <c r="Z481" s="547"/>
      <c r="AA481" s="547"/>
      <c r="AB481" s="547"/>
      <c r="AC481" s="547"/>
      <c r="AD481" s="547"/>
      <c r="AE481" s="547"/>
      <c r="AF481" s="548"/>
      <c r="AG481" s="547"/>
      <c r="AH481" s="547"/>
      <c r="AI481" s="547"/>
      <c r="AJ481" s="547"/>
      <c r="AK481" s="547"/>
      <c r="AL481" s="547"/>
      <c r="AM481" s="547"/>
      <c r="AN481" s="547"/>
      <c r="AO481" s="547"/>
      <c r="AP481" s="547"/>
      <c r="AQ481" s="547"/>
      <c r="AR481" s="547"/>
      <c r="AS481" s="547"/>
      <c r="AT481" s="547"/>
      <c r="AU481" s="547"/>
      <c r="AV481" s="547"/>
      <c r="AW481" s="547"/>
      <c r="AX481" s="547"/>
      <c r="AY481" s="547"/>
      <c r="AZ481" s="547"/>
      <c r="BA481" s="547"/>
      <c r="BB481" s="547"/>
      <c r="BC481" s="547"/>
      <c r="BD481" s="547"/>
      <c r="BE481" s="548"/>
      <c r="BF481" s="547"/>
      <c r="BG481" s="547"/>
      <c r="BH481" s="547"/>
      <c r="BI481" s="547"/>
      <c r="BJ481" s="36"/>
      <c r="BK481" s="174"/>
      <c r="BL481" s="174"/>
      <c r="BM481" s="7"/>
    </row>
    <row r="482" spans="1:65" ht="15.75" customHeight="1">
      <c r="A482" s="546"/>
      <c r="B482" s="552"/>
      <c r="C482" s="547"/>
      <c r="D482" s="546"/>
      <c r="E482" s="547"/>
      <c r="F482" s="547"/>
      <c r="G482" s="547"/>
      <c r="H482" s="547"/>
      <c r="I482" s="547"/>
      <c r="J482" s="547"/>
      <c r="K482" s="547"/>
      <c r="L482" s="547"/>
      <c r="M482" s="547"/>
      <c r="N482" s="547"/>
      <c r="O482" s="547"/>
      <c r="P482" s="547"/>
      <c r="Q482" s="547"/>
      <c r="R482" s="547"/>
      <c r="S482" s="547"/>
      <c r="T482" s="547"/>
      <c r="U482" s="547"/>
      <c r="V482" s="547"/>
      <c r="W482" s="547"/>
      <c r="X482" s="547"/>
      <c r="Y482" s="547"/>
      <c r="Z482" s="547"/>
      <c r="AA482" s="547"/>
      <c r="AB482" s="547"/>
      <c r="AC482" s="547"/>
      <c r="AD482" s="547"/>
      <c r="AE482" s="547"/>
      <c r="AF482" s="548"/>
      <c r="AG482" s="547"/>
      <c r="AH482" s="547"/>
      <c r="AI482" s="547"/>
      <c r="AJ482" s="547"/>
      <c r="AK482" s="547"/>
      <c r="AL482" s="547"/>
      <c r="AM482" s="547"/>
      <c r="AN482" s="547"/>
      <c r="AO482" s="547"/>
      <c r="AP482" s="547"/>
      <c r="AQ482" s="547"/>
      <c r="AR482" s="547"/>
      <c r="AS482" s="547"/>
      <c r="AT482" s="547"/>
      <c r="AU482" s="547"/>
      <c r="AV482" s="547"/>
      <c r="AW482" s="547"/>
      <c r="AX482" s="547"/>
      <c r="AY482" s="547"/>
      <c r="AZ482" s="547"/>
      <c r="BA482" s="547"/>
      <c r="BB482" s="547"/>
      <c r="BC482" s="547"/>
      <c r="BD482" s="547"/>
      <c r="BE482" s="548"/>
      <c r="BF482" s="547"/>
      <c r="BG482" s="547"/>
      <c r="BH482" s="547"/>
      <c r="BI482" s="547"/>
      <c r="BJ482" s="36"/>
      <c r="BK482" s="174"/>
      <c r="BL482" s="174"/>
      <c r="BM482" s="7"/>
    </row>
    <row r="483" spans="1:65" ht="15.75" customHeight="1">
      <c r="A483" s="546"/>
      <c r="B483" s="552"/>
      <c r="C483" s="547"/>
      <c r="D483" s="546"/>
      <c r="E483" s="547"/>
      <c r="F483" s="547"/>
      <c r="G483" s="547"/>
      <c r="H483" s="547"/>
      <c r="I483" s="547"/>
      <c r="J483" s="547"/>
      <c r="K483" s="547"/>
      <c r="L483" s="547"/>
      <c r="M483" s="547"/>
      <c r="N483" s="547"/>
      <c r="O483" s="547"/>
      <c r="P483" s="547"/>
      <c r="Q483" s="547"/>
      <c r="R483" s="547"/>
      <c r="S483" s="547"/>
      <c r="T483" s="547"/>
      <c r="U483" s="547"/>
      <c r="V483" s="547"/>
      <c r="W483" s="547"/>
      <c r="X483" s="547"/>
      <c r="Y483" s="547"/>
      <c r="Z483" s="547"/>
      <c r="AA483" s="547"/>
      <c r="AB483" s="547"/>
      <c r="AC483" s="547"/>
      <c r="AD483" s="547"/>
      <c r="AE483" s="547"/>
      <c r="AF483" s="548"/>
      <c r="AG483" s="547"/>
      <c r="AH483" s="547"/>
      <c r="AI483" s="547"/>
      <c r="AJ483" s="547"/>
      <c r="AK483" s="547"/>
      <c r="AL483" s="547"/>
      <c r="AM483" s="547"/>
      <c r="AN483" s="547"/>
      <c r="AO483" s="547"/>
      <c r="AP483" s="547"/>
      <c r="AQ483" s="547"/>
      <c r="AR483" s="547"/>
      <c r="AS483" s="547"/>
      <c r="AT483" s="547"/>
      <c r="AU483" s="547"/>
      <c r="AV483" s="547"/>
      <c r="AW483" s="547"/>
      <c r="AX483" s="547"/>
      <c r="AY483" s="547"/>
      <c r="AZ483" s="547"/>
      <c r="BA483" s="547"/>
      <c r="BB483" s="547"/>
      <c r="BC483" s="547"/>
      <c r="BD483" s="547"/>
      <c r="BE483" s="548"/>
      <c r="BF483" s="547"/>
      <c r="BG483" s="547"/>
      <c r="BH483" s="547"/>
      <c r="BI483" s="547"/>
      <c r="BJ483" s="36"/>
      <c r="BK483" s="174"/>
      <c r="BL483" s="174"/>
      <c r="BM483" s="7"/>
    </row>
    <row r="484" spans="1:65" ht="15.75" customHeight="1">
      <c r="A484" s="546"/>
      <c r="B484" s="552"/>
      <c r="C484" s="547"/>
      <c r="D484" s="546"/>
      <c r="E484" s="547"/>
      <c r="F484" s="547"/>
      <c r="G484" s="547"/>
      <c r="H484" s="547"/>
      <c r="I484" s="547"/>
      <c r="J484" s="547"/>
      <c r="K484" s="547"/>
      <c r="L484" s="547"/>
      <c r="M484" s="547"/>
      <c r="N484" s="547"/>
      <c r="O484" s="547"/>
      <c r="P484" s="547"/>
      <c r="Q484" s="547"/>
      <c r="R484" s="547"/>
      <c r="S484" s="547"/>
      <c r="T484" s="547"/>
      <c r="U484" s="547"/>
      <c r="V484" s="547"/>
      <c r="W484" s="547"/>
      <c r="X484" s="547"/>
      <c r="Y484" s="547"/>
      <c r="Z484" s="547"/>
      <c r="AA484" s="547"/>
      <c r="AB484" s="547"/>
      <c r="AC484" s="547"/>
      <c r="AD484" s="547"/>
      <c r="AE484" s="547"/>
      <c r="AF484" s="548"/>
      <c r="AG484" s="547"/>
      <c r="AH484" s="547"/>
      <c r="AI484" s="547"/>
      <c r="AJ484" s="547"/>
      <c r="AK484" s="547"/>
      <c r="AL484" s="547"/>
      <c r="AM484" s="547"/>
      <c r="AN484" s="547"/>
      <c r="AO484" s="547"/>
      <c r="AP484" s="547"/>
      <c r="AQ484" s="547"/>
      <c r="AR484" s="547"/>
      <c r="AS484" s="547"/>
      <c r="AT484" s="547"/>
      <c r="AU484" s="547"/>
      <c r="AV484" s="547"/>
      <c r="AW484" s="547"/>
      <c r="AX484" s="547"/>
      <c r="AY484" s="547"/>
      <c r="AZ484" s="547"/>
      <c r="BA484" s="547"/>
      <c r="BB484" s="547"/>
      <c r="BC484" s="547"/>
      <c r="BD484" s="547"/>
      <c r="BE484" s="548"/>
      <c r="BF484" s="547"/>
      <c r="BG484" s="547"/>
      <c r="BH484" s="547"/>
      <c r="BI484" s="547"/>
      <c r="BJ484" s="36"/>
      <c r="BK484" s="174"/>
      <c r="BL484" s="174"/>
      <c r="BM484" s="7"/>
    </row>
    <row r="485" spans="1:65" ht="15.75" customHeight="1">
      <c r="A485" s="546"/>
      <c r="B485" s="552"/>
      <c r="C485" s="547"/>
      <c r="D485" s="546"/>
      <c r="E485" s="547"/>
      <c r="F485" s="547"/>
      <c r="G485" s="547"/>
      <c r="H485" s="547"/>
      <c r="I485" s="547"/>
      <c r="J485" s="547"/>
      <c r="K485" s="547"/>
      <c r="L485" s="547"/>
      <c r="M485" s="547"/>
      <c r="N485" s="547"/>
      <c r="O485" s="547"/>
      <c r="P485" s="547"/>
      <c r="Q485" s="547"/>
      <c r="R485" s="547"/>
      <c r="S485" s="547"/>
      <c r="T485" s="547"/>
      <c r="U485" s="547"/>
      <c r="V485" s="547"/>
      <c r="W485" s="547"/>
      <c r="X485" s="547"/>
      <c r="Y485" s="547"/>
      <c r="Z485" s="547"/>
      <c r="AA485" s="547"/>
      <c r="AB485" s="547"/>
      <c r="AC485" s="547"/>
      <c r="AD485" s="547"/>
      <c r="AE485" s="547"/>
      <c r="AF485" s="548"/>
      <c r="AG485" s="547"/>
      <c r="AH485" s="547"/>
      <c r="AI485" s="547"/>
      <c r="AJ485" s="547"/>
      <c r="AK485" s="547"/>
      <c r="AL485" s="547"/>
      <c r="AM485" s="547"/>
      <c r="AN485" s="547"/>
      <c r="AO485" s="547"/>
      <c r="AP485" s="547"/>
      <c r="AQ485" s="547"/>
      <c r="AR485" s="547"/>
      <c r="AS485" s="547"/>
      <c r="AT485" s="547"/>
      <c r="AU485" s="547"/>
      <c r="AV485" s="547"/>
      <c r="AW485" s="547"/>
      <c r="AX485" s="547"/>
      <c r="AY485" s="547"/>
      <c r="AZ485" s="547"/>
      <c r="BA485" s="547"/>
      <c r="BB485" s="547"/>
      <c r="BC485" s="547"/>
      <c r="BD485" s="547"/>
      <c r="BE485" s="548"/>
      <c r="BF485" s="547"/>
      <c r="BG485" s="547"/>
      <c r="BH485" s="547"/>
      <c r="BI485" s="547"/>
      <c r="BJ485" s="36"/>
      <c r="BK485" s="174"/>
      <c r="BL485" s="174"/>
      <c r="BM485" s="7"/>
    </row>
    <row r="486" spans="1:65" ht="15.75" customHeight="1">
      <c r="A486" s="546"/>
      <c r="B486" s="552"/>
      <c r="C486" s="547"/>
      <c r="D486" s="546"/>
      <c r="E486" s="547"/>
      <c r="F486" s="547"/>
      <c r="G486" s="547"/>
      <c r="H486" s="547"/>
      <c r="I486" s="547"/>
      <c r="J486" s="547"/>
      <c r="K486" s="547"/>
      <c r="L486" s="547"/>
      <c r="M486" s="547"/>
      <c r="N486" s="547"/>
      <c r="O486" s="547"/>
      <c r="P486" s="547"/>
      <c r="Q486" s="547"/>
      <c r="R486" s="547"/>
      <c r="S486" s="547"/>
      <c r="T486" s="547"/>
      <c r="U486" s="547"/>
      <c r="V486" s="547"/>
      <c r="W486" s="547"/>
      <c r="X486" s="547"/>
      <c r="Y486" s="547"/>
      <c r="Z486" s="547"/>
      <c r="AA486" s="547"/>
      <c r="AB486" s="547"/>
      <c r="AC486" s="547"/>
      <c r="AD486" s="547"/>
      <c r="AE486" s="547"/>
      <c r="AF486" s="548"/>
      <c r="AG486" s="547"/>
      <c r="AH486" s="547"/>
      <c r="AI486" s="547"/>
      <c r="AJ486" s="547"/>
      <c r="AK486" s="547"/>
      <c r="AL486" s="547"/>
      <c r="AM486" s="547"/>
      <c r="AN486" s="547"/>
      <c r="AO486" s="547"/>
      <c r="AP486" s="547"/>
      <c r="AQ486" s="547"/>
      <c r="AR486" s="547"/>
      <c r="AS486" s="547"/>
      <c r="AT486" s="547"/>
      <c r="AU486" s="547"/>
      <c r="AV486" s="547"/>
      <c r="AW486" s="547"/>
      <c r="AX486" s="547"/>
      <c r="AY486" s="547"/>
      <c r="AZ486" s="547"/>
      <c r="BA486" s="547"/>
      <c r="BB486" s="547"/>
      <c r="BC486" s="547"/>
      <c r="BD486" s="547"/>
      <c r="BE486" s="548"/>
      <c r="BF486" s="547"/>
      <c r="BG486" s="547"/>
      <c r="BH486" s="547"/>
      <c r="BI486" s="547"/>
      <c r="BJ486" s="36"/>
      <c r="BK486" s="174"/>
      <c r="BL486" s="174"/>
      <c r="BM486" s="7"/>
    </row>
    <row r="487" spans="1:65" ht="15.75" customHeight="1">
      <c r="A487" s="546"/>
      <c r="B487" s="552"/>
      <c r="C487" s="547"/>
      <c r="D487" s="546"/>
      <c r="E487" s="547"/>
      <c r="F487" s="547"/>
      <c r="G487" s="547"/>
      <c r="H487" s="547"/>
      <c r="I487" s="547"/>
      <c r="J487" s="547"/>
      <c r="K487" s="547"/>
      <c r="L487" s="547"/>
      <c r="M487" s="547"/>
      <c r="N487" s="547"/>
      <c r="O487" s="547"/>
      <c r="P487" s="547"/>
      <c r="Q487" s="547"/>
      <c r="R487" s="547"/>
      <c r="S487" s="547"/>
      <c r="T487" s="547"/>
      <c r="U487" s="547"/>
      <c r="V487" s="547"/>
      <c r="W487" s="547"/>
      <c r="X487" s="547"/>
      <c r="Y487" s="547"/>
      <c r="Z487" s="547"/>
      <c r="AA487" s="547"/>
      <c r="AB487" s="547"/>
      <c r="AC487" s="547"/>
      <c r="AD487" s="547"/>
      <c r="AE487" s="547"/>
      <c r="AF487" s="548"/>
      <c r="AG487" s="547"/>
      <c r="AH487" s="547"/>
      <c r="AI487" s="547"/>
      <c r="AJ487" s="547"/>
      <c r="AK487" s="547"/>
      <c r="AL487" s="547"/>
      <c r="AM487" s="547"/>
      <c r="AN487" s="547"/>
      <c r="AO487" s="547"/>
      <c r="AP487" s="547"/>
      <c r="AQ487" s="547"/>
      <c r="AR487" s="547"/>
      <c r="AS487" s="547"/>
      <c r="AT487" s="547"/>
      <c r="AU487" s="547"/>
      <c r="AV487" s="547"/>
      <c r="AW487" s="547"/>
      <c r="AX487" s="547"/>
      <c r="AY487" s="547"/>
      <c r="AZ487" s="547"/>
      <c r="BA487" s="547"/>
      <c r="BB487" s="547"/>
      <c r="BC487" s="547"/>
      <c r="BD487" s="547"/>
      <c r="BE487" s="548"/>
      <c r="BF487" s="547"/>
      <c r="BG487" s="547"/>
      <c r="BH487" s="547"/>
      <c r="BI487" s="547"/>
      <c r="BJ487" s="36"/>
      <c r="BK487" s="174"/>
      <c r="BL487" s="174"/>
      <c r="BM487" s="7"/>
    </row>
    <row r="488" spans="1:65" ht="15.75" customHeight="1">
      <c r="A488" s="546"/>
      <c r="B488" s="552"/>
      <c r="C488" s="547"/>
      <c r="D488" s="546"/>
      <c r="E488" s="547"/>
      <c r="F488" s="547"/>
      <c r="G488" s="547"/>
      <c r="H488" s="547"/>
      <c r="I488" s="547"/>
      <c r="J488" s="547"/>
      <c r="K488" s="547"/>
      <c r="L488" s="547"/>
      <c r="M488" s="547"/>
      <c r="N488" s="547"/>
      <c r="O488" s="547"/>
      <c r="P488" s="547"/>
      <c r="Q488" s="547"/>
      <c r="R488" s="547"/>
      <c r="S488" s="547"/>
      <c r="T488" s="547"/>
      <c r="U488" s="547"/>
      <c r="V488" s="547"/>
      <c r="W488" s="547"/>
      <c r="X488" s="547"/>
      <c r="Y488" s="547"/>
      <c r="Z488" s="547"/>
      <c r="AA488" s="547"/>
      <c r="AB488" s="547"/>
      <c r="AC488" s="547"/>
      <c r="AD488" s="547"/>
      <c r="AE488" s="547"/>
      <c r="AF488" s="548"/>
      <c r="AG488" s="547"/>
      <c r="AH488" s="547"/>
      <c r="AI488" s="547"/>
      <c r="AJ488" s="547"/>
      <c r="AK488" s="547"/>
      <c r="AL488" s="547"/>
      <c r="AM488" s="547"/>
      <c r="AN488" s="547"/>
      <c r="AO488" s="547"/>
      <c r="AP488" s="547"/>
      <c r="AQ488" s="547"/>
      <c r="AR488" s="547"/>
      <c r="AS488" s="547"/>
      <c r="AT488" s="547"/>
      <c r="AU488" s="547"/>
      <c r="AV488" s="547"/>
      <c r="AW488" s="547"/>
      <c r="AX488" s="547"/>
      <c r="AY488" s="547"/>
      <c r="AZ488" s="547"/>
      <c r="BA488" s="547"/>
      <c r="BB488" s="547"/>
      <c r="BC488" s="547"/>
      <c r="BD488" s="547"/>
      <c r="BE488" s="548"/>
      <c r="BF488" s="547"/>
      <c r="BG488" s="547"/>
      <c r="BH488" s="547"/>
      <c r="BI488" s="547"/>
      <c r="BJ488" s="36"/>
      <c r="BK488" s="174"/>
      <c r="BL488" s="174"/>
      <c r="BM488" s="7"/>
    </row>
    <row r="489" spans="1:65" ht="15.75" customHeight="1">
      <c r="A489" s="546"/>
      <c r="B489" s="552"/>
      <c r="C489" s="547"/>
      <c r="D489" s="546"/>
      <c r="E489" s="547"/>
      <c r="F489" s="547"/>
      <c r="G489" s="547"/>
      <c r="H489" s="547"/>
      <c r="I489" s="547"/>
      <c r="J489" s="547"/>
      <c r="K489" s="547"/>
      <c r="L489" s="547"/>
      <c r="M489" s="547"/>
      <c r="N489" s="547"/>
      <c r="O489" s="547"/>
      <c r="P489" s="547"/>
      <c r="Q489" s="547"/>
      <c r="R489" s="547"/>
      <c r="S489" s="547"/>
      <c r="T489" s="547"/>
      <c r="U489" s="547"/>
      <c r="V489" s="547"/>
      <c r="W489" s="547"/>
      <c r="X489" s="547"/>
      <c r="Y489" s="547"/>
      <c r="Z489" s="547"/>
      <c r="AA489" s="547"/>
      <c r="AB489" s="547"/>
      <c r="AC489" s="547"/>
      <c r="AD489" s="547"/>
      <c r="AE489" s="547"/>
      <c r="AF489" s="548"/>
      <c r="AG489" s="547"/>
      <c r="AH489" s="547"/>
      <c r="AI489" s="547"/>
      <c r="AJ489" s="547"/>
      <c r="AK489" s="547"/>
      <c r="AL489" s="547"/>
      <c r="AM489" s="547"/>
      <c r="AN489" s="547"/>
      <c r="AO489" s="547"/>
      <c r="AP489" s="547"/>
      <c r="AQ489" s="547"/>
      <c r="AR489" s="547"/>
      <c r="AS489" s="547"/>
      <c r="AT489" s="547"/>
      <c r="AU489" s="547"/>
      <c r="AV489" s="547"/>
      <c r="AW489" s="547"/>
      <c r="AX489" s="547"/>
      <c r="AY489" s="547"/>
      <c r="AZ489" s="547"/>
      <c r="BA489" s="547"/>
      <c r="BB489" s="547"/>
      <c r="BC489" s="547"/>
      <c r="BD489" s="547"/>
      <c r="BE489" s="548"/>
      <c r="BF489" s="547"/>
      <c r="BG489" s="547"/>
      <c r="BH489" s="547"/>
      <c r="BI489" s="547"/>
      <c r="BJ489" s="36"/>
      <c r="BK489" s="174"/>
      <c r="BL489" s="174"/>
      <c r="BM489" s="7"/>
    </row>
    <row r="490" spans="1:65" ht="15.75" customHeight="1">
      <c r="A490" s="546"/>
      <c r="B490" s="552"/>
      <c r="C490" s="547"/>
      <c r="D490" s="546"/>
      <c r="E490" s="547"/>
      <c r="F490" s="547"/>
      <c r="G490" s="547"/>
      <c r="H490" s="547"/>
      <c r="I490" s="547"/>
      <c r="J490" s="547"/>
      <c r="K490" s="547"/>
      <c r="L490" s="547"/>
      <c r="M490" s="547"/>
      <c r="N490" s="547"/>
      <c r="O490" s="547"/>
      <c r="P490" s="547"/>
      <c r="Q490" s="547"/>
      <c r="R490" s="547"/>
      <c r="S490" s="547"/>
      <c r="T490" s="547"/>
      <c r="U490" s="547"/>
      <c r="V490" s="547"/>
      <c r="W490" s="547"/>
      <c r="X490" s="547"/>
      <c r="Y490" s="547"/>
      <c r="Z490" s="547"/>
      <c r="AA490" s="547"/>
      <c r="AB490" s="547"/>
      <c r="AC490" s="547"/>
      <c r="AD490" s="547"/>
      <c r="AE490" s="547"/>
      <c r="AF490" s="548"/>
      <c r="AG490" s="547"/>
      <c r="AH490" s="547"/>
      <c r="AI490" s="547"/>
      <c r="AJ490" s="547"/>
      <c r="AK490" s="547"/>
      <c r="AL490" s="547"/>
      <c r="AM490" s="547"/>
      <c r="AN490" s="547"/>
      <c r="AO490" s="547"/>
      <c r="AP490" s="547"/>
      <c r="AQ490" s="547"/>
      <c r="AR490" s="547"/>
      <c r="AS490" s="547"/>
      <c r="AT490" s="547"/>
      <c r="AU490" s="547"/>
      <c r="AV490" s="547"/>
      <c r="AW490" s="547"/>
      <c r="AX490" s="547"/>
      <c r="AY490" s="547"/>
      <c r="AZ490" s="547"/>
      <c r="BA490" s="547"/>
      <c r="BB490" s="547"/>
      <c r="BC490" s="547"/>
      <c r="BD490" s="547"/>
      <c r="BE490" s="548"/>
      <c r="BF490" s="547"/>
      <c r="BG490" s="547"/>
      <c r="BH490" s="547"/>
      <c r="BI490" s="547"/>
      <c r="BJ490" s="36"/>
      <c r="BK490" s="174"/>
      <c r="BL490" s="174"/>
      <c r="BM490" s="7"/>
    </row>
    <row r="491" spans="1:65" ht="15.75" customHeight="1">
      <c r="A491" s="546"/>
      <c r="B491" s="552"/>
      <c r="C491" s="547"/>
      <c r="D491" s="546"/>
      <c r="E491" s="547"/>
      <c r="F491" s="547"/>
      <c r="G491" s="547"/>
      <c r="H491" s="547"/>
      <c r="I491" s="547"/>
      <c r="J491" s="547"/>
      <c r="K491" s="547"/>
      <c r="L491" s="547"/>
      <c r="M491" s="547"/>
      <c r="N491" s="547"/>
      <c r="O491" s="547"/>
      <c r="P491" s="547"/>
      <c r="Q491" s="547"/>
      <c r="R491" s="547"/>
      <c r="S491" s="547"/>
      <c r="T491" s="547"/>
      <c r="U491" s="547"/>
      <c r="V491" s="547"/>
      <c r="W491" s="547"/>
      <c r="X491" s="547"/>
      <c r="Y491" s="547"/>
      <c r="Z491" s="547"/>
      <c r="AA491" s="547"/>
      <c r="AB491" s="547"/>
      <c r="AC491" s="547"/>
      <c r="AD491" s="547"/>
      <c r="AE491" s="547"/>
      <c r="AF491" s="548"/>
      <c r="AG491" s="547"/>
      <c r="AH491" s="547"/>
      <c r="AI491" s="547"/>
      <c r="AJ491" s="547"/>
      <c r="AK491" s="547"/>
      <c r="AL491" s="547"/>
      <c r="AM491" s="547"/>
      <c r="AN491" s="547"/>
      <c r="AO491" s="547"/>
      <c r="AP491" s="547"/>
      <c r="AQ491" s="547"/>
      <c r="AR491" s="547"/>
      <c r="AS491" s="547"/>
      <c r="AT491" s="547"/>
      <c r="AU491" s="547"/>
      <c r="AV491" s="547"/>
      <c r="AW491" s="547"/>
      <c r="AX491" s="547"/>
      <c r="AY491" s="547"/>
      <c r="AZ491" s="547"/>
      <c r="BA491" s="547"/>
      <c r="BB491" s="547"/>
      <c r="BC491" s="547"/>
      <c r="BD491" s="547"/>
      <c r="BE491" s="548"/>
      <c r="BF491" s="547"/>
      <c r="BG491" s="547"/>
      <c r="BH491" s="547"/>
      <c r="BI491" s="547"/>
      <c r="BJ491" s="36"/>
      <c r="BK491" s="174"/>
      <c r="BL491" s="174"/>
      <c r="BM491" s="7"/>
    </row>
    <row r="492" spans="1:65" ht="15.75" customHeight="1">
      <c r="A492" s="546"/>
      <c r="B492" s="552"/>
      <c r="C492" s="547"/>
      <c r="D492" s="546"/>
      <c r="E492" s="547"/>
      <c r="F492" s="547"/>
      <c r="G492" s="547"/>
      <c r="H492" s="547"/>
      <c r="I492" s="547"/>
      <c r="J492" s="547"/>
      <c r="K492" s="547"/>
      <c r="L492" s="547"/>
      <c r="M492" s="547"/>
      <c r="N492" s="547"/>
      <c r="O492" s="547"/>
      <c r="P492" s="547"/>
      <c r="Q492" s="547"/>
      <c r="R492" s="547"/>
      <c r="S492" s="547"/>
      <c r="T492" s="547"/>
      <c r="U492" s="547"/>
      <c r="V492" s="547"/>
      <c r="W492" s="547"/>
      <c r="X492" s="547"/>
      <c r="Y492" s="547"/>
      <c r="Z492" s="547"/>
      <c r="AA492" s="547"/>
      <c r="AB492" s="547"/>
      <c r="AC492" s="547"/>
      <c r="AD492" s="547"/>
      <c r="AE492" s="547"/>
      <c r="AF492" s="548"/>
      <c r="AG492" s="547"/>
      <c r="AH492" s="547"/>
      <c r="AI492" s="547"/>
      <c r="AJ492" s="547"/>
      <c r="AK492" s="547"/>
      <c r="AL492" s="547"/>
      <c r="AM492" s="547"/>
      <c r="AN492" s="547"/>
      <c r="AO492" s="547"/>
      <c r="AP492" s="547"/>
      <c r="AQ492" s="547"/>
      <c r="AR492" s="547"/>
      <c r="AS492" s="547"/>
      <c r="AT492" s="547"/>
      <c r="AU492" s="547"/>
      <c r="AV492" s="547"/>
      <c r="AW492" s="547"/>
      <c r="AX492" s="547"/>
      <c r="AY492" s="547"/>
      <c r="AZ492" s="547"/>
      <c r="BA492" s="547"/>
      <c r="BB492" s="547"/>
      <c r="BC492" s="547"/>
      <c r="BD492" s="547"/>
      <c r="BE492" s="548"/>
      <c r="BF492" s="547"/>
      <c r="BG492" s="547"/>
      <c r="BH492" s="547"/>
      <c r="BI492" s="547"/>
      <c r="BJ492" s="36"/>
      <c r="BK492" s="174"/>
      <c r="BL492" s="174"/>
      <c r="BM492" s="7"/>
    </row>
    <row r="493" spans="1:65" ht="15.75" customHeight="1">
      <c r="A493" s="546"/>
      <c r="B493" s="552"/>
      <c r="C493" s="547"/>
      <c r="D493" s="546"/>
      <c r="E493" s="547"/>
      <c r="F493" s="547"/>
      <c r="G493" s="547"/>
      <c r="H493" s="547"/>
      <c r="I493" s="547"/>
      <c r="J493" s="547"/>
      <c r="K493" s="547"/>
      <c r="L493" s="547"/>
      <c r="M493" s="547"/>
      <c r="N493" s="547"/>
      <c r="O493" s="547"/>
      <c r="P493" s="547"/>
      <c r="Q493" s="547"/>
      <c r="R493" s="547"/>
      <c r="S493" s="547"/>
      <c r="T493" s="547"/>
      <c r="U493" s="547"/>
      <c r="V493" s="547"/>
      <c r="W493" s="547"/>
      <c r="X493" s="547"/>
      <c r="Y493" s="547"/>
      <c r="Z493" s="547"/>
      <c r="AA493" s="547"/>
      <c r="AB493" s="547"/>
      <c r="AC493" s="547"/>
      <c r="AD493" s="547"/>
      <c r="AE493" s="547"/>
      <c r="AF493" s="548"/>
      <c r="AG493" s="547"/>
      <c r="AH493" s="547"/>
      <c r="AI493" s="547"/>
      <c r="AJ493" s="547"/>
      <c r="AK493" s="547"/>
      <c r="AL493" s="547"/>
      <c r="AM493" s="547"/>
      <c r="AN493" s="547"/>
      <c r="AO493" s="547"/>
      <c r="AP493" s="547"/>
      <c r="AQ493" s="547"/>
      <c r="AR493" s="547"/>
      <c r="AS493" s="547"/>
      <c r="AT493" s="547"/>
      <c r="AU493" s="547"/>
      <c r="AV493" s="547"/>
      <c r="AW493" s="547"/>
      <c r="AX493" s="547"/>
      <c r="AY493" s="547"/>
      <c r="AZ493" s="547"/>
      <c r="BA493" s="547"/>
      <c r="BB493" s="547"/>
      <c r="BC493" s="547"/>
      <c r="BD493" s="547"/>
      <c r="BE493" s="548"/>
      <c r="BF493" s="547"/>
      <c r="BG493" s="547"/>
      <c r="BH493" s="547"/>
      <c r="BI493" s="547"/>
      <c r="BJ493" s="36"/>
      <c r="BK493" s="174"/>
      <c r="BL493" s="174"/>
      <c r="BM493" s="7"/>
    </row>
    <row r="494" spans="1:65" ht="15.75" customHeight="1">
      <c r="A494" s="546"/>
      <c r="B494" s="552"/>
      <c r="C494" s="547"/>
      <c r="D494" s="546"/>
      <c r="E494" s="547"/>
      <c r="F494" s="547"/>
      <c r="G494" s="547"/>
      <c r="H494" s="547"/>
      <c r="I494" s="547"/>
      <c r="J494" s="547"/>
      <c r="K494" s="547"/>
      <c r="L494" s="547"/>
      <c r="M494" s="547"/>
      <c r="N494" s="547"/>
      <c r="O494" s="547"/>
      <c r="P494" s="547"/>
      <c r="Q494" s="547"/>
      <c r="R494" s="547"/>
      <c r="S494" s="547"/>
      <c r="T494" s="547"/>
      <c r="U494" s="547"/>
      <c r="V494" s="547"/>
      <c r="W494" s="547"/>
      <c r="X494" s="547"/>
      <c r="Y494" s="547"/>
      <c r="Z494" s="547"/>
      <c r="AA494" s="547"/>
      <c r="AB494" s="547"/>
      <c r="AC494" s="547"/>
      <c r="AD494" s="547"/>
      <c r="AE494" s="547"/>
      <c r="AF494" s="548"/>
      <c r="AG494" s="547"/>
      <c r="AH494" s="547"/>
      <c r="AI494" s="547"/>
      <c r="AJ494" s="547"/>
      <c r="AK494" s="547"/>
      <c r="AL494" s="547"/>
      <c r="AM494" s="547"/>
      <c r="AN494" s="547"/>
      <c r="AO494" s="547"/>
      <c r="AP494" s="547"/>
      <c r="AQ494" s="547"/>
      <c r="AR494" s="547"/>
      <c r="AS494" s="547"/>
      <c r="AT494" s="547"/>
      <c r="AU494" s="547"/>
      <c r="AV494" s="547"/>
      <c r="AW494" s="547"/>
      <c r="AX494" s="547"/>
      <c r="AY494" s="547"/>
      <c r="AZ494" s="547"/>
      <c r="BA494" s="547"/>
      <c r="BB494" s="547"/>
      <c r="BC494" s="547"/>
      <c r="BD494" s="547"/>
      <c r="BE494" s="548"/>
      <c r="BF494" s="547"/>
      <c r="BG494" s="547"/>
      <c r="BH494" s="547"/>
      <c r="BI494" s="547"/>
      <c r="BJ494" s="36"/>
      <c r="BK494" s="174"/>
      <c r="BL494" s="174"/>
      <c r="BM494" s="7"/>
    </row>
    <row r="495" spans="1:65" ht="15.75" customHeight="1">
      <c r="A495" s="546"/>
      <c r="B495" s="552"/>
      <c r="C495" s="547"/>
      <c r="D495" s="546"/>
      <c r="E495" s="547"/>
      <c r="F495" s="547"/>
      <c r="G495" s="547"/>
      <c r="H495" s="547"/>
      <c r="I495" s="547"/>
      <c r="J495" s="547"/>
      <c r="K495" s="547"/>
      <c r="L495" s="547"/>
      <c r="M495" s="547"/>
      <c r="N495" s="547"/>
      <c r="O495" s="547"/>
      <c r="P495" s="547"/>
      <c r="Q495" s="547"/>
      <c r="R495" s="547"/>
      <c r="S495" s="547"/>
      <c r="T495" s="547"/>
      <c r="U495" s="547"/>
      <c r="V495" s="547"/>
      <c r="W495" s="547"/>
      <c r="X495" s="547"/>
      <c r="Y495" s="547"/>
      <c r="Z495" s="547"/>
      <c r="AA495" s="547"/>
      <c r="AB495" s="547"/>
      <c r="AC495" s="547"/>
      <c r="AD495" s="547"/>
      <c r="AE495" s="547"/>
      <c r="AF495" s="548"/>
      <c r="AG495" s="547"/>
      <c r="AH495" s="547"/>
      <c r="AI495" s="547"/>
      <c r="AJ495" s="547"/>
      <c r="AK495" s="547"/>
      <c r="AL495" s="547"/>
      <c r="AM495" s="547"/>
      <c r="AN495" s="547"/>
      <c r="AO495" s="547"/>
      <c r="AP495" s="547"/>
      <c r="AQ495" s="547"/>
      <c r="AR495" s="547"/>
      <c r="AS495" s="547"/>
      <c r="AT495" s="547"/>
      <c r="AU495" s="547"/>
      <c r="AV495" s="547"/>
      <c r="AW495" s="547"/>
      <c r="AX495" s="547"/>
      <c r="AY495" s="547"/>
      <c r="AZ495" s="547"/>
      <c r="BA495" s="547"/>
      <c r="BB495" s="547"/>
      <c r="BC495" s="547"/>
      <c r="BD495" s="547"/>
      <c r="BE495" s="548"/>
      <c r="BF495" s="547"/>
      <c r="BG495" s="547"/>
      <c r="BH495" s="547"/>
      <c r="BI495" s="547"/>
      <c r="BJ495" s="36"/>
      <c r="BK495" s="174"/>
      <c r="BL495" s="174"/>
      <c r="BM495" s="7"/>
    </row>
    <row r="496" spans="1:65" ht="15.75" customHeight="1">
      <c r="A496" s="546"/>
      <c r="B496" s="552"/>
      <c r="C496" s="547"/>
      <c r="D496" s="546"/>
      <c r="E496" s="547"/>
      <c r="F496" s="547"/>
      <c r="G496" s="547"/>
      <c r="H496" s="547"/>
      <c r="I496" s="547"/>
      <c r="J496" s="547"/>
      <c r="K496" s="547"/>
      <c r="L496" s="547"/>
      <c r="M496" s="547"/>
      <c r="N496" s="547"/>
      <c r="O496" s="547"/>
      <c r="P496" s="547"/>
      <c r="Q496" s="547"/>
      <c r="R496" s="547"/>
      <c r="S496" s="547"/>
      <c r="T496" s="547"/>
      <c r="U496" s="547"/>
      <c r="V496" s="547"/>
      <c r="W496" s="547"/>
      <c r="X496" s="547"/>
      <c r="Y496" s="547"/>
      <c r="Z496" s="547"/>
      <c r="AA496" s="547"/>
      <c r="AB496" s="547"/>
      <c r="AC496" s="547"/>
      <c r="AD496" s="547"/>
      <c r="AE496" s="547"/>
      <c r="AF496" s="548"/>
      <c r="AG496" s="547"/>
      <c r="AH496" s="547"/>
      <c r="AI496" s="547"/>
      <c r="AJ496" s="547"/>
      <c r="AK496" s="547"/>
      <c r="AL496" s="547"/>
      <c r="AM496" s="547"/>
      <c r="AN496" s="547"/>
      <c r="AO496" s="547"/>
      <c r="AP496" s="547"/>
      <c r="AQ496" s="547"/>
      <c r="AR496" s="547"/>
      <c r="AS496" s="547"/>
      <c r="AT496" s="547"/>
      <c r="AU496" s="547"/>
      <c r="AV496" s="547"/>
      <c r="AW496" s="547"/>
      <c r="AX496" s="547"/>
      <c r="AY496" s="547"/>
      <c r="AZ496" s="547"/>
      <c r="BA496" s="547"/>
      <c r="BB496" s="547"/>
      <c r="BC496" s="547"/>
      <c r="BD496" s="547"/>
      <c r="BE496" s="548"/>
      <c r="BF496" s="547"/>
      <c r="BG496" s="547"/>
      <c r="BH496" s="547"/>
      <c r="BI496" s="547"/>
      <c r="BJ496" s="36"/>
      <c r="BK496" s="174"/>
      <c r="BL496" s="174"/>
      <c r="BM496" s="7"/>
    </row>
    <row r="497" spans="1:65" ht="15.75" customHeight="1">
      <c r="A497" s="546"/>
      <c r="B497" s="552"/>
      <c r="C497" s="547"/>
      <c r="D497" s="546"/>
      <c r="E497" s="547"/>
      <c r="F497" s="547"/>
      <c r="G497" s="547"/>
      <c r="H497" s="547"/>
      <c r="I497" s="547"/>
      <c r="J497" s="547"/>
      <c r="K497" s="547"/>
      <c r="L497" s="547"/>
      <c r="M497" s="547"/>
      <c r="N497" s="547"/>
      <c r="O497" s="547"/>
      <c r="P497" s="547"/>
      <c r="Q497" s="547"/>
      <c r="R497" s="547"/>
      <c r="S497" s="547"/>
      <c r="T497" s="547"/>
      <c r="U497" s="547"/>
      <c r="V497" s="547"/>
      <c r="W497" s="547"/>
      <c r="X497" s="547"/>
      <c r="Y497" s="547"/>
      <c r="Z497" s="547"/>
      <c r="AA497" s="547"/>
      <c r="AB497" s="547"/>
      <c r="AC497" s="547"/>
      <c r="AD497" s="547"/>
      <c r="AE497" s="547"/>
      <c r="AF497" s="548"/>
      <c r="AG497" s="547"/>
      <c r="AH497" s="547"/>
      <c r="AI497" s="547"/>
      <c r="AJ497" s="547"/>
      <c r="AK497" s="547"/>
      <c r="AL497" s="547"/>
      <c r="AM497" s="547"/>
      <c r="AN497" s="547"/>
      <c r="AO497" s="547"/>
      <c r="AP497" s="547"/>
      <c r="AQ497" s="547"/>
      <c r="AR497" s="547"/>
      <c r="AS497" s="547"/>
      <c r="AT497" s="547"/>
      <c r="AU497" s="547"/>
      <c r="AV497" s="547"/>
      <c r="AW497" s="547"/>
      <c r="AX497" s="547"/>
      <c r="AY497" s="547"/>
      <c r="AZ497" s="547"/>
      <c r="BA497" s="547"/>
      <c r="BB497" s="547"/>
      <c r="BC497" s="547"/>
      <c r="BD497" s="547"/>
      <c r="BE497" s="548"/>
      <c r="BF497" s="547"/>
      <c r="BG497" s="547"/>
      <c r="BH497" s="547"/>
      <c r="BI497" s="547"/>
      <c r="BJ497" s="36"/>
      <c r="BK497" s="174"/>
      <c r="BL497" s="174"/>
      <c r="BM497" s="7"/>
    </row>
    <row r="498" spans="1:65" ht="15.75" customHeight="1">
      <c r="A498" s="546"/>
      <c r="B498" s="552"/>
      <c r="C498" s="547"/>
      <c r="D498" s="546"/>
      <c r="E498" s="547"/>
      <c r="F498" s="547"/>
      <c r="G498" s="547"/>
      <c r="H498" s="547"/>
      <c r="I498" s="547"/>
      <c r="J498" s="547"/>
      <c r="K498" s="547"/>
      <c r="L498" s="547"/>
      <c r="M498" s="547"/>
      <c r="N498" s="547"/>
      <c r="O498" s="547"/>
      <c r="P498" s="547"/>
      <c r="Q498" s="547"/>
      <c r="R498" s="547"/>
      <c r="S498" s="547"/>
      <c r="T498" s="547"/>
      <c r="U498" s="547"/>
      <c r="V498" s="547"/>
      <c r="W498" s="547"/>
      <c r="X498" s="547"/>
      <c r="Y498" s="547"/>
      <c r="Z498" s="547"/>
      <c r="AA498" s="547"/>
      <c r="AB498" s="547"/>
      <c r="AC498" s="547"/>
      <c r="AD498" s="547"/>
      <c r="AE498" s="547"/>
      <c r="AF498" s="548"/>
      <c r="AG498" s="547"/>
      <c r="AH498" s="547"/>
      <c r="AI498" s="547"/>
      <c r="AJ498" s="547"/>
      <c r="AK498" s="547"/>
      <c r="AL498" s="547"/>
      <c r="AM498" s="547"/>
      <c r="AN498" s="547"/>
      <c r="AO498" s="547"/>
      <c r="AP498" s="547"/>
      <c r="AQ498" s="547"/>
      <c r="AR498" s="547"/>
      <c r="AS498" s="547"/>
      <c r="AT498" s="547"/>
      <c r="AU498" s="547"/>
      <c r="AV498" s="547"/>
      <c r="AW498" s="547"/>
      <c r="AX498" s="547"/>
      <c r="AY498" s="547"/>
      <c r="AZ498" s="547"/>
      <c r="BA498" s="547"/>
      <c r="BB498" s="547"/>
      <c r="BC498" s="547"/>
      <c r="BD498" s="547"/>
      <c r="BE498" s="548"/>
      <c r="BF498" s="547"/>
      <c r="BG498" s="547"/>
      <c r="BH498" s="547"/>
      <c r="BI498" s="547"/>
      <c r="BJ498" s="36"/>
      <c r="BK498" s="174"/>
      <c r="BL498" s="174"/>
      <c r="BM498" s="7"/>
    </row>
    <row r="499" spans="1:65" ht="15.75" customHeight="1">
      <c r="A499" s="546"/>
      <c r="B499" s="552"/>
      <c r="C499" s="547"/>
      <c r="D499" s="546"/>
      <c r="E499" s="547"/>
      <c r="F499" s="547"/>
      <c r="G499" s="547"/>
      <c r="H499" s="547"/>
      <c r="I499" s="547"/>
      <c r="J499" s="547"/>
      <c r="K499" s="547"/>
      <c r="L499" s="547"/>
      <c r="M499" s="547"/>
      <c r="N499" s="547"/>
      <c r="O499" s="547"/>
      <c r="P499" s="547"/>
      <c r="Q499" s="547"/>
      <c r="R499" s="547"/>
      <c r="S499" s="547"/>
      <c r="T499" s="547"/>
      <c r="U499" s="547"/>
      <c r="V499" s="547"/>
      <c r="W499" s="547"/>
      <c r="X499" s="547"/>
      <c r="Y499" s="547"/>
      <c r="Z499" s="547"/>
      <c r="AA499" s="547"/>
      <c r="AB499" s="547"/>
      <c r="AC499" s="547"/>
      <c r="AD499" s="547"/>
      <c r="AE499" s="547"/>
      <c r="AF499" s="548"/>
      <c r="AG499" s="547"/>
      <c r="AH499" s="547"/>
      <c r="AI499" s="547"/>
      <c r="AJ499" s="547"/>
      <c r="AK499" s="547"/>
      <c r="AL499" s="547"/>
      <c r="AM499" s="547"/>
      <c r="AN499" s="547"/>
      <c r="AO499" s="547"/>
      <c r="AP499" s="547"/>
      <c r="AQ499" s="547"/>
      <c r="AR499" s="547"/>
      <c r="AS499" s="547"/>
      <c r="AT499" s="547"/>
      <c r="AU499" s="547"/>
      <c r="AV499" s="547"/>
      <c r="AW499" s="547"/>
      <c r="AX499" s="547"/>
      <c r="AY499" s="547"/>
      <c r="AZ499" s="547"/>
      <c r="BA499" s="547"/>
      <c r="BB499" s="547"/>
      <c r="BC499" s="547"/>
      <c r="BD499" s="547"/>
      <c r="BE499" s="548"/>
      <c r="BF499" s="547"/>
      <c r="BG499" s="547"/>
      <c r="BH499" s="547"/>
      <c r="BI499" s="547"/>
      <c r="BJ499" s="36"/>
      <c r="BK499" s="174"/>
      <c r="BL499" s="174"/>
      <c r="BM499" s="7"/>
    </row>
    <row r="500" spans="1:65" ht="15.75" customHeight="1">
      <c r="A500" s="546"/>
      <c r="B500" s="552"/>
      <c r="C500" s="547"/>
      <c r="D500" s="546"/>
      <c r="E500" s="547"/>
      <c r="F500" s="547"/>
      <c r="G500" s="547"/>
      <c r="H500" s="547"/>
      <c r="I500" s="547"/>
      <c r="J500" s="547"/>
      <c r="K500" s="547"/>
      <c r="L500" s="547"/>
      <c r="M500" s="547"/>
      <c r="N500" s="547"/>
      <c r="O500" s="547"/>
      <c r="P500" s="547"/>
      <c r="Q500" s="547"/>
      <c r="R500" s="547"/>
      <c r="S500" s="547"/>
      <c r="T500" s="547"/>
      <c r="U500" s="547"/>
      <c r="V500" s="547"/>
      <c r="W500" s="547"/>
      <c r="X500" s="547"/>
      <c r="Y500" s="547"/>
      <c r="Z500" s="547"/>
      <c r="AA500" s="547"/>
      <c r="AB500" s="547"/>
      <c r="AC500" s="547"/>
      <c r="AD500" s="547"/>
      <c r="AE500" s="547"/>
      <c r="AF500" s="548"/>
      <c r="AG500" s="547"/>
      <c r="AH500" s="547"/>
      <c r="AI500" s="547"/>
      <c r="AJ500" s="547"/>
      <c r="AK500" s="547"/>
      <c r="AL500" s="547"/>
      <c r="AM500" s="547"/>
      <c r="AN500" s="547"/>
      <c r="AO500" s="547"/>
      <c r="AP500" s="547"/>
      <c r="AQ500" s="547"/>
      <c r="AR500" s="547"/>
      <c r="AS500" s="547"/>
      <c r="AT500" s="547"/>
      <c r="AU500" s="547"/>
      <c r="AV500" s="547"/>
      <c r="AW500" s="547"/>
      <c r="AX500" s="547"/>
      <c r="AY500" s="547"/>
      <c r="AZ500" s="547"/>
      <c r="BA500" s="547"/>
      <c r="BB500" s="547"/>
      <c r="BC500" s="547"/>
      <c r="BD500" s="547"/>
      <c r="BE500" s="548"/>
      <c r="BF500" s="547"/>
      <c r="BG500" s="547"/>
      <c r="BH500" s="547"/>
      <c r="BI500" s="547"/>
      <c r="BJ500" s="36"/>
      <c r="BK500" s="174"/>
      <c r="BL500" s="174"/>
      <c r="BM500" s="7"/>
    </row>
    <row r="501" spans="1:65" ht="15.75" customHeight="1">
      <c r="A501" s="546"/>
      <c r="B501" s="552"/>
      <c r="C501" s="547"/>
      <c r="D501" s="546"/>
      <c r="E501" s="547"/>
      <c r="F501" s="547"/>
      <c r="G501" s="547"/>
      <c r="H501" s="547"/>
      <c r="I501" s="547"/>
      <c r="J501" s="547"/>
      <c r="K501" s="547"/>
      <c r="L501" s="547"/>
      <c r="M501" s="547"/>
      <c r="N501" s="547"/>
      <c r="O501" s="547"/>
      <c r="P501" s="547"/>
      <c r="Q501" s="547"/>
      <c r="R501" s="547"/>
      <c r="S501" s="547"/>
      <c r="T501" s="547"/>
      <c r="U501" s="547"/>
      <c r="V501" s="547"/>
      <c r="W501" s="547"/>
      <c r="X501" s="547"/>
      <c r="Y501" s="547"/>
      <c r="Z501" s="547"/>
      <c r="AA501" s="547"/>
      <c r="AB501" s="547"/>
      <c r="AC501" s="547"/>
      <c r="AD501" s="547"/>
      <c r="AE501" s="547"/>
      <c r="AF501" s="548"/>
      <c r="AG501" s="547"/>
      <c r="AH501" s="547"/>
      <c r="AI501" s="547"/>
      <c r="AJ501" s="547"/>
      <c r="AK501" s="547"/>
      <c r="AL501" s="547"/>
      <c r="AM501" s="547"/>
      <c r="AN501" s="547"/>
      <c r="AO501" s="547"/>
      <c r="AP501" s="547"/>
      <c r="AQ501" s="547"/>
      <c r="AR501" s="547"/>
      <c r="AS501" s="547"/>
      <c r="AT501" s="547"/>
      <c r="AU501" s="547"/>
      <c r="AV501" s="547"/>
      <c r="AW501" s="547"/>
      <c r="AX501" s="547"/>
      <c r="AY501" s="547"/>
      <c r="AZ501" s="547"/>
      <c r="BA501" s="547"/>
      <c r="BB501" s="547"/>
      <c r="BC501" s="547"/>
      <c r="BD501" s="547"/>
      <c r="BE501" s="548"/>
      <c r="BF501" s="547"/>
      <c r="BG501" s="547"/>
      <c r="BH501" s="547"/>
      <c r="BI501" s="547"/>
      <c r="BJ501" s="36"/>
      <c r="BK501" s="174"/>
      <c r="BL501" s="174"/>
      <c r="BM501" s="7"/>
    </row>
    <row r="502" spans="1:65" ht="15.75" customHeight="1">
      <c r="A502" s="546"/>
      <c r="B502" s="552"/>
      <c r="C502" s="547"/>
      <c r="D502" s="546"/>
      <c r="E502" s="547"/>
      <c r="F502" s="547"/>
      <c r="G502" s="547"/>
      <c r="H502" s="547"/>
      <c r="I502" s="547"/>
      <c r="J502" s="547"/>
      <c r="K502" s="547"/>
      <c r="L502" s="547"/>
      <c r="M502" s="547"/>
      <c r="N502" s="547"/>
      <c r="O502" s="547"/>
      <c r="P502" s="547"/>
      <c r="Q502" s="547"/>
      <c r="R502" s="547"/>
      <c r="S502" s="547"/>
      <c r="T502" s="547"/>
      <c r="U502" s="547"/>
      <c r="V502" s="547"/>
      <c r="W502" s="547"/>
      <c r="X502" s="547"/>
      <c r="Y502" s="547"/>
      <c r="Z502" s="547"/>
      <c r="AA502" s="547"/>
      <c r="AB502" s="547"/>
      <c r="AC502" s="547"/>
      <c r="AD502" s="547"/>
      <c r="AE502" s="547"/>
      <c r="AF502" s="548"/>
      <c r="AG502" s="547"/>
      <c r="AH502" s="547"/>
      <c r="AI502" s="547"/>
      <c r="AJ502" s="547"/>
      <c r="AK502" s="547"/>
      <c r="AL502" s="547"/>
      <c r="AM502" s="547"/>
      <c r="AN502" s="547"/>
      <c r="AO502" s="547"/>
      <c r="AP502" s="547"/>
      <c r="AQ502" s="547"/>
      <c r="AR502" s="547"/>
      <c r="AS502" s="547"/>
      <c r="AT502" s="547"/>
      <c r="AU502" s="547"/>
      <c r="AV502" s="547"/>
      <c r="AW502" s="547"/>
      <c r="AX502" s="547"/>
      <c r="AY502" s="547"/>
      <c r="AZ502" s="547"/>
      <c r="BA502" s="547"/>
      <c r="BB502" s="547"/>
      <c r="BC502" s="547"/>
      <c r="BD502" s="547"/>
      <c r="BE502" s="548"/>
      <c r="BF502" s="547"/>
      <c r="BG502" s="547"/>
      <c r="BH502" s="547"/>
      <c r="BI502" s="547"/>
      <c r="BJ502" s="36"/>
      <c r="BK502" s="174"/>
      <c r="BL502" s="174"/>
      <c r="BM502" s="7"/>
    </row>
    <row r="503" spans="1:65" ht="15.75" customHeight="1">
      <c r="A503" s="546"/>
      <c r="B503" s="552"/>
      <c r="C503" s="547"/>
      <c r="D503" s="546"/>
      <c r="E503" s="547"/>
      <c r="F503" s="547"/>
      <c r="G503" s="547"/>
      <c r="H503" s="547"/>
      <c r="I503" s="547"/>
      <c r="J503" s="547"/>
      <c r="K503" s="547"/>
      <c r="L503" s="547"/>
      <c r="M503" s="547"/>
      <c r="N503" s="547"/>
      <c r="O503" s="547"/>
      <c r="P503" s="547"/>
      <c r="Q503" s="547"/>
      <c r="R503" s="547"/>
      <c r="S503" s="547"/>
      <c r="T503" s="547"/>
      <c r="U503" s="547"/>
      <c r="V503" s="547"/>
      <c r="W503" s="547"/>
      <c r="X503" s="547"/>
      <c r="Y503" s="547"/>
      <c r="Z503" s="547"/>
      <c r="AA503" s="547"/>
      <c r="AB503" s="547"/>
      <c r="AC503" s="547"/>
      <c r="AD503" s="547"/>
      <c r="AE503" s="547"/>
      <c r="AF503" s="548"/>
      <c r="AG503" s="547"/>
      <c r="AH503" s="547"/>
      <c r="AI503" s="547"/>
      <c r="AJ503" s="547"/>
      <c r="AK503" s="547"/>
      <c r="AL503" s="547"/>
      <c r="AM503" s="547"/>
      <c r="AN503" s="547"/>
      <c r="AO503" s="547"/>
      <c r="AP503" s="547"/>
      <c r="AQ503" s="547"/>
      <c r="AR503" s="547"/>
      <c r="AS503" s="547"/>
      <c r="AT503" s="547"/>
      <c r="AU503" s="547"/>
      <c r="AV503" s="547"/>
      <c r="AW503" s="547"/>
      <c r="AX503" s="547"/>
      <c r="AY503" s="547"/>
      <c r="AZ503" s="547"/>
      <c r="BA503" s="547"/>
      <c r="BB503" s="547"/>
      <c r="BC503" s="547"/>
      <c r="BD503" s="547"/>
      <c r="BE503" s="548"/>
      <c r="BF503" s="547"/>
      <c r="BG503" s="547"/>
      <c r="BH503" s="547"/>
      <c r="BI503" s="547"/>
      <c r="BJ503" s="36"/>
      <c r="BK503" s="174"/>
      <c r="BL503" s="174"/>
      <c r="BM503" s="7"/>
    </row>
    <row r="504" spans="1:65" ht="15.75" customHeight="1">
      <c r="A504" s="546"/>
      <c r="B504" s="552"/>
      <c r="C504" s="547"/>
      <c r="D504" s="546"/>
      <c r="E504" s="547"/>
      <c r="F504" s="547"/>
      <c r="G504" s="547"/>
      <c r="H504" s="547"/>
      <c r="I504" s="547"/>
      <c r="J504" s="547"/>
      <c r="K504" s="547"/>
      <c r="L504" s="547"/>
      <c r="M504" s="547"/>
      <c r="N504" s="547"/>
      <c r="O504" s="547"/>
      <c r="P504" s="547"/>
      <c r="Q504" s="547"/>
      <c r="R504" s="547"/>
      <c r="S504" s="547"/>
      <c r="T504" s="547"/>
      <c r="U504" s="547"/>
      <c r="V504" s="547"/>
      <c r="W504" s="547"/>
      <c r="X504" s="547"/>
      <c r="Y504" s="547"/>
      <c r="Z504" s="547"/>
      <c r="AA504" s="547"/>
      <c r="AB504" s="547"/>
      <c r="AC504" s="547"/>
      <c r="AD504" s="547"/>
      <c r="AE504" s="547"/>
      <c r="AF504" s="548"/>
      <c r="AG504" s="547"/>
      <c r="AH504" s="547"/>
      <c r="AI504" s="547"/>
      <c r="AJ504" s="547"/>
      <c r="AK504" s="547"/>
      <c r="AL504" s="547"/>
      <c r="AM504" s="547"/>
      <c r="AN504" s="547"/>
      <c r="AO504" s="547"/>
      <c r="AP504" s="547"/>
      <c r="AQ504" s="547"/>
      <c r="AR504" s="547"/>
      <c r="AS504" s="547"/>
      <c r="AT504" s="547"/>
      <c r="AU504" s="547"/>
      <c r="AV504" s="547"/>
      <c r="AW504" s="547"/>
      <c r="AX504" s="547"/>
      <c r="AY504" s="547"/>
      <c r="AZ504" s="547"/>
      <c r="BA504" s="547"/>
      <c r="BB504" s="547"/>
      <c r="BC504" s="547"/>
      <c r="BD504" s="547"/>
      <c r="BE504" s="548"/>
      <c r="BF504" s="547"/>
      <c r="BG504" s="547"/>
      <c r="BH504" s="547"/>
      <c r="BI504" s="547"/>
      <c r="BJ504" s="36"/>
      <c r="BK504" s="174"/>
      <c r="BL504" s="174"/>
      <c r="BM504" s="7"/>
    </row>
    <row r="505" spans="1:65" ht="15.75" customHeight="1">
      <c r="A505" s="546"/>
      <c r="B505" s="552"/>
      <c r="C505" s="547"/>
      <c r="D505" s="546"/>
      <c r="E505" s="547"/>
      <c r="F505" s="547"/>
      <c r="G505" s="547"/>
      <c r="H505" s="547"/>
      <c r="I505" s="547"/>
      <c r="J505" s="547"/>
      <c r="K505" s="547"/>
      <c r="L505" s="547"/>
      <c r="M505" s="547"/>
      <c r="N505" s="547"/>
      <c r="O505" s="547"/>
      <c r="P505" s="547"/>
      <c r="Q505" s="547"/>
      <c r="R505" s="547"/>
      <c r="S505" s="547"/>
      <c r="T505" s="547"/>
      <c r="U505" s="547"/>
      <c r="V505" s="547"/>
      <c r="W505" s="547"/>
      <c r="X505" s="547"/>
      <c r="Y505" s="547"/>
      <c r="Z505" s="547"/>
      <c r="AA505" s="547"/>
      <c r="AB505" s="547"/>
      <c r="AC505" s="547"/>
      <c r="AD505" s="547"/>
      <c r="AE505" s="547"/>
      <c r="AF505" s="548"/>
      <c r="AG505" s="547"/>
      <c r="AH505" s="547"/>
      <c r="AI505" s="547"/>
      <c r="AJ505" s="547"/>
      <c r="AK505" s="547"/>
      <c r="AL505" s="547"/>
      <c r="AM505" s="547"/>
      <c r="AN505" s="547"/>
      <c r="AO505" s="547"/>
      <c r="AP505" s="547"/>
      <c r="AQ505" s="547"/>
      <c r="AR505" s="547"/>
      <c r="AS505" s="547"/>
      <c r="AT505" s="547"/>
      <c r="AU505" s="547"/>
      <c r="AV505" s="547"/>
      <c r="AW505" s="547"/>
      <c r="AX505" s="547"/>
      <c r="AY505" s="547"/>
      <c r="AZ505" s="547"/>
      <c r="BA505" s="547"/>
      <c r="BB505" s="547"/>
      <c r="BC505" s="547"/>
      <c r="BD505" s="547"/>
      <c r="BE505" s="548"/>
      <c r="BF505" s="547"/>
      <c r="BG505" s="547"/>
      <c r="BH505" s="547"/>
      <c r="BI505" s="547"/>
      <c r="BJ505" s="36"/>
      <c r="BK505" s="174"/>
      <c r="BL505" s="174"/>
      <c r="BM505" s="7"/>
    </row>
    <row r="506" spans="1:65" ht="15.75" customHeight="1">
      <c r="A506" s="546"/>
      <c r="B506" s="552"/>
      <c r="C506" s="547"/>
      <c r="D506" s="546"/>
      <c r="E506" s="547"/>
      <c r="F506" s="547"/>
      <c r="G506" s="547"/>
      <c r="H506" s="547"/>
      <c r="I506" s="547"/>
      <c r="J506" s="547"/>
      <c r="K506" s="547"/>
      <c r="L506" s="547"/>
      <c r="M506" s="547"/>
      <c r="N506" s="547"/>
      <c r="O506" s="547"/>
      <c r="P506" s="547"/>
      <c r="Q506" s="547"/>
      <c r="R506" s="547"/>
      <c r="S506" s="547"/>
      <c r="T506" s="547"/>
      <c r="U506" s="547"/>
      <c r="V506" s="547"/>
      <c r="W506" s="547"/>
      <c r="X506" s="547"/>
      <c r="Y506" s="547"/>
      <c r="Z506" s="547"/>
      <c r="AA506" s="547"/>
      <c r="AB506" s="547"/>
      <c r="AC506" s="547"/>
      <c r="AD506" s="547"/>
      <c r="AE506" s="547"/>
      <c r="AF506" s="548"/>
      <c r="AG506" s="547"/>
      <c r="AH506" s="547"/>
      <c r="AI506" s="547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7"/>
      <c r="AU506" s="547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8"/>
      <c r="BF506" s="547"/>
      <c r="BG506" s="547"/>
      <c r="BH506" s="547"/>
      <c r="BI506" s="547"/>
      <c r="BJ506" s="36"/>
      <c r="BK506" s="174"/>
      <c r="BL506" s="174"/>
      <c r="BM506" s="7"/>
    </row>
    <row r="507" spans="1:65" ht="15.75" customHeight="1">
      <c r="A507" s="546"/>
      <c r="B507" s="552"/>
      <c r="C507" s="547"/>
      <c r="D507" s="546"/>
      <c r="E507" s="547"/>
      <c r="F507" s="547"/>
      <c r="G507" s="547"/>
      <c r="H507" s="547"/>
      <c r="I507" s="547"/>
      <c r="J507" s="547"/>
      <c r="K507" s="547"/>
      <c r="L507" s="547"/>
      <c r="M507" s="547"/>
      <c r="N507" s="547"/>
      <c r="O507" s="547"/>
      <c r="P507" s="547"/>
      <c r="Q507" s="547"/>
      <c r="R507" s="547"/>
      <c r="S507" s="547"/>
      <c r="T507" s="547"/>
      <c r="U507" s="547"/>
      <c r="V507" s="547"/>
      <c r="W507" s="547"/>
      <c r="X507" s="547"/>
      <c r="Y507" s="547"/>
      <c r="Z507" s="547"/>
      <c r="AA507" s="547"/>
      <c r="AB507" s="547"/>
      <c r="AC507" s="547"/>
      <c r="AD507" s="547"/>
      <c r="AE507" s="547"/>
      <c r="AF507" s="548"/>
      <c r="AG507" s="547"/>
      <c r="AH507" s="547"/>
      <c r="AI507" s="547"/>
      <c r="AJ507" s="547"/>
      <c r="AK507" s="547"/>
      <c r="AL507" s="547"/>
      <c r="AM507" s="547"/>
      <c r="AN507" s="547"/>
      <c r="AO507" s="547"/>
      <c r="AP507" s="547"/>
      <c r="AQ507" s="547"/>
      <c r="AR507" s="547"/>
      <c r="AS507" s="547"/>
      <c r="AT507" s="547"/>
      <c r="AU507" s="547"/>
      <c r="AV507" s="547"/>
      <c r="AW507" s="547"/>
      <c r="AX507" s="547"/>
      <c r="AY507" s="547"/>
      <c r="AZ507" s="547"/>
      <c r="BA507" s="547"/>
      <c r="BB507" s="547"/>
      <c r="BC507" s="547"/>
      <c r="BD507" s="547"/>
      <c r="BE507" s="548"/>
      <c r="BF507" s="547"/>
      <c r="BG507" s="547"/>
      <c r="BH507" s="547"/>
      <c r="BI507" s="547"/>
      <c r="BJ507" s="36"/>
      <c r="BK507" s="174"/>
      <c r="BL507" s="174"/>
      <c r="BM507" s="7"/>
    </row>
    <row r="508" spans="1:65" ht="15.75" customHeight="1">
      <c r="A508" s="546"/>
      <c r="B508" s="552"/>
      <c r="C508" s="547"/>
      <c r="D508" s="546"/>
      <c r="E508" s="547"/>
      <c r="F508" s="547"/>
      <c r="G508" s="547"/>
      <c r="H508" s="547"/>
      <c r="I508" s="547"/>
      <c r="J508" s="547"/>
      <c r="K508" s="547"/>
      <c r="L508" s="547"/>
      <c r="M508" s="547"/>
      <c r="N508" s="547"/>
      <c r="O508" s="547"/>
      <c r="P508" s="547"/>
      <c r="Q508" s="547"/>
      <c r="R508" s="547"/>
      <c r="S508" s="547"/>
      <c r="T508" s="547"/>
      <c r="U508" s="547"/>
      <c r="V508" s="547"/>
      <c r="W508" s="547"/>
      <c r="X508" s="547"/>
      <c r="Y508" s="547"/>
      <c r="Z508" s="547"/>
      <c r="AA508" s="547"/>
      <c r="AB508" s="547"/>
      <c r="AC508" s="547"/>
      <c r="AD508" s="547"/>
      <c r="AE508" s="547"/>
      <c r="AF508" s="548"/>
      <c r="AG508" s="547"/>
      <c r="AH508" s="547"/>
      <c r="AI508" s="547"/>
      <c r="AJ508" s="547"/>
      <c r="AK508" s="547"/>
      <c r="AL508" s="547"/>
      <c r="AM508" s="547"/>
      <c r="AN508" s="547"/>
      <c r="AO508" s="547"/>
      <c r="AP508" s="547"/>
      <c r="AQ508" s="547"/>
      <c r="AR508" s="547"/>
      <c r="AS508" s="547"/>
      <c r="AT508" s="547"/>
      <c r="AU508" s="547"/>
      <c r="AV508" s="547"/>
      <c r="AW508" s="547"/>
      <c r="AX508" s="547"/>
      <c r="AY508" s="547"/>
      <c r="AZ508" s="547"/>
      <c r="BA508" s="547"/>
      <c r="BB508" s="547"/>
      <c r="BC508" s="547"/>
      <c r="BD508" s="547"/>
      <c r="BE508" s="548"/>
      <c r="BF508" s="547"/>
      <c r="BG508" s="547"/>
      <c r="BH508" s="547"/>
      <c r="BI508" s="547"/>
      <c r="BJ508" s="36"/>
      <c r="BK508" s="174"/>
      <c r="BL508" s="174"/>
      <c r="BM508" s="7"/>
    </row>
    <row r="509" spans="1:65" ht="15.75" customHeight="1">
      <c r="A509" s="546"/>
      <c r="B509" s="552"/>
      <c r="C509" s="547"/>
      <c r="D509" s="546"/>
      <c r="E509" s="547"/>
      <c r="F509" s="547"/>
      <c r="G509" s="547"/>
      <c r="H509" s="547"/>
      <c r="I509" s="547"/>
      <c r="J509" s="547"/>
      <c r="K509" s="547"/>
      <c r="L509" s="547"/>
      <c r="M509" s="547"/>
      <c r="N509" s="547"/>
      <c r="O509" s="547"/>
      <c r="P509" s="547"/>
      <c r="Q509" s="547"/>
      <c r="R509" s="547"/>
      <c r="S509" s="547"/>
      <c r="T509" s="547"/>
      <c r="U509" s="547"/>
      <c r="V509" s="547"/>
      <c r="W509" s="547"/>
      <c r="X509" s="547"/>
      <c r="Y509" s="547"/>
      <c r="Z509" s="547"/>
      <c r="AA509" s="547"/>
      <c r="AB509" s="547"/>
      <c r="AC509" s="547"/>
      <c r="AD509" s="547"/>
      <c r="AE509" s="547"/>
      <c r="AF509" s="548"/>
      <c r="AG509" s="547"/>
      <c r="AH509" s="547"/>
      <c r="AI509" s="547"/>
      <c r="AJ509" s="547"/>
      <c r="AK509" s="547"/>
      <c r="AL509" s="547"/>
      <c r="AM509" s="547"/>
      <c r="AN509" s="547"/>
      <c r="AO509" s="547"/>
      <c r="AP509" s="547"/>
      <c r="AQ509" s="547"/>
      <c r="AR509" s="547"/>
      <c r="AS509" s="547"/>
      <c r="AT509" s="547"/>
      <c r="AU509" s="547"/>
      <c r="AV509" s="547"/>
      <c r="AW509" s="547"/>
      <c r="AX509" s="547"/>
      <c r="AY509" s="547"/>
      <c r="AZ509" s="547"/>
      <c r="BA509" s="547"/>
      <c r="BB509" s="547"/>
      <c r="BC509" s="547"/>
      <c r="BD509" s="547"/>
      <c r="BE509" s="548"/>
      <c r="BF509" s="547"/>
      <c r="BG509" s="547"/>
      <c r="BH509" s="547"/>
      <c r="BI509" s="547"/>
      <c r="BJ509" s="36"/>
      <c r="BK509" s="174"/>
      <c r="BL509" s="174"/>
      <c r="BM509" s="7"/>
    </row>
    <row r="510" spans="1:65" ht="15.75" customHeight="1">
      <c r="A510" s="546"/>
      <c r="B510" s="552"/>
      <c r="C510" s="547"/>
      <c r="D510" s="546"/>
      <c r="E510" s="547"/>
      <c r="F510" s="547"/>
      <c r="G510" s="547"/>
      <c r="H510" s="547"/>
      <c r="I510" s="547"/>
      <c r="J510" s="547"/>
      <c r="K510" s="547"/>
      <c r="L510" s="547"/>
      <c r="M510" s="547"/>
      <c r="N510" s="547"/>
      <c r="O510" s="547"/>
      <c r="P510" s="547"/>
      <c r="Q510" s="547"/>
      <c r="R510" s="547"/>
      <c r="S510" s="547"/>
      <c r="T510" s="547"/>
      <c r="U510" s="547"/>
      <c r="V510" s="547"/>
      <c r="W510" s="547"/>
      <c r="X510" s="547"/>
      <c r="Y510" s="547"/>
      <c r="Z510" s="547"/>
      <c r="AA510" s="547"/>
      <c r="AB510" s="547"/>
      <c r="AC510" s="547"/>
      <c r="AD510" s="547"/>
      <c r="AE510" s="547"/>
      <c r="AF510" s="548"/>
      <c r="AG510" s="547"/>
      <c r="AH510" s="547"/>
      <c r="AI510" s="547"/>
      <c r="AJ510" s="547"/>
      <c r="AK510" s="547"/>
      <c r="AL510" s="547"/>
      <c r="AM510" s="547"/>
      <c r="AN510" s="547"/>
      <c r="AO510" s="547"/>
      <c r="AP510" s="547"/>
      <c r="AQ510" s="547"/>
      <c r="AR510" s="547"/>
      <c r="AS510" s="547"/>
      <c r="AT510" s="547"/>
      <c r="AU510" s="547"/>
      <c r="AV510" s="547"/>
      <c r="AW510" s="547"/>
      <c r="AX510" s="547"/>
      <c r="AY510" s="547"/>
      <c r="AZ510" s="547"/>
      <c r="BA510" s="547"/>
      <c r="BB510" s="547"/>
      <c r="BC510" s="547"/>
      <c r="BD510" s="547"/>
      <c r="BE510" s="548"/>
      <c r="BF510" s="547"/>
      <c r="BG510" s="547"/>
      <c r="BH510" s="547"/>
      <c r="BI510" s="547"/>
      <c r="BJ510" s="36"/>
      <c r="BK510" s="174"/>
      <c r="BL510" s="174"/>
      <c r="BM510" s="7"/>
    </row>
    <row r="511" spans="1:65" ht="15.75" customHeight="1">
      <c r="A511" s="546"/>
      <c r="B511" s="552"/>
      <c r="C511" s="547"/>
      <c r="D511" s="546"/>
      <c r="E511" s="547"/>
      <c r="F511" s="547"/>
      <c r="G511" s="547"/>
      <c r="H511" s="547"/>
      <c r="I511" s="547"/>
      <c r="J511" s="547"/>
      <c r="K511" s="547"/>
      <c r="L511" s="547"/>
      <c r="M511" s="547"/>
      <c r="N511" s="547"/>
      <c r="O511" s="547"/>
      <c r="P511" s="547"/>
      <c r="Q511" s="547"/>
      <c r="R511" s="547"/>
      <c r="S511" s="547"/>
      <c r="T511" s="547"/>
      <c r="U511" s="547"/>
      <c r="V511" s="547"/>
      <c r="W511" s="547"/>
      <c r="X511" s="547"/>
      <c r="Y511" s="547"/>
      <c r="Z511" s="547"/>
      <c r="AA511" s="547"/>
      <c r="AB511" s="547"/>
      <c r="AC511" s="547"/>
      <c r="AD511" s="547"/>
      <c r="AE511" s="547"/>
      <c r="AF511" s="548"/>
      <c r="AG511" s="547"/>
      <c r="AH511" s="547"/>
      <c r="AI511" s="547"/>
      <c r="AJ511" s="547"/>
      <c r="AK511" s="547"/>
      <c r="AL511" s="547"/>
      <c r="AM511" s="547"/>
      <c r="AN511" s="547"/>
      <c r="AO511" s="547"/>
      <c r="AP511" s="547"/>
      <c r="AQ511" s="547"/>
      <c r="AR511" s="547"/>
      <c r="AS511" s="547"/>
      <c r="AT511" s="547"/>
      <c r="AU511" s="547"/>
      <c r="AV511" s="547"/>
      <c r="AW511" s="547"/>
      <c r="AX511" s="547"/>
      <c r="AY511" s="547"/>
      <c r="AZ511" s="547"/>
      <c r="BA511" s="547"/>
      <c r="BB511" s="547"/>
      <c r="BC511" s="547"/>
      <c r="BD511" s="547"/>
      <c r="BE511" s="548"/>
      <c r="BF511" s="547"/>
      <c r="BG511" s="547"/>
      <c r="BH511" s="547"/>
      <c r="BI511" s="547"/>
      <c r="BJ511" s="36"/>
      <c r="BK511" s="174"/>
      <c r="BL511" s="174"/>
      <c r="BM511" s="7"/>
    </row>
    <row r="512" spans="1:65" ht="15.75" customHeight="1">
      <c r="A512" s="546"/>
      <c r="B512" s="552"/>
      <c r="C512" s="547"/>
      <c r="D512" s="546"/>
      <c r="E512" s="547"/>
      <c r="F512" s="547"/>
      <c r="G512" s="547"/>
      <c r="H512" s="547"/>
      <c r="I512" s="547"/>
      <c r="J512" s="547"/>
      <c r="K512" s="547"/>
      <c r="L512" s="547"/>
      <c r="M512" s="547"/>
      <c r="N512" s="547"/>
      <c r="O512" s="547"/>
      <c r="P512" s="547"/>
      <c r="Q512" s="547"/>
      <c r="R512" s="547"/>
      <c r="S512" s="547"/>
      <c r="T512" s="547"/>
      <c r="U512" s="547"/>
      <c r="V512" s="547"/>
      <c r="W512" s="547"/>
      <c r="X512" s="547"/>
      <c r="Y512" s="547"/>
      <c r="Z512" s="547"/>
      <c r="AA512" s="547"/>
      <c r="AB512" s="547"/>
      <c r="AC512" s="547"/>
      <c r="AD512" s="547"/>
      <c r="AE512" s="547"/>
      <c r="AF512" s="548"/>
      <c r="AG512" s="547"/>
      <c r="AH512" s="547"/>
      <c r="AI512" s="547"/>
      <c r="AJ512" s="547"/>
      <c r="AK512" s="547"/>
      <c r="AL512" s="547"/>
      <c r="AM512" s="547"/>
      <c r="AN512" s="547"/>
      <c r="AO512" s="547"/>
      <c r="AP512" s="547"/>
      <c r="AQ512" s="547"/>
      <c r="AR512" s="547"/>
      <c r="AS512" s="547"/>
      <c r="AT512" s="547"/>
      <c r="AU512" s="547"/>
      <c r="AV512" s="547"/>
      <c r="AW512" s="547"/>
      <c r="AX512" s="547"/>
      <c r="AY512" s="547"/>
      <c r="AZ512" s="547"/>
      <c r="BA512" s="547"/>
      <c r="BB512" s="547"/>
      <c r="BC512" s="547"/>
      <c r="BD512" s="547"/>
      <c r="BE512" s="548"/>
      <c r="BF512" s="547"/>
      <c r="BG512" s="547"/>
      <c r="BH512" s="547"/>
      <c r="BI512" s="547"/>
      <c r="BJ512" s="36"/>
      <c r="BK512" s="174"/>
      <c r="BL512" s="174"/>
      <c r="BM512" s="7"/>
    </row>
    <row r="513" spans="1:65" ht="15.75" customHeight="1">
      <c r="A513" s="546"/>
      <c r="B513" s="552"/>
      <c r="C513" s="547"/>
      <c r="D513" s="546"/>
      <c r="E513" s="547"/>
      <c r="F513" s="547"/>
      <c r="G513" s="547"/>
      <c r="H513" s="547"/>
      <c r="I513" s="547"/>
      <c r="J513" s="547"/>
      <c r="K513" s="547"/>
      <c r="L513" s="547"/>
      <c r="M513" s="547"/>
      <c r="N513" s="547"/>
      <c r="O513" s="547"/>
      <c r="P513" s="547"/>
      <c r="Q513" s="547"/>
      <c r="R513" s="547"/>
      <c r="S513" s="547"/>
      <c r="T513" s="547"/>
      <c r="U513" s="547"/>
      <c r="V513" s="547"/>
      <c r="W513" s="547"/>
      <c r="X513" s="547"/>
      <c r="Y513" s="547"/>
      <c r="Z513" s="547"/>
      <c r="AA513" s="547"/>
      <c r="AB513" s="547"/>
      <c r="AC513" s="547"/>
      <c r="AD513" s="547"/>
      <c r="AE513" s="547"/>
      <c r="AF513" s="548"/>
      <c r="AG513" s="547"/>
      <c r="AH513" s="547"/>
      <c r="AI513" s="547"/>
      <c r="AJ513" s="547"/>
      <c r="AK513" s="547"/>
      <c r="AL513" s="547"/>
      <c r="AM513" s="547"/>
      <c r="AN513" s="547"/>
      <c r="AO513" s="547"/>
      <c r="AP513" s="547"/>
      <c r="AQ513" s="547"/>
      <c r="AR513" s="547"/>
      <c r="AS513" s="547"/>
      <c r="AT513" s="547"/>
      <c r="AU513" s="547"/>
      <c r="AV513" s="547"/>
      <c r="AW513" s="547"/>
      <c r="AX513" s="547"/>
      <c r="AY513" s="547"/>
      <c r="AZ513" s="547"/>
      <c r="BA513" s="547"/>
      <c r="BB513" s="547"/>
      <c r="BC513" s="547"/>
      <c r="BD513" s="547"/>
      <c r="BE513" s="548"/>
      <c r="BF513" s="547"/>
      <c r="BG513" s="547"/>
      <c r="BH513" s="547"/>
      <c r="BI513" s="547"/>
      <c r="BJ513" s="36"/>
      <c r="BK513" s="174"/>
      <c r="BL513" s="174"/>
      <c r="BM513" s="7"/>
    </row>
    <row r="514" spans="1:65" ht="15.75" customHeight="1">
      <c r="A514" s="546"/>
      <c r="B514" s="552"/>
      <c r="C514" s="547"/>
      <c r="D514" s="546"/>
      <c r="E514" s="547"/>
      <c r="F514" s="547"/>
      <c r="G514" s="547"/>
      <c r="H514" s="547"/>
      <c r="I514" s="547"/>
      <c r="J514" s="547"/>
      <c r="K514" s="547"/>
      <c r="L514" s="547"/>
      <c r="M514" s="547"/>
      <c r="N514" s="547"/>
      <c r="O514" s="547"/>
      <c r="P514" s="547"/>
      <c r="Q514" s="547"/>
      <c r="R514" s="547"/>
      <c r="S514" s="547"/>
      <c r="T514" s="547"/>
      <c r="U514" s="547"/>
      <c r="V514" s="547"/>
      <c r="W514" s="547"/>
      <c r="X514" s="547"/>
      <c r="Y514" s="547"/>
      <c r="Z514" s="547"/>
      <c r="AA514" s="547"/>
      <c r="AB514" s="547"/>
      <c r="AC514" s="547"/>
      <c r="AD514" s="547"/>
      <c r="AE514" s="547"/>
      <c r="AF514" s="548"/>
      <c r="AG514" s="547"/>
      <c r="AH514" s="547"/>
      <c r="AI514" s="547"/>
      <c r="AJ514" s="547"/>
      <c r="AK514" s="547"/>
      <c r="AL514" s="547"/>
      <c r="AM514" s="547"/>
      <c r="AN514" s="547"/>
      <c r="AO514" s="547"/>
      <c r="AP514" s="547"/>
      <c r="AQ514" s="547"/>
      <c r="AR514" s="547"/>
      <c r="AS514" s="547"/>
      <c r="AT514" s="547"/>
      <c r="AU514" s="547"/>
      <c r="AV514" s="547"/>
      <c r="AW514" s="547"/>
      <c r="AX514" s="547"/>
      <c r="AY514" s="547"/>
      <c r="AZ514" s="547"/>
      <c r="BA514" s="547"/>
      <c r="BB514" s="547"/>
      <c r="BC514" s="547"/>
      <c r="BD514" s="547"/>
      <c r="BE514" s="548"/>
      <c r="BF514" s="547"/>
      <c r="BG514" s="547"/>
      <c r="BH514" s="547"/>
      <c r="BI514" s="547"/>
      <c r="BJ514" s="36"/>
      <c r="BK514" s="174"/>
      <c r="BL514" s="174"/>
      <c r="BM514" s="7"/>
    </row>
    <row r="515" spans="1:65" ht="15.75" customHeight="1">
      <c r="A515" s="546"/>
      <c r="B515" s="552"/>
      <c r="C515" s="547"/>
      <c r="D515" s="546"/>
      <c r="E515" s="547"/>
      <c r="F515" s="547"/>
      <c r="G515" s="547"/>
      <c r="H515" s="547"/>
      <c r="I515" s="547"/>
      <c r="J515" s="547"/>
      <c r="K515" s="547"/>
      <c r="L515" s="547"/>
      <c r="M515" s="547"/>
      <c r="N515" s="547"/>
      <c r="O515" s="547"/>
      <c r="P515" s="547"/>
      <c r="Q515" s="547"/>
      <c r="R515" s="547"/>
      <c r="S515" s="547"/>
      <c r="T515" s="547"/>
      <c r="U515" s="547"/>
      <c r="V515" s="547"/>
      <c r="W515" s="547"/>
      <c r="X515" s="547"/>
      <c r="Y515" s="547"/>
      <c r="Z515" s="547"/>
      <c r="AA515" s="547"/>
      <c r="AB515" s="547"/>
      <c r="AC515" s="547"/>
      <c r="AD515" s="547"/>
      <c r="AE515" s="547"/>
      <c r="AF515" s="548"/>
      <c r="AG515" s="547"/>
      <c r="AH515" s="547"/>
      <c r="AI515" s="547"/>
      <c r="AJ515" s="547"/>
      <c r="AK515" s="547"/>
      <c r="AL515" s="547"/>
      <c r="AM515" s="547"/>
      <c r="AN515" s="547"/>
      <c r="AO515" s="547"/>
      <c r="AP515" s="547"/>
      <c r="AQ515" s="547"/>
      <c r="AR515" s="547"/>
      <c r="AS515" s="547"/>
      <c r="AT515" s="547"/>
      <c r="AU515" s="547"/>
      <c r="AV515" s="547"/>
      <c r="AW515" s="547"/>
      <c r="AX515" s="547"/>
      <c r="AY515" s="547"/>
      <c r="AZ515" s="547"/>
      <c r="BA515" s="547"/>
      <c r="BB515" s="547"/>
      <c r="BC515" s="547"/>
      <c r="BD515" s="547"/>
      <c r="BE515" s="548"/>
      <c r="BF515" s="547"/>
      <c r="BG515" s="547"/>
      <c r="BH515" s="547"/>
      <c r="BI515" s="547"/>
      <c r="BJ515" s="36"/>
      <c r="BK515" s="174"/>
      <c r="BL515" s="174"/>
      <c r="BM515" s="7"/>
    </row>
    <row r="516" spans="1:65" ht="15.75" customHeight="1">
      <c r="A516" s="546"/>
      <c r="B516" s="552"/>
      <c r="C516" s="547"/>
      <c r="D516" s="546"/>
      <c r="E516" s="547"/>
      <c r="F516" s="547"/>
      <c r="G516" s="547"/>
      <c r="H516" s="547"/>
      <c r="I516" s="547"/>
      <c r="J516" s="547"/>
      <c r="K516" s="547"/>
      <c r="L516" s="547"/>
      <c r="M516" s="547"/>
      <c r="N516" s="547"/>
      <c r="O516" s="547"/>
      <c r="P516" s="547"/>
      <c r="Q516" s="547"/>
      <c r="R516" s="547"/>
      <c r="S516" s="547"/>
      <c r="T516" s="547"/>
      <c r="U516" s="547"/>
      <c r="V516" s="547"/>
      <c r="W516" s="547"/>
      <c r="X516" s="547"/>
      <c r="Y516" s="547"/>
      <c r="Z516" s="547"/>
      <c r="AA516" s="547"/>
      <c r="AB516" s="547"/>
      <c r="AC516" s="547"/>
      <c r="AD516" s="547"/>
      <c r="AE516" s="547"/>
      <c r="AF516" s="548"/>
      <c r="AG516" s="547"/>
      <c r="AH516" s="547"/>
      <c r="AI516" s="547"/>
      <c r="AJ516" s="547"/>
      <c r="AK516" s="547"/>
      <c r="AL516" s="547"/>
      <c r="AM516" s="547"/>
      <c r="AN516" s="547"/>
      <c r="AO516" s="547"/>
      <c r="AP516" s="547"/>
      <c r="AQ516" s="547"/>
      <c r="AR516" s="547"/>
      <c r="AS516" s="547"/>
      <c r="AT516" s="547"/>
      <c r="AU516" s="547"/>
      <c r="AV516" s="547"/>
      <c r="AW516" s="547"/>
      <c r="AX516" s="547"/>
      <c r="AY516" s="547"/>
      <c r="AZ516" s="547"/>
      <c r="BA516" s="547"/>
      <c r="BB516" s="547"/>
      <c r="BC516" s="547"/>
      <c r="BD516" s="547"/>
      <c r="BE516" s="548"/>
      <c r="BF516" s="547"/>
      <c r="BG516" s="547"/>
      <c r="BH516" s="547"/>
      <c r="BI516" s="547"/>
      <c r="BJ516" s="36"/>
      <c r="BK516" s="174"/>
      <c r="BL516" s="174"/>
      <c r="BM516" s="7"/>
    </row>
    <row r="517" spans="1:65" ht="15.75" customHeight="1">
      <c r="A517" s="546"/>
      <c r="B517" s="552"/>
      <c r="C517" s="547"/>
      <c r="D517" s="546"/>
      <c r="E517" s="547"/>
      <c r="F517" s="547"/>
      <c r="G517" s="547"/>
      <c r="H517" s="547"/>
      <c r="I517" s="547"/>
      <c r="J517" s="547"/>
      <c r="K517" s="547"/>
      <c r="L517" s="547"/>
      <c r="M517" s="547"/>
      <c r="N517" s="547"/>
      <c r="O517" s="547"/>
      <c r="P517" s="547"/>
      <c r="Q517" s="547"/>
      <c r="R517" s="547"/>
      <c r="S517" s="547"/>
      <c r="T517" s="547"/>
      <c r="U517" s="547"/>
      <c r="V517" s="547"/>
      <c r="W517" s="547"/>
      <c r="X517" s="547"/>
      <c r="Y517" s="547"/>
      <c r="Z517" s="547"/>
      <c r="AA517" s="547"/>
      <c r="AB517" s="547"/>
      <c r="AC517" s="547"/>
      <c r="AD517" s="547"/>
      <c r="AE517" s="547"/>
      <c r="AF517" s="548"/>
      <c r="AG517" s="547"/>
      <c r="AH517" s="547"/>
      <c r="AI517" s="547"/>
      <c r="AJ517" s="547"/>
      <c r="AK517" s="547"/>
      <c r="AL517" s="547"/>
      <c r="AM517" s="547"/>
      <c r="AN517" s="547"/>
      <c r="AO517" s="547"/>
      <c r="AP517" s="547"/>
      <c r="AQ517" s="547"/>
      <c r="AR517" s="547"/>
      <c r="AS517" s="547"/>
      <c r="AT517" s="547"/>
      <c r="AU517" s="547"/>
      <c r="AV517" s="547"/>
      <c r="AW517" s="547"/>
      <c r="AX517" s="547"/>
      <c r="AY517" s="547"/>
      <c r="AZ517" s="547"/>
      <c r="BA517" s="547"/>
      <c r="BB517" s="547"/>
      <c r="BC517" s="547"/>
      <c r="BD517" s="547"/>
      <c r="BE517" s="548"/>
      <c r="BF517" s="547"/>
      <c r="BG517" s="547"/>
      <c r="BH517" s="547"/>
      <c r="BI517" s="547"/>
      <c r="BJ517" s="36"/>
      <c r="BK517" s="174"/>
      <c r="BL517" s="174"/>
      <c r="BM517" s="7"/>
    </row>
    <row r="518" spans="1:65" ht="15.75" customHeight="1">
      <c r="A518" s="546"/>
      <c r="B518" s="552"/>
      <c r="C518" s="547"/>
      <c r="D518" s="546"/>
      <c r="E518" s="547"/>
      <c r="F518" s="547"/>
      <c r="G518" s="547"/>
      <c r="H518" s="547"/>
      <c r="I518" s="547"/>
      <c r="J518" s="547"/>
      <c r="K518" s="547"/>
      <c r="L518" s="547"/>
      <c r="M518" s="547"/>
      <c r="N518" s="547"/>
      <c r="O518" s="547"/>
      <c r="P518" s="547"/>
      <c r="Q518" s="547"/>
      <c r="R518" s="547"/>
      <c r="S518" s="547"/>
      <c r="T518" s="547"/>
      <c r="U518" s="547"/>
      <c r="V518" s="547"/>
      <c r="W518" s="547"/>
      <c r="X518" s="547"/>
      <c r="Y518" s="547"/>
      <c r="Z518" s="547"/>
      <c r="AA518" s="547"/>
      <c r="AB518" s="547"/>
      <c r="AC518" s="547"/>
      <c r="AD518" s="547"/>
      <c r="AE518" s="547"/>
      <c r="AF518" s="548"/>
      <c r="AG518" s="547"/>
      <c r="AH518" s="547"/>
      <c r="AI518" s="547"/>
      <c r="AJ518" s="547"/>
      <c r="AK518" s="547"/>
      <c r="AL518" s="547"/>
      <c r="AM518" s="547"/>
      <c r="AN518" s="547"/>
      <c r="AO518" s="547"/>
      <c r="AP518" s="547"/>
      <c r="AQ518" s="547"/>
      <c r="AR518" s="547"/>
      <c r="AS518" s="547"/>
      <c r="AT518" s="547"/>
      <c r="AU518" s="547"/>
      <c r="AV518" s="547"/>
      <c r="AW518" s="547"/>
      <c r="AX518" s="547"/>
      <c r="AY518" s="547"/>
      <c r="AZ518" s="547"/>
      <c r="BA518" s="547"/>
      <c r="BB518" s="547"/>
      <c r="BC518" s="547"/>
      <c r="BD518" s="547"/>
      <c r="BE518" s="548"/>
      <c r="BF518" s="547"/>
      <c r="BG518" s="547"/>
      <c r="BH518" s="547"/>
      <c r="BI518" s="547"/>
      <c r="BJ518" s="36"/>
      <c r="BK518" s="174"/>
      <c r="BL518" s="174"/>
      <c r="BM518" s="7"/>
    </row>
    <row r="519" spans="1:65" ht="15.75" customHeight="1">
      <c r="A519" s="546"/>
      <c r="B519" s="552"/>
      <c r="C519" s="547"/>
      <c r="D519" s="546"/>
      <c r="E519" s="547"/>
      <c r="F519" s="547"/>
      <c r="G519" s="547"/>
      <c r="H519" s="547"/>
      <c r="I519" s="547"/>
      <c r="J519" s="547"/>
      <c r="K519" s="547"/>
      <c r="L519" s="547"/>
      <c r="M519" s="547"/>
      <c r="N519" s="547"/>
      <c r="O519" s="547"/>
      <c r="P519" s="547"/>
      <c r="Q519" s="547"/>
      <c r="R519" s="547"/>
      <c r="S519" s="547"/>
      <c r="T519" s="547"/>
      <c r="U519" s="547"/>
      <c r="V519" s="547"/>
      <c r="W519" s="547"/>
      <c r="X519" s="547"/>
      <c r="Y519" s="547"/>
      <c r="Z519" s="547"/>
      <c r="AA519" s="547"/>
      <c r="AB519" s="547"/>
      <c r="AC519" s="547"/>
      <c r="AD519" s="547"/>
      <c r="AE519" s="547"/>
      <c r="AF519" s="548"/>
      <c r="AG519" s="547"/>
      <c r="AH519" s="547"/>
      <c r="AI519" s="547"/>
      <c r="AJ519" s="547"/>
      <c r="AK519" s="547"/>
      <c r="AL519" s="547"/>
      <c r="AM519" s="547"/>
      <c r="AN519" s="547"/>
      <c r="AO519" s="547"/>
      <c r="AP519" s="547"/>
      <c r="AQ519" s="547"/>
      <c r="AR519" s="547"/>
      <c r="AS519" s="547"/>
      <c r="AT519" s="547"/>
      <c r="AU519" s="547"/>
      <c r="AV519" s="547"/>
      <c r="AW519" s="547"/>
      <c r="AX519" s="547"/>
      <c r="AY519" s="547"/>
      <c r="AZ519" s="547"/>
      <c r="BA519" s="547"/>
      <c r="BB519" s="547"/>
      <c r="BC519" s="547"/>
      <c r="BD519" s="547"/>
      <c r="BE519" s="548"/>
      <c r="BF519" s="547"/>
      <c r="BG519" s="547"/>
      <c r="BH519" s="547"/>
      <c r="BI519" s="547"/>
      <c r="BJ519" s="36"/>
      <c r="BK519" s="174"/>
      <c r="BL519" s="174"/>
      <c r="BM519" s="7"/>
    </row>
    <row r="520" spans="1:65" ht="15.75" customHeight="1">
      <c r="A520" s="546"/>
      <c r="B520" s="552"/>
      <c r="C520" s="547"/>
      <c r="D520" s="546"/>
      <c r="E520" s="547"/>
      <c r="F520" s="547"/>
      <c r="G520" s="547"/>
      <c r="H520" s="547"/>
      <c r="I520" s="547"/>
      <c r="J520" s="547"/>
      <c r="K520" s="547"/>
      <c r="L520" s="547"/>
      <c r="M520" s="547"/>
      <c r="N520" s="547"/>
      <c r="O520" s="547"/>
      <c r="P520" s="547"/>
      <c r="Q520" s="547"/>
      <c r="R520" s="547"/>
      <c r="S520" s="547"/>
      <c r="T520" s="547"/>
      <c r="U520" s="547"/>
      <c r="V520" s="547"/>
      <c r="W520" s="547"/>
      <c r="X520" s="547"/>
      <c r="Y520" s="547"/>
      <c r="Z520" s="547"/>
      <c r="AA520" s="547"/>
      <c r="AB520" s="547"/>
      <c r="AC520" s="547"/>
      <c r="AD520" s="547"/>
      <c r="AE520" s="547"/>
      <c r="AF520" s="548"/>
      <c r="AG520" s="547"/>
      <c r="AH520" s="547"/>
      <c r="AI520" s="547"/>
      <c r="AJ520" s="547"/>
      <c r="AK520" s="547"/>
      <c r="AL520" s="547"/>
      <c r="AM520" s="547"/>
      <c r="AN520" s="547"/>
      <c r="AO520" s="547"/>
      <c r="AP520" s="547"/>
      <c r="AQ520" s="547"/>
      <c r="AR520" s="547"/>
      <c r="AS520" s="547"/>
      <c r="AT520" s="547"/>
      <c r="AU520" s="547"/>
      <c r="AV520" s="547"/>
      <c r="AW520" s="547"/>
      <c r="AX520" s="547"/>
      <c r="AY520" s="547"/>
      <c r="AZ520" s="547"/>
      <c r="BA520" s="547"/>
      <c r="BB520" s="547"/>
      <c r="BC520" s="547"/>
      <c r="BD520" s="547"/>
      <c r="BE520" s="548"/>
      <c r="BF520" s="547"/>
      <c r="BG520" s="547"/>
      <c r="BH520" s="547"/>
      <c r="BI520" s="547"/>
      <c r="BJ520" s="36"/>
      <c r="BK520" s="174"/>
      <c r="BL520" s="174"/>
      <c r="BM520" s="7"/>
    </row>
    <row r="521" spans="1:65" ht="15.75" customHeight="1">
      <c r="A521" s="546"/>
      <c r="B521" s="552"/>
      <c r="C521" s="547"/>
      <c r="D521" s="546"/>
      <c r="E521" s="547"/>
      <c r="F521" s="547"/>
      <c r="G521" s="547"/>
      <c r="H521" s="547"/>
      <c r="I521" s="547"/>
      <c r="J521" s="547"/>
      <c r="K521" s="547"/>
      <c r="L521" s="547"/>
      <c r="M521" s="547"/>
      <c r="N521" s="547"/>
      <c r="O521" s="547"/>
      <c r="P521" s="547"/>
      <c r="Q521" s="547"/>
      <c r="R521" s="547"/>
      <c r="S521" s="547"/>
      <c r="T521" s="547"/>
      <c r="U521" s="547"/>
      <c r="V521" s="547"/>
      <c r="W521" s="547"/>
      <c r="X521" s="547"/>
      <c r="Y521" s="547"/>
      <c r="Z521" s="547"/>
      <c r="AA521" s="547"/>
      <c r="AB521" s="547"/>
      <c r="AC521" s="547"/>
      <c r="AD521" s="547"/>
      <c r="AE521" s="547"/>
      <c r="AF521" s="548"/>
      <c r="AG521" s="547"/>
      <c r="AH521" s="547"/>
      <c r="AI521" s="547"/>
      <c r="AJ521" s="547"/>
      <c r="AK521" s="547"/>
      <c r="AL521" s="547"/>
      <c r="AM521" s="547"/>
      <c r="AN521" s="547"/>
      <c r="AO521" s="547"/>
      <c r="AP521" s="547"/>
      <c r="AQ521" s="547"/>
      <c r="AR521" s="547"/>
      <c r="AS521" s="547"/>
      <c r="AT521" s="547"/>
      <c r="AU521" s="547"/>
      <c r="AV521" s="547"/>
      <c r="AW521" s="547"/>
      <c r="AX521" s="547"/>
      <c r="AY521" s="547"/>
      <c r="AZ521" s="547"/>
      <c r="BA521" s="547"/>
      <c r="BB521" s="547"/>
      <c r="BC521" s="547"/>
      <c r="BD521" s="547"/>
      <c r="BE521" s="548"/>
      <c r="BF521" s="547"/>
      <c r="BG521" s="547"/>
      <c r="BH521" s="547"/>
      <c r="BI521" s="547"/>
      <c r="BJ521" s="36"/>
      <c r="BK521" s="174"/>
      <c r="BL521" s="174"/>
      <c r="BM521" s="7"/>
    </row>
    <row r="522" spans="1:65" ht="15.75" customHeight="1">
      <c r="A522" s="546"/>
      <c r="B522" s="552"/>
      <c r="C522" s="547"/>
      <c r="D522" s="546"/>
      <c r="E522" s="547"/>
      <c r="F522" s="547"/>
      <c r="G522" s="547"/>
      <c r="H522" s="547"/>
      <c r="I522" s="547"/>
      <c r="J522" s="547"/>
      <c r="K522" s="547"/>
      <c r="L522" s="547"/>
      <c r="M522" s="547"/>
      <c r="N522" s="547"/>
      <c r="O522" s="547"/>
      <c r="P522" s="547"/>
      <c r="Q522" s="547"/>
      <c r="R522" s="547"/>
      <c r="S522" s="547"/>
      <c r="T522" s="547"/>
      <c r="U522" s="547"/>
      <c r="V522" s="547"/>
      <c r="W522" s="547"/>
      <c r="X522" s="547"/>
      <c r="Y522" s="547"/>
      <c r="Z522" s="547"/>
      <c r="AA522" s="547"/>
      <c r="AB522" s="547"/>
      <c r="AC522" s="547"/>
      <c r="AD522" s="547"/>
      <c r="AE522" s="547"/>
      <c r="AF522" s="548"/>
      <c r="AG522" s="547"/>
      <c r="AH522" s="547"/>
      <c r="AI522" s="547"/>
      <c r="AJ522" s="547"/>
      <c r="AK522" s="547"/>
      <c r="AL522" s="547"/>
      <c r="AM522" s="547"/>
      <c r="AN522" s="547"/>
      <c r="AO522" s="547"/>
      <c r="AP522" s="547"/>
      <c r="AQ522" s="547"/>
      <c r="AR522" s="547"/>
      <c r="AS522" s="547"/>
      <c r="AT522" s="547"/>
      <c r="AU522" s="547"/>
      <c r="AV522" s="547"/>
      <c r="AW522" s="547"/>
      <c r="AX522" s="547"/>
      <c r="AY522" s="547"/>
      <c r="AZ522" s="547"/>
      <c r="BA522" s="547"/>
      <c r="BB522" s="547"/>
      <c r="BC522" s="547"/>
      <c r="BD522" s="547"/>
      <c r="BE522" s="548"/>
      <c r="BF522" s="547"/>
      <c r="BG522" s="547"/>
      <c r="BH522" s="547"/>
      <c r="BI522" s="547"/>
      <c r="BJ522" s="36"/>
      <c r="BK522" s="174"/>
      <c r="BL522" s="174"/>
      <c r="BM522" s="7"/>
    </row>
    <row r="523" spans="1:65" ht="15.75" customHeight="1">
      <c r="A523" s="546"/>
      <c r="B523" s="552"/>
      <c r="C523" s="547"/>
      <c r="D523" s="546"/>
      <c r="E523" s="547"/>
      <c r="F523" s="547"/>
      <c r="G523" s="547"/>
      <c r="H523" s="547"/>
      <c r="I523" s="547"/>
      <c r="J523" s="547"/>
      <c r="K523" s="547"/>
      <c r="L523" s="547"/>
      <c r="M523" s="547"/>
      <c r="N523" s="547"/>
      <c r="O523" s="547"/>
      <c r="P523" s="547"/>
      <c r="Q523" s="547"/>
      <c r="R523" s="547"/>
      <c r="S523" s="547"/>
      <c r="T523" s="547"/>
      <c r="U523" s="547"/>
      <c r="V523" s="547"/>
      <c r="W523" s="547"/>
      <c r="X523" s="547"/>
      <c r="Y523" s="547"/>
      <c r="Z523" s="547"/>
      <c r="AA523" s="547"/>
      <c r="AB523" s="547"/>
      <c r="AC523" s="547"/>
      <c r="AD523" s="547"/>
      <c r="AE523" s="547"/>
      <c r="AF523" s="548"/>
      <c r="AG523" s="547"/>
      <c r="AH523" s="547"/>
      <c r="AI523" s="547"/>
      <c r="AJ523" s="547"/>
      <c r="AK523" s="547"/>
      <c r="AL523" s="547"/>
      <c r="AM523" s="547"/>
      <c r="AN523" s="547"/>
      <c r="AO523" s="547"/>
      <c r="AP523" s="547"/>
      <c r="AQ523" s="547"/>
      <c r="AR523" s="547"/>
      <c r="AS523" s="547"/>
      <c r="AT523" s="547"/>
      <c r="AU523" s="547"/>
      <c r="AV523" s="547"/>
      <c r="AW523" s="547"/>
      <c r="AX523" s="547"/>
      <c r="AY523" s="547"/>
      <c r="AZ523" s="547"/>
      <c r="BA523" s="547"/>
      <c r="BB523" s="547"/>
      <c r="BC523" s="547"/>
      <c r="BD523" s="547"/>
      <c r="BE523" s="548"/>
      <c r="BF523" s="547"/>
      <c r="BG523" s="547"/>
      <c r="BH523" s="547"/>
      <c r="BI523" s="547"/>
      <c r="BJ523" s="36"/>
      <c r="BK523" s="174"/>
      <c r="BL523" s="174"/>
      <c r="BM523" s="7"/>
    </row>
    <row r="524" spans="1:65" ht="15.75" customHeight="1">
      <c r="A524" s="546"/>
      <c r="B524" s="552"/>
      <c r="C524" s="547"/>
      <c r="D524" s="546"/>
      <c r="E524" s="547"/>
      <c r="F524" s="547"/>
      <c r="G524" s="547"/>
      <c r="H524" s="547"/>
      <c r="I524" s="547"/>
      <c r="J524" s="547"/>
      <c r="K524" s="547"/>
      <c r="L524" s="547"/>
      <c r="M524" s="547"/>
      <c r="N524" s="547"/>
      <c r="O524" s="547"/>
      <c r="P524" s="547"/>
      <c r="Q524" s="547"/>
      <c r="R524" s="547"/>
      <c r="S524" s="547"/>
      <c r="T524" s="547"/>
      <c r="U524" s="547"/>
      <c r="V524" s="547"/>
      <c r="W524" s="547"/>
      <c r="X524" s="547"/>
      <c r="Y524" s="547"/>
      <c r="Z524" s="547"/>
      <c r="AA524" s="547"/>
      <c r="AB524" s="547"/>
      <c r="AC524" s="547"/>
      <c r="AD524" s="547"/>
      <c r="AE524" s="547"/>
      <c r="AF524" s="548"/>
      <c r="AG524" s="547"/>
      <c r="AH524" s="547"/>
      <c r="AI524" s="547"/>
      <c r="AJ524" s="547"/>
      <c r="AK524" s="547"/>
      <c r="AL524" s="547"/>
      <c r="AM524" s="547"/>
      <c r="AN524" s="547"/>
      <c r="AO524" s="547"/>
      <c r="AP524" s="547"/>
      <c r="AQ524" s="547"/>
      <c r="AR524" s="547"/>
      <c r="AS524" s="547"/>
      <c r="AT524" s="547"/>
      <c r="AU524" s="547"/>
      <c r="AV524" s="547"/>
      <c r="AW524" s="547"/>
      <c r="AX524" s="547"/>
      <c r="AY524" s="547"/>
      <c r="AZ524" s="547"/>
      <c r="BA524" s="547"/>
      <c r="BB524" s="547"/>
      <c r="BC524" s="547"/>
      <c r="BD524" s="547"/>
      <c r="BE524" s="548"/>
      <c r="BF524" s="547"/>
      <c r="BG524" s="547"/>
      <c r="BH524" s="547"/>
      <c r="BI524" s="547"/>
      <c r="BJ524" s="36"/>
      <c r="BK524" s="174"/>
      <c r="BL524" s="174"/>
      <c r="BM524" s="7"/>
    </row>
    <row r="525" spans="1:65" ht="15.75" customHeight="1">
      <c r="A525" s="546"/>
      <c r="B525" s="552"/>
      <c r="C525" s="547"/>
      <c r="D525" s="546"/>
      <c r="E525" s="547"/>
      <c r="F525" s="547"/>
      <c r="G525" s="547"/>
      <c r="H525" s="547"/>
      <c r="I525" s="547"/>
      <c r="J525" s="547"/>
      <c r="K525" s="547"/>
      <c r="L525" s="547"/>
      <c r="M525" s="547"/>
      <c r="N525" s="547"/>
      <c r="O525" s="547"/>
      <c r="P525" s="547"/>
      <c r="Q525" s="547"/>
      <c r="R525" s="547"/>
      <c r="S525" s="547"/>
      <c r="T525" s="547"/>
      <c r="U525" s="547"/>
      <c r="V525" s="547"/>
      <c r="W525" s="547"/>
      <c r="X525" s="547"/>
      <c r="Y525" s="547"/>
      <c r="Z525" s="547"/>
      <c r="AA525" s="547"/>
      <c r="AB525" s="547"/>
      <c r="AC525" s="547"/>
      <c r="AD525" s="547"/>
      <c r="AE525" s="547"/>
      <c r="AF525" s="548"/>
      <c r="AG525" s="547"/>
      <c r="AH525" s="547"/>
      <c r="AI525" s="547"/>
      <c r="AJ525" s="547"/>
      <c r="AK525" s="547"/>
      <c r="AL525" s="547"/>
      <c r="AM525" s="547"/>
      <c r="AN525" s="547"/>
      <c r="AO525" s="547"/>
      <c r="AP525" s="547"/>
      <c r="AQ525" s="547"/>
      <c r="AR525" s="547"/>
      <c r="AS525" s="547"/>
      <c r="AT525" s="547"/>
      <c r="AU525" s="547"/>
      <c r="AV525" s="547"/>
      <c r="AW525" s="547"/>
      <c r="AX525" s="547"/>
      <c r="AY525" s="547"/>
      <c r="AZ525" s="547"/>
      <c r="BA525" s="547"/>
      <c r="BB525" s="547"/>
      <c r="BC525" s="547"/>
      <c r="BD525" s="547"/>
      <c r="BE525" s="548"/>
      <c r="BF525" s="547"/>
      <c r="BG525" s="547"/>
      <c r="BH525" s="547"/>
      <c r="BI525" s="547"/>
      <c r="BJ525" s="36"/>
      <c r="BK525" s="174"/>
      <c r="BL525" s="174"/>
      <c r="BM525" s="7"/>
    </row>
    <row r="526" spans="1:65" ht="15.75" customHeight="1">
      <c r="A526" s="546"/>
      <c r="B526" s="552"/>
      <c r="C526" s="547"/>
      <c r="D526" s="546"/>
      <c r="E526" s="547"/>
      <c r="F526" s="547"/>
      <c r="G526" s="547"/>
      <c r="H526" s="547"/>
      <c r="I526" s="547"/>
      <c r="J526" s="547"/>
      <c r="K526" s="547"/>
      <c r="L526" s="547"/>
      <c r="M526" s="547"/>
      <c r="N526" s="547"/>
      <c r="O526" s="547"/>
      <c r="P526" s="547"/>
      <c r="Q526" s="547"/>
      <c r="R526" s="547"/>
      <c r="S526" s="547"/>
      <c r="T526" s="547"/>
      <c r="U526" s="547"/>
      <c r="V526" s="547"/>
      <c r="W526" s="547"/>
      <c r="X526" s="547"/>
      <c r="Y526" s="547"/>
      <c r="Z526" s="547"/>
      <c r="AA526" s="547"/>
      <c r="AB526" s="547"/>
      <c r="AC526" s="547"/>
      <c r="AD526" s="547"/>
      <c r="AE526" s="547"/>
      <c r="AF526" s="548"/>
      <c r="AG526" s="547"/>
      <c r="AH526" s="547"/>
      <c r="AI526" s="547"/>
      <c r="AJ526" s="547"/>
      <c r="AK526" s="547"/>
      <c r="AL526" s="547"/>
      <c r="AM526" s="547"/>
      <c r="AN526" s="547"/>
      <c r="AO526" s="547"/>
      <c r="AP526" s="547"/>
      <c r="AQ526" s="547"/>
      <c r="AR526" s="547"/>
      <c r="AS526" s="547"/>
      <c r="AT526" s="547"/>
      <c r="AU526" s="547"/>
      <c r="AV526" s="547"/>
      <c r="AW526" s="547"/>
      <c r="AX526" s="547"/>
      <c r="AY526" s="547"/>
      <c r="AZ526" s="547"/>
      <c r="BA526" s="547"/>
      <c r="BB526" s="547"/>
      <c r="BC526" s="547"/>
      <c r="BD526" s="547"/>
      <c r="BE526" s="548"/>
      <c r="BF526" s="547"/>
      <c r="BG526" s="547"/>
      <c r="BH526" s="547"/>
      <c r="BI526" s="547"/>
      <c r="BJ526" s="36"/>
      <c r="BK526" s="174"/>
      <c r="BL526" s="174"/>
      <c r="BM526" s="7"/>
    </row>
    <row r="527" spans="1:65" ht="15.75" customHeight="1">
      <c r="A527" s="546"/>
      <c r="B527" s="552"/>
      <c r="C527" s="547"/>
      <c r="D527" s="546"/>
      <c r="E527" s="547"/>
      <c r="F527" s="547"/>
      <c r="G527" s="547"/>
      <c r="H527" s="547"/>
      <c r="I527" s="547"/>
      <c r="J527" s="547"/>
      <c r="K527" s="547"/>
      <c r="L527" s="547"/>
      <c r="M527" s="547"/>
      <c r="N527" s="547"/>
      <c r="O527" s="547"/>
      <c r="P527" s="547"/>
      <c r="Q527" s="547"/>
      <c r="R527" s="547"/>
      <c r="S527" s="547"/>
      <c r="T527" s="547"/>
      <c r="U527" s="547"/>
      <c r="V527" s="547"/>
      <c r="W527" s="547"/>
      <c r="X527" s="547"/>
      <c r="Y527" s="547"/>
      <c r="Z527" s="547"/>
      <c r="AA527" s="547"/>
      <c r="AB527" s="547"/>
      <c r="AC527" s="547"/>
      <c r="AD527" s="547"/>
      <c r="AE527" s="547"/>
      <c r="AF527" s="548"/>
      <c r="AG527" s="547"/>
      <c r="AH527" s="547"/>
      <c r="AI527" s="547"/>
      <c r="AJ527" s="547"/>
      <c r="AK527" s="547"/>
      <c r="AL527" s="547"/>
      <c r="AM527" s="547"/>
      <c r="AN527" s="547"/>
      <c r="AO527" s="547"/>
      <c r="AP527" s="547"/>
      <c r="AQ527" s="547"/>
      <c r="AR527" s="547"/>
      <c r="AS527" s="547"/>
      <c r="AT527" s="547"/>
      <c r="AU527" s="547"/>
      <c r="AV527" s="547"/>
      <c r="AW527" s="547"/>
      <c r="AX527" s="547"/>
      <c r="AY527" s="547"/>
      <c r="AZ527" s="547"/>
      <c r="BA527" s="547"/>
      <c r="BB527" s="547"/>
      <c r="BC527" s="547"/>
      <c r="BD527" s="547"/>
      <c r="BE527" s="548"/>
      <c r="BF527" s="547"/>
      <c r="BG527" s="547"/>
      <c r="BH527" s="547"/>
      <c r="BI527" s="547"/>
      <c r="BJ527" s="36"/>
      <c r="BK527" s="174"/>
      <c r="BL527" s="174"/>
      <c r="BM527" s="7"/>
    </row>
    <row r="528" spans="1:65" ht="15.75" customHeight="1">
      <c r="A528" s="546"/>
      <c r="B528" s="552"/>
      <c r="C528" s="547"/>
      <c r="D528" s="546"/>
      <c r="E528" s="547"/>
      <c r="F528" s="547"/>
      <c r="G528" s="547"/>
      <c r="H528" s="547"/>
      <c r="I528" s="547"/>
      <c r="J528" s="547"/>
      <c r="K528" s="547"/>
      <c r="L528" s="547"/>
      <c r="M528" s="547"/>
      <c r="N528" s="547"/>
      <c r="O528" s="547"/>
      <c r="P528" s="547"/>
      <c r="Q528" s="547"/>
      <c r="R528" s="547"/>
      <c r="S528" s="547"/>
      <c r="T528" s="547"/>
      <c r="U528" s="547"/>
      <c r="V528" s="547"/>
      <c r="W528" s="547"/>
      <c r="X528" s="547"/>
      <c r="Y528" s="547"/>
      <c r="Z528" s="547"/>
      <c r="AA528" s="547"/>
      <c r="AB528" s="547"/>
      <c r="AC528" s="547"/>
      <c r="AD528" s="547"/>
      <c r="AE528" s="547"/>
      <c r="AF528" s="548"/>
      <c r="AG528" s="547"/>
      <c r="AH528" s="547"/>
      <c r="AI528" s="547"/>
      <c r="AJ528" s="547"/>
      <c r="AK528" s="547"/>
      <c r="AL528" s="547"/>
      <c r="AM528" s="547"/>
      <c r="AN528" s="547"/>
      <c r="AO528" s="547"/>
      <c r="AP528" s="547"/>
      <c r="AQ528" s="547"/>
      <c r="AR528" s="547"/>
      <c r="AS528" s="547"/>
      <c r="AT528" s="547"/>
      <c r="AU528" s="547"/>
      <c r="AV528" s="547"/>
      <c r="AW528" s="547"/>
      <c r="AX528" s="547"/>
      <c r="AY528" s="547"/>
      <c r="AZ528" s="547"/>
      <c r="BA528" s="547"/>
      <c r="BB528" s="547"/>
      <c r="BC528" s="547"/>
      <c r="BD528" s="547"/>
      <c r="BE528" s="548"/>
      <c r="BF528" s="547"/>
      <c r="BG528" s="547"/>
      <c r="BH528" s="547"/>
      <c r="BI528" s="547"/>
      <c r="BJ528" s="36"/>
      <c r="BK528" s="174"/>
      <c r="BL528" s="174"/>
      <c r="BM528" s="7"/>
    </row>
    <row r="529" spans="1:65" ht="15.75" customHeight="1">
      <c r="A529" s="546"/>
      <c r="B529" s="552"/>
      <c r="C529" s="547"/>
      <c r="D529" s="546"/>
      <c r="E529" s="547"/>
      <c r="F529" s="547"/>
      <c r="G529" s="547"/>
      <c r="H529" s="547"/>
      <c r="I529" s="547"/>
      <c r="J529" s="547"/>
      <c r="K529" s="547"/>
      <c r="L529" s="547"/>
      <c r="M529" s="547"/>
      <c r="N529" s="547"/>
      <c r="O529" s="547"/>
      <c r="P529" s="547"/>
      <c r="Q529" s="547"/>
      <c r="R529" s="547"/>
      <c r="S529" s="547"/>
      <c r="T529" s="547"/>
      <c r="U529" s="547"/>
      <c r="V529" s="547"/>
      <c r="W529" s="547"/>
      <c r="X529" s="547"/>
      <c r="Y529" s="547"/>
      <c r="Z529" s="547"/>
      <c r="AA529" s="547"/>
      <c r="AB529" s="547"/>
      <c r="AC529" s="547"/>
      <c r="AD529" s="547"/>
      <c r="AE529" s="547"/>
      <c r="AF529" s="548"/>
      <c r="AG529" s="547"/>
      <c r="AH529" s="547"/>
      <c r="AI529" s="547"/>
      <c r="AJ529" s="547"/>
      <c r="AK529" s="547"/>
      <c r="AL529" s="547"/>
      <c r="AM529" s="547"/>
      <c r="AN529" s="547"/>
      <c r="AO529" s="547"/>
      <c r="AP529" s="547"/>
      <c r="AQ529" s="547"/>
      <c r="AR529" s="547"/>
      <c r="AS529" s="547"/>
      <c r="AT529" s="547"/>
      <c r="AU529" s="547"/>
      <c r="AV529" s="547"/>
      <c r="AW529" s="547"/>
      <c r="AX529" s="547"/>
      <c r="AY529" s="547"/>
      <c r="AZ529" s="547"/>
      <c r="BA529" s="547"/>
      <c r="BB529" s="547"/>
      <c r="BC529" s="547"/>
      <c r="BD529" s="547"/>
      <c r="BE529" s="548"/>
      <c r="BF529" s="547"/>
      <c r="BG529" s="547"/>
      <c r="BH529" s="547"/>
      <c r="BI529" s="547"/>
      <c r="BJ529" s="36"/>
      <c r="BK529" s="174"/>
      <c r="BL529" s="174"/>
      <c r="BM529" s="7"/>
    </row>
    <row r="530" spans="1:65" ht="15.75" customHeight="1">
      <c r="A530" s="546"/>
      <c r="B530" s="552"/>
      <c r="C530" s="547"/>
      <c r="D530" s="546"/>
      <c r="E530" s="547"/>
      <c r="F530" s="547"/>
      <c r="G530" s="547"/>
      <c r="H530" s="547"/>
      <c r="I530" s="547"/>
      <c r="J530" s="547"/>
      <c r="K530" s="547"/>
      <c r="L530" s="547"/>
      <c r="M530" s="547"/>
      <c r="N530" s="547"/>
      <c r="O530" s="547"/>
      <c r="P530" s="547"/>
      <c r="Q530" s="547"/>
      <c r="R530" s="547"/>
      <c r="S530" s="547"/>
      <c r="T530" s="547"/>
      <c r="U530" s="547"/>
      <c r="V530" s="547"/>
      <c r="W530" s="547"/>
      <c r="X530" s="547"/>
      <c r="Y530" s="547"/>
      <c r="Z530" s="547"/>
      <c r="AA530" s="547"/>
      <c r="AB530" s="547"/>
      <c r="AC530" s="547"/>
      <c r="AD530" s="547"/>
      <c r="AE530" s="547"/>
      <c r="AF530" s="548"/>
      <c r="AG530" s="547"/>
      <c r="AH530" s="547"/>
      <c r="AI530" s="547"/>
      <c r="AJ530" s="547"/>
      <c r="AK530" s="547"/>
      <c r="AL530" s="547"/>
      <c r="AM530" s="547"/>
      <c r="AN530" s="547"/>
      <c r="AO530" s="547"/>
      <c r="AP530" s="547"/>
      <c r="AQ530" s="547"/>
      <c r="AR530" s="547"/>
      <c r="AS530" s="547"/>
      <c r="AT530" s="547"/>
      <c r="AU530" s="547"/>
      <c r="AV530" s="547"/>
      <c r="AW530" s="547"/>
      <c r="AX530" s="547"/>
      <c r="AY530" s="547"/>
      <c r="AZ530" s="547"/>
      <c r="BA530" s="547"/>
      <c r="BB530" s="547"/>
      <c r="BC530" s="547"/>
      <c r="BD530" s="547"/>
      <c r="BE530" s="548"/>
      <c r="BF530" s="547"/>
      <c r="BG530" s="547"/>
      <c r="BH530" s="547"/>
      <c r="BI530" s="547"/>
      <c r="BJ530" s="36"/>
      <c r="BK530" s="174"/>
      <c r="BL530" s="174"/>
      <c r="BM530" s="7"/>
    </row>
    <row r="531" spans="1:65" ht="15.75" customHeight="1">
      <c r="A531" s="546"/>
      <c r="B531" s="552"/>
      <c r="C531" s="547"/>
      <c r="D531" s="546"/>
      <c r="E531" s="547"/>
      <c r="F531" s="547"/>
      <c r="G531" s="547"/>
      <c r="H531" s="547"/>
      <c r="I531" s="547"/>
      <c r="J531" s="547"/>
      <c r="K531" s="547"/>
      <c r="L531" s="547"/>
      <c r="M531" s="547"/>
      <c r="N531" s="547"/>
      <c r="O531" s="547"/>
      <c r="P531" s="547"/>
      <c r="Q531" s="547"/>
      <c r="R531" s="547"/>
      <c r="S531" s="547"/>
      <c r="T531" s="547"/>
      <c r="U531" s="547"/>
      <c r="V531" s="547"/>
      <c r="W531" s="547"/>
      <c r="X531" s="547"/>
      <c r="Y531" s="547"/>
      <c r="Z531" s="547"/>
      <c r="AA531" s="547"/>
      <c r="AB531" s="547"/>
      <c r="AC531" s="547"/>
      <c r="AD531" s="547"/>
      <c r="AE531" s="547"/>
      <c r="AF531" s="548"/>
      <c r="AG531" s="547"/>
      <c r="AH531" s="547"/>
      <c r="AI531" s="547"/>
      <c r="AJ531" s="547"/>
      <c r="AK531" s="547"/>
      <c r="AL531" s="547"/>
      <c r="AM531" s="547"/>
      <c r="AN531" s="547"/>
      <c r="AO531" s="547"/>
      <c r="AP531" s="547"/>
      <c r="AQ531" s="547"/>
      <c r="AR531" s="547"/>
      <c r="AS531" s="547"/>
      <c r="AT531" s="547"/>
      <c r="AU531" s="547"/>
      <c r="AV531" s="547"/>
      <c r="AW531" s="547"/>
      <c r="AX531" s="547"/>
      <c r="AY531" s="547"/>
      <c r="AZ531" s="547"/>
      <c r="BA531" s="547"/>
      <c r="BB531" s="547"/>
      <c r="BC531" s="547"/>
      <c r="BD531" s="547"/>
      <c r="BE531" s="548"/>
      <c r="BF531" s="547"/>
      <c r="BG531" s="547"/>
      <c r="BH531" s="547"/>
      <c r="BI531" s="547"/>
      <c r="BJ531" s="36"/>
      <c r="BK531" s="174"/>
      <c r="BL531" s="174"/>
      <c r="BM531" s="7"/>
    </row>
    <row r="532" spans="1:65" ht="15.75" customHeight="1">
      <c r="A532" s="546"/>
      <c r="B532" s="552"/>
      <c r="C532" s="547"/>
      <c r="D532" s="546"/>
      <c r="E532" s="547"/>
      <c r="F532" s="547"/>
      <c r="G532" s="547"/>
      <c r="H532" s="547"/>
      <c r="I532" s="547"/>
      <c r="J532" s="547"/>
      <c r="K532" s="547"/>
      <c r="L532" s="547"/>
      <c r="M532" s="547"/>
      <c r="N532" s="547"/>
      <c r="O532" s="547"/>
      <c r="P532" s="547"/>
      <c r="Q532" s="547"/>
      <c r="R532" s="547"/>
      <c r="S532" s="547"/>
      <c r="T532" s="547"/>
      <c r="U532" s="547"/>
      <c r="V532" s="547"/>
      <c r="W532" s="547"/>
      <c r="X532" s="547"/>
      <c r="Y532" s="547"/>
      <c r="Z532" s="547"/>
      <c r="AA532" s="547"/>
      <c r="AB532" s="547"/>
      <c r="AC532" s="547"/>
      <c r="AD532" s="547"/>
      <c r="AE532" s="547"/>
      <c r="AF532" s="548"/>
      <c r="AG532" s="547"/>
      <c r="AH532" s="547"/>
      <c r="AI532" s="547"/>
      <c r="AJ532" s="547"/>
      <c r="AK532" s="547"/>
      <c r="AL532" s="547"/>
      <c r="AM532" s="547"/>
      <c r="AN532" s="547"/>
      <c r="AO532" s="547"/>
      <c r="AP532" s="547"/>
      <c r="AQ532" s="547"/>
      <c r="AR532" s="547"/>
      <c r="AS532" s="547"/>
      <c r="AT532" s="547"/>
      <c r="AU532" s="547"/>
      <c r="AV532" s="547"/>
      <c r="AW532" s="547"/>
      <c r="AX532" s="547"/>
      <c r="AY532" s="547"/>
      <c r="AZ532" s="547"/>
      <c r="BA532" s="547"/>
      <c r="BB532" s="547"/>
      <c r="BC532" s="547"/>
      <c r="BD532" s="547"/>
      <c r="BE532" s="548"/>
      <c r="BF532" s="547"/>
      <c r="BG532" s="547"/>
      <c r="BH532" s="547"/>
      <c r="BI532" s="547"/>
      <c r="BJ532" s="36"/>
      <c r="BK532" s="174"/>
      <c r="BL532" s="174"/>
      <c r="BM532" s="7"/>
    </row>
    <row r="533" spans="1:65" ht="15.75" customHeight="1">
      <c r="A533" s="546"/>
      <c r="B533" s="552"/>
      <c r="C533" s="547"/>
      <c r="D533" s="546"/>
      <c r="E533" s="547"/>
      <c r="F533" s="547"/>
      <c r="G533" s="547"/>
      <c r="H533" s="547"/>
      <c r="I533" s="547"/>
      <c r="J533" s="547"/>
      <c r="K533" s="547"/>
      <c r="L533" s="547"/>
      <c r="M533" s="547"/>
      <c r="N533" s="547"/>
      <c r="O533" s="547"/>
      <c r="P533" s="547"/>
      <c r="Q533" s="547"/>
      <c r="R533" s="547"/>
      <c r="S533" s="547"/>
      <c r="T533" s="547"/>
      <c r="U533" s="547"/>
      <c r="V533" s="547"/>
      <c r="W533" s="547"/>
      <c r="X533" s="547"/>
      <c r="Y533" s="547"/>
      <c r="Z533" s="547"/>
      <c r="AA533" s="547"/>
      <c r="AB533" s="547"/>
      <c r="AC533" s="547"/>
      <c r="AD533" s="547"/>
      <c r="AE533" s="547"/>
      <c r="AF533" s="548"/>
      <c r="AG533" s="547"/>
      <c r="AH533" s="547"/>
      <c r="AI533" s="547"/>
      <c r="AJ533" s="547"/>
      <c r="AK533" s="547"/>
      <c r="AL533" s="547"/>
      <c r="AM533" s="547"/>
      <c r="AN533" s="547"/>
      <c r="AO533" s="547"/>
      <c r="AP533" s="547"/>
      <c r="AQ533" s="547"/>
      <c r="AR533" s="547"/>
      <c r="AS533" s="547"/>
      <c r="AT533" s="547"/>
      <c r="AU533" s="547"/>
      <c r="AV533" s="547"/>
      <c r="AW533" s="547"/>
      <c r="AX533" s="547"/>
      <c r="AY533" s="547"/>
      <c r="AZ533" s="547"/>
      <c r="BA533" s="547"/>
      <c r="BB533" s="547"/>
      <c r="BC533" s="547"/>
      <c r="BD533" s="547"/>
      <c r="BE533" s="548"/>
      <c r="BF533" s="547"/>
      <c r="BG533" s="547"/>
      <c r="BH533" s="547"/>
      <c r="BI533" s="547"/>
      <c r="BJ533" s="36"/>
      <c r="BK533" s="174"/>
      <c r="BL533" s="174"/>
      <c r="BM533" s="7"/>
    </row>
    <row r="534" spans="1:65" ht="15.75" customHeight="1">
      <c r="A534" s="546"/>
      <c r="B534" s="552"/>
      <c r="C534" s="547"/>
      <c r="D534" s="546"/>
      <c r="E534" s="547"/>
      <c r="F534" s="547"/>
      <c r="G534" s="547"/>
      <c r="H534" s="547"/>
      <c r="I534" s="547"/>
      <c r="J534" s="547"/>
      <c r="K534" s="547"/>
      <c r="L534" s="547"/>
      <c r="M534" s="547"/>
      <c r="N534" s="547"/>
      <c r="O534" s="547"/>
      <c r="P534" s="547"/>
      <c r="Q534" s="547"/>
      <c r="R534" s="547"/>
      <c r="S534" s="547"/>
      <c r="T534" s="547"/>
      <c r="U534" s="547"/>
      <c r="V534" s="547"/>
      <c r="W534" s="547"/>
      <c r="X534" s="547"/>
      <c r="Y534" s="547"/>
      <c r="Z534" s="547"/>
      <c r="AA534" s="547"/>
      <c r="AB534" s="547"/>
      <c r="AC534" s="547"/>
      <c r="AD534" s="547"/>
      <c r="AE534" s="547"/>
      <c r="AF534" s="548"/>
      <c r="AG534" s="547"/>
      <c r="AH534" s="547"/>
      <c r="AI534" s="547"/>
      <c r="AJ534" s="547"/>
      <c r="AK534" s="547"/>
      <c r="AL534" s="547"/>
      <c r="AM534" s="547"/>
      <c r="AN534" s="547"/>
      <c r="AO534" s="547"/>
      <c r="AP534" s="547"/>
      <c r="AQ534" s="547"/>
      <c r="AR534" s="547"/>
      <c r="AS534" s="547"/>
      <c r="AT534" s="547"/>
      <c r="AU534" s="547"/>
      <c r="AV534" s="547"/>
      <c r="AW534" s="547"/>
      <c r="AX534" s="547"/>
      <c r="AY534" s="547"/>
      <c r="AZ534" s="547"/>
      <c r="BA534" s="547"/>
      <c r="BB534" s="547"/>
      <c r="BC534" s="547"/>
      <c r="BD534" s="547"/>
      <c r="BE534" s="548"/>
      <c r="BF534" s="547"/>
      <c r="BG534" s="547"/>
      <c r="BH534" s="547"/>
      <c r="BI534" s="547"/>
      <c r="BJ534" s="36"/>
      <c r="BK534" s="174"/>
      <c r="BL534" s="174"/>
      <c r="BM534" s="7"/>
    </row>
    <row r="535" spans="1:65" ht="15.75" customHeight="1">
      <c r="A535" s="546"/>
      <c r="B535" s="552"/>
      <c r="C535" s="547"/>
      <c r="D535" s="546"/>
      <c r="E535" s="547"/>
      <c r="F535" s="547"/>
      <c r="G535" s="547"/>
      <c r="H535" s="547"/>
      <c r="I535" s="547"/>
      <c r="J535" s="547"/>
      <c r="K535" s="547"/>
      <c r="L535" s="547"/>
      <c r="M535" s="547"/>
      <c r="N535" s="547"/>
      <c r="O535" s="547"/>
      <c r="P535" s="547"/>
      <c r="Q535" s="547"/>
      <c r="R535" s="547"/>
      <c r="S535" s="547"/>
      <c r="T535" s="547"/>
      <c r="U535" s="547"/>
      <c r="V535" s="547"/>
      <c r="W535" s="547"/>
      <c r="X535" s="547"/>
      <c r="Y535" s="547"/>
      <c r="Z535" s="547"/>
      <c r="AA535" s="547"/>
      <c r="AB535" s="547"/>
      <c r="AC535" s="547"/>
      <c r="AD535" s="547"/>
      <c r="AE535" s="547"/>
      <c r="AF535" s="548"/>
      <c r="AG535" s="547"/>
      <c r="AH535" s="547"/>
      <c r="AI535" s="547"/>
      <c r="AJ535" s="547"/>
      <c r="AK535" s="547"/>
      <c r="AL535" s="547"/>
      <c r="AM535" s="547"/>
      <c r="AN535" s="547"/>
      <c r="AO535" s="547"/>
      <c r="AP535" s="547"/>
      <c r="AQ535" s="547"/>
      <c r="AR535" s="547"/>
      <c r="AS535" s="547"/>
      <c r="AT535" s="547"/>
      <c r="AU535" s="547"/>
      <c r="AV535" s="547"/>
      <c r="AW535" s="547"/>
      <c r="AX535" s="547"/>
      <c r="AY535" s="547"/>
      <c r="AZ535" s="547"/>
      <c r="BA535" s="547"/>
      <c r="BB535" s="547"/>
      <c r="BC535" s="547"/>
      <c r="BD535" s="547"/>
      <c r="BE535" s="548"/>
      <c r="BF535" s="547"/>
      <c r="BG535" s="547"/>
      <c r="BH535" s="547"/>
      <c r="BI535" s="547"/>
      <c r="BJ535" s="36"/>
      <c r="BK535" s="174"/>
      <c r="BL535" s="174"/>
      <c r="BM535" s="7"/>
    </row>
    <row r="536" spans="1:65" ht="15.75" customHeight="1">
      <c r="A536" s="546"/>
      <c r="B536" s="552"/>
      <c r="C536" s="547"/>
      <c r="D536" s="546"/>
      <c r="E536" s="547"/>
      <c r="F536" s="547"/>
      <c r="G536" s="547"/>
      <c r="H536" s="547"/>
      <c r="I536" s="547"/>
      <c r="J536" s="547"/>
      <c r="K536" s="547"/>
      <c r="L536" s="547"/>
      <c r="M536" s="547"/>
      <c r="N536" s="547"/>
      <c r="O536" s="547"/>
      <c r="P536" s="547"/>
      <c r="Q536" s="547"/>
      <c r="R536" s="547"/>
      <c r="S536" s="547"/>
      <c r="T536" s="547"/>
      <c r="U536" s="547"/>
      <c r="V536" s="547"/>
      <c r="W536" s="547"/>
      <c r="X536" s="547"/>
      <c r="Y536" s="547"/>
      <c r="Z536" s="547"/>
      <c r="AA536" s="547"/>
      <c r="AB536" s="547"/>
      <c r="AC536" s="547"/>
      <c r="AD536" s="547"/>
      <c r="AE536" s="547"/>
      <c r="AF536" s="548"/>
      <c r="AG536" s="547"/>
      <c r="AH536" s="547"/>
      <c r="AI536" s="547"/>
      <c r="AJ536" s="547"/>
      <c r="AK536" s="547"/>
      <c r="AL536" s="547"/>
      <c r="AM536" s="547"/>
      <c r="AN536" s="547"/>
      <c r="AO536" s="547"/>
      <c r="AP536" s="547"/>
      <c r="AQ536" s="547"/>
      <c r="AR536" s="547"/>
      <c r="AS536" s="547"/>
      <c r="AT536" s="547"/>
      <c r="AU536" s="547"/>
      <c r="AV536" s="547"/>
      <c r="AW536" s="547"/>
      <c r="AX536" s="547"/>
      <c r="AY536" s="547"/>
      <c r="AZ536" s="547"/>
      <c r="BA536" s="547"/>
      <c r="BB536" s="547"/>
      <c r="BC536" s="547"/>
      <c r="BD536" s="547"/>
      <c r="BE536" s="548"/>
      <c r="BF536" s="547"/>
      <c r="BG536" s="547"/>
      <c r="BH536" s="547"/>
      <c r="BI536" s="547"/>
      <c r="BJ536" s="36"/>
      <c r="BK536" s="174"/>
      <c r="BL536" s="174"/>
      <c r="BM536" s="7"/>
    </row>
    <row r="537" spans="1:65" ht="15.75" customHeight="1">
      <c r="A537" s="546"/>
      <c r="B537" s="552"/>
      <c r="C537" s="547"/>
      <c r="D537" s="546"/>
      <c r="E537" s="547"/>
      <c r="F537" s="547"/>
      <c r="G537" s="547"/>
      <c r="H537" s="547"/>
      <c r="I537" s="547"/>
      <c r="J537" s="547"/>
      <c r="K537" s="547"/>
      <c r="L537" s="547"/>
      <c r="M537" s="547"/>
      <c r="N537" s="547"/>
      <c r="O537" s="547"/>
      <c r="P537" s="547"/>
      <c r="Q537" s="547"/>
      <c r="R537" s="547"/>
      <c r="S537" s="547"/>
      <c r="T537" s="547"/>
      <c r="U537" s="547"/>
      <c r="V537" s="547"/>
      <c r="W537" s="547"/>
      <c r="X537" s="547"/>
      <c r="Y537" s="547"/>
      <c r="Z537" s="547"/>
      <c r="AA537" s="547"/>
      <c r="AB537" s="547"/>
      <c r="AC537" s="547"/>
      <c r="AD537" s="547"/>
      <c r="AE537" s="547"/>
      <c r="AF537" s="548"/>
      <c r="AG537" s="547"/>
      <c r="AH537" s="547"/>
      <c r="AI537" s="547"/>
      <c r="AJ537" s="547"/>
      <c r="AK537" s="547"/>
      <c r="AL537" s="547"/>
      <c r="AM537" s="547"/>
      <c r="AN537" s="547"/>
      <c r="AO537" s="547"/>
      <c r="AP537" s="547"/>
      <c r="AQ537" s="547"/>
      <c r="AR537" s="547"/>
      <c r="AS537" s="547"/>
      <c r="AT537" s="547"/>
      <c r="AU537" s="547"/>
      <c r="AV537" s="547"/>
      <c r="AW537" s="547"/>
      <c r="AX537" s="547"/>
      <c r="AY537" s="547"/>
      <c r="AZ537" s="547"/>
      <c r="BA537" s="547"/>
      <c r="BB537" s="547"/>
      <c r="BC537" s="547"/>
      <c r="BD537" s="547"/>
      <c r="BE537" s="548"/>
      <c r="BF537" s="547"/>
      <c r="BG537" s="547"/>
      <c r="BH537" s="547"/>
      <c r="BI537" s="547"/>
      <c r="BJ537" s="36"/>
      <c r="BK537" s="174"/>
      <c r="BL537" s="174"/>
      <c r="BM537" s="7"/>
    </row>
    <row r="538" spans="1:65" ht="15.75" customHeight="1">
      <c r="A538" s="546"/>
      <c r="B538" s="552"/>
      <c r="C538" s="547"/>
      <c r="D538" s="546"/>
      <c r="E538" s="547"/>
      <c r="F538" s="547"/>
      <c r="G538" s="547"/>
      <c r="H538" s="547"/>
      <c r="I538" s="547"/>
      <c r="J538" s="547"/>
      <c r="K538" s="547"/>
      <c r="L538" s="547"/>
      <c r="M538" s="547"/>
      <c r="N538" s="547"/>
      <c r="O538" s="547"/>
      <c r="P538" s="547"/>
      <c r="Q538" s="547"/>
      <c r="R538" s="547"/>
      <c r="S538" s="547"/>
      <c r="T538" s="547"/>
      <c r="U538" s="547"/>
      <c r="V538" s="547"/>
      <c r="W538" s="547"/>
      <c r="X538" s="547"/>
      <c r="Y538" s="547"/>
      <c r="Z538" s="547"/>
      <c r="AA538" s="547"/>
      <c r="AB538" s="547"/>
      <c r="AC538" s="547"/>
      <c r="AD538" s="547"/>
      <c r="AE538" s="547"/>
      <c r="AF538" s="548"/>
      <c r="AG538" s="547"/>
      <c r="AH538" s="547"/>
      <c r="AI538" s="547"/>
      <c r="AJ538" s="547"/>
      <c r="AK538" s="547"/>
      <c r="AL538" s="547"/>
      <c r="AM538" s="547"/>
      <c r="AN538" s="547"/>
      <c r="AO538" s="547"/>
      <c r="AP538" s="547"/>
      <c r="AQ538" s="547"/>
      <c r="AR538" s="547"/>
      <c r="AS538" s="547"/>
      <c r="AT538" s="547"/>
      <c r="AU538" s="547"/>
      <c r="AV538" s="547"/>
      <c r="AW538" s="547"/>
      <c r="AX538" s="547"/>
      <c r="AY538" s="547"/>
      <c r="AZ538" s="547"/>
      <c r="BA538" s="547"/>
      <c r="BB538" s="547"/>
      <c r="BC538" s="547"/>
      <c r="BD538" s="547"/>
      <c r="BE538" s="548"/>
      <c r="BF538" s="547"/>
      <c r="BG538" s="547"/>
      <c r="BH538" s="547"/>
      <c r="BI538" s="547"/>
      <c r="BJ538" s="36"/>
      <c r="BK538" s="174"/>
      <c r="BL538" s="174"/>
      <c r="BM538" s="7"/>
    </row>
    <row r="539" spans="1:65" ht="15.75" customHeight="1">
      <c r="A539" s="546"/>
      <c r="B539" s="552"/>
      <c r="C539" s="547"/>
      <c r="D539" s="546"/>
      <c r="E539" s="547"/>
      <c r="F539" s="547"/>
      <c r="G539" s="547"/>
      <c r="H539" s="547"/>
      <c r="I539" s="547"/>
      <c r="J539" s="547"/>
      <c r="K539" s="547"/>
      <c r="L539" s="547"/>
      <c r="M539" s="547"/>
      <c r="N539" s="547"/>
      <c r="O539" s="547"/>
      <c r="P539" s="547"/>
      <c r="Q539" s="547"/>
      <c r="R539" s="547"/>
      <c r="S539" s="547"/>
      <c r="T539" s="547"/>
      <c r="U539" s="547"/>
      <c r="V539" s="547"/>
      <c r="W539" s="547"/>
      <c r="X539" s="547"/>
      <c r="Y539" s="547"/>
      <c r="Z539" s="547"/>
      <c r="AA539" s="547"/>
      <c r="AB539" s="547"/>
      <c r="AC539" s="547"/>
      <c r="AD539" s="547"/>
      <c r="AE539" s="547"/>
      <c r="AF539" s="548"/>
      <c r="AG539" s="547"/>
      <c r="AH539" s="547"/>
      <c r="AI539" s="547"/>
      <c r="AJ539" s="547"/>
      <c r="AK539" s="547"/>
      <c r="AL539" s="547"/>
      <c r="AM539" s="547"/>
      <c r="AN539" s="547"/>
      <c r="AO539" s="547"/>
      <c r="AP539" s="547"/>
      <c r="AQ539" s="547"/>
      <c r="AR539" s="547"/>
      <c r="AS539" s="547"/>
      <c r="AT539" s="547"/>
      <c r="AU539" s="547"/>
      <c r="AV539" s="547"/>
      <c r="AW539" s="547"/>
      <c r="AX539" s="547"/>
      <c r="AY539" s="547"/>
      <c r="AZ539" s="547"/>
      <c r="BA539" s="547"/>
      <c r="BB539" s="547"/>
      <c r="BC539" s="547"/>
      <c r="BD539" s="547"/>
      <c r="BE539" s="548"/>
      <c r="BF539" s="547"/>
      <c r="BG539" s="547"/>
      <c r="BH539" s="547"/>
      <c r="BI539" s="547"/>
      <c r="BJ539" s="36"/>
      <c r="BK539" s="174"/>
      <c r="BL539" s="174"/>
      <c r="BM539" s="7"/>
    </row>
    <row r="540" spans="1:65" ht="15.75" customHeight="1">
      <c r="A540" s="546"/>
      <c r="B540" s="552"/>
      <c r="C540" s="547"/>
      <c r="D540" s="546"/>
      <c r="E540" s="547"/>
      <c r="F540" s="547"/>
      <c r="G540" s="547"/>
      <c r="H540" s="547"/>
      <c r="I540" s="547"/>
      <c r="J540" s="547"/>
      <c r="K540" s="547"/>
      <c r="L540" s="547"/>
      <c r="M540" s="547"/>
      <c r="N540" s="547"/>
      <c r="O540" s="547"/>
      <c r="P540" s="547"/>
      <c r="Q540" s="547"/>
      <c r="R540" s="547"/>
      <c r="S540" s="547"/>
      <c r="T540" s="547"/>
      <c r="U540" s="547"/>
      <c r="V540" s="547"/>
      <c r="W540" s="547"/>
      <c r="X540" s="547"/>
      <c r="Y540" s="547"/>
      <c r="Z540" s="547"/>
      <c r="AA540" s="547"/>
      <c r="AB540" s="547"/>
      <c r="AC540" s="547"/>
      <c r="AD540" s="547"/>
      <c r="AE540" s="547"/>
      <c r="AF540" s="548"/>
      <c r="AG540" s="547"/>
      <c r="AH540" s="547"/>
      <c r="AI540" s="547"/>
      <c r="AJ540" s="547"/>
      <c r="AK540" s="547"/>
      <c r="AL540" s="547"/>
      <c r="AM540" s="547"/>
      <c r="AN540" s="547"/>
      <c r="AO540" s="547"/>
      <c r="AP540" s="547"/>
      <c r="AQ540" s="547"/>
      <c r="AR540" s="547"/>
      <c r="AS540" s="547"/>
      <c r="AT540" s="547"/>
      <c r="AU540" s="547"/>
      <c r="AV540" s="547"/>
      <c r="AW540" s="547"/>
      <c r="AX540" s="547"/>
      <c r="AY540" s="547"/>
      <c r="AZ540" s="547"/>
      <c r="BA540" s="547"/>
      <c r="BB540" s="547"/>
      <c r="BC540" s="547"/>
      <c r="BD540" s="547"/>
      <c r="BE540" s="548"/>
      <c r="BF540" s="547"/>
      <c r="BG540" s="547"/>
      <c r="BH540" s="547"/>
      <c r="BI540" s="547"/>
      <c r="BJ540" s="36"/>
      <c r="BK540" s="174"/>
      <c r="BL540" s="174"/>
      <c r="BM540" s="7"/>
    </row>
    <row r="541" spans="1:65" ht="15.75" customHeight="1">
      <c r="A541" s="546"/>
      <c r="B541" s="552"/>
      <c r="C541" s="547"/>
      <c r="D541" s="546"/>
      <c r="E541" s="547"/>
      <c r="F541" s="547"/>
      <c r="G541" s="547"/>
      <c r="H541" s="547"/>
      <c r="I541" s="547"/>
      <c r="J541" s="547"/>
      <c r="K541" s="547"/>
      <c r="L541" s="547"/>
      <c r="M541" s="547"/>
      <c r="N541" s="547"/>
      <c r="O541" s="547"/>
      <c r="P541" s="547"/>
      <c r="Q541" s="547"/>
      <c r="R541" s="547"/>
      <c r="S541" s="547"/>
      <c r="T541" s="547"/>
      <c r="U541" s="547"/>
      <c r="V541" s="547"/>
      <c r="W541" s="547"/>
      <c r="X541" s="547"/>
      <c r="Y541" s="547"/>
      <c r="Z541" s="547"/>
      <c r="AA541" s="547"/>
      <c r="AB541" s="547"/>
      <c r="AC541" s="547"/>
      <c r="AD541" s="547"/>
      <c r="AE541" s="547"/>
      <c r="AF541" s="548"/>
      <c r="AG541" s="547"/>
      <c r="AH541" s="547"/>
      <c r="AI541" s="547"/>
      <c r="AJ541" s="547"/>
      <c r="AK541" s="547"/>
      <c r="AL541" s="547"/>
      <c r="AM541" s="547"/>
      <c r="AN541" s="547"/>
      <c r="AO541" s="547"/>
      <c r="AP541" s="547"/>
      <c r="AQ541" s="547"/>
      <c r="AR541" s="547"/>
      <c r="AS541" s="547"/>
      <c r="AT541" s="547"/>
      <c r="AU541" s="547"/>
      <c r="AV541" s="547"/>
      <c r="AW541" s="547"/>
      <c r="AX541" s="547"/>
      <c r="AY541" s="547"/>
      <c r="AZ541" s="547"/>
      <c r="BA541" s="547"/>
      <c r="BB541" s="547"/>
      <c r="BC541" s="547"/>
      <c r="BD541" s="547"/>
      <c r="BE541" s="548"/>
      <c r="BF541" s="547"/>
      <c r="BG541" s="547"/>
      <c r="BH541" s="547"/>
      <c r="BI541" s="547"/>
      <c r="BJ541" s="36"/>
      <c r="BK541" s="174"/>
      <c r="BL541" s="174"/>
      <c r="BM541" s="7"/>
    </row>
    <row r="542" spans="1:65" ht="15.75" customHeight="1">
      <c r="A542" s="546"/>
      <c r="B542" s="552"/>
      <c r="C542" s="547"/>
      <c r="D542" s="546"/>
      <c r="E542" s="547"/>
      <c r="F542" s="547"/>
      <c r="G542" s="547"/>
      <c r="H542" s="547"/>
      <c r="I542" s="547"/>
      <c r="J542" s="547"/>
      <c r="K542" s="547"/>
      <c r="L542" s="547"/>
      <c r="M542" s="547"/>
      <c r="N542" s="547"/>
      <c r="O542" s="547"/>
      <c r="P542" s="547"/>
      <c r="Q542" s="547"/>
      <c r="R542" s="547"/>
      <c r="S542" s="547"/>
      <c r="T542" s="547"/>
      <c r="U542" s="547"/>
      <c r="V542" s="547"/>
      <c r="W542" s="547"/>
      <c r="X542" s="547"/>
      <c r="Y542" s="547"/>
      <c r="Z542" s="547"/>
      <c r="AA542" s="547"/>
      <c r="AB542" s="547"/>
      <c r="AC542" s="547"/>
      <c r="AD542" s="547"/>
      <c r="AE542" s="547"/>
      <c r="AF542" s="548"/>
      <c r="AG542" s="547"/>
      <c r="AH542" s="547"/>
      <c r="AI542" s="547"/>
      <c r="AJ542" s="547"/>
      <c r="AK542" s="547"/>
      <c r="AL542" s="547"/>
      <c r="AM542" s="547"/>
      <c r="AN542" s="547"/>
      <c r="AO542" s="547"/>
      <c r="AP542" s="547"/>
      <c r="AQ542" s="547"/>
      <c r="AR542" s="547"/>
      <c r="AS542" s="547"/>
      <c r="AT542" s="547"/>
      <c r="AU542" s="547"/>
      <c r="AV542" s="547"/>
      <c r="AW542" s="547"/>
      <c r="AX542" s="547"/>
      <c r="AY542" s="547"/>
      <c r="AZ542" s="547"/>
      <c r="BA542" s="547"/>
      <c r="BB542" s="547"/>
      <c r="BC542" s="547"/>
      <c r="BD542" s="547"/>
      <c r="BE542" s="548"/>
      <c r="BF542" s="547"/>
      <c r="BG542" s="547"/>
      <c r="BH542" s="547"/>
      <c r="BI542" s="547"/>
      <c r="BJ542" s="36"/>
      <c r="BK542" s="174"/>
      <c r="BL542" s="174"/>
      <c r="BM542" s="7"/>
    </row>
    <row r="543" spans="1:65" ht="15.75" customHeight="1">
      <c r="A543" s="546"/>
      <c r="B543" s="552"/>
      <c r="C543" s="547"/>
      <c r="D543" s="546"/>
      <c r="E543" s="547"/>
      <c r="F543" s="547"/>
      <c r="G543" s="547"/>
      <c r="H543" s="547"/>
      <c r="I543" s="547"/>
      <c r="J543" s="547"/>
      <c r="K543" s="547"/>
      <c r="L543" s="547"/>
      <c r="M543" s="547"/>
      <c r="N543" s="547"/>
      <c r="O543" s="547"/>
      <c r="P543" s="547"/>
      <c r="Q543" s="547"/>
      <c r="R543" s="547"/>
      <c r="S543" s="547"/>
      <c r="T543" s="547"/>
      <c r="U543" s="547"/>
      <c r="V543" s="547"/>
      <c r="W543" s="547"/>
      <c r="X543" s="547"/>
      <c r="Y543" s="547"/>
      <c r="Z543" s="547"/>
      <c r="AA543" s="547"/>
      <c r="AB543" s="547"/>
      <c r="AC543" s="547"/>
      <c r="AD543" s="547"/>
      <c r="AE543" s="547"/>
      <c r="AF543" s="548"/>
      <c r="AG543" s="547"/>
      <c r="AH543" s="547"/>
      <c r="AI543" s="547"/>
      <c r="AJ543" s="547"/>
      <c r="AK543" s="547"/>
      <c r="AL543" s="547"/>
      <c r="AM543" s="547"/>
      <c r="AN543" s="547"/>
      <c r="AO543" s="547"/>
      <c r="AP543" s="547"/>
      <c r="AQ543" s="547"/>
      <c r="AR543" s="547"/>
      <c r="AS543" s="547"/>
      <c r="AT543" s="547"/>
      <c r="AU543" s="547"/>
      <c r="AV543" s="547"/>
      <c r="AW543" s="547"/>
      <c r="AX543" s="547"/>
      <c r="AY543" s="547"/>
      <c r="AZ543" s="547"/>
      <c r="BA543" s="547"/>
      <c r="BB543" s="547"/>
      <c r="BC543" s="547"/>
      <c r="BD543" s="547"/>
      <c r="BE543" s="548"/>
      <c r="BF543" s="547"/>
      <c r="BG543" s="547"/>
      <c r="BH543" s="547"/>
      <c r="BI543" s="547"/>
      <c r="BJ543" s="36"/>
      <c r="BK543" s="174"/>
      <c r="BL543" s="174"/>
      <c r="BM543" s="7"/>
    </row>
    <row r="544" spans="1:65" ht="15.75" customHeight="1">
      <c r="A544" s="546"/>
      <c r="B544" s="552"/>
      <c r="C544" s="547"/>
      <c r="D544" s="546"/>
      <c r="E544" s="547"/>
      <c r="F544" s="547"/>
      <c r="G544" s="547"/>
      <c r="H544" s="547"/>
      <c r="I544" s="547"/>
      <c r="J544" s="547"/>
      <c r="K544" s="547"/>
      <c r="L544" s="547"/>
      <c r="M544" s="547"/>
      <c r="N544" s="547"/>
      <c r="O544" s="547"/>
      <c r="P544" s="547"/>
      <c r="Q544" s="547"/>
      <c r="R544" s="547"/>
      <c r="S544" s="547"/>
      <c r="T544" s="547"/>
      <c r="U544" s="547"/>
      <c r="V544" s="547"/>
      <c r="W544" s="547"/>
      <c r="X544" s="547"/>
      <c r="Y544" s="547"/>
      <c r="Z544" s="547"/>
      <c r="AA544" s="547"/>
      <c r="AB544" s="547"/>
      <c r="AC544" s="547"/>
      <c r="AD544" s="547"/>
      <c r="AE544" s="547"/>
      <c r="AF544" s="548"/>
      <c r="AG544" s="547"/>
      <c r="AH544" s="547"/>
      <c r="AI544" s="547"/>
      <c r="AJ544" s="547"/>
      <c r="AK544" s="547"/>
      <c r="AL544" s="547"/>
      <c r="AM544" s="547"/>
      <c r="AN544" s="547"/>
      <c r="AO544" s="547"/>
      <c r="AP544" s="547"/>
      <c r="AQ544" s="547"/>
      <c r="AR544" s="547"/>
      <c r="AS544" s="547"/>
      <c r="AT544" s="547"/>
      <c r="AU544" s="547"/>
      <c r="AV544" s="547"/>
      <c r="AW544" s="547"/>
      <c r="AX544" s="547"/>
      <c r="AY544" s="547"/>
      <c r="AZ544" s="547"/>
      <c r="BA544" s="547"/>
      <c r="BB544" s="547"/>
      <c r="BC544" s="547"/>
      <c r="BD544" s="547"/>
      <c r="BE544" s="548"/>
      <c r="BF544" s="547"/>
      <c r="BG544" s="547"/>
      <c r="BH544" s="547"/>
      <c r="BI544" s="547"/>
      <c r="BJ544" s="36"/>
      <c r="BK544" s="174"/>
      <c r="BL544" s="174"/>
      <c r="BM544" s="7"/>
    </row>
    <row r="545" spans="1:65" ht="15.75" customHeight="1">
      <c r="A545" s="546"/>
      <c r="B545" s="552"/>
      <c r="C545" s="547"/>
      <c r="D545" s="546"/>
      <c r="E545" s="547"/>
      <c r="F545" s="547"/>
      <c r="G545" s="547"/>
      <c r="H545" s="547"/>
      <c r="I545" s="547"/>
      <c r="J545" s="547"/>
      <c r="K545" s="547"/>
      <c r="L545" s="547"/>
      <c r="M545" s="547"/>
      <c r="N545" s="547"/>
      <c r="O545" s="547"/>
      <c r="P545" s="547"/>
      <c r="Q545" s="547"/>
      <c r="R545" s="547"/>
      <c r="S545" s="547"/>
      <c r="T545" s="547"/>
      <c r="U545" s="547"/>
      <c r="V545" s="547"/>
      <c r="W545" s="547"/>
      <c r="X545" s="547"/>
      <c r="Y545" s="547"/>
      <c r="Z545" s="547"/>
      <c r="AA545" s="547"/>
      <c r="AB545" s="547"/>
      <c r="AC545" s="547"/>
      <c r="AD545" s="547"/>
      <c r="AE545" s="547"/>
      <c r="AF545" s="548"/>
      <c r="AG545" s="547"/>
      <c r="AH545" s="547"/>
      <c r="AI545" s="547"/>
      <c r="AJ545" s="547"/>
      <c r="AK545" s="547"/>
      <c r="AL545" s="547"/>
      <c r="AM545" s="547"/>
      <c r="AN545" s="547"/>
      <c r="AO545" s="547"/>
      <c r="AP545" s="547"/>
      <c r="AQ545" s="547"/>
      <c r="AR545" s="547"/>
      <c r="AS545" s="547"/>
      <c r="AT545" s="547"/>
      <c r="AU545" s="547"/>
      <c r="AV545" s="547"/>
      <c r="AW545" s="547"/>
      <c r="AX545" s="547"/>
      <c r="AY545" s="547"/>
      <c r="AZ545" s="547"/>
      <c r="BA545" s="547"/>
      <c r="BB545" s="547"/>
      <c r="BC545" s="547"/>
      <c r="BD545" s="547"/>
      <c r="BE545" s="548"/>
      <c r="BF545" s="547"/>
      <c r="BG545" s="547"/>
      <c r="BH545" s="547"/>
      <c r="BI545" s="547"/>
      <c r="BJ545" s="36"/>
      <c r="BK545" s="174"/>
      <c r="BL545" s="174"/>
      <c r="BM545" s="7"/>
    </row>
    <row r="546" spans="1:65" ht="15.75" customHeight="1">
      <c r="A546" s="546"/>
      <c r="B546" s="552"/>
      <c r="C546" s="547"/>
      <c r="D546" s="546"/>
      <c r="E546" s="547"/>
      <c r="F546" s="547"/>
      <c r="G546" s="547"/>
      <c r="H546" s="547"/>
      <c r="I546" s="547"/>
      <c r="J546" s="547"/>
      <c r="K546" s="547"/>
      <c r="L546" s="547"/>
      <c r="M546" s="547"/>
      <c r="N546" s="547"/>
      <c r="O546" s="547"/>
      <c r="P546" s="547"/>
      <c r="Q546" s="547"/>
      <c r="R546" s="547"/>
      <c r="S546" s="547"/>
      <c r="T546" s="547"/>
      <c r="U546" s="547"/>
      <c r="V546" s="547"/>
      <c r="W546" s="547"/>
      <c r="X546" s="547"/>
      <c r="Y546" s="547"/>
      <c r="Z546" s="547"/>
      <c r="AA546" s="547"/>
      <c r="AB546" s="547"/>
      <c r="AC546" s="547"/>
      <c r="AD546" s="547"/>
      <c r="AE546" s="547"/>
      <c r="AF546" s="548"/>
      <c r="AG546" s="547"/>
      <c r="AH546" s="547"/>
      <c r="AI546" s="547"/>
      <c r="AJ546" s="547"/>
      <c r="AK546" s="547"/>
      <c r="AL546" s="547"/>
      <c r="AM546" s="547"/>
      <c r="AN546" s="547"/>
      <c r="AO546" s="547"/>
      <c r="AP546" s="547"/>
      <c r="AQ546" s="547"/>
      <c r="AR546" s="547"/>
      <c r="AS546" s="547"/>
      <c r="AT546" s="547"/>
      <c r="AU546" s="547"/>
      <c r="AV546" s="547"/>
      <c r="AW546" s="547"/>
      <c r="AX546" s="547"/>
      <c r="AY546" s="547"/>
      <c r="AZ546" s="547"/>
      <c r="BA546" s="547"/>
      <c r="BB546" s="547"/>
      <c r="BC546" s="547"/>
      <c r="BD546" s="547"/>
      <c r="BE546" s="548"/>
      <c r="BF546" s="547"/>
      <c r="BG546" s="547"/>
      <c r="BH546" s="547"/>
      <c r="BI546" s="547"/>
      <c r="BJ546" s="36"/>
      <c r="BK546" s="174"/>
      <c r="BL546" s="174"/>
      <c r="BM546" s="7"/>
    </row>
    <row r="547" spans="1:65" ht="15.75" customHeight="1">
      <c r="A547" s="546"/>
      <c r="B547" s="552"/>
      <c r="C547" s="547"/>
      <c r="D547" s="546"/>
      <c r="E547" s="547"/>
      <c r="F547" s="547"/>
      <c r="G547" s="547"/>
      <c r="H547" s="547"/>
      <c r="I547" s="547"/>
      <c r="J547" s="547"/>
      <c r="K547" s="547"/>
      <c r="L547" s="547"/>
      <c r="M547" s="547"/>
      <c r="N547" s="547"/>
      <c r="O547" s="547"/>
      <c r="P547" s="547"/>
      <c r="Q547" s="547"/>
      <c r="R547" s="547"/>
      <c r="S547" s="547"/>
      <c r="T547" s="547"/>
      <c r="U547" s="547"/>
      <c r="V547" s="547"/>
      <c r="W547" s="547"/>
      <c r="X547" s="547"/>
      <c r="Y547" s="547"/>
      <c r="Z547" s="547"/>
      <c r="AA547" s="547"/>
      <c r="AB547" s="547"/>
      <c r="AC547" s="547"/>
      <c r="AD547" s="547"/>
      <c r="AE547" s="547"/>
      <c r="AF547" s="548"/>
      <c r="AG547" s="547"/>
      <c r="AH547" s="547"/>
      <c r="AI547" s="547"/>
      <c r="AJ547" s="547"/>
      <c r="AK547" s="547"/>
      <c r="AL547" s="547"/>
      <c r="AM547" s="547"/>
      <c r="AN547" s="547"/>
      <c r="AO547" s="547"/>
      <c r="AP547" s="547"/>
      <c r="AQ547" s="547"/>
      <c r="AR547" s="547"/>
      <c r="AS547" s="547"/>
      <c r="AT547" s="547"/>
      <c r="AU547" s="547"/>
      <c r="AV547" s="547"/>
      <c r="AW547" s="547"/>
      <c r="AX547" s="547"/>
      <c r="AY547" s="547"/>
      <c r="AZ547" s="547"/>
      <c r="BA547" s="547"/>
      <c r="BB547" s="547"/>
      <c r="BC547" s="547"/>
      <c r="BD547" s="547"/>
      <c r="BE547" s="548"/>
      <c r="BF547" s="547"/>
      <c r="BG547" s="547"/>
      <c r="BH547" s="547"/>
      <c r="BI547" s="547"/>
      <c r="BJ547" s="36"/>
      <c r="BK547" s="174"/>
      <c r="BL547" s="174"/>
      <c r="BM547" s="7"/>
    </row>
    <row r="548" spans="1:65" ht="15.75" customHeight="1">
      <c r="A548" s="546"/>
      <c r="B548" s="552"/>
      <c r="C548" s="547"/>
      <c r="D548" s="546"/>
      <c r="E548" s="547"/>
      <c r="F548" s="547"/>
      <c r="G548" s="547"/>
      <c r="H548" s="547"/>
      <c r="I548" s="547"/>
      <c r="J548" s="547"/>
      <c r="K548" s="547"/>
      <c r="L548" s="547"/>
      <c r="M548" s="547"/>
      <c r="N548" s="547"/>
      <c r="O548" s="547"/>
      <c r="P548" s="547"/>
      <c r="Q548" s="547"/>
      <c r="R548" s="547"/>
      <c r="S548" s="547"/>
      <c r="T548" s="547"/>
      <c r="U548" s="547"/>
      <c r="V548" s="547"/>
      <c r="W548" s="547"/>
      <c r="X548" s="547"/>
      <c r="Y548" s="547"/>
      <c r="Z548" s="547"/>
      <c r="AA548" s="547"/>
      <c r="AB548" s="547"/>
      <c r="AC548" s="547"/>
      <c r="AD548" s="547"/>
      <c r="AE548" s="547"/>
      <c r="AF548" s="548"/>
      <c r="AG548" s="547"/>
      <c r="AH548" s="547"/>
      <c r="AI548" s="547"/>
      <c r="AJ548" s="547"/>
      <c r="AK548" s="547"/>
      <c r="AL548" s="547"/>
      <c r="AM548" s="547"/>
      <c r="AN548" s="547"/>
      <c r="AO548" s="547"/>
      <c r="AP548" s="547"/>
      <c r="AQ548" s="547"/>
      <c r="AR548" s="547"/>
      <c r="AS548" s="547"/>
      <c r="AT548" s="547"/>
      <c r="AU548" s="547"/>
      <c r="AV548" s="547"/>
      <c r="AW548" s="547"/>
      <c r="AX548" s="547"/>
      <c r="AY548" s="547"/>
      <c r="AZ548" s="547"/>
      <c r="BA548" s="547"/>
      <c r="BB548" s="547"/>
      <c r="BC548" s="547"/>
      <c r="BD548" s="547"/>
      <c r="BE548" s="548"/>
      <c r="BF548" s="547"/>
      <c r="BG548" s="547"/>
      <c r="BH548" s="547"/>
      <c r="BI548" s="547"/>
      <c r="BJ548" s="36"/>
      <c r="BK548" s="174"/>
      <c r="BL548" s="174"/>
      <c r="BM548" s="7"/>
    </row>
    <row r="549" spans="1:65" ht="15.75" customHeight="1">
      <c r="A549" s="546"/>
      <c r="B549" s="552"/>
      <c r="C549" s="547"/>
      <c r="D549" s="546"/>
      <c r="E549" s="547"/>
      <c r="F549" s="547"/>
      <c r="G549" s="547"/>
      <c r="H549" s="547"/>
      <c r="I549" s="547"/>
      <c r="J549" s="547"/>
      <c r="K549" s="547"/>
      <c r="L549" s="547"/>
      <c r="M549" s="547"/>
      <c r="N549" s="547"/>
      <c r="O549" s="547"/>
      <c r="P549" s="547"/>
      <c r="Q549" s="547"/>
      <c r="R549" s="547"/>
      <c r="S549" s="547"/>
      <c r="T549" s="547"/>
      <c r="U549" s="547"/>
      <c r="V549" s="547"/>
      <c r="W549" s="547"/>
      <c r="X549" s="547"/>
      <c r="Y549" s="547"/>
      <c r="Z549" s="547"/>
      <c r="AA549" s="547"/>
      <c r="AB549" s="547"/>
      <c r="AC549" s="547"/>
      <c r="AD549" s="547"/>
      <c r="AE549" s="547"/>
      <c r="AF549" s="548"/>
      <c r="AG549" s="547"/>
      <c r="AH549" s="547"/>
      <c r="AI549" s="547"/>
      <c r="AJ549" s="547"/>
      <c r="AK549" s="547"/>
      <c r="AL549" s="547"/>
      <c r="AM549" s="547"/>
      <c r="AN549" s="547"/>
      <c r="AO549" s="547"/>
      <c r="AP549" s="547"/>
      <c r="AQ549" s="547"/>
      <c r="AR549" s="547"/>
      <c r="AS549" s="547"/>
      <c r="AT549" s="547"/>
      <c r="AU549" s="547"/>
      <c r="AV549" s="547"/>
      <c r="AW549" s="547"/>
      <c r="AX549" s="547"/>
      <c r="AY549" s="547"/>
      <c r="AZ549" s="547"/>
      <c r="BA549" s="547"/>
      <c r="BB549" s="547"/>
      <c r="BC549" s="547"/>
      <c r="BD549" s="547"/>
      <c r="BE549" s="548"/>
      <c r="BF549" s="547"/>
      <c r="BG549" s="547"/>
      <c r="BH549" s="547"/>
      <c r="BI549" s="547"/>
      <c r="BJ549" s="36"/>
      <c r="BK549" s="174"/>
      <c r="BL549" s="174"/>
      <c r="BM549" s="7"/>
    </row>
    <row r="550" spans="1:65" ht="15.75" customHeight="1">
      <c r="A550" s="546"/>
      <c r="B550" s="552"/>
      <c r="C550" s="547"/>
      <c r="D550" s="546"/>
      <c r="E550" s="547"/>
      <c r="F550" s="547"/>
      <c r="G550" s="547"/>
      <c r="H550" s="547"/>
      <c r="I550" s="547"/>
      <c r="J550" s="547"/>
      <c r="K550" s="547"/>
      <c r="L550" s="547"/>
      <c r="M550" s="547"/>
      <c r="N550" s="547"/>
      <c r="O550" s="547"/>
      <c r="P550" s="547"/>
      <c r="Q550" s="547"/>
      <c r="R550" s="547"/>
      <c r="S550" s="547"/>
      <c r="T550" s="547"/>
      <c r="U550" s="547"/>
      <c r="V550" s="547"/>
      <c r="W550" s="547"/>
      <c r="X550" s="547"/>
      <c r="Y550" s="547"/>
      <c r="Z550" s="547"/>
      <c r="AA550" s="547"/>
      <c r="AB550" s="547"/>
      <c r="AC550" s="547"/>
      <c r="AD550" s="547"/>
      <c r="AE550" s="547"/>
      <c r="AF550" s="548"/>
      <c r="AG550" s="547"/>
      <c r="AH550" s="547"/>
      <c r="AI550" s="547"/>
      <c r="AJ550" s="547"/>
      <c r="AK550" s="547"/>
      <c r="AL550" s="547"/>
      <c r="AM550" s="547"/>
      <c r="AN550" s="547"/>
      <c r="AO550" s="547"/>
      <c r="AP550" s="547"/>
      <c r="AQ550" s="547"/>
      <c r="AR550" s="547"/>
      <c r="AS550" s="547"/>
      <c r="AT550" s="547"/>
      <c r="AU550" s="547"/>
      <c r="AV550" s="547"/>
      <c r="AW550" s="547"/>
      <c r="AX550" s="547"/>
      <c r="AY550" s="547"/>
      <c r="AZ550" s="547"/>
      <c r="BA550" s="547"/>
      <c r="BB550" s="547"/>
      <c r="BC550" s="547"/>
      <c r="BD550" s="547"/>
      <c r="BE550" s="548"/>
      <c r="BF550" s="547"/>
      <c r="BG550" s="547"/>
      <c r="BH550" s="547"/>
      <c r="BI550" s="547"/>
      <c r="BJ550" s="36"/>
      <c r="BK550" s="174"/>
      <c r="BL550" s="174"/>
      <c r="BM550" s="7"/>
    </row>
    <row r="551" spans="1:65" ht="15.75" customHeight="1">
      <c r="A551" s="546"/>
      <c r="B551" s="552"/>
      <c r="C551" s="547"/>
      <c r="D551" s="546"/>
      <c r="E551" s="547"/>
      <c r="F551" s="547"/>
      <c r="G551" s="547"/>
      <c r="H551" s="547"/>
      <c r="I551" s="547"/>
      <c r="J551" s="547"/>
      <c r="K551" s="547"/>
      <c r="L551" s="547"/>
      <c r="M551" s="547"/>
      <c r="N551" s="547"/>
      <c r="O551" s="547"/>
      <c r="P551" s="547"/>
      <c r="Q551" s="547"/>
      <c r="R551" s="547"/>
      <c r="S551" s="547"/>
      <c r="T551" s="547"/>
      <c r="U551" s="547"/>
      <c r="V551" s="547"/>
      <c r="W551" s="547"/>
      <c r="X551" s="547"/>
      <c r="Y551" s="547"/>
      <c r="Z551" s="547"/>
      <c r="AA551" s="547"/>
      <c r="AB551" s="547"/>
      <c r="AC551" s="547"/>
      <c r="AD551" s="547"/>
      <c r="AE551" s="547"/>
      <c r="AF551" s="548"/>
      <c r="AG551" s="547"/>
      <c r="AH551" s="547"/>
      <c r="AI551" s="547"/>
      <c r="AJ551" s="547"/>
      <c r="AK551" s="547"/>
      <c r="AL551" s="547"/>
      <c r="AM551" s="547"/>
      <c r="AN551" s="547"/>
      <c r="AO551" s="547"/>
      <c r="AP551" s="547"/>
      <c r="AQ551" s="547"/>
      <c r="AR551" s="547"/>
      <c r="AS551" s="547"/>
      <c r="AT551" s="547"/>
      <c r="AU551" s="547"/>
      <c r="AV551" s="547"/>
      <c r="AW551" s="547"/>
      <c r="AX551" s="547"/>
      <c r="AY551" s="547"/>
      <c r="AZ551" s="547"/>
      <c r="BA551" s="547"/>
      <c r="BB551" s="547"/>
      <c r="BC551" s="547"/>
      <c r="BD551" s="547"/>
      <c r="BE551" s="548"/>
      <c r="BF551" s="547"/>
      <c r="BG551" s="547"/>
      <c r="BH551" s="547"/>
      <c r="BI551" s="547"/>
      <c r="BJ551" s="36"/>
      <c r="BK551" s="174"/>
      <c r="BL551" s="174"/>
      <c r="BM551" s="7"/>
    </row>
    <row r="552" spans="1:65" ht="15.75" customHeight="1">
      <c r="A552" s="546"/>
      <c r="B552" s="552"/>
      <c r="C552" s="547"/>
      <c r="D552" s="546"/>
      <c r="E552" s="547"/>
      <c r="F552" s="547"/>
      <c r="G552" s="547"/>
      <c r="H552" s="547"/>
      <c r="I552" s="547"/>
      <c r="J552" s="547"/>
      <c r="K552" s="547"/>
      <c r="L552" s="547"/>
      <c r="M552" s="547"/>
      <c r="N552" s="547"/>
      <c r="O552" s="547"/>
      <c r="P552" s="547"/>
      <c r="Q552" s="547"/>
      <c r="R552" s="547"/>
      <c r="S552" s="547"/>
      <c r="T552" s="547"/>
      <c r="U552" s="547"/>
      <c r="V552" s="547"/>
      <c r="W552" s="547"/>
      <c r="X552" s="547"/>
      <c r="Y552" s="547"/>
      <c r="Z552" s="547"/>
      <c r="AA552" s="547"/>
      <c r="AB552" s="547"/>
      <c r="AC552" s="547"/>
      <c r="AD552" s="547"/>
      <c r="AE552" s="547"/>
      <c r="AF552" s="548"/>
      <c r="AG552" s="547"/>
      <c r="AH552" s="547"/>
      <c r="AI552" s="547"/>
      <c r="AJ552" s="547"/>
      <c r="AK552" s="547"/>
      <c r="AL552" s="547"/>
      <c r="AM552" s="547"/>
      <c r="AN552" s="547"/>
      <c r="AO552" s="547"/>
      <c r="AP552" s="547"/>
      <c r="AQ552" s="547"/>
      <c r="AR552" s="547"/>
      <c r="AS552" s="547"/>
      <c r="AT552" s="547"/>
      <c r="AU552" s="547"/>
      <c r="AV552" s="547"/>
      <c r="AW552" s="547"/>
      <c r="AX552" s="547"/>
      <c r="AY552" s="547"/>
      <c r="AZ552" s="547"/>
      <c r="BA552" s="547"/>
      <c r="BB552" s="547"/>
      <c r="BC552" s="547"/>
      <c r="BD552" s="547"/>
      <c r="BE552" s="548"/>
      <c r="BF552" s="547"/>
      <c r="BG552" s="547"/>
      <c r="BH552" s="547"/>
      <c r="BI552" s="547"/>
      <c r="BJ552" s="36"/>
      <c r="BK552" s="174"/>
      <c r="BL552" s="174"/>
      <c r="BM552" s="7"/>
    </row>
    <row r="553" spans="1:65" ht="15.75" customHeight="1">
      <c r="A553" s="546"/>
      <c r="B553" s="552"/>
      <c r="C553" s="547"/>
      <c r="D553" s="546"/>
      <c r="E553" s="547"/>
      <c r="F553" s="547"/>
      <c r="G553" s="547"/>
      <c r="H553" s="547"/>
      <c r="I553" s="547"/>
      <c r="J553" s="547"/>
      <c r="K553" s="547"/>
      <c r="L553" s="547"/>
      <c r="M553" s="547"/>
      <c r="N553" s="547"/>
      <c r="O553" s="547"/>
      <c r="P553" s="547"/>
      <c r="Q553" s="547"/>
      <c r="R553" s="547"/>
      <c r="S553" s="547"/>
      <c r="T553" s="547"/>
      <c r="U553" s="547"/>
      <c r="V553" s="547"/>
      <c r="W553" s="547"/>
      <c r="X553" s="547"/>
      <c r="Y553" s="547"/>
      <c r="Z553" s="547"/>
      <c r="AA553" s="547"/>
      <c r="AB553" s="547"/>
      <c r="AC553" s="547"/>
      <c r="AD553" s="547"/>
      <c r="AE553" s="547"/>
      <c r="AF553" s="548"/>
      <c r="AG553" s="547"/>
      <c r="AH553" s="547"/>
      <c r="AI553" s="547"/>
      <c r="AJ553" s="547"/>
      <c r="AK553" s="547"/>
      <c r="AL553" s="547"/>
      <c r="AM553" s="547"/>
      <c r="AN553" s="547"/>
      <c r="AO553" s="547"/>
      <c r="AP553" s="547"/>
      <c r="AQ553" s="547"/>
      <c r="AR553" s="547"/>
      <c r="AS553" s="547"/>
      <c r="AT553" s="547"/>
      <c r="AU553" s="547"/>
      <c r="AV553" s="547"/>
      <c r="AW553" s="547"/>
      <c r="AX553" s="547"/>
      <c r="AY553" s="547"/>
      <c r="AZ553" s="547"/>
      <c r="BA553" s="547"/>
      <c r="BB553" s="547"/>
      <c r="BC553" s="547"/>
      <c r="BD553" s="547"/>
      <c r="BE553" s="548"/>
      <c r="BF553" s="547"/>
      <c r="BG553" s="547"/>
      <c r="BH553" s="547"/>
      <c r="BI553" s="547"/>
      <c r="BJ553" s="36"/>
      <c r="BK553" s="174"/>
      <c r="BL553" s="174"/>
      <c r="BM553" s="7"/>
    </row>
    <row r="554" spans="1:65" ht="15.75" customHeight="1">
      <c r="A554" s="546"/>
      <c r="B554" s="552"/>
      <c r="C554" s="547"/>
      <c r="D554" s="546"/>
      <c r="E554" s="547"/>
      <c r="F554" s="547"/>
      <c r="G554" s="547"/>
      <c r="H554" s="547"/>
      <c r="I554" s="547"/>
      <c r="J554" s="547"/>
      <c r="K554" s="547"/>
      <c r="L554" s="547"/>
      <c r="M554" s="547"/>
      <c r="N554" s="547"/>
      <c r="O554" s="547"/>
      <c r="P554" s="547"/>
      <c r="Q554" s="547"/>
      <c r="R554" s="547"/>
      <c r="S554" s="547"/>
      <c r="T554" s="547"/>
      <c r="U554" s="547"/>
      <c r="V554" s="547"/>
      <c r="W554" s="547"/>
      <c r="X554" s="547"/>
      <c r="Y554" s="547"/>
      <c r="Z554" s="547"/>
      <c r="AA554" s="547"/>
      <c r="AB554" s="547"/>
      <c r="AC554" s="547"/>
      <c r="AD554" s="547"/>
      <c r="AE554" s="547"/>
      <c r="AF554" s="548"/>
      <c r="AG554" s="547"/>
      <c r="AH554" s="547"/>
      <c r="AI554" s="547"/>
      <c r="AJ554" s="547"/>
      <c r="AK554" s="547"/>
      <c r="AL554" s="547"/>
      <c r="AM554" s="547"/>
      <c r="AN554" s="547"/>
      <c r="AO554" s="547"/>
      <c r="AP554" s="547"/>
      <c r="AQ554" s="547"/>
      <c r="AR554" s="547"/>
      <c r="AS554" s="547"/>
      <c r="AT554" s="547"/>
      <c r="AU554" s="547"/>
      <c r="AV554" s="547"/>
      <c r="AW554" s="547"/>
      <c r="AX554" s="547"/>
      <c r="AY554" s="547"/>
      <c r="AZ554" s="547"/>
      <c r="BA554" s="547"/>
      <c r="BB554" s="547"/>
      <c r="BC554" s="547"/>
      <c r="BD554" s="547"/>
      <c r="BE554" s="548"/>
      <c r="BF554" s="547"/>
      <c r="BG554" s="547"/>
      <c r="BH554" s="547"/>
      <c r="BI554" s="547"/>
      <c r="BJ554" s="36"/>
      <c r="BK554" s="174"/>
      <c r="BL554" s="174"/>
      <c r="BM554" s="7"/>
    </row>
    <row r="555" spans="1:65" ht="15.75" customHeight="1">
      <c r="A555" s="546"/>
      <c r="B555" s="552"/>
      <c r="C555" s="547"/>
      <c r="D555" s="546"/>
      <c r="E555" s="547"/>
      <c r="F555" s="547"/>
      <c r="G555" s="547"/>
      <c r="H555" s="547"/>
      <c r="I555" s="547"/>
      <c r="J555" s="547"/>
      <c r="K555" s="547"/>
      <c r="L555" s="547"/>
      <c r="M555" s="547"/>
      <c r="N555" s="547"/>
      <c r="O555" s="547"/>
      <c r="P555" s="547"/>
      <c r="Q555" s="547"/>
      <c r="R555" s="547"/>
      <c r="S555" s="547"/>
      <c r="T555" s="547"/>
      <c r="U555" s="547"/>
      <c r="V555" s="547"/>
      <c r="W555" s="547"/>
      <c r="X555" s="547"/>
      <c r="Y555" s="547"/>
      <c r="Z555" s="547"/>
      <c r="AA555" s="547"/>
      <c r="AB555" s="547"/>
      <c r="AC555" s="547"/>
      <c r="AD555" s="547"/>
      <c r="AE555" s="547"/>
      <c r="AF555" s="548"/>
      <c r="AG555" s="547"/>
      <c r="AH555" s="547"/>
      <c r="AI555" s="547"/>
      <c r="AJ555" s="547"/>
      <c r="AK555" s="547"/>
      <c r="AL555" s="547"/>
      <c r="AM555" s="547"/>
      <c r="AN555" s="547"/>
      <c r="AO555" s="547"/>
      <c r="AP555" s="547"/>
      <c r="AQ555" s="547"/>
      <c r="AR555" s="547"/>
      <c r="AS555" s="547"/>
      <c r="AT555" s="547"/>
      <c r="AU555" s="547"/>
      <c r="AV555" s="547"/>
      <c r="AW555" s="547"/>
      <c r="AX555" s="547"/>
      <c r="AY555" s="547"/>
      <c r="AZ555" s="547"/>
      <c r="BA555" s="547"/>
      <c r="BB555" s="547"/>
      <c r="BC555" s="547"/>
      <c r="BD555" s="547"/>
      <c r="BE555" s="548"/>
      <c r="BF555" s="547"/>
      <c r="BG555" s="547"/>
      <c r="BH555" s="547"/>
      <c r="BI555" s="547"/>
      <c r="BJ555" s="36"/>
      <c r="BK555" s="174"/>
      <c r="BL555" s="174"/>
      <c r="BM555" s="7"/>
    </row>
    <row r="556" spans="1:65" ht="15.75" customHeight="1">
      <c r="A556" s="546"/>
      <c r="B556" s="552"/>
      <c r="C556" s="547"/>
      <c r="D556" s="546"/>
      <c r="E556" s="547"/>
      <c r="F556" s="547"/>
      <c r="G556" s="547"/>
      <c r="H556" s="547"/>
      <c r="I556" s="547"/>
      <c r="J556" s="547"/>
      <c r="K556" s="547"/>
      <c r="L556" s="547"/>
      <c r="M556" s="547"/>
      <c r="N556" s="547"/>
      <c r="O556" s="547"/>
      <c r="P556" s="547"/>
      <c r="Q556" s="547"/>
      <c r="R556" s="547"/>
      <c r="S556" s="547"/>
      <c r="T556" s="547"/>
      <c r="U556" s="547"/>
      <c r="V556" s="547"/>
      <c r="W556" s="547"/>
      <c r="X556" s="547"/>
      <c r="Y556" s="547"/>
      <c r="Z556" s="547"/>
      <c r="AA556" s="547"/>
      <c r="AB556" s="547"/>
      <c r="AC556" s="547"/>
      <c r="AD556" s="547"/>
      <c r="AE556" s="547"/>
      <c r="AF556" s="548"/>
      <c r="AG556" s="547"/>
      <c r="AH556" s="547"/>
      <c r="AI556" s="547"/>
      <c r="AJ556" s="547"/>
      <c r="AK556" s="547"/>
      <c r="AL556" s="547"/>
      <c r="AM556" s="547"/>
      <c r="AN556" s="547"/>
      <c r="AO556" s="547"/>
      <c r="AP556" s="547"/>
      <c r="AQ556" s="547"/>
      <c r="AR556" s="547"/>
      <c r="AS556" s="547"/>
      <c r="AT556" s="547"/>
      <c r="AU556" s="547"/>
      <c r="AV556" s="547"/>
      <c r="AW556" s="547"/>
      <c r="AX556" s="547"/>
      <c r="AY556" s="547"/>
      <c r="AZ556" s="547"/>
      <c r="BA556" s="547"/>
      <c r="BB556" s="547"/>
      <c r="BC556" s="547"/>
      <c r="BD556" s="547"/>
      <c r="BE556" s="548"/>
      <c r="BF556" s="547"/>
      <c r="BG556" s="547"/>
      <c r="BH556" s="547"/>
      <c r="BI556" s="547"/>
      <c r="BJ556" s="36"/>
      <c r="BK556" s="174"/>
      <c r="BL556" s="174"/>
      <c r="BM556" s="7"/>
    </row>
    <row r="557" spans="1:65" ht="15.75" customHeight="1">
      <c r="A557" s="546"/>
      <c r="B557" s="552"/>
      <c r="C557" s="547"/>
      <c r="D557" s="546"/>
      <c r="E557" s="547"/>
      <c r="F557" s="547"/>
      <c r="G557" s="547"/>
      <c r="H557" s="547"/>
      <c r="I557" s="547"/>
      <c r="J557" s="547"/>
      <c r="K557" s="547"/>
      <c r="L557" s="547"/>
      <c r="M557" s="547"/>
      <c r="N557" s="547"/>
      <c r="O557" s="547"/>
      <c r="P557" s="547"/>
      <c r="Q557" s="547"/>
      <c r="R557" s="547"/>
      <c r="S557" s="547"/>
      <c r="T557" s="547"/>
      <c r="U557" s="547"/>
      <c r="V557" s="547"/>
      <c r="W557" s="547"/>
      <c r="X557" s="547"/>
      <c r="Y557" s="547"/>
      <c r="Z557" s="547"/>
      <c r="AA557" s="547"/>
      <c r="AB557" s="547"/>
      <c r="AC557" s="547"/>
      <c r="AD557" s="547"/>
      <c r="AE557" s="547"/>
      <c r="AF557" s="548"/>
      <c r="AG557" s="547"/>
      <c r="AH557" s="547"/>
      <c r="AI557" s="547"/>
      <c r="AJ557" s="547"/>
      <c r="AK557" s="547"/>
      <c r="AL557" s="547"/>
      <c r="AM557" s="547"/>
      <c r="AN557" s="547"/>
      <c r="AO557" s="547"/>
      <c r="AP557" s="547"/>
      <c r="AQ557" s="547"/>
      <c r="AR557" s="547"/>
      <c r="AS557" s="547"/>
      <c r="AT557" s="547"/>
      <c r="AU557" s="547"/>
      <c r="AV557" s="547"/>
      <c r="AW557" s="547"/>
      <c r="AX557" s="547"/>
      <c r="AY557" s="547"/>
      <c r="AZ557" s="547"/>
      <c r="BA557" s="547"/>
      <c r="BB557" s="547"/>
      <c r="BC557" s="547"/>
      <c r="BD557" s="547"/>
      <c r="BE557" s="548"/>
      <c r="BF557" s="547"/>
      <c r="BG557" s="547"/>
      <c r="BH557" s="547"/>
      <c r="BI557" s="547"/>
      <c r="BJ557" s="36"/>
      <c r="BK557" s="174"/>
      <c r="BL557" s="174"/>
      <c r="BM557" s="7"/>
    </row>
    <row r="558" spans="1:65" ht="15.75" customHeight="1">
      <c r="A558" s="546"/>
      <c r="B558" s="552"/>
      <c r="C558" s="547"/>
      <c r="D558" s="546"/>
      <c r="E558" s="547"/>
      <c r="F558" s="547"/>
      <c r="G558" s="547"/>
      <c r="H558" s="547"/>
      <c r="I558" s="547"/>
      <c r="J558" s="547"/>
      <c r="K558" s="547"/>
      <c r="L558" s="547"/>
      <c r="M558" s="547"/>
      <c r="N558" s="547"/>
      <c r="O558" s="547"/>
      <c r="P558" s="547"/>
      <c r="Q558" s="547"/>
      <c r="R558" s="547"/>
      <c r="S558" s="547"/>
      <c r="T558" s="547"/>
      <c r="U558" s="547"/>
      <c r="V558" s="547"/>
      <c r="W558" s="547"/>
      <c r="X558" s="547"/>
      <c r="Y558" s="547"/>
      <c r="Z558" s="547"/>
      <c r="AA558" s="547"/>
      <c r="AB558" s="547"/>
      <c r="AC558" s="547"/>
      <c r="AD558" s="547"/>
      <c r="AE558" s="547"/>
      <c r="AF558" s="548"/>
      <c r="AG558" s="547"/>
      <c r="AH558" s="547"/>
      <c r="AI558" s="547"/>
      <c r="AJ558" s="547"/>
      <c r="AK558" s="547"/>
      <c r="AL558" s="547"/>
      <c r="AM558" s="547"/>
      <c r="AN558" s="547"/>
      <c r="AO558" s="547"/>
      <c r="AP558" s="547"/>
      <c r="AQ558" s="547"/>
      <c r="AR558" s="547"/>
      <c r="AS558" s="547"/>
      <c r="AT558" s="547"/>
      <c r="AU558" s="547"/>
      <c r="AV558" s="547"/>
      <c r="AW558" s="547"/>
      <c r="AX558" s="547"/>
      <c r="AY558" s="547"/>
      <c r="AZ558" s="547"/>
      <c r="BA558" s="547"/>
      <c r="BB558" s="547"/>
      <c r="BC558" s="547"/>
      <c r="BD558" s="547"/>
      <c r="BE558" s="548"/>
      <c r="BF558" s="547"/>
      <c r="BG558" s="547"/>
      <c r="BH558" s="547"/>
      <c r="BI558" s="547"/>
      <c r="BJ558" s="36"/>
      <c r="BK558" s="174"/>
      <c r="BL558" s="174"/>
      <c r="BM558" s="7"/>
    </row>
    <row r="559" spans="1:65" ht="15.75" customHeight="1">
      <c r="A559" s="546"/>
      <c r="B559" s="552"/>
      <c r="C559" s="547"/>
      <c r="D559" s="546"/>
      <c r="E559" s="547"/>
      <c r="F559" s="547"/>
      <c r="G559" s="547"/>
      <c r="H559" s="547"/>
      <c r="I559" s="547"/>
      <c r="J559" s="547"/>
      <c r="K559" s="547"/>
      <c r="L559" s="547"/>
      <c r="M559" s="547"/>
      <c r="N559" s="547"/>
      <c r="O559" s="547"/>
      <c r="P559" s="547"/>
      <c r="Q559" s="547"/>
      <c r="R559" s="547"/>
      <c r="S559" s="547"/>
      <c r="T559" s="547"/>
      <c r="U559" s="547"/>
      <c r="V559" s="547"/>
      <c r="W559" s="547"/>
      <c r="X559" s="547"/>
      <c r="Y559" s="547"/>
      <c r="Z559" s="547"/>
      <c r="AA559" s="547"/>
      <c r="AB559" s="547"/>
      <c r="AC559" s="547"/>
      <c r="AD559" s="547"/>
      <c r="AE559" s="547"/>
      <c r="AF559" s="548"/>
      <c r="AG559" s="547"/>
      <c r="AH559" s="547"/>
      <c r="AI559" s="547"/>
      <c r="AJ559" s="547"/>
      <c r="AK559" s="547"/>
      <c r="AL559" s="547"/>
      <c r="AM559" s="547"/>
      <c r="AN559" s="547"/>
      <c r="AO559" s="547"/>
      <c r="AP559" s="547"/>
      <c r="AQ559" s="547"/>
      <c r="AR559" s="547"/>
      <c r="AS559" s="547"/>
      <c r="AT559" s="547"/>
      <c r="AU559" s="547"/>
      <c r="AV559" s="547"/>
      <c r="AW559" s="547"/>
      <c r="AX559" s="547"/>
      <c r="AY559" s="547"/>
      <c r="AZ559" s="547"/>
      <c r="BA559" s="547"/>
      <c r="BB559" s="547"/>
      <c r="BC559" s="547"/>
      <c r="BD559" s="547"/>
      <c r="BE559" s="548"/>
      <c r="BF559" s="547"/>
      <c r="BG559" s="547"/>
      <c r="BH559" s="547"/>
      <c r="BI559" s="547"/>
      <c r="BJ559" s="36"/>
      <c r="BK559" s="174"/>
      <c r="BL559" s="174"/>
      <c r="BM559" s="7"/>
    </row>
    <row r="560" spans="1:65" ht="15.75" customHeight="1">
      <c r="A560" s="546"/>
      <c r="B560" s="552"/>
      <c r="C560" s="547"/>
      <c r="D560" s="546"/>
      <c r="E560" s="547"/>
      <c r="F560" s="547"/>
      <c r="G560" s="547"/>
      <c r="H560" s="547"/>
      <c r="I560" s="547"/>
      <c r="J560" s="547"/>
      <c r="K560" s="547"/>
      <c r="L560" s="547"/>
      <c r="M560" s="547"/>
      <c r="N560" s="547"/>
      <c r="O560" s="547"/>
      <c r="P560" s="547"/>
      <c r="Q560" s="547"/>
      <c r="R560" s="547"/>
      <c r="S560" s="547"/>
      <c r="T560" s="547"/>
      <c r="U560" s="547"/>
      <c r="V560" s="547"/>
      <c r="W560" s="547"/>
      <c r="X560" s="547"/>
      <c r="Y560" s="547"/>
      <c r="Z560" s="547"/>
      <c r="AA560" s="547"/>
      <c r="AB560" s="547"/>
      <c r="AC560" s="547"/>
      <c r="AD560" s="547"/>
      <c r="AE560" s="547"/>
      <c r="AF560" s="548"/>
      <c r="AG560" s="547"/>
      <c r="AH560" s="547"/>
      <c r="AI560" s="547"/>
      <c r="AJ560" s="547"/>
      <c r="AK560" s="547"/>
      <c r="AL560" s="547"/>
      <c r="AM560" s="547"/>
      <c r="AN560" s="547"/>
      <c r="AO560" s="547"/>
      <c r="AP560" s="547"/>
      <c r="AQ560" s="547"/>
      <c r="AR560" s="547"/>
      <c r="AS560" s="547"/>
      <c r="AT560" s="547"/>
      <c r="AU560" s="547"/>
      <c r="AV560" s="547"/>
      <c r="AW560" s="547"/>
      <c r="AX560" s="547"/>
      <c r="AY560" s="547"/>
      <c r="AZ560" s="547"/>
      <c r="BA560" s="547"/>
      <c r="BB560" s="547"/>
      <c r="BC560" s="547"/>
      <c r="BD560" s="547"/>
      <c r="BE560" s="548"/>
      <c r="BF560" s="547"/>
      <c r="BG560" s="547"/>
      <c r="BH560" s="547"/>
      <c r="BI560" s="547"/>
      <c r="BJ560" s="36"/>
      <c r="BK560" s="174"/>
      <c r="BL560" s="174"/>
      <c r="BM560" s="7"/>
    </row>
    <row r="561" spans="1:65" ht="15.75" customHeight="1">
      <c r="A561" s="546"/>
      <c r="B561" s="552"/>
      <c r="C561" s="547"/>
      <c r="D561" s="546"/>
      <c r="E561" s="547"/>
      <c r="F561" s="547"/>
      <c r="G561" s="547"/>
      <c r="H561" s="547"/>
      <c r="I561" s="547"/>
      <c r="J561" s="547"/>
      <c r="K561" s="547"/>
      <c r="L561" s="547"/>
      <c r="M561" s="547"/>
      <c r="N561" s="547"/>
      <c r="O561" s="547"/>
      <c r="P561" s="547"/>
      <c r="Q561" s="547"/>
      <c r="R561" s="547"/>
      <c r="S561" s="547"/>
      <c r="T561" s="547"/>
      <c r="U561" s="547"/>
      <c r="V561" s="547"/>
      <c r="W561" s="547"/>
      <c r="X561" s="547"/>
      <c r="Y561" s="547"/>
      <c r="Z561" s="547"/>
      <c r="AA561" s="547"/>
      <c r="AB561" s="547"/>
      <c r="AC561" s="547"/>
      <c r="AD561" s="547"/>
      <c r="AE561" s="547"/>
      <c r="AF561" s="548"/>
      <c r="AG561" s="547"/>
      <c r="AH561" s="547"/>
      <c r="AI561" s="547"/>
      <c r="AJ561" s="547"/>
      <c r="AK561" s="547"/>
      <c r="AL561" s="547"/>
      <c r="AM561" s="547"/>
      <c r="AN561" s="547"/>
      <c r="AO561" s="547"/>
      <c r="AP561" s="547"/>
      <c r="AQ561" s="547"/>
      <c r="AR561" s="547"/>
      <c r="AS561" s="547"/>
      <c r="AT561" s="547"/>
      <c r="AU561" s="547"/>
      <c r="AV561" s="547"/>
      <c r="AW561" s="547"/>
      <c r="AX561" s="547"/>
      <c r="AY561" s="547"/>
      <c r="AZ561" s="547"/>
      <c r="BA561" s="547"/>
      <c r="BB561" s="547"/>
      <c r="BC561" s="547"/>
      <c r="BD561" s="547"/>
      <c r="BE561" s="548"/>
      <c r="BF561" s="547"/>
      <c r="BG561" s="547"/>
      <c r="BH561" s="547"/>
      <c r="BI561" s="547"/>
      <c r="BJ561" s="36"/>
      <c r="BK561" s="174"/>
      <c r="BL561" s="174"/>
      <c r="BM561" s="7"/>
    </row>
    <row r="562" spans="1:65" ht="15.75" customHeight="1">
      <c r="A562" s="546"/>
      <c r="B562" s="552"/>
      <c r="C562" s="547"/>
      <c r="D562" s="546"/>
      <c r="E562" s="547"/>
      <c r="F562" s="547"/>
      <c r="G562" s="547"/>
      <c r="H562" s="547"/>
      <c r="I562" s="547"/>
      <c r="J562" s="547"/>
      <c r="K562" s="547"/>
      <c r="L562" s="547"/>
      <c r="M562" s="547"/>
      <c r="N562" s="547"/>
      <c r="O562" s="547"/>
      <c r="P562" s="547"/>
      <c r="Q562" s="547"/>
      <c r="R562" s="547"/>
      <c r="S562" s="547"/>
      <c r="T562" s="547"/>
      <c r="U562" s="547"/>
      <c r="V562" s="547"/>
      <c r="W562" s="547"/>
      <c r="X562" s="547"/>
      <c r="Y562" s="547"/>
      <c r="Z562" s="547"/>
      <c r="AA562" s="547"/>
      <c r="AB562" s="547"/>
      <c r="AC562" s="547"/>
      <c r="AD562" s="547"/>
      <c r="AE562" s="547"/>
      <c r="AF562" s="548"/>
      <c r="AG562" s="547"/>
      <c r="AH562" s="547"/>
      <c r="AI562" s="547"/>
      <c r="AJ562" s="547"/>
      <c r="AK562" s="547"/>
      <c r="AL562" s="547"/>
      <c r="AM562" s="547"/>
      <c r="AN562" s="547"/>
      <c r="AO562" s="547"/>
      <c r="AP562" s="547"/>
      <c r="AQ562" s="547"/>
      <c r="AR562" s="547"/>
      <c r="AS562" s="547"/>
      <c r="AT562" s="547"/>
      <c r="AU562" s="547"/>
      <c r="AV562" s="547"/>
      <c r="AW562" s="547"/>
      <c r="AX562" s="547"/>
      <c r="AY562" s="547"/>
      <c r="AZ562" s="547"/>
      <c r="BA562" s="547"/>
      <c r="BB562" s="547"/>
      <c r="BC562" s="547"/>
      <c r="BD562" s="547"/>
      <c r="BE562" s="548"/>
      <c r="BF562" s="547"/>
      <c r="BG562" s="547"/>
      <c r="BH562" s="547"/>
      <c r="BI562" s="547"/>
      <c r="BJ562" s="36"/>
      <c r="BK562" s="174"/>
      <c r="BL562" s="174"/>
      <c r="BM562" s="7"/>
    </row>
    <row r="563" spans="1:65" ht="15.75" customHeight="1">
      <c r="A563" s="546"/>
      <c r="B563" s="552"/>
      <c r="C563" s="547"/>
      <c r="D563" s="546"/>
      <c r="E563" s="547"/>
      <c r="F563" s="547"/>
      <c r="G563" s="547"/>
      <c r="H563" s="547"/>
      <c r="I563" s="547"/>
      <c r="J563" s="547"/>
      <c r="K563" s="547"/>
      <c r="L563" s="547"/>
      <c r="M563" s="547"/>
      <c r="N563" s="547"/>
      <c r="O563" s="547"/>
      <c r="P563" s="547"/>
      <c r="Q563" s="547"/>
      <c r="R563" s="547"/>
      <c r="S563" s="547"/>
      <c r="T563" s="547"/>
      <c r="U563" s="547"/>
      <c r="V563" s="547"/>
      <c r="W563" s="547"/>
      <c r="X563" s="547"/>
      <c r="Y563" s="547"/>
      <c r="Z563" s="547"/>
      <c r="AA563" s="547"/>
      <c r="AB563" s="547"/>
      <c r="AC563" s="547"/>
      <c r="AD563" s="547"/>
      <c r="AE563" s="547"/>
      <c r="AF563" s="548"/>
      <c r="AG563" s="547"/>
      <c r="AH563" s="547"/>
      <c r="AI563" s="547"/>
      <c r="AJ563" s="547"/>
      <c r="AK563" s="547"/>
      <c r="AL563" s="547"/>
      <c r="AM563" s="547"/>
      <c r="AN563" s="547"/>
      <c r="AO563" s="547"/>
      <c r="AP563" s="547"/>
      <c r="AQ563" s="547"/>
      <c r="AR563" s="547"/>
      <c r="AS563" s="547"/>
      <c r="AT563" s="547"/>
      <c r="AU563" s="547"/>
      <c r="AV563" s="547"/>
      <c r="AW563" s="547"/>
      <c r="AX563" s="547"/>
      <c r="AY563" s="547"/>
      <c r="AZ563" s="547"/>
      <c r="BA563" s="547"/>
      <c r="BB563" s="547"/>
      <c r="BC563" s="547"/>
      <c r="BD563" s="547"/>
      <c r="BE563" s="548"/>
      <c r="BF563" s="547"/>
      <c r="BG563" s="547"/>
      <c r="BH563" s="547"/>
      <c r="BI563" s="547"/>
      <c r="BJ563" s="36"/>
      <c r="BK563" s="174"/>
      <c r="BL563" s="174"/>
      <c r="BM563" s="7"/>
    </row>
    <row r="564" spans="1:65" ht="15.75" customHeight="1">
      <c r="A564" s="546"/>
      <c r="B564" s="552"/>
      <c r="C564" s="547"/>
      <c r="D564" s="546"/>
      <c r="E564" s="547"/>
      <c r="F564" s="547"/>
      <c r="G564" s="547"/>
      <c r="H564" s="547"/>
      <c r="I564" s="547"/>
      <c r="J564" s="547"/>
      <c r="K564" s="547"/>
      <c r="L564" s="547"/>
      <c r="M564" s="547"/>
      <c r="N564" s="547"/>
      <c r="O564" s="547"/>
      <c r="P564" s="547"/>
      <c r="Q564" s="547"/>
      <c r="R564" s="547"/>
      <c r="S564" s="547"/>
      <c r="T564" s="547"/>
      <c r="U564" s="547"/>
      <c r="V564" s="547"/>
      <c r="W564" s="547"/>
      <c r="X564" s="547"/>
      <c r="Y564" s="547"/>
      <c r="Z564" s="547"/>
      <c r="AA564" s="547"/>
      <c r="AB564" s="547"/>
      <c r="AC564" s="547"/>
      <c r="AD564" s="547"/>
      <c r="AE564" s="547"/>
      <c r="AF564" s="548"/>
      <c r="AG564" s="547"/>
      <c r="AH564" s="547"/>
      <c r="AI564" s="547"/>
      <c r="AJ564" s="547"/>
      <c r="AK564" s="547"/>
      <c r="AL564" s="547"/>
      <c r="AM564" s="547"/>
      <c r="AN564" s="547"/>
      <c r="AO564" s="547"/>
      <c r="AP564" s="547"/>
      <c r="AQ564" s="547"/>
      <c r="AR564" s="547"/>
      <c r="AS564" s="547"/>
      <c r="AT564" s="547"/>
      <c r="AU564" s="547"/>
      <c r="AV564" s="547"/>
      <c r="AW564" s="547"/>
      <c r="AX564" s="547"/>
      <c r="AY564" s="547"/>
      <c r="AZ564" s="547"/>
      <c r="BA564" s="547"/>
      <c r="BB564" s="547"/>
      <c r="BC564" s="547"/>
      <c r="BD564" s="547"/>
      <c r="BE564" s="548"/>
      <c r="BF564" s="547"/>
      <c r="BG564" s="547"/>
      <c r="BH564" s="547"/>
      <c r="BI564" s="547"/>
      <c r="BJ564" s="36"/>
      <c r="BK564" s="174"/>
      <c r="BL564" s="174"/>
      <c r="BM564" s="7"/>
    </row>
    <row r="565" spans="1:65" ht="15.75" customHeight="1">
      <c r="A565" s="546"/>
      <c r="B565" s="552"/>
      <c r="C565" s="547"/>
      <c r="D565" s="546"/>
      <c r="E565" s="547"/>
      <c r="F565" s="547"/>
      <c r="G565" s="547"/>
      <c r="H565" s="547"/>
      <c r="I565" s="547"/>
      <c r="J565" s="547"/>
      <c r="K565" s="547"/>
      <c r="L565" s="547"/>
      <c r="M565" s="547"/>
      <c r="N565" s="547"/>
      <c r="O565" s="547"/>
      <c r="P565" s="547"/>
      <c r="Q565" s="547"/>
      <c r="R565" s="547"/>
      <c r="S565" s="547"/>
      <c r="T565" s="547"/>
      <c r="U565" s="547"/>
      <c r="V565" s="547"/>
      <c r="W565" s="547"/>
      <c r="X565" s="547"/>
      <c r="Y565" s="547"/>
      <c r="Z565" s="547"/>
      <c r="AA565" s="547"/>
      <c r="AB565" s="547"/>
      <c r="AC565" s="547"/>
      <c r="AD565" s="547"/>
      <c r="AE565" s="547"/>
      <c r="AF565" s="548"/>
      <c r="AG565" s="547"/>
      <c r="AH565" s="547"/>
      <c r="AI565" s="547"/>
      <c r="AJ565" s="547"/>
      <c r="AK565" s="547"/>
      <c r="AL565" s="547"/>
      <c r="AM565" s="547"/>
      <c r="AN565" s="547"/>
      <c r="AO565" s="547"/>
      <c r="AP565" s="547"/>
      <c r="AQ565" s="547"/>
      <c r="AR565" s="547"/>
      <c r="AS565" s="547"/>
      <c r="AT565" s="547"/>
      <c r="AU565" s="547"/>
      <c r="AV565" s="547"/>
      <c r="AW565" s="547"/>
      <c r="AX565" s="547"/>
      <c r="AY565" s="547"/>
      <c r="AZ565" s="547"/>
      <c r="BA565" s="547"/>
      <c r="BB565" s="547"/>
      <c r="BC565" s="547"/>
      <c r="BD565" s="547"/>
      <c r="BE565" s="548"/>
      <c r="BF565" s="547"/>
      <c r="BG565" s="547"/>
      <c r="BH565" s="547"/>
      <c r="BI565" s="547"/>
      <c r="BJ565" s="36"/>
      <c r="BK565" s="174"/>
      <c r="BL565" s="174"/>
      <c r="BM565" s="7"/>
    </row>
    <row r="566" spans="1:65" ht="15.75" customHeight="1">
      <c r="A566" s="546"/>
      <c r="B566" s="552"/>
      <c r="C566" s="547"/>
      <c r="D566" s="546"/>
      <c r="E566" s="547"/>
      <c r="F566" s="547"/>
      <c r="G566" s="547"/>
      <c r="H566" s="547"/>
      <c r="I566" s="547"/>
      <c r="J566" s="547"/>
      <c r="K566" s="547"/>
      <c r="L566" s="547"/>
      <c r="M566" s="547"/>
      <c r="N566" s="547"/>
      <c r="O566" s="547"/>
      <c r="P566" s="547"/>
      <c r="Q566" s="547"/>
      <c r="R566" s="547"/>
      <c r="S566" s="547"/>
      <c r="T566" s="547"/>
      <c r="U566" s="547"/>
      <c r="V566" s="547"/>
      <c r="W566" s="547"/>
      <c r="X566" s="547"/>
      <c r="Y566" s="547"/>
      <c r="Z566" s="547"/>
      <c r="AA566" s="547"/>
      <c r="AB566" s="547"/>
      <c r="AC566" s="547"/>
      <c r="AD566" s="547"/>
      <c r="AE566" s="547"/>
      <c r="AF566" s="548"/>
      <c r="AG566" s="547"/>
      <c r="AH566" s="547"/>
      <c r="AI566" s="547"/>
      <c r="AJ566" s="547"/>
      <c r="AK566" s="547"/>
      <c r="AL566" s="547"/>
      <c r="AM566" s="547"/>
      <c r="AN566" s="547"/>
      <c r="AO566" s="547"/>
      <c r="AP566" s="547"/>
      <c r="AQ566" s="547"/>
      <c r="AR566" s="547"/>
      <c r="AS566" s="547"/>
      <c r="AT566" s="547"/>
      <c r="AU566" s="547"/>
      <c r="AV566" s="547"/>
      <c r="AW566" s="547"/>
      <c r="AX566" s="547"/>
      <c r="AY566" s="547"/>
      <c r="AZ566" s="547"/>
      <c r="BA566" s="547"/>
      <c r="BB566" s="547"/>
      <c r="BC566" s="547"/>
      <c r="BD566" s="547"/>
      <c r="BE566" s="548"/>
      <c r="BF566" s="547"/>
      <c r="BG566" s="547"/>
      <c r="BH566" s="547"/>
      <c r="BI566" s="547"/>
      <c r="BJ566" s="36"/>
      <c r="BK566" s="174"/>
      <c r="BL566" s="174"/>
      <c r="BM566" s="7"/>
    </row>
    <row r="567" spans="1:65" ht="15.75" customHeight="1">
      <c r="A567" s="546"/>
      <c r="B567" s="552"/>
      <c r="C567" s="547"/>
      <c r="D567" s="546"/>
      <c r="E567" s="547"/>
      <c r="F567" s="547"/>
      <c r="G567" s="547"/>
      <c r="H567" s="547"/>
      <c r="I567" s="547"/>
      <c r="J567" s="547"/>
      <c r="K567" s="547"/>
      <c r="L567" s="547"/>
      <c r="M567" s="547"/>
      <c r="N567" s="547"/>
      <c r="O567" s="547"/>
      <c r="P567" s="547"/>
      <c r="Q567" s="547"/>
      <c r="R567" s="547"/>
      <c r="S567" s="547"/>
      <c r="T567" s="547"/>
      <c r="U567" s="547"/>
      <c r="V567" s="547"/>
      <c r="W567" s="547"/>
      <c r="X567" s="547"/>
      <c r="Y567" s="547"/>
      <c r="Z567" s="547"/>
      <c r="AA567" s="547"/>
      <c r="AB567" s="547"/>
      <c r="AC567" s="547"/>
      <c r="AD567" s="547"/>
      <c r="AE567" s="547"/>
      <c r="AF567" s="548"/>
      <c r="AG567" s="547"/>
      <c r="AH567" s="547"/>
      <c r="AI567" s="547"/>
      <c r="AJ567" s="547"/>
      <c r="AK567" s="547"/>
      <c r="AL567" s="547"/>
      <c r="AM567" s="547"/>
      <c r="AN567" s="547"/>
      <c r="AO567" s="547"/>
      <c r="AP567" s="547"/>
      <c r="AQ567" s="547"/>
      <c r="AR567" s="547"/>
      <c r="AS567" s="547"/>
      <c r="AT567" s="547"/>
      <c r="AU567" s="547"/>
      <c r="AV567" s="547"/>
      <c r="AW567" s="547"/>
      <c r="AX567" s="547"/>
      <c r="AY567" s="547"/>
      <c r="AZ567" s="547"/>
      <c r="BA567" s="547"/>
      <c r="BB567" s="547"/>
      <c r="BC567" s="547"/>
      <c r="BD567" s="547"/>
      <c r="BE567" s="548"/>
      <c r="BF567" s="547"/>
      <c r="BG567" s="547"/>
      <c r="BH567" s="547"/>
      <c r="BI567" s="547"/>
      <c r="BJ567" s="36"/>
      <c r="BK567" s="174"/>
      <c r="BL567" s="174"/>
      <c r="BM567" s="7"/>
    </row>
    <row r="568" spans="1:65" ht="15.75" customHeight="1">
      <c r="A568" s="546"/>
      <c r="B568" s="552"/>
      <c r="C568" s="547"/>
      <c r="D568" s="546"/>
      <c r="E568" s="547"/>
      <c r="F568" s="547"/>
      <c r="G568" s="547"/>
      <c r="H568" s="547"/>
      <c r="I568" s="547"/>
      <c r="J568" s="547"/>
      <c r="K568" s="547"/>
      <c r="L568" s="547"/>
      <c r="M568" s="547"/>
      <c r="N568" s="547"/>
      <c r="O568" s="547"/>
      <c r="P568" s="547"/>
      <c r="Q568" s="547"/>
      <c r="R568" s="547"/>
      <c r="S568" s="547"/>
      <c r="T568" s="547"/>
      <c r="U568" s="547"/>
      <c r="V568" s="547"/>
      <c r="W568" s="547"/>
      <c r="X568" s="547"/>
      <c r="Y568" s="547"/>
      <c r="Z568" s="547"/>
      <c r="AA568" s="547"/>
      <c r="AB568" s="547"/>
      <c r="AC568" s="547"/>
      <c r="AD568" s="547"/>
      <c r="AE568" s="547"/>
      <c r="AF568" s="548"/>
      <c r="AG568" s="547"/>
      <c r="AH568" s="547"/>
      <c r="AI568" s="547"/>
      <c r="AJ568" s="547"/>
      <c r="AK568" s="547"/>
      <c r="AL568" s="547"/>
      <c r="AM568" s="547"/>
      <c r="AN568" s="547"/>
      <c r="AO568" s="547"/>
      <c r="AP568" s="547"/>
      <c r="AQ568" s="547"/>
      <c r="AR568" s="547"/>
      <c r="AS568" s="547"/>
      <c r="AT568" s="547"/>
      <c r="AU568" s="547"/>
      <c r="AV568" s="547"/>
      <c r="AW568" s="547"/>
      <c r="AX568" s="547"/>
      <c r="AY568" s="547"/>
      <c r="AZ568" s="547"/>
      <c r="BA568" s="547"/>
      <c r="BB568" s="547"/>
      <c r="BC568" s="547"/>
      <c r="BD568" s="547"/>
      <c r="BE568" s="548"/>
      <c r="BF568" s="547"/>
      <c r="BG568" s="547"/>
      <c r="BH568" s="547"/>
      <c r="BI568" s="547"/>
      <c r="BJ568" s="36"/>
      <c r="BK568" s="174"/>
      <c r="BL568" s="174"/>
      <c r="BM568" s="7"/>
    </row>
    <row r="569" spans="1:65" ht="15.75" customHeight="1">
      <c r="A569" s="546"/>
      <c r="B569" s="552"/>
      <c r="C569" s="547"/>
      <c r="D569" s="546"/>
      <c r="E569" s="547"/>
      <c r="F569" s="547"/>
      <c r="G569" s="547"/>
      <c r="H569" s="547"/>
      <c r="I569" s="547"/>
      <c r="J569" s="547"/>
      <c r="K569" s="547"/>
      <c r="L569" s="547"/>
      <c r="M569" s="547"/>
      <c r="N569" s="547"/>
      <c r="O569" s="547"/>
      <c r="P569" s="547"/>
      <c r="Q569" s="547"/>
      <c r="R569" s="547"/>
      <c r="S569" s="547"/>
      <c r="T569" s="547"/>
      <c r="U569" s="547"/>
      <c r="V569" s="547"/>
      <c r="W569" s="547"/>
      <c r="X569" s="547"/>
      <c r="Y569" s="547"/>
      <c r="Z569" s="547"/>
      <c r="AA569" s="547"/>
      <c r="AB569" s="547"/>
      <c r="AC569" s="547"/>
      <c r="AD569" s="547"/>
      <c r="AE569" s="547"/>
      <c r="AF569" s="548"/>
      <c r="AG569" s="547"/>
      <c r="AH569" s="547"/>
      <c r="AI569" s="547"/>
      <c r="AJ569" s="547"/>
      <c r="AK569" s="547"/>
      <c r="AL569" s="547"/>
      <c r="AM569" s="547"/>
      <c r="AN569" s="547"/>
      <c r="AO569" s="547"/>
      <c r="AP569" s="547"/>
      <c r="AQ569" s="547"/>
      <c r="AR569" s="547"/>
      <c r="AS569" s="547"/>
      <c r="AT569" s="547"/>
      <c r="AU569" s="547"/>
      <c r="AV569" s="547"/>
      <c r="AW569" s="547"/>
      <c r="AX569" s="547"/>
      <c r="AY569" s="547"/>
      <c r="AZ569" s="547"/>
      <c r="BA569" s="547"/>
      <c r="BB569" s="547"/>
      <c r="BC569" s="547"/>
      <c r="BD569" s="547"/>
      <c r="BE569" s="548"/>
      <c r="BF569" s="547"/>
      <c r="BG569" s="547"/>
      <c r="BH569" s="547"/>
      <c r="BI569" s="547"/>
      <c r="BJ569" s="36"/>
      <c r="BK569" s="174"/>
      <c r="BL569" s="174"/>
      <c r="BM569" s="7"/>
    </row>
    <row r="570" spans="1:65" ht="15.75" customHeight="1">
      <c r="A570" s="546"/>
      <c r="B570" s="552"/>
      <c r="C570" s="547"/>
      <c r="D570" s="546"/>
      <c r="E570" s="547"/>
      <c r="F570" s="547"/>
      <c r="G570" s="547"/>
      <c r="H570" s="547"/>
      <c r="I570" s="547"/>
      <c r="J570" s="547"/>
      <c r="K570" s="547"/>
      <c r="L570" s="547"/>
      <c r="M570" s="547"/>
      <c r="N570" s="547"/>
      <c r="O570" s="547"/>
      <c r="P570" s="547"/>
      <c r="Q570" s="547"/>
      <c r="R570" s="547"/>
      <c r="S570" s="547"/>
      <c r="T570" s="547"/>
      <c r="U570" s="547"/>
      <c r="V570" s="547"/>
      <c r="W570" s="547"/>
      <c r="X570" s="547"/>
      <c r="Y570" s="547"/>
      <c r="Z570" s="547"/>
      <c r="AA570" s="547"/>
      <c r="AB570" s="547"/>
      <c r="AC570" s="547"/>
      <c r="AD570" s="547"/>
      <c r="AE570" s="547"/>
      <c r="AF570" s="548"/>
      <c r="AG570" s="547"/>
      <c r="AH570" s="547"/>
      <c r="AI570" s="547"/>
      <c r="AJ570" s="547"/>
      <c r="AK570" s="547"/>
      <c r="AL570" s="547"/>
      <c r="AM570" s="547"/>
      <c r="AN570" s="547"/>
      <c r="AO570" s="547"/>
      <c r="AP570" s="547"/>
      <c r="AQ570" s="547"/>
      <c r="AR570" s="547"/>
      <c r="AS570" s="547"/>
      <c r="AT570" s="547"/>
      <c r="AU570" s="547"/>
      <c r="AV570" s="547"/>
      <c r="AW570" s="547"/>
      <c r="AX570" s="547"/>
      <c r="AY570" s="547"/>
      <c r="AZ570" s="547"/>
      <c r="BA570" s="547"/>
      <c r="BB570" s="547"/>
      <c r="BC570" s="547"/>
      <c r="BD570" s="547"/>
      <c r="BE570" s="548"/>
      <c r="BF570" s="547"/>
      <c r="BG570" s="547"/>
      <c r="BH570" s="547"/>
      <c r="BI570" s="547"/>
      <c r="BJ570" s="36"/>
      <c r="BK570" s="174"/>
      <c r="BL570" s="174"/>
      <c r="BM570" s="7"/>
    </row>
    <row r="571" spans="1:65" ht="15.75" customHeight="1">
      <c r="A571" s="546"/>
      <c r="B571" s="552"/>
      <c r="C571" s="547"/>
      <c r="D571" s="546"/>
      <c r="E571" s="547"/>
      <c r="F571" s="547"/>
      <c r="G571" s="547"/>
      <c r="H571" s="547"/>
      <c r="I571" s="547"/>
      <c r="J571" s="547"/>
      <c r="K571" s="547"/>
      <c r="L571" s="547"/>
      <c r="M571" s="547"/>
      <c r="N571" s="547"/>
      <c r="O571" s="547"/>
      <c r="P571" s="547"/>
      <c r="Q571" s="547"/>
      <c r="R571" s="547"/>
      <c r="S571" s="547"/>
      <c r="T571" s="547"/>
      <c r="U571" s="547"/>
      <c r="V571" s="547"/>
      <c r="W571" s="547"/>
      <c r="X571" s="547"/>
      <c r="Y571" s="547"/>
      <c r="Z571" s="547"/>
      <c r="AA571" s="547"/>
      <c r="AB571" s="547"/>
      <c r="AC571" s="547"/>
      <c r="AD571" s="547"/>
      <c r="AE571" s="547"/>
      <c r="AF571" s="548"/>
      <c r="AG571" s="547"/>
      <c r="AH571" s="547"/>
      <c r="AI571" s="547"/>
      <c r="AJ571" s="547"/>
      <c r="AK571" s="547"/>
      <c r="AL571" s="547"/>
      <c r="AM571" s="547"/>
      <c r="AN571" s="547"/>
      <c r="AO571" s="547"/>
      <c r="AP571" s="547"/>
      <c r="AQ571" s="547"/>
      <c r="AR571" s="547"/>
      <c r="AS571" s="547"/>
      <c r="AT571" s="547"/>
      <c r="AU571" s="547"/>
      <c r="AV571" s="547"/>
      <c r="AW571" s="547"/>
      <c r="AX571" s="547"/>
      <c r="AY571" s="547"/>
      <c r="AZ571" s="547"/>
      <c r="BA571" s="547"/>
      <c r="BB571" s="547"/>
      <c r="BC571" s="547"/>
      <c r="BD571" s="547"/>
      <c r="BE571" s="548"/>
      <c r="BF571" s="547"/>
      <c r="BG571" s="547"/>
      <c r="BH571" s="547"/>
      <c r="BI571" s="547"/>
      <c r="BJ571" s="36"/>
      <c r="BK571" s="174"/>
      <c r="BL571" s="174"/>
      <c r="BM571" s="7"/>
    </row>
    <row r="572" spans="1:65" ht="15.75" customHeight="1">
      <c r="A572" s="546"/>
      <c r="B572" s="552"/>
      <c r="C572" s="547"/>
      <c r="D572" s="546"/>
      <c r="E572" s="547"/>
      <c r="F572" s="547"/>
      <c r="G572" s="547"/>
      <c r="H572" s="547"/>
      <c r="I572" s="547"/>
      <c r="J572" s="547"/>
      <c r="K572" s="547"/>
      <c r="L572" s="547"/>
      <c r="M572" s="547"/>
      <c r="N572" s="547"/>
      <c r="O572" s="547"/>
      <c r="P572" s="547"/>
      <c r="Q572" s="547"/>
      <c r="R572" s="547"/>
      <c r="S572" s="547"/>
      <c r="T572" s="547"/>
      <c r="U572" s="547"/>
      <c r="V572" s="547"/>
      <c r="W572" s="547"/>
      <c r="X572" s="547"/>
      <c r="Y572" s="547"/>
      <c r="Z572" s="547"/>
      <c r="AA572" s="547"/>
      <c r="AB572" s="547"/>
      <c r="AC572" s="547"/>
      <c r="AD572" s="547"/>
      <c r="AE572" s="547"/>
      <c r="AF572" s="548"/>
      <c r="AG572" s="547"/>
      <c r="AH572" s="547"/>
      <c r="AI572" s="547"/>
      <c r="AJ572" s="547"/>
      <c r="AK572" s="547"/>
      <c r="AL572" s="547"/>
      <c r="AM572" s="547"/>
      <c r="AN572" s="547"/>
      <c r="AO572" s="547"/>
      <c r="AP572" s="547"/>
      <c r="AQ572" s="547"/>
      <c r="AR572" s="547"/>
      <c r="AS572" s="547"/>
      <c r="AT572" s="547"/>
      <c r="AU572" s="547"/>
      <c r="AV572" s="547"/>
      <c r="AW572" s="547"/>
      <c r="AX572" s="547"/>
      <c r="AY572" s="547"/>
      <c r="AZ572" s="547"/>
      <c r="BA572" s="547"/>
      <c r="BB572" s="547"/>
      <c r="BC572" s="547"/>
      <c r="BD572" s="547"/>
      <c r="BE572" s="548"/>
      <c r="BF572" s="547"/>
      <c r="BG572" s="547"/>
      <c r="BH572" s="547"/>
      <c r="BI572" s="547"/>
      <c r="BJ572" s="36"/>
      <c r="BK572" s="174"/>
      <c r="BL572" s="174"/>
      <c r="BM572" s="7"/>
    </row>
    <row r="573" spans="1:65" ht="15.75" customHeight="1">
      <c r="A573" s="546"/>
      <c r="B573" s="552"/>
      <c r="C573" s="547"/>
      <c r="D573" s="546"/>
      <c r="E573" s="547"/>
      <c r="F573" s="547"/>
      <c r="G573" s="547"/>
      <c r="H573" s="547"/>
      <c r="I573" s="547"/>
      <c r="J573" s="547"/>
      <c r="K573" s="547"/>
      <c r="L573" s="547"/>
      <c r="M573" s="547"/>
      <c r="N573" s="547"/>
      <c r="O573" s="547"/>
      <c r="P573" s="547"/>
      <c r="Q573" s="547"/>
      <c r="R573" s="547"/>
      <c r="S573" s="547"/>
      <c r="T573" s="547"/>
      <c r="U573" s="547"/>
      <c r="V573" s="547"/>
      <c r="W573" s="547"/>
      <c r="X573" s="547"/>
      <c r="Y573" s="547"/>
      <c r="Z573" s="547"/>
      <c r="AA573" s="547"/>
      <c r="AB573" s="547"/>
      <c r="AC573" s="547"/>
      <c r="AD573" s="547"/>
      <c r="AE573" s="547"/>
      <c r="AF573" s="548"/>
      <c r="AG573" s="547"/>
      <c r="AH573" s="547"/>
      <c r="AI573" s="547"/>
      <c r="AJ573" s="547"/>
      <c r="AK573" s="547"/>
      <c r="AL573" s="547"/>
      <c r="AM573" s="547"/>
      <c r="AN573" s="547"/>
      <c r="AO573" s="547"/>
      <c r="AP573" s="547"/>
      <c r="AQ573" s="547"/>
      <c r="AR573" s="547"/>
      <c r="AS573" s="547"/>
      <c r="AT573" s="547"/>
      <c r="AU573" s="547"/>
      <c r="AV573" s="547"/>
      <c r="AW573" s="547"/>
      <c r="AX573" s="547"/>
      <c r="AY573" s="547"/>
      <c r="AZ573" s="547"/>
      <c r="BA573" s="547"/>
      <c r="BB573" s="547"/>
      <c r="BC573" s="547"/>
      <c r="BD573" s="547"/>
      <c r="BE573" s="548"/>
      <c r="BF573" s="547"/>
      <c r="BG573" s="547"/>
      <c r="BH573" s="547"/>
      <c r="BI573" s="547"/>
      <c r="BJ573" s="36"/>
      <c r="BK573" s="174"/>
      <c r="BL573" s="174"/>
      <c r="BM573" s="7"/>
    </row>
    <row r="574" spans="1:65" ht="15.75" customHeight="1">
      <c r="A574" s="546"/>
      <c r="B574" s="552"/>
      <c r="C574" s="547"/>
      <c r="D574" s="546"/>
      <c r="E574" s="547"/>
      <c r="F574" s="547"/>
      <c r="G574" s="547"/>
      <c r="H574" s="547"/>
      <c r="I574" s="547"/>
      <c r="J574" s="547"/>
      <c r="K574" s="547"/>
      <c r="L574" s="547"/>
      <c r="M574" s="547"/>
      <c r="N574" s="547"/>
      <c r="O574" s="547"/>
      <c r="P574" s="547"/>
      <c r="Q574" s="547"/>
      <c r="R574" s="547"/>
      <c r="S574" s="547"/>
      <c r="T574" s="547"/>
      <c r="U574" s="547"/>
      <c r="V574" s="547"/>
      <c r="W574" s="547"/>
      <c r="X574" s="547"/>
      <c r="Y574" s="547"/>
      <c r="Z574" s="547"/>
      <c r="AA574" s="547"/>
      <c r="AB574" s="547"/>
      <c r="AC574" s="547"/>
      <c r="AD574" s="547"/>
      <c r="AE574" s="547"/>
      <c r="AF574" s="548"/>
      <c r="AG574" s="547"/>
      <c r="AH574" s="547"/>
      <c r="AI574" s="547"/>
      <c r="AJ574" s="547"/>
      <c r="AK574" s="547"/>
      <c r="AL574" s="547"/>
      <c r="AM574" s="547"/>
      <c r="AN574" s="547"/>
      <c r="AO574" s="547"/>
      <c r="AP574" s="547"/>
      <c r="AQ574" s="547"/>
      <c r="AR574" s="547"/>
      <c r="AS574" s="547"/>
      <c r="AT574" s="547"/>
      <c r="AU574" s="547"/>
      <c r="AV574" s="547"/>
      <c r="AW574" s="547"/>
      <c r="AX574" s="547"/>
      <c r="AY574" s="547"/>
      <c r="AZ574" s="547"/>
      <c r="BA574" s="547"/>
      <c r="BB574" s="547"/>
      <c r="BC574" s="547"/>
      <c r="BD574" s="547"/>
      <c r="BE574" s="548"/>
      <c r="BF574" s="547"/>
      <c r="BG574" s="547"/>
      <c r="BH574" s="547"/>
      <c r="BI574" s="547"/>
      <c r="BJ574" s="36"/>
      <c r="BK574" s="174"/>
      <c r="BL574" s="174"/>
      <c r="BM574" s="7"/>
    </row>
    <row r="575" spans="1:65" ht="15.75" customHeight="1">
      <c r="A575" s="546"/>
      <c r="B575" s="552"/>
      <c r="C575" s="547"/>
      <c r="D575" s="546"/>
      <c r="E575" s="547"/>
      <c r="F575" s="547"/>
      <c r="G575" s="547"/>
      <c r="H575" s="547"/>
      <c r="I575" s="547"/>
      <c r="J575" s="547"/>
      <c r="K575" s="547"/>
      <c r="L575" s="547"/>
      <c r="M575" s="547"/>
      <c r="N575" s="547"/>
      <c r="O575" s="547"/>
      <c r="P575" s="547"/>
      <c r="Q575" s="547"/>
      <c r="R575" s="547"/>
      <c r="S575" s="547"/>
      <c r="T575" s="547"/>
      <c r="U575" s="547"/>
      <c r="V575" s="547"/>
      <c r="W575" s="547"/>
      <c r="X575" s="547"/>
      <c r="Y575" s="547"/>
      <c r="Z575" s="547"/>
      <c r="AA575" s="547"/>
      <c r="AB575" s="547"/>
      <c r="AC575" s="547"/>
      <c r="AD575" s="547"/>
      <c r="AE575" s="547"/>
      <c r="AF575" s="548"/>
      <c r="AG575" s="547"/>
      <c r="AH575" s="547"/>
      <c r="AI575" s="547"/>
      <c r="AJ575" s="547"/>
      <c r="AK575" s="547"/>
      <c r="AL575" s="547"/>
      <c r="AM575" s="547"/>
      <c r="AN575" s="547"/>
      <c r="AO575" s="547"/>
      <c r="AP575" s="547"/>
      <c r="AQ575" s="547"/>
      <c r="AR575" s="547"/>
      <c r="AS575" s="547"/>
      <c r="AT575" s="547"/>
      <c r="AU575" s="547"/>
      <c r="AV575" s="547"/>
      <c r="AW575" s="547"/>
      <c r="AX575" s="547"/>
      <c r="AY575" s="547"/>
      <c r="AZ575" s="547"/>
      <c r="BA575" s="547"/>
      <c r="BB575" s="547"/>
      <c r="BC575" s="547"/>
      <c r="BD575" s="547"/>
      <c r="BE575" s="548"/>
      <c r="BF575" s="547"/>
      <c r="BG575" s="547"/>
      <c r="BH575" s="547"/>
      <c r="BI575" s="547"/>
      <c r="BJ575" s="36"/>
      <c r="BK575" s="174"/>
      <c r="BL575" s="174"/>
      <c r="BM575" s="7"/>
    </row>
    <row r="576" spans="1:65" ht="15.75" customHeight="1">
      <c r="A576" s="546"/>
      <c r="B576" s="552"/>
      <c r="C576" s="547"/>
      <c r="D576" s="546"/>
      <c r="E576" s="547"/>
      <c r="F576" s="547"/>
      <c r="G576" s="547"/>
      <c r="H576" s="547"/>
      <c r="I576" s="547"/>
      <c r="J576" s="547"/>
      <c r="K576" s="547"/>
      <c r="L576" s="547"/>
      <c r="M576" s="547"/>
      <c r="N576" s="547"/>
      <c r="O576" s="547"/>
      <c r="P576" s="547"/>
      <c r="Q576" s="547"/>
      <c r="R576" s="547"/>
      <c r="S576" s="547"/>
      <c r="T576" s="547"/>
      <c r="U576" s="547"/>
      <c r="V576" s="547"/>
      <c r="W576" s="547"/>
      <c r="X576" s="547"/>
      <c r="Y576" s="547"/>
      <c r="Z576" s="547"/>
      <c r="AA576" s="547"/>
      <c r="AB576" s="547"/>
      <c r="AC576" s="547"/>
      <c r="AD576" s="547"/>
      <c r="AE576" s="547"/>
      <c r="AF576" s="548"/>
      <c r="AG576" s="547"/>
      <c r="AH576" s="547"/>
      <c r="AI576" s="547"/>
      <c r="AJ576" s="547"/>
      <c r="AK576" s="547"/>
      <c r="AL576" s="547"/>
      <c r="AM576" s="547"/>
      <c r="AN576" s="547"/>
      <c r="AO576" s="547"/>
      <c r="AP576" s="547"/>
      <c r="AQ576" s="547"/>
      <c r="AR576" s="547"/>
      <c r="AS576" s="547"/>
      <c r="AT576" s="547"/>
      <c r="AU576" s="547"/>
      <c r="AV576" s="547"/>
      <c r="AW576" s="547"/>
      <c r="AX576" s="547"/>
      <c r="AY576" s="547"/>
      <c r="AZ576" s="547"/>
      <c r="BA576" s="547"/>
      <c r="BB576" s="547"/>
      <c r="BC576" s="547"/>
      <c r="BD576" s="547"/>
      <c r="BE576" s="548"/>
      <c r="BF576" s="547"/>
      <c r="BG576" s="547"/>
      <c r="BH576" s="547"/>
      <c r="BI576" s="547"/>
      <c r="BJ576" s="36"/>
      <c r="BK576" s="174"/>
      <c r="BL576" s="174"/>
      <c r="BM576" s="7"/>
    </row>
    <row r="577" spans="1:65" ht="15.75" customHeight="1">
      <c r="A577" s="546"/>
      <c r="B577" s="552"/>
      <c r="C577" s="547"/>
      <c r="D577" s="546"/>
      <c r="E577" s="547"/>
      <c r="F577" s="547"/>
      <c r="G577" s="547"/>
      <c r="H577" s="547"/>
      <c r="I577" s="547"/>
      <c r="J577" s="547"/>
      <c r="K577" s="547"/>
      <c r="L577" s="547"/>
      <c r="M577" s="547"/>
      <c r="N577" s="547"/>
      <c r="O577" s="547"/>
      <c r="P577" s="547"/>
      <c r="Q577" s="547"/>
      <c r="R577" s="547"/>
      <c r="S577" s="547"/>
      <c r="T577" s="547"/>
      <c r="U577" s="547"/>
      <c r="V577" s="547"/>
      <c r="W577" s="547"/>
      <c r="X577" s="547"/>
      <c r="Y577" s="547"/>
      <c r="Z577" s="547"/>
      <c r="AA577" s="547"/>
      <c r="AB577" s="547"/>
      <c r="AC577" s="547"/>
      <c r="AD577" s="547"/>
      <c r="AE577" s="547"/>
      <c r="AF577" s="548"/>
      <c r="AG577" s="547"/>
      <c r="AH577" s="547"/>
      <c r="AI577" s="547"/>
      <c r="AJ577" s="547"/>
      <c r="AK577" s="547"/>
      <c r="AL577" s="547"/>
      <c r="AM577" s="547"/>
      <c r="AN577" s="547"/>
      <c r="AO577" s="547"/>
      <c r="AP577" s="547"/>
      <c r="AQ577" s="547"/>
      <c r="AR577" s="547"/>
      <c r="AS577" s="547"/>
      <c r="AT577" s="547"/>
      <c r="AU577" s="547"/>
      <c r="AV577" s="547"/>
      <c r="AW577" s="547"/>
      <c r="AX577" s="547"/>
      <c r="AY577" s="547"/>
      <c r="AZ577" s="547"/>
      <c r="BA577" s="547"/>
      <c r="BB577" s="547"/>
      <c r="BC577" s="547"/>
      <c r="BD577" s="547"/>
      <c r="BE577" s="548"/>
      <c r="BF577" s="547"/>
      <c r="BG577" s="547"/>
      <c r="BH577" s="547"/>
      <c r="BI577" s="547"/>
      <c r="BJ577" s="36"/>
      <c r="BK577" s="174"/>
      <c r="BL577" s="174"/>
      <c r="BM577" s="7"/>
    </row>
    <row r="578" spans="1:65" ht="15.75" customHeight="1">
      <c r="A578" s="546"/>
      <c r="B578" s="552"/>
      <c r="C578" s="547"/>
      <c r="D578" s="546"/>
      <c r="E578" s="547"/>
      <c r="F578" s="547"/>
      <c r="G578" s="547"/>
      <c r="H578" s="547"/>
      <c r="I578" s="547"/>
      <c r="J578" s="547"/>
      <c r="K578" s="547"/>
      <c r="L578" s="547"/>
      <c r="M578" s="547"/>
      <c r="N578" s="547"/>
      <c r="O578" s="547"/>
      <c r="P578" s="547"/>
      <c r="Q578" s="547"/>
      <c r="R578" s="547"/>
      <c r="S578" s="547"/>
      <c r="T578" s="547"/>
      <c r="U578" s="547"/>
      <c r="V578" s="547"/>
      <c r="W578" s="547"/>
      <c r="X578" s="547"/>
      <c r="Y578" s="547"/>
      <c r="Z578" s="547"/>
      <c r="AA578" s="547"/>
      <c r="AB578" s="547"/>
      <c r="AC578" s="547"/>
      <c r="AD578" s="547"/>
      <c r="AE578" s="547"/>
      <c r="AF578" s="548"/>
      <c r="AG578" s="547"/>
      <c r="AH578" s="547"/>
      <c r="AI578" s="547"/>
      <c r="AJ578" s="547"/>
      <c r="AK578" s="547"/>
      <c r="AL578" s="547"/>
      <c r="AM578" s="547"/>
      <c r="AN578" s="547"/>
      <c r="AO578" s="547"/>
      <c r="AP578" s="547"/>
      <c r="AQ578" s="547"/>
      <c r="AR578" s="547"/>
      <c r="AS578" s="547"/>
      <c r="AT578" s="547"/>
      <c r="AU578" s="547"/>
      <c r="AV578" s="547"/>
      <c r="AW578" s="547"/>
      <c r="AX578" s="547"/>
      <c r="AY578" s="547"/>
      <c r="AZ578" s="547"/>
      <c r="BA578" s="547"/>
      <c r="BB578" s="547"/>
      <c r="BC578" s="547"/>
      <c r="BD578" s="547"/>
      <c r="BE578" s="548"/>
      <c r="BF578" s="547"/>
      <c r="BG578" s="547"/>
      <c r="BH578" s="547"/>
      <c r="BI578" s="547"/>
      <c r="BJ578" s="36"/>
      <c r="BK578" s="174"/>
      <c r="BL578" s="174"/>
      <c r="BM578" s="7"/>
    </row>
    <row r="579" spans="1:65" ht="15.75" customHeight="1">
      <c r="A579" s="546"/>
      <c r="B579" s="552"/>
      <c r="C579" s="547"/>
      <c r="D579" s="546"/>
      <c r="E579" s="547"/>
      <c r="F579" s="547"/>
      <c r="G579" s="547"/>
      <c r="H579" s="547"/>
      <c r="I579" s="547"/>
      <c r="J579" s="547"/>
      <c r="K579" s="547"/>
      <c r="L579" s="547"/>
      <c r="M579" s="547"/>
      <c r="N579" s="547"/>
      <c r="O579" s="547"/>
      <c r="P579" s="547"/>
      <c r="Q579" s="547"/>
      <c r="R579" s="547"/>
      <c r="S579" s="547"/>
      <c r="T579" s="547"/>
      <c r="U579" s="547"/>
      <c r="V579" s="547"/>
      <c r="W579" s="547"/>
      <c r="X579" s="547"/>
      <c r="Y579" s="547"/>
      <c r="Z579" s="547"/>
      <c r="AA579" s="547"/>
      <c r="AB579" s="547"/>
      <c r="AC579" s="547"/>
      <c r="AD579" s="547"/>
      <c r="AE579" s="547"/>
      <c r="AF579" s="548"/>
      <c r="AG579" s="547"/>
      <c r="AH579" s="547"/>
      <c r="AI579" s="547"/>
      <c r="AJ579" s="547"/>
      <c r="AK579" s="547"/>
      <c r="AL579" s="547"/>
      <c r="AM579" s="547"/>
      <c r="AN579" s="547"/>
      <c r="AO579" s="547"/>
      <c r="AP579" s="547"/>
      <c r="AQ579" s="547"/>
      <c r="AR579" s="547"/>
      <c r="AS579" s="547"/>
      <c r="AT579" s="547"/>
      <c r="AU579" s="547"/>
      <c r="AV579" s="547"/>
      <c r="AW579" s="547"/>
      <c r="AX579" s="547"/>
      <c r="AY579" s="547"/>
      <c r="AZ579" s="547"/>
      <c r="BA579" s="547"/>
      <c r="BB579" s="547"/>
      <c r="BC579" s="547"/>
      <c r="BD579" s="547"/>
      <c r="BE579" s="548"/>
      <c r="BF579" s="547"/>
      <c r="BG579" s="547"/>
      <c r="BH579" s="547"/>
      <c r="BI579" s="547"/>
      <c r="BJ579" s="36"/>
      <c r="BK579" s="174"/>
      <c r="BL579" s="174"/>
      <c r="BM579" s="7"/>
    </row>
    <row r="580" spans="1:65" ht="15.75" customHeight="1">
      <c r="A580" s="546"/>
      <c r="B580" s="552"/>
      <c r="C580" s="547"/>
      <c r="D580" s="546"/>
      <c r="E580" s="547"/>
      <c r="F580" s="547"/>
      <c r="G580" s="547"/>
      <c r="H580" s="547"/>
      <c r="I580" s="547"/>
      <c r="J580" s="547"/>
      <c r="K580" s="547"/>
      <c r="L580" s="547"/>
      <c r="M580" s="547"/>
      <c r="N580" s="547"/>
      <c r="O580" s="547"/>
      <c r="P580" s="547"/>
      <c r="Q580" s="547"/>
      <c r="R580" s="547"/>
      <c r="S580" s="547"/>
      <c r="T580" s="547"/>
      <c r="U580" s="547"/>
      <c r="V580" s="547"/>
      <c r="W580" s="547"/>
      <c r="X580" s="547"/>
      <c r="Y580" s="547"/>
      <c r="Z580" s="547"/>
      <c r="AA580" s="547"/>
      <c r="AB580" s="547"/>
      <c r="AC580" s="547"/>
      <c r="AD580" s="547"/>
      <c r="AE580" s="547"/>
      <c r="AF580" s="548"/>
      <c r="AG580" s="547"/>
      <c r="AH580" s="547"/>
      <c r="AI580" s="547"/>
      <c r="AJ580" s="547"/>
      <c r="AK580" s="547"/>
      <c r="AL580" s="547"/>
      <c r="AM580" s="547"/>
      <c r="AN580" s="547"/>
      <c r="AO580" s="547"/>
      <c r="AP580" s="547"/>
      <c r="AQ580" s="547"/>
      <c r="AR580" s="547"/>
      <c r="AS580" s="547"/>
      <c r="AT580" s="547"/>
      <c r="AU580" s="547"/>
      <c r="AV580" s="547"/>
      <c r="AW580" s="547"/>
      <c r="AX580" s="547"/>
      <c r="AY580" s="547"/>
      <c r="AZ580" s="547"/>
      <c r="BA580" s="547"/>
      <c r="BB580" s="547"/>
      <c r="BC580" s="547"/>
      <c r="BD580" s="547"/>
      <c r="BE580" s="548"/>
      <c r="BF580" s="547"/>
      <c r="BG580" s="547"/>
      <c r="BH580" s="547"/>
      <c r="BI580" s="547"/>
      <c r="BJ580" s="36"/>
      <c r="BK580" s="174"/>
      <c r="BL580" s="174"/>
      <c r="BM580" s="7"/>
    </row>
    <row r="581" spans="1:65" ht="15.75" customHeight="1">
      <c r="A581" s="546"/>
      <c r="B581" s="552"/>
      <c r="C581" s="547"/>
      <c r="D581" s="546"/>
      <c r="E581" s="547"/>
      <c r="F581" s="547"/>
      <c r="G581" s="547"/>
      <c r="H581" s="547"/>
      <c r="I581" s="547"/>
      <c r="J581" s="547"/>
      <c r="K581" s="547"/>
      <c r="L581" s="547"/>
      <c r="M581" s="547"/>
      <c r="N581" s="547"/>
      <c r="O581" s="547"/>
      <c r="P581" s="547"/>
      <c r="Q581" s="547"/>
      <c r="R581" s="547"/>
      <c r="S581" s="547"/>
      <c r="T581" s="547"/>
      <c r="U581" s="547"/>
      <c r="V581" s="547"/>
      <c r="W581" s="547"/>
      <c r="X581" s="547"/>
      <c r="Y581" s="547"/>
      <c r="Z581" s="547"/>
      <c r="AA581" s="547"/>
      <c r="AB581" s="547"/>
      <c r="AC581" s="547"/>
      <c r="AD581" s="547"/>
      <c r="AE581" s="547"/>
      <c r="AF581" s="548"/>
      <c r="AG581" s="547"/>
      <c r="AH581" s="547"/>
      <c r="AI581" s="547"/>
      <c r="AJ581" s="547"/>
      <c r="AK581" s="547"/>
      <c r="AL581" s="547"/>
      <c r="AM581" s="547"/>
      <c r="AN581" s="547"/>
      <c r="AO581" s="547"/>
      <c r="AP581" s="547"/>
      <c r="AQ581" s="547"/>
      <c r="AR581" s="547"/>
      <c r="AS581" s="547"/>
      <c r="AT581" s="547"/>
      <c r="AU581" s="547"/>
      <c r="AV581" s="547"/>
      <c r="AW581" s="547"/>
      <c r="AX581" s="547"/>
      <c r="AY581" s="547"/>
      <c r="AZ581" s="547"/>
      <c r="BA581" s="547"/>
      <c r="BB581" s="547"/>
      <c r="BC581" s="547"/>
      <c r="BD581" s="547"/>
      <c r="BE581" s="548"/>
      <c r="BF581" s="547"/>
      <c r="BG581" s="547"/>
      <c r="BH581" s="547"/>
      <c r="BI581" s="547"/>
      <c r="BJ581" s="36"/>
      <c r="BK581" s="174"/>
      <c r="BL581" s="174"/>
      <c r="BM581" s="7"/>
    </row>
    <row r="582" spans="1:65" ht="15.75" customHeight="1">
      <c r="A582" s="546"/>
      <c r="B582" s="552"/>
      <c r="C582" s="547"/>
      <c r="D582" s="546"/>
      <c r="E582" s="547"/>
      <c r="F582" s="547"/>
      <c r="G582" s="547"/>
      <c r="H582" s="547"/>
      <c r="I582" s="547"/>
      <c r="J582" s="547"/>
      <c r="K582" s="547"/>
      <c r="L582" s="547"/>
      <c r="M582" s="547"/>
      <c r="N582" s="547"/>
      <c r="O582" s="547"/>
      <c r="P582" s="547"/>
      <c r="Q582" s="547"/>
      <c r="R582" s="547"/>
      <c r="S582" s="547"/>
      <c r="T582" s="547"/>
      <c r="U582" s="547"/>
      <c r="V582" s="547"/>
      <c r="W582" s="547"/>
      <c r="X582" s="547"/>
      <c r="Y582" s="547"/>
      <c r="Z582" s="547"/>
      <c r="AA582" s="547"/>
      <c r="AB582" s="547"/>
      <c r="AC582" s="547"/>
      <c r="AD582" s="547"/>
      <c r="AE582" s="547"/>
      <c r="AF582" s="548"/>
      <c r="AG582" s="547"/>
      <c r="AH582" s="547"/>
      <c r="AI582" s="547"/>
      <c r="AJ582" s="547"/>
      <c r="AK582" s="547"/>
      <c r="AL582" s="547"/>
      <c r="AM582" s="547"/>
      <c r="AN582" s="547"/>
      <c r="AO582" s="547"/>
      <c r="AP582" s="547"/>
      <c r="AQ582" s="547"/>
      <c r="AR582" s="547"/>
      <c r="AS582" s="547"/>
      <c r="AT582" s="547"/>
      <c r="AU582" s="547"/>
      <c r="AV582" s="547"/>
      <c r="AW582" s="547"/>
      <c r="AX582" s="547"/>
      <c r="AY582" s="547"/>
      <c r="AZ582" s="547"/>
      <c r="BA582" s="547"/>
      <c r="BB582" s="547"/>
      <c r="BC582" s="547"/>
      <c r="BD582" s="547"/>
      <c r="BE582" s="548"/>
      <c r="BF582" s="547"/>
      <c r="BG582" s="547"/>
      <c r="BH582" s="547"/>
      <c r="BI582" s="547"/>
      <c r="BJ582" s="36"/>
      <c r="BK582" s="174"/>
      <c r="BL582" s="174"/>
      <c r="BM582" s="7"/>
    </row>
    <row r="583" spans="1:65" ht="15.75" customHeight="1">
      <c r="A583" s="546"/>
      <c r="B583" s="552"/>
      <c r="C583" s="547"/>
      <c r="D583" s="546"/>
      <c r="E583" s="547"/>
      <c r="F583" s="547"/>
      <c r="G583" s="547"/>
      <c r="H583" s="547"/>
      <c r="I583" s="547"/>
      <c r="J583" s="547"/>
      <c r="K583" s="547"/>
      <c r="L583" s="547"/>
      <c r="M583" s="547"/>
      <c r="N583" s="547"/>
      <c r="O583" s="547"/>
      <c r="P583" s="547"/>
      <c r="Q583" s="547"/>
      <c r="R583" s="547"/>
      <c r="S583" s="547"/>
      <c r="T583" s="547"/>
      <c r="U583" s="547"/>
      <c r="V583" s="547"/>
      <c r="W583" s="547"/>
      <c r="X583" s="547"/>
      <c r="Y583" s="547"/>
      <c r="Z583" s="547"/>
      <c r="AA583" s="547"/>
      <c r="AB583" s="547"/>
      <c r="AC583" s="547"/>
      <c r="AD583" s="547"/>
      <c r="AE583" s="547"/>
      <c r="AF583" s="548"/>
      <c r="AG583" s="547"/>
      <c r="AH583" s="547"/>
      <c r="AI583" s="547"/>
      <c r="AJ583" s="547"/>
      <c r="AK583" s="547"/>
      <c r="AL583" s="547"/>
      <c r="AM583" s="547"/>
      <c r="AN583" s="547"/>
      <c r="AO583" s="547"/>
      <c r="AP583" s="547"/>
      <c r="AQ583" s="547"/>
      <c r="AR583" s="547"/>
      <c r="AS583" s="547"/>
      <c r="AT583" s="547"/>
      <c r="AU583" s="547"/>
      <c r="AV583" s="547"/>
      <c r="AW583" s="547"/>
      <c r="AX583" s="547"/>
      <c r="AY583" s="547"/>
      <c r="AZ583" s="547"/>
      <c r="BA583" s="547"/>
      <c r="BB583" s="547"/>
      <c r="BC583" s="547"/>
      <c r="BD583" s="547"/>
      <c r="BE583" s="548"/>
      <c r="BF583" s="547"/>
      <c r="BG583" s="547"/>
      <c r="BH583" s="547"/>
      <c r="BI583" s="547"/>
      <c r="BJ583" s="36"/>
      <c r="BK583" s="174"/>
      <c r="BL583" s="174"/>
      <c r="BM583" s="7"/>
    </row>
    <row r="584" spans="1:65" ht="15.75" customHeight="1">
      <c r="A584" s="546"/>
      <c r="B584" s="552"/>
      <c r="C584" s="547"/>
      <c r="D584" s="546"/>
      <c r="E584" s="547"/>
      <c r="F584" s="547"/>
      <c r="G584" s="547"/>
      <c r="H584" s="547"/>
      <c r="I584" s="547"/>
      <c r="J584" s="547"/>
      <c r="K584" s="547"/>
      <c r="L584" s="547"/>
      <c r="M584" s="547"/>
      <c r="N584" s="547"/>
      <c r="O584" s="547"/>
      <c r="P584" s="547"/>
      <c r="Q584" s="547"/>
      <c r="R584" s="547"/>
      <c r="S584" s="547"/>
      <c r="T584" s="547"/>
      <c r="U584" s="547"/>
      <c r="V584" s="547"/>
      <c r="W584" s="547"/>
      <c r="X584" s="547"/>
      <c r="Y584" s="547"/>
      <c r="Z584" s="547"/>
      <c r="AA584" s="547"/>
      <c r="AB584" s="547"/>
      <c r="AC584" s="547"/>
      <c r="AD584" s="547"/>
      <c r="AE584" s="547"/>
      <c r="AF584" s="548"/>
      <c r="AG584" s="547"/>
      <c r="AH584" s="547"/>
      <c r="AI584" s="547"/>
      <c r="AJ584" s="547"/>
      <c r="AK584" s="547"/>
      <c r="AL584" s="547"/>
      <c r="AM584" s="547"/>
      <c r="AN584" s="547"/>
      <c r="AO584" s="547"/>
      <c r="AP584" s="547"/>
      <c r="AQ584" s="547"/>
      <c r="AR584" s="547"/>
      <c r="AS584" s="547"/>
      <c r="AT584" s="547"/>
      <c r="AU584" s="547"/>
      <c r="AV584" s="547"/>
      <c r="AW584" s="547"/>
      <c r="AX584" s="547"/>
      <c r="AY584" s="547"/>
      <c r="AZ584" s="547"/>
      <c r="BA584" s="547"/>
      <c r="BB584" s="547"/>
      <c r="BC584" s="547"/>
      <c r="BD584" s="547"/>
      <c r="BE584" s="548"/>
      <c r="BF584" s="547"/>
      <c r="BG584" s="547"/>
      <c r="BH584" s="547"/>
      <c r="BI584" s="547"/>
      <c r="BJ584" s="36"/>
      <c r="BK584" s="174"/>
      <c r="BL584" s="174"/>
      <c r="BM584" s="7"/>
    </row>
    <row r="585" spans="1:65" ht="15.75" customHeight="1">
      <c r="A585" s="546"/>
      <c r="B585" s="552"/>
      <c r="C585" s="547"/>
      <c r="D585" s="546"/>
      <c r="E585" s="547"/>
      <c r="F585" s="547"/>
      <c r="G585" s="547"/>
      <c r="H585" s="547"/>
      <c r="I585" s="547"/>
      <c r="J585" s="547"/>
      <c r="K585" s="547"/>
      <c r="L585" s="547"/>
      <c r="M585" s="547"/>
      <c r="N585" s="547"/>
      <c r="O585" s="547"/>
      <c r="P585" s="547"/>
      <c r="Q585" s="547"/>
      <c r="R585" s="547"/>
      <c r="S585" s="547"/>
      <c r="T585" s="547"/>
      <c r="U585" s="547"/>
      <c r="V585" s="547"/>
      <c r="W585" s="547"/>
      <c r="X585" s="547"/>
      <c r="Y585" s="547"/>
      <c r="Z585" s="547"/>
      <c r="AA585" s="547"/>
      <c r="AB585" s="547"/>
      <c r="AC585" s="547"/>
      <c r="AD585" s="547"/>
      <c r="AE585" s="547"/>
      <c r="AF585" s="548"/>
      <c r="AG585" s="547"/>
      <c r="AH585" s="547"/>
      <c r="AI585" s="547"/>
      <c r="AJ585" s="547"/>
      <c r="AK585" s="547"/>
      <c r="AL585" s="547"/>
      <c r="AM585" s="547"/>
      <c r="AN585" s="547"/>
      <c r="AO585" s="547"/>
      <c r="AP585" s="547"/>
      <c r="AQ585" s="547"/>
      <c r="AR585" s="547"/>
      <c r="AS585" s="547"/>
      <c r="AT585" s="547"/>
      <c r="AU585" s="547"/>
      <c r="AV585" s="547"/>
      <c r="AW585" s="547"/>
      <c r="AX585" s="547"/>
      <c r="AY585" s="547"/>
      <c r="AZ585" s="547"/>
      <c r="BA585" s="547"/>
      <c r="BB585" s="547"/>
      <c r="BC585" s="547"/>
      <c r="BD585" s="547"/>
      <c r="BE585" s="548"/>
      <c r="BF585" s="547"/>
      <c r="BG585" s="547"/>
      <c r="BH585" s="547"/>
      <c r="BI585" s="547"/>
      <c r="BJ585" s="36"/>
      <c r="BK585" s="174"/>
      <c r="BL585" s="174"/>
      <c r="BM585" s="7"/>
    </row>
    <row r="586" spans="1:65" ht="15.75" customHeight="1">
      <c r="A586" s="546"/>
      <c r="B586" s="552"/>
      <c r="C586" s="547"/>
      <c r="D586" s="546"/>
      <c r="E586" s="547"/>
      <c r="F586" s="547"/>
      <c r="G586" s="547"/>
      <c r="H586" s="547"/>
      <c r="I586" s="547"/>
      <c r="J586" s="547"/>
      <c r="K586" s="547"/>
      <c r="L586" s="547"/>
      <c r="M586" s="547"/>
      <c r="N586" s="547"/>
      <c r="O586" s="547"/>
      <c r="P586" s="547"/>
      <c r="Q586" s="547"/>
      <c r="R586" s="547"/>
      <c r="S586" s="547"/>
      <c r="T586" s="547"/>
      <c r="U586" s="547"/>
      <c r="V586" s="547"/>
      <c r="W586" s="547"/>
      <c r="X586" s="547"/>
      <c r="Y586" s="547"/>
      <c r="Z586" s="547"/>
      <c r="AA586" s="547"/>
      <c r="AB586" s="547"/>
      <c r="AC586" s="547"/>
      <c r="AD586" s="547"/>
      <c r="AE586" s="547"/>
      <c r="AF586" s="548"/>
      <c r="AG586" s="547"/>
      <c r="AH586" s="547"/>
      <c r="AI586" s="547"/>
      <c r="AJ586" s="547"/>
      <c r="AK586" s="547"/>
      <c r="AL586" s="547"/>
      <c r="AM586" s="547"/>
      <c r="AN586" s="547"/>
      <c r="AO586" s="547"/>
      <c r="AP586" s="547"/>
      <c r="AQ586" s="547"/>
      <c r="AR586" s="547"/>
      <c r="AS586" s="547"/>
      <c r="AT586" s="547"/>
      <c r="AU586" s="547"/>
      <c r="AV586" s="547"/>
      <c r="AW586" s="547"/>
      <c r="AX586" s="547"/>
      <c r="AY586" s="547"/>
      <c r="AZ586" s="547"/>
      <c r="BA586" s="547"/>
      <c r="BB586" s="547"/>
      <c r="BC586" s="547"/>
      <c r="BD586" s="547"/>
      <c r="BE586" s="548"/>
      <c r="BF586" s="547"/>
      <c r="BG586" s="547"/>
      <c r="BH586" s="547"/>
      <c r="BI586" s="547"/>
      <c r="BJ586" s="36"/>
      <c r="BK586" s="174"/>
      <c r="BL586" s="174"/>
      <c r="BM586" s="7"/>
    </row>
    <row r="587" spans="1:65" ht="15.75" customHeight="1">
      <c r="A587" s="546"/>
      <c r="B587" s="552"/>
      <c r="C587" s="547"/>
      <c r="D587" s="546"/>
      <c r="E587" s="547"/>
      <c r="F587" s="547"/>
      <c r="G587" s="547"/>
      <c r="H587" s="547"/>
      <c r="I587" s="547"/>
      <c r="J587" s="547"/>
      <c r="K587" s="547"/>
      <c r="L587" s="547"/>
      <c r="M587" s="547"/>
      <c r="N587" s="547"/>
      <c r="O587" s="547"/>
      <c r="P587" s="547"/>
      <c r="Q587" s="547"/>
      <c r="R587" s="547"/>
      <c r="S587" s="547"/>
      <c r="T587" s="547"/>
      <c r="U587" s="547"/>
      <c r="V587" s="547"/>
      <c r="W587" s="547"/>
      <c r="X587" s="547"/>
      <c r="Y587" s="547"/>
      <c r="Z587" s="547"/>
      <c r="AA587" s="547"/>
      <c r="AB587" s="547"/>
      <c r="AC587" s="547"/>
      <c r="AD587" s="547"/>
      <c r="AE587" s="547"/>
      <c r="AF587" s="548"/>
      <c r="AG587" s="547"/>
      <c r="AH587" s="547"/>
      <c r="AI587" s="547"/>
      <c r="AJ587" s="547"/>
      <c r="AK587" s="547"/>
      <c r="AL587" s="547"/>
      <c r="AM587" s="547"/>
      <c r="AN587" s="547"/>
      <c r="AO587" s="547"/>
      <c r="AP587" s="547"/>
      <c r="AQ587" s="547"/>
      <c r="AR587" s="547"/>
      <c r="AS587" s="547"/>
      <c r="AT587" s="547"/>
      <c r="AU587" s="547"/>
      <c r="AV587" s="547"/>
      <c r="AW587" s="547"/>
      <c r="AX587" s="547"/>
      <c r="AY587" s="547"/>
      <c r="AZ587" s="547"/>
      <c r="BA587" s="547"/>
      <c r="BB587" s="547"/>
      <c r="BC587" s="547"/>
      <c r="BD587" s="547"/>
      <c r="BE587" s="548"/>
      <c r="BF587" s="547"/>
      <c r="BG587" s="547"/>
      <c r="BH587" s="547"/>
      <c r="BI587" s="547"/>
      <c r="BJ587" s="36"/>
      <c r="BK587" s="174"/>
      <c r="BL587" s="174"/>
      <c r="BM587" s="7"/>
    </row>
    <row r="588" spans="1:65" ht="15.75" customHeight="1">
      <c r="A588" s="546"/>
      <c r="B588" s="552"/>
      <c r="C588" s="547"/>
      <c r="D588" s="546"/>
      <c r="E588" s="547"/>
      <c r="F588" s="547"/>
      <c r="G588" s="547"/>
      <c r="H588" s="547"/>
      <c r="I588" s="547"/>
      <c r="J588" s="547"/>
      <c r="K588" s="547"/>
      <c r="L588" s="547"/>
      <c r="M588" s="547"/>
      <c r="N588" s="547"/>
      <c r="O588" s="547"/>
      <c r="P588" s="547"/>
      <c r="Q588" s="547"/>
      <c r="R588" s="547"/>
      <c r="S588" s="547"/>
      <c r="T588" s="547"/>
      <c r="U588" s="547"/>
      <c r="V588" s="547"/>
      <c r="W588" s="547"/>
      <c r="X588" s="547"/>
      <c r="Y588" s="547"/>
      <c r="Z588" s="547"/>
      <c r="AA588" s="547"/>
      <c r="AB588" s="547"/>
      <c r="AC588" s="547"/>
      <c r="AD588" s="547"/>
      <c r="AE588" s="547"/>
      <c r="AF588" s="548"/>
      <c r="AG588" s="547"/>
      <c r="AH588" s="547"/>
      <c r="AI588" s="547"/>
      <c r="AJ588" s="547"/>
      <c r="AK588" s="547"/>
      <c r="AL588" s="547"/>
      <c r="AM588" s="547"/>
      <c r="AN588" s="547"/>
      <c r="AO588" s="547"/>
      <c r="AP588" s="547"/>
      <c r="AQ588" s="547"/>
      <c r="AR588" s="547"/>
      <c r="AS588" s="547"/>
      <c r="AT588" s="547"/>
      <c r="AU588" s="547"/>
      <c r="AV588" s="547"/>
      <c r="AW588" s="547"/>
      <c r="AX588" s="547"/>
      <c r="AY588" s="547"/>
      <c r="AZ588" s="547"/>
      <c r="BA588" s="547"/>
      <c r="BB588" s="547"/>
      <c r="BC588" s="547"/>
      <c r="BD588" s="547"/>
      <c r="BE588" s="548"/>
      <c r="BF588" s="547"/>
      <c r="BG588" s="547"/>
      <c r="BH588" s="547"/>
      <c r="BI588" s="547"/>
      <c r="BJ588" s="36"/>
      <c r="BK588" s="174"/>
      <c r="BL588" s="174"/>
      <c r="BM588" s="7"/>
    </row>
    <row r="589" spans="1:65" ht="15.75" customHeight="1">
      <c r="A589" s="546"/>
      <c r="B589" s="552"/>
      <c r="C589" s="547"/>
      <c r="D589" s="546"/>
      <c r="E589" s="547"/>
      <c r="F589" s="547"/>
      <c r="G589" s="547"/>
      <c r="H589" s="547"/>
      <c r="I589" s="547"/>
      <c r="J589" s="547"/>
      <c r="K589" s="547"/>
      <c r="L589" s="547"/>
      <c r="M589" s="547"/>
      <c r="N589" s="547"/>
      <c r="O589" s="547"/>
      <c r="P589" s="547"/>
      <c r="Q589" s="547"/>
      <c r="R589" s="547"/>
      <c r="S589" s="547"/>
      <c r="T589" s="547"/>
      <c r="U589" s="547"/>
      <c r="V589" s="547"/>
      <c r="W589" s="547"/>
      <c r="X589" s="547"/>
      <c r="Y589" s="547"/>
      <c r="Z589" s="547"/>
      <c r="AA589" s="547"/>
      <c r="AB589" s="547"/>
      <c r="AC589" s="547"/>
      <c r="AD589" s="547"/>
      <c r="AE589" s="547"/>
      <c r="AF589" s="548"/>
      <c r="AG589" s="547"/>
      <c r="AH589" s="547"/>
      <c r="AI589" s="547"/>
      <c r="AJ589" s="547"/>
      <c r="AK589" s="547"/>
      <c r="AL589" s="547"/>
      <c r="AM589" s="547"/>
      <c r="AN589" s="547"/>
      <c r="AO589" s="547"/>
      <c r="AP589" s="547"/>
      <c r="AQ589" s="547"/>
      <c r="AR589" s="547"/>
      <c r="AS589" s="547"/>
      <c r="AT589" s="547"/>
      <c r="AU589" s="547"/>
      <c r="AV589" s="547"/>
      <c r="AW589" s="547"/>
      <c r="AX589" s="547"/>
      <c r="AY589" s="547"/>
      <c r="AZ589" s="547"/>
      <c r="BA589" s="547"/>
      <c r="BB589" s="547"/>
      <c r="BC589" s="547"/>
      <c r="BD589" s="547"/>
      <c r="BE589" s="548"/>
      <c r="BF589" s="547"/>
      <c r="BG589" s="547"/>
      <c r="BH589" s="547"/>
      <c r="BI589" s="547"/>
      <c r="BJ589" s="36"/>
      <c r="BK589" s="174"/>
      <c r="BL589" s="174"/>
      <c r="BM589" s="7"/>
    </row>
    <row r="590" spans="1:65" ht="15.75" customHeight="1">
      <c r="A590" s="546"/>
      <c r="B590" s="552"/>
      <c r="C590" s="547"/>
      <c r="D590" s="546"/>
      <c r="E590" s="547"/>
      <c r="F590" s="547"/>
      <c r="G590" s="547"/>
      <c r="H590" s="547"/>
      <c r="I590" s="547"/>
      <c r="J590" s="547"/>
      <c r="K590" s="547"/>
      <c r="L590" s="547"/>
      <c r="M590" s="547"/>
      <c r="N590" s="547"/>
      <c r="O590" s="547"/>
      <c r="P590" s="547"/>
      <c r="Q590" s="547"/>
      <c r="R590" s="547"/>
      <c r="S590" s="547"/>
      <c r="T590" s="547"/>
      <c r="U590" s="547"/>
      <c r="V590" s="547"/>
      <c r="W590" s="547"/>
      <c r="X590" s="547"/>
      <c r="Y590" s="547"/>
      <c r="Z590" s="547"/>
      <c r="AA590" s="547"/>
      <c r="AB590" s="547"/>
      <c r="AC590" s="547"/>
      <c r="AD590" s="547"/>
      <c r="AE590" s="547"/>
      <c r="AF590" s="548"/>
      <c r="AG590" s="547"/>
      <c r="AH590" s="547"/>
      <c r="AI590" s="547"/>
      <c r="AJ590" s="547"/>
      <c r="AK590" s="547"/>
      <c r="AL590" s="547"/>
      <c r="AM590" s="547"/>
      <c r="AN590" s="547"/>
      <c r="AO590" s="547"/>
      <c r="AP590" s="547"/>
      <c r="AQ590" s="547"/>
      <c r="AR590" s="547"/>
      <c r="AS590" s="547"/>
      <c r="AT590" s="547"/>
      <c r="AU590" s="547"/>
      <c r="AV590" s="547"/>
      <c r="AW590" s="547"/>
      <c r="AX590" s="547"/>
      <c r="AY590" s="547"/>
      <c r="AZ590" s="547"/>
      <c r="BA590" s="547"/>
      <c r="BB590" s="547"/>
      <c r="BC590" s="547"/>
      <c r="BD590" s="547"/>
      <c r="BE590" s="548"/>
      <c r="BF590" s="547"/>
      <c r="BG590" s="547"/>
      <c r="BH590" s="547"/>
      <c r="BI590" s="547"/>
      <c r="BJ590" s="36"/>
      <c r="BK590" s="174"/>
      <c r="BL590" s="174"/>
      <c r="BM590" s="7"/>
    </row>
    <row r="591" spans="1:65" ht="15.75" customHeight="1">
      <c r="A591" s="546"/>
      <c r="B591" s="552"/>
      <c r="C591" s="547"/>
      <c r="D591" s="546"/>
      <c r="E591" s="547"/>
      <c r="F591" s="547"/>
      <c r="G591" s="547"/>
      <c r="H591" s="547"/>
      <c r="I591" s="547"/>
      <c r="J591" s="547"/>
      <c r="K591" s="547"/>
      <c r="L591" s="547"/>
      <c r="M591" s="547"/>
      <c r="N591" s="547"/>
      <c r="O591" s="547"/>
      <c r="P591" s="547"/>
      <c r="Q591" s="547"/>
      <c r="R591" s="547"/>
      <c r="S591" s="547"/>
      <c r="T591" s="547"/>
      <c r="U591" s="547"/>
      <c r="V591" s="547"/>
      <c r="W591" s="547"/>
      <c r="X591" s="547"/>
      <c r="Y591" s="547"/>
      <c r="Z591" s="547"/>
      <c r="AA591" s="547"/>
      <c r="AB591" s="547"/>
      <c r="AC591" s="547"/>
      <c r="AD591" s="547"/>
      <c r="AE591" s="547"/>
      <c r="AF591" s="548"/>
      <c r="AG591" s="547"/>
      <c r="AH591" s="547"/>
      <c r="AI591" s="547"/>
      <c r="AJ591" s="547"/>
      <c r="AK591" s="547"/>
      <c r="AL591" s="547"/>
      <c r="AM591" s="547"/>
      <c r="AN591" s="547"/>
      <c r="AO591" s="547"/>
      <c r="AP591" s="547"/>
      <c r="AQ591" s="547"/>
      <c r="AR591" s="547"/>
      <c r="AS591" s="547"/>
      <c r="AT591" s="547"/>
      <c r="AU591" s="547"/>
      <c r="AV591" s="547"/>
      <c r="AW591" s="547"/>
      <c r="AX591" s="547"/>
      <c r="AY591" s="547"/>
      <c r="AZ591" s="547"/>
      <c r="BA591" s="547"/>
      <c r="BB591" s="547"/>
      <c r="BC591" s="547"/>
      <c r="BD591" s="547"/>
      <c r="BE591" s="548"/>
      <c r="BF591" s="547"/>
      <c r="BG591" s="547"/>
      <c r="BH591" s="547"/>
      <c r="BI591" s="547"/>
      <c r="BJ591" s="36"/>
      <c r="BK591" s="174"/>
      <c r="BL591" s="174"/>
      <c r="BM591" s="7"/>
    </row>
    <row r="592" spans="1:65" ht="15.75" customHeight="1">
      <c r="A592" s="546"/>
      <c r="B592" s="552"/>
      <c r="C592" s="547"/>
      <c r="D592" s="546"/>
      <c r="E592" s="547"/>
      <c r="F592" s="547"/>
      <c r="G592" s="547"/>
      <c r="H592" s="547"/>
      <c r="I592" s="547"/>
      <c r="J592" s="547"/>
      <c r="K592" s="547"/>
      <c r="L592" s="547"/>
      <c r="M592" s="547"/>
      <c r="N592" s="547"/>
      <c r="O592" s="547"/>
      <c r="P592" s="547"/>
      <c r="Q592" s="547"/>
      <c r="R592" s="547"/>
      <c r="S592" s="547"/>
      <c r="T592" s="547"/>
      <c r="U592" s="547"/>
      <c r="V592" s="547"/>
      <c r="W592" s="547"/>
      <c r="X592" s="547"/>
      <c r="Y592" s="547"/>
      <c r="Z592" s="547"/>
      <c r="AA592" s="547"/>
      <c r="AB592" s="547"/>
      <c r="AC592" s="547"/>
      <c r="AD592" s="547"/>
      <c r="AE592" s="547"/>
      <c r="AF592" s="548"/>
      <c r="AG592" s="547"/>
      <c r="AH592" s="547"/>
      <c r="AI592" s="547"/>
      <c r="AJ592" s="547"/>
      <c r="AK592" s="547"/>
      <c r="AL592" s="547"/>
      <c r="AM592" s="547"/>
      <c r="AN592" s="547"/>
      <c r="AO592" s="547"/>
      <c r="AP592" s="547"/>
      <c r="AQ592" s="547"/>
      <c r="AR592" s="547"/>
      <c r="AS592" s="547"/>
      <c r="AT592" s="547"/>
      <c r="AU592" s="547"/>
      <c r="AV592" s="547"/>
      <c r="AW592" s="547"/>
      <c r="AX592" s="547"/>
      <c r="AY592" s="547"/>
      <c r="AZ592" s="547"/>
      <c r="BA592" s="547"/>
      <c r="BB592" s="547"/>
      <c r="BC592" s="547"/>
      <c r="BD592" s="547"/>
      <c r="BE592" s="548"/>
      <c r="BF592" s="547"/>
      <c r="BG592" s="547"/>
      <c r="BH592" s="547"/>
      <c r="BI592" s="547"/>
      <c r="BJ592" s="36"/>
      <c r="BK592" s="174"/>
      <c r="BL592" s="174"/>
      <c r="BM592" s="7"/>
    </row>
    <row r="593" spans="1:65" ht="15.75" customHeight="1">
      <c r="A593" s="546"/>
      <c r="B593" s="552"/>
      <c r="C593" s="547"/>
      <c r="D593" s="546"/>
      <c r="E593" s="547"/>
      <c r="F593" s="547"/>
      <c r="G593" s="547"/>
      <c r="H593" s="547"/>
      <c r="I593" s="547"/>
      <c r="J593" s="547"/>
      <c r="K593" s="547"/>
      <c r="L593" s="547"/>
      <c r="M593" s="547"/>
      <c r="N593" s="547"/>
      <c r="O593" s="547"/>
      <c r="P593" s="547"/>
      <c r="Q593" s="547"/>
      <c r="R593" s="547"/>
      <c r="S593" s="547"/>
      <c r="T593" s="547"/>
      <c r="U593" s="547"/>
      <c r="V593" s="547"/>
      <c r="W593" s="547"/>
      <c r="X593" s="547"/>
      <c r="Y593" s="547"/>
      <c r="Z593" s="547"/>
      <c r="AA593" s="547"/>
      <c r="AB593" s="547"/>
      <c r="AC593" s="547"/>
      <c r="AD593" s="547"/>
      <c r="AE593" s="547"/>
      <c r="AF593" s="548"/>
      <c r="AG593" s="547"/>
      <c r="AH593" s="547"/>
      <c r="AI593" s="547"/>
      <c r="AJ593" s="547"/>
      <c r="AK593" s="547"/>
      <c r="AL593" s="547"/>
      <c r="AM593" s="547"/>
      <c r="AN593" s="547"/>
      <c r="AO593" s="547"/>
      <c r="AP593" s="547"/>
      <c r="AQ593" s="547"/>
      <c r="AR593" s="547"/>
      <c r="AS593" s="547"/>
      <c r="AT593" s="547"/>
      <c r="AU593" s="547"/>
      <c r="AV593" s="547"/>
      <c r="AW593" s="547"/>
      <c r="AX593" s="547"/>
      <c r="AY593" s="547"/>
      <c r="AZ593" s="547"/>
      <c r="BA593" s="547"/>
      <c r="BB593" s="547"/>
      <c r="BC593" s="547"/>
      <c r="BD593" s="547"/>
      <c r="BE593" s="548"/>
      <c r="BF593" s="547"/>
      <c r="BG593" s="547"/>
      <c r="BH593" s="547"/>
      <c r="BI593" s="547"/>
      <c r="BJ593" s="36"/>
      <c r="BK593" s="174"/>
      <c r="BL593" s="174"/>
      <c r="BM593" s="7"/>
    </row>
    <row r="594" spans="1:65" ht="15.75" customHeight="1">
      <c r="A594" s="546"/>
      <c r="B594" s="552"/>
      <c r="C594" s="547"/>
      <c r="D594" s="546"/>
      <c r="E594" s="547"/>
      <c r="F594" s="547"/>
      <c r="G594" s="547"/>
      <c r="H594" s="547"/>
      <c r="I594" s="547"/>
      <c r="J594" s="547"/>
      <c r="K594" s="547"/>
      <c r="L594" s="547"/>
      <c r="M594" s="547"/>
      <c r="N594" s="547"/>
      <c r="O594" s="547"/>
      <c r="P594" s="547"/>
      <c r="Q594" s="547"/>
      <c r="R594" s="547"/>
      <c r="S594" s="547"/>
      <c r="T594" s="547"/>
      <c r="U594" s="547"/>
      <c r="V594" s="547"/>
      <c r="W594" s="547"/>
      <c r="X594" s="547"/>
      <c r="Y594" s="547"/>
      <c r="Z594" s="547"/>
      <c r="AA594" s="547"/>
      <c r="AB594" s="547"/>
      <c r="AC594" s="547"/>
      <c r="AD594" s="547"/>
      <c r="AE594" s="547"/>
      <c r="AF594" s="548"/>
      <c r="AG594" s="547"/>
      <c r="AH594" s="547"/>
      <c r="AI594" s="547"/>
      <c r="AJ594" s="547"/>
      <c r="AK594" s="547"/>
      <c r="AL594" s="547"/>
      <c r="AM594" s="547"/>
      <c r="AN594" s="547"/>
      <c r="AO594" s="547"/>
      <c r="AP594" s="547"/>
      <c r="AQ594" s="547"/>
      <c r="AR594" s="547"/>
      <c r="AS594" s="547"/>
      <c r="AT594" s="547"/>
      <c r="AU594" s="547"/>
      <c r="AV594" s="547"/>
      <c r="AW594" s="547"/>
      <c r="AX594" s="547"/>
      <c r="AY594" s="547"/>
      <c r="AZ594" s="547"/>
      <c r="BA594" s="547"/>
      <c r="BB594" s="547"/>
      <c r="BC594" s="547"/>
      <c r="BD594" s="547"/>
      <c r="BE594" s="548"/>
      <c r="BF594" s="547"/>
      <c r="BG594" s="547"/>
      <c r="BH594" s="547"/>
      <c r="BI594" s="547"/>
      <c r="BJ594" s="36"/>
      <c r="BK594" s="174"/>
      <c r="BL594" s="174"/>
      <c r="BM594" s="7"/>
    </row>
    <row r="595" spans="1:65" ht="15.75" customHeight="1">
      <c r="A595" s="546"/>
      <c r="B595" s="552"/>
      <c r="C595" s="547"/>
      <c r="D595" s="546"/>
      <c r="E595" s="547"/>
      <c r="F595" s="547"/>
      <c r="G595" s="547"/>
      <c r="H595" s="547"/>
      <c r="I595" s="547"/>
      <c r="J595" s="547"/>
      <c r="K595" s="547"/>
      <c r="L595" s="547"/>
      <c r="M595" s="547"/>
      <c r="N595" s="547"/>
      <c r="O595" s="547"/>
      <c r="P595" s="547"/>
      <c r="Q595" s="547"/>
      <c r="R595" s="547"/>
      <c r="S595" s="547"/>
      <c r="T595" s="547"/>
      <c r="U595" s="547"/>
      <c r="V595" s="547"/>
      <c r="W595" s="547"/>
      <c r="X595" s="547"/>
      <c r="Y595" s="547"/>
      <c r="Z595" s="547"/>
      <c r="AA595" s="547"/>
      <c r="AB595" s="547"/>
      <c r="AC595" s="547"/>
      <c r="AD595" s="547"/>
      <c r="AE595" s="547"/>
      <c r="AF595" s="548"/>
      <c r="AG595" s="547"/>
      <c r="AH595" s="547"/>
      <c r="AI595" s="547"/>
      <c r="AJ595" s="547"/>
      <c r="AK595" s="547"/>
      <c r="AL595" s="547"/>
      <c r="AM595" s="547"/>
      <c r="AN595" s="547"/>
      <c r="AO595" s="547"/>
      <c r="AP595" s="547"/>
      <c r="AQ595" s="547"/>
      <c r="AR595" s="547"/>
      <c r="AS595" s="547"/>
      <c r="AT595" s="547"/>
      <c r="AU595" s="547"/>
      <c r="AV595" s="547"/>
      <c r="AW595" s="547"/>
      <c r="AX595" s="547"/>
      <c r="AY595" s="547"/>
      <c r="AZ595" s="547"/>
      <c r="BA595" s="547"/>
      <c r="BB595" s="547"/>
      <c r="BC595" s="547"/>
      <c r="BD595" s="547"/>
      <c r="BE595" s="548"/>
      <c r="BF595" s="547"/>
      <c r="BG595" s="547"/>
      <c r="BH595" s="547"/>
      <c r="BI595" s="547"/>
      <c r="BJ595" s="36"/>
      <c r="BK595" s="174"/>
      <c r="BL595" s="174"/>
      <c r="BM595" s="7"/>
    </row>
    <row r="596" spans="1:65" ht="15.75" customHeight="1">
      <c r="A596" s="546"/>
      <c r="B596" s="552"/>
      <c r="C596" s="547"/>
      <c r="D596" s="546"/>
      <c r="E596" s="547"/>
      <c r="F596" s="547"/>
      <c r="G596" s="547"/>
      <c r="H596" s="547"/>
      <c r="I596" s="547"/>
      <c r="J596" s="547"/>
      <c r="K596" s="547"/>
      <c r="L596" s="547"/>
      <c r="M596" s="547"/>
      <c r="N596" s="547"/>
      <c r="O596" s="547"/>
      <c r="P596" s="547"/>
      <c r="Q596" s="547"/>
      <c r="R596" s="547"/>
      <c r="S596" s="547"/>
      <c r="T596" s="547"/>
      <c r="U596" s="547"/>
      <c r="V596" s="547"/>
      <c r="W596" s="547"/>
      <c r="X596" s="547"/>
      <c r="Y596" s="547"/>
      <c r="Z596" s="547"/>
      <c r="AA596" s="547"/>
      <c r="AB596" s="547"/>
      <c r="AC596" s="547"/>
      <c r="AD596" s="547"/>
      <c r="AE596" s="547"/>
      <c r="AF596" s="548"/>
      <c r="AG596" s="547"/>
      <c r="AH596" s="547"/>
      <c r="AI596" s="547"/>
      <c r="AJ596" s="547"/>
      <c r="AK596" s="547"/>
      <c r="AL596" s="547"/>
      <c r="AM596" s="547"/>
      <c r="AN596" s="547"/>
      <c r="AO596" s="547"/>
      <c r="AP596" s="547"/>
      <c r="AQ596" s="547"/>
      <c r="AR596" s="547"/>
      <c r="AS596" s="547"/>
      <c r="AT596" s="547"/>
      <c r="AU596" s="547"/>
      <c r="AV596" s="547"/>
      <c r="AW596" s="547"/>
      <c r="AX596" s="547"/>
      <c r="AY596" s="547"/>
      <c r="AZ596" s="547"/>
      <c r="BA596" s="547"/>
      <c r="BB596" s="547"/>
      <c r="BC596" s="547"/>
      <c r="BD596" s="547"/>
      <c r="BE596" s="548"/>
      <c r="BF596" s="547"/>
      <c r="BG596" s="547"/>
      <c r="BH596" s="547"/>
      <c r="BI596" s="547"/>
      <c r="BJ596" s="36"/>
      <c r="BK596" s="174"/>
      <c r="BL596" s="174"/>
      <c r="BM596" s="7"/>
    </row>
    <row r="597" spans="1:65" ht="15.75" customHeight="1">
      <c r="A597" s="546"/>
      <c r="B597" s="552"/>
      <c r="C597" s="547"/>
      <c r="D597" s="546"/>
      <c r="E597" s="547"/>
      <c r="F597" s="547"/>
      <c r="G597" s="547"/>
      <c r="H597" s="547"/>
      <c r="I597" s="547"/>
      <c r="J597" s="547"/>
      <c r="K597" s="547"/>
      <c r="L597" s="547"/>
      <c r="M597" s="547"/>
      <c r="N597" s="547"/>
      <c r="O597" s="547"/>
      <c r="P597" s="547"/>
      <c r="Q597" s="547"/>
      <c r="R597" s="547"/>
      <c r="S597" s="547"/>
      <c r="T597" s="547"/>
      <c r="U597" s="547"/>
      <c r="V597" s="547"/>
      <c r="W597" s="547"/>
      <c r="X597" s="547"/>
      <c r="Y597" s="547"/>
      <c r="Z597" s="547"/>
      <c r="AA597" s="547"/>
      <c r="AB597" s="547"/>
      <c r="AC597" s="547"/>
      <c r="AD597" s="547"/>
      <c r="AE597" s="547"/>
      <c r="AF597" s="548"/>
      <c r="AG597" s="547"/>
      <c r="AH597" s="547"/>
      <c r="AI597" s="547"/>
      <c r="AJ597" s="547"/>
      <c r="AK597" s="547"/>
      <c r="AL597" s="547"/>
      <c r="AM597" s="547"/>
      <c r="AN597" s="547"/>
      <c r="AO597" s="547"/>
      <c r="AP597" s="547"/>
      <c r="AQ597" s="547"/>
      <c r="AR597" s="547"/>
      <c r="AS597" s="547"/>
      <c r="AT597" s="547"/>
      <c r="AU597" s="547"/>
      <c r="AV597" s="547"/>
      <c r="AW597" s="547"/>
      <c r="AX597" s="547"/>
      <c r="AY597" s="547"/>
      <c r="AZ597" s="547"/>
      <c r="BA597" s="547"/>
      <c r="BB597" s="547"/>
      <c r="BC597" s="547"/>
      <c r="BD597" s="547"/>
      <c r="BE597" s="548"/>
      <c r="BF597" s="547"/>
      <c r="BG597" s="547"/>
      <c r="BH597" s="547"/>
      <c r="BI597" s="547"/>
      <c r="BJ597" s="36"/>
      <c r="BK597" s="174"/>
      <c r="BL597" s="174"/>
      <c r="BM597" s="7"/>
    </row>
    <row r="598" spans="1:65" ht="15.75" customHeight="1">
      <c r="A598" s="546"/>
      <c r="B598" s="552"/>
      <c r="C598" s="547"/>
      <c r="D598" s="546"/>
      <c r="E598" s="547"/>
      <c r="F598" s="547"/>
      <c r="G598" s="547"/>
      <c r="H598" s="547"/>
      <c r="I598" s="547"/>
      <c r="J598" s="547"/>
      <c r="K598" s="547"/>
      <c r="L598" s="547"/>
      <c r="M598" s="547"/>
      <c r="N598" s="547"/>
      <c r="O598" s="547"/>
      <c r="P598" s="547"/>
      <c r="Q598" s="547"/>
      <c r="R598" s="547"/>
      <c r="S598" s="547"/>
      <c r="T598" s="547"/>
      <c r="U598" s="547"/>
      <c r="V598" s="547"/>
      <c r="W598" s="547"/>
      <c r="X598" s="547"/>
      <c r="Y598" s="547"/>
      <c r="Z598" s="547"/>
      <c r="AA598" s="547"/>
      <c r="AB598" s="547"/>
      <c r="AC598" s="547"/>
      <c r="AD598" s="547"/>
      <c r="AE598" s="547"/>
      <c r="AF598" s="548"/>
      <c r="AG598" s="547"/>
      <c r="AH598" s="547"/>
      <c r="AI598" s="547"/>
      <c r="AJ598" s="547"/>
      <c r="AK598" s="547"/>
      <c r="AL598" s="547"/>
      <c r="AM598" s="547"/>
      <c r="AN598" s="547"/>
      <c r="AO598" s="547"/>
      <c r="AP598" s="547"/>
      <c r="AQ598" s="547"/>
      <c r="AR598" s="547"/>
      <c r="AS598" s="547"/>
      <c r="AT598" s="547"/>
      <c r="AU598" s="547"/>
      <c r="AV598" s="547"/>
      <c r="AW598" s="547"/>
      <c r="AX598" s="547"/>
      <c r="AY598" s="547"/>
      <c r="AZ598" s="547"/>
      <c r="BA598" s="547"/>
      <c r="BB598" s="547"/>
      <c r="BC598" s="547"/>
      <c r="BD598" s="547"/>
      <c r="BE598" s="548"/>
      <c r="BF598" s="547"/>
      <c r="BG598" s="547"/>
      <c r="BH598" s="547"/>
      <c r="BI598" s="547"/>
      <c r="BJ598" s="36"/>
      <c r="BK598" s="174"/>
      <c r="BL598" s="174"/>
      <c r="BM598" s="7"/>
    </row>
    <row r="599" spans="1:65" ht="15.75" customHeight="1">
      <c r="A599" s="546"/>
      <c r="B599" s="552"/>
      <c r="C599" s="547"/>
      <c r="D599" s="546"/>
      <c r="E599" s="547"/>
      <c r="F599" s="547"/>
      <c r="G599" s="547"/>
      <c r="H599" s="547"/>
      <c r="I599" s="547"/>
      <c r="J599" s="547"/>
      <c r="K599" s="547"/>
      <c r="L599" s="547"/>
      <c r="M599" s="547"/>
      <c r="N599" s="547"/>
      <c r="O599" s="547"/>
      <c r="P599" s="547"/>
      <c r="Q599" s="547"/>
      <c r="R599" s="547"/>
      <c r="S599" s="547"/>
      <c r="T599" s="547"/>
      <c r="U599" s="547"/>
      <c r="V599" s="547"/>
      <c r="W599" s="547"/>
      <c r="X599" s="547"/>
      <c r="Y599" s="547"/>
      <c r="Z599" s="547"/>
      <c r="AA599" s="547"/>
      <c r="AB599" s="547"/>
      <c r="AC599" s="547"/>
      <c r="AD599" s="547"/>
      <c r="AE599" s="547"/>
      <c r="AF599" s="548"/>
      <c r="AG599" s="547"/>
      <c r="AH599" s="547"/>
      <c r="AI599" s="547"/>
      <c r="AJ599" s="547"/>
      <c r="AK599" s="547"/>
      <c r="AL599" s="547"/>
      <c r="AM599" s="547"/>
      <c r="AN599" s="547"/>
      <c r="AO599" s="547"/>
      <c r="AP599" s="547"/>
      <c r="AQ599" s="547"/>
      <c r="AR599" s="547"/>
      <c r="AS599" s="547"/>
      <c r="AT599" s="547"/>
      <c r="AU599" s="547"/>
      <c r="AV599" s="547"/>
      <c r="AW599" s="547"/>
      <c r="AX599" s="547"/>
      <c r="AY599" s="547"/>
      <c r="AZ599" s="547"/>
      <c r="BA599" s="547"/>
      <c r="BB599" s="547"/>
      <c r="BC599" s="547"/>
      <c r="BD599" s="547"/>
      <c r="BE599" s="548"/>
      <c r="BF599" s="547"/>
      <c r="BG599" s="547"/>
      <c r="BH599" s="547"/>
      <c r="BI599" s="547"/>
      <c r="BJ599" s="36"/>
      <c r="BK599" s="174"/>
      <c r="BL599" s="174"/>
      <c r="BM599" s="7"/>
    </row>
    <row r="600" spans="1:65" ht="15.75" customHeight="1">
      <c r="A600" s="546"/>
      <c r="B600" s="552"/>
      <c r="C600" s="547"/>
      <c r="D600" s="546"/>
      <c r="E600" s="547"/>
      <c r="F600" s="547"/>
      <c r="G600" s="547"/>
      <c r="H600" s="547"/>
      <c r="I600" s="547"/>
      <c r="J600" s="547"/>
      <c r="K600" s="547"/>
      <c r="L600" s="547"/>
      <c r="M600" s="547"/>
      <c r="N600" s="547"/>
      <c r="O600" s="547"/>
      <c r="P600" s="547"/>
      <c r="Q600" s="547"/>
      <c r="R600" s="547"/>
      <c r="S600" s="547"/>
      <c r="T600" s="547"/>
      <c r="U600" s="547"/>
      <c r="V600" s="547"/>
      <c r="W600" s="547"/>
      <c r="X600" s="547"/>
      <c r="Y600" s="547"/>
      <c r="Z600" s="547"/>
      <c r="AA600" s="547"/>
      <c r="AB600" s="547"/>
      <c r="AC600" s="547"/>
      <c r="AD600" s="547"/>
      <c r="AE600" s="547"/>
      <c r="AF600" s="548"/>
      <c r="AG600" s="547"/>
      <c r="AH600" s="547"/>
      <c r="AI600" s="547"/>
      <c r="AJ600" s="547"/>
      <c r="AK600" s="547"/>
      <c r="AL600" s="547"/>
      <c r="AM600" s="547"/>
      <c r="AN600" s="547"/>
      <c r="AO600" s="547"/>
      <c r="AP600" s="547"/>
      <c r="AQ600" s="547"/>
      <c r="AR600" s="547"/>
      <c r="AS600" s="547"/>
      <c r="AT600" s="547"/>
      <c r="AU600" s="547"/>
      <c r="AV600" s="547"/>
      <c r="AW600" s="547"/>
      <c r="AX600" s="547"/>
      <c r="AY600" s="547"/>
      <c r="AZ600" s="547"/>
      <c r="BA600" s="547"/>
      <c r="BB600" s="547"/>
      <c r="BC600" s="547"/>
      <c r="BD600" s="547"/>
      <c r="BE600" s="548"/>
      <c r="BF600" s="547"/>
      <c r="BG600" s="547"/>
      <c r="BH600" s="547"/>
      <c r="BI600" s="547"/>
      <c r="BJ600" s="36"/>
      <c r="BK600" s="174"/>
      <c r="BL600" s="174"/>
      <c r="BM600" s="7"/>
    </row>
    <row r="601" spans="1:65" ht="15.75" customHeight="1">
      <c r="A601" s="546"/>
      <c r="B601" s="552"/>
      <c r="C601" s="547"/>
      <c r="D601" s="546"/>
      <c r="E601" s="547"/>
      <c r="F601" s="547"/>
      <c r="G601" s="547"/>
      <c r="H601" s="547"/>
      <c r="I601" s="547"/>
      <c r="J601" s="547"/>
      <c r="K601" s="547"/>
      <c r="L601" s="547"/>
      <c r="M601" s="547"/>
      <c r="N601" s="547"/>
      <c r="O601" s="547"/>
      <c r="P601" s="547"/>
      <c r="Q601" s="547"/>
      <c r="R601" s="547"/>
      <c r="S601" s="547"/>
      <c r="T601" s="547"/>
      <c r="U601" s="547"/>
      <c r="V601" s="547"/>
      <c r="W601" s="547"/>
      <c r="X601" s="547"/>
      <c r="Y601" s="547"/>
      <c r="Z601" s="547"/>
      <c r="AA601" s="547"/>
      <c r="AB601" s="547"/>
      <c r="AC601" s="547"/>
      <c r="AD601" s="547"/>
      <c r="AE601" s="547"/>
      <c r="AF601" s="548"/>
      <c r="AG601" s="547"/>
      <c r="AH601" s="547"/>
      <c r="AI601" s="547"/>
      <c r="AJ601" s="547"/>
      <c r="AK601" s="547"/>
      <c r="AL601" s="547"/>
      <c r="AM601" s="547"/>
      <c r="AN601" s="547"/>
      <c r="AO601" s="547"/>
      <c r="AP601" s="547"/>
      <c r="AQ601" s="547"/>
      <c r="AR601" s="547"/>
      <c r="AS601" s="547"/>
      <c r="AT601" s="547"/>
      <c r="AU601" s="547"/>
      <c r="AV601" s="547"/>
      <c r="AW601" s="547"/>
      <c r="AX601" s="547"/>
      <c r="AY601" s="547"/>
      <c r="AZ601" s="547"/>
      <c r="BA601" s="547"/>
      <c r="BB601" s="547"/>
      <c r="BC601" s="547"/>
      <c r="BD601" s="547"/>
      <c r="BE601" s="548"/>
      <c r="BF601" s="547"/>
      <c r="BG601" s="547"/>
      <c r="BH601" s="547"/>
      <c r="BI601" s="547"/>
      <c r="BJ601" s="36"/>
      <c r="BK601" s="174"/>
      <c r="BL601" s="174"/>
      <c r="BM601" s="7"/>
    </row>
    <row r="602" spans="1:65" ht="15.75" customHeight="1">
      <c r="A602" s="546"/>
      <c r="B602" s="552"/>
      <c r="C602" s="547"/>
      <c r="D602" s="546"/>
      <c r="E602" s="547"/>
      <c r="F602" s="547"/>
      <c r="G602" s="547"/>
      <c r="H602" s="547"/>
      <c r="I602" s="547"/>
      <c r="J602" s="547"/>
      <c r="K602" s="547"/>
      <c r="L602" s="547"/>
      <c r="M602" s="547"/>
      <c r="N602" s="547"/>
      <c r="O602" s="547"/>
      <c r="P602" s="547"/>
      <c r="Q602" s="547"/>
      <c r="R602" s="547"/>
      <c r="S602" s="547"/>
      <c r="T602" s="547"/>
      <c r="U602" s="547"/>
      <c r="V602" s="547"/>
      <c r="W602" s="547"/>
      <c r="X602" s="547"/>
      <c r="Y602" s="547"/>
      <c r="Z602" s="547"/>
      <c r="AA602" s="547"/>
      <c r="AB602" s="547"/>
      <c r="AC602" s="547"/>
      <c r="AD602" s="547"/>
      <c r="AE602" s="547"/>
      <c r="AF602" s="548"/>
      <c r="AG602" s="547"/>
      <c r="AH602" s="547"/>
      <c r="AI602" s="547"/>
      <c r="AJ602" s="547"/>
      <c r="AK602" s="547"/>
      <c r="AL602" s="547"/>
      <c r="AM602" s="547"/>
      <c r="AN602" s="547"/>
      <c r="AO602" s="547"/>
      <c r="AP602" s="547"/>
      <c r="AQ602" s="547"/>
      <c r="AR602" s="547"/>
      <c r="AS602" s="547"/>
      <c r="AT602" s="547"/>
      <c r="AU602" s="547"/>
      <c r="AV602" s="547"/>
      <c r="AW602" s="547"/>
      <c r="AX602" s="547"/>
      <c r="AY602" s="547"/>
      <c r="AZ602" s="547"/>
      <c r="BA602" s="547"/>
      <c r="BB602" s="547"/>
      <c r="BC602" s="547"/>
      <c r="BD602" s="547"/>
      <c r="BE602" s="548"/>
      <c r="BF602" s="547"/>
      <c r="BG602" s="547"/>
      <c r="BH602" s="547"/>
      <c r="BI602" s="547"/>
      <c r="BJ602" s="36"/>
      <c r="BK602" s="174"/>
      <c r="BL602" s="174"/>
      <c r="BM602" s="7"/>
    </row>
    <row r="603" spans="1:65" ht="15.75" customHeight="1">
      <c r="A603" s="546"/>
      <c r="B603" s="552"/>
      <c r="C603" s="547"/>
      <c r="D603" s="546"/>
      <c r="E603" s="547"/>
      <c r="F603" s="547"/>
      <c r="G603" s="547"/>
      <c r="H603" s="547"/>
      <c r="I603" s="547"/>
      <c r="J603" s="547"/>
      <c r="K603" s="547"/>
      <c r="L603" s="547"/>
      <c r="M603" s="547"/>
      <c r="N603" s="547"/>
      <c r="O603" s="547"/>
      <c r="P603" s="547"/>
      <c r="Q603" s="547"/>
      <c r="R603" s="547"/>
      <c r="S603" s="547"/>
      <c r="T603" s="547"/>
      <c r="U603" s="547"/>
      <c r="V603" s="547"/>
      <c r="W603" s="547"/>
      <c r="X603" s="547"/>
      <c r="Y603" s="547"/>
      <c r="Z603" s="547"/>
      <c r="AA603" s="547"/>
      <c r="AB603" s="547"/>
      <c r="AC603" s="547"/>
      <c r="AD603" s="547"/>
      <c r="AE603" s="547"/>
      <c r="AF603" s="548"/>
      <c r="AG603" s="547"/>
      <c r="AH603" s="547"/>
      <c r="AI603" s="547"/>
      <c r="AJ603" s="547"/>
      <c r="AK603" s="547"/>
      <c r="AL603" s="547"/>
      <c r="AM603" s="547"/>
      <c r="AN603" s="547"/>
      <c r="AO603" s="547"/>
      <c r="AP603" s="547"/>
      <c r="AQ603" s="547"/>
      <c r="AR603" s="547"/>
      <c r="AS603" s="547"/>
      <c r="AT603" s="547"/>
      <c r="AU603" s="547"/>
      <c r="AV603" s="547"/>
      <c r="AW603" s="547"/>
      <c r="AX603" s="547"/>
      <c r="AY603" s="547"/>
      <c r="AZ603" s="547"/>
      <c r="BA603" s="547"/>
      <c r="BB603" s="547"/>
      <c r="BC603" s="547"/>
      <c r="BD603" s="547"/>
      <c r="BE603" s="548"/>
      <c r="BF603" s="547"/>
      <c r="BG603" s="547"/>
      <c r="BH603" s="547"/>
      <c r="BI603" s="547"/>
      <c r="BJ603" s="36"/>
      <c r="BK603" s="174"/>
      <c r="BL603" s="174"/>
      <c r="BM603" s="7"/>
    </row>
    <row r="604" spans="1:65" ht="15.75" customHeight="1">
      <c r="A604" s="546"/>
      <c r="B604" s="552"/>
      <c r="C604" s="547"/>
      <c r="D604" s="546"/>
      <c r="E604" s="547"/>
      <c r="F604" s="547"/>
      <c r="G604" s="547"/>
      <c r="H604" s="547"/>
      <c r="I604" s="547"/>
      <c r="J604" s="547"/>
      <c r="K604" s="547"/>
      <c r="L604" s="547"/>
      <c r="M604" s="547"/>
      <c r="N604" s="547"/>
      <c r="O604" s="547"/>
      <c r="P604" s="547"/>
      <c r="Q604" s="547"/>
      <c r="R604" s="547"/>
      <c r="S604" s="547"/>
      <c r="T604" s="547"/>
      <c r="U604" s="547"/>
      <c r="V604" s="547"/>
      <c r="W604" s="547"/>
      <c r="X604" s="547"/>
      <c r="Y604" s="547"/>
      <c r="Z604" s="547"/>
      <c r="AA604" s="547"/>
      <c r="AB604" s="547"/>
      <c r="AC604" s="547"/>
      <c r="AD604" s="547"/>
      <c r="AE604" s="547"/>
      <c r="AF604" s="548"/>
      <c r="AG604" s="547"/>
      <c r="AH604" s="547"/>
      <c r="AI604" s="547"/>
      <c r="AJ604" s="547"/>
      <c r="AK604" s="547"/>
      <c r="AL604" s="547"/>
      <c r="AM604" s="547"/>
      <c r="AN604" s="547"/>
      <c r="AO604" s="547"/>
      <c r="AP604" s="547"/>
      <c r="AQ604" s="547"/>
      <c r="AR604" s="547"/>
      <c r="AS604" s="547"/>
      <c r="AT604" s="547"/>
      <c r="AU604" s="547"/>
      <c r="AV604" s="547"/>
      <c r="AW604" s="547"/>
      <c r="AX604" s="547"/>
      <c r="AY604" s="547"/>
      <c r="AZ604" s="547"/>
      <c r="BA604" s="547"/>
      <c r="BB604" s="547"/>
      <c r="BC604" s="547"/>
      <c r="BD604" s="547"/>
      <c r="BE604" s="548"/>
      <c r="BF604" s="547"/>
      <c r="BG604" s="547"/>
      <c r="BH604" s="547"/>
      <c r="BI604" s="547"/>
      <c r="BJ604" s="36"/>
      <c r="BK604" s="174"/>
      <c r="BL604" s="174"/>
      <c r="BM604" s="7"/>
    </row>
    <row r="605" spans="1:65" ht="15.75" customHeight="1">
      <c r="A605" s="546"/>
      <c r="B605" s="552"/>
      <c r="C605" s="547"/>
      <c r="D605" s="546"/>
      <c r="E605" s="547"/>
      <c r="F605" s="547"/>
      <c r="G605" s="547"/>
      <c r="H605" s="547"/>
      <c r="I605" s="547"/>
      <c r="J605" s="547"/>
      <c r="K605" s="547"/>
      <c r="L605" s="547"/>
      <c r="M605" s="547"/>
      <c r="N605" s="547"/>
      <c r="O605" s="547"/>
      <c r="P605" s="547"/>
      <c r="Q605" s="547"/>
      <c r="R605" s="547"/>
      <c r="S605" s="547"/>
      <c r="T605" s="547"/>
      <c r="U605" s="547"/>
      <c r="V605" s="547"/>
      <c r="W605" s="547"/>
      <c r="X605" s="547"/>
      <c r="Y605" s="547"/>
      <c r="Z605" s="547"/>
      <c r="AA605" s="547"/>
      <c r="AB605" s="547"/>
      <c r="AC605" s="547"/>
      <c r="AD605" s="547"/>
      <c r="AE605" s="547"/>
      <c r="AF605" s="548"/>
      <c r="AG605" s="547"/>
      <c r="AH605" s="547"/>
      <c r="AI605" s="547"/>
      <c r="AJ605" s="547"/>
      <c r="AK605" s="547"/>
      <c r="AL605" s="547"/>
      <c r="AM605" s="547"/>
      <c r="AN605" s="547"/>
      <c r="AO605" s="547"/>
      <c r="AP605" s="547"/>
      <c r="AQ605" s="547"/>
      <c r="AR605" s="547"/>
      <c r="AS605" s="547"/>
      <c r="AT605" s="547"/>
      <c r="AU605" s="547"/>
      <c r="AV605" s="547"/>
      <c r="AW605" s="547"/>
      <c r="AX605" s="547"/>
      <c r="AY605" s="547"/>
      <c r="AZ605" s="547"/>
      <c r="BA605" s="547"/>
      <c r="BB605" s="547"/>
      <c r="BC605" s="547"/>
      <c r="BD605" s="547"/>
      <c r="BE605" s="548"/>
      <c r="BF605" s="547"/>
      <c r="BG605" s="547"/>
      <c r="BH605" s="547"/>
      <c r="BI605" s="547"/>
      <c r="BJ605" s="36"/>
      <c r="BK605" s="174"/>
      <c r="BL605" s="174"/>
      <c r="BM605" s="7"/>
    </row>
    <row r="606" spans="1:65" ht="15.75" customHeight="1">
      <c r="A606" s="546"/>
      <c r="B606" s="552"/>
      <c r="C606" s="547"/>
      <c r="D606" s="546"/>
      <c r="E606" s="547"/>
      <c r="F606" s="547"/>
      <c r="G606" s="547"/>
      <c r="H606" s="547"/>
      <c r="I606" s="547"/>
      <c r="J606" s="547"/>
      <c r="K606" s="547"/>
      <c r="L606" s="547"/>
      <c r="M606" s="547"/>
      <c r="N606" s="547"/>
      <c r="O606" s="547"/>
      <c r="P606" s="547"/>
      <c r="Q606" s="547"/>
      <c r="R606" s="547"/>
      <c r="S606" s="547"/>
      <c r="T606" s="547"/>
      <c r="U606" s="547"/>
      <c r="V606" s="547"/>
      <c r="W606" s="547"/>
      <c r="X606" s="547"/>
      <c r="Y606" s="547"/>
      <c r="Z606" s="547"/>
      <c r="AA606" s="547"/>
      <c r="AB606" s="547"/>
      <c r="AC606" s="547"/>
      <c r="AD606" s="547"/>
      <c r="AE606" s="547"/>
      <c r="AF606" s="548"/>
      <c r="AG606" s="547"/>
      <c r="AH606" s="547"/>
      <c r="AI606" s="547"/>
      <c r="AJ606" s="547"/>
      <c r="AK606" s="547"/>
      <c r="AL606" s="547"/>
      <c r="AM606" s="547"/>
      <c r="AN606" s="547"/>
      <c r="AO606" s="547"/>
      <c r="AP606" s="547"/>
      <c r="AQ606" s="547"/>
      <c r="AR606" s="547"/>
      <c r="AS606" s="547"/>
      <c r="AT606" s="547"/>
      <c r="AU606" s="547"/>
      <c r="AV606" s="547"/>
      <c r="AW606" s="547"/>
      <c r="AX606" s="547"/>
      <c r="AY606" s="547"/>
      <c r="AZ606" s="547"/>
      <c r="BA606" s="547"/>
      <c r="BB606" s="547"/>
      <c r="BC606" s="547"/>
      <c r="BD606" s="547"/>
      <c r="BE606" s="548"/>
      <c r="BF606" s="547"/>
      <c r="BG606" s="547"/>
      <c r="BH606" s="547"/>
      <c r="BI606" s="547"/>
      <c r="BJ606" s="36"/>
      <c r="BK606" s="174"/>
      <c r="BL606" s="174"/>
      <c r="BM606" s="7"/>
    </row>
    <row r="607" spans="1:65" ht="15.75" customHeight="1">
      <c r="A607" s="546"/>
      <c r="B607" s="552"/>
      <c r="C607" s="547"/>
      <c r="D607" s="546"/>
      <c r="E607" s="547"/>
      <c r="F607" s="547"/>
      <c r="G607" s="547"/>
      <c r="H607" s="547"/>
      <c r="I607" s="547"/>
      <c r="J607" s="547"/>
      <c r="K607" s="547"/>
      <c r="L607" s="547"/>
      <c r="M607" s="547"/>
      <c r="N607" s="547"/>
      <c r="O607" s="547"/>
      <c r="P607" s="547"/>
      <c r="Q607" s="547"/>
      <c r="R607" s="547"/>
      <c r="S607" s="547"/>
      <c r="T607" s="547"/>
      <c r="U607" s="547"/>
      <c r="V607" s="547"/>
      <c r="W607" s="547"/>
      <c r="X607" s="547"/>
      <c r="Y607" s="547"/>
      <c r="Z607" s="547"/>
      <c r="AA607" s="547"/>
      <c r="AB607" s="547"/>
      <c r="AC607" s="547"/>
      <c r="AD607" s="547"/>
      <c r="AE607" s="547"/>
      <c r="AF607" s="548"/>
      <c r="AG607" s="547"/>
      <c r="AH607" s="547"/>
      <c r="AI607" s="547"/>
      <c r="AJ607" s="547"/>
      <c r="AK607" s="547"/>
      <c r="AL607" s="547"/>
      <c r="AM607" s="547"/>
      <c r="AN607" s="547"/>
      <c r="AO607" s="547"/>
      <c r="AP607" s="547"/>
      <c r="AQ607" s="547"/>
      <c r="AR607" s="547"/>
      <c r="AS607" s="547"/>
      <c r="AT607" s="547"/>
      <c r="AU607" s="547"/>
      <c r="AV607" s="547"/>
      <c r="AW607" s="547"/>
      <c r="AX607" s="547"/>
      <c r="AY607" s="547"/>
      <c r="AZ607" s="547"/>
      <c r="BA607" s="547"/>
      <c r="BB607" s="547"/>
      <c r="BC607" s="547"/>
      <c r="BD607" s="547"/>
      <c r="BE607" s="548"/>
      <c r="BF607" s="547"/>
      <c r="BG607" s="547"/>
      <c r="BH607" s="547"/>
      <c r="BI607" s="547"/>
      <c r="BJ607" s="36"/>
      <c r="BK607" s="174"/>
      <c r="BL607" s="174"/>
      <c r="BM607" s="7"/>
    </row>
    <row r="608" spans="1:65" ht="15.75" customHeight="1">
      <c r="A608" s="546"/>
      <c r="B608" s="552"/>
      <c r="C608" s="547"/>
      <c r="D608" s="546"/>
      <c r="E608" s="547"/>
      <c r="F608" s="547"/>
      <c r="G608" s="547"/>
      <c r="H608" s="547"/>
      <c r="I608" s="547"/>
      <c r="J608" s="547"/>
      <c r="K608" s="547"/>
      <c r="L608" s="547"/>
      <c r="M608" s="547"/>
      <c r="N608" s="547"/>
      <c r="O608" s="547"/>
      <c r="P608" s="547"/>
      <c r="Q608" s="547"/>
      <c r="R608" s="547"/>
      <c r="S608" s="547"/>
      <c r="T608" s="547"/>
      <c r="U608" s="547"/>
      <c r="V608" s="547"/>
      <c r="W608" s="547"/>
      <c r="X608" s="547"/>
      <c r="Y608" s="547"/>
      <c r="Z608" s="547"/>
      <c r="AA608" s="547"/>
      <c r="AB608" s="547"/>
      <c r="AC608" s="547"/>
      <c r="AD608" s="547"/>
      <c r="AE608" s="547"/>
      <c r="AF608" s="548"/>
      <c r="AG608" s="547"/>
      <c r="AH608" s="547"/>
      <c r="AI608" s="547"/>
      <c r="AJ608" s="547"/>
      <c r="AK608" s="547"/>
      <c r="AL608" s="547"/>
      <c r="AM608" s="547"/>
      <c r="AN608" s="547"/>
      <c r="AO608" s="547"/>
      <c r="AP608" s="547"/>
      <c r="AQ608" s="547"/>
      <c r="AR608" s="547"/>
      <c r="AS608" s="547"/>
      <c r="AT608" s="547"/>
      <c r="AU608" s="547"/>
      <c r="AV608" s="547"/>
      <c r="AW608" s="547"/>
      <c r="AX608" s="547"/>
      <c r="AY608" s="547"/>
      <c r="AZ608" s="547"/>
      <c r="BA608" s="547"/>
      <c r="BB608" s="547"/>
      <c r="BC608" s="547"/>
      <c r="BD608" s="547"/>
      <c r="BE608" s="548"/>
      <c r="BF608" s="547"/>
      <c r="BG608" s="547"/>
      <c r="BH608" s="547"/>
      <c r="BI608" s="547"/>
      <c r="BJ608" s="36"/>
      <c r="BK608" s="174"/>
      <c r="BL608" s="174"/>
      <c r="BM608" s="7"/>
    </row>
    <row r="609" spans="1:65" ht="15.75" customHeight="1">
      <c r="A609" s="546"/>
      <c r="B609" s="552"/>
      <c r="C609" s="547"/>
      <c r="D609" s="546"/>
      <c r="E609" s="547"/>
      <c r="F609" s="547"/>
      <c r="G609" s="547"/>
      <c r="H609" s="547"/>
      <c r="I609" s="547"/>
      <c r="J609" s="547"/>
      <c r="K609" s="547"/>
      <c r="L609" s="547"/>
      <c r="M609" s="547"/>
      <c r="N609" s="547"/>
      <c r="O609" s="547"/>
      <c r="P609" s="547"/>
      <c r="Q609" s="547"/>
      <c r="R609" s="547"/>
      <c r="S609" s="547"/>
      <c r="T609" s="547"/>
      <c r="U609" s="547"/>
      <c r="V609" s="547"/>
      <c r="W609" s="547"/>
      <c r="X609" s="547"/>
      <c r="Y609" s="547"/>
      <c r="Z609" s="547"/>
      <c r="AA609" s="547"/>
      <c r="AB609" s="547"/>
      <c r="AC609" s="547"/>
      <c r="AD609" s="547"/>
      <c r="AE609" s="547"/>
      <c r="AF609" s="548"/>
      <c r="AG609" s="547"/>
      <c r="AH609" s="547"/>
      <c r="AI609" s="547"/>
      <c r="AJ609" s="547"/>
      <c r="AK609" s="547"/>
      <c r="AL609" s="547"/>
      <c r="AM609" s="547"/>
      <c r="AN609" s="547"/>
      <c r="AO609" s="547"/>
      <c r="AP609" s="547"/>
      <c r="AQ609" s="547"/>
      <c r="AR609" s="547"/>
      <c r="AS609" s="547"/>
      <c r="AT609" s="547"/>
      <c r="AU609" s="547"/>
      <c r="AV609" s="547"/>
      <c r="AW609" s="547"/>
      <c r="AX609" s="547"/>
      <c r="AY609" s="547"/>
      <c r="AZ609" s="547"/>
      <c r="BA609" s="547"/>
      <c r="BB609" s="547"/>
      <c r="BC609" s="547"/>
      <c r="BD609" s="547"/>
      <c r="BE609" s="548"/>
      <c r="BF609" s="547"/>
      <c r="BG609" s="547"/>
      <c r="BH609" s="547"/>
      <c r="BI609" s="547"/>
      <c r="BJ609" s="36"/>
      <c r="BK609" s="174"/>
      <c r="BL609" s="174"/>
      <c r="BM609" s="7"/>
    </row>
    <row r="610" spans="1:65" ht="15.75" customHeight="1">
      <c r="A610" s="546"/>
      <c r="B610" s="552"/>
      <c r="C610" s="547"/>
      <c r="D610" s="546"/>
      <c r="E610" s="547"/>
      <c r="F610" s="547"/>
      <c r="G610" s="547"/>
      <c r="H610" s="547"/>
      <c r="I610" s="547"/>
      <c r="J610" s="547"/>
      <c r="K610" s="547"/>
      <c r="L610" s="547"/>
      <c r="M610" s="547"/>
      <c r="N610" s="547"/>
      <c r="O610" s="547"/>
      <c r="P610" s="547"/>
      <c r="Q610" s="547"/>
      <c r="R610" s="547"/>
      <c r="S610" s="547"/>
      <c r="T610" s="547"/>
      <c r="U610" s="547"/>
      <c r="V610" s="547"/>
      <c r="W610" s="547"/>
      <c r="X610" s="547"/>
      <c r="Y610" s="547"/>
      <c r="Z610" s="547"/>
      <c r="AA610" s="547"/>
      <c r="AB610" s="547"/>
      <c r="AC610" s="547"/>
      <c r="AD610" s="547"/>
      <c r="AE610" s="547"/>
      <c r="AF610" s="548"/>
      <c r="AG610" s="547"/>
      <c r="AH610" s="547"/>
      <c r="AI610" s="547"/>
      <c r="AJ610" s="547"/>
      <c r="AK610" s="547"/>
      <c r="AL610" s="547"/>
      <c r="AM610" s="547"/>
      <c r="AN610" s="547"/>
      <c r="AO610" s="547"/>
      <c r="AP610" s="547"/>
      <c r="AQ610" s="547"/>
      <c r="AR610" s="547"/>
      <c r="AS610" s="547"/>
      <c r="AT610" s="547"/>
      <c r="AU610" s="547"/>
      <c r="AV610" s="547"/>
      <c r="AW610" s="547"/>
      <c r="AX610" s="547"/>
      <c r="AY610" s="547"/>
      <c r="AZ610" s="547"/>
      <c r="BA610" s="547"/>
      <c r="BB610" s="547"/>
      <c r="BC610" s="547"/>
      <c r="BD610" s="547"/>
      <c r="BE610" s="548"/>
      <c r="BF610" s="547"/>
      <c r="BG610" s="547"/>
      <c r="BH610" s="547"/>
      <c r="BI610" s="547"/>
      <c r="BJ610" s="36"/>
      <c r="BK610" s="174"/>
      <c r="BL610" s="174"/>
      <c r="BM610" s="7"/>
    </row>
    <row r="611" spans="1:65" ht="15.75" customHeight="1">
      <c r="A611" s="546"/>
      <c r="B611" s="552"/>
      <c r="C611" s="547"/>
      <c r="D611" s="546"/>
      <c r="E611" s="547"/>
      <c r="F611" s="547"/>
      <c r="G611" s="547"/>
      <c r="H611" s="547"/>
      <c r="I611" s="547"/>
      <c r="J611" s="547"/>
      <c r="K611" s="547"/>
      <c r="L611" s="547"/>
      <c r="M611" s="547"/>
      <c r="N611" s="547"/>
      <c r="O611" s="547"/>
      <c r="P611" s="547"/>
      <c r="Q611" s="547"/>
      <c r="R611" s="547"/>
      <c r="S611" s="547"/>
      <c r="T611" s="547"/>
      <c r="U611" s="547"/>
      <c r="V611" s="547"/>
      <c r="W611" s="547"/>
      <c r="X611" s="547"/>
      <c r="Y611" s="547"/>
      <c r="Z611" s="547"/>
      <c r="AA611" s="547"/>
      <c r="AB611" s="547"/>
      <c r="AC611" s="547"/>
      <c r="AD611" s="547"/>
      <c r="AE611" s="547"/>
      <c r="AF611" s="548"/>
      <c r="AG611" s="547"/>
      <c r="AH611" s="547"/>
      <c r="AI611" s="547"/>
      <c r="AJ611" s="547"/>
      <c r="AK611" s="547"/>
      <c r="AL611" s="547"/>
      <c r="AM611" s="547"/>
      <c r="AN611" s="547"/>
      <c r="AO611" s="547"/>
      <c r="AP611" s="547"/>
      <c r="AQ611" s="547"/>
      <c r="AR611" s="547"/>
      <c r="AS611" s="547"/>
      <c r="AT611" s="547"/>
      <c r="AU611" s="547"/>
      <c r="AV611" s="547"/>
      <c r="AW611" s="547"/>
      <c r="AX611" s="547"/>
      <c r="AY611" s="547"/>
      <c r="AZ611" s="547"/>
      <c r="BA611" s="547"/>
      <c r="BB611" s="547"/>
      <c r="BC611" s="547"/>
      <c r="BD611" s="547"/>
      <c r="BE611" s="548"/>
      <c r="BF611" s="547"/>
      <c r="BG611" s="547"/>
      <c r="BH611" s="547"/>
      <c r="BI611" s="547"/>
      <c r="BJ611" s="36"/>
      <c r="BK611" s="174"/>
      <c r="BL611" s="174"/>
      <c r="BM611" s="7"/>
    </row>
    <row r="612" spans="1:65" ht="15.75" customHeight="1">
      <c r="A612" s="546"/>
      <c r="B612" s="552"/>
      <c r="C612" s="547"/>
      <c r="D612" s="546"/>
      <c r="E612" s="547"/>
      <c r="F612" s="547"/>
      <c r="G612" s="547"/>
      <c r="H612" s="547"/>
      <c r="I612" s="547"/>
      <c r="J612" s="547"/>
      <c r="K612" s="547"/>
      <c r="L612" s="547"/>
      <c r="M612" s="547"/>
      <c r="N612" s="547"/>
      <c r="O612" s="547"/>
      <c r="P612" s="547"/>
      <c r="Q612" s="547"/>
      <c r="R612" s="547"/>
      <c r="S612" s="547"/>
      <c r="T612" s="547"/>
      <c r="U612" s="547"/>
      <c r="V612" s="547"/>
      <c r="W612" s="547"/>
      <c r="X612" s="547"/>
      <c r="Y612" s="547"/>
      <c r="Z612" s="547"/>
      <c r="AA612" s="547"/>
      <c r="AB612" s="547"/>
      <c r="AC612" s="547"/>
      <c r="AD612" s="547"/>
      <c r="AE612" s="547"/>
      <c r="AF612" s="548"/>
      <c r="AG612" s="547"/>
      <c r="AH612" s="547"/>
      <c r="AI612" s="547"/>
      <c r="AJ612" s="547"/>
      <c r="AK612" s="547"/>
      <c r="AL612" s="547"/>
      <c r="AM612" s="547"/>
      <c r="AN612" s="547"/>
      <c r="AO612" s="547"/>
      <c r="AP612" s="547"/>
      <c r="AQ612" s="547"/>
      <c r="AR612" s="547"/>
      <c r="AS612" s="547"/>
      <c r="AT612" s="547"/>
      <c r="AU612" s="547"/>
      <c r="AV612" s="547"/>
      <c r="AW612" s="547"/>
      <c r="AX612" s="547"/>
      <c r="AY612" s="547"/>
      <c r="AZ612" s="547"/>
      <c r="BA612" s="547"/>
      <c r="BB612" s="547"/>
      <c r="BC612" s="547"/>
      <c r="BD612" s="547"/>
      <c r="BE612" s="548"/>
      <c r="BF612" s="547"/>
      <c r="BG612" s="547"/>
      <c r="BH612" s="547"/>
      <c r="BI612" s="547"/>
      <c r="BJ612" s="36"/>
      <c r="BK612" s="174"/>
      <c r="BL612" s="174"/>
      <c r="BM612" s="7"/>
    </row>
    <row r="613" spans="1:65" ht="15.75" customHeight="1">
      <c r="A613" s="546"/>
      <c r="B613" s="552"/>
      <c r="C613" s="547"/>
      <c r="D613" s="546"/>
      <c r="E613" s="547"/>
      <c r="F613" s="547"/>
      <c r="G613" s="547"/>
      <c r="H613" s="547"/>
      <c r="I613" s="547"/>
      <c r="J613" s="547"/>
      <c r="K613" s="547"/>
      <c r="L613" s="547"/>
      <c r="M613" s="547"/>
      <c r="N613" s="547"/>
      <c r="O613" s="547"/>
      <c r="P613" s="547"/>
      <c r="Q613" s="547"/>
      <c r="R613" s="547"/>
      <c r="S613" s="547"/>
      <c r="T613" s="547"/>
      <c r="U613" s="547"/>
      <c r="V613" s="547"/>
      <c r="W613" s="547"/>
      <c r="X613" s="547"/>
      <c r="Y613" s="547"/>
      <c r="Z613" s="547"/>
      <c r="AA613" s="547"/>
      <c r="AB613" s="547"/>
      <c r="AC613" s="547"/>
      <c r="AD613" s="547"/>
      <c r="AE613" s="547"/>
      <c r="AF613" s="548"/>
      <c r="AG613" s="547"/>
      <c r="AH613" s="547"/>
      <c r="AI613" s="547"/>
      <c r="AJ613" s="547"/>
      <c r="AK613" s="547"/>
      <c r="AL613" s="547"/>
      <c r="AM613" s="547"/>
      <c r="AN613" s="547"/>
      <c r="AO613" s="547"/>
      <c r="AP613" s="547"/>
      <c r="AQ613" s="547"/>
      <c r="AR613" s="547"/>
      <c r="AS613" s="547"/>
      <c r="AT613" s="547"/>
      <c r="AU613" s="547"/>
      <c r="AV613" s="547"/>
      <c r="AW613" s="547"/>
      <c r="AX613" s="547"/>
      <c r="AY613" s="547"/>
      <c r="AZ613" s="547"/>
      <c r="BA613" s="547"/>
      <c r="BB613" s="547"/>
      <c r="BC613" s="547"/>
      <c r="BD613" s="547"/>
      <c r="BE613" s="548"/>
      <c r="BF613" s="547"/>
      <c r="BG613" s="547"/>
      <c r="BH613" s="547"/>
      <c r="BI613" s="547"/>
      <c r="BJ613" s="36"/>
      <c r="BK613" s="174"/>
      <c r="BL613" s="174"/>
      <c r="BM613" s="7"/>
    </row>
    <row r="614" spans="1:65" ht="15.75" customHeight="1">
      <c r="A614" s="546"/>
      <c r="B614" s="552"/>
      <c r="C614" s="547"/>
      <c r="D614" s="546"/>
      <c r="E614" s="547"/>
      <c r="F614" s="547"/>
      <c r="G614" s="547"/>
      <c r="H614" s="547"/>
      <c r="I614" s="547"/>
      <c r="J614" s="547"/>
      <c r="K614" s="547"/>
      <c r="L614" s="547"/>
      <c r="M614" s="547"/>
      <c r="N614" s="547"/>
      <c r="O614" s="547"/>
      <c r="P614" s="547"/>
      <c r="Q614" s="547"/>
      <c r="R614" s="547"/>
      <c r="S614" s="547"/>
      <c r="T614" s="547"/>
      <c r="U614" s="547"/>
      <c r="V614" s="547"/>
      <c r="W614" s="547"/>
      <c r="X614" s="547"/>
      <c r="Y614" s="547"/>
      <c r="Z614" s="547"/>
      <c r="AA614" s="547"/>
      <c r="AB614" s="547"/>
      <c r="AC614" s="547"/>
      <c r="AD614" s="547"/>
      <c r="AE614" s="547"/>
      <c r="AF614" s="548"/>
      <c r="AG614" s="547"/>
      <c r="AH614" s="547"/>
      <c r="AI614" s="547"/>
      <c r="AJ614" s="547"/>
      <c r="AK614" s="547"/>
      <c r="AL614" s="547"/>
      <c r="AM614" s="547"/>
      <c r="AN614" s="547"/>
      <c r="AO614" s="547"/>
      <c r="AP614" s="547"/>
      <c r="AQ614" s="547"/>
      <c r="AR614" s="547"/>
      <c r="AS614" s="547"/>
      <c r="AT614" s="547"/>
      <c r="AU614" s="547"/>
      <c r="AV614" s="547"/>
      <c r="AW614" s="547"/>
      <c r="AX614" s="547"/>
      <c r="AY614" s="547"/>
      <c r="AZ614" s="547"/>
      <c r="BA614" s="547"/>
      <c r="BB614" s="547"/>
      <c r="BC614" s="547"/>
      <c r="BD614" s="547"/>
      <c r="BE614" s="548"/>
      <c r="BF614" s="547"/>
      <c r="BG614" s="547"/>
      <c r="BH614" s="547"/>
      <c r="BI614" s="547"/>
      <c r="BJ614" s="36"/>
      <c r="BK614" s="174"/>
      <c r="BL614" s="174"/>
      <c r="BM614" s="7"/>
    </row>
    <row r="615" spans="1:65" ht="15.75" customHeight="1">
      <c r="A615" s="546"/>
      <c r="B615" s="552"/>
      <c r="C615" s="547"/>
      <c r="D615" s="546"/>
      <c r="E615" s="547"/>
      <c r="F615" s="547"/>
      <c r="G615" s="547"/>
      <c r="H615" s="547"/>
      <c r="I615" s="547"/>
      <c r="J615" s="547"/>
      <c r="K615" s="547"/>
      <c r="L615" s="547"/>
      <c r="M615" s="547"/>
      <c r="N615" s="547"/>
      <c r="O615" s="547"/>
      <c r="P615" s="547"/>
      <c r="Q615" s="547"/>
      <c r="R615" s="547"/>
      <c r="S615" s="547"/>
      <c r="T615" s="547"/>
      <c r="U615" s="547"/>
      <c r="V615" s="547"/>
      <c r="W615" s="547"/>
      <c r="X615" s="547"/>
      <c r="Y615" s="547"/>
      <c r="Z615" s="547"/>
      <c r="AA615" s="547"/>
      <c r="AB615" s="547"/>
      <c r="AC615" s="547"/>
      <c r="AD615" s="547"/>
      <c r="AE615" s="547"/>
      <c r="AF615" s="548"/>
      <c r="AG615" s="547"/>
      <c r="AH615" s="547"/>
      <c r="AI615" s="547"/>
      <c r="AJ615" s="547"/>
      <c r="AK615" s="547"/>
      <c r="AL615" s="547"/>
      <c r="AM615" s="547"/>
      <c r="AN615" s="547"/>
      <c r="AO615" s="547"/>
      <c r="AP615" s="547"/>
      <c r="AQ615" s="547"/>
      <c r="AR615" s="547"/>
      <c r="AS615" s="547"/>
      <c r="AT615" s="547"/>
      <c r="AU615" s="547"/>
      <c r="AV615" s="547"/>
      <c r="AW615" s="547"/>
      <c r="AX615" s="547"/>
      <c r="AY615" s="547"/>
      <c r="AZ615" s="547"/>
      <c r="BA615" s="547"/>
      <c r="BB615" s="547"/>
      <c r="BC615" s="547"/>
      <c r="BD615" s="547"/>
      <c r="BE615" s="548"/>
      <c r="BF615" s="547"/>
      <c r="BG615" s="547"/>
      <c r="BH615" s="547"/>
      <c r="BI615" s="547"/>
      <c r="BJ615" s="36"/>
      <c r="BK615" s="174"/>
      <c r="BL615" s="174"/>
      <c r="BM615" s="7"/>
    </row>
    <row r="616" spans="1:65" ht="15.75" customHeight="1">
      <c r="A616" s="546"/>
      <c r="B616" s="552"/>
      <c r="C616" s="547"/>
      <c r="D616" s="546"/>
      <c r="E616" s="547"/>
      <c r="F616" s="547"/>
      <c r="G616" s="547"/>
      <c r="H616" s="547"/>
      <c r="I616" s="547"/>
      <c r="J616" s="547"/>
      <c r="K616" s="547"/>
      <c r="L616" s="547"/>
      <c r="M616" s="547"/>
      <c r="N616" s="547"/>
      <c r="O616" s="547"/>
      <c r="P616" s="547"/>
      <c r="Q616" s="547"/>
      <c r="R616" s="547"/>
      <c r="S616" s="547"/>
      <c r="T616" s="547"/>
      <c r="U616" s="547"/>
      <c r="V616" s="547"/>
      <c r="W616" s="547"/>
      <c r="X616" s="547"/>
      <c r="Y616" s="547"/>
      <c r="Z616" s="547"/>
      <c r="AA616" s="547"/>
      <c r="AB616" s="547"/>
      <c r="AC616" s="547"/>
      <c r="AD616" s="547"/>
      <c r="AE616" s="547"/>
      <c r="AF616" s="548"/>
      <c r="AG616" s="547"/>
      <c r="AH616" s="547"/>
      <c r="AI616" s="547"/>
      <c r="AJ616" s="547"/>
      <c r="AK616" s="547"/>
      <c r="AL616" s="547"/>
      <c r="AM616" s="547"/>
      <c r="AN616" s="547"/>
      <c r="AO616" s="547"/>
      <c r="AP616" s="547"/>
      <c r="AQ616" s="547"/>
      <c r="AR616" s="547"/>
      <c r="AS616" s="547"/>
      <c r="AT616" s="547"/>
      <c r="AU616" s="547"/>
      <c r="AV616" s="547"/>
      <c r="AW616" s="547"/>
      <c r="AX616" s="547"/>
      <c r="AY616" s="547"/>
      <c r="AZ616" s="547"/>
      <c r="BA616" s="547"/>
      <c r="BB616" s="547"/>
      <c r="BC616" s="547"/>
      <c r="BD616" s="547"/>
      <c r="BE616" s="548"/>
      <c r="BF616" s="547"/>
      <c r="BG616" s="547"/>
      <c r="BH616" s="547"/>
      <c r="BI616" s="547"/>
      <c r="BJ616" s="36"/>
      <c r="BK616" s="174"/>
      <c r="BL616" s="174"/>
      <c r="BM616" s="7"/>
    </row>
    <row r="617" spans="1:65" ht="15.75" customHeight="1">
      <c r="A617" s="546"/>
      <c r="B617" s="552"/>
      <c r="C617" s="547"/>
      <c r="D617" s="546"/>
      <c r="E617" s="547"/>
      <c r="F617" s="547"/>
      <c r="G617" s="547"/>
      <c r="H617" s="547"/>
      <c r="I617" s="547"/>
      <c r="J617" s="547"/>
      <c r="K617" s="547"/>
      <c r="L617" s="547"/>
      <c r="M617" s="547"/>
      <c r="N617" s="547"/>
      <c r="O617" s="547"/>
      <c r="P617" s="547"/>
      <c r="Q617" s="547"/>
      <c r="R617" s="547"/>
      <c r="S617" s="547"/>
      <c r="T617" s="547"/>
      <c r="U617" s="547"/>
      <c r="V617" s="547"/>
      <c r="W617" s="547"/>
      <c r="X617" s="547"/>
      <c r="Y617" s="547"/>
      <c r="Z617" s="547"/>
      <c r="AA617" s="547"/>
      <c r="AB617" s="547"/>
      <c r="AC617" s="547"/>
      <c r="AD617" s="547"/>
      <c r="AE617" s="547"/>
      <c r="AF617" s="548"/>
      <c r="AG617" s="547"/>
      <c r="AH617" s="547"/>
      <c r="AI617" s="547"/>
      <c r="AJ617" s="547"/>
      <c r="AK617" s="547"/>
      <c r="AL617" s="547"/>
      <c r="AM617" s="547"/>
      <c r="AN617" s="547"/>
      <c r="AO617" s="547"/>
      <c r="AP617" s="547"/>
      <c r="AQ617" s="547"/>
      <c r="AR617" s="547"/>
      <c r="AS617" s="547"/>
      <c r="AT617" s="547"/>
      <c r="AU617" s="547"/>
      <c r="AV617" s="547"/>
      <c r="AW617" s="547"/>
      <c r="AX617" s="547"/>
      <c r="AY617" s="547"/>
      <c r="AZ617" s="547"/>
      <c r="BA617" s="547"/>
      <c r="BB617" s="547"/>
      <c r="BC617" s="547"/>
      <c r="BD617" s="547"/>
      <c r="BE617" s="548"/>
      <c r="BF617" s="547"/>
      <c r="BG617" s="547"/>
      <c r="BH617" s="547"/>
      <c r="BI617" s="547"/>
      <c r="BJ617" s="36"/>
      <c r="BK617" s="174"/>
      <c r="BL617" s="174"/>
      <c r="BM617" s="7"/>
    </row>
    <row r="618" spans="1:65" ht="15.75" customHeight="1">
      <c r="A618" s="546"/>
      <c r="B618" s="552"/>
      <c r="C618" s="547"/>
      <c r="D618" s="546"/>
      <c r="E618" s="547"/>
      <c r="F618" s="547"/>
      <c r="G618" s="547"/>
      <c r="H618" s="547"/>
      <c r="I618" s="547"/>
      <c r="J618" s="547"/>
      <c r="K618" s="547"/>
      <c r="L618" s="547"/>
      <c r="M618" s="547"/>
      <c r="N618" s="547"/>
      <c r="O618" s="547"/>
      <c r="P618" s="547"/>
      <c r="Q618" s="547"/>
      <c r="R618" s="547"/>
      <c r="S618" s="547"/>
      <c r="T618" s="547"/>
      <c r="U618" s="547"/>
      <c r="V618" s="547"/>
      <c r="W618" s="547"/>
      <c r="X618" s="547"/>
      <c r="Y618" s="547"/>
      <c r="Z618" s="547"/>
      <c r="AA618" s="547"/>
      <c r="AB618" s="547"/>
      <c r="AC618" s="547"/>
      <c r="AD618" s="547"/>
      <c r="AE618" s="547"/>
      <c r="AF618" s="548"/>
      <c r="AG618" s="547"/>
      <c r="AH618" s="547"/>
      <c r="AI618" s="547"/>
      <c r="AJ618" s="547"/>
      <c r="AK618" s="547"/>
      <c r="AL618" s="547"/>
      <c r="AM618" s="547"/>
      <c r="AN618" s="547"/>
      <c r="AO618" s="547"/>
      <c r="AP618" s="547"/>
      <c r="AQ618" s="547"/>
      <c r="AR618" s="547"/>
      <c r="AS618" s="547"/>
      <c r="AT618" s="547"/>
      <c r="AU618" s="547"/>
      <c r="AV618" s="547"/>
      <c r="AW618" s="547"/>
      <c r="AX618" s="547"/>
      <c r="AY618" s="547"/>
      <c r="AZ618" s="547"/>
      <c r="BA618" s="547"/>
      <c r="BB618" s="547"/>
      <c r="BC618" s="547"/>
      <c r="BD618" s="547"/>
      <c r="BE618" s="548"/>
      <c r="BF618" s="547"/>
      <c r="BG618" s="547"/>
      <c r="BH618" s="547"/>
      <c r="BI618" s="547"/>
      <c r="BJ618" s="36"/>
      <c r="BK618" s="174"/>
      <c r="BL618" s="174"/>
      <c r="BM618" s="7"/>
    </row>
    <row r="619" spans="1:65" ht="15.75" customHeight="1">
      <c r="A619" s="546"/>
      <c r="B619" s="552"/>
      <c r="C619" s="547"/>
      <c r="D619" s="546"/>
      <c r="E619" s="547"/>
      <c r="F619" s="547"/>
      <c r="G619" s="547"/>
      <c r="H619" s="547"/>
      <c r="I619" s="547"/>
      <c r="J619" s="547"/>
      <c r="K619" s="547"/>
      <c r="L619" s="547"/>
      <c r="M619" s="547"/>
      <c r="N619" s="547"/>
      <c r="O619" s="547"/>
      <c r="P619" s="547"/>
      <c r="Q619" s="547"/>
      <c r="R619" s="547"/>
      <c r="S619" s="547"/>
      <c r="T619" s="547"/>
      <c r="U619" s="547"/>
      <c r="V619" s="547"/>
      <c r="W619" s="547"/>
      <c r="X619" s="547"/>
      <c r="Y619" s="547"/>
      <c r="Z619" s="547"/>
      <c r="AA619" s="547"/>
      <c r="AB619" s="547"/>
      <c r="AC619" s="547"/>
      <c r="AD619" s="547"/>
      <c r="AE619" s="547"/>
      <c r="AF619" s="548"/>
      <c r="AG619" s="547"/>
      <c r="AH619" s="547"/>
      <c r="AI619" s="547"/>
      <c r="AJ619" s="547"/>
      <c r="AK619" s="547"/>
      <c r="AL619" s="547"/>
      <c r="AM619" s="547"/>
      <c r="AN619" s="547"/>
      <c r="AO619" s="547"/>
      <c r="AP619" s="547"/>
      <c r="AQ619" s="547"/>
      <c r="AR619" s="547"/>
      <c r="AS619" s="547"/>
      <c r="AT619" s="547"/>
      <c r="AU619" s="547"/>
      <c r="AV619" s="547"/>
      <c r="AW619" s="547"/>
      <c r="AX619" s="547"/>
      <c r="AY619" s="547"/>
      <c r="AZ619" s="547"/>
      <c r="BA619" s="547"/>
      <c r="BB619" s="547"/>
      <c r="BC619" s="547"/>
      <c r="BD619" s="547"/>
      <c r="BE619" s="548"/>
      <c r="BF619" s="547"/>
      <c r="BG619" s="547"/>
      <c r="BH619" s="547"/>
      <c r="BI619" s="547"/>
      <c r="BJ619" s="36"/>
      <c r="BK619" s="174"/>
      <c r="BL619" s="174"/>
      <c r="BM619" s="7"/>
    </row>
    <row r="620" spans="1:65" ht="15.75" customHeight="1">
      <c r="A620" s="546"/>
      <c r="B620" s="552"/>
      <c r="C620" s="547"/>
      <c r="D620" s="546"/>
      <c r="E620" s="547"/>
      <c r="F620" s="547"/>
      <c r="G620" s="547"/>
      <c r="H620" s="547"/>
      <c r="I620" s="547"/>
      <c r="J620" s="547"/>
      <c r="K620" s="547"/>
      <c r="L620" s="547"/>
      <c r="M620" s="547"/>
      <c r="N620" s="547"/>
      <c r="O620" s="547"/>
      <c r="P620" s="547"/>
      <c r="Q620" s="547"/>
      <c r="R620" s="547"/>
      <c r="S620" s="547"/>
      <c r="T620" s="547"/>
      <c r="U620" s="547"/>
      <c r="V620" s="547"/>
      <c r="W620" s="547"/>
      <c r="X620" s="547"/>
      <c r="Y620" s="547"/>
      <c r="Z620" s="547"/>
      <c r="AA620" s="547"/>
      <c r="AB620" s="547"/>
      <c r="AC620" s="547"/>
      <c r="AD620" s="547"/>
      <c r="AE620" s="547"/>
      <c r="AF620" s="548"/>
      <c r="AG620" s="547"/>
      <c r="AH620" s="547"/>
      <c r="AI620" s="547"/>
      <c r="AJ620" s="547"/>
      <c r="AK620" s="547"/>
      <c r="AL620" s="547"/>
      <c r="AM620" s="547"/>
      <c r="AN620" s="547"/>
      <c r="AO620" s="547"/>
      <c r="AP620" s="547"/>
      <c r="AQ620" s="547"/>
      <c r="AR620" s="547"/>
      <c r="AS620" s="547"/>
      <c r="AT620" s="547"/>
      <c r="AU620" s="547"/>
      <c r="AV620" s="547"/>
      <c r="AW620" s="547"/>
      <c r="AX620" s="547"/>
      <c r="AY620" s="547"/>
      <c r="AZ620" s="547"/>
      <c r="BA620" s="547"/>
      <c r="BB620" s="547"/>
      <c r="BC620" s="547"/>
      <c r="BD620" s="547"/>
      <c r="BE620" s="548"/>
      <c r="BF620" s="547"/>
      <c r="BG620" s="547"/>
      <c r="BH620" s="547"/>
      <c r="BI620" s="547"/>
      <c r="BJ620" s="36"/>
      <c r="BK620" s="174"/>
      <c r="BL620" s="174"/>
      <c r="BM620" s="7"/>
    </row>
    <row r="621" spans="1:65" ht="15.75" customHeight="1">
      <c r="A621" s="546"/>
      <c r="B621" s="552"/>
      <c r="C621" s="547"/>
      <c r="D621" s="546"/>
      <c r="E621" s="547"/>
      <c r="F621" s="547"/>
      <c r="G621" s="547"/>
      <c r="H621" s="547"/>
      <c r="I621" s="547"/>
      <c r="J621" s="547"/>
      <c r="K621" s="547"/>
      <c r="L621" s="547"/>
      <c r="M621" s="547"/>
      <c r="N621" s="547"/>
      <c r="O621" s="547"/>
      <c r="P621" s="547"/>
      <c r="Q621" s="547"/>
      <c r="R621" s="547"/>
      <c r="S621" s="547"/>
      <c r="T621" s="547"/>
      <c r="U621" s="547"/>
      <c r="V621" s="547"/>
      <c r="W621" s="547"/>
      <c r="X621" s="547"/>
      <c r="Y621" s="547"/>
      <c r="Z621" s="547"/>
      <c r="AA621" s="547"/>
      <c r="AB621" s="547"/>
      <c r="AC621" s="547"/>
      <c r="AD621" s="547"/>
      <c r="AE621" s="547"/>
      <c r="AF621" s="548"/>
      <c r="AG621" s="547"/>
      <c r="AH621" s="547"/>
      <c r="AI621" s="547"/>
      <c r="AJ621" s="547"/>
      <c r="AK621" s="547"/>
      <c r="AL621" s="547"/>
      <c r="AM621" s="547"/>
      <c r="AN621" s="547"/>
      <c r="AO621" s="547"/>
      <c r="AP621" s="547"/>
      <c r="AQ621" s="547"/>
      <c r="AR621" s="547"/>
      <c r="AS621" s="547"/>
      <c r="AT621" s="547"/>
      <c r="AU621" s="547"/>
      <c r="AV621" s="547"/>
      <c r="AW621" s="547"/>
      <c r="AX621" s="547"/>
      <c r="AY621" s="547"/>
      <c r="AZ621" s="547"/>
      <c r="BA621" s="547"/>
      <c r="BB621" s="547"/>
      <c r="BC621" s="547"/>
      <c r="BD621" s="547"/>
      <c r="BE621" s="548"/>
      <c r="BF621" s="547"/>
      <c r="BG621" s="547"/>
      <c r="BH621" s="547"/>
      <c r="BI621" s="547"/>
      <c r="BJ621" s="36"/>
      <c r="BK621" s="174"/>
      <c r="BL621" s="174"/>
      <c r="BM621" s="7"/>
    </row>
    <row r="622" spans="1:65" ht="15.75" customHeight="1">
      <c r="A622" s="546"/>
      <c r="B622" s="552"/>
      <c r="C622" s="547"/>
      <c r="D622" s="546"/>
      <c r="E622" s="547"/>
      <c r="F622" s="547"/>
      <c r="G622" s="547"/>
      <c r="H622" s="547"/>
      <c r="I622" s="547"/>
      <c r="J622" s="547"/>
      <c r="K622" s="547"/>
      <c r="L622" s="547"/>
      <c r="M622" s="547"/>
      <c r="N622" s="547"/>
      <c r="O622" s="547"/>
      <c r="P622" s="547"/>
      <c r="Q622" s="547"/>
      <c r="R622" s="547"/>
      <c r="S622" s="547"/>
      <c r="T622" s="547"/>
      <c r="U622" s="547"/>
      <c r="V622" s="547"/>
      <c r="W622" s="547"/>
      <c r="X622" s="547"/>
      <c r="Y622" s="547"/>
      <c r="Z622" s="547"/>
      <c r="AA622" s="547"/>
      <c r="AB622" s="547"/>
      <c r="AC622" s="547"/>
      <c r="AD622" s="547"/>
      <c r="AE622" s="547"/>
      <c r="AF622" s="548"/>
      <c r="AG622" s="547"/>
      <c r="AH622" s="547"/>
      <c r="AI622" s="547"/>
      <c r="AJ622" s="547"/>
      <c r="AK622" s="547"/>
      <c r="AL622" s="547"/>
      <c r="AM622" s="547"/>
      <c r="AN622" s="547"/>
      <c r="AO622" s="547"/>
      <c r="AP622" s="547"/>
      <c r="AQ622" s="547"/>
      <c r="AR622" s="547"/>
      <c r="AS622" s="547"/>
      <c r="AT622" s="547"/>
      <c r="AU622" s="547"/>
      <c r="AV622" s="547"/>
      <c r="AW622" s="547"/>
      <c r="AX622" s="547"/>
      <c r="AY622" s="547"/>
      <c r="AZ622" s="547"/>
      <c r="BA622" s="547"/>
      <c r="BB622" s="547"/>
      <c r="BC622" s="547"/>
      <c r="BD622" s="547"/>
      <c r="BE622" s="548"/>
      <c r="BF622" s="547"/>
      <c r="BG622" s="547"/>
      <c r="BH622" s="547"/>
      <c r="BI622" s="547"/>
      <c r="BJ622" s="36"/>
      <c r="BK622" s="174"/>
      <c r="BL622" s="174"/>
      <c r="BM622" s="7"/>
    </row>
    <row r="623" spans="1:65" ht="15.75" customHeight="1">
      <c r="A623" s="546"/>
      <c r="B623" s="552"/>
      <c r="C623" s="547"/>
      <c r="D623" s="546"/>
      <c r="E623" s="547"/>
      <c r="F623" s="547"/>
      <c r="G623" s="547"/>
      <c r="H623" s="547"/>
      <c r="I623" s="547"/>
      <c r="J623" s="547"/>
      <c r="K623" s="547"/>
      <c r="L623" s="547"/>
      <c r="M623" s="547"/>
      <c r="N623" s="547"/>
      <c r="O623" s="547"/>
      <c r="P623" s="547"/>
      <c r="Q623" s="547"/>
      <c r="R623" s="547"/>
      <c r="S623" s="547"/>
      <c r="T623" s="547"/>
      <c r="U623" s="547"/>
      <c r="V623" s="547"/>
      <c r="W623" s="547"/>
      <c r="X623" s="547"/>
      <c r="Y623" s="547"/>
      <c r="Z623" s="547"/>
      <c r="AA623" s="547"/>
      <c r="AB623" s="547"/>
      <c r="AC623" s="547"/>
      <c r="AD623" s="547"/>
      <c r="AE623" s="547"/>
      <c r="AF623" s="548"/>
      <c r="AG623" s="547"/>
      <c r="AH623" s="547"/>
      <c r="AI623" s="547"/>
      <c r="AJ623" s="547"/>
      <c r="AK623" s="547"/>
      <c r="AL623" s="547"/>
      <c r="AM623" s="547"/>
      <c r="AN623" s="547"/>
      <c r="AO623" s="547"/>
      <c r="AP623" s="547"/>
      <c r="AQ623" s="547"/>
      <c r="AR623" s="547"/>
      <c r="AS623" s="547"/>
      <c r="AT623" s="547"/>
      <c r="AU623" s="547"/>
      <c r="AV623" s="547"/>
      <c r="AW623" s="547"/>
      <c r="AX623" s="547"/>
      <c r="AY623" s="547"/>
      <c r="AZ623" s="547"/>
      <c r="BA623" s="547"/>
      <c r="BB623" s="547"/>
      <c r="BC623" s="547"/>
      <c r="BD623" s="547"/>
      <c r="BE623" s="548"/>
      <c r="BF623" s="547"/>
      <c r="BG623" s="547"/>
      <c r="BH623" s="547"/>
      <c r="BI623" s="547"/>
      <c r="BJ623" s="36"/>
      <c r="BK623" s="174"/>
      <c r="BL623" s="174"/>
      <c r="BM623" s="7"/>
    </row>
    <row r="624" spans="1:65" ht="15.75" customHeight="1">
      <c r="A624" s="546"/>
      <c r="B624" s="552"/>
      <c r="C624" s="547"/>
      <c r="D624" s="546"/>
      <c r="E624" s="547"/>
      <c r="F624" s="547"/>
      <c r="G624" s="547"/>
      <c r="H624" s="547"/>
      <c r="I624" s="547"/>
      <c r="J624" s="547"/>
      <c r="K624" s="547"/>
      <c r="L624" s="547"/>
      <c r="M624" s="547"/>
      <c r="N624" s="547"/>
      <c r="O624" s="547"/>
      <c r="P624" s="547"/>
      <c r="Q624" s="547"/>
      <c r="R624" s="547"/>
      <c r="S624" s="547"/>
      <c r="T624" s="547"/>
      <c r="U624" s="547"/>
      <c r="V624" s="547"/>
      <c r="W624" s="547"/>
      <c r="X624" s="547"/>
      <c r="Y624" s="547"/>
      <c r="Z624" s="547"/>
      <c r="AA624" s="547"/>
      <c r="AB624" s="547"/>
      <c r="AC624" s="547"/>
      <c r="AD624" s="547"/>
      <c r="AE624" s="547"/>
      <c r="AF624" s="548"/>
      <c r="AG624" s="547"/>
      <c r="AH624" s="547"/>
      <c r="AI624" s="547"/>
      <c r="AJ624" s="547"/>
      <c r="AK624" s="547"/>
      <c r="AL624" s="547"/>
      <c r="AM624" s="547"/>
      <c r="AN624" s="547"/>
      <c r="AO624" s="547"/>
      <c r="AP624" s="547"/>
      <c r="AQ624" s="547"/>
      <c r="AR624" s="547"/>
      <c r="AS624" s="547"/>
      <c r="AT624" s="547"/>
      <c r="AU624" s="547"/>
      <c r="AV624" s="547"/>
      <c r="AW624" s="547"/>
      <c r="AX624" s="547"/>
      <c r="AY624" s="547"/>
      <c r="AZ624" s="547"/>
      <c r="BA624" s="547"/>
      <c r="BB624" s="547"/>
      <c r="BC624" s="547"/>
      <c r="BD624" s="547"/>
      <c r="BE624" s="548"/>
      <c r="BF624" s="547"/>
      <c r="BG624" s="547"/>
      <c r="BH624" s="547"/>
      <c r="BI624" s="547"/>
      <c r="BJ624" s="36"/>
      <c r="BK624" s="174"/>
      <c r="BL624" s="174"/>
      <c r="BM624" s="7"/>
    </row>
    <row r="625" spans="1:65" ht="15.75" customHeight="1">
      <c r="A625" s="546"/>
      <c r="B625" s="552"/>
      <c r="C625" s="547"/>
      <c r="D625" s="546"/>
      <c r="E625" s="547"/>
      <c r="F625" s="547"/>
      <c r="G625" s="547"/>
      <c r="H625" s="547"/>
      <c r="I625" s="547"/>
      <c r="J625" s="547"/>
      <c r="K625" s="547"/>
      <c r="L625" s="547"/>
      <c r="M625" s="547"/>
      <c r="N625" s="547"/>
      <c r="O625" s="547"/>
      <c r="P625" s="547"/>
      <c r="Q625" s="547"/>
      <c r="R625" s="547"/>
      <c r="S625" s="547"/>
      <c r="T625" s="547"/>
      <c r="U625" s="547"/>
      <c r="V625" s="547"/>
      <c r="W625" s="547"/>
      <c r="X625" s="547"/>
      <c r="Y625" s="547"/>
      <c r="Z625" s="547"/>
      <c r="AA625" s="547"/>
      <c r="AB625" s="547"/>
      <c r="AC625" s="547"/>
      <c r="AD625" s="547"/>
      <c r="AE625" s="547"/>
      <c r="AF625" s="548"/>
      <c r="AG625" s="547"/>
      <c r="AH625" s="547"/>
      <c r="AI625" s="547"/>
      <c r="AJ625" s="547"/>
      <c r="AK625" s="547"/>
      <c r="AL625" s="547"/>
      <c r="AM625" s="547"/>
      <c r="AN625" s="547"/>
      <c r="AO625" s="547"/>
      <c r="AP625" s="547"/>
      <c r="AQ625" s="547"/>
      <c r="AR625" s="547"/>
      <c r="AS625" s="547"/>
      <c r="AT625" s="547"/>
      <c r="AU625" s="547"/>
      <c r="AV625" s="547"/>
      <c r="AW625" s="547"/>
      <c r="AX625" s="547"/>
      <c r="AY625" s="547"/>
      <c r="AZ625" s="547"/>
      <c r="BA625" s="547"/>
      <c r="BB625" s="547"/>
      <c r="BC625" s="547"/>
      <c r="BD625" s="547"/>
      <c r="BE625" s="548"/>
      <c r="BF625" s="547"/>
      <c r="BG625" s="547"/>
      <c r="BH625" s="547"/>
      <c r="BI625" s="547"/>
      <c r="BJ625" s="36"/>
      <c r="BK625" s="174"/>
      <c r="BL625" s="174"/>
      <c r="BM625" s="7"/>
    </row>
    <row r="626" spans="1:65" ht="15.75" customHeight="1">
      <c r="A626" s="546"/>
      <c r="B626" s="552"/>
      <c r="C626" s="547"/>
      <c r="D626" s="546"/>
      <c r="E626" s="547"/>
      <c r="F626" s="547"/>
      <c r="G626" s="547"/>
      <c r="H626" s="547"/>
      <c r="I626" s="547"/>
      <c r="J626" s="547"/>
      <c r="K626" s="547"/>
      <c r="L626" s="547"/>
      <c r="M626" s="547"/>
      <c r="N626" s="547"/>
      <c r="O626" s="547"/>
      <c r="P626" s="547"/>
      <c r="Q626" s="547"/>
      <c r="R626" s="547"/>
      <c r="S626" s="547"/>
      <c r="T626" s="547"/>
      <c r="U626" s="547"/>
      <c r="V626" s="547"/>
      <c r="W626" s="547"/>
      <c r="X626" s="547"/>
      <c r="Y626" s="547"/>
      <c r="Z626" s="547"/>
      <c r="AA626" s="547"/>
      <c r="AB626" s="547"/>
      <c r="AC626" s="547"/>
      <c r="AD626" s="547"/>
      <c r="AE626" s="547"/>
      <c r="AF626" s="548"/>
      <c r="AG626" s="547"/>
      <c r="AH626" s="547"/>
      <c r="AI626" s="547"/>
      <c r="AJ626" s="547"/>
      <c r="AK626" s="547"/>
      <c r="AL626" s="547"/>
      <c r="AM626" s="547"/>
      <c r="AN626" s="547"/>
      <c r="AO626" s="547"/>
      <c r="AP626" s="547"/>
      <c r="AQ626" s="547"/>
      <c r="AR626" s="547"/>
      <c r="AS626" s="547"/>
      <c r="AT626" s="547"/>
      <c r="AU626" s="547"/>
      <c r="AV626" s="547"/>
      <c r="AW626" s="547"/>
      <c r="AX626" s="547"/>
      <c r="AY626" s="547"/>
      <c r="AZ626" s="547"/>
      <c r="BA626" s="547"/>
      <c r="BB626" s="547"/>
      <c r="BC626" s="547"/>
      <c r="BD626" s="547"/>
      <c r="BE626" s="548"/>
      <c r="BF626" s="547"/>
      <c r="BG626" s="547"/>
      <c r="BH626" s="547"/>
      <c r="BI626" s="547"/>
      <c r="BJ626" s="36"/>
      <c r="BK626" s="174"/>
      <c r="BL626" s="174"/>
      <c r="BM626" s="7"/>
    </row>
    <row r="627" spans="1:65" ht="15.75" customHeight="1">
      <c r="A627" s="546"/>
      <c r="B627" s="552"/>
      <c r="C627" s="547"/>
      <c r="D627" s="546"/>
      <c r="E627" s="547"/>
      <c r="F627" s="547"/>
      <c r="G627" s="547"/>
      <c r="H627" s="547"/>
      <c r="I627" s="547"/>
      <c r="J627" s="547"/>
      <c r="K627" s="547"/>
      <c r="L627" s="547"/>
      <c r="M627" s="547"/>
      <c r="N627" s="547"/>
      <c r="O627" s="547"/>
      <c r="P627" s="547"/>
      <c r="Q627" s="547"/>
      <c r="R627" s="547"/>
      <c r="S627" s="547"/>
      <c r="T627" s="547"/>
      <c r="U627" s="547"/>
      <c r="V627" s="547"/>
      <c r="W627" s="547"/>
      <c r="X627" s="547"/>
      <c r="Y627" s="547"/>
      <c r="Z627" s="547"/>
      <c r="AA627" s="547"/>
      <c r="AB627" s="547"/>
      <c r="AC627" s="547"/>
      <c r="AD627" s="547"/>
      <c r="AE627" s="547"/>
      <c r="AF627" s="548"/>
      <c r="AG627" s="547"/>
      <c r="AH627" s="547"/>
      <c r="AI627" s="547"/>
      <c r="AJ627" s="547"/>
      <c r="AK627" s="547"/>
      <c r="AL627" s="547"/>
      <c r="AM627" s="547"/>
      <c r="AN627" s="547"/>
      <c r="AO627" s="547"/>
      <c r="AP627" s="547"/>
      <c r="AQ627" s="547"/>
      <c r="AR627" s="547"/>
      <c r="AS627" s="547"/>
      <c r="AT627" s="547"/>
      <c r="AU627" s="547"/>
      <c r="AV627" s="547"/>
      <c r="AW627" s="547"/>
      <c r="AX627" s="547"/>
      <c r="AY627" s="547"/>
      <c r="AZ627" s="547"/>
      <c r="BA627" s="547"/>
      <c r="BB627" s="547"/>
      <c r="BC627" s="547"/>
      <c r="BD627" s="547"/>
      <c r="BE627" s="548"/>
      <c r="BF627" s="547"/>
      <c r="BG627" s="547"/>
      <c r="BH627" s="547"/>
      <c r="BI627" s="547"/>
      <c r="BJ627" s="36"/>
      <c r="BK627" s="174"/>
      <c r="BL627" s="174"/>
      <c r="BM627" s="7"/>
    </row>
    <row r="628" spans="1:65" ht="15.75" customHeight="1">
      <c r="A628" s="546"/>
      <c r="B628" s="552"/>
      <c r="C628" s="547"/>
      <c r="D628" s="546"/>
      <c r="E628" s="547"/>
      <c r="F628" s="547"/>
      <c r="G628" s="547"/>
      <c r="H628" s="547"/>
      <c r="I628" s="547"/>
      <c r="J628" s="547"/>
      <c r="K628" s="547"/>
      <c r="L628" s="547"/>
      <c r="M628" s="547"/>
      <c r="N628" s="547"/>
      <c r="O628" s="547"/>
      <c r="P628" s="547"/>
      <c r="Q628" s="547"/>
      <c r="R628" s="547"/>
      <c r="S628" s="547"/>
      <c r="T628" s="547"/>
      <c r="U628" s="547"/>
      <c r="V628" s="547"/>
      <c r="W628" s="547"/>
      <c r="X628" s="547"/>
      <c r="Y628" s="547"/>
      <c r="Z628" s="547"/>
      <c r="AA628" s="547"/>
      <c r="AB628" s="547"/>
      <c r="AC628" s="547"/>
      <c r="AD628" s="547"/>
      <c r="AE628" s="547"/>
      <c r="AF628" s="548"/>
      <c r="AG628" s="547"/>
      <c r="AH628" s="547"/>
      <c r="AI628" s="547"/>
      <c r="AJ628" s="547"/>
      <c r="AK628" s="547"/>
      <c r="AL628" s="547"/>
      <c r="AM628" s="547"/>
      <c r="AN628" s="547"/>
      <c r="AO628" s="547"/>
      <c r="AP628" s="547"/>
      <c r="AQ628" s="547"/>
      <c r="AR628" s="547"/>
      <c r="AS628" s="547"/>
      <c r="AT628" s="547"/>
      <c r="AU628" s="547"/>
      <c r="AV628" s="547"/>
      <c r="AW628" s="547"/>
      <c r="AX628" s="547"/>
      <c r="AY628" s="547"/>
      <c r="AZ628" s="547"/>
      <c r="BA628" s="547"/>
      <c r="BB628" s="547"/>
      <c r="BC628" s="547"/>
      <c r="BD628" s="547"/>
      <c r="BE628" s="548"/>
      <c r="BF628" s="547"/>
      <c r="BG628" s="547"/>
      <c r="BH628" s="547"/>
      <c r="BI628" s="547"/>
      <c r="BJ628" s="36"/>
      <c r="BK628" s="174"/>
      <c r="BL628" s="174"/>
      <c r="BM628" s="7"/>
    </row>
    <row r="629" spans="1:65" ht="15.75" customHeight="1">
      <c r="A629" s="546"/>
      <c r="B629" s="552"/>
      <c r="C629" s="547"/>
      <c r="D629" s="546"/>
      <c r="E629" s="547"/>
      <c r="F629" s="547"/>
      <c r="G629" s="547"/>
      <c r="H629" s="547"/>
      <c r="I629" s="547"/>
      <c r="J629" s="547"/>
      <c r="K629" s="547"/>
      <c r="L629" s="547"/>
      <c r="M629" s="547"/>
      <c r="N629" s="547"/>
      <c r="O629" s="547"/>
      <c r="P629" s="547"/>
      <c r="Q629" s="547"/>
      <c r="R629" s="547"/>
      <c r="S629" s="547"/>
      <c r="T629" s="547"/>
      <c r="U629" s="547"/>
      <c r="V629" s="547"/>
      <c r="W629" s="547"/>
      <c r="X629" s="547"/>
      <c r="Y629" s="547"/>
      <c r="Z629" s="547"/>
      <c r="AA629" s="547"/>
      <c r="AB629" s="547"/>
      <c r="AC629" s="547"/>
      <c r="AD629" s="547"/>
      <c r="AE629" s="547"/>
      <c r="AF629" s="548"/>
      <c r="AG629" s="547"/>
      <c r="AH629" s="547"/>
      <c r="AI629" s="547"/>
      <c r="AJ629" s="547"/>
      <c r="AK629" s="547"/>
      <c r="AL629" s="547"/>
      <c r="AM629" s="547"/>
      <c r="AN629" s="547"/>
      <c r="AO629" s="547"/>
      <c r="AP629" s="547"/>
      <c r="AQ629" s="547"/>
      <c r="AR629" s="547"/>
      <c r="AS629" s="547"/>
      <c r="AT629" s="547"/>
      <c r="AU629" s="547"/>
      <c r="AV629" s="547"/>
      <c r="AW629" s="547"/>
      <c r="AX629" s="547"/>
      <c r="AY629" s="547"/>
      <c r="AZ629" s="547"/>
      <c r="BA629" s="547"/>
      <c r="BB629" s="547"/>
      <c r="BC629" s="547"/>
      <c r="BD629" s="547"/>
      <c r="BE629" s="548"/>
      <c r="BF629" s="547"/>
      <c r="BG629" s="547"/>
      <c r="BH629" s="547"/>
      <c r="BI629" s="547"/>
      <c r="BJ629" s="36"/>
      <c r="BK629" s="174"/>
      <c r="BL629" s="174"/>
      <c r="BM629" s="7"/>
    </row>
    <row r="630" spans="1:65" ht="15.75" customHeight="1">
      <c r="A630" s="546"/>
      <c r="B630" s="552"/>
      <c r="C630" s="547"/>
      <c r="D630" s="546"/>
      <c r="E630" s="547"/>
      <c r="F630" s="547"/>
      <c r="G630" s="547"/>
      <c r="H630" s="547"/>
      <c r="I630" s="547"/>
      <c r="J630" s="547"/>
      <c r="K630" s="547"/>
      <c r="L630" s="547"/>
      <c r="M630" s="547"/>
      <c r="N630" s="547"/>
      <c r="O630" s="547"/>
      <c r="P630" s="547"/>
      <c r="Q630" s="547"/>
      <c r="R630" s="547"/>
      <c r="S630" s="547"/>
      <c r="T630" s="547"/>
      <c r="U630" s="547"/>
      <c r="V630" s="547"/>
      <c r="W630" s="547"/>
      <c r="X630" s="547"/>
      <c r="Y630" s="547"/>
      <c r="Z630" s="547"/>
      <c r="AA630" s="547"/>
      <c r="AB630" s="547"/>
      <c r="AC630" s="547"/>
      <c r="AD630" s="547"/>
      <c r="AE630" s="547"/>
      <c r="AF630" s="548"/>
      <c r="AG630" s="547"/>
      <c r="AH630" s="547"/>
      <c r="AI630" s="547"/>
      <c r="AJ630" s="547"/>
      <c r="AK630" s="547"/>
      <c r="AL630" s="547"/>
      <c r="AM630" s="547"/>
      <c r="AN630" s="547"/>
      <c r="AO630" s="547"/>
      <c r="AP630" s="547"/>
      <c r="AQ630" s="547"/>
      <c r="AR630" s="547"/>
      <c r="AS630" s="547"/>
      <c r="AT630" s="547"/>
      <c r="AU630" s="547"/>
      <c r="AV630" s="547"/>
      <c r="AW630" s="547"/>
      <c r="AX630" s="547"/>
      <c r="AY630" s="547"/>
      <c r="AZ630" s="547"/>
      <c r="BA630" s="547"/>
      <c r="BB630" s="547"/>
      <c r="BC630" s="547"/>
      <c r="BD630" s="547"/>
      <c r="BE630" s="548"/>
      <c r="BF630" s="547"/>
      <c r="BG630" s="547"/>
      <c r="BH630" s="547"/>
      <c r="BI630" s="547"/>
      <c r="BJ630" s="36"/>
      <c r="BK630" s="174"/>
      <c r="BL630" s="174"/>
      <c r="BM630" s="7"/>
    </row>
    <row r="631" spans="1:65" ht="15.75" customHeight="1">
      <c r="A631" s="546"/>
      <c r="B631" s="552"/>
      <c r="C631" s="547"/>
      <c r="D631" s="546"/>
      <c r="E631" s="547"/>
      <c r="F631" s="547"/>
      <c r="G631" s="547"/>
      <c r="H631" s="547"/>
      <c r="I631" s="547"/>
      <c r="J631" s="547"/>
      <c r="K631" s="547"/>
      <c r="L631" s="547"/>
      <c r="M631" s="547"/>
      <c r="N631" s="547"/>
      <c r="O631" s="547"/>
      <c r="P631" s="547"/>
      <c r="Q631" s="547"/>
      <c r="R631" s="547"/>
      <c r="S631" s="547"/>
      <c r="T631" s="547"/>
      <c r="U631" s="547"/>
      <c r="V631" s="547"/>
      <c r="W631" s="547"/>
      <c r="X631" s="547"/>
      <c r="Y631" s="547"/>
      <c r="Z631" s="547"/>
      <c r="AA631" s="547"/>
      <c r="AB631" s="547"/>
      <c r="AC631" s="547"/>
      <c r="AD631" s="547"/>
      <c r="AE631" s="547"/>
      <c r="AF631" s="548"/>
      <c r="AG631" s="547"/>
      <c r="AH631" s="547"/>
      <c r="AI631" s="547"/>
      <c r="AJ631" s="547"/>
      <c r="AK631" s="547"/>
      <c r="AL631" s="547"/>
      <c r="AM631" s="547"/>
      <c r="AN631" s="547"/>
      <c r="AO631" s="547"/>
      <c r="AP631" s="547"/>
      <c r="AQ631" s="547"/>
      <c r="AR631" s="547"/>
      <c r="AS631" s="547"/>
      <c r="AT631" s="547"/>
      <c r="AU631" s="547"/>
      <c r="AV631" s="547"/>
      <c r="AW631" s="547"/>
      <c r="AX631" s="547"/>
      <c r="AY631" s="547"/>
      <c r="AZ631" s="547"/>
      <c r="BA631" s="547"/>
      <c r="BB631" s="547"/>
      <c r="BC631" s="547"/>
      <c r="BD631" s="547"/>
      <c r="BE631" s="548"/>
      <c r="BF631" s="547"/>
      <c r="BG631" s="547"/>
      <c r="BH631" s="547"/>
      <c r="BI631" s="547"/>
      <c r="BJ631" s="36"/>
      <c r="BK631" s="174"/>
      <c r="BL631" s="174"/>
      <c r="BM631" s="7"/>
    </row>
    <row r="632" spans="1:65" ht="15.75" customHeight="1">
      <c r="A632" s="546"/>
      <c r="B632" s="552"/>
      <c r="C632" s="547"/>
      <c r="D632" s="546"/>
      <c r="E632" s="547"/>
      <c r="F632" s="547"/>
      <c r="G632" s="547"/>
      <c r="H632" s="547"/>
      <c r="I632" s="547"/>
      <c r="J632" s="547"/>
      <c r="K632" s="547"/>
      <c r="L632" s="547"/>
      <c r="M632" s="547"/>
      <c r="N632" s="547"/>
      <c r="O632" s="547"/>
      <c r="P632" s="547"/>
      <c r="Q632" s="547"/>
      <c r="R632" s="547"/>
      <c r="S632" s="547"/>
      <c r="T632" s="547"/>
      <c r="U632" s="547"/>
      <c r="V632" s="547"/>
      <c r="W632" s="547"/>
      <c r="X632" s="547"/>
      <c r="Y632" s="547"/>
      <c r="Z632" s="547"/>
      <c r="AA632" s="547"/>
      <c r="AB632" s="547"/>
      <c r="AC632" s="547"/>
      <c r="AD632" s="547"/>
      <c r="AE632" s="547"/>
      <c r="AF632" s="548"/>
      <c r="AG632" s="547"/>
      <c r="AH632" s="547"/>
      <c r="AI632" s="547"/>
      <c r="AJ632" s="547"/>
      <c r="AK632" s="547"/>
      <c r="AL632" s="547"/>
      <c r="AM632" s="547"/>
      <c r="AN632" s="547"/>
      <c r="AO632" s="547"/>
      <c r="AP632" s="547"/>
      <c r="AQ632" s="547"/>
      <c r="AR632" s="547"/>
      <c r="AS632" s="547"/>
      <c r="AT632" s="547"/>
      <c r="AU632" s="547"/>
      <c r="AV632" s="547"/>
      <c r="AW632" s="547"/>
      <c r="AX632" s="547"/>
      <c r="AY632" s="547"/>
      <c r="AZ632" s="547"/>
      <c r="BA632" s="547"/>
      <c r="BB632" s="547"/>
      <c r="BC632" s="547"/>
      <c r="BD632" s="547"/>
      <c r="BE632" s="548"/>
      <c r="BF632" s="547"/>
      <c r="BG632" s="547"/>
      <c r="BH632" s="547"/>
      <c r="BI632" s="547"/>
      <c r="BJ632" s="36"/>
      <c r="BK632" s="174"/>
      <c r="BL632" s="174"/>
      <c r="BM632" s="7"/>
    </row>
    <row r="633" spans="1:65" ht="15.75" customHeight="1">
      <c r="A633" s="546"/>
      <c r="B633" s="552"/>
      <c r="C633" s="547"/>
      <c r="D633" s="546"/>
      <c r="E633" s="547"/>
      <c r="F633" s="547"/>
      <c r="G633" s="547"/>
      <c r="H633" s="547"/>
      <c r="I633" s="547"/>
      <c r="J633" s="547"/>
      <c r="K633" s="547"/>
      <c r="L633" s="547"/>
      <c r="M633" s="547"/>
      <c r="N633" s="547"/>
      <c r="O633" s="547"/>
      <c r="P633" s="547"/>
      <c r="Q633" s="547"/>
      <c r="R633" s="547"/>
      <c r="S633" s="547"/>
      <c r="T633" s="547"/>
      <c r="U633" s="547"/>
      <c r="V633" s="547"/>
      <c r="W633" s="547"/>
      <c r="X633" s="547"/>
      <c r="Y633" s="547"/>
      <c r="Z633" s="547"/>
      <c r="AA633" s="547"/>
      <c r="AB633" s="547"/>
      <c r="AC633" s="547"/>
      <c r="AD633" s="547"/>
      <c r="AE633" s="547"/>
      <c r="AF633" s="548"/>
      <c r="AG633" s="547"/>
      <c r="AH633" s="547"/>
      <c r="AI633" s="547"/>
      <c r="AJ633" s="547"/>
      <c r="AK633" s="547"/>
      <c r="AL633" s="547"/>
      <c r="AM633" s="547"/>
      <c r="AN633" s="547"/>
      <c r="AO633" s="547"/>
      <c r="AP633" s="547"/>
      <c r="AQ633" s="547"/>
      <c r="AR633" s="547"/>
      <c r="AS633" s="547"/>
      <c r="AT633" s="547"/>
      <c r="AU633" s="547"/>
      <c r="AV633" s="547"/>
      <c r="AW633" s="547"/>
      <c r="AX633" s="547"/>
      <c r="AY633" s="547"/>
      <c r="AZ633" s="547"/>
      <c r="BA633" s="547"/>
      <c r="BB633" s="547"/>
      <c r="BC633" s="547"/>
      <c r="BD633" s="547"/>
      <c r="BE633" s="548"/>
      <c r="BF633" s="547"/>
      <c r="BG633" s="547"/>
      <c r="BH633" s="547"/>
      <c r="BI633" s="547"/>
      <c r="BJ633" s="36"/>
      <c r="BK633" s="174"/>
      <c r="BL633" s="174"/>
      <c r="BM633" s="7"/>
    </row>
    <row r="634" spans="1:65" ht="15.75" customHeight="1">
      <c r="A634" s="546"/>
      <c r="B634" s="552"/>
      <c r="C634" s="547"/>
      <c r="D634" s="546"/>
      <c r="E634" s="547"/>
      <c r="F634" s="547"/>
      <c r="G634" s="547"/>
      <c r="H634" s="547"/>
      <c r="I634" s="547"/>
      <c r="J634" s="547"/>
      <c r="K634" s="547"/>
      <c r="L634" s="547"/>
      <c r="M634" s="547"/>
      <c r="N634" s="547"/>
      <c r="O634" s="547"/>
      <c r="P634" s="547"/>
      <c r="Q634" s="547"/>
      <c r="R634" s="547"/>
      <c r="S634" s="547"/>
      <c r="T634" s="547"/>
      <c r="U634" s="547"/>
      <c r="V634" s="547"/>
      <c r="W634" s="547"/>
      <c r="X634" s="547"/>
      <c r="Y634" s="547"/>
      <c r="Z634" s="547"/>
      <c r="AA634" s="547"/>
      <c r="AB634" s="547"/>
      <c r="AC634" s="547"/>
      <c r="AD634" s="547"/>
      <c r="AE634" s="547"/>
      <c r="AF634" s="548"/>
      <c r="AG634" s="547"/>
      <c r="AH634" s="547"/>
      <c r="AI634" s="547"/>
      <c r="AJ634" s="547"/>
      <c r="AK634" s="547"/>
      <c r="AL634" s="547"/>
      <c r="AM634" s="547"/>
      <c r="AN634" s="547"/>
      <c r="AO634" s="547"/>
      <c r="AP634" s="547"/>
      <c r="AQ634" s="547"/>
      <c r="AR634" s="547"/>
      <c r="AS634" s="547"/>
      <c r="AT634" s="547"/>
      <c r="AU634" s="547"/>
      <c r="AV634" s="547"/>
      <c r="AW634" s="547"/>
      <c r="AX634" s="547"/>
      <c r="AY634" s="547"/>
      <c r="AZ634" s="547"/>
      <c r="BA634" s="547"/>
      <c r="BB634" s="547"/>
      <c r="BC634" s="547"/>
      <c r="BD634" s="547"/>
      <c r="BE634" s="548"/>
      <c r="BF634" s="547"/>
      <c r="BG634" s="547"/>
      <c r="BH634" s="547"/>
      <c r="BI634" s="547"/>
      <c r="BJ634" s="36"/>
      <c r="BK634" s="174"/>
      <c r="BL634" s="174"/>
      <c r="BM634" s="7"/>
    </row>
    <row r="635" spans="1:65" ht="15.75" customHeight="1">
      <c r="A635" s="546"/>
      <c r="B635" s="552"/>
      <c r="C635" s="547"/>
      <c r="D635" s="546"/>
      <c r="E635" s="547"/>
      <c r="F635" s="547"/>
      <c r="G635" s="547"/>
      <c r="H635" s="547"/>
      <c r="I635" s="547"/>
      <c r="J635" s="547"/>
      <c r="K635" s="547"/>
      <c r="L635" s="547"/>
      <c r="M635" s="547"/>
      <c r="N635" s="547"/>
      <c r="O635" s="547"/>
      <c r="P635" s="547"/>
      <c r="Q635" s="547"/>
      <c r="R635" s="547"/>
      <c r="S635" s="547"/>
      <c r="T635" s="547"/>
      <c r="U635" s="547"/>
      <c r="V635" s="547"/>
      <c r="W635" s="547"/>
      <c r="X635" s="547"/>
      <c r="Y635" s="547"/>
      <c r="Z635" s="547"/>
      <c r="AA635" s="547"/>
      <c r="AB635" s="547"/>
      <c r="AC635" s="547"/>
      <c r="AD635" s="547"/>
      <c r="AE635" s="547"/>
      <c r="AF635" s="548"/>
      <c r="AG635" s="547"/>
      <c r="AH635" s="547"/>
      <c r="AI635" s="547"/>
      <c r="AJ635" s="547"/>
      <c r="AK635" s="547"/>
      <c r="AL635" s="547"/>
      <c r="AM635" s="547"/>
      <c r="AN635" s="547"/>
      <c r="AO635" s="547"/>
      <c r="AP635" s="547"/>
      <c r="AQ635" s="547"/>
      <c r="AR635" s="547"/>
      <c r="AS635" s="547"/>
      <c r="AT635" s="547"/>
      <c r="AU635" s="547"/>
      <c r="AV635" s="547"/>
      <c r="AW635" s="547"/>
      <c r="AX635" s="547"/>
      <c r="AY635" s="547"/>
      <c r="AZ635" s="547"/>
      <c r="BA635" s="547"/>
      <c r="BB635" s="547"/>
      <c r="BC635" s="547"/>
      <c r="BD635" s="547"/>
      <c r="BE635" s="548"/>
      <c r="BF635" s="547"/>
      <c r="BG635" s="547"/>
      <c r="BH635" s="547"/>
      <c r="BI635" s="547"/>
      <c r="BJ635" s="36"/>
      <c r="BK635" s="174"/>
      <c r="BL635" s="174"/>
      <c r="BM635" s="7"/>
    </row>
    <row r="636" spans="1:65" ht="15.75" customHeight="1">
      <c r="A636" s="546"/>
      <c r="B636" s="552"/>
      <c r="C636" s="547"/>
      <c r="D636" s="546"/>
      <c r="E636" s="547"/>
      <c r="F636" s="547"/>
      <c r="G636" s="547"/>
      <c r="H636" s="547"/>
      <c r="I636" s="547"/>
      <c r="J636" s="547"/>
      <c r="K636" s="547"/>
      <c r="L636" s="547"/>
      <c r="M636" s="547"/>
      <c r="N636" s="547"/>
      <c r="O636" s="547"/>
      <c r="P636" s="547"/>
      <c r="Q636" s="547"/>
      <c r="R636" s="547"/>
      <c r="S636" s="547"/>
      <c r="T636" s="547"/>
      <c r="U636" s="547"/>
      <c r="V636" s="547"/>
      <c r="W636" s="547"/>
      <c r="X636" s="547"/>
      <c r="Y636" s="547"/>
      <c r="Z636" s="547"/>
      <c r="AA636" s="547"/>
      <c r="AB636" s="547"/>
      <c r="AC636" s="547"/>
      <c r="AD636" s="547"/>
      <c r="AE636" s="547"/>
      <c r="AF636" s="548"/>
      <c r="AG636" s="547"/>
      <c r="AH636" s="547"/>
      <c r="AI636" s="547"/>
      <c r="AJ636" s="547"/>
      <c r="AK636" s="547"/>
      <c r="AL636" s="547"/>
      <c r="AM636" s="547"/>
      <c r="AN636" s="547"/>
      <c r="AO636" s="547"/>
      <c r="AP636" s="547"/>
      <c r="AQ636" s="547"/>
      <c r="AR636" s="547"/>
      <c r="AS636" s="547"/>
      <c r="AT636" s="547"/>
      <c r="AU636" s="547"/>
      <c r="AV636" s="547"/>
      <c r="AW636" s="547"/>
      <c r="AX636" s="547"/>
      <c r="AY636" s="547"/>
      <c r="AZ636" s="547"/>
      <c r="BA636" s="547"/>
      <c r="BB636" s="547"/>
      <c r="BC636" s="547"/>
      <c r="BD636" s="547"/>
      <c r="BE636" s="548"/>
      <c r="BF636" s="547"/>
      <c r="BG636" s="547"/>
      <c r="BH636" s="547"/>
      <c r="BI636" s="547"/>
      <c r="BJ636" s="36"/>
      <c r="BK636" s="174"/>
      <c r="BL636" s="174"/>
      <c r="BM636" s="7"/>
    </row>
    <row r="637" spans="1:65" ht="15.75" customHeight="1">
      <c r="A637" s="546"/>
      <c r="B637" s="552"/>
      <c r="C637" s="547"/>
      <c r="D637" s="546"/>
      <c r="E637" s="547"/>
      <c r="F637" s="547"/>
      <c r="G637" s="547"/>
      <c r="H637" s="547"/>
      <c r="I637" s="547"/>
      <c r="J637" s="547"/>
      <c r="K637" s="547"/>
      <c r="L637" s="547"/>
      <c r="M637" s="547"/>
      <c r="N637" s="547"/>
      <c r="O637" s="547"/>
      <c r="P637" s="547"/>
      <c r="Q637" s="547"/>
      <c r="R637" s="547"/>
      <c r="S637" s="547"/>
      <c r="T637" s="547"/>
      <c r="U637" s="547"/>
      <c r="V637" s="547"/>
      <c r="W637" s="547"/>
      <c r="X637" s="547"/>
      <c r="Y637" s="547"/>
      <c r="Z637" s="547"/>
      <c r="AA637" s="547"/>
      <c r="AB637" s="547"/>
      <c r="AC637" s="547"/>
      <c r="AD637" s="547"/>
      <c r="AE637" s="547"/>
      <c r="AF637" s="548"/>
      <c r="AG637" s="547"/>
      <c r="AH637" s="547"/>
      <c r="AI637" s="547"/>
      <c r="AJ637" s="547"/>
      <c r="AK637" s="547"/>
      <c r="AL637" s="547"/>
      <c r="AM637" s="547"/>
      <c r="AN637" s="547"/>
      <c r="AO637" s="547"/>
      <c r="AP637" s="547"/>
      <c r="AQ637" s="547"/>
      <c r="AR637" s="547"/>
      <c r="AS637" s="547"/>
      <c r="AT637" s="547"/>
      <c r="AU637" s="547"/>
      <c r="AV637" s="547"/>
      <c r="AW637" s="547"/>
      <c r="AX637" s="547"/>
      <c r="AY637" s="547"/>
      <c r="AZ637" s="547"/>
      <c r="BA637" s="547"/>
      <c r="BB637" s="547"/>
      <c r="BC637" s="547"/>
      <c r="BD637" s="547"/>
      <c r="BE637" s="548"/>
      <c r="BF637" s="547"/>
      <c r="BG637" s="547"/>
      <c r="BH637" s="547"/>
      <c r="BI637" s="547"/>
      <c r="BJ637" s="36"/>
      <c r="BK637" s="174"/>
      <c r="BL637" s="174"/>
      <c r="BM637" s="7"/>
    </row>
    <row r="638" spans="1:65" ht="15.75" customHeight="1">
      <c r="A638" s="546"/>
      <c r="B638" s="552"/>
      <c r="C638" s="547"/>
      <c r="D638" s="546"/>
      <c r="E638" s="547"/>
      <c r="F638" s="547"/>
      <c r="G638" s="547"/>
      <c r="H638" s="547"/>
      <c r="I638" s="547"/>
      <c r="J638" s="547"/>
      <c r="K638" s="547"/>
      <c r="L638" s="547"/>
      <c r="M638" s="547"/>
      <c r="N638" s="547"/>
      <c r="O638" s="547"/>
      <c r="P638" s="547"/>
      <c r="Q638" s="547"/>
      <c r="R638" s="547"/>
      <c r="S638" s="547"/>
      <c r="T638" s="547"/>
      <c r="U638" s="547"/>
      <c r="V638" s="547"/>
      <c r="W638" s="547"/>
      <c r="X638" s="547"/>
      <c r="Y638" s="547"/>
      <c r="Z638" s="547"/>
      <c r="AA638" s="547"/>
      <c r="AB638" s="547"/>
      <c r="AC638" s="547"/>
      <c r="AD638" s="547"/>
      <c r="AE638" s="547"/>
      <c r="AF638" s="548"/>
      <c r="AG638" s="547"/>
      <c r="AH638" s="547"/>
      <c r="AI638" s="547"/>
      <c r="AJ638" s="547"/>
      <c r="AK638" s="547"/>
      <c r="AL638" s="547"/>
      <c r="AM638" s="547"/>
      <c r="AN638" s="547"/>
      <c r="AO638" s="547"/>
      <c r="AP638" s="547"/>
      <c r="AQ638" s="547"/>
      <c r="AR638" s="547"/>
      <c r="AS638" s="547"/>
      <c r="AT638" s="547"/>
      <c r="AU638" s="547"/>
      <c r="AV638" s="547"/>
      <c r="AW638" s="547"/>
      <c r="AX638" s="547"/>
      <c r="AY638" s="547"/>
      <c r="AZ638" s="547"/>
      <c r="BA638" s="547"/>
      <c r="BB638" s="547"/>
      <c r="BC638" s="547"/>
      <c r="BD638" s="547"/>
      <c r="BE638" s="548"/>
      <c r="BF638" s="547"/>
      <c r="BG638" s="547"/>
      <c r="BH638" s="547"/>
      <c r="BI638" s="547"/>
      <c r="BJ638" s="36"/>
      <c r="BK638" s="174"/>
      <c r="BL638" s="174"/>
      <c r="BM638" s="7"/>
    </row>
    <row r="639" spans="1:65" ht="15.75" customHeight="1">
      <c r="A639" s="546"/>
      <c r="B639" s="552"/>
      <c r="C639" s="547"/>
      <c r="D639" s="546"/>
      <c r="E639" s="547"/>
      <c r="F639" s="547"/>
      <c r="G639" s="547"/>
      <c r="H639" s="547"/>
      <c r="I639" s="547"/>
      <c r="J639" s="547"/>
      <c r="K639" s="547"/>
      <c r="L639" s="547"/>
      <c r="M639" s="547"/>
      <c r="N639" s="547"/>
      <c r="O639" s="547"/>
      <c r="P639" s="547"/>
      <c r="Q639" s="547"/>
      <c r="R639" s="547"/>
      <c r="S639" s="547"/>
      <c r="T639" s="547"/>
      <c r="U639" s="547"/>
      <c r="V639" s="547"/>
      <c r="W639" s="547"/>
      <c r="X639" s="547"/>
      <c r="Y639" s="547"/>
      <c r="Z639" s="547"/>
      <c r="AA639" s="547"/>
      <c r="AB639" s="547"/>
      <c r="AC639" s="547"/>
      <c r="AD639" s="547"/>
      <c r="AE639" s="547"/>
      <c r="AF639" s="548"/>
      <c r="AG639" s="547"/>
      <c r="AH639" s="547"/>
      <c r="AI639" s="547"/>
      <c r="AJ639" s="547"/>
      <c r="AK639" s="547"/>
      <c r="AL639" s="547"/>
      <c r="AM639" s="547"/>
      <c r="AN639" s="547"/>
      <c r="AO639" s="547"/>
      <c r="AP639" s="547"/>
      <c r="AQ639" s="547"/>
      <c r="AR639" s="547"/>
      <c r="AS639" s="547"/>
      <c r="AT639" s="547"/>
      <c r="AU639" s="547"/>
      <c r="AV639" s="547"/>
      <c r="AW639" s="547"/>
      <c r="AX639" s="547"/>
      <c r="AY639" s="547"/>
      <c r="AZ639" s="547"/>
      <c r="BA639" s="547"/>
      <c r="BB639" s="547"/>
      <c r="BC639" s="547"/>
      <c r="BD639" s="547"/>
      <c r="BE639" s="548"/>
      <c r="BF639" s="547"/>
      <c r="BG639" s="547"/>
      <c r="BH639" s="547"/>
      <c r="BI639" s="547"/>
      <c r="BJ639" s="36"/>
      <c r="BK639" s="174"/>
      <c r="BL639" s="174"/>
      <c r="BM639" s="7"/>
    </row>
    <row r="640" spans="1:65" ht="15.75" customHeight="1">
      <c r="A640" s="546"/>
      <c r="B640" s="552"/>
      <c r="C640" s="547"/>
      <c r="D640" s="546"/>
      <c r="E640" s="547"/>
      <c r="F640" s="547"/>
      <c r="G640" s="547"/>
      <c r="H640" s="547"/>
      <c r="I640" s="547"/>
      <c r="J640" s="547"/>
      <c r="K640" s="547"/>
      <c r="L640" s="547"/>
      <c r="M640" s="547"/>
      <c r="N640" s="547"/>
      <c r="O640" s="547"/>
      <c r="P640" s="547"/>
      <c r="Q640" s="547"/>
      <c r="R640" s="547"/>
      <c r="S640" s="547"/>
      <c r="T640" s="547"/>
      <c r="U640" s="547"/>
      <c r="V640" s="547"/>
      <c r="W640" s="547"/>
      <c r="X640" s="547"/>
      <c r="Y640" s="547"/>
      <c r="Z640" s="547"/>
      <c r="AA640" s="547"/>
      <c r="AB640" s="547"/>
      <c r="AC640" s="547"/>
      <c r="AD640" s="547"/>
      <c r="AE640" s="547"/>
      <c r="AF640" s="548"/>
      <c r="AG640" s="547"/>
      <c r="AH640" s="547"/>
      <c r="AI640" s="547"/>
      <c r="AJ640" s="547"/>
      <c r="AK640" s="547"/>
      <c r="AL640" s="547"/>
      <c r="AM640" s="547"/>
      <c r="AN640" s="547"/>
      <c r="AO640" s="547"/>
      <c r="AP640" s="547"/>
      <c r="AQ640" s="547"/>
      <c r="AR640" s="547"/>
      <c r="AS640" s="547"/>
      <c r="AT640" s="547"/>
      <c r="AU640" s="547"/>
      <c r="AV640" s="547"/>
      <c r="AW640" s="547"/>
      <c r="AX640" s="547"/>
      <c r="AY640" s="547"/>
      <c r="AZ640" s="547"/>
      <c r="BA640" s="547"/>
      <c r="BB640" s="547"/>
      <c r="BC640" s="547"/>
      <c r="BD640" s="547"/>
      <c r="BE640" s="548"/>
      <c r="BF640" s="547"/>
      <c r="BG640" s="547"/>
      <c r="BH640" s="547"/>
      <c r="BI640" s="547"/>
      <c r="BJ640" s="36"/>
      <c r="BK640" s="174"/>
      <c r="BL640" s="174"/>
      <c r="BM640" s="7"/>
    </row>
    <row r="641" spans="1:65" ht="15.75" customHeight="1">
      <c r="A641" s="546"/>
      <c r="B641" s="552"/>
      <c r="C641" s="547"/>
      <c r="D641" s="546"/>
      <c r="E641" s="547"/>
      <c r="F641" s="547"/>
      <c r="G641" s="547"/>
      <c r="H641" s="547"/>
      <c r="I641" s="547"/>
      <c r="J641" s="547"/>
      <c r="K641" s="547"/>
      <c r="L641" s="547"/>
      <c r="M641" s="547"/>
      <c r="N641" s="547"/>
      <c r="O641" s="547"/>
      <c r="P641" s="547"/>
      <c r="Q641" s="547"/>
      <c r="R641" s="547"/>
      <c r="S641" s="547"/>
      <c r="T641" s="547"/>
      <c r="U641" s="547"/>
      <c r="V641" s="547"/>
      <c r="W641" s="547"/>
      <c r="X641" s="547"/>
      <c r="Y641" s="547"/>
      <c r="Z641" s="547"/>
      <c r="AA641" s="547"/>
      <c r="AB641" s="547"/>
      <c r="AC641" s="547"/>
      <c r="AD641" s="547"/>
      <c r="AE641" s="547"/>
      <c r="AF641" s="548"/>
      <c r="AG641" s="547"/>
      <c r="AH641" s="547"/>
      <c r="AI641" s="547"/>
      <c r="AJ641" s="547"/>
      <c r="AK641" s="547"/>
      <c r="AL641" s="547"/>
      <c r="AM641" s="547"/>
      <c r="AN641" s="547"/>
      <c r="AO641" s="547"/>
      <c r="AP641" s="547"/>
      <c r="AQ641" s="547"/>
      <c r="AR641" s="547"/>
      <c r="AS641" s="547"/>
      <c r="AT641" s="547"/>
      <c r="AU641" s="547"/>
      <c r="AV641" s="547"/>
      <c r="AW641" s="547"/>
      <c r="AX641" s="547"/>
      <c r="AY641" s="547"/>
      <c r="AZ641" s="547"/>
      <c r="BA641" s="547"/>
      <c r="BB641" s="547"/>
      <c r="BC641" s="547"/>
      <c r="BD641" s="547"/>
      <c r="BE641" s="548"/>
      <c r="BF641" s="547"/>
      <c r="BG641" s="547"/>
      <c r="BH641" s="547"/>
      <c r="BI641" s="547"/>
      <c r="BJ641" s="36"/>
      <c r="BK641" s="174"/>
      <c r="BL641" s="174"/>
      <c r="BM641" s="7"/>
    </row>
    <row r="642" spans="1:65" ht="15.75" customHeight="1">
      <c r="A642" s="546"/>
      <c r="B642" s="552"/>
      <c r="C642" s="547"/>
      <c r="D642" s="546"/>
      <c r="E642" s="547"/>
      <c r="F642" s="547"/>
      <c r="G642" s="547"/>
      <c r="H642" s="547"/>
      <c r="I642" s="547"/>
      <c r="J642" s="547"/>
      <c r="K642" s="547"/>
      <c r="L642" s="547"/>
      <c r="M642" s="547"/>
      <c r="N642" s="547"/>
      <c r="O642" s="547"/>
      <c r="P642" s="547"/>
      <c r="Q642" s="547"/>
      <c r="R642" s="547"/>
      <c r="S642" s="547"/>
      <c r="T642" s="547"/>
      <c r="U642" s="547"/>
      <c r="V642" s="547"/>
      <c r="W642" s="547"/>
      <c r="X642" s="547"/>
      <c r="Y642" s="547"/>
      <c r="Z642" s="547"/>
      <c r="AA642" s="547"/>
      <c r="AB642" s="547"/>
      <c r="AC642" s="547"/>
      <c r="AD642" s="547"/>
      <c r="AE642" s="547"/>
      <c r="AF642" s="548"/>
      <c r="AG642" s="547"/>
      <c r="AH642" s="547"/>
      <c r="AI642" s="547"/>
      <c r="AJ642" s="547"/>
      <c r="AK642" s="547"/>
      <c r="AL642" s="547"/>
      <c r="AM642" s="547"/>
      <c r="AN642" s="547"/>
      <c r="AO642" s="547"/>
      <c r="AP642" s="547"/>
      <c r="AQ642" s="547"/>
      <c r="AR642" s="547"/>
      <c r="AS642" s="547"/>
      <c r="AT642" s="547"/>
      <c r="AU642" s="547"/>
      <c r="AV642" s="547"/>
      <c r="AW642" s="547"/>
      <c r="AX642" s="547"/>
      <c r="AY642" s="547"/>
      <c r="AZ642" s="547"/>
      <c r="BA642" s="547"/>
      <c r="BB642" s="547"/>
      <c r="BC642" s="547"/>
      <c r="BD642" s="547"/>
      <c r="BE642" s="548"/>
      <c r="BF642" s="547"/>
      <c r="BG642" s="547"/>
      <c r="BH642" s="547"/>
      <c r="BI642" s="547"/>
      <c r="BJ642" s="36"/>
      <c r="BK642" s="174"/>
      <c r="BL642" s="174"/>
      <c r="BM642" s="7"/>
    </row>
    <row r="643" spans="1:65" ht="15.75" customHeight="1">
      <c r="A643" s="546"/>
      <c r="B643" s="552"/>
      <c r="C643" s="547"/>
      <c r="D643" s="546"/>
      <c r="E643" s="547"/>
      <c r="F643" s="547"/>
      <c r="G643" s="547"/>
      <c r="H643" s="547"/>
      <c r="I643" s="547"/>
      <c r="J643" s="547"/>
      <c r="K643" s="547"/>
      <c r="L643" s="547"/>
      <c r="M643" s="547"/>
      <c r="N643" s="547"/>
      <c r="O643" s="547"/>
      <c r="P643" s="547"/>
      <c r="Q643" s="547"/>
      <c r="R643" s="547"/>
      <c r="S643" s="547"/>
      <c r="T643" s="547"/>
      <c r="U643" s="547"/>
      <c r="V643" s="547"/>
      <c r="W643" s="547"/>
      <c r="X643" s="547"/>
      <c r="Y643" s="547"/>
      <c r="Z643" s="547"/>
      <c r="AA643" s="547"/>
      <c r="AB643" s="547"/>
      <c r="AC643" s="547"/>
      <c r="AD643" s="547"/>
      <c r="AE643" s="547"/>
      <c r="AF643" s="548"/>
      <c r="AG643" s="547"/>
      <c r="AH643" s="547"/>
      <c r="AI643" s="547"/>
      <c r="AJ643" s="547"/>
      <c r="AK643" s="547"/>
      <c r="AL643" s="547"/>
      <c r="AM643" s="547"/>
      <c r="AN643" s="547"/>
      <c r="AO643" s="547"/>
      <c r="AP643" s="547"/>
      <c r="AQ643" s="547"/>
      <c r="AR643" s="547"/>
      <c r="AS643" s="547"/>
      <c r="AT643" s="547"/>
      <c r="AU643" s="547"/>
      <c r="AV643" s="547"/>
      <c r="AW643" s="547"/>
      <c r="AX643" s="547"/>
      <c r="AY643" s="547"/>
      <c r="AZ643" s="547"/>
      <c r="BA643" s="547"/>
      <c r="BB643" s="547"/>
      <c r="BC643" s="547"/>
      <c r="BD643" s="547"/>
      <c r="BE643" s="548"/>
      <c r="BF643" s="547"/>
      <c r="BG643" s="547"/>
      <c r="BH643" s="547"/>
      <c r="BI643" s="547"/>
      <c r="BJ643" s="36"/>
      <c r="BK643" s="174"/>
      <c r="BL643" s="174"/>
      <c r="BM643" s="7"/>
    </row>
    <row r="644" spans="1:65" ht="15.75" customHeight="1">
      <c r="A644" s="546"/>
      <c r="B644" s="552"/>
      <c r="C644" s="547"/>
      <c r="D644" s="546"/>
      <c r="E644" s="547"/>
      <c r="F644" s="547"/>
      <c r="G644" s="547"/>
      <c r="H644" s="547"/>
      <c r="I644" s="547"/>
      <c r="J644" s="547"/>
      <c r="K644" s="547"/>
      <c r="L644" s="547"/>
      <c r="M644" s="547"/>
      <c r="N644" s="547"/>
      <c r="O644" s="547"/>
      <c r="P644" s="547"/>
      <c r="Q644" s="547"/>
      <c r="R644" s="547"/>
      <c r="S644" s="547"/>
      <c r="T644" s="547"/>
      <c r="U644" s="547"/>
      <c r="V644" s="547"/>
      <c r="W644" s="547"/>
      <c r="X644" s="547"/>
      <c r="Y644" s="547"/>
      <c r="Z644" s="547"/>
      <c r="AA644" s="547"/>
      <c r="AB644" s="547"/>
      <c r="AC644" s="547"/>
      <c r="AD644" s="547"/>
      <c r="AE644" s="547"/>
      <c r="AF644" s="548"/>
      <c r="AG644" s="547"/>
      <c r="AH644" s="547"/>
      <c r="AI644" s="547"/>
      <c r="AJ644" s="547"/>
      <c r="AK644" s="547"/>
      <c r="AL644" s="547"/>
      <c r="AM644" s="547"/>
      <c r="AN644" s="547"/>
      <c r="AO644" s="547"/>
      <c r="AP644" s="547"/>
      <c r="AQ644" s="547"/>
      <c r="AR644" s="547"/>
      <c r="AS644" s="547"/>
      <c r="AT644" s="547"/>
      <c r="AU644" s="547"/>
      <c r="AV644" s="547"/>
      <c r="AW644" s="547"/>
      <c r="AX644" s="547"/>
      <c r="AY644" s="547"/>
      <c r="AZ644" s="547"/>
      <c r="BA644" s="547"/>
      <c r="BB644" s="547"/>
      <c r="BC644" s="547"/>
      <c r="BD644" s="547"/>
      <c r="BE644" s="548"/>
      <c r="BF644" s="547"/>
      <c r="BG644" s="547"/>
      <c r="BH644" s="547"/>
      <c r="BI644" s="547"/>
      <c r="BJ644" s="36"/>
      <c r="BK644" s="174"/>
      <c r="BL644" s="174"/>
      <c r="BM644" s="7"/>
    </row>
    <row r="645" spans="1:65" ht="15.75" customHeight="1">
      <c r="A645" s="546"/>
      <c r="B645" s="552"/>
      <c r="C645" s="547"/>
      <c r="D645" s="546"/>
      <c r="E645" s="547"/>
      <c r="F645" s="547"/>
      <c r="G645" s="547"/>
      <c r="H645" s="547"/>
      <c r="I645" s="547"/>
      <c r="J645" s="547"/>
      <c r="K645" s="547"/>
      <c r="L645" s="547"/>
      <c r="M645" s="547"/>
      <c r="N645" s="547"/>
      <c r="O645" s="547"/>
      <c r="P645" s="547"/>
      <c r="Q645" s="547"/>
      <c r="R645" s="547"/>
      <c r="S645" s="547"/>
      <c r="T645" s="547"/>
      <c r="U645" s="547"/>
      <c r="V645" s="547"/>
      <c r="W645" s="547"/>
      <c r="X645" s="547"/>
      <c r="Y645" s="547"/>
      <c r="Z645" s="547"/>
      <c r="AA645" s="547"/>
      <c r="AB645" s="547"/>
      <c r="AC645" s="547"/>
      <c r="AD645" s="547"/>
      <c r="AE645" s="547"/>
      <c r="AF645" s="548"/>
      <c r="AG645" s="547"/>
      <c r="AH645" s="547"/>
      <c r="AI645" s="547"/>
      <c r="AJ645" s="547"/>
      <c r="AK645" s="547"/>
      <c r="AL645" s="547"/>
      <c r="AM645" s="547"/>
      <c r="AN645" s="547"/>
      <c r="AO645" s="547"/>
      <c r="AP645" s="547"/>
      <c r="AQ645" s="547"/>
      <c r="AR645" s="547"/>
      <c r="AS645" s="547"/>
      <c r="AT645" s="547"/>
      <c r="AU645" s="547"/>
      <c r="AV645" s="547"/>
      <c r="AW645" s="547"/>
      <c r="AX645" s="547"/>
      <c r="AY645" s="547"/>
      <c r="AZ645" s="547"/>
      <c r="BA645" s="547"/>
      <c r="BB645" s="547"/>
      <c r="BC645" s="547"/>
      <c r="BD645" s="547"/>
      <c r="BE645" s="548"/>
      <c r="BF645" s="547"/>
      <c r="BG645" s="547"/>
      <c r="BH645" s="547"/>
      <c r="BI645" s="547"/>
      <c r="BJ645" s="36"/>
      <c r="BK645" s="174"/>
      <c r="BL645" s="174"/>
      <c r="BM645" s="7"/>
    </row>
    <row r="646" spans="1:65" ht="15.75" customHeight="1">
      <c r="A646" s="546"/>
      <c r="B646" s="552"/>
      <c r="C646" s="547"/>
      <c r="D646" s="546"/>
      <c r="E646" s="547"/>
      <c r="F646" s="547"/>
      <c r="G646" s="547"/>
      <c r="H646" s="547"/>
      <c r="I646" s="547"/>
      <c r="J646" s="547"/>
      <c r="K646" s="547"/>
      <c r="L646" s="547"/>
      <c r="M646" s="547"/>
      <c r="N646" s="547"/>
      <c r="O646" s="547"/>
      <c r="P646" s="547"/>
      <c r="Q646" s="547"/>
      <c r="R646" s="547"/>
      <c r="S646" s="547"/>
      <c r="T646" s="547"/>
      <c r="U646" s="547"/>
      <c r="V646" s="547"/>
      <c r="W646" s="547"/>
      <c r="X646" s="547"/>
      <c r="Y646" s="547"/>
      <c r="Z646" s="547"/>
      <c r="AA646" s="547"/>
      <c r="AB646" s="547"/>
      <c r="AC646" s="547"/>
      <c r="AD646" s="547"/>
      <c r="AE646" s="547"/>
      <c r="AF646" s="548"/>
      <c r="AG646" s="547"/>
      <c r="AH646" s="547"/>
      <c r="AI646" s="547"/>
      <c r="AJ646" s="547"/>
      <c r="AK646" s="547"/>
      <c r="AL646" s="547"/>
      <c r="AM646" s="547"/>
      <c r="AN646" s="547"/>
      <c r="AO646" s="547"/>
      <c r="AP646" s="547"/>
      <c r="AQ646" s="547"/>
      <c r="AR646" s="547"/>
      <c r="AS646" s="547"/>
      <c r="AT646" s="547"/>
      <c r="AU646" s="547"/>
      <c r="AV646" s="547"/>
      <c r="AW646" s="547"/>
      <c r="AX646" s="547"/>
      <c r="AY646" s="547"/>
      <c r="AZ646" s="547"/>
      <c r="BA646" s="547"/>
      <c r="BB646" s="547"/>
      <c r="BC646" s="547"/>
      <c r="BD646" s="547"/>
      <c r="BE646" s="548"/>
      <c r="BF646" s="547"/>
      <c r="BG646" s="547"/>
      <c r="BH646" s="547"/>
      <c r="BI646" s="547"/>
      <c r="BJ646" s="36"/>
      <c r="BK646" s="174"/>
      <c r="BL646" s="174"/>
      <c r="BM646" s="7"/>
    </row>
    <row r="647" spans="1:65" ht="15.75" customHeight="1">
      <c r="A647" s="546"/>
      <c r="B647" s="552"/>
      <c r="C647" s="547"/>
      <c r="D647" s="546"/>
      <c r="E647" s="547"/>
      <c r="F647" s="547"/>
      <c r="G647" s="547"/>
      <c r="H647" s="547"/>
      <c r="I647" s="547"/>
      <c r="J647" s="547"/>
      <c r="K647" s="547"/>
      <c r="L647" s="547"/>
      <c r="M647" s="547"/>
      <c r="N647" s="547"/>
      <c r="O647" s="547"/>
      <c r="P647" s="547"/>
      <c r="Q647" s="547"/>
      <c r="R647" s="547"/>
      <c r="S647" s="547"/>
      <c r="T647" s="547"/>
      <c r="U647" s="547"/>
      <c r="V647" s="547"/>
      <c r="W647" s="547"/>
      <c r="X647" s="547"/>
      <c r="Y647" s="547"/>
      <c r="Z647" s="547"/>
      <c r="AA647" s="547"/>
      <c r="AB647" s="547"/>
      <c r="AC647" s="547"/>
      <c r="AD647" s="547"/>
      <c r="AE647" s="547"/>
      <c r="AF647" s="548"/>
      <c r="AG647" s="547"/>
      <c r="AH647" s="547"/>
      <c r="AI647" s="547"/>
      <c r="AJ647" s="547"/>
      <c r="AK647" s="547"/>
      <c r="AL647" s="547"/>
      <c r="AM647" s="547"/>
      <c r="AN647" s="547"/>
      <c r="AO647" s="547"/>
      <c r="AP647" s="547"/>
      <c r="AQ647" s="547"/>
      <c r="AR647" s="547"/>
      <c r="AS647" s="547"/>
      <c r="AT647" s="547"/>
      <c r="AU647" s="547"/>
      <c r="AV647" s="547"/>
      <c r="AW647" s="547"/>
      <c r="AX647" s="547"/>
      <c r="AY647" s="547"/>
      <c r="AZ647" s="547"/>
      <c r="BA647" s="547"/>
      <c r="BB647" s="547"/>
      <c r="BC647" s="547"/>
      <c r="BD647" s="547"/>
      <c r="BE647" s="548"/>
      <c r="BF647" s="547"/>
      <c r="BG647" s="547"/>
      <c r="BH647" s="547"/>
      <c r="BI647" s="547"/>
      <c r="BJ647" s="36"/>
      <c r="BK647" s="174"/>
      <c r="BL647" s="174"/>
      <c r="BM647" s="7"/>
    </row>
    <row r="648" spans="1:65" ht="15.75" customHeight="1">
      <c r="A648" s="546"/>
      <c r="B648" s="552"/>
      <c r="C648" s="547"/>
      <c r="D648" s="546"/>
      <c r="E648" s="547"/>
      <c r="F648" s="547"/>
      <c r="G648" s="547"/>
      <c r="H648" s="547"/>
      <c r="I648" s="547"/>
      <c r="J648" s="547"/>
      <c r="K648" s="547"/>
      <c r="L648" s="547"/>
      <c r="M648" s="547"/>
      <c r="N648" s="547"/>
      <c r="O648" s="547"/>
      <c r="P648" s="547"/>
      <c r="Q648" s="547"/>
      <c r="R648" s="547"/>
      <c r="S648" s="547"/>
      <c r="T648" s="547"/>
      <c r="U648" s="547"/>
      <c r="V648" s="547"/>
      <c r="W648" s="547"/>
      <c r="X648" s="547"/>
      <c r="Y648" s="547"/>
      <c r="Z648" s="547"/>
      <c r="AA648" s="547"/>
      <c r="AB648" s="547"/>
      <c r="AC648" s="547"/>
      <c r="AD648" s="547"/>
      <c r="AE648" s="547"/>
      <c r="AF648" s="548"/>
      <c r="AG648" s="547"/>
      <c r="AH648" s="547"/>
      <c r="AI648" s="547"/>
      <c r="AJ648" s="547"/>
      <c r="AK648" s="547"/>
      <c r="AL648" s="547"/>
      <c r="AM648" s="547"/>
      <c r="AN648" s="547"/>
      <c r="AO648" s="547"/>
      <c r="AP648" s="547"/>
      <c r="AQ648" s="547"/>
      <c r="AR648" s="547"/>
      <c r="AS648" s="547"/>
      <c r="AT648" s="547"/>
      <c r="AU648" s="547"/>
      <c r="AV648" s="547"/>
      <c r="AW648" s="547"/>
      <c r="AX648" s="547"/>
      <c r="AY648" s="547"/>
      <c r="AZ648" s="547"/>
      <c r="BA648" s="547"/>
      <c r="BB648" s="547"/>
      <c r="BC648" s="547"/>
      <c r="BD648" s="547"/>
      <c r="BE648" s="548"/>
      <c r="BF648" s="547"/>
      <c r="BG648" s="547"/>
      <c r="BH648" s="547"/>
      <c r="BI648" s="547"/>
      <c r="BJ648" s="36"/>
      <c r="BK648" s="174"/>
      <c r="BL648" s="174"/>
      <c r="BM648" s="7"/>
    </row>
    <row r="649" spans="1:65" ht="15.75" customHeight="1">
      <c r="A649" s="546"/>
      <c r="B649" s="552"/>
      <c r="C649" s="547"/>
      <c r="D649" s="546"/>
      <c r="E649" s="547"/>
      <c r="F649" s="547"/>
      <c r="G649" s="547"/>
      <c r="H649" s="547"/>
      <c r="I649" s="547"/>
      <c r="J649" s="547"/>
      <c r="K649" s="547"/>
      <c r="L649" s="547"/>
      <c r="M649" s="547"/>
      <c r="N649" s="547"/>
      <c r="O649" s="547"/>
      <c r="P649" s="547"/>
      <c r="Q649" s="547"/>
      <c r="R649" s="547"/>
      <c r="S649" s="547"/>
      <c r="T649" s="547"/>
      <c r="U649" s="547"/>
      <c r="V649" s="547"/>
      <c r="W649" s="547"/>
      <c r="X649" s="547"/>
      <c r="Y649" s="547"/>
      <c r="Z649" s="547"/>
      <c r="AA649" s="547"/>
      <c r="AB649" s="547"/>
      <c r="AC649" s="547"/>
      <c r="AD649" s="547"/>
      <c r="AE649" s="547"/>
      <c r="AF649" s="548"/>
      <c r="AG649" s="547"/>
      <c r="AH649" s="547"/>
      <c r="AI649" s="547"/>
      <c r="AJ649" s="547"/>
      <c r="AK649" s="547"/>
      <c r="AL649" s="547"/>
      <c r="AM649" s="547"/>
      <c r="AN649" s="547"/>
      <c r="AO649" s="547"/>
      <c r="AP649" s="547"/>
      <c r="AQ649" s="547"/>
      <c r="AR649" s="547"/>
      <c r="AS649" s="547"/>
      <c r="AT649" s="547"/>
      <c r="AU649" s="547"/>
      <c r="AV649" s="547"/>
      <c r="AW649" s="547"/>
      <c r="AX649" s="547"/>
      <c r="AY649" s="547"/>
      <c r="AZ649" s="547"/>
      <c r="BA649" s="547"/>
      <c r="BB649" s="547"/>
      <c r="BC649" s="547"/>
      <c r="BD649" s="547"/>
      <c r="BE649" s="548"/>
      <c r="BF649" s="547"/>
      <c r="BG649" s="547"/>
      <c r="BH649" s="547"/>
      <c r="BI649" s="547"/>
      <c r="BJ649" s="36"/>
      <c r="BK649" s="174"/>
      <c r="BL649" s="174"/>
      <c r="BM649" s="7"/>
    </row>
    <row r="650" spans="1:65" ht="15.75" customHeight="1">
      <c r="A650" s="546"/>
      <c r="B650" s="552"/>
      <c r="C650" s="547"/>
      <c r="D650" s="546"/>
      <c r="E650" s="547"/>
      <c r="F650" s="547"/>
      <c r="G650" s="547"/>
      <c r="H650" s="547"/>
      <c r="I650" s="547"/>
      <c r="J650" s="547"/>
      <c r="K650" s="547"/>
      <c r="L650" s="547"/>
      <c r="M650" s="547"/>
      <c r="N650" s="547"/>
      <c r="O650" s="547"/>
      <c r="P650" s="547"/>
      <c r="Q650" s="547"/>
      <c r="R650" s="547"/>
      <c r="S650" s="547"/>
      <c r="T650" s="547"/>
      <c r="U650" s="547"/>
      <c r="V650" s="547"/>
      <c r="W650" s="547"/>
      <c r="X650" s="547"/>
      <c r="Y650" s="547"/>
      <c r="Z650" s="547"/>
      <c r="AA650" s="547"/>
      <c r="AB650" s="547"/>
      <c r="AC650" s="547"/>
      <c r="AD650" s="547"/>
      <c r="AE650" s="547"/>
      <c r="AF650" s="548"/>
      <c r="AG650" s="547"/>
      <c r="AH650" s="547"/>
      <c r="AI650" s="547"/>
      <c r="AJ650" s="547"/>
      <c r="AK650" s="547"/>
      <c r="AL650" s="547"/>
      <c r="AM650" s="547"/>
      <c r="AN650" s="547"/>
      <c r="AO650" s="547"/>
      <c r="AP650" s="547"/>
      <c r="AQ650" s="547"/>
      <c r="AR650" s="547"/>
      <c r="AS650" s="547"/>
      <c r="AT650" s="547"/>
      <c r="AU650" s="547"/>
      <c r="AV650" s="547"/>
      <c r="AW650" s="547"/>
      <c r="AX650" s="547"/>
      <c r="AY650" s="547"/>
      <c r="AZ650" s="547"/>
      <c r="BA650" s="547"/>
      <c r="BB650" s="547"/>
      <c r="BC650" s="547"/>
      <c r="BD650" s="547"/>
      <c r="BE650" s="548"/>
      <c r="BF650" s="547"/>
      <c r="BG650" s="547"/>
      <c r="BH650" s="547"/>
      <c r="BI650" s="547"/>
      <c r="BJ650" s="36"/>
      <c r="BK650" s="174"/>
      <c r="BL650" s="174"/>
      <c r="BM650" s="7"/>
    </row>
    <row r="651" spans="1:65" ht="15.75" customHeight="1">
      <c r="A651" s="546"/>
      <c r="B651" s="552"/>
      <c r="C651" s="547"/>
      <c r="D651" s="546"/>
      <c r="E651" s="547"/>
      <c r="F651" s="547"/>
      <c r="G651" s="547"/>
      <c r="H651" s="547"/>
      <c r="I651" s="547"/>
      <c r="J651" s="547"/>
      <c r="K651" s="547"/>
      <c r="L651" s="547"/>
      <c r="M651" s="547"/>
      <c r="N651" s="547"/>
      <c r="O651" s="547"/>
      <c r="P651" s="547"/>
      <c r="Q651" s="547"/>
      <c r="R651" s="547"/>
      <c r="S651" s="547"/>
      <c r="T651" s="547"/>
      <c r="U651" s="547"/>
      <c r="V651" s="547"/>
      <c r="W651" s="547"/>
      <c r="X651" s="547"/>
      <c r="Y651" s="547"/>
      <c r="Z651" s="547"/>
      <c r="AA651" s="547"/>
      <c r="AB651" s="547"/>
      <c r="AC651" s="547"/>
      <c r="AD651" s="547"/>
      <c r="AE651" s="547"/>
      <c r="AF651" s="548"/>
      <c r="AG651" s="547"/>
      <c r="AH651" s="547"/>
      <c r="AI651" s="547"/>
      <c r="AJ651" s="547"/>
      <c r="AK651" s="547"/>
      <c r="AL651" s="547"/>
      <c r="AM651" s="547"/>
      <c r="AN651" s="547"/>
      <c r="AO651" s="547"/>
      <c r="AP651" s="547"/>
      <c r="AQ651" s="547"/>
      <c r="AR651" s="547"/>
      <c r="AS651" s="547"/>
      <c r="AT651" s="547"/>
      <c r="AU651" s="547"/>
      <c r="AV651" s="547"/>
      <c r="AW651" s="547"/>
      <c r="AX651" s="547"/>
      <c r="AY651" s="547"/>
      <c r="AZ651" s="547"/>
      <c r="BA651" s="547"/>
      <c r="BB651" s="547"/>
      <c r="BC651" s="547"/>
      <c r="BD651" s="547"/>
      <c r="BE651" s="548"/>
      <c r="BF651" s="547"/>
      <c r="BG651" s="547"/>
      <c r="BH651" s="547"/>
      <c r="BI651" s="547"/>
      <c r="BJ651" s="36"/>
      <c r="BK651" s="174"/>
      <c r="BL651" s="174"/>
      <c r="BM651" s="7"/>
    </row>
    <row r="652" spans="1:65" ht="15.75" customHeight="1">
      <c r="A652" s="546"/>
      <c r="B652" s="552"/>
      <c r="C652" s="547"/>
      <c r="D652" s="546"/>
      <c r="E652" s="547"/>
      <c r="F652" s="547"/>
      <c r="G652" s="547"/>
      <c r="H652" s="547"/>
      <c r="I652" s="547"/>
      <c r="J652" s="547"/>
      <c r="K652" s="547"/>
      <c r="L652" s="547"/>
      <c r="M652" s="547"/>
      <c r="N652" s="547"/>
      <c r="O652" s="547"/>
      <c r="P652" s="547"/>
      <c r="Q652" s="547"/>
      <c r="R652" s="547"/>
      <c r="S652" s="547"/>
      <c r="T652" s="547"/>
      <c r="U652" s="547"/>
      <c r="V652" s="547"/>
      <c r="W652" s="547"/>
      <c r="X652" s="547"/>
      <c r="Y652" s="547"/>
      <c r="Z652" s="547"/>
      <c r="AA652" s="547"/>
      <c r="AB652" s="547"/>
      <c r="AC652" s="547"/>
      <c r="AD652" s="547"/>
      <c r="AE652" s="547"/>
      <c r="AF652" s="548"/>
      <c r="AG652" s="547"/>
      <c r="AH652" s="547"/>
      <c r="AI652" s="547"/>
      <c r="AJ652" s="547"/>
      <c r="AK652" s="547"/>
      <c r="AL652" s="547"/>
      <c r="AM652" s="547"/>
      <c r="AN652" s="547"/>
      <c r="AO652" s="547"/>
      <c r="AP652" s="547"/>
      <c r="AQ652" s="547"/>
      <c r="AR652" s="547"/>
      <c r="AS652" s="547"/>
      <c r="AT652" s="547"/>
      <c r="AU652" s="547"/>
      <c r="AV652" s="547"/>
      <c r="AW652" s="547"/>
      <c r="AX652" s="547"/>
      <c r="AY652" s="547"/>
      <c r="AZ652" s="547"/>
      <c r="BA652" s="547"/>
      <c r="BB652" s="547"/>
      <c r="BC652" s="547"/>
      <c r="BD652" s="547"/>
      <c r="BE652" s="548"/>
      <c r="BF652" s="547"/>
      <c r="BG652" s="547"/>
      <c r="BH652" s="547"/>
      <c r="BI652" s="547"/>
      <c r="BJ652" s="36"/>
      <c r="BK652" s="174"/>
      <c r="BL652" s="174"/>
      <c r="BM652" s="7"/>
    </row>
    <row r="653" spans="1:65" ht="15.75" customHeight="1">
      <c r="A653" s="546"/>
      <c r="B653" s="552"/>
      <c r="C653" s="547"/>
      <c r="D653" s="546"/>
      <c r="E653" s="547"/>
      <c r="F653" s="547"/>
      <c r="G653" s="547"/>
      <c r="H653" s="547"/>
      <c r="I653" s="547"/>
      <c r="J653" s="547"/>
      <c r="K653" s="547"/>
      <c r="L653" s="547"/>
      <c r="M653" s="547"/>
      <c r="N653" s="547"/>
      <c r="O653" s="547"/>
      <c r="P653" s="547"/>
      <c r="Q653" s="547"/>
      <c r="R653" s="547"/>
      <c r="S653" s="547"/>
      <c r="T653" s="547"/>
      <c r="U653" s="547"/>
      <c r="V653" s="547"/>
      <c r="W653" s="547"/>
      <c r="X653" s="547"/>
      <c r="Y653" s="547"/>
      <c r="Z653" s="547"/>
      <c r="AA653" s="547"/>
      <c r="AB653" s="547"/>
      <c r="AC653" s="547"/>
      <c r="AD653" s="547"/>
      <c r="AE653" s="547"/>
      <c r="AF653" s="548"/>
      <c r="AG653" s="547"/>
      <c r="AH653" s="547"/>
      <c r="AI653" s="547"/>
      <c r="AJ653" s="547"/>
      <c r="AK653" s="547"/>
      <c r="AL653" s="547"/>
      <c r="AM653" s="547"/>
      <c r="AN653" s="547"/>
      <c r="AO653" s="547"/>
      <c r="AP653" s="547"/>
      <c r="AQ653" s="547"/>
      <c r="AR653" s="547"/>
      <c r="AS653" s="547"/>
      <c r="AT653" s="547"/>
      <c r="AU653" s="547"/>
      <c r="AV653" s="547"/>
      <c r="AW653" s="547"/>
      <c r="AX653" s="547"/>
      <c r="AY653" s="547"/>
      <c r="AZ653" s="547"/>
      <c r="BA653" s="547"/>
      <c r="BB653" s="547"/>
      <c r="BC653" s="547"/>
      <c r="BD653" s="547"/>
      <c r="BE653" s="548"/>
      <c r="BF653" s="547"/>
      <c r="BG653" s="547"/>
      <c r="BH653" s="547"/>
      <c r="BI653" s="547"/>
      <c r="BJ653" s="36"/>
      <c r="BK653" s="174"/>
      <c r="BL653" s="174"/>
      <c r="BM653" s="7"/>
    </row>
    <row r="654" spans="1:65" ht="15.75" customHeight="1">
      <c r="A654" s="546"/>
      <c r="B654" s="552"/>
      <c r="C654" s="547"/>
      <c r="D654" s="546"/>
      <c r="E654" s="547"/>
      <c r="F654" s="547"/>
      <c r="G654" s="547"/>
      <c r="H654" s="547"/>
      <c r="I654" s="547"/>
      <c r="J654" s="547"/>
      <c r="K654" s="547"/>
      <c r="L654" s="547"/>
      <c r="M654" s="547"/>
      <c r="N654" s="547"/>
      <c r="O654" s="547"/>
      <c r="P654" s="547"/>
      <c r="Q654" s="547"/>
      <c r="R654" s="547"/>
      <c r="S654" s="547"/>
      <c r="T654" s="547"/>
      <c r="U654" s="547"/>
      <c r="V654" s="547"/>
      <c r="W654" s="547"/>
      <c r="X654" s="547"/>
      <c r="Y654" s="547"/>
      <c r="Z654" s="547"/>
      <c r="AA654" s="547"/>
      <c r="AB654" s="547"/>
      <c r="AC654" s="547"/>
      <c r="AD654" s="547"/>
      <c r="AE654" s="547"/>
      <c r="AF654" s="548"/>
      <c r="AG654" s="547"/>
      <c r="AH654" s="547"/>
      <c r="AI654" s="547"/>
      <c r="AJ654" s="547"/>
      <c r="AK654" s="547"/>
      <c r="AL654" s="547"/>
      <c r="AM654" s="547"/>
      <c r="AN654" s="547"/>
      <c r="AO654" s="547"/>
      <c r="AP654" s="547"/>
      <c r="AQ654" s="547"/>
      <c r="AR654" s="547"/>
      <c r="AS654" s="547"/>
      <c r="AT654" s="547"/>
      <c r="AU654" s="547"/>
      <c r="AV654" s="547"/>
      <c r="AW654" s="547"/>
      <c r="AX654" s="547"/>
      <c r="AY654" s="547"/>
      <c r="AZ654" s="547"/>
      <c r="BA654" s="547"/>
      <c r="BB654" s="547"/>
      <c r="BC654" s="547"/>
      <c r="BD654" s="547"/>
      <c r="BE654" s="548"/>
      <c r="BF654" s="547"/>
      <c r="BG654" s="547"/>
      <c r="BH654" s="547"/>
      <c r="BI654" s="547"/>
      <c r="BJ654" s="36"/>
      <c r="BK654" s="174"/>
      <c r="BL654" s="174"/>
      <c r="BM654" s="7"/>
    </row>
    <row r="655" spans="1:65" ht="15.75" customHeight="1">
      <c r="A655" s="546"/>
      <c r="B655" s="552"/>
      <c r="C655" s="547"/>
      <c r="D655" s="546"/>
      <c r="E655" s="547"/>
      <c r="F655" s="547"/>
      <c r="G655" s="547"/>
      <c r="H655" s="547"/>
      <c r="I655" s="547"/>
      <c r="J655" s="547"/>
      <c r="K655" s="547"/>
      <c r="L655" s="547"/>
      <c r="M655" s="547"/>
      <c r="N655" s="547"/>
      <c r="O655" s="547"/>
      <c r="P655" s="547"/>
      <c r="Q655" s="547"/>
      <c r="R655" s="547"/>
      <c r="S655" s="547"/>
      <c r="T655" s="547"/>
      <c r="U655" s="547"/>
      <c r="V655" s="547"/>
      <c r="W655" s="547"/>
      <c r="X655" s="547"/>
      <c r="Y655" s="547"/>
      <c r="Z655" s="547"/>
      <c r="AA655" s="547"/>
      <c r="AB655" s="547"/>
      <c r="AC655" s="547"/>
      <c r="AD655" s="547"/>
      <c r="AE655" s="547"/>
      <c r="AF655" s="548"/>
      <c r="AG655" s="547"/>
      <c r="AH655" s="547"/>
      <c r="AI655" s="547"/>
      <c r="AJ655" s="547"/>
      <c r="AK655" s="547"/>
      <c r="AL655" s="547"/>
      <c r="AM655" s="547"/>
      <c r="AN655" s="547"/>
      <c r="AO655" s="547"/>
      <c r="AP655" s="547"/>
      <c r="AQ655" s="547"/>
      <c r="AR655" s="547"/>
      <c r="AS655" s="547"/>
      <c r="AT655" s="547"/>
      <c r="AU655" s="547"/>
      <c r="AV655" s="547"/>
      <c r="AW655" s="547"/>
      <c r="AX655" s="547"/>
      <c r="AY655" s="547"/>
      <c r="AZ655" s="547"/>
      <c r="BA655" s="547"/>
      <c r="BB655" s="547"/>
      <c r="BC655" s="547"/>
      <c r="BD655" s="547"/>
      <c r="BE655" s="548"/>
      <c r="BF655" s="547"/>
      <c r="BG655" s="547"/>
      <c r="BH655" s="547"/>
      <c r="BI655" s="547"/>
      <c r="BJ655" s="36"/>
      <c r="BK655" s="174"/>
      <c r="BL655" s="174"/>
      <c r="BM655" s="7"/>
    </row>
    <row r="656" spans="1:65" ht="15.75" customHeight="1">
      <c r="A656" s="546"/>
      <c r="B656" s="552"/>
      <c r="C656" s="547"/>
      <c r="D656" s="546"/>
      <c r="E656" s="547"/>
      <c r="F656" s="547"/>
      <c r="G656" s="547"/>
      <c r="H656" s="547"/>
      <c r="I656" s="547"/>
      <c r="J656" s="547"/>
      <c r="K656" s="547"/>
      <c r="L656" s="547"/>
      <c r="M656" s="547"/>
      <c r="N656" s="547"/>
      <c r="O656" s="547"/>
      <c r="P656" s="547"/>
      <c r="Q656" s="547"/>
      <c r="R656" s="547"/>
      <c r="S656" s="547"/>
      <c r="T656" s="547"/>
      <c r="U656" s="547"/>
      <c r="V656" s="547"/>
      <c r="W656" s="547"/>
      <c r="X656" s="547"/>
      <c r="Y656" s="547"/>
      <c r="Z656" s="547"/>
      <c r="AA656" s="547"/>
      <c r="AB656" s="547"/>
      <c r="AC656" s="547"/>
      <c r="AD656" s="547"/>
      <c r="AE656" s="547"/>
      <c r="AF656" s="548"/>
      <c r="AG656" s="547"/>
      <c r="AH656" s="547"/>
      <c r="AI656" s="547"/>
      <c r="AJ656" s="547"/>
      <c r="AK656" s="547"/>
      <c r="AL656" s="547"/>
      <c r="AM656" s="547"/>
      <c r="AN656" s="547"/>
      <c r="AO656" s="547"/>
      <c r="AP656" s="547"/>
      <c r="AQ656" s="547"/>
      <c r="AR656" s="547"/>
      <c r="AS656" s="547"/>
      <c r="AT656" s="547"/>
      <c r="AU656" s="547"/>
      <c r="AV656" s="547"/>
      <c r="AW656" s="547"/>
      <c r="AX656" s="547"/>
      <c r="AY656" s="547"/>
      <c r="AZ656" s="547"/>
      <c r="BA656" s="547"/>
      <c r="BB656" s="547"/>
      <c r="BC656" s="547"/>
      <c r="BD656" s="547"/>
      <c r="BE656" s="548"/>
      <c r="BF656" s="547"/>
      <c r="BG656" s="547"/>
      <c r="BH656" s="547"/>
      <c r="BI656" s="547"/>
      <c r="BJ656" s="36"/>
      <c r="BK656" s="174"/>
      <c r="BL656" s="174"/>
      <c r="BM656" s="7"/>
    </row>
    <row r="657" spans="1:65" ht="15.75" customHeight="1">
      <c r="A657" s="546"/>
      <c r="B657" s="552"/>
      <c r="C657" s="547"/>
      <c r="D657" s="546"/>
      <c r="E657" s="547"/>
      <c r="F657" s="547"/>
      <c r="G657" s="547"/>
      <c r="H657" s="547"/>
      <c r="I657" s="547"/>
      <c r="J657" s="547"/>
      <c r="K657" s="547"/>
      <c r="L657" s="547"/>
      <c r="M657" s="547"/>
      <c r="N657" s="547"/>
      <c r="O657" s="547"/>
      <c r="P657" s="547"/>
      <c r="Q657" s="547"/>
      <c r="R657" s="547"/>
      <c r="S657" s="547"/>
      <c r="T657" s="547"/>
      <c r="U657" s="547"/>
      <c r="V657" s="547"/>
      <c r="W657" s="547"/>
      <c r="X657" s="547"/>
      <c r="Y657" s="547"/>
      <c r="Z657" s="547"/>
      <c r="AA657" s="547"/>
      <c r="AB657" s="547"/>
      <c r="AC657" s="547"/>
      <c r="AD657" s="547"/>
      <c r="AE657" s="547"/>
      <c r="AF657" s="548"/>
      <c r="AG657" s="547"/>
      <c r="AH657" s="547"/>
      <c r="AI657" s="547"/>
      <c r="AJ657" s="547"/>
      <c r="AK657" s="547"/>
      <c r="AL657" s="547"/>
      <c r="AM657" s="547"/>
      <c r="AN657" s="547"/>
      <c r="AO657" s="547"/>
      <c r="AP657" s="547"/>
      <c r="AQ657" s="547"/>
      <c r="AR657" s="547"/>
      <c r="AS657" s="547"/>
      <c r="AT657" s="547"/>
      <c r="AU657" s="547"/>
      <c r="AV657" s="547"/>
      <c r="AW657" s="547"/>
      <c r="AX657" s="547"/>
      <c r="AY657" s="547"/>
      <c r="AZ657" s="547"/>
      <c r="BA657" s="547"/>
      <c r="BB657" s="547"/>
      <c r="BC657" s="547"/>
      <c r="BD657" s="547"/>
      <c r="BE657" s="548"/>
      <c r="BF657" s="547"/>
      <c r="BG657" s="547"/>
      <c r="BH657" s="547"/>
      <c r="BI657" s="547"/>
      <c r="BJ657" s="36"/>
      <c r="BK657" s="174"/>
      <c r="BL657" s="174"/>
      <c r="BM657" s="7"/>
    </row>
  </sheetData>
  <mergeCells count="13">
    <mergeCell ref="O10:W10"/>
    <mergeCell ref="Y10:AD10"/>
    <mergeCell ref="B454:C454"/>
    <mergeCell ref="A2:C2"/>
    <mergeCell ref="A3:C3"/>
    <mergeCell ref="A4:D4"/>
    <mergeCell ref="A5:D5"/>
    <mergeCell ref="A6:D6"/>
    <mergeCell ref="C9:D9"/>
    <mergeCell ref="A11:A17"/>
    <mergeCell ref="B11:B17"/>
    <mergeCell ref="B447:C447"/>
    <mergeCell ref="B453:C453"/>
  </mergeCells>
  <conditionalFormatting sqref="A11:D11 BK11">
    <cfRule type="containsText" dxfId="62" priority="1" operator="containsText" text="&quot;vĩnh long&quot;">
      <formula>NOT(ISERROR(SEARCH(("""vĩnh long"""),(A11))))</formula>
    </cfRule>
  </conditionalFormatting>
  <conditionalFormatting sqref="H11:U11 BI11:BJ11">
    <cfRule type="containsText" dxfId="61" priority="2" operator="containsText" text="&quot;quảng ngãi&quot;">
      <formula>NOT(ISERROR(SEARCH(("""quảng ngãi"""),(H11))))</formula>
    </cfRule>
  </conditionalFormatting>
  <conditionalFormatting sqref="W11:AF11">
    <cfRule type="containsText" dxfId="60" priority="3" operator="containsText" text="&quot;quảng ngãi&quot;">
      <formula>NOT(ISERROR(SEARCH(("""quảng ngãi"""),(W11))))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T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21.453125" customWidth="1"/>
    <col min="2" max="19" width="9.08984375" customWidth="1"/>
    <col min="20" max="20" width="8.7265625" customWidth="1"/>
  </cols>
  <sheetData>
    <row r="1" spans="1:19" ht="14.5"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  <c r="Q1" s="553"/>
      <c r="R1" s="553"/>
      <c r="S1" s="319"/>
    </row>
    <row r="2" spans="1:19" ht="63" customHeight="1">
      <c r="A2" s="554"/>
      <c r="B2" s="66" t="s">
        <v>1531</v>
      </c>
      <c r="C2" s="66" t="s">
        <v>1532</v>
      </c>
      <c r="D2" s="66" t="s">
        <v>1533</v>
      </c>
      <c r="E2" s="66" t="s">
        <v>1534</v>
      </c>
      <c r="F2" s="66" t="s">
        <v>1535</v>
      </c>
      <c r="G2" s="66" t="s">
        <v>1536</v>
      </c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554"/>
    </row>
    <row r="3" spans="1:19" ht="15.5">
      <c r="A3" s="555" t="s">
        <v>12</v>
      </c>
      <c r="B3" s="556" t="e">
        <f t="shared" ref="B3:L3" si="0">#REF!</f>
        <v>#REF!</v>
      </c>
      <c r="C3" s="556" t="e">
        <f t="shared" si="0"/>
        <v>#REF!</v>
      </c>
      <c r="D3" s="557" t="e">
        <f t="shared" si="0"/>
        <v>#REF!</v>
      </c>
      <c r="E3" s="557" t="e">
        <f t="shared" si="0"/>
        <v>#REF!</v>
      </c>
      <c r="F3" s="557" t="e">
        <f t="shared" si="0"/>
        <v>#REF!</v>
      </c>
      <c r="G3" s="557" t="e">
        <f t="shared" si="0"/>
        <v>#REF!</v>
      </c>
      <c r="H3" s="557" t="e">
        <f t="shared" si="0"/>
        <v>#REF!</v>
      </c>
      <c r="I3" s="557" t="e">
        <f t="shared" si="0"/>
        <v>#REF!</v>
      </c>
      <c r="J3" s="557" t="e">
        <f t="shared" si="0"/>
        <v>#REF!</v>
      </c>
      <c r="K3" s="557" t="e">
        <f t="shared" si="0"/>
        <v>#REF!</v>
      </c>
      <c r="L3" s="557" t="e">
        <f t="shared" si="0"/>
        <v>#REF!</v>
      </c>
      <c r="M3" s="557">
        <f>'....'!D450</f>
        <v>0</v>
      </c>
      <c r="N3" s="557">
        <f>'.....'!D450</f>
        <v>0</v>
      </c>
      <c r="O3" s="557">
        <f>'......'!D449</f>
        <v>0</v>
      </c>
      <c r="P3" s="557">
        <f>'.... ..'!D449</f>
        <v>0</v>
      </c>
      <c r="Q3" s="557">
        <f>'.. . '!D450</f>
        <v>0</v>
      </c>
      <c r="R3" s="557">
        <f>'... '!D450</f>
        <v>0</v>
      </c>
      <c r="S3" s="558" t="e">
        <f t="shared" ref="S3:S66" si="1">SUM(B3:R3)</f>
        <v>#REF!</v>
      </c>
    </row>
    <row r="4" spans="1:19" ht="15.5">
      <c r="A4" s="555" t="s">
        <v>14</v>
      </c>
      <c r="B4" s="556" t="e">
        <f t="shared" ref="B4:L4" si="2">#REF!</f>
        <v>#REF!</v>
      </c>
      <c r="C4" s="556" t="e">
        <f t="shared" si="2"/>
        <v>#REF!</v>
      </c>
      <c r="D4" s="557" t="e">
        <f t="shared" si="2"/>
        <v>#REF!</v>
      </c>
      <c r="E4" s="557" t="e">
        <f t="shared" si="2"/>
        <v>#REF!</v>
      </c>
      <c r="F4" s="557" t="e">
        <f t="shared" si="2"/>
        <v>#REF!</v>
      </c>
      <c r="G4" s="557" t="e">
        <f t="shared" si="2"/>
        <v>#REF!</v>
      </c>
      <c r="H4" s="557" t="e">
        <f t="shared" si="2"/>
        <v>#REF!</v>
      </c>
      <c r="I4" s="557" t="e">
        <f t="shared" si="2"/>
        <v>#REF!</v>
      </c>
      <c r="J4" s="557" t="e">
        <f t="shared" si="2"/>
        <v>#REF!</v>
      </c>
      <c r="K4" s="557" t="e">
        <f t="shared" si="2"/>
        <v>#REF!</v>
      </c>
      <c r="L4" s="557" t="e">
        <f t="shared" si="2"/>
        <v>#REF!</v>
      </c>
      <c r="M4" s="557">
        <f>'....'!D451</f>
        <v>0</v>
      </c>
      <c r="N4" s="557">
        <f>'.....'!D451</f>
        <v>0</v>
      </c>
      <c r="O4" s="557">
        <f>'......'!D450</f>
        <v>0</v>
      </c>
      <c r="P4" s="557">
        <f>'.... ..'!D450</f>
        <v>0</v>
      </c>
      <c r="Q4" s="557">
        <f>'.. . '!D451</f>
        <v>0</v>
      </c>
      <c r="R4" s="557">
        <f>'... '!D451</f>
        <v>0</v>
      </c>
      <c r="S4" s="558" t="e">
        <f t="shared" si="1"/>
        <v>#REF!</v>
      </c>
    </row>
    <row r="5" spans="1:19" ht="15.5">
      <c r="A5" s="555" t="s">
        <v>23</v>
      </c>
      <c r="B5" s="556" t="e">
        <f t="shared" ref="B5:L5" si="3">#REF!</f>
        <v>#REF!</v>
      </c>
      <c r="C5" s="556" t="e">
        <f t="shared" si="3"/>
        <v>#REF!</v>
      </c>
      <c r="D5" s="557" t="e">
        <f t="shared" si="3"/>
        <v>#REF!</v>
      </c>
      <c r="E5" s="557" t="e">
        <f t="shared" si="3"/>
        <v>#REF!</v>
      </c>
      <c r="F5" s="557" t="e">
        <f t="shared" si="3"/>
        <v>#REF!</v>
      </c>
      <c r="G5" s="557" t="e">
        <f t="shared" si="3"/>
        <v>#REF!</v>
      </c>
      <c r="H5" s="557" t="e">
        <f t="shared" si="3"/>
        <v>#REF!</v>
      </c>
      <c r="I5" s="557" t="e">
        <f t="shared" si="3"/>
        <v>#REF!</v>
      </c>
      <c r="J5" s="557" t="e">
        <f t="shared" si="3"/>
        <v>#REF!</v>
      </c>
      <c r="K5" s="557" t="e">
        <f t="shared" si="3"/>
        <v>#REF!</v>
      </c>
      <c r="L5" s="557" t="e">
        <f t="shared" si="3"/>
        <v>#REF!</v>
      </c>
      <c r="M5" s="557">
        <f>'....'!D452</f>
        <v>0</v>
      </c>
      <c r="N5" s="557">
        <f>'.....'!D452</f>
        <v>0</v>
      </c>
      <c r="O5" s="557">
        <f>'......'!D451</f>
        <v>0</v>
      </c>
      <c r="P5" s="557">
        <f>'.... ..'!D451</f>
        <v>0</v>
      </c>
      <c r="Q5" s="557">
        <f>'.. . '!D452</f>
        <v>0</v>
      </c>
      <c r="R5" s="557">
        <f>'... '!D452</f>
        <v>0</v>
      </c>
      <c r="S5" s="558" t="e">
        <f t="shared" si="1"/>
        <v>#REF!</v>
      </c>
    </row>
    <row r="6" spans="1:19" ht="14.5">
      <c r="A6" s="559" t="s">
        <v>17</v>
      </c>
      <c r="B6" s="556" t="e">
        <f t="shared" ref="B6:L6" si="4">#REF!</f>
        <v>#REF!</v>
      </c>
      <c r="C6" s="556" t="e">
        <f t="shared" si="4"/>
        <v>#REF!</v>
      </c>
      <c r="D6" s="557" t="e">
        <f t="shared" si="4"/>
        <v>#REF!</v>
      </c>
      <c r="E6" s="557" t="e">
        <f t="shared" si="4"/>
        <v>#REF!</v>
      </c>
      <c r="F6" s="557" t="e">
        <f t="shared" si="4"/>
        <v>#REF!</v>
      </c>
      <c r="G6" s="557" t="e">
        <f t="shared" si="4"/>
        <v>#REF!</v>
      </c>
      <c r="H6" s="557" t="e">
        <f t="shared" si="4"/>
        <v>#REF!</v>
      </c>
      <c r="I6" s="557" t="e">
        <f t="shared" si="4"/>
        <v>#REF!</v>
      </c>
      <c r="J6" s="557" t="e">
        <f t="shared" si="4"/>
        <v>#REF!</v>
      </c>
      <c r="K6" s="557" t="e">
        <f t="shared" si="4"/>
        <v>#REF!</v>
      </c>
      <c r="L6" s="557" t="e">
        <f t="shared" si="4"/>
        <v>#REF!</v>
      </c>
      <c r="M6" s="557">
        <f>'....'!D453</f>
        <v>0</v>
      </c>
      <c r="N6" s="557">
        <f>'.....'!D453</f>
        <v>0</v>
      </c>
      <c r="O6" s="557">
        <f>'......'!D452</f>
        <v>0</v>
      </c>
      <c r="P6" s="557">
        <f>'.... ..'!D452</f>
        <v>0</v>
      </c>
      <c r="Q6" s="557">
        <f>'.. . '!D453</f>
        <v>0</v>
      </c>
      <c r="R6" s="557">
        <f>'... '!D453</f>
        <v>0</v>
      </c>
      <c r="S6" s="558" t="e">
        <f t="shared" si="1"/>
        <v>#REF!</v>
      </c>
    </row>
    <row r="7" spans="1:19" ht="14.5">
      <c r="A7" s="559" t="s">
        <v>16</v>
      </c>
      <c r="B7" s="556" t="e">
        <f t="shared" ref="B7:L7" si="5">#REF!</f>
        <v>#REF!</v>
      </c>
      <c r="C7" s="556" t="e">
        <f t="shared" si="5"/>
        <v>#REF!</v>
      </c>
      <c r="D7" s="557" t="e">
        <f t="shared" si="5"/>
        <v>#REF!</v>
      </c>
      <c r="E7" s="557" t="e">
        <f t="shared" si="5"/>
        <v>#REF!</v>
      </c>
      <c r="F7" s="557" t="e">
        <f t="shared" si="5"/>
        <v>#REF!</v>
      </c>
      <c r="G7" s="557" t="e">
        <f t="shared" si="5"/>
        <v>#REF!</v>
      </c>
      <c r="H7" s="557" t="e">
        <f t="shared" si="5"/>
        <v>#REF!</v>
      </c>
      <c r="I7" s="557" t="e">
        <f t="shared" si="5"/>
        <v>#REF!</v>
      </c>
      <c r="J7" s="557" t="e">
        <f t="shared" si="5"/>
        <v>#REF!</v>
      </c>
      <c r="K7" s="557" t="e">
        <f t="shared" si="5"/>
        <v>#REF!</v>
      </c>
      <c r="L7" s="557" t="e">
        <f t="shared" si="5"/>
        <v>#REF!</v>
      </c>
      <c r="M7" s="557">
        <f>'....'!D454</f>
        <v>0</v>
      </c>
      <c r="N7" s="557">
        <f>'.....'!D454</f>
        <v>0</v>
      </c>
      <c r="O7" s="557">
        <f>'......'!D453</f>
        <v>0</v>
      </c>
      <c r="P7" s="557">
        <f>'.... ..'!D453</f>
        <v>0</v>
      </c>
      <c r="Q7" s="557">
        <f>'.. . '!D454</f>
        <v>0</v>
      </c>
      <c r="R7" s="557">
        <f>'... '!D454</f>
        <v>0</v>
      </c>
      <c r="S7" s="558" t="e">
        <f t="shared" si="1"/>
        <v>#REF!</v>
      </c>
    </row>
    <row r="8" spans="1:19" ht="14.5">
      <c r="A8" s="559" t="s">
        <v>13</v>
      </c>
      <c r="B8" s="556" t="e">
        <f t="shared" ref="B8:L8" si="6">#REF!</f>
        <v>#REF!</v>
      </c>
      <c r="C8" s="556" t="e">
        <f t="shared" si="6"/>
        <v>#REF!</v>
      </c>
      <c r="D8" s="557" t="e">
        <f t="shared" si="6"/>
        <v>#REF!</v>
      </c>
      <c r="E8" s="557" t="e">
        <f t="shared" si="6"/>
        <v>#REF!</v>
      </c>
      <c r="F8" s="557" t="e">
        <f t="shared" si="6"/>
        <v>#REF!</v>
      </c>
      <c r="G8" s="557" t="e">
        <f t="shared" si="6"/>
        <v>#REF!</v>
      </c>
      <c r="H8" s="557" t="e">
        <f t="shared" si="6"/>
        <v>#REF!</v>
      </c>
      <c r="I8" s="557" t="e">
        <f t="shared" si="6"/>
        <v>#REF!</v>
      </c>
      <c r="J8" s="557" t="e">
        <f t="shared" si="6"/>
        <v>#REF!</v>
      </c>
      <c r="K8" s="557" t="e">
        <f t="shared" si="6"/>
        <v>#REF!</v>
      </c>
      <c r="L8" s="557" t="e">
        <f t="shared" si="6"/>
        <v>#REF!</v>
      </c>
      <c r="M8" s="557">
        <f>'....'!D455</f>
        <v>0</v>
      </c>
      <c r="N8" s="557">
        <f>'.....'!D455</f>
        <v>0</v>
      </c>
      <c r="O8" s="557">
        <f>'......'!D454</f>
        <v>0</v>
      </c>
      <c r="P8" s="557">
        <f>'.... ..'!D454</f>
        <v>0</v>
      </c>
      <c r="Q8" s="557">
        <f>'.. . '!D455</f>
        <v>0</v>
      </c>
      <c r="R8" s="557">
        <f>'... '!D455</f>
        <v>0</v>
      </c>
      <c r="S8" s="558" t="e">
        <f t="shared" si="1"/>
        <v>#REF!</v>
      </c>
    </row>
    <row r="9" spans="1:19" ht="14.5">
      <c r="A9" s="559" t="s">
        <v>1090</v>
      </c>
      <c r="B9" s="556" t="e">
        <f t="shared" ref="B9:L9" si="7">#REF!</f>
        <v>#REF!</v>
      </c>
      <c r="C9" s="556" t="e">
        <f t="shared" si="7"/>
        <v>#REF!</v>
      </c>
      <c r="D9" s="557" t="e">
        <f t="shared" si="7"/>
        <v>#REF!</v>
      </c>
      <c r="E9" s="557" t="e">
        <f t="shared" si="7"/>
        <v>#REF!</v>
      </c>
      <c r="F9" s="557" t="e">
        <f t="shared" si="7"/>
        <v>#REF!</v>
      </c>
      <c r="G9" s="557" t="e">
        <f t="shared" si="7"/>
        <v>#REF!</v>
      </c>
      <c r="H9" s="557" t="e">
        <f t="shared" si="7"/>
        <v>#REF!</v>
      </c>
      <c r="I9" s="557" t="e">
        <f t="shared" si="7"/>
        <v>#REF!</v>
      </c>
      <c r="J9" s="557" t="e">
        <f t="shared" si="7"/>
        <v>#REF!</v>
      </c>
      <c r="K9" s="557" t="e">
        <f t="shared" si="7"/>
        <v>#REF!</v>
      </c>
      <c r="L9" s="557" t="e">
        <f t="shared" si="7"/>
        <v>#REF!</v>
      </c>
      <c r="M9" s="557">
        <f>'....'!D456</f>
        <v>0</v>
      </c>
      <c r="N9" s="557">
        <f>'.....'!D456</f>
        <v>0</v>
      </c>
      <c r="O9" s="557">
        <f>'......'!D455</f>
        <v>0</v>
      </c>
      <c r="P9" s="557">
        <f>'.... ..'!D455</f>
        <v>0</v>
      </c>
      <c r="Q9" s="557">
        <f>'.. . '!D456</f>
        <v>0</v>
      </c>
      <c r="R9" s="557">
        <f>'... '!D456</f>
        <v>0</v>
      </c>
      <c r="S9" s="558" t="e">
        <f t="shared" si="1"/>
        <v>#REF!</v>
      </c>
    </row>
    <row r="10" spans="1:19" ht="14.5">
      <c r="A10" s="559" t="s">
        <v>19</v>
      </c>
      <c r="B10" s="556" t="e">
        <f t="shared" ref="B10:L10" si="8">#REF!</f>
        <v>#REF!</v>
      </c>
      <c r="C10" s="556" t="e">
        <f t="shared" si="8"/>
        <v>#REF!</v>
      </c>
      <c r="D10" s="557" t="e">
        <f t="shared" si="8"/>
        <v>#REF!</v>
      </c>
      <c r="E10" s="557" t="e">
        <f t="shared" si="8"/>
        <v>#REF!</v>
      </c>
      <c r="F10" s="557" t="e">
        <f t="shared" si="8"/>
        <v>#REF!</v>
      </c>
      <c r="G10" s="557" t="e">
        <f t="shared" si="8"/>
        <v>#REF!</v>
      </c>
      <c r="H10" s="557" t="e">
        <f t="shared" si="8"/>
        <v>#REF!</v>
      </c>
      <c r="I10" s="557" t="e">
        <f t="shared" si="8"/>
        <v>#REF!</v>
      </c>
      <c r="J10" s="557" t="e">
        <f t="shared" si="8"/>
        <v>#REF!</v>
      </c>
      <c r="K10" s="557" t="e">
        <f t="shared" si="8"/>
        <v>#REF!</v>
      </c>
      <c r="L10" s="557" t="e">
        <f t="shared" si="8"/>
        <v>#REF!</v>
      </c>
      <c r="M10" s="557">
        <f>'....'!D457</f>
        <v>0</v>
      </c>
      <c r="N10" s="557">
        <f>'.....'!D457</f>
        <v>0</v>
      </c>
      <c r="O10" s="557">
        <f>'......'!D456</f>
        <v>0</v>
      </c>
      <c r="P10" s="557">
        <f>'.... ..'!D456</f>
        <v>0</v>
      </c>
      <c r="Q10" s="557">
        <f>'.. . '!D457</f>
        <v>0</v>
      </c>
      <c r="R10" s="557">
        <f>'... '!D457</f>
        <v>0</v>
      </c>
      <c r="S10" s="558" t="e">
        <f t="shared" si="1"/>
        <v>#REF!</v>
      </c>
    </row>
    <row r="11" spans="1:19" ht="14.5">
      <c r="A11" s="559" t="s">
        <v>18</v>
      </c>
      <c r="B11" s="556" t="e">
        <f t="shared" ref="B11:L11" si="9">#REF!</f>
        <v>#REF!</v>
      </c>
      <c r="C11" s="556" t="e">
        <f t="shared" si="9"/>
        <v>#REF!</v>
      </c>
      <c r="D11" s="557" t="e">
        <f t="shared" si="9"/>
        <v>#REF!</v>
      </c>
      <c r="E11" s="557" t="e">
        <f t="shared" si="9"/>
        <v>#REF!</v>
      </c>
      <c r="F11" s="557" t="e">
        <f t="shared" si="9"/>
        <v>#REF!</v>
      </c>
      <c r="G11" s="557" t="e">
        <f t="shared" si="9"/>
        <v>#REF!</v>
      </c>
      <c r="H11" s="557" t="e">
        <f t="shared" si="9"/>
        <v>#REF!</v>
      </c>
      <c r="I11" s="557" t="e">
        <f t="shared" si="9"/>
        <v>#REF!</v>
      </c>
      <c r="J11" s="557" t="e">
        <f t="shared" si="9"/>
        <v>#REF!</v>
      </c>
      <c r="K11" s="557" t="e">
        <f t="shared" si="9"/>
        <v>#REF!</v>
      </c>
      <c r="L11" s="557" t="e">
        <f t="shared" si="9"/>
        <v>#REF!</v>
      </c>
      <c r="M11" s="557">
        <f>'....'!D458</f>
        <v>0</v>
      </c>
      <c r="N11" s="557">
        <f>'.....'!D458</f>
        <v>0</v>
      </c>
      <c r="O11" s="557">
        <f>'......'!D457</f>
        <v>0</v>
      </c>
      <c r="P11" s="557">
        <f>'.... ..'!D457</f>
        <v>0</v>
      </c>
      <c r="Q11" s="557">
        <f>'.. . '!D458</f>
        <v>0</v>
      </c>
      <c r="R11" s="557">
        <f>'... '!D458</f>
        <v>0</v>
      </c>
      <c r="S11" s="558" t="e">
        <f t="shared" si="1"/>
        <v>#REF!</v>
      </c>
    </row>
    <row r="12" spans="1:19" ht="14.5">
      <c r="A12" s="559" t="s">
        <v>1091</v>
      </c>
      <c r="B12" s="556" t="e">
        <f t="shared" ref="B12:L12" si="10">#REF!</f>
        <v>#REF!</v>
      </c>
      <c r="C12" s="556" t="e">
        <f t="shared" si="10"/>
        <v>#REF!</v>
      </c>
      <c r="D12" s="557" t="e">
        <f t="shared" si="10"/>
        <v>#REF!</v>
      </c>
      <c r="E12" s="557" t="e">
        <f t="shared" si="10"/>
        <v>#REF!</v>
      </c>
      <c r="F12" s="557" t="e">
        <f t="shared" si="10"/>
        <v>#REF!</v>
      </c>
      <c r="G12" s="557" t="e">
        <f t="shared" si="10"/>
        <v>#REF!</v>
      </c>
      <c r="H12" s="557" t="e">
        <f t="shared" si="10"/>
        <v>#REF!</v>
      </c>
      <c r="I12" s="557" t="e">
        <f t="shared" si="10"/>
        <v>#REF!</v>
      </c>
      <c r="J12" s="557" t="e">
        <f t="shared" si="10"/>
        <v>#REF!</v>
      </c>
      <c r="K12" s="557" t="e">
        <f t="shared" si="10"/>
        <v>#REF!</v>
      </c>
      <c r="L12" s="557" t="e">
        <f t="shared" si="10"/>
        <v>#REF!</v>
      </c>
      <c r="M12" s="557">
        <f>'....'!D459</f>
        <v>0</v>
      </c>
      <c r="N12" s="557">
        <f>'.....'!D459</f>
        <v>0</v>
      </c>
      <c r="O12" s="557">
        <f>'......'!D458</f>
        <v>0</v>
      </c>
      <c r="P12" s="557">
        <f>'.... ..'!D458</f>
        <v>0</v>
      </c>
      <c r="Q12" s="557">
        <f>'.. . '!D459</f>
        <v>0</v>
      </c>
      <c r="R12" s="557">
        <f>'... '!D459</f>
        <v>0</v>
      </c>
      <c r="S12" s="558" t="e">
        <f t="shared" si="1"/>
        <v>#REF!</v>
      </c>
    </row>
    <row r="13" spans="1:19" ht="14.5">
      <c r="A13" s="559" t="s">
        <v>15</v>
      </c>
      <c r="B13" s="556" t="e">
        <f t="shared" ref="B13:L13" si="11">#REF!</f>
        <v>#REF!</v>
      </c>
      <c r="C13" s="556" t="e">
        <f t="shared" si="11"/>
        <v>#REF!</v>
      </c>
      <c r="D13" s="557" t="e">
        <f t="shared" si="11"/>
        <v>#REF!</v>
      </c>
      <c r="E13" s="557" t="e">
        <f t="shared" si="11"/>
        <v>#REF!</v>
      </c>
      <c r="F13" s="557" t="e">
        <f t="shared" si="11"/>
        <v>#REF!</v>
      </c>
      <c r="G13" s="557" t="e">
        <f t="shared" si="11"/>
        <v>#REF!</v>
      </c>
      <c r="H13" s="557" t="e">
        <f t="shared" si="11"/>
        <v>#REF!</v>
      </c>
      <c r="I13" s="557" t="e">
        <f t="shared" si="11"/>
        <v>#REF!</v>
      </c>
      <c r="J13" s="557" t="e">
        <f t="shared" si="11"/>
        <v>#REF!</v>
      </c>
      <c r="K13" s="557" t="e">
        <f t="shared" si="11"/>
        <v>#REF!</v>
      </c>
      <c r="L13" s="557" t="e">
        <f t="shared" si="11"/>
        <v>#REF!</v>
      </c>
      <c r="M13" s="557">
        <f>'....'!D460</f>
        <v>0</v>
      </c>
      <c r="N13" s="557">
        <f>'.....'!D460</f>
        <v>0</v>
      </c>
      <c r="O13" s="557">
        <f>'......'!D459</f>
        <v>0</v>
      </c>
      <c r="P13" s="557">
        <f>'.... ..'!D459</f>
        <v>0</v>
      </c>
      <c r="Q13" s="557">
        <f>'.. . '!D460</f>
        <v>0</v>
      </c>
      <c r="R13" s="557">
        <f>'... '!D460</f>
        <v>0</v>
      </c>
      <c r="S13" s="560" t="e">
        <f t="shared" si="1"/>
        <v>#REF!</v>
      </c>
    </row>
    <row r="14" spans="1:19" ht="14.5">
      <c r="A14" s="559" t="s">
        <v>25</v>
      </c>
      <c r="B14" s="556" t="e">
        <f t="shared" ref="B14:L14" si="12">#REF!</f>
        <v>#REF!</v>
      </c>
      <c r="C14" s="556" t="e">
        <f t="shared" si="12"/>
        <v>#REF!</v>
      </c>
      <c r="D14" s="557" t="e">
        <f t="shared" si="12"/>
        <v>#REF!</v>
      </c>
      <c r="E14" s="557" t="e">
        <f t="shared" si="12"/>
        <v>#REF!</v>
      </c>
      <c r="F14" s="557" t="e">
        <f t="shared" si="12"/>
        <v>#REF!</v>
      </c>
      <c r="G14" s="557" t="e">
        <f t="shared" si="12"/>
        <v>#REF!</v>
      </c>
      <c r="H14" s="557" t="e">
        <f t="shared" si="12"/>
        <v>#REF!</v>
      </c>
      <c r="I14" s="557" t="e">
        <f t="shared" si="12"/>
        <v>#REF!</v>
      </c>
      <c r="J14" s="557" t="e">
        <f t="shared" si="12"/>
        <v>#REF!</v>
      </c>
      <c r="K14" s="557" t="e">
        <f t="shared" si="12"/>
        <v>#REF!</v>
      </c>
      <c r="L14" s="557" t="e">
        <f t="shared" si="12"/>
        <v>#REF!</v>
      </c>
      <c r="M14" s="557">
        <f>'....'!D461</f>
        <v>0</v>
      </c>
      <c r="N14" s="557">
        <f>'.....'!D461</f>
        <v>0</v>
      </c>
      <c r="O14" s="557">
        <f>'......'!D460</f>
        <v>0</v>
      </c>
      <c r="P14" s="557">
        <f>'.... ..'!D460</f>
        <v>0</v>
      </c>
      <c r="Q14" s="557">
        <f>'.. . '!D461</f>
        <v>0</v>
      </c>
      <c r="R14" s="557">
        <f>'... '!D461</f>
        <v>0</v>
      </c>
      <c r="S14" s="558" t="e">
        <f t="shared" si="1"/>
        <v>#REF!</v>
      </c>
    </row>
    <row r="15" spans="1:19" ht="14.5">
      <c r="A15" s="559" t="s">
        <v>1092</v>
      </c>
      <c r="B15" s="556" t="e">
        <f t="shared" ref="B15:L15" si="13">#REF!</f>
        <v>#REF!</v>
      </c>
      <c r="C15" s="556" t="e">
        <f t="shared" si="13"/>
        <v>#REF!</v>
      </c>
      <c r="D15" s="557" t="e">
        <f t="shared" si="13"/>
        <v>#REF!</v>
      </c>
      <c r="E15" s="557" t="e">
        <f t="shared" si="13"/>
        <v>#REF!</v>
      </c>
      <c r="F15" s="557" t="e">
        <f t="shared" si="13"/>
        <v>#REF!</v>
      </c>
      <c r="G15" s="557" t="e">
        <f t="shared" si="13"/>
        <v>#REF!</v>
      </c>
      <c r="H15" s="557" t="e">
        <f t="shared" si="13"/>
        <v>#REF!</v>
      </c>
      <c r="I15" s="557" t="e">
        <f t="shared" si="13"/>
        <v>#REF!</v>
      </c>
      <c r="J15" s="557" t="e">
        <f t="shared" si="13"/>
        <v>#REF!</v>
      </c>
      <c r="K15" s="557" t="e">
        <f t="shared" si="13"/>
        <v>#REF!</v>
      </c>
      <c r="L15" s="557" t="e">
        <f t="shared" si="13"/>
        <v>#REF!</v>
      </c>
      <c r="M15" s="557">
        <f>'....'!D462</f>
        <v>0</v>
      </c>
      <c r="N15" s="557">
        <f>'.....'!D462</f>
        <v>0</v>
      </c>
      <c r="O15" s="557">
        <f>'......'!D461</f>
        <v>0</v>
      </c>
      <c r="P15" s="557">
        <f>'.... ..'!D461</f>
        <v>0</v>
      </c>
      <c r="Q15" s="557">
        <f>'.. . '!D462</f>
        <v>0</v>
      </c>
      <c r="R15" s="557">
        <f>'... '!D462</f>
        <v>0</v>
      </c>
      <c r="S15" s="558" t="e">
        <f t="shared" si="1"/>
        <v>#REF!</v>
      </c>
    </row>
    <row r="16" spans="1:19" ht="14.5">
      <c r="A16" s="559" t="s">
        <v>28</v>
      </c>
      <c r="B16" s="556" t="e">
        <f t="shared" ref="B16:L16" si="14">#REF!</f>
        <v>#REF!</v>
      </c>
      <c r="C16" s="556" t="e">
        <f t="shared" si="14"/>
        <v>#REF!</v>
      </c>
      <c r="D16" s="557" t="e">
        <f t="shared" si="14"/>
        <v>#REF!</v>
      </c>
      <c r="E16" s="557" t="e">
        <f t="shared" si="14"/>
        <v>#REF!</v>
      </c>
      <c r="F16" s="557" t="e">
        <f t="shared" si="14"/>
        <v>#REF!</v>
      </c>
      <c r="G16" s="557" t="e">
        <f t="shared" si="14"/>
        <v>#REF!</v>
      </c>
      <c r="H16" s="557" t="e">
        <f t="shared" si="14"/>
        <v>#REF!</v>
      </c>
      <c r="I16" s="557" t="e">
        <f t="shared" si="14"/>
        <v>#REF!</v>
      </c>
      <c r="J16" s="557" t="e">
        <f t="shared" si="14"/>
        <v>#REF!</v>
      </c>
      <c r="K16" s="557" t="e">
        <f t="shared" si="14"/>
        <v>#REF!</v>
      </c>
      <c r="L16" s="557" t="e">
        <f t="shared" si="14"/>
        <v>#REF!</v>
      </c>
      <c r="M16" s="557">
        <f>'....'!D463</f>
        <v>0</v>
      </c>
      <c r="N16" s="557">
        <f>'.....'!D463</f>
        <v>0</v>
      </c>
      <c r="O16" s="557">
        <f>'......'!D462</f>
        <v>0</v>
      </c>
      <c r="P16" s="557">
        <f>'.... ..'!D462</f>
        <v>0</v>
      </c>
      <c r="Q16" s="557">
        <f>'.. . '!D463</f>
        <v>0</v>
      </c>
      <c r="R16" s="557">
        <f>'... '!D463</f>
        <v>0</v>
      </c>
      <c r="S16" s="558" t="e">
        <f t="shared" si="1"/>
        <v>#REF!</v>
      </c>
    </row>
    <row r="17" spans="1:20" ht="14.5">
      <c r="A17" s="559" t="s">
        <v>26</v>
      </c>
      <c r="B17" s="556" t="e">
        <f t="shared" ref="B17:L17" si="15">#REF!</f>
        <v>#REF!</v>
      </c>
      <c r="C17" s="556" t="e">
        <f t="shared" si="15"/>
        <v>#REF!</v>
      </c>
      <c r="D17" s="557" t="e">
        <f t="shared" si="15"/>
        <v>#REF!</v>
      </c>
      <c r="E17" s="557" t="e">
        <f t="shared" si="15"/>
        <v>#REF!</v>
      </c>
      <c r="F17" s="557" t="e">
        <f t="shared" si="15"/>
        <v>#REF!</v>
      </c>
      <c r="G17" s="557" t="e">
        <f t="shared" si="15"/>
        <v>#REF!</v>
      </c>
      <c r="H17" s="557" t="e">
        <f t="shared" si="15"/>
        <v>#REF!</v>
      </c>
      <c r="I17" s="557" t="e">
        <f t="shared" si="15"/>
        <v>#REF!</v>
      </c>
      <c r="J17" s="557" t="e">
        <f t="shared" si="15"/>
        <v>#REF!</v>
      </c>
      <c r="K17" s="557" t="e">
        <f t="shared" si="15"/>
        <v>#REF!</v>
      </c>
      <c r="L17" s="557" t="e">
        <f t="shared" si="15"/>
        <v>#REF!</v>
      </c>
      <c r="M17" s="557">
        <f>'....'!D464</f>
        <v>0</v>
      </c>
      <c r="N17" s="557">
        <f>'.....'!D464</f>
        <v>0</v>
      </c>
      <c r="O17" s="557">
        <f>'......'!D463</f>
        <v>0</v>
      </c>
      <c r="P17" s="557">
        <f>'.... ..'!D463</f>
        <v>0</v>
      </c>
      <c r="Q17" s="557">
        <f>'.. . '!D464</f>
        <v>0</v>
      </c>
      <c r="R17" s="557">
        <f>'... '!D464</f>
        <v>0</v>
      </c>
      <c r="S17" s="558" t="e">
        <f t="shared" si="1"/>
        <v>#REF!</v>
      </c>
      <c r="T17" s="7"/>
    </row>
    <row r="18" spans="1:20" ht="14.5">
      <c r="A18" s="559" t="s">
        <v>21</v>
      </c>
      <c r="B18" s="556" t="e">
        <f t="shared" ref="B18:L18" si="16">#REF!</f>
        <v>#REF!</v>
      </c>
      <c r="C18" s="556" t="e">
        <f t="shared" si="16"/>
        <v>#REF!</v>
      </c>
      <c r="D18" s="557" t="e">
        <f t="shared" si="16"/>
        <v>#REF!</v>
      </c>
      <c r="E18" s="557" t="e">
        <f t="shared" si="16"/>
        <v>#REF!</v>
      </c>
      <c r="F18" s="557" t="e">
        <f t="shared" si="16"/>
        <v>#REF!</v>
      </c>
      <c r="G18" s="557" t="e">
        <f t="shared" si="16"/>
        <v>#REF!</v>
      </c>
      <c r="H18" s="557" t="e">
        <f t="shared" si="16"/>
        <v>#REF!</v>
      </c>
      <c r="I18" s="557" t="e">
        <f t="shared" si="16"/>
        <v>#REF!</v>
      </c>
      <c r="J18" s="557" t="e">
        <f t="shared" si="16"/>
        <v>#REF!</v>
      </c>
      <c r="K18" s="557" t="e">
        <f t="shared" si="16"/>
        <v>#REF!</v>
      </c>
      <c r="L18" s="557" t="e">
        <f t="shared" si="16"/>
        <v>#REF!</v>
      </c>
      <c r="M18" s="557">
        <f>'....'!D465</f>
        <v>0</v>
      </c>
      <c r="N18" s="557">
        <f>'.....'!D465</f>
        <v>0</v>
      </c>
      <c r="O18" s="557">
        <f>'......'!D464</f>
        <v>0</v>
      </c>
      <c r="P18" s="557">
        <f>'.... ..'!D464</f>
        <v>0</v>
      </c>
      <c r="Q18" s="557">
        <f>'.. . '!D465</f>
        <v>0</v>
      </c>
      <c r="R18" s="557">
        <f>'... '!D465</f>
        <v>0</v>
      </c>
      <c r="S18" s="558" t="e">
        <f t="shared" si="1"/>
        <v>#REF!</v>
      </c>
    </row>
    <row r="19" spans="1:20" ht="14.5">
      <c r="A19" s="559" t="s">
        <v>1093</v>
      </c>
      <c r="B19" s="556" t="e">
        <f t="shared" ref="B19:L19" si="17">#REF!</f>
        <v>#REF!</v>
      </c>
      <c r="C19" s="556" t="e">
        <f t="shared" si="17"/>
        <v>#REF!</v>
      </c>
      <c r="D19" s="557" t="e">
        <f t="shared" si="17"/>
        <v>#REF!</v>
      </c>
      <c r="E19" s="557" t="e">
        <f t="shared" si="17"/>
        <v>#REF!</v>
      </c>
      <c r="F19" s="557" t="e">
        <f t="shared" si="17"/>
        <v>#REF!</v>
      </c>
      <c r="G19" s="557" t="e">
        <f t="shared" si="17"/>
        <v>#REF!</v>
      </c>
      <c r="H19" s="557" t="e">
        <f t="shared" si="17"/>
        <v>#REF!</v>
      </c>
      <c r="I19" s="557" t="e">
        <f t="shared" si="17"/>
        <v>#REF!</v>
      </c>
      <c r="J19" s="557" t="e">
        <f t="shared" si="17"/>
        <v>#REF!</v>
      </c>
      <c r="K19" s="557" t="e">
        <f t="shared" si="17"/>
        <v>#REF!</v>
      </c>
      <c r="L19" s="557" t="e">
        <f t="shared" si="17"/>
        <v>#REF!</v>
      </c>
      <c r="M19" s="557">
        <f>'....'!D466</f>
        <v>0</v>
      </c>
      <c r="N19" s="557">
        <f>'.....'!D466</f>
        <v>0</v>
      </c>
      <c r="O19" s="557">
        <f>'......'!D465</f>
        <v>0</v>
      </c>
      <c r="P19" s="557">
        <f>'.... ..'!D465</f>
        <v>0</v>
      </c>
      <c r="Q19" s="557">
        <f>'.. . '!D466</f>
        <v>0</v>
      </c>
      <c r="R19" s="557">
        <f>'... '!D466</f>
        <v>0</v>
      </c>
      <c r="S19" s="558" t="e">
        <f t="shared" si="1"/>
        <v>#REF!</v>
      </c>
    </row>
    <row r="20" spans="1:20" ht="14.5">
      <c r="A20" s="559" t="s">
        <v>32</v>
      </c>
      <c r="B20" s="556" t="e">
        <f t="shared" ref="B20:L20" si="18">#REF!</f>
        <v>#REF!</v>
      </c>
      <c r="C20" s="556" t="e">
        <f t="shared" si="18"/>
        <v>#REF!</v>
      </c>
      <c r="D20" s="557" t="e">
        <f t="shared" si="18"/>
        <v>#REF!</v>
      </c>
      <c r="E20" s="557" t="e">
        <f t="shared" si="18"/>
        <v>#REF!</v>
      </c>
      <c r="F20" s="557" t="e">
        <f t="shared" si="18"/>
        <v>#REF!</v>
      </c>
      <c r="G20" s="557" t="e">
        <f t="shared" si="18"/>
        <v>#REF!</v>
      </c>
      <c r="H20" s="557" t="e">
        <f t="shared" si="18"/>
        <v>#REF!</v>
      </c>
      <c r="I20" s="557" t="e">
        <f t="shared" si="18"/>
        <v>#REF!</v>
      </c>
      <c r="J20" s="557" t="e">
        <f t="shared" si="18"/>
        <v>#REF!</v>
      </c>
      <c r="K20" s="557" t="e">
        <f t="shared" si="18"/>
        <v>#REF!</v>
      </c>
      <c r="L20" s="557" t="e">
        <f t="shared" si="18"/>
        <v>#REF!</v>
      </c>
      <c r="M20" s="557">
        <f>'....'!D467</f>
        <v>0</v>
      </c>
      <c r="N20" s="557">
        <f>'.....'!D467</f>
        <v>0</v>
      </c>
      <c r="O20" s="557">
        <f>'......'!D466</f>
        <v>0</v>
      </c>
      <c r="P20" s="557">
        <f>'.... ..'!D466</f>
        <v>0</v>
      </c>
      <c r="Q20" s="557">
        <f>'.. . '!D467</f>
        <v>0</v>
      </c>
      <c r="R20" s="557">
        <f>'... '!D467</f>
        <v>0</v>
      </c>
      <c r="S20" s="558" t="e">
        <f t="shared" si="1"/>
        <v>#REF!</v>
      </c>
    </row>
    <row r="21" spans="1:20" ht="15.75" customHeight="1">
      <c r="A21" s="559" t="s">
        <v>29</v>
      </c>
      <c r="B21" s="556" t="e">
        <f t="shared" ref="B21:L21" si="19">#REF!</f>
        <v>#REF!</v>
      </c>
      <c r="C21" s="556" t="e">
        <f t="shared" si="19"/>
        <v>#REF!</v>
      </c>
      <c r="D21" s="557" t="e">
        <f t="shared" si="19"/>
        <v>#REF!</v>
      </c>
      <c r="E21" s="557" t="e">
        <f t="shared" si="19"/>
        <v>#REF!</v>
      </c>
      <c r="F21" s="557" t="e">
        <f t="shared" si="19"/>
        <v>#REF!</v>
      </c>
      <c r="G21" s="557" t="e">
        <f t="shared" si="19"/>
        <v>#REF!</v>
      </c>
      <c r="H21" s="557" t="e">
        <f t="shared" si="19"/>
        <v>#REF!</v>
      </c>
      <c r="I21" s="557" t="e">
        <f t="shared" si="19"/>
        <v>#REF!</v>
      </c>
      <c r="J21" s="557" t="e">
        <f t="shared" si="19"/>
        <v>#REF!</v>
      </c>
      <c r="K21" s="557" t="e">
        <f t="shared" si="19"/>
        <v>#REF!</v>
      </c>
      <c r="L21" s="557" t="e">
        <f t="shared" si="19"/>
        <v>#REF!</v>
      </c>
      <c r="M21" s="557">
        <f>'....'!D468</f>
        <v>0</v>
      </c>
      <c r="N21" s="557">
        <f>'.....'!D468</f>
        <v>0</v>
      </c>
      <c r="O21" s="557">
        <f>'......'!D467</f>
        <v>0</v>
      </c>
      <c r="P21" s="557">
        <f>'.... ..'!D467</f>
        <v>0</v>
      </c>
      <c r="Q21" s="557">
        <f>'.. . '!D468</f>
        <v>0</v>
      </c>
      <c r="R21" s="557">
        <f>'... '!D468</f>
        <v>0</v>
      </c>
      <c r="S21" s="558" t="e">
        <f t="shared" si="1"/>
        <v>#REF!</v>
      </c>
    </row>
    <row r="22" spans="1:20" ht="15.75" customHeight="1">
      <c r="A22" s="559" t="s">
        <v>30</v>
      </c>
      <c r="B22" s="556" t="e">
        <f t="shared" ref="B22:L22" si="20">#REF!</f>
        <v>#REF!</v>
      </c>
      <c r="C22" s="556" t="e">
        <f t="shared" si="20"/>
        <v>#REF!</v>
      </c>
      <c r="D22" s="557" t="e">
        <f t="shared" si="20"/>
        <v>#REF!</v>
      </c>
      <c r="E22" s="557" t="e">
        <f t="shared" si="20"/>
        <v>#REF!</v>
      </c>
      <c r="F22" s="557" t="e">
        <f t="shared" si="20"/>
        <v>#REF!</v>
      </c>
      <c r="G22" s="557" t="e">
        <f t="shared" si="20"/>
        <v>#REF!</v>
      </c>
      <c r="H22" s="557" t="e">
        <f t="shared" si="20"/>
        <v>#REF!</v>
      </c>
      <c r="I22" s="557" t="e">
        <f t="shared" si="20"/>
        <v>#REF!</v>
      </c>
      <c r="J22" s="557" t="e">
        <f t="shared" si="20"/>
        <v>#REF!</v>
      </c>
      <c r="K22" s="557" t="e">
        <f t="shared" si="20"/>
        <v>#REF!</v>
      </c>
      <c r="L22" s="557" t="e">
        <f t="shared" si="20"/>
        <v>#REF!</v>
      </c>
      <c r="M22" s="557">
        <f>'....'!D469</f>
        <v>0</v>
      </c>
      <c r="N22" s="557">
        <f>'.....'!D469</f>
        <v>0</v>
      </c>
      <c r="O22" s="557">
        <f>'......'!D468</f>
        <v>0</v>
      </c>
      <c r="P22" s="557">
        <f>'.... ..'!D468</f>
        <v>0</v>
      </c>
      <c r="Q22" s="557">
        <f>'.. . '!D469</f>
        <v>0</v>
      </c>
      <c r="R22" s="557">
        <f>'... '!D469</f>
        <v>0</v>
      </c>
      <c r="S22" s="558" t="e">
        <f t="shared" si="1"/>
        <v>#REF!</v>
      </c>
    </row>
    <row r="23" spans="1:20" ht="15.75" customHeight="1">
      <c r="A23" s="559" t="s">
        <v>27</v>
      </c>
      <c r="B23" s="556" t="e">
        <f t="shared" ref="B23:L23" si="21">#REF!</f>
        <v>#REF!</v>
      </c>
      <c r="C23" s="556" t="e">
        <f t="shared" si="21"/>
        <v>#REF!</v>
      </c>
      <c r="D23" s="557" t="e">
        <f t="shared" si="21"/>
        <v>#REF!</v>
      </c>
      <c r="E23" s="557" t="e">
        <f t="shared" si="21"/>
        <v>#REF!</v>
      </c>
      <c r="F23" s="557" t="e">
        <f t="shared" si="21"/>
        <v>#REF!</v>
      </c>
      <c r="G23" s="557" t="e">
        <f t="shared" si="21"/>
        <v>#REF!</v>
      </c>
      <c r="H23" s="557" t="e">
        <f t="shared" si="21"/>
        <v>#REF!</v>
      </c>
      <c r="I23" s="557" t="e">
        <f t="shared" si="21"/>
        <v>#REF!</v>
      </c>
      <c r="J23" s="557" t="e">
        <f t="shared" si="21"/>
        <v>#REF!</v>
      </c>
      <c r="K23" s="557" t="e">
        <f t="shared" si="21"/>
        <v>#REF!</v>
      </c>
      <c r="L23" s="557" t="e">
        <f t="shared" si="21"/>
        <v>#REF!</v>
      </c>
      <c r="M23" s="557">
        <f>'....'!D470</f>
        <v>0</v>
      </c>
      <c r="N23" s="557">
        <f>'.....'!D470</f>
        <v>0</v>
      </c>
      <c r="O23" s="557">
        <f>'......'!D469</f>
        <v>0</v>
      </c>
      <c r="P23" s="557">
        <f>'.... ..'!D469</f>
        <v>0</v>
      </c>
      <c r="Q23" s="557">
        <f>'.. . '!D470</f>
        <v>0</v>
      </c>
      <c r="R23" s="557">
        <f>'... '!D470</f>
        <v>0</v>
      </c>
      <c r="S23" s="558" t="e">
        <f t="shared" si="1"/>
        <v>#REF!</v>
      </c>
    </row>
    <row r="24" spans="1:20" ht="15.75" customHeight="1">
      <c r="A24" s="559" t="s">
        <v>33</v>
      </c>
      <c r="B24" s="556" t="e">
        <f t="shared" ref="B24:L24" si="22">#REF!</f>
        <v>#REF!</v>
      </c>
      <c r="C24" s="556" t="e">
        <f t="shared" si="22"/>
        <v>#REF!</v>
      </c>
      <c r="D24" s="557" t="e">
        <f t="shared" si="22"/>
        <v>#REF!</v>
      </c>
      <c r="E24" s="557" t="e">
        <f t="shared" si="22"/>
        <v>#REF!</v>
      </c>
      <c r="F24" s="557" t="e">
        <f t="shared" si="22"/>
        <v>#REF!</v>
      </c>
      <c r="G24" s="557" t="e">
        <f t="shared" si="22"/>
        <v>#REF!</v>
      </c>
      <c r="H24" s="557" t="e">
        <f t="shared" si="22"/>
        <v>#REF!</v>
      </c>
      <c r="I24" s="557" t="e">
        <f t="shared" si="22"/>
        <v>#REF!</v>
      </c>
      <c r="J24" s="557" t="e">
        <f t="shared" si="22"/>
        <v>#REF!</v>
      </c>
      <c r="K24" s="557" t="e">
        <f t="shared" si="22"/>
        <v>#REF!</v>
      </c>
      <c r="L24" s="557" t="e">
        <f t="shared" si="22"/>
        <v>#REF!</v>
      </c>
      <c r="M24" s="557">
        <f>'....'!D471</f>
        <v>0</v>
      </c>
      <c r="N24" s="557">
        <f>'.....'!D471</f>
        <v>0</v>
      </c>
      <c r="O24" s="557">
        <f>'......'!D470</f>
        <v>0</v>
      </c>
      <c r="P24" s="557">
        <f>'.... ..'!D470</f>
        <v>0</v>
      </c>
      <c r="Q24" s="557">
        <f>'.. . '!D471</f>
        <v>0</v>
      </c>
      <c r="R24" s="557">
        <f>'... '!D471</f>
        <v>0</v>
      </c>
      <c r="S24" s="558" t="e">
        <f t="shared" si="1"/>
        <v>#REF!</v>
      </c>
    </row>
    <row r="25" spans="1:20" ht="15.75" customHeight="1">
      <c r="A25" s="559" t="s">
        <v>36</v>
      </c>
      <c r="B25" s="556" t="e">
        <f t="shared" ref="B25:L25" si="23">#REF!</f>
        <v>#REF!</v>
      </c>
      <c r="C25" s="556" t="e">
        <f t="shared" si="23"/>
        <v>#REF!</v>
      </c>
      <c r="D25" s="557" t="e">
        <f t="shared" si="23"/>
        <v>#REF!</v>
      </c>
      <c r="E25" s="557" t="e">
        <f t="shared" si="23"/>
        <v>#REF!</v>
      </c>
      <c r="F25" s="557" t="e">
        <f t="shared" si="23"/>
        <v>#REF!</v>
      </c>
      <c r="G25" s="557" t="e">
        <f t="shared" si="23"/>
        <v>#REF!</v>
      </c>
      <c r="H25" s="557" t="e">
        <f t="shared" si="23"/>
        <v>#REF!</v>
      </c>
      <c r="I25" s="557" t="e">
        <f t="shared" si="23"/>
        <v>#REF!</v>
      </c>
      <c r="J25" s="557" t="e">
        <f t="shared" si="23"/>
        <v>#REF!</v>
      </c>
      <c r="K25" s="557" t="e">
        <f t="shared" si="23"/>
        <v>#REF!</v>
      </c>
      <c r="L25" s="557" t="e">
        <f t="shared" si="23"/>
        <v>#REF!</v>
      </c>
      <c r="M25" s="557">
        <f>'....'!D472</f>
        <v>0</v>
      </c>
      <c r="N25" s="557">
        <f>'.....'!D472</f>
        <v>0</v>
      </c>
      <c r="O25" s="557">
        <f>'......'!D471</f>
        <v>0</v>
      </c>
      <c r="P25" s="557">
        <f>'.... ..'!D471</f>
        <v>0</v>
      </c>
      <c r="Q25" s="557">
        <f>'.. . '!D472</f>
        <v>0</v>
      </c>
      <c r="R25" s="557">
        <f>'... '!D472</f>
        <v>0</v>
      </c>
      <c r="S25" s="558" t="e">
        <f t="shared" si="1"/>
        <v>#REF!</v>
      </c>
    </row>
    <row r="26" spans="1:20" ht="15.75" customHeight="1">
      <c r="A26" s="559" t="s">
        <v>1094</v>
      </c>
      <c r="B26" s="556" t="e">
        <f t="shared" ref="B26:L26" si="24">#REF!</f>
        <v>#REF!</v>
      </c>
      <c r="C26" s="556" t="e">
        <f t="shared" si="24"/>
        <v>#REF!</v>
      </c>
      <c r="D26" s="557" t="e">
        <f t="shared" si="24"/>
        <v>#REF!</v>
      </c>
      <c r="E26" s="557" t="e">
        <f t="shared" si="24"/>
        <v>#REF!</v>
      </c>
      <c r="F26" s="557" t="e">
        <f t="shared" si="24"/>
        <v>#REF!</v>
      </c>
      <c r="G26" s="557" t="e">
        <f t="shared" si="24"/>
        <v>#REF!</v>
      </c>
      <c r="H26" s="557" t="e">
        <f t="shared" si="24"/>
        <v>#REF!</v>
      </c>
      <c r="I26" s="557" t="e">
        <f t="shared" si="24"/>
        <v>#REF!</v>
      </c>
      <c r="J26" s="557" t="e">
        <f t="shared" si="24"/>
        <v>#REF!</v>
      </c>
      <c r="K26" s="557" t="e">
        <f t="shared" si="24"/>
        <v>#REF!</v>
      </c>
      <c r="L26" s="557" t="e">
        <f t="shared" si="24"/>
        <v>#REF!</v>
      </c>
      <c r="M26" s="557">
        <f>'....'!D473</f>
        <v>0</v>
      </c>
      <c r="N26" s="557">
        <f>'.....'!D473</f>
        <v>0</v>
      </c>
      <c r="O26" s="557">
        <f>'......'!D472</f>
        <v>0</v>
      </c>
      <c r="P26" s="557">
        <f>'.... ..'!D472</f>
        <v>0</v>
      </c>
      <c r="Q26" s="557">
        <f>'.. . '!D473</f>
        <v>0</v>
      </c>
      <c r="R26" s="557">
        <f>'... '!D473</f>
        <v>0</v>
      </c>
      <c r="S26" s="558" t="e">
        <f t="shared" si="1"/>
        <v>#REF!</v>
      </c>
    </row>
    <row r="27" spans="1:20" ht="15.75" customHeight="1">
      <c r="A27" s="559" t="s">
        <v>34</v>
      </c>
      <c r="B27" s="556" t="e">
        <f t="shared" ref="B27:L27" si="25">#REF!</f>
        <v>#REF!</v>
      </c>
      <c r="C27" s="556" t="e">
        <f t="shared" si="25"/>
        <v>#REF!</v>
      </c>
      <c r="D27" s="557" t="e">
        <f t="shared" si="25"/>
        <v>#REF!</v>
      </c>
      <c r="E27" s="557" t="e">
        <f t="shared" si="25"/>
        <v>#REF!</v>
      </c>
      <c r="F27" s="557" t="e">
        <f t="shared" si="25"/>
        <v>#REF!</v>
      </c>
      <c r="G27" s="557" t="e">
        <f t="shared" si="25"/>
        <v>#REF!</v>
      </c>
      <c r="H27" s="557" t="e">
        <f t="shared" si="25"/>
        <v>#REF!</v>
      </c>
      <c r="I27" s="557" t="e">
        <f t="shared" si="25"/>
        <v>#REF!</v>
      </c>
      <c r="J27" s="557" t="e">
        <f t="shared" si="25"/>
        <v>#REF!</v>
      </c>
      <c r="K27" s="557" t="e">
        <f t="shared" si="25"/>
        <v>#REF!</v>
      </c>
      <c r="L27" s="557" t="e">
        <f t="shared" si="25"/>
        <v>#REF!</v>
      </c>
      <c r="M27" s="557">
        <f>'....'!D474</f>
        <v>0</v>
      </c>
      <c r="N27" s="557">
        <f>'.....'!D474</f>
        <v>0</v>
      </c>
      <c r="O27" s="557">
        <f>'......'!D473</f>
        <v>0</v>
      </c>
      <c r="P27" s="557">
        <f>'.... ..'!D473</f>
        <v>0</v>
      </c>
      <c r="Q27" s="557">
        <f>'.. . '!D474</f>
        <v>0</v>
      </c>
      <c r="R27" s="557">
        <f>'... '!D474</f>
        <v>0</v>
      </c>
      <c r="S27" s="558" t="e">
        <f t="shared" si="1"/>
        <v>#REF!</v>
      </c>
    </row>
    <row r="28" spans="1:20" ht="15.75" customHeight="1">
      <c r="A28" s="559" t="s">
        <v>37</v>
      </c>
      <c r="B28" s="556" t="e">
        <f t="shared" ref="B28:L28" si="26">#REF!</f>
        <v>#REF!</v>
      </c>
      <c r="C28" s="556" t="e">
        <f t="shared" si="26"/>
        <v>#REF!</v>
      </c>
      <c r="D28" s="557" t="e">
        <f t="shared" si="26"/>
        <v>#REF!</v>
      </c>
      <c r="E28" s="557" t="e">
        <f t="shared" si="26"/>
        <v>#REF!</v>
      </c>
      <c r="F28" s="557" t="e">
        <f t="shared" si="26"/>
        <v>#REF!</v>
      </c>
      <c r="G28" s="557" t="e">
        <f t="shared" si="26"/>
        <v>#REF!</v>
      </c>
      <c r="H28" s="557" t="e">
        <f t="shared" si="26"/>
        <v>#REF!</v>
      </c>
      <c r="I28" s="557" t="e">
        <f t="shared" si="26"/>
        <v>#REF!</v>
      </c>
      <c r="J28" s="557" t="e">
        <f t="shared" si="26"/>
        <v>#REF!</v>
      </c>
      <c r="K28" s="557" t="e">
        <f t="shared" si="26"/>
        <v>#REF!</v>
      </c>
      <c r="L28" s="557" t="e">
        <f t="shared" si="26"/>
        <v>#REF!</v>
      </c>
      <c r="M28" s="557">
        <f>'....'!D475</f>
        <v>0</v>
      </c>
      <c r="N28" s="557">
        <f>'.....'!D475</f>
        <v>0</v>
      </c>
      <c r="O28" s="557">
        <f>'......'!D474</f>
        <v>0</v>
      </c>
      <c r="P28" s="557">
        <f>'.... ..'!D474</f>
        <v>0</v>
      </c>
      <c r="Q28" s="557">
        <f>'.. . '!D475</f>
        <v>0</v>
      </c>
      <c r="R28" s="557">
        <f>'... '!D475</f>
        <v>0</v>
      </c>
      <c r="S28" s="558" t="e">
        <f t="shared" si="1"/>
        <v>#REF!</v>
      </c>
    </row>
    <row r="29" spans="1:20" ht="15.75" customHeight="1">
      <c r="A29" s="559" t="s">
        <v>1095</v>
      </c>
      <c r="B29" s="556" t="e">
        <f t="shared" ref="B29:L29" si="27">#REF!</f>
        <v>#REF!</v>
      </c>
      <c r="C29" s="556" t="e">
        <f t="shared" si="27"/>
        <v>#REF!</v>
      </c>
      <c r="D29" s="557" t="e">
        <f t="shared" si="27"/>
        <v>#REF!</v>
      </c>
      <c r="E29" s="557" t="e">
        <f t="shared" si="27"/>
        <v>#REF!</v>
      </c>
      <c r="F29" s="557" t="e">
        <f t="shared" si="27"/>
        <v>#REF!</v>
      </c>
      <c r="G29" s="557" t="e">
        <f t="shared" si="27"/>
        <v>#REF!</v>
      </c>
      <c r="H29" s="557" t="e">
        <f t="shared" si="27"/>
        <v>#REF!</v>
      </c>
      <c r="I29" s="557" t="e">
        <f t="shared" si="27"/>
        <v>#REF!</v>
      </c>
      <c r="J29" s="557" t="e">
        <f t="shared" si="27"/>
        <v>#REF!</v>
      </c>
      <c r="K29" s="557" t="e">
        <f t="shared" si="27"/>
        <v>#REF!</v>
      </c>
      <c r="L29" s="557" t="e">
        <f t="shared" si="27"/>
        <v>#REF!</v>
      </c>
      <c r="M29" s="557">
        <f>'....'!D476</f>
        <v>0</v>
      </c>
      <c r="N29" s="557">
        <f>'.....'!D476</f>
        <v>0</v>
      </c>
      <c r="O29" s="557">
        <f>'......'!D475</f>
        <v>0</v>
      </c>
      <c r="P29" s="557">
        <f>'.... ..'!D475</f>
        <v>0</v>
      </c>
      <c r="Q29" s="557">
        <f>'.. . '!D476</f>
        <v>0</v>
      </c>
      <c r="R29" s="557">
        <f>'... '!D476</f>
        <v>0</v>
      </c>
      <c r="S29" s="558" t="e">
        <f t="shared" si="1"/>
        <v>#REF!</v>
      </c>
    </row>
    <row r="30" spans="1:20" ht="15.75" customHeight="1">
      <c r="A30" s="559" t="s">
        <v>1096</v>
      </c>
      <c r="B30" s="556" t="e">
        <f t="shared" ref="B30:L30" si="28">#REF!</f>
        <v>#REF!</v>
      </c>
      <c r="C30" s="556" t="e">
        <f t="shared" si="28"/>
        <v>#REF!</v>
      </c>
      <c r="D30" s="557" t="e">
        <f t="shared" si="28"/>
        <v>#REF!</v>
      </c>
      <c r="E30" s="557" t="e">
        <f t="shared" si="28"/>
        <v>#REF!</v>
      </c>
      <c r="F30" s="557" t="e">
        <f t="shared" si="28"/>
        <v>#REF!</v>
      </c>
      <c r="G30" s="557" t="e">
        <f t="shared" si="28"/>
        <v>#REF!</v>
      </c>
      <c r="H30" s="557" t="e">
        <f t="shared" si="28"/>
        <v>#REF!</v>
      </c>
      <c r="I30" s="557" t="e">
        <f t="shared" si="28"/>
        <v>#REF!</v>
      </c>
      <c r="J30" s="557" t="e">
        <f t="shared" si="28"/>
        <v>#REF!</v>
      </c>
      <c r="K30" s="557" t="e">
        <f t="shared" si="28"/>
        <v>#REF!</v>
      </c>
      <c r="L30" s="557" t="e">
        <f t="shared" si="28"/>
        <v>#REF!</v>
      </c>
      <c r="M30" s="557">
        <f>'....'!D477</f>
        <v>0</v>
      </c>
      <c r="N30" s="557">
        <f>'.....'!D477</f>
        <v>0</v>
      </c>
      <c r="O30" s="557">
        <f>'......'!D476</f>
        <v>0</v>
      </c>
      <c r="P30" s="557">
        <f>'.... ..'!D476</f>
        <v>0</v>
      </c>
      <c r="Q30" s="557">
        <f>'.. . '!D477</f>
        <v>0</v>
      </c>
      <c r="R30" s="557">
        <f>'... '!D477</f>
        <v>0</v>
      </c>
      <c r="S30" s="558" t="e">
        <f t="shared" si="1"/>
        <v>#REF!</v>
      </c>
    </row>
    <row r="31" spans="1:20" ht="15.75" customHeight="1">
      <c r="A31" s="559" t="s">
        <v>1097</v>
      </c>
      <c r="B31" s="556" t="e">
        <f t="shared" ref="B31:L31" si="29">#REF!</f>
        <v>#REF!</v>
      </c>
      <c r="C31" s="556" t="e">
        <f t="shared" si="29"/>
        <v>#REF!</v>
      </c>
      <c r="D31" s="557" t="e">
        <f t="shared" si="29"/>
        <v>#REF!</v>
      </c>
      <c r="E31" s="557" t="e">
        <f t="shared" si="29"/>
        <v>#REF!</v>
      </c>
      <c r="F31" s="557" t="e">
        <f t="shared" si="29"/>
        <v>#REF!</v>
      </c>
      <c r="G31" s="557" t="e">
        <f t="shared" si="29"/>
        <v>#REF!</v>
      </c>
      <c r="H31" s="557" t="e">
        <f t="shared" si="29"/>
        <v>#REF!</v>
      </c>
      <c r="I31" s="557" t="e">
        <f t="shared" si="29"/>
        <v>#REF!</v>
      </c>
      <c r="J31" s="557" t="e">
        <f t="shared" si="29"/>
        <v>#REF!</v>
      </c>
      <c r="K31" s="557" t="e">
        <f t="shared" si="29"/>
        <v>#REF!</v>
      </c>
      <c r="L31" s="557" t="e">
        <f t="shared" si="29"/>
        <v>#REF!</v>
      </c>
      <c r="M31" s="557">
        <f>'....'!D478</f>
        <v>0</v>
      </c>
      <c r="N31" s="557">
        <f>'.....'!D478</f>
        <v>0</v>
      </c>
      <c r="O31" s="557">
        <f>'......'!D477</f>
        <v>0</v>
      </c>
      <c r="P31" s="557">
        <f>'.... ..'!D477</f>
        <v>0</v>
      </c>
      <c r="Q31" s="557">
        <f>'.. . '!D478</f>
        <v>0</v>
      </c>
      <c r="R31" s="557">
        <f>'... '!D478</f>
        <v>0</v>
      </c>
      <c r="S31" s="558" t="e">
        <f t="shared" si="1"/>
        <v>#REF!</v>
      </c>
    </row>
    <row r="32" spans="1:20" ht="15.75" customHeight="1">
      <c r="A32" s="559" t="s">
        <v>1098</v>
      </c>
      <c r="B32" s="556" t="e">
        <f t="shared" ref="B32:L32" si="30">#REF!</f>
        <v>#REF!</v>
      </c>
      <c r="C32" s="556" t="e">
        <f t="shared" si="30"/>
        <v>#REF!</v>
      </c>
      <c r="D32" s="557" t="e">
        <f t="shared" si="30"/>
        <v>#REF!</v>
      </c>
      <c r="E32" s="557" t="e">
        <f t="shared" si="30"/>
        <v>#REF!</v>
      </c>
      <c r="F32" s="557" t="e">
        <f t="shared" si="30"/>
        <v>#REF!</v>
      </c>
      <c r="G32" s="557" t="e">
        <f t="shared" si="30"/>
        <v>#REF!</v>
      </c>
      <c r="H32" s="557" t="e">
        <f t="shared" si="30"/>
        <v>#REF!</v>
      </c>
      <c r="I32" s="557" t="e">
        <f t="shared" si="30"/>
        <v>#REF!</v>
      </c>
      <c r="J32" s="557" t="e">
        <f t="shared" si="30"/>
        <v>#REF!</v>
      </c>
      <c r="K32" s="557" t="e">
        <f t="shared" si="30"/>
        <v>#REF!</v>
      </c>
      <c r="L32" s="557" t="e">
        <f t="shared" si="30"/>
        <v>#REF!</v>
      </c>
      <c r="M32" s="557">
        <f>'....'!D479</f>
        <v>0</v>
      </c>
      <c r="N32" s="557">
        <f>'.....'!D479</f>
        <v>0</v>
      </c>
      <c r="O32" s="557">
        <f>'......'!D478</f>
        <v>0</v>
      </c>
      <c r="P32" s="557">
        <f>'.... ..'!D478</f>
        <v>0</v>
      </c>
      <c r="Q32" s="557">
        <f>'.. . '!D479</f>
        <v>0</v>
      </c>
      <c r="R32" s="557">
        <f>'... '!D479</f>
        <v>0</v>
      </c>
      <c r="S32" s="558" t="e">
        <f t="shared" si="1"/>
        <v>#REF!</v>
      </c>
    </row>
    <row r="33" spans="1:20" ht="15.75" customHeight="1">
      <c r="A33" s="559" t="s">
        <v>1099</v>
      </c>
      <c r="B33" s="556" t="e">
        <f t="shared" ref="B33:L33" si="31">#REF!</f>
        <v>#REF!</v>
      </c>
      <c r="C33" s="556" t="e">
        <f t="shared" si="31"/>
        <v>#REF!</v>
      </c>
      <c r="D33" s="557" t="e">
        <f t="shared" si="31"/>
        <v>#REF!</v>
      </c>
      <c r="E33" s="557" t="e">
        <f t="shared" si="31"/>
        <v>#REF!</v>
      </c>
      <c r="F33" s="557" t="e">
        <f t="shared" si="31"/>
        <v>#REF!</v>
      </c>
      <c r="G33" s="557" t="e">
        <f t="shared" si="31"/>
        <v>#REF!</v>
      </c>
      <c r="H33" s="557" t="e">
        <f t="shared" si="31"/>
        <v>#REF!</v>
      </c>
      <c r="I33" s="557" t="e">
        <f t="shared" si="31"/>
        <v>#REF!</v>
      </c>
      <c r="J33" s="557" t="e">
        <f t="shared" si="31"/>
        <v>#REF!</v>
      </c>
      <c r="K33" s="557" t="e">
        <f t="shared" si="31"/>
        <v>#REF!</v>
      </c>
      <c r="L33" s="557" t="e">
        <f t="shared" si="31"/>
        <v>#REF!</v>
      </c>
      <c r="M33" s="557">
        <f>'....'!D480</f>
        <v>0</v>
      </c>
      <c r="N33" s="557">
        <f>'.....'!D480</f>
        <v>0</v>
      </c>
      <c r="O33" s="557">
        <f>'......'!D479</f>
        <v>0</v>
      </c>
      <c r="P33" s="557">
        <f>'.... ..'!D479</f>
        <v>0</v>
      </c>
      <c r="Q33" s="557">
        <f>'.. . '!D480</f>
        <v>0</v>
      </c>
      <c r="R33" s="557">
        <f>'... '!D480</f>
        <v>0</v>
      </c>
      <c r="S33" s="558" t="e">
        <f t="shared" si="1"/>
        <v>#REF!</v>
      </c>
    </row>
    <row r="34" spans="1:20" ht="15.75" customHeight="1">
      <c r="A34" s="559" t="s">
        <v>1100</v>
      </c>
      <c r="B34" s="556" t="e">
        <f t="shared" ref="B34:L34" si="32">#REF!</f>
        <v>#REF!</v>
      </c>
      <c r="C34" s="556" t="e">
        <f t="shared" si="32"/>
        <v>#REF!</v>
      </c>
      <c r="D34" s="557" t="e">
        <f t="shared" si="32"/>
        <v>#REF!</v>
      </c>
      <c r="E34" s="557" t="e">
        <f t="shared" si="32"/>
        <v>#REF!</v>
      </c>
      <c r="F34" s="557" t="e">
        <f t="shared" si="32"/>
        <v>#REF!</v>
      </c>
      <c r="G34" s="557" t="e">
        <f t="shared" si="32"/>
        <v>#REF!</v>
      </c>
      <c r="H34" s="557" t="e">
        <f t="shared" si="32"/>
        <v>#REF!</v>
      </c>
      <c r="I34" s="557" t="e">
        <f t="shared" si="32"/>
        <v>#REF!</v>
      </c>
      <c r="J34" s="557" t="e">
        <f t="shared" si="32"/>
        <v>#REF!</v>
      </c>
      <c r="K34" s="557" t="e">
        <f t="shared" si="32"/>
        <v>#REF!</v>
      </c>
      <c r="L34" s="557" t="e">
        <f t="shared" si="32"/>
        <v>#REF!</v>
      </c>
      <c r="M34" s="557">
        <f>'....'!D481</f>
        <v>0</v>
      </c>
      <c r="N34" s="557">
        <f>'.....'!D481</f>
        <v>0</v>
      </c>
      <c r="O34" s="557">
        <f>'......'!D480</f>
        <v>0</v>
      </c>
      <c r="P34" s="557">
        <f>'.... ..'!D480</f>
        <v>0</v>
      </c>
      <c r="Q34" s="557">
        <f>'.. . '!D481</f>
        <v>0</v>
      </c>
      <c r="R34" s="557">
        <f>'... '!D481</f>
        <v>0</v>
      </c>
      <c r="S34" s="558" t="e">
        <f t="shared" si="1"/>
        <v>#REF!</v>
      </c>
    </row>
    <row r="35" spans="1:20" ht="15.75" customHeight="1">
      <c r="A35" s="559" t="s">
        <v>1101</v>
      </c>
      <c r="B35" s="556" t="e">
        <f t="shared" ref="B35:L35" si="33">#REF!</f>
        <v>#REF!</v>
      </c>
      <c r="C35" s="556" t="e">
        <f t="shared" si="33"/>
        <v>#REF!</v>
      </c>
      <c r="D35" s="557" t="e">
        <f t="shared" si="33"/>
        <v>#REF!</v>
      </c>
      <c r="E35" s="557" t="e">
        <f t="shared" si="33"/>
        <v>#REF!</v>
      </c>
      <c r="F35" s="557" t="e">
        <f t="shared" si="33"/>
        <v>#REF!</v>
      </c>
      <c r="G35" s="557" t="e">
        <f t="shared" si="33"/>
        <v>#REF!</v>
      </c>
      <c r="H35" s="557" t="e">
        <f t="shared" si="33"/>
        <v>#REF!</v>
      </c>
      <c r="I35" s="557" t="e">
        <f t="shared" si="33"/>
        <v>#REF!</v>
      </c>
      <c r="J35" s="557" t="e">
        <f t="shared" si="33"/>
        <v>#REF!</v>
      </c>
      <c r="K35" s="557" t="e">
        <f t="shared" si="33"/>
        <v>#REF!</v>
      </c>
      <c r="L35" s="557" t="e">
        <f t="shared" si="33"/>
        <v>#REF!</v>
      </c>
      <c r="M35" s="557">
        <f>'....'!D482</f>
        <v>0</v>
      </c>
      <c r="N35" s="557">
        <f>'.....'!D482</f>
        <v>0</v>
      </c>
      <c r="O35" s="557">
        <f>'......'!D481</f>
        <v>0</v>
      </c>
      <c r="P35" s="557">
        <f>'.... ..'!D481</f>
        <v>0</v>
      </c>
      <c r="Q35" s="557">
        <f>'.. . '!D482</f>
        <v>0</v>
      </c>
      <c r="R35" s="557">
        <f>'... '!D482</f>
        <v>0</v>
      </c>
      <c r="S35" s="558" t="e">
        <f t="shared" si="1"/>
        <v>#REF!</v>
      </c>
    </row>
    <row r="36" spans="1:20" ht="15.75" customHeight="1">
      <c r="A36" s="559" t="s">
        <v>1102</v>
      </c>
      <c r="B36" s="556" t="e">
        <f t="shared" ref="B36:L36" si="34">#REF!</f>
        <v>#REF!</v>
      </c>
      <c r="C36" s="556" t="e">
        <f t="shared" si="34"/>
        <v>#REF!</v>
      </c>
      <c r="D36" s="557" t="e">
        <f t="shared" si="34"/>
        <v>#REF!</v>
      </c>
      <c r="E36" s="557" t="e">
        <f t="shared" si="34"/>
        <v>#REF!</v>
      </c>
      <c r="F36" s="557" t="e">
        <f t="shared" si="34"/>
        <v>#REF!</v>
      </c>
      <c r="G36" s="557" t="e">
        <f t="shared" si="34"/>
        <v>#REF!</v>
      </c>
      <c r="H36" s="557" t="e">
        <f t="shared" si="34"/>
        <v>#REF!</v>
      </c>
      <c r="I36" s="557" t="e">
        <f t="shared" si="34"/>
        <v>#REF!</v>
      </c>
      <c r="J36" s="557" t="e">
        <f t="shared" si="34"/>
        <v>#REF!</v>
      </c>
      <c r="K36" s="557" t="e">
        <f t="shared" si="34"/>
        <v>#REF!</v>
      </c>
      <c r="L36" s="557" t="e">
        <f t="shared" si="34"/>
        <v>#REF!</v>
      </c>
      <c r="M36" s="557">
        <f>'....'!D483</f>
        <v>0</v>
      </c>
      <c r="N36" s="557">
        <f>'.....'!D483</f>
        <v>0</v>
      </c>
      <c r="O36" s="557">
        <f>'......'!D482</f>
        <v>0</v>
      </c>
      <c r="P36" s="557">
        <f>'.... ..'!D482</f>
        <v>0</v>
      </c>
      <c r="Q36" s="557">
        <f>'.. . '!D483</f>
        <v>0</v>
      </c>
      <c r="R36" s="557">
        <f>'... '!D483</f>
        <v>0</v>
      </c>
      <c r="S36" s="558" t="e">
        <f t="shared" si="1"/>
        <v>#REF!</v>
      </c>
    </row>
    <row r="37" spans="1:20" ht="15.75" customHeight="1">
      <c r="A37" s="559" t="s">
        <v>1103</v>
      </c>
      <c r="B37" s="556" t="e">
        <f t="shared" ref="B37:L37" si="35">#REF!</f>
        <v>#REF!</v>
      </c>
      <c r="C37" s="556" t="e">
        <f t="shared" si="35"/>
        <v>#REF!</v>
      </c>
      <c r="D37" s="557" t="e">
        <f t="shared" si="35"/>
        <v>#REF!</v>
      </c>
      <c r="E37" s="557" t="e">
        <f t="shared" si="35"/>
        <v>#REF!</v>
      </c>
      <c r="F37" s="557" t="e">
        <f t="shared" si="35"/>
        <v>#REF!</v>
      </c>
      <c r="G37" s="557" t="e">
        <f t="shared" si="35"/>
        <v>#REF!</v>
      </c>
      <c r="H37" s="557" t="e">
        <f t="shared" si="35"/>
        <v>#REF!</v>
      </c>
      <c r="I37" s="557" t="e">
        <f t="shared" si="35"/>
        <v>#REF!</v>
      </c>
      <c r="J37" s="557" t="e">
        <f t="shared" si="35"/>
        <v>#REF!</v>
      </c>
      <c r="K37" s="557" t="e">
        <f t="shared" si="35"/>
        <v>#REF!</v>
      </c>
      <c r="L37" s="557" t="e">
        <f t="shared" si="35"/>
        <v>#REF!</v>
      </c>
      <c r="M37" s="557">
        <f>'....'!D484</f>
        <v>0</v>
      </c>
      <c r="N37" s="557">
        <f>'.....'!D484</f>
        <v>0</v>
      </c>
      <c r="O37" s="557">
        <f>'......'!D483</f>
        <v>0</v>
      </c>
      <c r="P37" s="557">
        <f>'.... ..'!D483</f>
        <v>0</v>
      </c>
      <c r="Q37" s="557">
        <f>'.. . '!D484</f>
        <v>0</v>
      </c>
      <c r="R37" s="557">
        <f>'... '!D484</f>
        <v>0</v>
      </c>
      <c r="S37" s="558" t="e">
        <f t="shared" si="1"/>
        <v>#REF!</v>
      </c>
    </row>
    <row r="38" spans="1:20" ht="15.75" customHeight="1">
      <c r="A38" s="559" t="s">
        <v>1104</v>
      </c>
      <c r="B38" s="556" t="e">
        <f t="shared" ref="B38:L38" si="36">#REF!</f>
        <v>#REF!</v>
      </c>
      <c r="C38" s="556" t="e">
        <f t="shared" si="36"/>
        <v>#REF!</v>
      </c>
      <c r="D38" s="557" t="e">
        <f t="shared" si="36"/>
        <v>#REF!</v>
      </c>
      <c r="E38" s="557" t="e">
        <f t="shared" si="36"/>
        <v>#REF!</v>
      </c>
      <c r="F38" s="557" t="e">
        <f t="shared" si="36"/>
        <v>#REF!</v>
      </c>
      <c r="G38" s="557" t="e">
        <f t="shared" si="36"/>
        <v>#REF!</v>
      </c>
      <c r="H38" s="557" t="e">
        <f t="shared" si="36"/>
        <v>#REF!</v>
      </c>
      <c r="I38" s="557" t="e">
        <f t="shared" si="36"/>
        <v>#REF!</v>
      </c>
      <c r="J38" s="557" t="e">
        <f t="shared" si="36"/>
        <v>#REF!</v>
      </c>
      <c r="K38" s="557" t="e">
        <f t="shared" si="36"/>
        <v>#REF!</v>
      </c>
      <c r="L38" s="557" t="e">
        <f t="shared" si="36"/>
        <v>#REF!</v>
      </c>
      <c r="M38" s="557">
        <f>'....'!D485</f>
        <v>0</v>
      </c>
      <c r="N38" s="557">
        <f>'.....'!D485</f>
        <v>0</v>
      </c>
      <c r="O38" s="557">
        <f>'......'!D484</f>
        <v>0</v>
      </c>
      <c r="P38" s="557">
        <f>'.... ..'!D484</f>
        <v>0</v>
      </c>
      <c r="Q38" s="557">
        <f>'.. . '!D485</f>
        <v>0</v>
      </c>
      <c r="R38" s="557">
        <f>'... '!D485</f>
        <v>0</v>
      </c>
      <c r="S38" s="558" t="e">
        <f t="shared" si="1"/>
        <v>#REF!</v>
      </c>
    </row>
    <row r="39" spans="1:20" ht="15.75" customHeight="1">
      <c r="A39" s="559" t="s">
        <v>1105</v>
      </c>
      <c r="B39" s="556" t="e">
        <f t="shared" ref="B39:L39" si="37">#REF!</f>
        <v>#REF!</v>
      </c>
      <c r="C39" s="556" t="e">
        <f t="shared" si="37"/>
        <v>#REF!</v>
      </c>
      <c r="D39" s="557" t="e">
        <f t="shared" si="37"/>
        <v>#REF!</v>
      </c>
      <c r="E39" s="557" t="e">
        <f t="shared" si="37"/>
        <v>#REF!</v>
      </c>
      <c r="F39" s="557" t="e">
        <f t="shared" si="37"/>
        <v>#REF!</v>
      </c>
      <c r="G39" s="557" t="e">
        <f t="shared" si="37"/>
        <v>#REF!</v>
      </c>
      <c r="H39" s="557" t="e">
        <f t="shared" si="37"/>
        <v>#REF!</v>
      </c>
      <c r="I39" s="557" t="e">
        <f t="shared" si="37"/>
        <v>#REF!</v>
      </c>
      <c r="J39" s="557" t="e">
        <f t="shared" si="37"/>
        <v>#REF!</v>
      </c>
      <c r="K39" s="557" t="e">
        <f t="shared" si="37"/>
        <v>#REF!</v>
      </c>
      <c r="L39" s="557" t="e">
        <f t="shared" si="37"/>
        <v>#REF!</v>
      </c>
      <c r="M39" s="557">
        <f>'....'!D486</f>
        <v>0</v>
      </c>
      <c r="N39" s="557">
        <f>'.....'!D486</f>
        <v>0</v>
      </c>
      <c r="O39" s="557">
        <f>'......'!D485</f>
        <v>0</v>
      </c>
      <c r="P39" s="557">
        <f>'.... ..'!D485</f>
        <v>0</v>
      </c>
      <c r="Q39" s="557">
        <f>'.. . '!D486</f>
        <v>0</v>
      </c>
      <c r="R39" s="557">
        <f>'... '!D486</f>
        <v>0</v>
      </c>
      <c r="S39" s="558" t="e">
        <f t="shared" si="1"/>
        <v>#REF!</v>
      </c>
    </row>
    <row r="40" spans="1:20" ht="15.75" customHeight="1">
      <c r="A40" s="559" t="s">
        <v>1106</v>
      </c>
      <c r="B40" s="556" t="e">
        <f t="shared" ref="B40:L40" si="38">#REF!</f>
        <v>#REF!</v>
      </c>
      <c r="C40" s="556" t="e">
        <f t="shared" si="38"/>
        <v>#REF!</v>
      </c>
      <c r="D40" s="557" t="e">
        <f t="shared" si="38"/>
        <v>#REF!</v>
      </c>
      <c r="E40" s="557" t="e">
        <f t="shared" si="38"/>
        <v>#REF!</v>
      </c>
      <c r="F40" s="557" t="e">
        <f t="shared" si="38"/>
        <v>#REF!</v>
      </c>
      <c r="G40" s="557" t="e">
        <f t="shared" si="38"/>
        <v>#REF!</v>
      </c>
      <c r="H40" s="557" t="e">
        <f t="shared" si="38"/>
        <v>#REF!</v>
      </c>
      <c r="I40" s="557" t="e">
        <f t="shared" si="38"/>
        <v>#REF!</v>
      </c>
      <c r="J40" s="557" t="e">
        <f t="shared" si="38"/>
        <v>#REF!</v>
      </c>
      <c r="K40" s="557" t="e">
        <f t="shared" si="38"/>
        <v>#REF!</v>
      </c>
      <c r="L40" s="557" t="e">
        <f t="shared" si="38"/>
        <v>#REF!</v>
      </c>
      <c r="M40" s="557">
        <f>'....'!D487</f>
        <v>0</v>
      </c>
      <c r="N40" s="557">
        <f>'.....'!D487</f>
        <v>0</v>
      </c>
      <c r="O40" s="557">
        <f>'......'!D486</f>
        <v>0</v>
      </c>
      <c r="P40" s="557">
        <f>'.... ..'!D486</f>
        <v>0</v>
      </c>
      <c r="Q40" s="557">
        <f>'.. . '!D487</f>
        <v>0</v>
      </c>
      <c r="R40" s="557">
        <f>'... '!D487</f>
        <v>0</v>
      </c>
      <c r="S40" s="558" t="e">
        <f t="shared" si="1"/>
        <v>#REF!</v>
      </c>
    </row>
    <row r="41" spans="1:20" ht="15.75" customHeight="1">
      <c r="A41" s="559" t="s">
        <v>1107</v>
      </c>
      <c r="B41" s="556" t="e">
        <f t="shared" ref="B41:L41" si="39">#REF!</f>
        <v>#REF!</v>
      </c>
      <c r="C41" s="556" t="e">
        <f t="shared" si="39"/>
        <v>#REF!</v>
      </c>
      <c r="D41" s="557" t="e">
        <f t="shared" si="39"/>
        <v>#REF!</v>
      </c>
      <c r="E41" s="557" t="e">
        <f t="shared" si="39"/>
        <v>#REF!</v>
      </c>
      <c r="F41" s="557" t="e">
        <f t="shared" si="39"/>
        <v>#REF!</v>
      </c>
      <c r="G41" s="557" t="e">
        <f t="shared" si="39"/>
        <v>#REF!</v>
      </c>
      <c r="H41" s="557" t="e">
        <f t="shared" si="39"/>
        <v>#REF!</v>
      </c>
      <c r="I41" s="557" t="e">
        <f t="shared" si="39"/>
        <v>#REF!</v>
      </c>
      <c r="J41" s="557" t="e">
        <f t="shared" si="39"/>
        <v>#REF!</v>
      </c>
      <c r="K41" s="557" t="e">
        <f t="shared" si="39"/>
        <v>#REF!</v>
      </c>
      <c r="L41" s="557" t="e">
        <f t="shared" si="39"/>
        <v>#REF!</v>
      </c>
      <c r="M41" s="557">
        <f>'....'!D488</f>
        <v>0</v>
      </c>
      <c r="N41" s="557">
        <f>'.....'!D488</f>
        <v>0</v>
      </c>
      <c r="O41" s="557">
        <f>'......'!D487</f>
        <v>0</v>
      </c>
      <c r="P41" s="557">
        <f>'.... ..'!D487</f>
        <v>0</v>
      </c>
      <c r="Q41" s="557">
        <f>'.. . '!D488</f>
        <v>0</v>
      </c>
      <c r="R41" s="557">
        <f>'... '!D488</f>
        <v>0</v>
      </c>
      <c r="S41" s="558" t="e">
        <f t="shared" si="1"/>
        <v>#REF!</v>
      </c>
    </row>
    <row r="42" spans="1:20" ht="15.75" customHeight="1">
      <c r="A42" s="559" t="s">
        <v>1108</v>
      </c>
      <c r="B42" s="556" t="e">
        <f t="shared" ref="B42:L42" si="40">#REF!</f>
        <v>#REF!</v>
      </c>
      <c r="C42" s="556" t="e">
        <f t="shared" si="40"/>
        <v>#REF!</v>
      </c>
      <c r="D42" s="557" t="e">
        <f t="shared" si="40"/>
        <v>#REF!</v>
      </c>
      <c r="E42" s="557" t="e">
        <f t="shared" si="40"/>
        <v>#REF!</v>
      </c>
      <c r="F42" s="557" t="e">
        <f t="shared" si="40"/>
        <v>#REF!</v>
      </c>
      <c r="G42" s="557" t="e">
        <f t="shared" si="40"/>
        <v>#REF!</v>
      </c>
      <c r="H42" s="557" t="e">
        <f t="shared" si="40"/>
        <v>#REF!</v>
      </c>
      <c r="I42" s="557" t="e">
        <f t="shared" si="40"/>
        <v>#REF!</v>
      </c>
      <c r="J42" s="557" t="e">
        <f t="shared" si="40"/>
        <v>#REF!</v>
      </c>
      <c r="K42" s="557" t="e">
        <f t="shared" si="40"/>
        <v>#REF!</v>
      </c>
      <c r="L42" s="557" t="e">
        <f t="shared" si="40"/>
        <v>#REF!</v>
      </c>
      <c r="M42" s="557">
        <f>'....'!D489</f>
        <v>0</v>
      </c>
      <c r="N42" s="557">
        <f>'.....'!D489</f>
        <v>0</v>
      </c>
      <c r="O42" s="557">
        <f>'......'!D488</f>
        <v>0</v>
      </c>
      <c r="P42" s="557">
        <f>'.... ..'!D488</f>
        <v>0</v>
      </c>
      <c r="Q42" s="557">
        <f>'.. . '!D489</f>
        <v>0</v>
      </c>
      <c r="R42" s="557">
        <f>'... '!D489</f>
        <v>0</v>
      </c>
      <c r="S42" s="558" t="e">
        <f t="shared" si="1"/>
        <v>#REF!</v>
      </c>
      <c r="T42" s="7"/>
    </row>
    <row r="43" spans="1:20" ht="15.75" customHeight="1">
      <c r="A43" s="559" t="s">
        <v>1109</v>
      </c>
      <c r="B43" s="556" t="e">
        <f t="shared" ref="B43:L43" si="41">#REF!</f>
        <v>#REF!</v>
      </c>
      <c r="C43" s="556" t="e">
        <f t="shared" si="41"/>
        <v>#REF!</v>
      </c>
      <c r="D43" s="557" t="e">
        <f t="shared" si="41"/>
        <v>#REF!</v>
      </c>
      <c r="E43" s="557" t="e">
        <f t="shared" si="41"/>
        <v>#REF!</v>
      </c>
      <c r="F43" s="557" t="e">
        <f t="shared" si="41"/>
        <v>#REF!</v>
      </c>
      <c r="G43" s="557" t="e">
        <f t="shared" si="41"/>
        <v>#REF!</v>
      </c>
      <c r="H43" s="557" t="e">
        <f t="shared" si="41"/>
        <v>#REF!</v>
      </c>
      <c r="I43" s="557" t="e">
        <f t="shared" si="41"/>
        <v>#REF!</v>
      </c>
      <c r="J43" s="557" t="e">
        <f t="shared" si="41"/>
        <v>#REF!</v>
      </c>
      <c r="K43" s="557" t="e">
        <f t="shared" si="41"/>
        <v>#REF!</v>
      </c>
      <c r="L43" s="557" t="e">
        <f t="shared" si="41"/>
        <v>#REF!</v>
      </c>
      <c r="M43" s="557">
        <f>'....'!D490</f>
        <v>0</v>
      </c>
      <c r="N43" s="557">
        <f>'.....'!D490</f>
        <v>0</v>
      </c>
      <c r="O43" s="557">
        <f>'......'!D489</f>
        <v>0</v>
      </c>
      <c r="P43" s="557">
        <f>'.... ..'!D489</f>
        <v>0</v>
      </c>
      <c r="Q43" s="557">
        <f>'.. . '!D490</f>
        <v>0</v>
      </c>
      <c r="R43" s="557">
        <f>'... '!D490</f>
        <v>0</v>
      </c>
      <c r="S43" s="558" t="e">
        <f t="shared" si="1"/>
        <v>#REF!</v>
      </c>
    </row>
    <row r="44" spans="1:20" ht="15.75" customHeight="1">
      <c r="A44" s="559" t="s">
        <v>1110</v>
      </c>
      <c r="B44" s="556" t="e">
        <f t="shared" ref="B44:L44" si="42">#REF!</f>
        <v>#REF!</v>
      </c>
      <c r="C44" s="556" t="e">
        <f t="shared" si="42"/>
        <v>#REF!</v>
      </c>
      <c r="D44" s="557" t="e">
        <f t="shared" si="42"/>
        <v>#REF!</v>
      </c>
      <c r="E44" s="557" t="e">
        <f t="shared" si="42"/>
        <v>#REF!</v>
      </c>
      <c r="F44" s="557" t="e">
        <f t="shared" si="42"/>
        <v>#REF!</v>
      </c>
      <c r="G44" s="557" t="e">
        <f t="shared" si="42"/>
        <v>#REF!</v>
      </c>
      <c r="H44" s="557" t="e">
        <f t="shared" si="42"/>
        <v>#REF!</v>
      </c>
      <c r="I44" s="557" t="e">
        <f t="shared" si="42"/>
        <v>#REF!</v>
      </c>
      <c r="J44" s="557" t="e">
        <f t="shared" si="42"/>
        <v>#REF!</v>
      </c>
      <c r="K44" s="557" t="e">
        <f t="shared" si="42"/>
        <v>#REF!</v>
      </c>
      <c r="L44" s="557" t="e">
        <f t="shared" si="42"/>
        <v>#REF!</v>
      </c>
      <c r="M44" s="557">
        <f>'....'!D491</f>
        <v>0</v>
      </c>
      <c r="N44" s="557">
        <f>'.....'!D491</f>
        <v>0</v>
      </c>
      <c r="O44" s="557">
        <f>'......'!D490</f>
        <v>0</v>
      </c>
      <c r="P44" s="557">
        <f>'.... ..'!D490</f>
        <v>0</v>
      </c>
      <c r="Q44" s="557">
        <f>'.. . '!D491</f>
        <v>0</v>
      </c>
      <c r="R44" s="557">
        <f>'... '!D491</f>
        <v>0</v>
      </c>
      <c r="S44" s="558" t="e">
        <f t="shared" si="1"/>
        <v>#REF!</v>
      </c>
    </row>
    <row r="45" spans="1:20" ht="15.75" customHeight="1">
      <c r="A45" s="559" t="s">
        <v>1111</v>
      </c>
      <c r="B45" s="556" t="e">
        <f t="shared" ref="B45:L45" si="43">#REF!</f>
        <v>#REF!</v>
      </c>
      <c r="C45" s="556" t="e">
        <f t="shared" si="43"/>
        <v>#REF!</v>
      </c>
      <c r="D45" s="557" t="e">
        <f t="shared" si="43"/>
        <v>#REF!</v>
      </c>
      <c r="E45" s="557" t="e">
        <f t="shared" si="43"/>
        <v>#REF!</v>
      </c>
      <c r="F45" s="557" t="e">
        <f t="shared" si="43"/>
        <v>#REF!</v>
      </c>
      <c r="G45" s="557" t="e">
        <f t="shared" si="43"/>
        <v>#REF!</v>
      </c>
      <c r="H45" s="557" t="e">
        <f t="shared" si="43"/>
        <v>#REF!</v>
      </c>
      <c r="I45" s="557" t="e">
        <f t="shared" si="43"/>
        <v>#REF!</v>
      </c>
      <c r="J45" s="557" t="e">
        <f t="shared" si="43"/>
        <v>#REF!</v>
      </c>
      <c r="K45" s="557" t="e">
        <f t="shared" si="43"/>
        <v>#REF!</v>
      </c>
      <c r="L45" s="557" t="e">
        <f t="shared" si="43"/>
        <v>#REF!</v>
      </c>
      <c r="M45" s="557">
        <f>'....'!D492</f>
        <v>0</v>
      </c>
      <c r="N45" s="557">
        <f>'.....'!D492</f>
        <v>0</v>
      </c>
      <c r="O45" s="557">
        <f>'......'!D491</f>
        <v>0</v>
      </c>
      <c r="P45" s="557">
        <f>'.... ..'!D491</f>
        <v>0</v>
      </c>
      <c r="Q45" s="557">
        <f>'.. . '!D492</f>
        <v>0</v>
      </c>
      <c r="R45" s="557">
        <f>'... '!D492</f>
        <v>0</v>
      </c>
      <c r="S45" s="558" t="e">
        <f t="shared" si="1"/>
        <v>#REF!</v>
      </c>
    </row>
    <row r="46" spans="1:20" ht="15.75" customHeight="1">
      <c r="A46" s="559" t="s">
        <v>1112</v>
      </c>
      <c r="B46" s="556" t="e">
        <f t="shared" ref="B46:L46" si="44">#REF!</f>
        <v>#REF!</v>
      </c>
      <c r="C46" s="556" t="e">
        <f t="shared" si="44"/>
        <v>#REF!</v>
      </c>
      <c r="D46" s="557" t="e">
        <f t="shared" si="44"/>
        <v>#REF!</v>
      </c>
      <c r="E46" s="557" t="e">
        <f t="shared" si="44"/>
        <v>#REF!</v>
      </c>
      <c r="F46" s="557" t="e">
        <f t="shared" si="44"/>
        <v>#REF!</v>
      </c>
      <c r="G46" s="557" t="e">
        <f t="shared" si="44"/>
        <v>#REF!</v>
      </c>
      <c r="H46" s="557" t="e">
        <f t="shared" si="44"/>
        <v>#REF!</v>
      </c>
      <c r="I46" s="557" t="e">
        <f t="shared" si="44"/>
        <v>#REF!</v>
      </c>
      <c r="J46" s="557" t="e">
        <f t="shared" si="44"/>
        <v>#REF!</v>
      </c>
      <c r="K46" s="557" t="e">
        <f t="shared" si="44"/>
        <v>#REF!</v>
      </c>
      <c r="L46" s="557" t="e">
        <f t="shared" si="44"/>
        <v>#REF!</v>
      </c>
      <c r="M46" s="557">
        <f>'....'!D493</f>
        <v>0</v>
      </c>
      <c r="N46" s="557">
        <f>'.....'!D493</f>
        <v>0</v>
      </c>
      <c r="O46" s="557">
        <f>'......'!D492</f>
        <v>0</v>
      </c>
      <c r="P46" s="557">
        <f>'.... ..'!D492</f>
        <v>0</v>
      </c>
      <c r="Q46" s="557">
        <f>'.. . '!D493</f>
        <v>0</v>
      </c>
      <c r="R46" s="557">
        <f>'... '!D493</f>
        <v>0</v>
      </c>
      <c r="S46" s="558" t="e">
        <f t="shared" si="1"/>
        <v>#REF!</v>
      </c>
    </row>
    <row r="47" spans="1:20" ht="15.75" customHeight="1">
      <c r="A47" s="559" t="s">
        <v>1113</v>
      </c>
      <c r="B47" s="556" t="e">
        <f t="shared" ref="B47:L47" si="45">#REF!</f>
        <v>#REF!</v>
      </c>
      <c r="C47" s="556" t="e">
        <f t="shared" si="45"/>
        <v>#REF!</v>
      </c>
      <c r="D47" s="557" t="e">
        <f t="shared" si="45"/>
        <v>#REF!</v>
      </c>
      <c r="E47" s="557" t="e">
        <f t="shared" si="45"/>
        <v>#REF!</v>
      </c>
      <c r="F47" s="557" t="e">
        <f t="shared" si="45"/>
        <v>#REF!</v>
      </c>
      <c r="G47" s="557" t="e">
        <f t="shared" si="45"/>
        <v>#REF!</v>
      </c>
      <c r="H47" s="557" t="e">
        <f t="shared" si="45"/>
        <v>#REF!</v>
      </c>
      <c r="I47" s="557" t="e">
        <f t="shared" si="45"/>
        <v>#REF!</v>
      </c>
      <c r="J47" s="557" t="e">
        <f t="shared" si="45"/>
        <v>#REF!</v>
      </c>
      <c r="K47" s="557" t="e">
        <f t="shared" si="45"/>
        <v>#REF!</v>
      </c>
      <c r="L47" s="557" t="e">
        <f t="shared" si="45"/>
        <v>#REF!</v>
      </c>
      <c r="M47" s="557">
        <f>'....'!D494</f>
        <v>0</v>
      </c>
      <c r="N47" s="557">
        <f>'.....'!D494</f>
        <v>0</v>
      </c>
      <c r="O47" s="557">
        <f>'......'!D493</f>
        <v>0</v>
      </c>
      <c r="P47" s="557">
        <f>'.... ..'!D493</f>
        <v>0</v>
      </c>
      <c r="Q47" s="557">
        <f>'.. . '!D494</f>
        <v>0</v>
      </c>
      <c r="R47" s="557">
        <f>'... '!D494</f>
        <v>0</v>
      </c>
      <c r="S47" s="558" t="e">
        <f t="shared" si="1"/>
        <v>#REF!</v>
      </c>
    </row>
    <row r="48" spans="1:20" ht="15.75" customHeight="1">
      <c r="A48" s="559" t="s">
        <v>1114</v>
      </c>
      <c r="B48" s="556" t="e">
        <f t="shared" ref="B48:L48" si="46">#REF!</f>
        <v>#REF!</v>
      </c>
      <c r="C48" s="556" t="e">
        <f t="shared" si="46"/>
        <v>#REF!</v>
      </c>
      <c r="D48" s="557" t="e">
        <f t="shared" si="46"/>
        <v>#REF!</v>
      </c>
      <c r="E48" s="557" t="e">
        <f t="shared" si="46"/>
        <v>#REF!</v>
      </c>
      <c r="F48" s="557" t="e">
        <f t="shared" si="46"/>
        <v>#REF!</v>
      </c>
      <c r="G48" s="557" t="e">
        <f t="shared" si="46"/>
        <v>#REF!</v>
      </c>
      <c r="H48" s="557" t="e">
        <f t="shared" si="46"/>
        <v>#REF!</v>
      </c>
      <c r="I48" s="557" t="e">
        <f t="shared" si="46"/>
        <v>#REF!</v>
      </c>
      <c r="J48" s="557" t="e">
        <f t="shared" si="46"/>
        <v>#REF!</v>
      </c>
      <c r="K48" s="557" t="e">
        <f t="shared" si="46"/>
        <v>#REF!</v>
      </c>
      <c r="L48" s="557" t="e">
        <f t="shared" si="46"/>
        <v>#REF!</v>
      </c>
      <c r="M48" s="557">
        <f>'....'!D495</f>
        <v>0</v>
      </c>
      <c r="N48" s="557">
        <f>'.....'!D495</f>
        <v>0</v>
      </c>
      <c r="O48" s="557">
        <f>'......'!D494</f>
        <v>0</v>
      </c>
      <c r="P48" s="557">
        <f>'.... ..'!D494</f>
        <v>0</v>
      </c>
      <c r="Q48" s="557">
        <f>'.. . '!D495</f>
        <v>0</v>
      </c>
      <c r="R48" s="557">
        <f>'... '!D495</f>
        <v>0</v>
      </c>
      <c r="S48" s="558" t="e">
        <f t="shared" si="1"/>
        <v>#REF!</v>
      </c>
    </row>
    <row r="49" spans="1:19" ht="15.75" customHeight="1">
      <c r="A49" s="559" t="s">
        <v>1115</v>
      </c>
      <c r="B49" s="556" t="e">
        <f t="shared" ref="B49:L49" si="47">#REF!</f>
        <v>#REF!</v>
      </c>
      <c r="C49" s="556" t="e">
        <f t="shared" si="47"/>
        <v>#REF!</v>
      </c>
      <c r="D49" s="557" t="e">
        <f t="shared" si="47"/>
        <v>#REF!</v>
      </c>
      <c r="E49" s="557" t="e">
        <f t="shared" si="47"/>
        <v>#REF!</v>
      </c>
      <c r="F49" s="557" t="e">
        <f t="shared" si="47"/>
        <v>#REF!</v>
      </c>
      <c r="G49" s="557" t="e">
        <f t="shared" si="47"/>
        <v>#REF!</v>
      </c>
      <c r="H49" s="557" t="e">
        <f t="shared" si="47"/>
        <v>#REF!</v>
      </c>
      <c r="I49" s="557" t="e">
        <f t="shared" si="47"/>
        <v>#REF!</v>
      </c>
      <c r="J49" s="557" t="e">
        <f t="shared" si="47"/>
        <v>#REF!</v>
      </c>
      <c r="K49" s="557" t="e">
        <f t="shared" si="47"/>
        <v>#REF!</v>
      </c>
      <c r="L49" s="557" t="e">
        <f t="shared" si="47"/>
        <v>#REF!</v>
      </c>
      <c r="M49" s="557">
        <f>'....'!D496</f>
        <v>0</v>
      </c>
      <c r="N49" s="557">
        <f>'.....'!D496</f>
        <v>0</v>
      </c>
      <c r="O49" s="557">
        <f>'......'!D495</f>
        <v>0</v>
      </c>
      <c r="P49" s="557">
        <f>'.... ..'!D495</f>
        <v>0</v>
      </c>
      <c r="Q49" s="557">
        <f>'.. . '!D496</f>
        <v>0</v>
      </c>
      <c r="R49" s="557">
        <f>'... '!D496</f>
        <v>0</v>
      </c>
      <c r="S49" s="558" t="e">
        <f t="shared" si="1"/>
        <v>#REF!</v>
      </c>
    </row>
    <row r="50" spans="1:19" ht="15.75" customHeight="1">
      <c r="A50" s="559" t="s">
        <v>1116</v>
      </c>
      <c r="B50" s="556" t="e">
        <f t="shared" ref="B50:L50" si="48">#REF!</f>
        <v>#REF!</v>
      </c>
      <c r="C50" s="556" t="e">
        <f t="shared" si="48"/>
        <v>#REF!</v>
      </c>
      <c r="D50" s="557" t="e">
        <f t="shared" si="48"/>
        <v>#REF!</v>
      </c>
      <c r="E50" s="557" t="e">
        <f t="shared" si="48"/>
        <v>#REF!</v>
      </c>
      <c r="F50" s="557" t="e">
        <f t="shared" si="48"/>
        <v>#REF!</v>
      </c>
      <c r="G50" s="557" t="e">
        <f t="shared" si="48"/>
        <v>#REF!</v>
      </c>
      <c r="H50" s="557" t="e">
        <f t="shared" si="48"/>
        <v>#REF!</v>
      </c>
      <c r="I50" s="557" t="e">
        <f t="shared" si="48"/>
        <v>#REF!</v>
      </c>
      <c r="J50" s="557" t="e">
        <f t="shared" si="48"/>
        <v>#REF!</v>
      </c>
      <c r="K50" s="557" t="e">
        <f t="shared" si="48"/>
        <v>#REF!</v>
      </c>
      <c r="L50" s="557" t="e">
        <f t="shared" si="48"/>
        <v>#REF!</v>
      </c>
      <c r="M50" s="557">
        <f>'....'!D497</f>
        <v>0</v>
      </c>
      <c r="N50" s="557">
        <f>'.....'!D497</f>
        <v>0</v>
      </c>
      <c r="O50" s="557">
        <f>'......'!D496</f>
        <v>0</v>
      </c>
      <c r="P50" s="557">
        <f>'.... ..'!D496</f>
        <v>0</v>
      </c>
      <c r="Q50" s="557">
        <f>'.. . '!D497</f>
        <v>0</v>
      </c>
      <c r="R50" s="557">
        <f>'... '!D497</f>
        <v>0</v>
      </c>
      <c r="S50" s="558" t="e">
        <f t="shared" si="1"/>
        <v>#REF!</v>
      </c>
    </row>
    <row r="51" spans="1:19" ht="15.75" customHeight="1">
      <c r="A51" s="559" t="s">
        <v>1117</v>
      </c>
      <c r="B51" s="556" t="e">
        <f t="shared" ref="B51:L51" si="49">#REF!</f>
        <v>#REF!</v>
      </c>
      <c r="C51" s="556" t="e">
        <f t="shared" si="49"/>
        <v>#REF!</v>
      </c>
      <c r="D51" s="557" t="e">
        <f t="shared" si="49"/>
        <v>#REF!</v>
      </c>
      <c r="E51" s="557" t="e">
        <f t="shared" si="49"/>
        <v>#REF!</v>
      </c>
      <c r="F51" s="557" t="e">
        <f t="shared" si="49"/>
        <v>#REF!</v>
      </c>
      <c r="G51" s="557" t="e">
        <f t="shared" si="49"/>
        <v>#REF!</v>
      </c>
      <c r="H51" s="557" t="e">
        <f t="shared" si="49"/>
        <v>#REF!</v>
      </c>
      <c r="I51" s="557" t="e">
        <f t="shared" si="49"/>
        <v>#REF!</v>
      </c>
      <c r="J51" s="557" t="e">
        <f t="shared" si="49"/>
        <v>#REF!</v>
      </c>
      <c r="K51" s="557" t="e">
        <f t="shared" si="49"/>
        <v>#REF!</v>
      </c>
      <c r="L51" s="557" t="e">
        <f t="shared" si="49"/>
        <v>#REF!</v>
      </c>
      <c r="M51" s="557">
        <f>'....'!D498</f>
        <v>0</v>
      </c>
      <c r="N51" s="557">
        <f>'.....'!D498</f>
        <v>0</v>
      </c>
      <c r="O51" s="557">
        <f>'......'!D497</f>
        <v>0</v>
      </c>
      <c r="P51" s="557">
        <f>'.... ..'!D497</f>
        <v>0</v>
      </c>
      <c r="Q51" s="557">
        <f>'.. . '!D498</f>
        <v>0</v>
      </c>
      <c r="R51" s="557">
        <f>'... '!D498</f>
        <v>0</v>
      </c>
      <c r="S51" s="558" t="e">
        <f t="shared" si="1"/>
        <v>#REF!</v>
      </c>
    </row>
    <row r="52" spans="1:19" ht="15.75" customHeight="1">
      <c r="A52" s="559" t="s">
        <v>1118</v>
      </c>
      <c r="B52" s="556" t="e">
        <f t="shared" ref="B52:L52" si="50">#REF!</f>
        <v>#REF!</v>
      </c>
      <c r="C52" s="556" t="e">
        <f t="shared" si="50"/>
        <v>#REF!</v>
      </c>
      <c r="D52" s="557" t="e">
        <f t="shared" si="50"/>
        <v>#REF!</v>
      </c>
      <c r="E52" s="557" t="e">
        <f t="shared" si="50"/>
        <v>#REF!</v>
      </c>
      <c r="F52" s="557" t="e">
        <f t="shared" si="50"/>
        <v>#REF!</v>
      </c>
      <c r="G52" s="557" t="e">
        <f t="shared" si="50"/>
        <v>#REF!</v>
      </c>
      <c r="H52" s="557" t="e">
        <f t="shared" si="50"/>
        <v>#REF!</v>
      </c>
      <c r="I52" s="557" t="e">
        <f t="shared" si="50"/>
        <v>#REF!</v>
      </c>
      <c r="J52" s="557" t="e">
        <f t="shared" si="50"/>
        <v>#REF!</v>
      </c>
      <c r="K52" s="557" t="e">
        <f t="shared" si="50"/>
        <v>#REF!</v>
      </c>
      <c r="L52" s="557" t="e">
        <f t="shared" si="50"/>
        <v>#REF!</v>
      </c>
      <c r="M52" s="557">
        <f>'....'!D499</f>
        <v>0</v>
      </c>
      <c r="N52" s="557">
        <f>'.....'!D499</f>
        <v>0</v>
      </c>
      <c r="O52" s="557">
        <f>'......'!D498</f>
        <v>0</v>
      </c>
      <c r="P52" s="557">
        <f>'.... ..'!D498</f>
        <v>0</v>
      </c>
      <c r="Q52" s="557">
        <f>'.. . '!D499</f>
        <v>0</v>
      </c>
      <c r="R52" s="557">
        <f>'... '!D499</f>
        <v>0</v>
      </c>
      <c r="S52" s="558" t="e">
        <f t="shared" si="1"/>
        <v>#REF!</v>
      </c>
    </row>
    <row r="53" spans="1:19" ht="15.75" customHeight="1">
      <c r="A53" s="559" t="s">
        <v>1119</v>
      </c>
      <c r="B53" s="556" t="e">
        <f t="shared" ref="B53:L53" si="51">#REF!</f>
        <v>#REF!</v>
      </c>
      <c r="C53" s="556" t="e">
        <f t="shared" si="51"/>
        <v>#REF!</v>
      </c>
      <c r="D53" s="557" t="e">
        <f t="shared" si="51"/>
        <v>#REF!</v>
      </c>
      <c r="E53" s="557" t="e">
        <f t="shared" si="51"/>
        <v>#REF!</v>
      </c>
      <c r="F53" s="557" t="e">
        <f t="shared" si="51"/>
        <v>#REF!</v>
      </c>
      <c r="G53" s="557" t="e">
        <f t="shared" si="51"/>
        <v>#REF!</v>
      </c>
      <c r="H53" s="557" t="e">
        <f t="shared" si="51"/>
        <v>#REF!</v>
      </c>
      <c r="I53" s="557" t="e">
        <f t="shared" si="51"/>
        <v>#REF!</v>
      </c>
      <c r="J53" s="557" t="e">
        <f t="shared" si="51"/>
        <v>#REF!</v>
      </c>
      <c r="K53" s="557" t="e">
        <f t="shared" si="51"/>
        <v>#REF!</v>
      </c>
      <c r="L53" s="557" t="e">
        <f t="shared" si="51"/>
        <v>#REF!</v>
      </c>
      <c r="M53" s="557">
        <f>'....'!D500</f>
        <v>0</v>
      </c>
      <c r="N53" s="557">
        <f>'.....'!D500</f>
        <v>0</v>
      </c>
      <c r="O53" s="557">
        <f>'......'!D499</f>
        <v>0</v>
      </c>
      <c r="P53" s="557">
        <f>'.... ..'!D499</f>
        <v>0</v>
      </c>
      <c r="Q53" s="557">
        <f>'.. . '!D500</f>
        <v>0</v>
      </c>
      <c r="R53" s="557">
        <f>'... '!D500</f>
        <v>0</v>
      </c>
      <c r="S53" s="558" t="e">
        <f t="shared" si="1"/>
        <v>#REF!</v>
      </c>
    </row>
    <row r="54" spans="1:19" ht="15.75" customHeight="1">
      <c r="A54" s="559" t="s">
        <v>1120</v>
      </c>
      <c r="B54" s="556" t="e">
        <f t="shared" ref="B54:L54" si="52">#REF!</f>
        <v>#REF!</v>
      </c>
      <c r="C54" s="556" t="e">
        <f t="shared" si="52"/>
        <v>#REF!</v>
      </c>
      <c r="D54" s="557" t="e">
        <f t="shared" si="52"/>
        <v>#REF!</v>
      </c>
      <c r="E54" s="557" t="e">
        <f t="shared" si="52"/>
        <v>#REF!</v>
      </c>
      <c r="F54" s="557" t="e">
        <f t="shared" si="52"/>
        <v>#REF!</v>
      </c>
      <c r="G54" s="557" t="e">
        <f t="shared" si="52"/>
        <v>#REF!</v>
      </c>
      <c r="H54" s="557" t="e">
        <f t="shared" si="52"/>
        <v>#REF!</v>
      </c>
      <c r="I54" s="557" t="e">
        <f t="shared" si="52"/>
        <v>#REF!</v>
      </c>
      <c r="J54" s="557" t="e">
        <f t="shared" si="52"/>
        <v>#REF!</v>
      </c>
      <c r="K54" s="557" t="e">
        <f t="shared" si="52"/>
        <v>#REF!</v>
      </c>
      <c r="L54" s="557" t="e">
        <f t="shared" si="52"/>
        <v>#REF!</v>
      </c>
      <c r="M54" s="557">
        <f>'....'!D501</f>
        <v>0</v>
      </c>
      <c r="N54" s="557">
        <f>'.....'!D501</f>
        <v>0</v>
      </c>
      <c r="O54" s="557">
        <f>'......'!D500</f>
        <v>0</v>
      </c>
      <c r="P54" s="557">
        <f>'.... ..'!D500</f>
        <v>0</v>
      </c>
      <c r="Q54" s="557">
        <f>'.. . '!D501</f>
        <v>0</v>
      </c>
      <c r="R54" s="557">
        <f>'... '!D501</f>
        <v>0</v>
      </c>
      <c r="S54" s="558" t="e">
        <f t="shared" si="1"/>
        <v>#REF!</v>
      </c>
    </row>
    <row r="55" spans="1:19" ht="15.75" customHeight="1">
      <c r="A55" s="559" t="s">
        <v>1121</v>
      </c>
      <c r="B55" s="556" t="e">
        <f t="shared" ref="B55:L55" si="53">#REF!</f>
        <v>#REF!</v>
      </c>
      <c r="C55" s="556" t="e">
        <f t="shared" si="53"/>
        <v>#REF!</v>
      </c>
      <c r="D55" s="557" t="e">
        <f t="shared" si="53"/>
        <v>#REF!</v>
      </c>
      <c r="E55" s="557" t="e">
        <f t="shared" si="53"/>
        <v>#REF!</v>
      </c>
      <c r="F55" s="557" t="e">
        <f t="shared" si="53"/>
        <v>#REF!</v>
      </c>
      <c r="G55" s="557" t="e">
        <f t="shared" si="53"/>
        <v>#REF!</v>
      </c>
      <c r="H55" s="557" t="e">
        <f t="shared" si="53"/>
        <v>#REF!</v>
      </c>
      <c r="I55" s="557" t="e">
        <f t="shared" si="53"/>
        <v>#REF!</v>
      </c>
      <c r="J55" s="557" t="e">
        <f t="shared" si="53"/>
        <v>#REF!</v>
      </c>
      <c r="K55" s="557" t="e">
        <f t="shared" si="53"/>
        <v>#REF!</v>
      </c>
      <c r="L55" s="557" t="e">
        <f t="shared" si="53"/>
        <v>#REF!</v>
      </c>
      <c r="M55" s="557">
        <f>'....'!D502</f>
        <v>0</v>
      </c>
      <c r="N55" s="557">
        <f>'.....'!D502</f>
        <v>0</v>
      </c>
      <c r="O55" s="557">
        <f>'......'!D501</f>
        <v>0</v>
      </c>
      <c r="P55" s="557">
        <f>'.... ..'!D501</f>
        <v>0</v>
      </c>
      <c r="Q55" s="557">
        <f>'.. . '!D502</f>
        <v>0</v>
      </c>
      <c r="R55" s="557">
        <f>'... '!D502</f>
        <v>0</v>
      </c>
      <c r="S55" s="558" t="e">
        <f t="shared" si="1"/>
        <v>#REF!</v>
      </c>
    </row>
    <row r="56" spans="1:19" ht="15.75" customHeight="1">
      <c r="A56" s="559" t="s">
        <v>1122</v>
      </c>
      <c r="B56" s="556" t="e">
        <f t="shared" ref="B56:L56" si="54">#REF!</f>
        <v>#REF!</v>
      </c>
      <c r="C56" s="556" t="e">
        <f t="shared" si="54"/>
        <v>#REF!</v>
      </c>
      <c r="D56" s="557" t="e">
        <f t="shared" si="54"/>
        <v>#REF!</v>
      </c>
      <c r="E56" s="557" t="e">
        <f t="shared" si="54"/>
        <v>#REF!</v>
      </c>
      <c r="F56" s="557" t="e">
        <f t="shared" si="54"/>
        <v>#REF!</v>
      </c>
      <c r="G56" s="557" t="e">
        <f t="shared" si="54"/>
        <v>#REF!</v>
      </c>
      <c r="H56" s="557" t="e">
        <f t="shared" si="54"/>
        <v>#REF!</v>
      </c>
      <c r="I56" s="557" t="e">
        <f t="shared" si="54"/>
        <v>#REF!</v>
      </c>
      <c r="J56" s="557" t="e">
        <f t="shared" si="54"/>
        <v>#REF!</v>
      </c>
      <c r="K56" s="557" t="e">
        <f t="shared" si="54"/>
        <v>#REF!</v>
      </c>
      <c r="L56" s="557" t="e">
        <f t="shared" si="54"/>
        <v>#REF!</v>
      </c>
      <c r="M56" s="557">
        <f>'....'!D503</f>
        <v>0</v>
      </c>
      <c r="N56" s="557">
        <f>'.....'!D503</f>
        <v>0</v>
      </c>
      <c r="O56" s="557">
        <f>'......'!D502</f>
        <v>0</v>
      </c>
      <c r="P56" s="557">
        <f>'.... ..'!D502</f>
        <v>0</v>
      </c>
      <c r="Q56" s="557">
        <f>'.. . '!D503</f>
        <v>0</v>
      </c>
      <c r="R56" s="557">
        <f>'... '!D503</f>
        <v>0</v>
      </c>
      <c r="S56" s="558" t="e">
        <f t="shared" si="1"/>
        <v>#REF!</v>
      </c>
    </row>
    <row r="57" spans="1:19" ht="15.75" customHeight="1">
      <c r="A57" s="559" t="s">
        <v>1123</v>
      </c>
      <c r="B57" s="556" t="e">
        <f t="shared" ref="B57:L57" si="55">#REF!</f>
        <v>#REF!</v>
      </c>
      <c r="C57" s="556" t="e">
        <f t="shared" si="55"/>
        <v>#REF!</v>
      </c>
      <c r="D57" s="557" t="e">
        <f t="shared" si="55"/>
        <v>#REF!</v>
      </c>
      <c r="E57" s="557" t="e">
        <f t="shared" si="55"/>
        <v>#REF!</v>
      </c>
      <c r="F57" s="557" t="e">
        <f t="shared" si="55"/>
        <v>#REF!</v>
      </c>
      <c r="G57" s="557" t="e">
        <f t="shared" si="55"/>
        <v>#REF!</v>
      </c>
      <c r="H57" s="557" t="e">
        <f t="shared" si="55"/>
        <v>#REF!</v>
      </c>
      <c r="I57" s="557" t="e">
        <f t="shared" si="55"/>
        <v>#REF!</v>
      </c>
      <c r="J57" s="557" t="e">
        <f t="shared" si="55"/>
        <v>#REF!</v>
      </c>
      <c r="K57" s="557" t="e">
        <f t="shared" si="55"/>
        <v>#REF!</v>
      </c>
      <c r="L57" s="557" t="e">
        <f t="shared" si="55"/>
        <v>#REF!</v>
      </c>
      <c r="M57" s="557">
        <f>'....'!D504</f>
        <v>0</v>
      </c>
      <c r="N57" s="557">
        <f>'.....'!D504</f>
        <v>0</v>
      </c>
      <c r="O57" s="557">
        <f>'......'!D503</f>
        <v>0</v>
      </c>
      <c r="P57" s="557">
        <f>'.... ..'!D503</f>
        <v>0</v>
      </c>
      <c r="Q57" s="557">
        <f>'.. . '!D504</f>
        <v>0</v>
      </c>
      <c r="R57" s="557">
        <f>'... '!D504</f>
        <v>0</v>
      </c>
      <c r="S57" s="558" t="e">
        <f t="shared" si="1"/>
        <v>#REF!</v>
      </c>
    </row>
    <row r="58" spans="1:19" ht="15.75" customHeight="1">
      <c r="A58" s="559" t="s">
        <v>1124</v>
      </c>
      <c r="B58" s="556" t="e">
        <f t="shared" ref="B58:L58" si="56">#REF!</f>
        <v>#REF!</v>
      </c>
      <c r="C58" s="556" t="e">
        <f t="shared" si="56"/>
        <v>#REF!</v>
      </c>
      <c r="D58" s="557" t="e">
        <f t="shared" si="56"/>
        <v>#REF!</v>
      </c>
      <c r="E58" s="557" t="e">
        <f t="shared" si="56"/>
        <v>#REF!</v>
      </c>
      <c r="F58" s="557" t="e">
        <f t="shared" si="56"/>
        <v>#REF!</v>
      </c>
      <c r="G58" s="557" t="e">
        <f t="shared" si="56"/>
        <v>#REF!</v>
      </c>
      <c r="H58" s="557" t="e">
        <f t="shared" si="56"/>
        <v>#REF!</v>
      </c>
      <c r="I58" s="557" t="e">
        <f t="shared" si="56"/>
        <v>#REF!</v>
      </c>
      <c r="J58" s="557" t="e">
        <f t="shared" si="56"/>
        <v>#REF!</v>
      </c>
      <c r="K58" s="557" t="e">
        <f t="shared" si="56"/>
        <v>#REF!</v>
      </c>
      <c r="L58" s="557" t="e">
        <f t="shared" si="56"/>
        <v>#REF!</v>
      </c>
      <c r="M58" s="557">
        <f>'....'!D505</f>
        <v>0</v>
      </c>
      <c r="N58" s="557">
        <f>'.....'!D505</f>
        <v>0</v>
      </c>
      <c r="O58" s="557">
        <f>'......'!D504</f>
        <v>0</v>
      </c>
      <c r="P58" s="557">
        <f>'.... ..'!D504</f>
        <v>0</v>
      </c>
      <c r="Q58" s="557">
        <f>'.. . '!D505</f>
        <v>0</v>
      </c>
      <c r="R58" s="557">
        <f>'... '!D505</f>
        <v>0</v>
      </c>
      <c r="S58" s="558" t="e">
        <f t="shared" si="1"/>
        <v>#REF!</v>
      </c>
    </row>
    <row r="59" spans="1:19" ht="15.75" customHeight="1">
      <c r="A59" s="559" t="s">
        <v>1125</v>
      </c>
      <c r="B59" s="556" t="e">
        <f t="shared" ref="B59:L59" si="57">#REF!</f>
        <v>#REF!</v>
      </c>
      <c r="C59" s="556" t="e">
        <f t="shared" si="57"/>
        <v>#REF!</v>
      </c>
      <c r="D59" s="557" t="e">
        <f t="shared" si="57"/>
        <v>#REF!</v>
      </c>
      <c r="E59" s="557" t="e">
        <f t="shared" si="57"/>
        <v>#REF!</v>
      </c>
      <c r="F59" s="557" t="e">
        <f t="shared" si="57"/>
        <v>#REF!</v>
      </c>
      <c r="G59" s="557" t="e">
        <f t="shared" si="57"/>
        <v>#REF!</v>
      </c>
      <c r="H59" s="557" t="e">
        <f t="shared" si="57"/>
        <v>#REF!</v>
      </c>
      <c r="I59" s="557" t="e">
        <f t="shared" si="57"/>
        <v>#REF!</v>
      </c>
      <c r="J59" s="557" t="e">
        <f t="shared" si="57"/>
        <v>#REF!</v>
      </c>
      <c r="K59" s="557" t="e">
        <f t="shared" si="57"/>
        <v>#REF!</v>
      </c>
      <c r="L59" s="557" t="e">
        <f t="shared" si="57"/>
        <v>#REF!</v>
      </c>
      <c r="M59" s="557">
        <f>'....'!D506</f>
        <v>0</v>
      </c>
      <c r="N59" s="557">
        <f>'.....'!D506</f>
        <v>0</v>
      </c>
      <c r="O59" s="557">
        <f>'......'!D505</f>
        <v>0</v>
      </c>
      <c r="P59" s="557">
        <f>'.... ..'!D505</f>
        <v>0</v>
      </c>
      <c r="Q59" s="557">
        <f>'.. . '!D506</f>
        <v>0</v>
      </c>
      <c r="R59" s="557">
        <f>'... '!D506</f>
        <v>0</v>
      </c>
      <c r="S59" s="560" t="e">
        <f t="shared" si="1"/>
        <v>#REF!</v>
      </c>
    </row>
    <row r="60" spans="1:19" ht="15.75" customHeight="1">
      <c r="A60" s="559" t="s">
        <v>1126</v>
      </c>
      <c r="B60" s="556" t="e">
        <f t="shared" ref="B60:L60" si="58">#REF!</f>
        <v>#REF!</v>
      </c>
      <c r="C60" s="556" t="e">
        <f t="shared" si="58"/>
        <v>#REF!</v>
      </c>
      <c r="D60" s="557" t="e">
        <f t="shared" si="58"/>
        <v>#REF!</v>
      </c>
      <c r="E60" s="557" t="e">
        <f t="shared" si="58"/>
        <v>#REF!</v>
      </c>
      <c r="F60" s="557" t="e">
        <f t="shared" si="58"/>
        <v>#REF!</v>
      </c>
      <c r="G60" s="557" t="e">
        <f t="shared" si="58"/>
        <v>#REF!</v>
      </c>
      <c r="H60" s="557" t="e">
        <f t="shared" si="58"/>
        <v>#REF!</v>
      </c>
      <c r="I60" s="557" t="e">
        <f t="shared" si="58"/>
        <v>#REF!</v>
      </c>
      <c r="J60" s="557" t="e">
        <f t="shared" si="58"/>
        <v>#REF!</v>
      </c>
      <c r="K60" s="557" t="e">
        <f t="shared" si="58"/>
        <v>#REF!</v>
      </c>
      <c r="L60" s="557" t="e">
        <f t="shared" si="58"/>
        <v>#REF!</v>
      </c>
      <c r="M60" s="557">
        <f>'....'!D507</f>
        <v>0</v>
      </c>
      <c r="N60" s="557">
        <f>'.....'!D507</f>
        <v>0</v>
      </c>
      <c r="O60" s="557">
        <f>'......'!D506</f>
        <v>0</v>
      </c>
      <c r="P60" s="557">
        <f>'.... ..'!D506</f>
        <v>0</v>
      </c>
      <c r="Q60" s="557">
        <f>'.. . '!D507</f>
        <v>0</v>
      </c>
      <c r="R60" s="557">
        <f>'... '!D507</f>
        <v>0</v>
      </c>
      <c r="S60" s="558" t="e">
        <f t="shared" si="1"/>
        <v>#REF!</v>
      </c>
    </row>
    <row r="61" spans="1:19" ht="15.75" customHeight="1">
      <c r="A61" s="559" t="s">
        <v>1127</v>
      </c>
      <c r="B61" s="556" t="e">
        <f t="shared" ref="B61:L61" si="59">#REF!</f>
        <v>#REF!</v>
      </c>
      <c r="C61" s="556" t="e">
        <f t="shared" si="59"/>
        <v>#REF!</v>
      </c>
      <c r="D61" s="557" t="e">
        <f t="shared" si="59"/>
        <v>#REF!</v>
      </c>
      <c r="E61" s="557" t="e">
        <f t="shared" si="59"/>
        <v>#REF!</v>
      </c>
      <c r="F61" s="557" t="e">
        <f t="shared" si="59"/>
        <v>#REF!</v>
      </c>
      <c r="G61" s="557" t="e">
        <f t="shared" si="59"/>
        <v>#REF!</v>
      </c>
      <c r="H61" s="557" t="e">
        <f t="shared" si="59"/>
        <v>#REF!</v>
      </c>
      <c r="I61" s="557" t="e">
        <f t="shared" si="59"/>
        <v>#REF!</v>
      </c>
      <c r="J61" s="557" t="e">
        <f t="shared" si="59"/>
        <v>#REF!</v>
      </c>
      <c r="K61" s="557" t="e">
        <f t="shared" si="59"/>
        <v>#REF!</v>
      </c>
      <c r="L61" s="557" t="e">
        <f t="shared" si="59"/>
        <v>#REF!</v>
      </c>
      <c r="M61" s="557">
        <f>'....'!D508</f>
        <v>0</v>
      </c>
      <c r="N61" s="557">
        <f>'.....'!D508</f>
        <v>0</v>
      </c>
      <c r="O61" s="557">
        <f>'......'!D507</f>
        <v>0</v>
      </c>
      <c r="P61" s="557">
        <f>'.... ..'!D507</f>
        <v>0</v>
      </c>
      <c r="Q61" s="557">
        <f>'.. . '!D508</f>
        <v>0</v>
      </c>
      <c r="R61" s="557">
        <f>'... '!D508</f>
        <v>0</v>
      </c>
      <c r="S61" s="560" t="e">
        <f t="shared" si="1"/>
        <v>#REF!</v>
      </c>
    </row>
    <row r="62" spans="1:19" ht="15.75" customHeight="1">
      <c r="A62" s="559" t="s">
        <v>1128</v>
      </c>
      <c r="B62" s="556" t="e">
        <f t="shared" ref="B62:L62" si="60">#REF!</f>
        <v>#REF!</v>
      </c>
      <c r="C62" s="556" t="e">
        <f t="shared" si="60"/>
        <v>#REF!</v>
      </c>
      <c r="D62" s="557" t="e">
        <f t="shared" si="60"/>
        <v>#REF!</v>
      </c>
      <c r="E62" s="557" t="e">
        <f t="shared" si="60"/>
        <v>#REF!</v>
      </c>
      <c r="F62" s="557" t="e">
        <f t="shared" si="60"/>
        <v>#REF!</v>
      </c>
      <c r="G62" s="557" t="e">
        <f t="shared" si="60"/>
        <v>#REF!</v>
      </c>
      <c r="H62" s="557" t="e">
        <f t="shared" si="60"/>
        <v>#REF!</v>
      </c>
      <c r="I62" s="557" t="e">
        <f t="shared" si="60"/>
        <v>#REF!</v>
      </c>
      <c r="J62" s="557" t="e">
        <f t="shared" si="60"/>
        <v>#REF!</v>
      </c>
      <c r="K62" s="557" t="e">
        <f t="shared" si="60"/>
        <v>#REF!</v>
      </c>
      <c r="L62" s="557" t="e">
        <f t="shared" si="60"/>
        <v>#REF!</v>
      </c>
      <c r="M62" s="557">
        <f>'....'!D509</f>
        <v>0</v>
      </c>
      <c r="N62" s="557">
        <f>'.....'!D509</f>
        <v>0</v>
      </c>
      <c r="O62" s="557">
        <f>'......'!D508</f>
        <v>0</v>
      </c>
      <c r="P62" s="557">
        <f>'.... ..'!D508</f>
        <v>0</v>
      </c>
      <c r="Q62" s="557">
        <f>'.. . '!D509</f>
        <v>0</v>
      </c>
      <c r="R62" s="557">
        <f>'... '!D509</f>
        <v>0</v>
      </c>
      <c r="S62" s="560" t="e">
        <f t="shared" si="1"/>
        <v>#REF!</v>
      </c>
    </row>
    <row r="63" spans="1:19" ht="15.75" customHeight="1">
      <c r="A63" s="559" t="s">
        <v>1129</v>
      </c>
      <c r="B63" s="556" t="e">
        <f t="shared" ref="B63:L63" si="61">#REF!</f>
        <v>#REF!</v>
      </c>
      <c r="C63" s="556" t="e">
        <f t="shared" si="61"/>
        <v>#REF!</v>
      </c>
      <c r="D63" s="557" t="e">
        <f t="shared" si="61"/>
        <v>#REF!</v>
      </c>
      <c r="E63" s="557" t="e">
        <f t="shared" si="61"/>
        <v>#REF!</v>
      </c>
      <c r="F63" s="557" t="e">
        <f t="shared" si="61"/>
        <v>#REF!</v>
      </c>
      <c r="G63" s="557" t="e">
        <f t="shared" si="61"/>
        <v>#REF!</v>
      </c>
      <c r="H63" s="557" t="e">
        <f t="shared" si="61"/>
        <v>#REF!</v>
      </c>
      <c r="I63" s="557" t="e">
        <f t="shared" si="61"/>
        <v>#REF!</v>
      </c>
      <c r="J63" s="557" t="e">
        <f t="shared" si="61"/>
        <v>#REF!</v>
      </c>
      <c r="K63" s="557" t="e">
        <f t="shared" si="61"/>
        <v>#REF!</v>
      </c>
      <c r="L63" s="557" t="e">
        <f t="shared" si="61"/>
        <v>#REF!</v>
      </c>
      <c r="M63" s="557">
        <f>'....'!D510</f>
        <v>0</v>
      </c>
      <c r="N63" s="557">
        <f>'.....'!D510</f>
        <v>0</v>
      </c>
      <c r="O63" s="557">
        <f>'......'!D509</f>
        <v>0</v>
      </c>
      <c r="P63" s="557">
        <f>'.... ..'!D509</f>
        <v>0</v>
      </c>
      <c r="Q63" s="557">
        <f>'.. . '!D510</f>
        <v>0</v>
      </c>
      <c r="R63" s="557">
        <f>'... '!D510</f>
        <v>0</v>
      </c>
      <c r="S63" s="558" t="e">
        <f t="shared" si="1"/>
        <v>#REF!</v>
      </c>
    </row>
    <row r="64" spans="1:19" ht="15.75" customHeight="1">
      <c r="A64" s="559" t="s">
        <v>1130</v>
      </c>
      <c r="B64" s="556" t="e">
        <f t="shared" ref="B64:L64" si="62">#REF!</f>
        <v>#REF!</v>
      </c>
      <c r="C64" s="556" t="e">
        <f t="shared" si="62"/>
        <v>#REF!</v>
      </c>
      <c r="D64" s="557" t="e">
        <f t="shared" si="62"/>
        <v>#REF!</v>
      </c>
      <c r="E64" s="557" t="e">
        <f t="shared" si="62"/>
        <v>#REF!</v>
      </c>
      <c r="F64" s="557" t="e">
        <f t="shared" si="62"/>
        <v>#REF!</v>
      </c>
      <c r="G64" s="557" t="e">
        <f t="shared" si="62"/>
        <v>#REF!</v>
      </c>
      <c r="H64" s="557" t="e">
        <f t="shared" si="62"/>
        <v>#REF!</v>
      </c>
      <c r="I64" s="557" t="e">
        <f t="shared" si="62"/>
        <v>#REF!</v>
      </c>
      <c r="J64" s="557" t="e">
        <f t="shared" si="62"/>
        <v>#REF!</v>
      </c>
      <c r="K64" s="557" t="e">
        <f t="shared" si="62"/>
        <v>#REF!</v>
      </c>
      <c r="L64" s="557" t="e">
        <f t="shared" si="62"/>
        <v>#REF!</v>
      </c>
      <c r="M64" s="557">
        <f>'....'!D511</f>
        <v>0</v>
      </c>
      <c r="N64" s="557">
        <f>'.....'!D511</f>
        <v>0</v>
      </c>
      <c r="O64" s="557">
        <f>'......'!D510</f>
        <v>0</v>
      </c>
      <c r="P64" s="557">
        <f>'.... ..'!D510</f>
        <v>0</v>
      </c>
      <c r="Q64" s="557">
        <f>'.. . '!D511</f>
        <v>0</v>
      </c>
      <c r="R64" s="557">
        <f>'... '!D511</f>
        <v>0</v>
      </c>
      <c r="S64" s="558" t="e">
        <f t="shared" si="1"/>
        <v>#REF!</v>
      </c>
    </row>
    <row r="65" spans="1:19" ht="15.75" customHeight="1">
      <c r="A65" s="559" t="s">
        <v>1131</v>
      </c>
      <c r="B65" s="556" t="e">
        <f t="shared" ref="B65:L65" si="63">#REF!</f>
        <v>#REF!</v>
      </c>
      <c r="C65" s="556" t="e">
        <f t="shared" si="63"/>
        <v>#REF!</v>
      </c>
      <c r="D65" s="557" t="e">
        <f t="shared" si="63"/>
        <v>#REF!</v>
      </c>
      <c r="E65" s="557" t="e">
        <f t="shared" si="63"/>
        <v>#REF!</v>
      </c>
      <c r="F65" s="557" t="e">
        <f t="shared" si="63"/>
        <v>#REF!</v>
      </c>
      <c r="G65" s="557" t="e">
        <f t="shared" si="63"/>
        <v>#REF!</v>
      </c>
      <c r="H65" s="557" t="e">
        <f t="shared" si="63"/>
        <v>#REF!</v>
      </c>
      <c r="I65" s="557" t="e">
        <f t="shared" si="63"/>
        <v>#REF!</v>
      </c>
      <c r="J65" s="557" t="e">
        <f t="shared" si="63"/>
        <v>#REF!</v>
      </c>
      <c r="K65" s="557" t="e">
        <f t="shared" si="63"/>
        <v>#REF!</v>
      </c>
      <c r="L65" s="557" t="e">
        <f t="shared" si="63"/>
        <v>#REF!</v>
      </c>
      <c r="M65" s="557">
        <f>'....'!D512</f>
        <v>0</v>
      </c>
      <c r="N65" s="557">
        <f>'.....'!D512</f>
        <v>0</v>
      </c>
      <c r="O65" s="557">
        <f>'......'!D511</f>
        <v>0</v>
      </c>
      <c r="P65" s="557">
        <f>'.... ..'!D511</f>
        <v>0</v>
      </c>
      <c r="Q65" s="557">
        <f>'.. . '!D512</f>
        <v>0</v>
      </c>
      <c r="R65" s="557">
        <f>'... '!D512</f>
        <v>0</v>
      </c>
      <c r="S65" s="558" t="e">
        <f t="shared" si="1"/>
        <v>#REF!</v>
      </c>
    </row>
    <row r="66" spans="1:19" ht="15.75" customHeight="1">
      <c r="A66" s="561"/>
      <c r="B66" s="232" t="e">
        <f t="shared" ref="B66:R66" si="64">SUM(B3:B65)</f>
        <v>#REF!</v>
      </c>
      <c r="C66" s="232" t="e">
        <f t="shared" si="64"/>
        <v>#REF!</v>
      </c>
      <c r="D66" s="232" t="e">
        <f t="shared" si="64"/>
        <v>#REF!</v>
      </c>
      <c r="E66" s="232" t="e">
        <f t="shared" si="64"/>
        <v>#REF!</v>
      </c>
      <c r="F66" s="232" t="e">
        <f t="shared" si="64"/>
        <v>#REF!</v>
      </c>
      <c r="G66" s="232" t="e">
        <f t="shared" si="64"/>
        <v>#REF!</v>
      </c>
      <c r="H66" s="232" t="e">
        <f t="shared" si="64"/>
        <v>#REF!</v>
      </c>
      <c r="I66" s="232" t="e">
        <f t="shared" si="64"/>
        <v>#REF!</v>
      </c>
      <c r="J66" s="232" t="e">
        <f t="shared" si="64"/>
        <v>#REF!</v>
      </c>
      <c r="K66" s="232" t="e">
        <f t="shared" si="64"/>
        <v>#REF!</v>
      </c>
      <c r="L66" s="232" t="e">
        <f t="shared" si="64"/>
        <v>#REF!</v>
      </c>
      <c r="M66" s="232">
        <f t="shared" si="64"/>
        <v>0</v>
      </c>
      <c r="N66" s="232">
        <f t="shared" si="64"/>
        <v>0</v>
      </c>
      <c r="O66" s="232">
        <f t="shared" si="64"/>
        <v>0</v>
      </c>
      <c r="P66" s="232">
        <f t="shared" si="64"/>
        <v>0</v>
      </c>
      <c r="Q66" s="232">
        <f t="shared" si="64"/>
        <v>0</v>
      </c>
      <c r="R66" s="232">
        <f t="shared" si="64"/>
        <v>0</v>
      </c>
      <c r="S66" s="560" t="e">
        <f t="shared" si="1"/>
        <v>#REF!</v>
      </c>
    </row>
    <row r="67" spans="1:19" ht="15.75" customHeight="1">
      <c r="B67" s="553"/>
      <c r="C67" s="553"/>
      <c r="D67" s="553"/>
      <c r="E67" s="553"/>
      <c r="F67" s="553"/>
      <c r="G67" s="553"/>
      <c r="H67" s="553"/>
      <c r="I67" s="553"/>
      <c r="J67" s="553"/>
      <c r="K67" s="553"/>
      <c r="L67" s="553"/>
      <c r="M67" s="553"/>
      <c r="N67" s="553"/>
      <c r="O67" s="553"/>
      <c r="P67" s="553"/>
      <c r="Q67" s="553"/>
      <c r="R67" s="553"/>
      <c r="S67" s="319"/>
    </row>
    <row r="68" spans="1:19" ht="15.75" customHeight="1">
      <c r="B68" s="553"/>
      <c r="C68" s="553"/>
      <c r="D68" s="553"/>
      <c r="E68" s="553"/>
      <c r="F68" s="553"/>
      <c r="G68" s="553"/>
      <c r="H68" s="553"/>
      <c r="I68" s="553"/>
      <c r="J68" s="553"/>
      <c r="K68" s="553"/>
      <c r="L68" s="553"/>
      <c r="M68" s="553"/>
      <c r="N68" s="553"/>
      <c r="O68" s="553"/>
      <c r="P68" s="553"/>
      <c r="Q68" s="553"/>
      <c r="R68" s="553"/>
      <c r="S68" s="319"/>
    </row>
    <row r="69" spans="1:19" ht="15.75" customHeight="1">
      <c r="B69" s="553"/>
      <c r="C69" s="553"/>
      <c r="D69" s="553"/>
      <c r="E69" s="553"/>
      <c r="F69" s="553"/>
      <c r="G69" s="553"/>
      <c r="H69" s="553"/>
      <c r="I69" s="553"/>
      <c r="J69" s="553"/>
      <c r="K69" s="553"/>
      <c r="L69" s="553"/>
      <c r="M69" s="553"/>
      <c r="N69" s="553"/>
      <c r="O69" s="553"/>
      <c r="P69" s="553"/>
      <c r="Q69" s="553"/>
      <c r="R69" s="553"/>
      <c r="S69" s="319"/>
    </row>
    <row r="70" spans="1:19" ht="15.75" customHeight="1">
      <c r="B70" s="553"/>
      <c r="C70" s="553"/>
      <c r="D70" s="553"/>
      <c r="E70" s="553"/>
      <c r="F70" s="553"/>
      <c r="G70" s="553"/>
      <c r="H70" s="553"/>
      <c r="I70" s="553"/>
      <c r="J70" s="553"/>
      <c r="K70" s="553"/>
      <c r="L70" s="553"/>
      <c r="M70" s="553"/>
      <c r="N70" s="553"/>
      <c r="O70" s="553"/>
      <c r="P70" s="553"/>
      <c r="Q70" s="553"/>
      <c r="R70" s="553"/>
      <c r="S70" s="319"/>
    </row>
    <row r="71" spans="1:19" ht="15.75" customHeight="1">
      <c r="B71" s="553"/>
      <c r="C71" s="553"/>
      <c r="D71" s="553"/>
      <c r="E71" s="553"/>
      <c r="F71" s="553"/>
      <c r="G71" s="553"/>
      <c r="H71" s="553"/>
      <c r="I71" s="553"/>
      <c r="J71" s="553"/>
      <c r="K71" s="553"/>
      <c r="L71" s="553"/>
      <c r="M71" s="553"/>
      <c r="N71" s="553"/>
      <c r="O71" s="553"/>
      <c r="P71" s="553"/>
      <c r="Q71" s="553"/>
      <c r="R71" s="553"/>
      <c r="S71" s="319"/>
    </row>
    <row r="72" spans="1:19" ht="15.75" customHeight="1">
      <c r="B72" s="553"/>
      <c r="C72" s="553"/>
      <c r="D72" s="553"/>
      <c r="E72" s="553"/>
      <c r="F72" s="553"/>
      <c r="G72" s="553"/>
      <c r="H72" s="553"/>
      <c r="I72" s="553"/>
      <c r="J72" s="553"/>
      <c r="K72" s="553"/>
      <c r="L72" s="553"/>
      <c r="M72" s="553"/>
      <c r="N72" s="553"/>
      <c r="O72" s="553"/>
      <c r="P72" s="553"/>
      <c r="Q72" s="553"/>
      <c r="R72" s="553"/>
      <c r="S72" s="319"/>
    </row>
    <row r="73" spans="1:19" ht="15.75" customHeight="1">
      <c r="B73" s="553"/>
      <c r="C73" s="553"/>
      <c r="D73" s="553"/>
      <c r="E73" s="553"/>
      <c r="F73" s="553"/>
      <c r="G73" s="553"/>
      <c r="H73" s="553"/>
      <c r="I73" s="553"/>
      <c r="J73" s="553"/>
      <c r="K73" s="553"/>
      <c r="L73" s="553"/>
      <c r="M73" s="553"/>
      <c r="N73" s="553"/>
      <c r="O73" s="553"/>
      <c r="P73" s="553"/>
      <c r="Q73" s="553"/>
      <c r="R73" s="553"/>
      <c r="S73" s="319"/>
    </row>
    <row r="74" spans="1:19" ht="15.75" customHeight="1">
      <c r="B74" s="553"/>
      <c r="C74" s="553"/>
      <c r="D74" s="553"/>
      <c r="E74" s="553"/>
      <c r="F74" s="553"/>
      <c r="G74" s="553"/>
      <c r="H74" s="553"/>
      <c r="I74" s="553"/>
      <c r="J74" s="553"/>
      <c r="K74" s="553"/>
      <c r="L74" s="553"/>
      <c r="M74" s="553"/>
      <c r="N74" s="553"/>
      <c r="O74" s="553"/>
      <c r="P74" s="553"/>
      <c r="Q74" s="553"/>
      <c r="R74" s="553"/>
      <c r="S74" s="319"/>
    </row>
    <row r="75" spans="1:19" ht="15.75" customHeight="1">
      <c r="B75" s="553"/>
      <c r="C75" s="553"/>
      <c r="D75" s="553"/>
      <c r="E75" s="553"/>
      <c r="F75" s="553"/>
      <c r="G75" s="553"/>
      <c r="H75" s="553"/>
      <c r="I75" s="553"/>
      <c r="J75" s="553"/>
      <c r="K75" s="553"/>
      <c r="L75" s="553"/>
      <c r="M75" s="553"/>
      <c r="N75" s="553"/>
      <c r="O75" s="553"/>
      <c r="P75" s="553"/>
      <c r="Q75" s="553"/>
      <c r="R75" s="553"/>
      <c r="S75" s="319"/>
    </row>
    <row r="76" spans="1:19" ht="15.75" customHeight="1">
      <c r="B76" s="553"/>
      <c r="C76" s="553"/>
      <c r="D76" s="553"/>
      <c r="E76" s="553"/>
      <c r="F76" s="553"/>
      <c r="G76" s="553"/>
      <c r="H76" s="553"/>
      <c r="I76" s="553"/>
      <c r="J76" s="553"/>
      <c r="K76" s="553"/>
      <c r="L76" s="553"/>
      <c r="M76" s="553"/>
      <c r="N76" s="553"/>
      <c r="O76" s="553"/>
      <c r="P76" s="553"/>
      <c r="Q76" s="553"/>
      <c r="R76" s="553"/>
      <c r="S76" s="319"/>
    </row>
    <row r="77" spans="1:19" ht="15.75" customHeight="1">
      <c r="B77" s="553"/>
      <c r="C77" s="553"/>
      <c r="D77" s="553"/>
      <c r="E77" s="553"/>
      <c r="F77" s="553"/>
      <c r="G77" s="553"/>
      <c r="H77" s="553"/>
      <c r="I77" s="553"/>
      <c r="J77" s="553"/>
      <c r="K77" s="553"/>
      <c r="L77" s="553"/>
      <c r="M77" s="553"/>
      <c r="N77" s="553"/>
      <c r="O77" s="553"/>
      <c r="P77" s="553"/>
      <c r="Q77" s="553"/>
      <c r="R77" s="553"/>
      <c r="S77" s="319"/>
    </row>
    <row r="78" spans="1:19" ht="15.75" customHeight="1">
      <c r="B78" s="553"/>
      <c r="C78" s="553"/>
      <c r="D78" s="553"/>
      <c r="E78" s="553"/>
      <c r="F78" s="553"/>
      <c r="G78" s="553"/>
      <c r="H78" s="553"/>
      <c r="I78" s="553"/>
      <c r="J78" s="553"/>
      <c r="K78" s="553"/>
      <c r="L78" s="553"/>
      <c r="M78" s="553"/>
      <c r="N78" s="553"/>
      <c r="O78" s="553"/>
      <c r="P78" s="553"/>
      <c r="Q78" s="553"/>
      <c r="R78" s="553"/>
      <c r="S78" s="319"/>
    </row>
    <row r="79" spans="1:19" ht="15.75" customHeight="1">
      <c r="B79" s="553"/>
      <c r="C79" s="553"/>
      <c r="D79" s="553"/>
      <c r="E79" s="553"/>
      <c r="F79" s="553"/>
      <c r="G79" s="553"/>
      <c r="H79" s="553"/>
      <c r="I79" s="553"/>
      <c r="J79" s="553"/>
      <c r="K79" s="553"/>
      <c r="L79" s="553"/>
      <c r="M79" s="553"/>
      <c r="N79" s="553"/>
      <c r="O79" s="553"/>
      <c r="P79" s="553"/>
      <c r="Q79" s="553"/>
      <c r="R79" s="553"/>
      <c r="S79" s="319"/>
    </row>
    <row r="80" spans="1:19" ht="15.75" customHeight="1">
      <c r="B80" s="553"/>
      <c r="C80" s="553"/>
      <c r="D80" s="553"/>
      <c r="E80" s="553"/>
      <c r="F80" s="553"/>
      <c r="G80" s="553"/>
      <c r="H80" s="553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319"/>
    </row>
    <row r="81" spans="2:19" ht="15.75" customHeight="1">
      <c r="B81" s="553"/>
      <c r="C81" s="553"/>
      <c r="D81" s="553"/>
      <c r="E81" s="553"/>
      <c r="F81" s="553"/>
      <c r="G81" s="553"/>
      <c r="H81" s="553"/>
      <c r="I81" s="553"/>
      <c r="J81" s="553"/>
      <c r="K81" s="553"/>
      <c r="L81" s="553"/>
      <c r="M81" s="553"/>
      <c r="N81" s="553"/>
      <c r="O81" s="553"/>
      <c r="P81" s="553"/>
      <c r="Q81" s="553"/>
      <c r="R81" s="553"/>
      <c r="S81" s="319"/>
    </row>
    <row r="82" spans="2:19" ht="15.75" customHeight="1">
      <c r="B82" s="553"/>
      <c r="C82" s="553"/>
      <c r="D82" s="553"/>
      <c r="E82" s="553"/>
      <c r="F82" s="553"/>
      <c r="G82" s="553"/>
      <c r="H82" s="553"/>
      <c r="I82" s="553"/>
      <c r="J82" s="553"/>
      <c r="K82" s="553"/>
      <c r="L82" s="553"/>
      <c r="M82" s="553"/>
      <c r="N82" s="553"/>
      <c r="O82" s="553"/>
      <c r="P82" s="553"/>
      <c r="Q82" s="553"/>
      <c r="R82" s="553"/>
      <c r="S82" s="319"/>
    </row>
    <row r="83" spans="2:19" ht="15.75" customHeight="1">
      <c r="B83" s="553"/>
      <c r="C83" s="553"/>
      <c r="D83" s="553"/>
      <c r="E83" s="553"/>
      <c r="F83" s="553"/>
      <c r="G83" s="553"/>
      <c r="H83" s="553"/>
      <c r="I83" s="553"/>
      <c r="J83" s="553"/>
      <c r="K83" s="553"/>
      <c r="L83" s="553"/>
      <c r="M83" s="553"/>
      <c r="N83" s="553"/>
      <c r="O83" s="553"/>
      <c r="P83" s="553"/>
      <c r="Q83" s="553"/>
      <c r="R83" s="553"/>
      <c r="S83" s="319"/>
    </row>
    <row r="84" spans="2:19" ht="15.75" customHeight="1">
      <c r="B84" s="553"/>
      <c r="C84" s="553"/>
      <c r="D84" s="553"/>
      <c r="E84" s="553"/>
      <c r="F84" s="553"/>
      <c r="G84" s="553"/>
      <c r="H84" s="553"/>
      <c r="I84" s="553"/>
      <c r="J84" s="553"/>
      <c r="K84" s="553"/>
      <c r="L84" s="553"/>
      <c r="M84" s="553"/>
      <c r="N84" s="553"/>
      <c r="O84" s="553"/>
      <c r="P84" s="553"/>
      <c r="Q84" s="553"/>
      <c r="R84" s="553"/>
      <c r="S84" s="319"/>
    </row>
    <row r="85" spans="2:19" ht="15.75" customHeight="1">
      <c r="B85" s="553"/>
      <c r="C85" s="553"/>
      <c r="D85" s="553"/>
      <c r="E85" s="553"/>
      <c r="F85" s="553"/>
      <c r="G85" s="553"/>
      <c r="H85" s="553"/>
      <c r="I85" s="553"/>
      <c r="J85" s="553"/>
      <c r="K85" s="553"/>
      <c r="L85" s="553"/>
      <c r="M85" s="553"/>
      <c r="N85" s="553"/>
      <c r="O85" s="553"/>
      <c r="P85" s="553"/>
      <c r="Q85" s="553"/>
      <c r="R85" s="553"/>
      <c r="S85" s="319"/>
    </row>
    <row r="86" spans="2:19" ht="15.75" customHeight="1">
      <c r="B86" s="553"/>
      <c r="C86" s="553"/>
      <c r="D86" s="553"/>
      <c r="E86" s="553"/>
      <c r="F86" s="553"/>
      <c r="G86" s="553"/>
      <c r="H86" s="553"/>
      <c r="I86" s="553"/>
      <c r="J86" s="553"/>
      <c r="K86" s="553"/>
      <c r="L86" s="553"/>
      <c r="M86" s="553"/>
      <c r="N86" s="553"/>
      <c r="O86" s="553"/>
      <c r="P86" s="553"/>
      <c r="Q86" s="553"/>
      <c r="R86" s="553"/>
      <c r="S86" s="319"/>
    </row>
    <row r="87" spans="2:19" ht="15.75" customHeight="1">
      <c r="B87" s="553"/>
      <c r="C87" s="553"/>
      <c r="D87" s="553"/>
      <c r="E87" s="553"/>
      <c r="F87" s="553"/>
      <c r="G87" s="553"/>
      <c r="H87" s="553"/>
      <c r="I87" s="553"/>
      <c r="J87" s="553"/>
      <c r="K87" s="553"/>
      <c r="L87" s="553"/>
      <c r="M87" s="553"/>
      <c r="N87" s="553"/>
      <c r="O87" s="553"/>
      <c r="P87" s="553"/>
      <c r="Q87" s="553"/>
      <c r="R87" s="553"/>
      <c r="S87" s="319"/>
    </row>
    <row r="88" spans="2:19" ht="15.75" customHeight="1">
      <c r="B88" s="553"/>
      <c r="C88" s="553"/>
      <c r="D88" s="553"/>
      <c r="E88" s="553"/>
      <c r="F88" s="553"/>
      <c r="G88" s="553"/>
      <c r="H88" s="553"/>
      <c r="I88" s="553"/>
      <c r="J88" s="553"/>
      <c r="K88" s="553"/>
      <c r="L88" s="553"/>
      <c r="M88" s="553"/>
      <c r="N88" s="553"/>
      <c r="O88" s="553"/>
      <c r="P88" s="553"/>
      <c r="Q88" s="553"/>
      <c r="R88" s="553"/>
      <c r="S88" s="319"/>
    </row>
    <row r="89" spans="2:19" ht="15.75" customHeight="1">
      <c r="B89" s="553"/>
      <c r="C89" s="553"/>
      <c r="D89" s="553"/>
      <c r="E89" s="553"/>
      <c r="F89" s="553"/>
      <c r="G89" s="553"/>
      <c r="H89" s="553"/>
      <c r="I89" s="553"/>
      <c r="J89" s="553"/>
      <c r="K89" s="553"/>
      <c r="L89" s="553"/>
      <c r="M89" s="553"/>
      <c r="N89" s="553"/>
      <c r="O89" s="553"/>
      <c r="P89" s="553"/>
      <c r="Q89" s="553"/>
      <c r="R89" s="553"/>
      <c r="S89" s="319"/>
    </row>
    <row r="90" spans="2:19" ht="15.75" customHeight="1">
      <c r="B90" s="553"/>
      <c r="C90" s="553"/>
      <c r="D90" s="553"/>
      <c r="E90" s="553"/>
      <c r="F90" s="553"/>
      <c r="G90" s="553"/>
      <c r="H90" s="553"/>
      <c r="I90" s="553"/>
      <c r="J90" s="553"/>
      <c r="K90" s="553"/>
      <c r="L90" s="553"/>
      <c r="M90" s="553"/>
      <c r="N90" s="553"/>
      <c r="O90" s="553"/>
      <c r="P90" s="553"/>
      <c r="Q90" s="553"/>
      <c r="R90" s="553"/>
      <c r="S90" s="319"/>
    </row>
    <row r="91" spans="2:19" ht="15.75" customHeight="1">
      <c r="B91" s="553"/>
      <c r="C91" s="553"/>
      <c r="D91" s="553"/>
      <c r="E91" s="553"/>
      <c r="F91" s="553"/>
      <c r="G91" s="553"/>
      <c r="H91" s="553"/>
      <c r="I91" s="553"/>
      <c r="J91" s="553"/>
      <c r="K91" s="553"/>
      <c r="L91" s="553"/>
      <c r="M91" s="553"/>
      <c r="N91" s="553"/>
      <c r="O91" s="553"/>
      <c r="P91" s="553"/>
      <c r="Q91" s="553"/>
      <c r="R91" s="553"/>
      <c r="S91" s="319"/>
    </row>
    <row r="92" spans="2:19" ht="15.75" customHeight="1">
      <c r="B92" s="553"/>
      <c r="C92" s="553"/>
      <c r="D92" s="553"/>
      <c r="E92" s="553"/>
      <c r="F92" s="553"/>
      <c r="G92" s="553"/>
      <c r="H92" s="553"/>
      <c r="I92" s="553"/>
      <c r="J92" s="553"/>
      <c r="K92" s="553"/>
      <c r="L92" s="553"/>
      <c r="M92" s="553"/>
      <c r="N92" s="553"/>
      <c r="O92" s="553"/>
      <c r="P92" s="553"/>
      <c r="Q92" s="553"/>
      <c r="R92" s="553"/>
      <c r="S92" s="319"/>
    </row>
    <row r="93" spans="2:19" ht="15.75" customHeight="1">
      <c r="B93" s="553"/>
      <c r="C93" s="553"/>
      <c r="D93" s="553"/>
      <c r="E93" s="553"/>
      <c r="F93" s="553"/>
      <c r="G93" s="553"/>
      <c r="H93" s="553"/>
      <c r="I93" s="553"/>
      <c r="J93" s="553"/>
      <c r="K93" s="553"/>
      <c r="L93" s="553"/>
      <c r="M93" s="553"/>
      <c r="N93" s="553"/>
      <c r="O93" s="553"/>
      <c r="P93" s="553"/>
      <c r="Q93" s="553"/>
      <c r="R93" s="553"/>
      <c r="S93" s="319"/>
    </row>
    <row r="94" spans="2:19" ht="15.75" customHeight="1">
      <c r="B94" s="553"/>
      <c r="C94" s="553"/>
      <c r="D94" s="553"/>
      <c r="E94" s="553"/>
      <c r="F94" s="553"/>
      <c r="G94" s="553"/>
      <c r="H94" s="553"/>
      <c r="I94" s="553"/>
      <c r="J94" s="553"/>
      <c r="K94" s="553"/>
      <c r="L94" s="553"/>
      <c r="M94" s="553"/>
      <c r="N94" s="553"/>
      <c r="O94" s="553"/>
      <c r="P94" s="553"/>
      <c r="Q94" s="553"/>
      <c r="R94" s="553"/>
      <c r="S94" s="319"/>
    </row>
    <row r="95" spans="2:19" ht="15.75" customHeight="1">
      <c r="B95" s="553"/>
      <c r="C95" s="553"/>
      <c r="D95" s="553"/>
      <c r="E95" s="553"/>
      <c r="F95" s="553"/>
      <c r="G95" s="553"/>
      <c r="H95" s="553"/>
      <c r="I95" s="553"/>
      <c r="J95" s="553"/>
      <c r="K95" s="553"/>
      <c r="L95" s="553"/>
      <c r="M95" s="553"/>
      <c r="N95" s="553"/>
      <c r="O95" s="553"/>
      <c r="P95" s="553"/>
      <c r="Q95" s="553"/>
      <c r="R95" s="553"/>
      <c r="S95" s="319"/>
    </row>
    <row r="96" spans="2:19" ht="15.75" customHeight="1">
      <c r="B96" s="553"/>
      <c r="C96" s="553"/>
      <c r="D96" s="553"/>
      <c r="E96" s="553"/>
      <c r="F96" s="553"/>
      <c r="G96" s="553"/>
      <c r="H96" s="553"/>
      <c r="I96" s="553"/>
      <c r="J96" s="553"/>
      <c r="K96" s="553"/>
      <c r="L96" s="553"/>
      <c r="M96" s="553"/>
      <c r="N96" s="553"/>
      <c r="O96" s="553"/>
      <c r="P96" s="553"/>
      <c r="Q96" s="553"/>
      <c r="R96" s="553"/>
      <c r="S96" s="319"/>
    </row>
    <row r="97" spans="2:19" ht="15.75" customHeight="1">
      <c r="B97" s="553"/>
      <c r="C97" s="553"/>
      <c r="D97" s="553"/>
      <c r="E97" s="553"/>
      <c r="F97" s="553"/>
      <c r="G97" s="553"/>
      <c r="H97" s="553"/>
      <c r="I97" s="553"/>
      <c r="J97" s="553"/>
      <c r="K97" s="553"/>
      <c r="L97" s="553"/>
      <c r="M97" s="553"/>
      <c r="N97" s="553"/>
      <c r="O97" s="553"/>
      <c r="P97" s="553"/>
      <c r="Q97" s="553"/>
      <c r="R97" s="553"/>
      <c r="S97" s="319"/>
    </row>
    <row r="98" spans="2:19" ht="15.75" customHeight="1">
      <c r="B98" s="553"/>
      <c r="C98" s="553"/>
      <c r="D98" s="553"/>
      <c r="E98" s="553"/>
      <c r="F98" s="553"/>
      <c r="G98" s="553"/>
      <c r="H98" s="553"/>
      <c r="I98" s="553"/>
      <c r="J98" s="553"/>
      <c r="K98" s="553"/>
      <c r="L98" s="553"/>
      <c r="M98" s="553"/>
      <c r="N98" s="553"/>
      <c r="O98" s="553"/>
      <c r="P98" s="553"/>
      <c r="Q98" s="553"/>
      <c r="R98" s="553"/>
      <c r="S98" s="319"/>
    </row>
    <row r="99" spans="2:19" ht="15.75" customHeight="1">
      <c r="B99" s="553"/>
      <c r="C99" s="553"/>
      <c r="D99" s="553"/>
      <c r="E99" s="553"/>
      <c r="F99" s="553"/>
      <c r="G99" s="553"/>
      <c r="H99" s="553"/>
      <c r="I99" s="553"/>
      <c r="J99" s="553"/>
      <c r="K99" s="553"/>
      <c r="L99" s="553"/>
      <c r="M99" s="553"/>
      <c r="N99" s="553"/>
      <c r="O99" s="553"/>
      <c r="P99" s="553"/>
      <c r="Q99" s="553"/>
      <c r="R99" s="553"/>
      <c r="S99" s="319"/>
    </row>
    <row r="100" spans="2:19" ht="15.75" customHeight="1">
      <c r="B100" s="553"/>
      <c r="C100" s="553"/>
      <c r="D100" s="553"/>
      <c r="E100" s="553"/>
      <c r="F100" s="553"/>
      <c r="G100" s="553"/>
      <c r="H100" s="553"/>
      <c r="I100" s="553"/>
      <c r="J100" s="553"/>
      <c r="K100" s="553"/>
      <c r="L100" s="553"/>
      <c r="M100" s="553"/>
      <c r="N100" s="553"/>
      <c r="O100" s="553"/>
      <c r="P100" s="553"/>
      <c r="Q100" s="553"/>
      <c r="R100" s="553"/>
      <c r="S100" s="319"/>
    </row>
    <row r="101" spans="2:19" ht="15.75" customHeight="1">
      <c r="B101" s="553"/>
      <c r="C101" s="553"/>
      <c r="D101" s="553"/>
      <c r="E101" s="553"/>
      <c r="F101" s="553"/>
      <c r="G101" s="553"/>
      <c r="H101" s="553"/>
      <c r="I101" s="553"/>
      <c r="J101" s="553"/>
      <c r="K101" s="553"/>
      <c r="L101" s="553"/>
      <c r="M101" s="553"/>
      <c r="N101" s="553"/>
      <c r="O101" s="553"/>
      <c r="P101" s="553"/>
      <c r="Q101" s="553"/>
      <c r="R101" s="553"/>
      <c r="S101" s="319"/>
    </row>
    <row r="102" spans="2:19" ht="15.75" customHeight="1">
      <c r="B102" s="553"/>
      <c r="C102" s="553"/>
      <c r="D102" s="553"/>
      <c r="E102" s="553"/>
      <c r="F102" s="553"/>
      <c r="G102" s="553"/>
      <c r="H102" s="553"/>
      <c r="I102" s="553"/>
      <c r="J102" s="553"/>
      <c r="K102" s="553"/>
      <c r="L102" s="553"/>
      <c r="M102" s="553"/>
      <c r="N102" s="553"/>
      <c r="O102" s="553"/>
      <c r="P102" s="553"/>
      <c r="Q102" s="553"/>
      <c r="R102" s="553"/>
      <c r="S102" s="319"/>
    </row>
    <row r="103" spans="2:19" ht="15.75" customHeight="1">
      <c r="B103" s="553"/>
      <c r="C103" s="553"/>
      <c r="D103" s="553"/>
      <c r="E103" s="553"/>
      <c r="F103" s="553"/>
      <c r="G103" s="553"/>
      <c r="H103" s="553"/>
      <c r="I103" s="553"/>
      <c r="J103" s="553"/>
      <c r="K103" s="553"/>
      <c r="L103" s="553"/>
      <c r="M103" s="553"/>
      <c r="N103" s="553"/>
      <c r="O103" s="553"/>
      <c r="P103" s="553"/>
      <c r="Q103" s="553"/>
      <c r="R103" s="553"/>
      <c r="S103" s="319"/>
    </row>
    <row r="104" spans="2:19" ht="15.75" customHeight="1">
      <c r="B104" s="553"/>
      <c r="C104" s="553"/>
      <c r="D104" s="553"/>
      <c r="E104" s="553"/>
      <c r="F104" s="553"/>
      <c r="G104" s="553"/>
      <c r="H104" s="553"/>
      <c r="I104" s="553"/>
      <c r="J104" s="553"/>
      <c r="K104" s="553"/>
      <c r="L104" s="553"/>
      <c r="M104" s="553"/>
      <c r="N104" s="553"/>
      <c r="O104" s="553"/>
      <c r="P104" s="553"/>
      <c r="Q104" s="553"/>
      <c r="R104" s="553"/>
      <c r="S104" s="319"/>
    </row>
    <row r="105" spans="2:19" ht="15.75" customHeight="1">
      <c r="B105" s="553"/>
      <c r="C105" s="553"/>
      <c r="D105" s="553"/>
      <c r="E105" s="553"/>
      <c r="F105" s="553"/>
      <c r="G105" s="553"/>
      <c r="H105" s="553"/>
      <c r="I105" s="553"/>
      <c r="J105" s="553"/>
      <c r="K105" s="553"/>
      <c r="L105" s="553"/>
      <c r="M105" s="553"/>
      <c r="N105" s="553"/>
      <c r="O105" s="553"/>
      <c r="P105" s="553"/>
      <c r="Q105" s="553"/>
      <c r="R105" s="553"/>
      <c r="S105" s="319"/>
    </row>
    <row r="106" spans="2:19" ht="15.75" customHeight="1">
      <c r="B106" s="553"/>
      <c r="C106" s="553"/>
      <c r="D106" s="553"/>
      <c r="E106" s="553"/>
      <c r="F106" s="553"/>
      <c r="G106" s="553"/>
      <c r="H106" s="553"/>
      <c r="I106" s="553"/>
      <c r="J106" s="553"/>
      <c r="K106" s="553"/>
      <c r="L106" s="553"/>
      <c r="M106" s="553"/>
      <c r="N106" s="553"/>
      <c r="O106" s="553"/>
      <c r="P106" s="553"/>
      <c r="Q106" s="553"/>
      <c r="R106" s="553"/>
      <c r="S106" s="319"/>
    </row>
    <row r="107" spans="2:19" ht="15.75" customHeight="1">
      <c r="B107" s="553"/>
      <c r="C107" s="553"/>
      <c r="D107" s="553"/>
      <c r="E107" s="553"/>
      <c r="F107" s="553"/>
      <c r="G107" s="553"/>
      <c r="H107" s="553"/>
      <c r="I107" s="553"/>
      <c r="J107" s="553"/>
      <c r="K107" s="553"/>
      <c r="L107" s="553"/>
      <c r="M107" s="553"/>
      <c r="N107" s="553"/>
      <c r="O107" s="553"/>
      <c r="P107" s="553"/>
      <c r="Q107" s="553"/>
      <c r="R107" s="553"/>
      <c r="S107" s="319"/>
    </row>
    <row r="108" spans="2:19" ht="15.75" customHeight="1">
      <c r="B108" s="553"/>
      <c r="C108" s="553"/>
      <c r="D108" s="553"/>
      <c r="E108" s="553"/>
      <c r="F108" s="553"/>
      <c r="G108" s="553"/>
      <c r="H108" s="553"/>
      <c r="I108" s="553"/>
      <c r="J108" s="553"/>
      <c r="K108" s="553"/>
      <c r="L108" s="553"/>
      <c r="M108" s="553"/>
      <c r="N108" s="553"/>
      <c r="O108" s="553"/>
      <c r="P108" s="553"/>
      <c r="Q108" s="553"/>
      <c r="R108" s="553"/>
      <c r="S108" s="319"/>
    </row>
    <row r="109" spans="2:19" ht="15.75" customHeight="1">
      <c r="B109" s="553"/>
      <c r="C109" s="553"/>
      <c r="D109" s="553"/>
      <c r="E109" s="553"/>
      <c r="F109" s="553"/>
      <c r="G109" s="553"/>
      <c r="H109" s="553"/>
      <c r="I109" s="553"/>
      <c r="J109" s="553"/>
      <c r="K109" s="553"/>
      <c r="L109" s="553"/>
      <c r="M109" s="553"/>
      <c r="N109" s="553"/>
      <c r="O109" s="553"/>
      <c r="P109" s="553"/>
      <c r="Q109" s="553"/>
      <c r="R109" s="553"/>
      <c r="S109" s="319"/>
    </row>
    <row r="110" spans="2:19" ht="15.75" customHeight="1">
      <c r="B110" s="553"/>
      <c r="C110" s="553"/>
      <c r="D110" s="553"/>
      <c r="E110" s="553"/>
      <c r="F110" s="553"/>
      <c r="G110" s="553"/>
      <c r="H110" s="553"/>
      <c r="I110" s="553"/>
      <c r="J110" s="553"/>
      <c r="K110" s="553"/>
      <c r="L110" s="553"/>
      <c r="M110" s="553"/>
      <c r="N110" s="553"/>
      <c r="O110" s="553"/>
      <c r="P110" s="553"/>
      <c r="Q110" s="553"/>
      <c r="R110" s="553"/>
      <c r="S110" s="319"/>
    </row>
    <row r="111" spans="2:19" ht="15.75" customHeight="1">
      <c r="B111" s="553"/>
      <c r="C111" s="553"/>
      <c r="D111" s="553"/>
      <c r="E111" s="553"/>
      <c r="F111" s="553"/>
      <c r="G111" s="553"/>
      <c r="H111" s="553"/>
      <c r="I111" s="553"/>
      <c r="J111" s="553"/>
      <c r="K111" s="553"/>
      <c r="L111" s="553"/>
      <c r="M111" s="553"/>
      <c r="N111" s="553"/>
      <c r="O111" s="553"/>
      <c r="P111" s="553"/>
      <c r="Q111" s="553"/>
      <c r="R111" s="553"/>
      <c r="S111" s="319"/>
    </row>
    <row r="112" spans="2:19" ht="15.75" customHeight="1">
      <c r="B112" s="553"/>
      <c r="C112" s="553"/>
      <c r="D112" s="553"/>
      <c r="E112" s="553"/>
      <c r="F112" s="553"/>
      <c r="G112" s="553"/>
      <c r="H112" s="553"/>
      <c r="I112" s="553"/>
      <c r="J112" s="553"/>
      <c r="K112" s="553"/>
      <c r="L112" s="553"/>
      <c r="M112" s="553"/>
      <c r="N112" s="553"/>
      <c r="O112" s="553"/>
      <c r="P112" s="553"/>
      <c r="Q112" s="553"/>
      <c r="R112" s="553"/>
      <c r="S112" s="319"/>
    </row>
    <row r="113" spans="2:19" ht="15.75" customHeight="1">
      <c r="B113" s="553"/>
      <c r="C113" s="553"/>
      <c r="D113" s="553"/>
      <c r="E113" s="553"/>
      <c r="F113" s="553"/>
      <c r="G113" s="553"/>
      <c r="H113" s="553"/>
      <c r="I113" s="553"/>
      <c r="J113" s="553"/>
      <c r="K113" s="553"/>
      <c r="L113" s="553"/>
      <c r="M113" s="553"/>
      <c r="N113" s="553"/>
      <c r="O113" s="553"/>
      <c r="P113" s="553"/>
      <c r="Q113" s="553"/>
      <c r="R113" s="553"/>
      <c r="S113" s="319"/>
    </row>
    <row r="114" spans="2:19" ht="15.75" customHeight="1">
      <c r="B114" s="553"/>
      <c r="C114" s="553"/>
      <c r="D114" s="553"/>
      <c r="E114" s="553"/>
      <c r="F114" s="553"/>
      <c r="G114" s="553"/>
      <c r="H114" s="553"/>
      <c r="I114" s="553"/>
      <c r="J114" s="553"/>
      <c r="K114" s="553"/>
      <c r="L114" s="553"/>
      <c r="M114" s="553"/>
      <c r="N114" s="553"/>
      <c r="O114" s="553"/>
      <c r="P114" s="553"/>
      <c r="Q114" s="553"/>
      <c r="R114" s="553"/>
      <c r="S114" s="319"/>
    </row>
    <row r="115" spans="2:19" ht="15.75" customHeight="1">
      <c r="B115" s="553"/>
      <c r="C115" s="553"/>
      <c r="D115" s="553"/>
      <c r="E115" s="553"/>
      <c r="F115" s="553"/>
      <c r="G115" s="553"/>
      <c r="H115" s="553"/>
      <c r="I115" s="553"/>
      <c r="J115" s="553"/>
      <c r="K115" s="553"/>
      <c r="L115" s="553"/>
      <c r="M115" s="553"/>
      <c r="N115" s="553"/>
      <c r="O115" s="553"/>
      <c r="P115" s="553"/>
      <c r="Q115" s="553"/>
      <c r="R115" s="553"/>
      <c r="S115" s="319"/>
    </row>
    <row r="116" spans="2:19" ht="15.75" customHeight="1">
      <c r="B116" s="553"/>
      <c r="C116" s="553"/>
      <c r="D116" s="553"/>
      <c r="E116" s="553"/>
      <c r="F116" s="553"/>
      <c r="G116" s="553"/>
      <c r="H116" s="553"/>
      <c r="I116" s="553"/>
      <c r="J116" s="553"/>
      <c r="K116" s="553"/>
      <c r="L116" s="553"/>
      <c r="M116" s="553"/>
      <c r="N116" s="553"/>
      <c r="O116" s="553"/>
      <c r="P116" s="553"/>
      <c r="Q116" s="553"/>
      <c r="R116" s="553"/>
      <c r="S116" s="319"/>
    </row>
    <row r="117" spans="2:19" ht="15.75" customHeight="1">
      <c r="B117" s="553"/>
      <c r="C117" s="553"/>
      <c r="D117" s="553"/>
      <c r="E117" s="553"/>
      <c r="F117" s="553"/>
      <c r="G117" s="553"/>
      <c r="H117" s="553"/>
      <c r="I117" s="553"/>
      <c r="J117" s="553"/>
      <c r="K117" s="553"/>
      <c r="L117" s="553"/>
      <c r="M117" s="553"/>
      <c r="N117" s="553"/>
      <c r="O117" s="553"/>
      <c r="P117" s="553"/>
      <c r="Q117" s="553"/>
      <c r="R117" s="553"/>
      <c r="S117" s="319"/>
    </row>
    <row r="118" spans="2:19" ht="15.75" customHeight="1">
      <c r="B118" s="553"/>
      <c r="C118" s="553"/>
      <c r="D118" s="553"/>
      <c r="E118" s="553"/>
      <c r="F118" s="553"/>
      <c r="G118" s="553"/>
      <c r="H118" s="553"/>
      <c r="I118" s="553"/>
      <c r="J118" s="553"/>
      <c r="K118" s="553"/>
      <c r="L118" s="553"/>
      <c r="M118" s="553"/>
      <c r="N118" s="553"/>
      <c r="O118" s="553"/>
      <c r="P118" s="553"/>
      <c r="Q118" s="553"/>
      <c r="R118" s="553"/>
      <c r="S118" s="319"/>
    </row>
    <row r="119" spans="2:19" ht="15.75" customHeight="1">
      <c r="B119" s="553"/>
      <c r="C119" s="553"/>
      <c r="D119" s="553"/>
      <c r="E119" s="553"/>
      <c r="F119" s="553"/>
      <c r="G119" s="553"/>
      <c r="H119" s="553"/>
      <c r="I119" s="553"/>
      <c r="J119" s="553"/>
      <c r="K119" s="553"/>
      <c r="L119" s="553"/>
      <c r="M119" s="553"/>
      <c r="N119" s="553"/>
      <c r="O119" s="553"/>
      <c r="P119" s="553"/>
      <c r="Q119" s="553"/>
      <c r="R119" s="553"/>
      <c r="S119" s="319"/>
    </row>
    <row r="120" spans="2:19" ht="15.75" customHeight="1">
      <c r="B120" s="553"/>
      <c r="C120" s="553"/>
      <c r="D120" s="553"/>
      <c r="E120" s="553"/>
      <c r="F120" s="553"/>
      <c r="G120" s="553"/>
      <c r="H120" s="553"/>
      <c r="I120" s="553"/>
      <c r="J120" s="553"/>
      <c r="K120" s="553"/>
      <c r="L120" s="553"/>
      <c r="M120" s="553"/>
      <c r="N120" s="553"/>
      <c r="O120" s="553"/>
      <c r="P120" s="553"/>
      <c r="Q120" s="553"/>
      <c r="R120" s="553"/>
      <c r="S120" s="319"/>
    </row>
    <row r="121" spans="2:19" ht="15.75" customHeight="1">
      <c r="B121" s="553"/>
      <c r="C121" s="553"/>
      <c r="D121" s="553"/>
      <c r="E121" s="553"/>
      <c r="F121" s="553"/>
      <c r="G121" s="553"/>
      <c r="H121" s="553"/>
      <c r="I121" s="553"/>
      <c r="J121" s="553"/>
      <c r="K121" s="553"/>
      <c r="L121" s="553"/>
      <c r="M121" s="553"/>
      <c r="N121" s="553"/>
      <c r="O121" s="553"/>
      <c r="P121" s="553"/>
      <c r="Q121" s="553"/>
      <c r="R121" s="553"/>
      <c r="S121" s="319"/>
    </row>
    <row r="122" spans="2:19" ht="15.75" customHeight="1">
      <c r="B122" s="553"/>
      <c r="C122" s="553"/>
      <c r="D122" s="553"/>
      <c r="E122" s="553"/>
      <c r="F122" s="553"/>
      <c r="G122" s="553"/>
      <c r="H122" s="553"/>
      <c r="I122" s="553"/>
      <c r="J122" s="553"/>
      <c r="K122" s="553"/>
      <c r="L122" s="553"/>
      <c r="M122" s="553"/>
      <c r="N122" s="553"/>
      <c r="O122" s="553"/>
      <c r="P122" s="553"/>
      <c r="Q122" s="553"/>
      <c r="R122" s="553"/>
      <c r="S122" s="319"/>
    </row>
    <row r="123" spans="2:19" ht="15.75" customHeight="1">
      <c r="B123" s="553"/>
      <c r="C123" s="553"/>
      <c r="D123" s="553"/>
      <c r="E123" s="553"/>
      <c r="F123" s="553"/>
      <c r="G123" s="553"/>
      <c r="H123" s="553"/>
      <c r="I123" s="553"/>
      <c r="J123" s="553"/>
      <c r="K123" s="553"/>
      <c r="L123" s="553"/>
      <c r="M123" s="553"/>
      <c r="N123" s="553"/>
      <c r="O123" s="553"/>
      <c r="P123" s="553"/>
      <c r="Q123" s="553"/>
      <c r="R123" s="553"/>
      <c r="S123" s="319"/>
    </row>
    <row r="124" spans="2:19" ht="15.75" customHeight="1">
      <c r="B124" s="553"/>
      <c r="C124" s="553"/>
      <c r="D124" s="553"/>
      <c r="E124" s="553"/>
      <c r="F124" s="553"/>
      <c r="G124" s="553"/>
      <c r="H124" s="553"/>
      <c r="I124" s="553"/>
      <c r="J124" s="553"/>
      <c r="K124" s="553"/>
      <c r="L124" s="553"/>
      <c r="M124" s="553"/>
      <c r="N124" s="553"/>
      <c r="O124" s="553"/>
      <c r="P124" s="553"/>
      <c r="Q124" s="553"/>
      <c r="R124" s="553"/>
      <c r="S124" s="319"/>
    </row>
    <row r="125" spans="2:19" ht="15.75" customHeight="1">
      <c r="B125" s="553"/>
      <c r="C125" s="553"/>
      <c r="D125" s="553"/>
      <c r="E125" s="553"/>
      <c r="F125" s="553"/>
      <c r="G125" s="553"/>
      <c r="H125" s="553"/>
      <c r="I125" s="553"/>
      <c r="J125" s="553"/>
      <c r="K125" s="553"/>
      <c r="L125" s="553"/>
      <c r="M125" s="553"/>
      <c r="N125" s="553"/>
      <c r="O125" s="553"/>
      <c r="P125" s="553"/>
      <c r="Q125" s="553"/>
      <c r="R125" s="553"/>
      <c r="S125" s="319"/>
    </row>
    <row r="126" spans="2:19" ht="15.75" customHeight="1">
      <c r="B126" s="553"/>
      <c r="C126" s="553"/>
      <c r="D126" s="553"/>
      <c r="E126" s="553"/>
      <c r="F126" s="553"/>
      <c r="G126" s="553"/>
      <c r="H126" s="553"/>
      <c r="I126" s="553"/>
      <c r="J126" s="553"/>
      <c r="K126" s="553"/>
      <c r="L126" s="553"/>
      <c r="M126" s="553"/>
      <c r="N126" s="553"/>
      <c r="O126" s="553"/>
      <c r="P126" s="553"/>
      <c r="Q126" s="553"/>
      <c r="R126" s="553"/>
      <c r="S126" s="319"/>
    </row>
    <row r="127" spans="2:19" ht="15.75" customHeight="1">
      <c r="B127" s="553"/>
      <c r="C127" s="553"/>
      <c r="D127" s="553"/>
      <c r="E127" s="553"/>
      <c r="F127" s="553"/>
      <c r="G127" s="553"/>
      <c r="H127" s="553"/>
      <c r="I127" s="553"/>
      <c r="J127" s="553"/>
      <c r="K127" s="553"/>
      <c r="L127" s="553"/>
      <c r="M127" s="553"/>
      <c r="N127" s="553"/>
      <c r="O127" s="553"/>
      <c r="P127" s="553"/>
      <c r="Q127" s="553"/>
      <c r="R127" s="553"/>
      <c r="S127" s="319"/>
    </row>
    <row r="128" spans="2:19" ht="15.75" customHeight="1">
      <c r="B128" s="553"/>
      <c r="C128" s="553"/>
      <c r="D128" s="553"/>
      <c r="E128" s="553"/>
      <c r="F128" s="553"/>
      <c r="G128" s="553"/>
      <c r="H128" s="553"/>
      <c r="I128" s="553"/>
      <c r="J128" s="553"/>
      <c r="K128" s="553"/>
      <c r="L128" s="553"/>
      <c r="M128" s="553"/>
      <c r="N128" s="553"/>
      <c r="O128" s="553"/>
      <c r="P128" s="553"/>
      <c r="Q128" s="553"/>
      <c r="R128" s="553"/>
      <c r="S128" s="319"/>
    </row>
    <row r="129" spans="2:19" ht="15.75" customHeight="1">
      <c r="B129" s="553"/>
      <c r="C129" s="553"/>
      <c r="D129" s="553"/>
      <c r="E129" s="553"/>
      <c r="F129" s="553"/>
      <c r="G129" s="553"/>
      <c r="H129" s="553"/>
      <c r="I129" s="553"/>
      <c r="J129" s="553"/>
      <c r="K129" s="553"/>
      <c r="L129" s="553"/>
      <c r="M129" s="553"/>
      <c r="N129" s="553"/>
      <c r="O129" s="553"/>
      <c r="P129" s="553"/>
      <c r="Q129" s="553"/>
      <c r="R129" s="553"/>
      <c r="S129" s="319"/>
    </row>
    <row r="130" spans="2:19" ht="15.75" customHeight="1">
      <c r="B130" s="553"/>
      <c r="C130" s="553"/>
      <c r="D130" s="553"/>
      <c r="E130" s="553"/>
      <c r="F130" s="553"/>
      <c r="G130" s="553"/>
      <c r="H130" s="553"/>
      <c r="I130" s="553"/>
      <c r="J130" s="553"/>
      <c r="K130" s="553"/>
      <c r="L130" s="553"/>
      <c r="M130" s="553"/>
      <c r="N130" s="553"/>
      <c r="O130" s="553"/>
      <c r="P130" s="553"/>
      <c r="Q130" s="553"/>
      <c r="R130" s="553"/>
      <c r="S130" s="319"/>
    </row>
    <row r="131" spans="2:19" ht="15.75" customHeight="1">
      <c r="B131" s="553"/>
      <c r="C131" s="553"/>
      <c r="D131" s="553"/>
      <c r="E131" s="553"/>
      <c r="F131" s="553"/>
      <c r="G131" s="553"/>
      <c r="H131" s="553"/>
      <c r="I131" s="553"/>
      <c r="J131" s="553"/>
      <c r="K131" s="553"/>
      <c r="L131" s="553"/>
      <c r="M131" s="553"/>
      <c r="N131" s="553"/>
      <c r="O131" s="553"/>
      <c r="P131" s="553"/>
      <c r="Q131" s="553"/>
      <c r="R131" s="553"/>
      <c r="S131" s="319"/>
    </row>
    <row r="132" spans="2:19" ht="15.75" customHeight="1">
      <c r="B132" s="553"/>
      <c r="C132" s="553"/>
      <c r="D132" s="553"/>
      <c r="E132" s="553"/>
      <c r="F132" s="553"/>
      <c r="G132" s="553"/>
      <c r="H132" s="553"/>
      <c r="I132" s="553"/>
      <c r="J132" s="553"/>
      <c r="K132" s="553"/>
      <c r="L132" s="553"/>
      <c r="M132" s="553"/>
      <c r="N132" s="553"/>
      <c r="O132" s="553"/>
      <c r="P132" s="553"/>
      <c r="Q132" s="553"/>
      <c r="R132" s="553"/>
      <c r="S132" s="319"/>
    </row>
    <row r="133" spans="2:19" ht="15.75" customHeight="1">
      <c r="B133" s="553"/>
      <c r="C133" s="553"/>
      <c r="D133" s="553"/>
      <c r="E133" s="553"/>
      <c r="F133" s="553"/>
      <c r="G133" s="553"/>
      <c r="H133" s="553"/>
      <c r="I133" s="553"/>
      <c r="J133" s="553"/>
      <c r="K133" s="553"/>
      <c r="L133" s="553"/>
      <c r="M133" s="553"/>
      <c r="N133" s="553"/>
      <c r="O133" s="553"/>
      <c r="P133" s="553"/>
      <c r="Q133" s="553"/>
      <c r="R133" s="553"/>
      <c r="S133" s="319"/>
    </row>
    <row r="134" spans="2:19" ht="15.75" customHeight="1">
      <c r="B134" s="553"/>
      <c r="C134" s="553"/>
      <c r="D134" s="553"/>
      <c r="E134" s="553"/>
      <c r="F134" s="553"/>
      <c r="G134" s="553"/>
      <c r="H134" s="553"/>
      <c r="I134" s="553"/>
      <c r="J134" s="553"/>
      <c r="K134" s="553"/>
      <c r="L134" s="553"/>
      <c r="M134" s="553"/>
      <c r="N134" s="553"/>
      <c r="O134" s="553"/>
      <c r="P134" s="553"/>
      <c r="Q134" s="553"/>
      <c r="R134" s="553"/>
      <c r="S134" s="319"/>
    </row>
    <row r="135" spans="2:19" ht="15.75" customHeight="1">
      <c r="B135" s="553"/>
      <c r="C135" s="553"/>
      <c r="D135" s="553"/>
      <c r="E135" s="553"/>
      <c r="F135" s="553"/>
      <c r="G135" s="553"/>
      <c r="H135" s="553"/>
      <c r="I135" s="553"/>
      <c r="J135" s="553"/>
      <c r="K135" s="553"/>
      <c r="L135" s="553"/>
      <c r="M135" s="553"/>
      <c r="N135" s="553"/>
      <c r="O135" s="553"/>
      <c r="P135" s="553"/>
      <c r="Q135" s="553"/>
      <c r="R135" s="553"/>
      <c r="S135" s="319"/>
    </row>
    <row r="136" spans="2:19" ht="15.75" customHeight="1">
      <c r="B136" s="553"/>
      <c r="C136" s="553"/>
      <c r="D136" s="553"/>
      <c r="E136" s="553"/>
      <c r="F136" s="553"/>
      <c r="G136" s="553"/>
      <c r="H136" s="553"/>
      <c r="I136" s="553"/>
      <c r="J136" s="553"/>
      <c r="K136" s="553"/>
      <c r="L136" s="553"/>
      <c r="M136" s="553"/>
      <c r="N136" s="553"/>
      <c r="O136" s="553"/>
      <c r="P136" s="553"/>
      <c r="Q136" s="553"/>
      <c r="R136" s="553"/>
      <c r="S136" s="319"/>
    </row>
    <row r="137" spans="2:19" ht="15.75" customHeight="1">
      <c r="B137" s="553"/>
      <c r="C137" s="553"/>
      <c r="D137" s="553"/>
      <c r="E137" s="553"/>
      <c r="F137" s="553"/>
      <c r="G137" s="553"/>
      <c r="H137" s="553"/>
      <c r="I137" s="553"/>
      <c r="J137" s="553"/>
      <c r="K137" s="553"/>
      <c r="L137" s="553"/>
      <c r="M137" s="553"/>
      <c r="N137" s="553"/>
      <c r="O137" s="553"/>
      <c r="P137" s="553"/>
      <c r="Q137" s="553"/>
      <c r="R137" s="553"/>
      <c r="S137" s="319"/>
    </row>
    <row r="138" spans="2:19" ht="15.75" customHeight="1">
      <c r="B138" s="553"/>
      <c r="C138" s="553"/>
      <c r="D138" s="553"/>
      <c r="E138" s="553"/>
      <c r="F138" s="553"/>
      <c r="G138" s="553"/>
      <c r="H138" s="553"/>
      <c r="I138" s="553"/>
      <c r="J138" s="553"/>
      <c r="K138" s="553"/>
      <c r="L138" s="553"/>
      <c r="M138" s="553"/>
      <c r="N138" s="553"/>
      <c r="O138" s="553"/>
      <c r="P138" s="553"/>
      <c r="Q138" s="553"/>
      <c r="R138" s="553"/>
      <c r="S138" s="319"/>
    </row>
    <row r="139" spans="2:19" ht="15.75" customHeight="1">
      <c r="B139" s="553"/>
      <c r="C139" s="553"/>
      <c r="D139" s="553"/>
      <c r="E139" s="553"/>
      <c r="F139" s="553"/>
      <c r="G139" s="553"/>
      <c r="H139" s="553"/>
      <c r="I139" s="553"/>
      <c r="J139" s="553"/>
      <c r="K139" s="553"/>
      <c r="L139" s="553"/>
      <c r="M139" s="553"/>
      <c r="N139" s="553"/>
      <c r="O139" s="553"/>
      <c r="P139" s="553"/>
      <c r="Q139" s="553"/>
      <c r="R139" s="553"/>
      <c r="S139" s="319"/>
    </row>
    <row r="140" spans="2:19" ht="15.75" customHeight="1">
      <c r="B140" s="553"/>
      <c r="C140" s="553"/>
      <c r="D140" s="553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53"/>
      <c r="R140" s="553"/>
      <c r="S140" s="319"/>
    </row>
    <row r="141" spans="2:19" ht="15.75" customHeight="1">
      <c r="B141" s="553"/>
      <c r="C141" s="553"/>
      <c r="D141" s="553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53"/>
      <c r="R141" s="553"/>
      <c r="S141" s="319"/>
    </row>
    <row r="142" spans="2:19" ht="15.75" customHeight="1">
      <c r="B142" s="553"/>
      <c r="C142" s="553"/>
      <c r="D142" s="553"/>
      <c r="E142" s="553"/>
      <c r="F142" s="553"/>
      <c r="G142" s="553"/>
      <c r="H142" s="553"/>
      <c r="I142" s="553"/>
      <c r="J142" s="553"/>
      <c r="K142" s="553"/>
      <c r="L142" s="553"/>
      <c r="M142" s="553"/>
      <c r="N142" s="553"/>
      <c r="O142" s="553"/>
      <c r="P142" s="553"/>
      <c r="Q142" s="553"/>
      <c r="R142" s="553"/>
      <c r="S142" s="319"/>
    </row>
    <row r="143" spans="2:19" ht="15.75" customHeight="1">
      <c r="B143" s="553"/>
      <c r="C143" s="553"/>
      <c r="D143" s="553"/>
      <c r="E143" s="553"/>
      <c r="F143" s="553"/>
      <c r="G143" s="553"/>
      <c r="H143" s="553"/>
      <c r="I143" s="553"/>
      <c r="J143" s="553"/>
      <c r="K143" s="553"/>
      <c r="L143" s="553"/>
      <c r="M143" s="553"/>
      <c r="N143" s="553"/>
      <c r="O143" s="553"/>
      <c r="P143" s="553"/>
      <c r="Q143" s="553"/>
      <c r="R143" s="553"/>
      <c r="S143" s="319"/>
    </row>
    <row r="144" spans="2:19" ht="15.75" customHeight="1">
      <c r="B144" s="553"/>
      <c r="C144" s="553"/>
      <c r="D144" s="553"/>
      <c r="E144" s="553"/>
      <c r="F144" s="553"/>
      <c r="G144" s="553"/>
      <c r="H144" s="553"/>
      <c r="I144" s="553"/>
      <c r="J144" s="553"/>
      <c r="K144" s="553"/>
      <c r="L144" s="553"/>
      <c r="M144" s="553"/>
      <c r="N144" s="553"/>
      <c r="O144" s="553"/>
      <c r="P144" s="553"/>
      <c r="Q144" s="553"/>
      <c r="R144" s="553"/>
      <c r="S144" s="319"/>
    </row>
    <row r="145" spans="2:19" ht="15.75" customHeight="1">
      <c r="B145" s="553"/>
      <c r="C145" s="553"/>
      <c r="D145" s="553"/>
      <c r="E145" s="553"/>
      <c r="F145" s="553"/>
      <c r="G145" s="553"/>
      <c r="H145" s="553"/>
      <c r="I145" s="553"/>
      <c r="J145" s="553"/>
      <c r="K145" s="553"/>
      <c r="L145" s="553"/>
      <c r="M145" s="553"/>
      <c r="N145" s="553"/>
      <c r="O145" s="553"/>
      <c r="P145" s="553"/>
      <c r="Q145" s="553"/>
      <c r="R145" s="553"/>
      <c r="S145" s="319"/>
    </row>
    <row r="146" spans="2:19" ht="15.75" customHeight="1">
      <c r="B146" s="553"/>
      <c r="C146" s="553"/>
      <c r="D146" s="553"/>
      <c r="E146" s="553"/>
      <c r="F146" s="553"/>
      <c r="G146" s="553"/>
      <c r="H146" s="553"/>
      <c r="I146" s="553"/>
      <c r="J146" s="553"/>
      <c r="K146" s="553"/>
      <c r="L146" s="553"/>
      <c r="M146" s="553"/>
      <c r="N146" s="553"/>
      <c r="O146" s="553"/>
      <c r="P146" s="553"/>
      <c r="Q146" s="553"/>
      <c r="R146" s="553"/>
      <c r="S146" s="319"/>
    </row>
    <row r="147" spans="2:19" ht="15.75" customHeight="1">
      <c r="B147" s="553"/>
      <c r="C147" s="553"/>
      <c r="D147" s="553"/>
      <c r="E147" s="553"/>
      <c r="F147" s="553"/>
      <c r="G147" s="553"/>
      <c r="H147" s="553"/>
      <c r="I147" s="553"/>
      <c r="J147" s="553"/>
      <c r="K147" s="553"/>
      <c r="L147" s="553"/>
      <c r="M147" s="553"/>
      <c r="N147" s="553"/>
      <c r="O147" s="553"/>
      <c r="P147" s="553"/>
      <c r="Q147" s="553"/>
      <c r="R147" s="553"/>
      <c r="S147" s="319"/>
    </row>
    <row r="148" spans="2:19" ht="15.75" customHeight="1">
      <c r="B148" s="553"/>
      <c r="C148" s="553"/>
      <c r="D148" s="553"/>
      <c r="E148" s="553"/>
      <c r="F148" s="553"/>
      <c r="G148" s="553"/>
      <c r="H148" s="553"/>
      <c r="I148" s="553"/>
      <c r="J148" s="553"/>
      <c r="K148" s="553"/>
      <c r="L148" s="553"/>
      <c r="M148" s="553"/>
      <c r="N148" s="553"/>
      <c r="O148" s="553"/>
      <c r="P148" s="553"/>
      <c r="Q148" s="553"/>
      <c r="R148" s="553"/>
      <c r="S148" s="319"/>
    </row>
    <row r="149" spans="2:19" ht="15.75" customHeight="1">
      <c r="B149" s="553"/>
      <c r="C149" s="553"/>
      <c r="D149" s="553"/>
      <c r="E149" s="553"/>
      <c r="F149" s="553"/>
      <c r="G149" s="553"/>
      <c r="H149" s="553"/>
      <c r="I149" s="553"/>
      <c r="J149" s="553"/>
      <c r="K149" s="553"/>
      <c r="L149" s="553"/>
      <c r="M149" s="553"/>
      <c r="N149" s="553"/>
      <c r="O149" s="553"/>
      <c r="P149" s="553"/>
      <c r="Q149" s="553"/>
      <c r="R149" s="553"/>
      <c r="S149" s="319"/>
    </row>
    <row r="150" spans="2:19" ht="15.75" customHeight="1">
      <c r="B150" s="553"/>
      <c r="C150" s="553"/>
      <c r="D150" s="553"/>
      <c r="E150" s="553"/>
      <c r="F150" s="553"/>
      <c r="G150" s="553"/>
      <c r="H150" s="553"/>
      <c r="I150" s="553"/>
      <c r="J150" s="553"/>
      <c r="K150" s="553"/>
      <c r="L150" s="553"/>
      <c r="M150" s="553"/>
      <c r="N150" s="553"/>
      <c r="O150" s="553"/>
      <c r="P150" s="553"/>
      <c r="Q150" s="553"/>
      <c r="R150" s="553"/>
      <c r="S150" s="319"/>
    </row>
    <row r="151" spans="2:19" ht="15.75" customHeight="1">
      <c r="B151" s="553"/>
      <c r="C151" s="553"/>
      <c r="D151" s="553"/>
      <c r="E151" s="553"/>
      <c r="F151" s="553"/>
      <c r="G151" s="553"/>
      <c r="H151" s="553"/>
      <c r="I151" s="553"/>
      <c r="J151" s="553"/>
      <c r="K151" s="553"/>
      <c r="L151" s="553"/>
      <c r="M151" s="553"/>
      <c r="N151" s="553"/>
      <c r="O151" s="553"/>
      <c r="P151" s="553"/>
      <c r="Q151" s="553"/>
      <c r="R151" s="553"/>
      <c r="S151" s="319"/>
    </row>
    <row r="152" spans="2:19" ht="15.75" customHeight="1">
      <c r="B152" s="553"/>
      <c r="C152" s="553"/>
      <c r="D152" s="553"/>
      <c r="E152" s="553"/>
      <c r="F152" s="553"/>
      <c r="G152" s="553"/>
      <c r="H152" s="553"/>
      <c r="I152" s="553"/>
      <c r="J152" s="553"/>
      <c r="K152" s="553"/>
      <c r="L152" s="553"/>
      <c r="M152" s="553"/>
      <c r="N152" s="553"/>
      <c r="O152" s="553"/>
      <c r="P152" s="553"/>
      <c r="Q152" s="553"/>
      <c r="R152" s="553"/>
      <c r="S152" s="319"/>
    </row>
    <row r="153" spans="2:19" ht="15.75" customHeight="1">
      <c r="B153" s="553"/>
      <c r="C153" s="553"/>
      <c r="D153" s="553"/>
      <c r="E153" s="553"/>
      <c r="F153" s="553"/>
      <c r="G153" s="553"/>
      <c r="H153" s="553"/>
      <c r="I153" s="553"/>
      <c r="J153" s="553"/>
      <c r="K153" s="553"/>
      <c r="L153" s="553"/>
      <c r="M153" s="553"/>
      <c r="N153" s="553"/>
      <c r="O153" s="553"/>
      <c r="P153" s="553"/>
      <c r="Q153" s="553"/>
      <c r="R153" s="553"/>
      <c r="S153" s="319"/>
    </row>
    <row r="154" spans="2:19" ht="15.75" customHeight="1">
      <c r="B154" s="553"/>
      <c r="C154" s="553"/>
      <c r="D154" s="553"/>
      <c r="E154" s="553"/>
      <c r="F154" s="553"/>
      <c r="G154" s="553"/>
      <c r="H154" s="553"/>
      <c r="I154" s="553"/>
      <c r="J154" s="553"/>
      <c r="K154" s="553"/>
      <c r="L154" s="553"/>
      <c r="M154" s="553"/>
      <c r="N154" s="553"/>
      <c r="O154" s="553"/>
      <c r="P154" s="553"/>
      <c r="Q154" s="553"/>
      <c r="R154" s="553"/>
      <c r="S154" s="319"/>
    </row>
    <row r="155" spans="2:19" ht="15.75" customHeight="1">
      <c r="B155" s="553"/>
      <c r="C155" s="553"/>
      <c r="D155" s="553"/>
      <c r="E155" s="553"/>
      <c r="F155" s="553"/>
      <c r="G155" s="553"/>
      <c r="H155" s="553"/>
      <c r="I155" s="553"/>
      <c r="J155" s="553"/>
      <c r="K155" s="553"/>
      <c r="L155" s="553"/>
      <c r="M155" s="553"/>
      <c r="N155" s="553"/>
      <c r="O155" s="553"/>
      <c r="P155" s="553"/>
      <c r="Q155" s="553"/>
      <c r="R155" s="553"/>
      <c r="S155" s="319"/>
    </row>
    <row r="156" spans="2:19" ht="15.75" customHeight="1">
      <c r="B156" s="553"/>
      <c r="C156" s="553"/>
      <c r="D156" s="553"/>
      <c r="E156" s="553"/>
      <c r="F156" s="553"/>
      <c r="G156" s="553"/>
      <c r="H156" s="553"/>
      <c r="I156" s="553"/>
      <c r="J156" s="553"/>
      <c r="K156" s="553"/>
      <c r="L156" s="553"/>
      <c r="M156" s="553"/>
      <c r="N156" s="553"/>
      <c r="O156" s="553"/>
      <c r="P156" s="553"/>
      <c r="Q156" s="553"/>
      <c r="R156" s="553"/>
      <c r="S156" s="319"/>
    </row>
    <row r="157" spans="2:19" ht="15.75" customHeight="1">
      <c r="B157" s="553"/>
      <c r="C157" s="553"/>
      <c r="D157" s="553"/>
      <c r="E157" s="553"/>
      <c r="F157" s="553"/>
      <c r="G157" s="553"/>
      <c r="H157" s="553"/>
      <c r="I157" s="553"/>
      <c r="J157" s="553"/>
      <c r="K157" s="553"/>
      <c r="L157" s="553"/>
      <c r="M157" s="553"/>
      <c r="N157" s="553"/>
      <c r="O157" s="553"/>
      <c r="P157" s="553"/>
      <c r="Q157" s="553"/>
      <c r="R157" s="553"/>
      <c r="S157" s="319"/>
    </row>
    <row r="158" spans="2:19" ht="15.75" customHeight="1">
      <c r="B158" s="553"/>
      <c r="C158" s="553"/>
      <c r="D158" s="553"/>
      <c r="E158" s="553"/>
      <c r="F158" s="553"/>
      <c r="G158" s="553"/>
      <c r="H158" s="553"/>
      <c r="I158" s="553"/>
      <c r="J158" s="553"/>
      <c r="K158" s="553"/>
      <c r="L158" s="553"/>
      <c r="M158" s="553"/>
      <c r="N158" s="553"/>
      <c r="O158" s="553"/>
      <c r="P158" s="553"/>
      <c r="Q158" s="553"/>
      <c r="R158" s="553"/>
      <c r="S158" s="319"/>
    </row>
    <row r="159" spans="2:19" ht="15.75" customHeight="1">
      <c r="B159" s="553"/>
      <c r="C159" s="553"/>
      <c r="D159" s="553"/>
      <c r="E159" s="553"/>
      <c r="F159" s="553"/>
      <c r="G159" s="553"/>
      <c r="H159" s="553"/>
      <c r="I159" s="553"/>
      <c r="J159" s="553"/>
      <c r="K159" s="553"/>
      <c r="L159" s="553"/>
      <c r="M159" s="553"/>
      <c r="N159" s="553"/>
      <c r="O159" s="553"/>
      <c r="P159" s="553"/>
      <c r="Q159" s="553"/>
      <c r="R159" s="553"/>
      <c r="S159" s="319"/>
    </row>
    <row r="160" spans="2:19" ht="15.75" customHeight="1">
      <c r="B160" s="553"/>
      <c r="C160" s="553"/>
      <c r="D160" s="553"/>
      <c r="E160" s="553"/>
      <c r="F160" s="553"/>
      <c r="G160" s="553"/>
      <c r="H160" s="553"/>
      <c r="I160" s="553"/>
      <c r="J160" s="553"/>
      <c r="K160" s="553"/>
      <c r="L160" s="553"/>
      <c r="M160" s="553"/>
      <c r="N160" s="553"/>
      <c r="O160" s="553"/>
      <c r="P160" s="553"/>
      <c r="Q160" s="553"/>
      <c r="R160" s="553"/>
      <c r="S160" s="319"/>
    </row>
    <row r="161" spans="2:19" ht="15.75" customHeight="1">
      <c r="B161" s="553"/>
      <c r="C161" s="553"/>
      <c r="D161" s="553"/>
      <c r="E161" s="553"/>
      <c r="F161" s="553"/>
      <c r="G161" s="553"/>
      <c r="H161" s="553"/>
      <c r="I161" s="553"/>
      <c r="J161" s="553"/>
      <c r="K161" s="553"/>
      <c r="L161" s="553"/>
      <c r="M161" s="553"/>
      <c r="N161" s="553"/>
      <c r="O161" s="553"/>
      <c r="P161" s="553"/>
      <c r="Q161" s="553"/>
      <c r="R161" s="553"/>
      <c r="S161" s="319"/>
    </row>
    <row r="162" spans="2:19" ht="15.75" customHeight="1">
      <c r="B162" s="553"/>
      <c r="C162" s="553"/>
      <c r="D162" s="553"/>
      <c r="E162" s="553"/>
      <c r="F162" s="553"/>
      <c r="G162" s="553"/>
      <c r="H162" s="553"/>
      <c r="I162" s="553"/>
      <c r="J162" s="553"/>
      <c r="K162" s="553"/>
      <c r="L162" s="553"/>
      <c r="M162" s="553"/>
      <c r="N162" s="553"/>
      <c r="O162" s="553"/>
      <c r="P162" s="553"/>
      <c r="Q162" s="553"/>
      <c r="R162" s="553"/>
      <c r="S162" s="319"/>
    </row>
    <row r="163" spans="2:19" ht="15.75" customHeight="1">
      <c r="B163" s="553"/>
      <c r="C163" s="553"/>
      <c r="D163" s="553"/>
      <c r="E163" s="553"/>
      <c r="F163" s="553"/>
      <c r="G163" s="553"/>
      <c r="H163" s="553"/>
      <c r="I163" s="553"/>
      <c r="J163" s="553"/>
      <c r="K163" s="553"/>
      <c r="L163" s="553"/>
      <c r="M163" s="553"/>
      <c r="N163" s="553"/>
      <c r="O163" s="553"/>
      <c r="P163" s="553"/>
      <c r="Q163" s="553"/>
      <c r="R163" s="553"/>
      <c r="S163" s="319"/>
    </row>
    <row r="164" spans="2:19" ht="15.75" customHeight="1">
      <c r="B164" s="553"/>
      <c r="C164" s="553"/>
      <c r="D164" s="553"/>
      <c r="E164" s="553"/>
      <c r="F164" s="553"/>
      <c r="G164" s="553"/>
      <c r="H164" s="553"/>
      <c r="I164" s="553"/>
      <c r="J164" s="553"/>
      <c r="K164" s="553"/>
      <c r="L164" s="553"/>
      <c r="M164" s="553"/>
      <c r="N164" s="553"/>
      <c r="O164" s="553"/>
      <c r="P164" s="553"/>
      <c r="Q164" s="553"/>
      <c r="R164" s="553"/>
      <c r="S164" s="319"/>
    </row>
    <row r="165" spans="2:19" ht="15.75" customHeight="1">
      <c r="B165" s="553"/>
      <c r="C165" s="553"/>
      <c r="D165" s="553"/>
      <c r="E165" s="553"/>
      <c r="F165" s="553"/>
      <c r="G165" s="553"/>
      <c r="H165" s="553"/>
      <c r="I165" s="553"/>
      <c r="J165" s="553"/>
      <c r="K165" s="553"/>
      <c r="L165" s="553"/>
      <c r="M165" s="553"/>
      <c r="N165" s="553"/>
      <c r="O165" s="553"/>
      <c r="P165" s="553"/>
      <c r="Q165" s="553"/>
      <c r="R165" s="553"/>
      <c r="S165" s="319"/>
    </row>
    <row r="166" spans="2:19" ht="15.75" customHeight="1">
      <c r="B166" s="553"/>
      <c r="C166" s="553"/>
      <c r="D166" s="553"/>
      <c r="E166" s="553"/>
      <c r="F166" s="553"/>
      <c r="G166" s="553"/>
      <c r="H166" s="553"/>
      <c r="I166" s="553"/>
      <c r="J166" s="553"/>
      <c r="K166" s="553"/>
      <c r="L166" s="553"/>
      <c r="M166" s="553"/>
      <c r="N166" s="553"/>
      <c r="O166" s="553"/>
      <c r="P166" s="553"/>
      <c r="Q166" s="553"/>
      <c r="R166" s="553"/>
      <c r="S166" s="319"/>
    </row>
    <row r="167" spans="2:19" ht="15.75" customHeight="1">
      <c r="B167" s="553"/>
      <c r="C167" s="553"/>
      <c r="D167" s="553"/>
      <c r="E167" s="553"/>
      <c r="F167" s="553"/>
      <c r="G167" s="553"/>
      <c r="H167" s="553"/>
      <c r="I167" s="553"/>
      <c r="J167" s="553"/>
      <c r="K167" s="553"/>
      <c r="L167" s="553"/>
      <c r="M167" s="553"/>
      <c r="N167" s="553"/>
      <c r="O167" s="553"/>
      <c r="P167" s="553"/>
      <c r="Q167" s="553"/>
      <c r="R167" s="553"/>
      <c r="S167" s="319"/>
    </row>
    <row r="168" spans="2:19" ht="15.75" customHeight="1">
      <c r="B168" s="553"/>
      <c r="C168" s="553"/>
      <c r="D168" s="553"/>
      <c r="E168" s="553"/>
      <c r="F168" s="553"/>
      <c r="G168" s="553"/>
      <c r="H168" s="553"/>
      <c r="I168" s="553"/>
      <c r="J168" s="553"/>
      <c r="K168" s="553"/>
      <c r="L168" s="553"/>
      <c r="M168" s="553"/>
      <c r="N168" s="553"/>
      <c r="O168" s="553"/>
      <c r="P168" s="553"/>
      <c r="Q168" s="553"/>
      <c r="R168" s="553"/>
      <c r="S168" s="319"/>
    </row>
    <row r="169" spans="2:19" ht="15.75" customHeight="1">
      <c r="B169" s="553"/>
      <c r="C169" s="553"/>
      <c r="D169" s="553"/>
      <c r="E169" s="553"/>
      <c r="F169" s="553"/>
      <c r="G169" s="553"/>
      <c r="H169" s="553"/>
      <c r="I169" s="553"/>
      <c r="J169" s="553"/>
      <c r="K169" s="553"/>
      <c r="L169" s="553"/>
      <c r="M169" s="553"/>
      <c r="N169" s="553"/>
      <c r="O169" s="553"/>
      <c r="P169" s="553"/>
      <c r="Q169" s="553"/>
      <c r="R169" s="553"/>
      <c r="S169" s="319"/>
    </row>
    <row r="170" spans="2:19" ht="15.75" customHeight="1">
      <c r="B170" s="553"/>
      <c r="C170" s="553"/>
      <c r="D170" s="553"/>
      <c r="E170" s="553"/>
      <c r="F170" s="553"/>
      <c r="G170" s="553"/>
      <c r="H170" s="553"/>
      <c r="I170" s="553"/>
      <c r="J170" s="553"/>
      <c r="K170" s="553"/>
      <c r="L170" s="553"/>
      <c r="M170" s="553"/>
      <c r="N170" s="553"/>
      <c r="O170" s="553"/>
      <c r="P170" s="553"/>
      <c r="Q170" s="553"/>
      <c r="R170" s="553"/>
      <c r="S170" s="319"/>
    </row>
    <row r="171" spans="2:19" ht="15.75" customHeight="1">
      <c r="B171" s="553"/>
      <c r="C171" s="553"/>
      <c r="D171" s="553"/>
      <c r="E171" s="553"/>
      <c r="F171" s="553"/>
      <c r="G171" s="553"/>
      <c r="H171" s="553"/>
      <c r="I171" s="553"/>
      <c r="J171" s="553"/>
      <c r="K171" s="553"/>
      <c r="L171" s="553"/>
      <c r="M171" s="553"/>
      <c r="N171" s="553"/>
      <c r="O171" s="553"/>
      <c r="P171" s="553"/>
      <c r="Q171" s="553"/>
      <c r="R171" s="553"/>
      <c r="S171" s="319"/>
    </row>
    <row r="172" spans="2:19" ht="15.75" customHeight="1">
      <c r="B172" s="553"/>
      <c r="C172" s="553"/>
      <c r="D172" s="553"/>
      <c r="E172" s="553"/>
      <c r="F172" s="553"/>
      <c r="G172" s="553"/>
      <c r="H172" s="553"/>
      <c r="I172" s="553"/>
      <c r="J172" s="553"/>
      <c r="K172" s="553"/>
      <c r="L172" s="553"/>
      <c r="M172" s="553"/>
      <c r="N172" s="553"/>
      <c r="O172" s="553"/>
      <c r="P172" s="553"/>
      <c r="Q172" s="553"/>
      <c r="R172" s="553"/>
      <c r="S172" s="319"/>
    </row>
    <row r="173" spans="2:19" ht="15.75" customHeight="1">
      <c r="B173" s="553"/>
      <c r="C173" s="553"/>
      <c r="D173" s="553"/>
      <c r="E173" s="553"/>
      <c r="F173" s="553"/>
      <c r="G173" s="553"/>
      <c r="H173" s="553"/>
      <c r="I173" s="553"/>
      <c r="J173" s="553"/>
      <c r="K173" s="553"/>
      <c r="L173" s="553"/>
      <c r="M173" s="553"/>
      <c r="N173" s="553"/>
      <c r="O173" s="553"/>
      <c r="P173" s="553"/>
      <c r="Q173" s="553"/>
      <c r="R173" s="553"/>
      <c r="S173" s="319"/>
    </row>
    <row r="174" spans="2:19" ht="15.75" customHeight="1">
      <c r="B174" s="553"/>
      <c r="C174" s="553"/>
      <c r="D174" s="553"/>
      <c r="E174" s="553"/>
      <c r="F174" s="553"/>
      <c r="G174" s="553"/>
      <c r="H174" s="553"/>
      <c r="I174" s="553"/>
      <c r="J174" s="553"/>
      <c r="K174" s="553"/>
      <c r="L174" s="553"/>
      <c r="M174" s="553"/>
      <c r="N174" s="553"/>
      <c r="O174" s="553"/>
      <c r="P174" s="553"/>
      <c r="Q174" s="553"/>
      <c r="R174" s="553"/>
      <c r="S174" s="319"/>
    </row>
    <row r="175" spans="2:19" ht="15.75" customHeight="1">
      <c r="B175" s="553"/>
      <c r="C175" s="553"/>
      <c r="D175" s="553"/>
      <c r="E175" s="553"/>
      <c r="F175" s="553"/>
      <c r="G175" s="553"/>
      <c r="H175" s="553"/>
      <c r="I175" s="553"/>
      <c r="J175" s="553"/>
      <c r="K175" s="553"/>
      <c r="L175" s="553"/>
      <c r="M175" s="553"/>
      <c r="N175" s="553"/>
      <c r="O175" s="553"/>
      <c r="P175" s="553"/>
      <c r="Q175" s="553"/>
      <c r="R175" s="553"/>
      <c r="S175" s="319"/>
    </row>
    <row r="176" spans="2:19" ht="15.75" customHeight="1">
      <c r="B176" s="553"/>
      <c r="C176" s="553"/>
      <c r="D176" s="553"/>
      <c r="E176" s="553"/>
      <c r="F176" s="553"/>
      <c r="G176" s="553"/>
      <c r="H176" s="553"/>
      <c r="I176" s="553"/>
      <c r="J176" s="553"/>
      <c r="K176" s="553"/>
      <c r="L176" s="553"/>
      <c r="M176" s="553"/>
      <c r="N176" s="553"/>
      <c r="O176" s="553"/>
      <c r="P176" s="553"/>
      <c r="Q176" s="553"/>
      <c r="R176" s="553"/>
      <c r="S176" s="319"/>
    </row>
    <row r="177" spans="2:19" ht="15.75" customHeight="1">
      <c r="B177" s="553"/>
      <c r="C177" s="553"/>
      <c r="D177" s="553"/>
      <c r="E177" s="553"/>
      <c r="F177" s="553"/>
      <c r="G177" s="553"/>
      <c r="H177" s="553"/>
      <c r="I177" s="553"/>
      <c r="J177" s="553"/>
      <c r="K177" s="553"/>
      <c r="L177" s="553"/>
      <c r="M177" s="553"/>
      <c r="N177" s="553"/>
      <c r="O177" s="553"/>
      <c r="P177" s="553"/>
      <c r="Q177" s="553"/>
      <c r="R177" s="553"/>
      <c r="S177" s="319"/>
    </row>
    <row r="178" spans="2:19" ht="15.75" customHeight="1">
      <c r="B178" s="553"/>
      <c r="C178" s="553"/>
      <c r="D178" s="553"/>
      <c r="E178" s="553"/>
      <c r="F178" s="553"/>
      <c r="G178" s="553"/>
      <c r="H178" s="553"/>
      <c r="I178" s="553"/>
      <c r="J178" s="553"/>
      <c r="K178" s="553"/>
      <c r="L178" s="553"/>
      <c r="M178" s="553"/>
      <c r="N178" s="553"/>
      <c r="O178" s="553"/>
      <c r="P178" s="553"/>
      <c r="Q178" s="553"/>
      <c r="R178" s="553"/>
      <c r="S178" s="319"/>
    </row>
    <row r="179" spans="2:19" ht="15.75" customHeight="1">
      <c r="B179" s="553"/>
      <c r="C179" s="553"/>
      <c r="D179" s="553"/>
      <c r="E179" s="553"/>
      <c r="F179" s="553"/>
      <c r="G179" s="553"/>
      <c r="H179" s="553"/>
      <c r="I179" s="553"/>
      <c r="J179" s="553"/>
      <c r="K179" s="553"/>
      <c r="L179" s="553"/>
      <c r="M179" s="553"/>
      <c r="N179" s="553"/>
      <c r="O179" s="553"/>
      <c r="P179" s="553"/>
      <c r="Q179" s="553"/>
      <c r="R179" s="553"/>
      <c r="S179" s="319"/>
    </row>
    <row r="180" spans="2:19" ht="15.75" customHeight="1">
      <c r="B180" s="553"/>
      <c r="C180" s="553"/>
      <c r="D180" s="553"/>
      <c r="E180" s="553"/>
      <c r="F180" s="553"/>
      <c r="G180" s="553"/>
      <c r="H180" s="553"/>
      <c r="I180" s="553"/>
      <c r="J180" s="553"/>
      <c r="K180" s="553"/>
      <c r="L180" s="553"/>
      <c r="M180" s="553"/>
      <c r="N180" s="553"/>
      <c r="O180" s="553"/>
      <c r="P180" s="553"/>
      <c r="Q180" s="553"/>
      <c r="R180" s="553"/>
      <c r="S180" s="319"/>
    </row>
    <row r="181" spans="2:19" ht="15.75" customHeight="1">
      <c r="B181" s="553"/>
      <c r="C181" s="553"/>
      <c r="D181" s="553"/>
      <c r="E181" s="553"/>
      <c r="F181" s="553"/>
      <c r="G181" s="553"/>
      <c r="H181" s="553"/>
      <c r="I181" s="553"/>
      <c r="J181" s="553"/>
      <c r="K181" s="553"/>
      <c r="L181" s="553"/>
      <c r="M181" s="553"/>
      <c r="N181" s="553"/>
      <c r="O181" s="553"/>
      <c r="P181" s="553"/>
      <c r="Q181" s="553"/>
      <c r="R181" s="553"/>
      <c r="S181" s="319"/>
    </row>
    <row r="182" spans="2:19" ht="15.75" customHeight="1">
      <c r="B182" s="553"/>
      <c r="C182" s="553"/>
      <c r="D182" s="553"/>
      <c r="E182" s="553"/>
      <c r="F182" s="553"/>
      <c r="G182" s="553"/>
      <c r="H182" s="553"/>
      <c r="I182" s="553"/>
      <c r="J182" s="553"/>
      <c r="K182" s="553"/>
      <c r="L182" s="553"/>
      <c r="M182" s="553"/>
      <c r="N182" s="553"/>
      <c r="O182" s="553"/>
      <c r="P182" s="553"/>
      <c r="Q182" s="553"/>
      <c r="R182" s="553"/>
      <c r="S182" s="319"/>
    </row>
    <row r="183" spans="2:19" ht="15.75" customHeight="1">
      <c r="B183" s="553"/>
      <c r="C183" s="553"/>
      <c r="D183" s="553"/>
      <c r="E183" s="553"/>
      <c r="F183" s="553"/>
      <c r="G183" s="553"/>
      <c r="H183" s="553"/>
      <c r="I183" s="553"/>
      <c r="J183" s="553"/>
      <c r="K183" s="553"/>
      <c r="L183" s="553"/>
      <c r="M183" s="553"/>
      <c r="N183" s="553"/>
      <c r="O183" s="553"/>
      <c r="P183" s="553"/>
      <c r="Q183" s="553"/>
      <c r="R183" s="553"/>
      <c r="S183" s="319"/>
    </row>
    <row r="184" spans="2:19" ht="15.75" customHeight="1">
      <c r="B184" s="553"/>
      <c r="C184" s="553"/>
      <c r="D184" s="553"/>
      <c r="E184" s="553"/>
      <c r="F184" s="553"/>
      <c r="G184" s="553"/>
      <c r="H184" s="553"/>
      <c r="I184" s="553"/>
      <c r="J184" s="553"/>
      <c r="K184" s="553"/>
      <c r="L184" s="553"/>
      <c r="M184" s="553"/>
      <c r="N184" s="553"/>
      <c r="O184" s="553"/>
      <c r="P184" s="553"/>
      <c r="Q184" s="553"/>
      <c r="R184" s="553"/>
      <c r="S184" s="319"/>
    </row>
    <row r="185" spans="2:19" ht="15.75" customHeight="1">
      <c r="B185" s="553"/>
      <c r="C185" s="553"/>
      <c r="D185" s="553"/>
      <c r="E185" s="553"/>
      <c r="F185" s="553"/>
      <c r="G185" s="553"/>
      <c r="H185" s="553"/>
      <c r="I185" s="553"/>
      <c r="J185" s="553"/>
      <c r="K185" s="553"/>
      <c r="L185" s="553"/>
      <c r="M185" s="553"/>
      <c r="N185" s="553"/>
      <c r="O185" s="553"/>
      <c r="P185" s="553"/>
      <c r="Q185" s="553"/>
      <c r="R185" s="553"/>
      <c r="S185" s="319"/>
    </row>
    <row r="186" spans="2:19" ht="15.75" customHeight="1">
      <c r="B186" s="553"/>
      <c r="C186" s="553"/>
      <c r="D186" s="553"/>
      <c r="E186" s="553"/>
      <c r="F186" s="553"/>
      <c r="G186" s="553"/>
      <c r="H186" s="553"/>
      <c r="I186" s="553"/>
      <c r="J186" s="553"/>
      <c r="K186" s="553"/>
      <c r="L186" s="553"/>
      <c r="M186" s="553"/>
      <c r="N186" s="553"/>
      <c r="O186" s="553"/>
      <c r="P186" s="553"/>
      <c r="Q186" s="553"/>
      <c r="R186" s="553"/>
      <c r="S186" s="319"/>
    </row>
    <row r="187" spans="2:19" ht="15.75" customHeight="1">
      <c r="B187" s="553"/>
      <c r="C187" s="553"/>
      <c r="D187" s="553"/>
      <c r="E187" s="553"/>
      <c r="F187" s="553"/>
      <c r="G187" s="553"/>
      <c r="H187" s="553"/>
      <c r="I187" s="553"/>
      <c r="J187" s="553"/>
      <c r="K187" s="553"/>
      <c r="L187" s="553"/>
      <c r="M187" s="553"/>
      <c r="N187" s="553"/>
      <c r="O187" s="553"/>
      <c r="P187" s="553"/>
      <c r="Q187" s="553"/>
      <c r="R187" s="553"/>
      <c r="S187" s="319"/>
    </row>
    <row r="188" spans="2:19" ht="15.75" customHeight="1">
      <c r="B188" s="553"/>
      <c r="C188" s="553"/>
      <c r="D188" s="553"/>
      <c r="E188" s="553"/>
      <c r="F188" s="553"/>
      <c r="G188" s="553"/>
      <c r="H188" s="553"/>
      <c r="I188" s="553"/>
      <c r="J188" s="553"/>
      <c r="K188" s="553"/>
      <c r="L188" s="553"/>
      <c r="M188" s="553"/>
      <c r="N188" s="553"/>
      <c r="O188" s="553"/>
      <c r="P188" s="553"/>
      <c r="Q188" s="553"/>
      <c r="R188" s="553"/>
      <c r="S188" s="319"/>
    </row>
    <row r="189" spans="2:19" ht="15.75" customHeight="1">
      <c r="B189" s="553"/>
      <c r="C189" s="553"/>
      <c r="D189" s="553"/>
      <c r="E189" s="553"/>
      <c r="F189" s="553"/>
      <c r="G189" s="553"/>
      <c r="H189" s="553"/>
      <c r="I189" s="553"/>
      <c r="J189" s="553"/>
      <c r="K189" s="553"/>
      <c r="L189" s="553"/>
      <c r="M189" s="553"/>
      <c r="N189" s="553"/>
      <c r="O189" s="553"/>
      <c r="P189" s="553"/>
      <c r="Q189" s="553"/>
      <c r="R189" s="553"/>
      <c r="S189" s="319"/>
    </row>
    <row r="190" spans="2:19" ht="15.75" customHeight="1">
      <c r="B190" s="553"/>
      <c r="C190" s="553"/>
      <c r="D190" s="553"/>
      <c r="E190" s="553"/>
      <c r="F190" s="553"/>
      <c r="G190" s="553"/>
      <c r="H190" s="553"/>
      <c r="I190" s="553"/>
      <c r="J190" s="553"/>
      <c r="K190" s="553"/>
      <c r="L190" s="553"/>
      <c r="M190" s="553"/>
      <c r="N190" s="553"/>
      <c r="O190" s="553"/>
      <c r="P190" s="553"/>
      <c r="Q190" s="553"/>
      <c r="R190" s="553"/>
      <c r="S190" s="319"/>
    </row>
    <row r="191" spans="2:19" ht="15.75" customHeight="1">
      <c r="B191" s="553"/>
      <c r="C191" s="553"/>
      <c r="D191" s="553"/>
      <c r="E191" s="553"/>
      <c r="F191" s="553"/>
      <c r="G191" s="553"/>
      <c r="H191" s="553"/>
      <c r="I191" s="553"/>
      <c r="J191" s="553"/>
      <c r="K191" s="553"/>
      <c r="L191" s="553"/>
      <c r="M191" s="553"/>
      <c r="N191" s="553"/>
      <c r="O191" s="553"/>
      <c r="P191" s="553"/>
      <c r="Q191" s="553"/>
      <c r="R191" s="553"/>
      <c r="S191" s="319"/>
    </row>
    <row r="192" spans="2:19" ht="15.75" customHeight="1">
      <c r="B192" s="553"/>
      <c r="C192" s="553"/>
      <c r="D192" s="553"/>
      <c r="E192" s="553"/>
      <c r="F192" s="553"/>
      <c r="G192" s="553"/>
      <c r="H192" s="553"/>
      <c r="I192" s="553"/>
      <c r="J192" s="553"/>
      <c r="K192" s="553"/>
      <c r="L192" s="553"/>
      <c r="M192" s="553"/>
      <c r="N192" s="553"/>
      <c r="O192" s="553"/>
      <c r="P192" s="553"/>
      <c r="Q192" s="553"/>
      <c r="R192" s="553"/>
      <c r="S192" s="319"/>
    </row>
    <row r="193" spans="2:19" ht="15.75" customHeight="1">
      <c r="B193" s="553"/>
      <c r="C193" s="553"/>
      <c r="D193" s="553"/>
      <c r="E193" s="553"/>
      <c r="F193" s="553"/>
      <c r="G193" s="553"/>
      <c r="H193" s="553"/>
      <c r="I193" s="553"/>
      <c r="J193" s="553"/>
      <c r="K193" s="553"/>
      <c r="L193" s="553"/>
      <c r="M193" s="553"/>
      <c r="N193" s="553"/>
      <c r="O193" s="553"/>
      <c r="P193" s="553"/>
      <c r="Q193" s="553"/>
      <c r="R193" s="553"/>
      <c r="S193" s="319"/>
    </row>
    <row r="194" spans="2:19" ht="15.75" customHeight="1">
      <c r="B194" s="553"/>
      <c r="C194" s="553"/>
      <c r="D194" s="553"/>
      <c r="E194" s="553"/>
      <c r="F194" s="553"/>
      <c r="G194" s="553"/>
      <c r="H194" s="553"/>
      <c r="I194" s="553"/>
      <c r="J194" s="553"/>
      <c r="K194" s="553"/>
      <c r="L194" s="553"/>
      <c r="M194" s="553"/>
      <c r="N194" s="553"/>
      <c r="O194" s="553"/>
      <c r="P194" s="553"/>
      <c r="Q194" s="553"/>
      <c r="R194" s="553"/>
      <c r="S194" s="319"/>
    </row>
    <row r="195" spans="2:19" ht="15.75" customHeight="1">
      <c r="B195" s="553"/>
      <c r="C195" s="553"/>
      <c r="D195" s="553"/>
      <c r="E195" s="553"/>
      <c r="F195" s="553"/>
      <c r="G195" s="553"/>
      <c r="H195" s="553"/>
      <c r="I195" s="553"/>
      <c r="J195" s="553"/>
      <c r="K195" s="553"/>
      <c r="L195" s="553"/>
      <c r="M195" s="553"/>
      <c r="N195" s="553"/>
      <c r="O195" s="553"/>
      <c r="P195" s="553"/>
      <c r="Q195" s="553"/>
      <c r="R195" s="553"/>
      <c r="S195" s="319"/>
    </row>
    <row r="196" spans="2:19" ht="15.75" customHeight="1">
      <c r="B196" s="553"/>
      <c r="C196" s="553"/>
      <c r="D196" s="553"/>
      <c r="E196" s="553"/>
      <c r="F196" s="553"/>
      <c r="G196" s="553"/>
      <c r="H196" s="553"/>
      <c r="I196" s="553"/>
      <c r="J196" s="553"/>
      <c r="K196" s="553"/>
      <c r="L196" s="553"/>
      <c r="M196" s="553"/>
      <c r="N196" s="553"/>
      <c r="O196" s="553"/>
      <c r="P196" s="553"/>
      <c r="Q196" s="553"/>
      <c r="R196" s="553"/>
      <c r="S196" s="319"/>
    </row>
    <row r="197" spans="2:19" ht="15.75" customHeight="1">
      <c r="B197" s="553"/>
      <c r="C197" s="553"/>
      <c r="D197" s="553"/>
      <c r="E197" s="553"/>
      <c r="F197" s="553"/>
      <c r="G197" s="553"/>
      <c r="H197" s="553"/>
      <c r="I197" s="553"/>
      <c r="J197" s="553"/>
      <c r="K197" s="553"/>
      <c r="L197" s="553"/>
      <c r="M197" s="553"/>
      <c r="N197" s="553"/>
      <c r="O197" s="553"/>
      <c r="P197" s="553"/>
      <c r="Q197" s="553"/>
      <c r="R197" s="553"/>
      <c r="S197" s="319"/>
    </row>
    <row r="198" spans="2:19" ht="15.75" customHeight="1">
      <c r="B198" s="553"/>
      <c r="C198" s="553"/>
      <c r="D198" s="553"/>
      <c r="E198" s="553"/>
      <c r="F198" s="553"/>
      <c r="G198" s="553"/>
      <c r="H198" s="553"/>
      <c r="I198" s="553"/>
      <c r="J198" s="553"/>
      <c r="K198" s="553"/>
      <c r="L198" s="553"/>
      <c r="M198" s="553"/>
      <c r="N198" s="553"/>
      <c r="O198" s="553"/>
      <c r="P198" s="553"/>
      <c r="Q198" s="553"/>
      <c r="R198" s="553"/>
      <c r="S198" s="319"/>
    </row>
    <row r="199" spans="2:19" ht="15.75" customHeight="1">
      <c r="B199" s="553"/>
      <c r="C199" s="553"/>
      <c r="D199" s="553"/>
      <c r="E199" s="553"/>
      <c r="F199" s="553"/>
      <c r="G199" s="553"/>
      <c r="H199" s="553"/>
      <c r="I199" s="553"/>
      <c r="J199" s="553"/>
      <c r="K199" s="553"/>
      <c r="L199" s="553"/>
      <c r="M199" s="553"/>
      <c r="N199" s="553"/>
      <c r="O199" s="553"/>
      <c r="P199" s="553"/>
      <c r="Q199" s="553"/>
      <c r="R199" s="553"/>
      <c r="S199" s="319"/>
    </row>
    <row r="200" spans="2:19" ht="15.75" customHeight="1">
      <c r="B200" s="553"/>
      <c r="C200" s="553"/>
      <c r="D200" s="553"/>
      <c r="E200" s="553"/>
      <c r="F200" s="553"/>
      <c r="G200" s="553"/>
      <c r="H200" s="553"/>
      <c r="I200" s="553"/>
      <c r="J200" s="553"/>
      <c r="K200" s="553"/>
      <c r="L200" s="553"/>
      <c r="M200" s="553"/>
      <c r="N200" s="553"/>
      <c r="O200" s="553"/>
      <c r="P200" s="553"/>
      <c r="Q200" s="553"/>
      <c r="R200" s="553"/>
      <c r="S200" s="319"/>
    </row>
    <row r="201" spans="2:19" ht="15.75" customHeight="1">
      <c r="B201" s="553"/>
      <c r="C201" s="553"/>
      <c r="D201" s="553"/>
      <c r="E201" s="553"/>
      <c r="F201" s="553"/>
      <c r="G201" s="553"/>
      <c r="H201" s="553"/>
      <c r="I201" s="553"/>
      <c r="J201" s="553"/>
      <c r="K201" s="553"/>
      <c r="L201" s="553"/>
      <c r="M201" s="553"/>
      <c r="N201" s="553"/>
      <c r="O201" s="553"/>
      <c r="P201" s="553"/>
      <c r="Q201" s="553"/>
      <c r="R201" s="553"/>
      <c r="S201" s="319"/>
    </row>
    <row r="202" spans="2:19" ht="15.75" customHeight="1">
      <c r="B202" s="553"/>
      <c r="C202" s="553"/>
      <c r="D202" s="553"/>
      <c r="E202" s="553"/>
      <c r="F202" s="553"/>
      <c r="G202" s="553"/>
      <c r="H202" s="553"/>
      <c r="I202" s="553"/>
      <c r="J202" s="553"/>
      <c r="K202" s="553"/>
      <c r="L202" s="553"/>
      <c r="M202" s="553"/>
      <c r="N202" s="553"/>
      <c r="O202" s="553"/>
      <c r="P202" s="553"/>
      <c r="Q202" s="553"/>
      <c r="R202" s="553"/>
      <c r="S202" s="319"/>
    </row>
    <row r="203" spans="2:19" ht="15.75" customHeight="1">
      <c r="B203" s="553"/>
      <c r="C203" s="553"/>
      <c r="D203" s="553"/>
      <c r="E203" s="553"/>
      <c r="F203" s="553"/>
      <c r="G203" s="553"/>
      <c r="H203" s="553"/>
      <c r="I203" s="553"/>
      <c r="J203" s="553"/>
      <c r="K203" s="553"/>
      <c r="L203" s="553"/>
      <c r="M203" s="553"/>
      <c r="N203" s="553"/>
      <c r="O203" s="553"/>
      <c r="P203" s="553"/>
      <c r="Q203" s="553"/>
      <c r="R203" s="553"/>
      <c r="S203" s="319"/>
    </row>
    <row r="204" spans="2:19" ht="15.75" customHeight="1">
      <c r="B204" s="553"/>
      <c r="C204" s="553"/>
      <c r="D204" s="553"/>
      <c r="E204" s="553"/>
      <c r="F204" s="553"/>
      <c r="G204" s="553"/>
      <c r="H204" s="553"/>
      <c r="I204" s="553"/>
      <c r="J204" s="553"/>
      <c r="K204" s="553"/>
      <c r="L204" s="553"/>
      <c r="M204" s="553"/>
      <c r="N204" s="553"/>
      <c r="O204" s="553"/>
      <c r="P204" s="553"/>
      <c r="Q204" s="553"/>
      <c r="R204" s="553"/>
      <c r="S204" s="319"/>
    </row>
    <row r="205" spans="2:19" ht="15.75" customHeight="1">
      <c r="B205" s="553"/>
      <c r="C205" s="553"/>
      <c r="D205" s="553"/>
      <c r="E205" s="553"/>
      <c r="F205" s="553"/>
      <c r="G205" s="553"/>
      <c r="H205" s="553"/>
      <c r="I205" s="553"/>
      <c r="J205" s="553"/>
      <c r="K205" s="553"/>
      <c r="L205" s="553"/>
      <c r="M205" s="553"/>
      <c r="N205" s="553"/>
      <c r="O205" s="553"/>
      <c r="P205" s="553"/>
      <c r="Q205" s="553"/>
      <c r="R205" s="553"/>
      <c r="S205" s="319"/>
    </row>
    <row r="206" spans="2:19" ht="15.75" customHeight="1">
      <c r="B206" s="553"/>
      <c r="C206" s="553"/>
      <c r="D206" s="553"/>
      <c r="E206" s="553"/>
      <c r="F206" s="553"/>
      <c r="G206" s="553"/>
      <c r="H206" s="553"/>
      <c r="I206" s="553"/>
      <c r="J206" s="553"/>
      <c r="K206" s="553"/>
      <c r="L206" s="553"/>
      <c r="M206" s="553"/>
      <c r="N206" s="553"/>
      <c r="O206" s="553"/>
      <c r="P206" s="553"/>
      <c r="Q206" s="553"/>
      <c r="R206" s="553"/>
      <c r="S206" s="319"/>
    </row>
    <row r="207" spans="2:19" ht="15.75" customHeight="1"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  <c r="M207" s="553"/>
      <c r="N207" s="553"/>
      <c r="O207" s="553"/>
      <c r="P207" s="553"/>
      <c r="Q207" s="553"/>
      <c r="R207" s="553"/>
      <c r="S207" s="319"/>
    </row>
    <row r="208" spans="2:19" ht="15.75" customHeight="1">
      <c r="B208" s="553"/>
      <c r="C208" s="553"/>
      <c r="D208" s="553"/>
      <c r="E208" s="553"/>
      <c r="F208" s="553"/>
      <c r="G208" s="553"/>
      <c r="H208" s="553"/>
      <c r="I208" s="553"/>
      <c r="J208" s="553"/>
      <c r="K208" s="553"/>
      <c r="L208" s="553"/>
      <c r="M208" s="553"/>
      <c r="N208" s="553"/>
      <c r="O208" s="553"/>
      <c r="P208" s="553"/>
      <c r="Q208" s="553"/>
      <c r="R208" s="553"/>
      <c r="S208" s="319"/>
    </row>
    <row r="209" spans="2:19" ht="15.75" customHeight="1">
      <c r="B209" s="553"/>
      <c r="C209" s="553"/>
      <c r="D209" s="553"/>
      <c r="E209" s="553"/>
      <c r="F209" s="553"/>
      <c r="G209" s="553"/>
      <c r="H209" s="553"/>
      <c r="I209" s="553"/>
      <c r="J209" s="553"/>
      <c r="K209" s="553"/>
      <c r="L209" s="553"/>
      <c r="M209" s="553"/>
      <c r="N209" s="553"/>
      <c r="O209" s="553"/>
      <c r="P209" s="553"/>
      <c r="Q209" s="553"/>
      <c r="R209" s="553"/>
      <c r="S209" s="319"/>
    </row>
    <row r="210" spans="2:19" ht="15.75" customHeight="1">
      <c r="B210" s="553"/>
      <c r="C210" s="553"/>
      <c r="D210" s="553"/>
      <c r="E210" s="553"/>
      <c r="F210" s="553"/>
      <c r="G210" s="553"/>
      <c r="H210" s="553"/>
      <c r="I210" s="553"/>
      <c r="J210" s="553"/>
      <c r="K210" s="553"/>
      <c r="L210" s="553"/>
      <c r="M210" s="553"/>
      <c r="N210" s="553"/>
      <c r="O210" s="553"/>
      <c r="P210" s="553"/>
      <c r="Q210" s="553"/>
      <c r="R210" s="553"/>
      <c r="S210" s="319"/>
    </row>
    <row r="211" spans="2:19" ht="15.75" customHeight="1">
      <c r="B211" s="553"/>
      <c r="C211" s="553"/>
      <c r="D211" s="553"/>
      <c r="E211" s="553"/>
      <c r="F211" s="553"/>
      <c r="G211" s="553"/>
      <c r="H211" s="553"/>
      <c r="I211" s="553"/>
      <c r="J211" s="553"/>
      <c r="K211" s="553"/>
      <c r="L211" s="553"/>
      <c r="M211" s="553"/>
      <c r="N211" s="553"/>
      <c r="O211" s="553"/>
      <c r="P211" s="553"/>
      <c r="Q211" s="553"/>
      <c r="R211" s="553"/>
      <c r="S211" s="319"/>
    </row>
    <row r="212" spans="2:19" ht="15.75" customHeight="1">
      <c r="B212" s="553"/>
      <c r="C212" s="553"/>
      <c r="D212" s="553"/>
      <c r="E212" s="553"/>
      <c r="F212" s="553"/>
      <c r="G212" s="553"/>
      <c r="H212" s="553"/>
      <c r="I212" s="553"/>
      <c r="J212" s="553"/>
      <c r="K212" s="553"/>
      <c r="L212" s="553"/>
      <c r="M212" s="553"/>
      <c r="N212" s="553"/>
      <c r="O212" s="553"/>
      <c r="P212" s="553"/>
      <c r="Q212" s="553"/>
      <c r="R212" s="553"/>
      <c r="S212" s="319"/>
    </row>
    <row r="213" spans="2:19" ht="15.75" customHeight="1">
      <c r="B213" s="553"/>
      <c r="C213" s="553"/>
      <c r="D213" s="553"/>
      <c r="E213" s="553"/>
      <c r="F213" s="553"/>
      <c r="G213" s="553"/>
      <c r="H213" s="553"/>
      <c r="I213" s="553"/>
      <c r="J213" s="553"/>
      <c r="K213" s="553"/>
      <c r="L213" s="553"/>
      <c r="M213" s="553"/>
      <c r="N213" s="553"/>
      <c r="O213" s="553"/>
      <c r="P213" s="553"/>
      <c r="Q213" s="553"/>
      <c r="R213" s="553"/>
      <c r="S213" s="319"/>
    </row>
    <row r="214" spans="2:19" ht="15.75" customHeight="1">
      <c r="B214" s="553"/>
      <c r="C214" s="553"/>
      <c r="D214" s="553"/>
      <c r="E214" s="553"/>
      <c r="F214" s="553"/>
      <c r="G214" s="553"/>
      <c r="H214" s="553"/>
      <c r="I214" s="553"/>
      <c r="J214" s="553"/>
      <c r="K214" s="553"/>
      <c r="L214" s="553"/>
      <c r="M214" s="553"/>
      <c r="N214" s="553"/>
      <c r="O214" s="553"/>
      <c r="P214" s="553"/>
      <c r="Q214" s="553"/>
      <c r="R214" s="553"/>
      <c r="S214" s="319"/>
    </row>
    <row r="215" spans="2:19" ht="15.75" customHeight="1">
      <c r="B215" s="553"/>
      <c r="C215" s="553"/>
      <c r="D215" s="553"/>
      <c r="E215" s="553"/>
      <c r="F215" s="553"/>
      <c r="G215" s="553"/>
      <c r="H215" s="553"/>
      <c r="I215" s="553"/>
      <c r="J215" s="553"/>
      <c r="K215" s="553"/>
      <c r="L215" s="553"/>
      <c r="M215" s="553"/>
      <c r="N215" s="553"/>
      <c r="O215" s="553"/>
      <c r="P215" s="553"/>
      <c r="Q215" s="553"/>
      <c r="R215" s="553"/>
      <c r="S215" s="319"/>
    </row>
    <row r="216" spans="2:19" ht="15.75" customHeight="1">
      <c r="B216" s="553"/>
      <c r="C216" s="553"/>
      <c r="D216" s="553"/>
      <c r="E216" s="553"/>
      <c r="F216" s="553"/>
      <c r="G216" s="553"/>
      <c r="H216" s="553"/>
      <c r="I216" s="553"/>
      <c r="J216" s="553"/>
      <c r="K216" s="553"/>
      <c r="L216" s="553"/>
      <c r="M216" s="553"/>
      <c r="N216" s="553"/>
      <c r="O216" s="553"/>
      <c r="P216" s="553"/>
      <c r="Q216" s="553"/>
      <c r="R216" s="553"/>
      <c r="S216" s="319"/>
    </row>
    <row r="217" spans="2:19" ht="15.75" customHeight="1">
      <c r="B217" s="553"/>
      <c r="C217" s="553"/>
      <c r="D217" s="553"/>
      <c r="E217" s="553"/>
      <c r="F217" s="553"/>
      <c r="G217" s="553"/>
      <c r="H217" s="553"/>
      <c r="I217" s="553"/>
      <c r="J217" s="553"/>
      <c r="K217" s="553"/>
      <c r="L217" s="553"/>
      <c r="M217" s="553"/>
      <c r="N217" s="553"/>
      <c r="O217" s="553"/>
      <c r="P217" s="553"/>
      <c r="Q217" s="553"/>
      <c r="R217" s="553"/>
      <c r="S217" s="319"/>
    </row>
    <row r="218" spans="2:19" ht="15.75" customHeight="1">
      <c r="B218" s="553"/>
      <c r="C218" s="553"/>
      <c r="D218" s="553"/>
      <c r="E218" s="553"/>
      <c r="F218" s="553"/>
      <c r="G218" s="553"/>
      <c r="H218" s="553"/>
      <c r="I218" s="553"/>
      <c r="J218" s="553"/>
      <c r="K218" s="553"/>
      <c r="L218" s="553"/>
      <c r="M218" s="553"/>
      <c r="N218" s="553"/>
      <c r="O218" s="553"/>
      <c r="P218" s="553"/>
      <c r="Q218" s="553"/>
      <c r="R218" s="553"/>
      <c r="S218" s="319"/>
    </row>
    <row r="219" spans="2:19" ht="15.75" customHeight="1">
      <c r="B219" s="553"/>
      <c r="C219" s="553"/>
      <c r="D219" s="553"/>
      <c r="E219" s="553"/>
      <c r="F219" s="553"/>
      <c r="G219" s="553"/>
      <c r="H219" s="553"/>
      <c r="I219" s="553"/>
      <c r="J219" s="553"/>
      <c r="K219" s="553"/>
      <c r="L219" s="553"/>
      <c r="M219" s="553"/>
      <c r="N219" s="553"/>
      <c r="O219" s="553"/>
      <c r="P219" s="553"/>
      <c r="Q219" s="553"/>
      <c r="R219" s="553"/>
      <c r="S219" s="319"/>
    </row>
    <row r="220" spans="2:19" ht="15.75" customHeight="1">
      <c r="B220" s="553"/>
      <c r="C220" s="553"/>
      <c r="D220" s="553"/>
      <c r="E220" s="553"/>
      <c r="F220" s="553"/>
      <c r="G220" s="553"/>
      <c r="H220" s="553"/>
      <c r="I220" s="553"/>
      <c r="J220" s="553"/>
      <c r="K220" s="553"/>
      <c r="L220" s="553"/>
      <c r="M220" s="553"/>
      <c r="N220" s="553"/>
      <c r="O220" s="553"/>
      <c r="P220" s="553"/>
      <c r="Q220" s="553"/>
      <c r="R220" s="553"/>
      <c r="S220" s="319"/>
    </row>
    <row r="221" spans="2:19" ht="15.75" customHeight="1">
      <c r="B221" s="553"/>
      <c r="C221" s="553"/>
      <c r="D221" s="553"/>
      <c r="E221" s="553"/>
      <c r="F221" s="553"/>
      <c r="G221" s="553"/>
      <c r="H221" s="553"/>
      <c r="I221" s="553"/>
      <c r="J221" s="553"/>
      <c r="K221" s="553"/>
      <c r="L221" s="553"/>
      <c r="M221" s="553"/>
      <c r="N221" s="553"/>
      <c r="O221" s="553"/>
      <c r="P221" s="553"/>
      <c r="Q221" s="553"/>
      <c r="R221" s="553"/>
      <c r="S221" s="319"/>
    </row>
    <row r="222" spans="2:19" ht="15.75" customHeight="1">
      <c r="B222" s="553"/>
      <c r="C222" s="553"/>
      <c r="D222" s="553"/>
      <c r="E222" s="553"/>
      <c r="F222" s="553"/>
      <c r="G222" s="553"/>
      <c r="H222" s="553"/>
      <c r="I222" s="553"/>
      <c r="J222" s="553"/>
      <c r="K222" s="553"/>
      <c r="L222" s="553"/>
      <c r="M222" s="553"/>
      <c r="N222" s="553"/>
      <c r="O222" s="553"/>
      <c r="P222" s="553"/>
      <c r="Q222" s="553"/>
      <c r="R222" s="553"/>
      <c r="S222" s="319"/>
    </row>
    <row r="223" spans="2:19" ht="15.75" customHeight="1">
      <c r="B223" s="553"/>
      <c r="C223" s="553"/>
      <c r="D223" s="553"/>
      <c r="E223" s="553"/>
      <c r="F223" s="553"/>
      <c r="G223" s="553"/>
      <c r="H223" s="553"/>
      <c r="I223" s="553"/>
      <c r="J223" s="553"/>
      <c r="K223" s="553"/>
      <c r="L223" s="553"/>
      <c r="M223" s="553"/>
      <c r="N223" s="553"/>
      <c r="O223" s="553"/>
      <c r="P223" s="553"/>
      <c r="Q223" s="553"/>
      <c r="R223" s="553"/>
      <c r="S223" s="319"/>
    </row>
    <row r="224" spans="2:19" ht="15.75" customHeight="1">
      <c r="B224" s="553"/>
      <c r="C224" s="553"/>
      <c r="D224" s="553"/>
      <c r="E224" s="553"/>
      <c r="F224" s="553"/>
      <c r="G224" s="553"/>
      <c r="H224" s="553"/>
      <c r="I224" s="553"/>
      <c r="J224" s="553"/>
      <c r="K224" s="553"/>
      <c r="L224" s="553"/>
      <c r="M224" s="553"/>
      <c r="N224" s="553"/>
      <c r="O224" s="553"/>
      <c r="P224" s="553"/>
      <c r="Q224" s="553"/>
      <c r="R224" s="553"/>
      <c r="S224" s="319"/>
    </row>
    <row r="225" spans="2:19" ht="15.75" customHeight="1">
      <c r="B225" s="553"/>
      <c r="C225" s="553"/>
      <c r="D225" s="553"/>
      <c r="E225" s="553"/>
      <c r="F225" s="553"/>
      <c r="G225" s="553"/>
      <c r="H225" s="553"/>
      <c r="I225" s="553"/>
      <c r="J225" s="553"/>
      <c r="K225" s="553"/>
      <c r="L225" s="553"/>
      <c r="M225" s="553"/>
      <c r="N225" s="553"/>
      <c r="O225" s="553"/>
      <c r="P225" s="553"/>
      <c r="Q225" s="553"/>
      <c r="R225" s="553"/>
      <c r="S225" s="319"/>
    </row>
    <row r="226" spans="2:19" ht="15.75" customHeight="1">
      <c r="B226" s="553"/>
      <c r="C226" s="553"/>
      <c r="D226" s="553"/>
      <c r="E226" s="553"/>
      <c r="F226" s="553"/>
      <c r="G226" s="553"/>
      <c r="H226" s="553"/>
      <c r="I226" s="553"/>
      <c r="J226" s="553"/>
      <c r="K226" s="553"/>
      <c r="L226" s="553"/>
      <c r="M226" s="553"/>
      <c r="N226" s="553"/>
      <c r="O226" s="553"/>
      <c r="P226" s="553"/>
      <c r="Q226" s="553"/>
      <c r="R226" s="553"/>
      <c r="S226" s="319"/>
    </row>
    <row r="227" spans="2:19" ht="15.75" customHeight="1">
      <c r="B227" s="553"/>
      <c r="C227" s="553"/>
      <c r="D227" s="553"/>
      <c r="E227" s="553"/>
      <c r="F227" s="553"/>
      <c r="G227" s="553"/>
      <c r="H227" s="553"/>
      <c r="I227" s="553"/>
      <c r="J227" s="553"/>
      <c r="K227" s="553"/>
      <c r="L227" s="553"/>
      <c r="M227" s="553"/>
      <c r="N227" s="553"/>
      <c r="O227" s="553"/>
      <c r="P227" s="553"/>
      <c r="Q227" s="553"/>
      <c r="R227" s="553"/>
      <c r="S227" s="319"/>
    </row>
    <row r="228" spans="2:19" ht="15.75" customHeight="1">
      <c r="B228" s="553"/>
      <c r="C228" s="553"/>
      <c r="D228" s="553"/>
      <c r="E228" s="553"/>
      <c r="F228" s="553"/>
      <c r="G228" s="553"/>
      <c r="H228" s="553"/>
      <c r="I228" s="553"/>
      <c r="J228" s="553"/>
      <c r="K228" s="553"/>
      <c r="L228" s="553"/>
      <c r="M228" s="553"/>
      <c r="N228" s="553"/>
      <c r="O228" s="553"/>
      <c r="P228" s="553"/>
      <c r="Q228" s="553"/>
      <c r="R228" s="553"/>
      <c r="S228" s="319"/>
    </row>
    <row r="229" spans="2:19" ht="15.75" customHeight="1">
      <c r="B229" s="553"/>
      <c r="C229" s="553"/>
      <c r="D229" s="553"/>
      <c r="E229" s="553"/>
      <c r="F229" s="553"/>
      <c r="G229" s="553"/>
      <c r="H229" s="553"/>
      <c r="I229" s="553"/>
      <c r="J229" s="553"/>
      <c r="K229" s="553"/>
      <c r="L229" s="553"/>
      <c r="M229" s="553"/>
      <c r="N229" s="553"/>
      <c r="O229" s="553"/>
      <c r="P229" s="553"/>
      <c r="Q229" s="553"/>
      <c r="R229" s="553"/>
      <c r="S229" s="319"/>
    </row>
    <row r="230" spans="2:19" ht="15.75" customHeight="1">
      <c r="B230" s="553"/>
      <c r="C230" s="553"/>
      <c r="D230" s="553"/>
      <c r="E230" s="553"/>
      <c r="F230" s="553"/>
      <c r="G230" s="553"/>
      <c r="H230" s="553"/>
      <c r="I230" s="553"/>
      <c r="J230" s="553"/>
      <c r="K230" s="553"/>
      <c r="L230" s="553"/>
      <c r="M230" s="553"/>
      <c r="N230" s="553"/>
      <c r="O230" s="553"/>
      <c r="P230" s="553"/>
      <c r="Q230" s="553"/>
      <c r="R230" s="553"/>
      <c r="S230" s="319"/>
    </row>
    <row r="231" spans="2:19" ht="15.75" customHeight="1">
      <c r="B231" s="553"/>
      <c r="C231" s="553"/>
      <c r="D231" s="553"/>
      <c r="E231" s="553"/>
      <c r="F231" s="553"/>
      <c r="G231" s="553"/>
      <c r="H231" s="553"/>
      <c r="I231" s="553"/>
      <c r="J231" s="553"/>
      <c r="K231" s="553"/>
      <c r="L231" s="553"/>
      <c r="M231" s="553"/>
      <c r="N231" s="553"/>
      <c r="O231" s="553"/>
      <c r="P231" s="553"/>
      <c r="Q231" s="553"/>
      <c r="R231" s="553"/>
      <c r="S231" s="319"/>
    </row>
    <row r="232" spans="2:19" ht="15.75" customHeight="1">
      <c r="B232" s="553"/>
      <c r="C232" s="553"/>
      <c r="D232" s="553"/>
      <c r="E232" s="553"/>
      <c r="F232" s="553"/>
      <c r="G232" s="553"/>
      <c r="H232" s="553"/>
      <c r="I232" s="553"/>
      <c r="J232" s="553"/>
      <c r="K232" s="553"/>
      <c r="L232" s="553"/>
      <c r="M232" s="553"/>
      <c r="N232" s="553"/>
      <c r="O232" s="553"/>
      <c r="P232" s="553"/>
      <c r="Q232" s="553"/>
      <c r="R232" s="553"/>
      <c r="S232" s="319"/>
    </row>
    <row r="233" spans="2:19" ht="15.75" customHeight="1">
      <c r="B233" s="553"/>
      <c r="C233" s="553"/>
      <c r="D233" s="553"/>
      <c r="E233" s="553"/>
      <c r="F233" s="553"/>
      <c r="G233" s="553"/>
      <c r="H233" s="553"/>
      <c r="I233" s="553"/>
      <c r="J233" s="553"/>
      <c r="K233" s="553"/>
      <c r="L233" s="553"/>
      <c r="M233" s="553"/>
      <c r="N233" s="553"/>
      <c r="O233" s="553"/>
      <c r="P233" s="553"/>
      <c r="Q233" s="553"/>
      <c r="R233" s="553"/>
      <c r="S233" s="319"/>
    </row>
    <row r="234" spans="2:19" ht="15.75" customHeight="1">
      <c r="B234" s="553"/>
      <c r="C234" s="553"/>
      <c r="D234" s="553"/>
      <c r="E234" s="553"/>
      <c r="F234" s="553"/>
      <c r="G234" s="553"/>
      <c r="H234" s="553"/>
      <c r="I234" s="553"/>
      <c r="J234" s="553"/>
      <c r="K234" s="553"/>
      <c r="L234" s="553"/>
      <c r="M234" s="553"/>
      <c r="N234" s="553"/>
      <c r="O234" s="553"/>
      <c r="P234" s="553"/>
      <c r="Q234" s="553"/>
      <c r="R234" s="553"/>
      <c r="S234" s="319"/>
    </row>
    <row r="235" spans="2:19" ht="15.75" customHeight="1">
      <c r="B235" s="553"/>
      <c r="C235" s="553"/>
      <c r="D235" s="553"/>
      <c r="E235" s="553"/>
      <c r="F235" s="553"/>
      <c r="G235" s="553"/>
      <c r="H235" s="553"/>
      <c r="I235" s="553"/>
      <c r="J235" s="553"/>
      <c r="K235" s="553"/>
      <c r="L235" s="553"/>
      <c r="M235" s="553"/>
      <c r="N235" s="553"/>
      <c r="O235" s="553"/>
      <c r="P235" s="553"/>
      <c r="Q235" s="553"/>
      <c r="R235" s="553"/>
      <c r="S235" s="319"/>
    </row>
    <row r="236" spans="2:19" ht="15.75" customHeight="1">
      <c r="B236" s="553"/>
      <c r="C236" s="553"/>
      <c r="D236" s="553"/>
      <c r="E236" s="553"/>
      <c r="F236" s="553"/>
      <c r="G236" s="553"/>
      <c r="H236" s="553"/>
      <c r="I236" s="553"/>
      <c r="J236" s="553"/>
      <c r="K236" s="553"/>
      <c r="L236" s="553"/>
      <c r="M236" s="553"/>
      <c r="N236" s="553"/>
      <c r="O236" s="553"/>
      <c r="P236" s="553"/>
      <c r="Q236" s="553"/>
      <c r="R236" s="553"/>
      <c r="S236" s="319"/>
    </row>
    <row r="237" spans="2:19" ht="15.75" customHeight="1">
      <c r="B237" s="553"/>
      <c r="C237" s="553"/>
      <c r="D237" s="553"/>
      <c r="E237" s="553"/>
      <c r="F237" s="553"/>
      <c r="G237" s="553"/>
      <c r="H237" s="553"/>
      <c r="I237" s="553"/>
      <c r="J237" s="553"/>
      <c r="K237" s="553"/>
      <c r="L237" s="553"/>
      <c r="M237" s="553"/>
      <c r="N237" s="553"/>
      <c r="O237" s="553"/>
      <c r="P237" s="553"/>
      <c r="Q237" s="553"/>
      <c r="R237" s="553"/>
      <c r="S237" s="319"/>
    </row>
    <row r="238" spans="2:19" ht="15.75" customHeight="1">
      <c r="B238" s="553"/>
      <c r="C238" s="553"/>
      <c r="D238" s="553"/>
      <c r="E238" s="553"/>
      <c r="F238" s="553"/>
      <c r="G238" s="553"/>
      <c r="H238" s="553"/>
      <c r="I238" s="553"/>
      <c r="J238" s="553"/>
      <c r="K238" s="553"/>
      <c r="L238" s="553"/>
      <c r="M238" s="553"/>
      <c r="N238" s="553"/>
      <c r="O238" s="553"/>
      <c r="P238" s="553"/>
      <c r="Q238" s="553"/>
      <c r="R238" s="553"/>
      <c r="S238" s="319"/>
    </row>
    <row r="239" spans="2:19" ht="15.75" customHeight="1">
      <c r="B239" s="553"/>
      <c r="C239" s="553"/>
      <c r="D239" s="553"/>
      <c r="E239" s="553"/>
      <c r="F239" s="553"/>
      <c r="G239" s="553"/>
      <c r="H239" s="553"/>
      <c r="I239" s="553"/>
      <c r="J239" s="553"/>
      <c r="K239" s="553"/>
      <c r="L239" s="553"/>
      <c r="M239" s="553"/>
      <c r="N239" s="553"/>
      <c r="O239" s="553"/>
      <c r="P239" s="553"/>
      <c r="Q239" s="553"/>
      <c r="R239" s="553"/>
      <c r="S239" s="319"/>
    </row>
    <row r="240" spans="2:19" ht="15.75" customHeight="1">
      <c r="B240" s="553"/>
      <c r="C240" s="553"/>
      <c r="D240" s="553"/>
      <c r="E240" s="553"/>
      <c r="F240" s="553"/>
      <c r="G240" s="553"/>
      <c r="H240" s="553"/>
      <c r="I240" s="553"/>
      <c r="J240" s="553"/>
      <c r="K240" s="553"/>
      <c r="L240" s="553"/>
      <c r="M240" s="553"/>
      <c r="N240" s="553"/>
      <c r="O240" s="553"/>
      <c r="P240" s="553"/>
      <c r="Q240" s="553"/>
      <c r="R240" s="553"/>
      <c r="S240" s="319"/>
    </row>
    <row r="241" spans="2:19" ht="15.75" customHeight="1">
      <c r="B241" s="553"/>
      <c r="C241" s="553"/>
      <c r="D241" s="553"/>
      <c r="E241" s="553"/>
      <c r="F241" s="553"/>
      <c r="G241" s="553"/>
      <c r="H241" s="553"/>
      <c r="I241" s="553"/>
      <c r="J241" s="553"/>
      <c r="K241" s="553"/>
      <c r="L241" s="553"/>
      <c r="M241" s="553"/>
      <c r="N241" s="553"/>
      <c r="O241" s="553"/>
      <c r="P241" s="553"/>
      <c r="Q241" s="553"/>
      <c r="R241" s="553"/>
      <c r="S241" s="319"/>
    </row>
    <row r="242" spans="2:19" ht="15.75" customHeight="1">
      <c r="B242" s="553"/>
      <c r="C242" s="553"/>
      <c r="D242" s="553"/>
      <c r="E242" s="553"/>
      <c r="F242" s="553"/>
      <c r="G242" s="553"/>
      <c r="H242" s="553"/>
      <c r="I242" s="553"/>
      <c r="J242" s="553"/>
      <c r="K242" s="553"/>
      <c r="L242" s="553"/>
      <c r="M242" s="553"/>
      <c r="N242" s="553"/>
      <c r="O242" s="553"/>
      <c r="P242" s="553"/>
      <c r="Q242" s="553"/>
      <c r="R242" s="553"/>
      <c r="S242" s="319"/>
    </row>
    <row r="243" spans="2:19" ht="15.75" customHeight="1">
      <c r="B243" s="553"/>
      <c r="C243" s="553"/>
      <c r="D243" s="553"/>
      <c r="E243" s="553"/>
      <c r="F243" s="553"/>
      <c r="G243" s="553"/>
      <c r="H243" s="553"/>
      <c r="I243" s="553"/>
      <c r="J243" s="553"/>
      <c r="K243" s="553"/>
      <c r="L243" s="553"/>
      <c r="M243" s="553"/>
      <c r="N243" s="553"/>
      <c r="O243" s="553"/>
      <c r="P243" s="553"/>
      <c r="Q243" s="553"/>
      <c r="R243" s="553"/>
      <c r="S243" s="319"/>
    </row>
    <row r="244" spans="2:19" ht="15.75" customHeight="1">
      <c r="B244" s="553"/>
      <c r="C244" s="553"/>
      <c r="D244" s="553"/>
      <c r="E244" s="553"/>
      <c r="F244" s="553"/>
      <c r="G244" s="553"/>
      <c r="H244" s="553"/>
      <c r="I244" s="553"/>
      <c r="J244" s="553"/>
      <c r="K244" s="553"/>
      <c r="L244" s="553"/>
      <c r="M244" s="553"/>
      <c r="N244" s="553"/>
      <c r="O244" s="553"/>
      <c r="P244" s="553"/>
      <c r="Q244" s="553"/>
      <c r="R244" s="553"/>
      <c r="S244" s="319"/>
    </row>
    <row r="245" spans="2:19" ht="15.75" customHeight="1">
      <c r="B245" s="553"/>
      <c r="C245" s="553"/>
      <c r="D245" s="553"/>
      <c r="E245" s="553"/>
      <c r="F245" s="553"/>
      <c r="G245" s="553"/>
      <c r="H245" s="553"/>
      <c r="I245" s="553"/>
      <c r="J245" s="553"/>
      <c r="K245" s="553"/>
      <c r="L245" s="553"/>
      <c r="M245" s="553"/>
      <c r="N245" s="553"/>
      <c r="O245" s="553"/>
      <c r="P245" s="553"/>
      <c r="Q245" s="553"/>
      <c r="R245" s="553"/>
      <c r="S245" s="319"/>
    </row>
    <row r="246" spans="2:19" ht="15.75" customHeight="1">
      <c r="B246" s="553"/>
      <c r="C246" s="553"/>
      <c r="D246" s="553"/>
      <c r="E246" s="553"/>
      <c r="F246" s="553"/>
      <c r="G246" s="553"/>
      <c r="H246" s="553"/>
      <c r="I246" s="553"/>
      <c r="J246" s="553"/>
      <c r="K246" s="553"/>
      <c r="L246" s="553"/>
      <c r="M246" s="553"/>
      <c r="N246" s="553"/>
      <c r="O246" s="553"/>
      <c r="P246" s="553"/>
      <c r="Q246" s="553"/>
      <c r="R246" s="553"/>
      <c r="S246" s="319"/>
    </row>
    <row r="247" spans="2:19" ht="15.75" customHeight="1">
      <c r="B247" s="553"/>
      <c r="C247" s="553"/>
      <c r="D247" s="553"/>
      <c r="E247" s="553"/>
      <c r="F247" s="553"/>
      <c r="G247" s="553"/>
      <c r="H247" s="553"/>
      <c r="I247" s="553"/>
      <c r="J247" s="553"/>
      <c r="K247" s="553"/>
      <c r="L247" s="553"/>
      <c r="M247" s="553"/>
      <c r="N247" s="553"/>
      <c r="O247" s="553"/>
      <c r="P247" s="553"/>
      <c r="Q247" s="553"/>
      <c r="R247" s="553"/>
      <c r="S247" s="319"/>
    </row>
    <row r="248" spans="2:19" ht="15.75" customHeight="1">
      <c r="B248" s="553"/>
      <c r="C248" s="553"/>
      <c r="D248" s="553"/>
      <c r="E248" s="553"/>
      <c r="F248" s="553"/>
      <c r="G248" s="553"/>
      <c r="H248" s="553"/>
      <c r="I248" s="553"/>
      <c r="J248" s="553"/>
      <c r="K248" s="553"/>
      <c r="L248" s="553"/>
      <c r="M248" s="553"/>
      <c r="N248" s="553"/>
      <c r="O248" s="553"/>
      <c r="P248" s="553"/>
      <c r="Q248" s="553"/>
      <c r="R248" s="553"/>
      <c r="S248" s="319"/>
    </row>
    <row r="249" spans="2:19" ht="15.75" customHeight="1">
      <c r="B249" s="553"/>
      <c r="C249" s="553"/>
      <c r="D249" s="553"/>
      <c r="E249" s="553"/>
      <c r="F249" s="553"/>
      <c r="G249" s="553"/>
      <c r="H249" s="553"/>
      <c r="I249" s="553"/>
      <c r="J249" s="553"/>
      <c r="K249" s="553"/>
      <c r="L249" s="553"/>
      <c r="M249" s="553"/>
      <c r="N249" s="553"/>
      <c r="O249" s="553"/>
      <c r="P249" s="553"/>
      <c r="Q249" s="553"/>
      <c r="R249" s="553"/>
      <c r="S249" s="319"/>
    </row>
    <row r="250" spans="2:19" ht="15.75" customHeight="1">
      <c r="B250" s="553"/>
      <c r="C250" s="553"/>
      <c r="D250" s="553"/>
      <c r="E250" s="553"/>
      <c r="F250" s="553"/>
      <c r="G250" s="553"/>
      <c r="H250" s="553"/>
      <c r="I250" s="553"/>
      <c r="J250" s="553"/>
      <c r="K250" s="553"/>
      <c r="L250" s="553"/>
      <c r="M250" s="553"/>
      <c r="N250" s="553"/>
      <c r="O250" s="553"/>
      <c r="P250" s="553"/>
      <c r="Q250" s="553"/>
      <c r="R250" s="553"/>
      <c r="S250" s="319"/>
    </row>
    <row r="251" spans="2:19" ht="15.75" customHeight="1">
      <c r="B251" s="553"/>
      <c r="C251" s="553"/>
      <c r="D251" s="553"/>
      <c r="E251" s="553"/>
      <c r="F251" s="553"/>
      <c r="G251" s="553"/>
      <c r="H251" s="553"/>
      <c r="I251" s="553"/>
      <c r="J251" s="553"/>
      <c r="K251" s="553"/>
      <c r="L251" s="553"/>
      <c r="M251" s="553"/>
      <c r="N251" s="553"/>
      <c r="O251" s="553"/>
      <c r="P251" s="553"/>
      <c r="Q251" s="553"/>
      <c r="R251" s="553"/>
      <c r="S251" s="319"/>
    </row>
    <row r="252" spans="2:19" ht="15.75" customHeight="1">
      <c r="B252" s="553"/>
      <c r="C252" s="553"/>
      <c r="D252" s="553"/>
      <c r="E252" s="553"/>
      <c r="F252" s="553"/>
      <c r="G252" s="553"/>
      <c r="H252" s="553"/>
      <c r="I252" s="553"/>
      <c r="J252" s="553"/>
      <c r="K252" s="553"/>
      <c r="L252" s="553"/>
      <c r="M252" s="553"/>
      <c r="N252" s="553"/>
      <c r="O252" s="553"/>
      <c r="P252" s="553"/>
      <c r="Q252" s="553"/>
      <c r="R252" s="553"/>
      <c r="S252" s="319"/>
    </row>
    <row r="253" spans="2:19" ht="15.75" customHeight="1">
      <c r="B253" s="553"/>
      <c r="C253" s="553"/>
      <c r="D253" s="553"/>
      <c r="E253" s="553"/>
      <c r="F253" s="553"/>
      <c r="G253" s="553"/>
      <c r="H253" s="553"/>
      <c r="I253" s="553"/>
      <c r="J253" s="553"/>
      <c r="K253" s="553"/>
      <c r="L253" s="553"/>
      <c r="M253" s="553"/>
      <c r="N253" s="553"/>
      <c r="O253" s="553"/>
      <c r="P253" s="553"/>
      <c r="Q253" s="553"/>
      <c r="R253" s="553"/>
      <c r="S253" s="319"/>
    </row>
    <row r="254" spans="2:19" ht="15.75" customHeight="1">
      <c r="B254" s="553"/>
      <c r="C254" s="553"/>
      <c r="D254" s="553"/>
      <c r="E254" s="553"/>
      <c r="F254" s="553"/>
      <c r="G254" s="553"/>
      <c r="H254" s="553"/>
      <c r="I254" s="553"/>
      <c r="J254" s="553"/>
      <c r="K254" s="553"/>
      <c r="L254" s="553"/>
      <c r="M254" s="553"/>
      <c r="N254" s="553"/>
      <c r="O254" s="553"/>
      <c r="P254" s="553"/>
      <c r="Q254" s="553"/>
      <c r="R254" s="553"/>
      <c r="S254" s="319"/>
    </row>
    <row r="255" spans="2:19" ht="15.75" customHeight="1">
      <c r="B255" s="553"/>
      <c r="C255" s="553"/>
      <c r="D255" s="553"/>
      <c r="E255" s="553"/>
      <c r="F255" s="553"/>
      <c r="G255" s="553"/>
      <c r="H255" s="553"/>
      <c r="I255" s="553"/>
      <c r="J255" s="553"/>
      <c r="K255" s="553"/>
      <c r="L255" s="553"/>
      <c r="M255" s="553"/>
      <c r="N255" s="553"/>
      <c r="O255" s="553"/>
      <c r="P255" s="553"/>
      <c r="Q255" s="553"/>
      <c r="R255" s="553"/>
      <c r="S255" s="319"/>
    </row>
    <row r="256" spans="2:19" ht="15.75" customHeight="1">
      <c r="B256" s="553"/>
      <c r="C256" s="553"/>
      <c r="D256" s="553"/>
      <c r="E256" s="553"/>
      <c r="F256" s="553"/>
      <c r="G256" s="553"/>
      <c r="H256" s="553"/>
      <c r="I256" s="553"/>
      <c r="J256" s="553"/>
      <c r="K256" s="553"/>
      <c r="L256" s="553"/>
      <c r="M256" s="553"/>
      <c r="N256" s="553"/>
      <c r="O256" s="553"/>
      <c r="P256" s="553"/>
      <c r="Q256" s="553"/>
      <c r="R256" s="553"/>
      <c r="S256" s="319"/>
    </row>
    <row r="257" spans="2:19" ht="15.75" customHeight="1">
      <c r="B257" s="553"/>
      <c r="C257" s="553"/>
      <c r="D257" s="553"/>
      <c r="E257" s="553"/>
      <c r="F257" s="553"/>
      <c r="G257" s="553"/>
      <c r="H257" s="553"/>
      <c r="I257" s="553"/>
      <c r="J257" s="553"/>
      <c r="K257" s="553"/>
      <c r="L257" s="553"/>
      <c r="M257" s="553"/>
      <c r="N257" s="553"/>
      <c r="O257" s="553"/>
      <c r="P257" s="553"/>
      <c r="Q257" s="553"/>
      <c r="R257" s="553"/>
      <c r="S257" s="319"/>
    </row>
    <row r="258" spans="2:19" ht="15.75" customHeight="1">
      <c r="B258" s="553"/>
      <c r="C258" s="553"/>
      <c r="D258" s="553"/>
      <c r="E258" s="553"/>
      <c r="F258" s="553"/>
      <c r="G258" s="553"/>
      <c r="H258" s="553"/>
      <c r="I258" s="553"/>
      <c r="J258" s="553"/>
      <c r="K258" s="553"/>
      <c r="L258" s="553"/>
      <c r="M258" s="553"/>
      <c r="N258" s="553"/>
      <c r="O258" s="553"/>
      <c r="P258" s="553"/>
      <c r="Q258" s="553"/>
      <c r="R258" s="553"/>
      <c r="S258" s="319"/>
    </row>
    <row r="259" spans="2:19" ht="15.75" customHeight="1">
      <c r="B259" s="553"/>
      <c r="C259" s="553"/>
      <c r="D259" s="553"/>
      <c r="E259" s="553"/>
      <c r="F259" s="553"/>
      <c r="G259" s="553"/>
      <c r="H259" s="553"/>
      <c r="I259" s="553"/>
      <c r="J259" s="553"/>
      <c r="K259" s="553"/>
      <c r="L259" s="553"/>
      <c r="M259" s="553"/>
      <c r="N259" s="553"/>
      <c r="O259" s="553"/>
      <c r="P259" s="553"/>
      <c r="Q259" s="553"/>
      <c r="R259" s="553"/>
      <c r="S259" s="319"/>
    </row>
    <row r="260" spans="2:19" ht="15.75" customHeight="1">
      <c r="B260" s="553"/>
      <c r="C260" s="553"/>
      <c r="D260" s="553"/>
      <c r="E260" s="553"/>
      <c r="F260" s="553"/>
      <c r="G260" s="553"/>
      <c r="H260" s="553"/>
      <c r="I260" s="553"/>
      <c r="J260" s="553"/>
      <c r="K260" s="553"/>
      <c r="L260" s="553"/>
      <c r="M260" s="553"/>
      <c r="N260" s="553"/>
      <c r="O260" s="553"/>
      <c r="P260" s="553"/>
      <c r="Q260" s="553"/>
      <c r="R260" s="553"/>
      <c r="S260" s="319"/>
    </row>
    <row r="261" spans="2:19" ht="15.75" customHeight="1">
      <c r="B261" s="553"/>
      <c r="C261" s="553"/>
      <c r="D261" s="553"/>
      <c r="E261" s="553"/>
      <c r="F261" s="553"/>
      <c r="G261" s="553"/>
      <c r="H261" s="553"/>
      <c r="I261" s="553"/>
      <c r="J261" s="553"/>
      <c r="K261" s="553"/>
      <c r="L261" s="553"/>
      <c r="M261" s="553"/>
      <c r="N261" s="553"/>
      <c r="O261" s="553"/>
      <c r="P261" s="553"/>
      <c r="Q261" s="553"/>
      <c r="R261" s="553"/>
      <c r="S261" s="319"/>
    </row>
    <row r="262" spans="2:19" ht="15.75" customHeight="1">
      <c r="B262" s="553"/>
      <c r="C262" s="553"/>
      <c r="D262" s="553"/>
      <c r="E262" s="553"/>
      <c r="F262" s="553"/>
      <c r="G262" s="553"/>
      <c r="H262" s="553"/>
      <c r="I262" s="553"/>
      <c r="J262" s="553"/>
      <c r="K262" s="553"/>
      <c r="L262" s="553"/>
      <c r="M262" s="553"/>
      <c r="N262" s="553"/>
      <c r="O262" s="553"/>
      <c r="P262" s="553"/>
      <c r="Q262" s="553"/>
      <c r="R262" s="553"/>
      <c r="S262" s="319"/>
    </row>
    <row r="263" spans="2:19" ht="15.75" customHeight="1">
      <c r="B263" s="553"/>
      <c r="C263" s="553"/>
      <c r="D263" s="553"/>
      <c r="E263" s="553"/>
      <c r="F263" s="553"/>
      <c r="G263" s="553"/>
      <c r="H263" s="553"/>
      <c r="I263" s="553"/>
      <c r="J263" s="553"/>
      <c r="K263" s="553"/>
      <c r="L263" s="553"/>
      <c r="M263" s="553"/>
      <c r="N263" s="553"/>
      <c r="O263" s="553"/>
      <c r="P263" s="553"/>
      <c r="Q263" s="553"/>
      <c r="R263" s="553"/>
      <c r="S263" s="319"/>
    </row>
    <row r="264" spans="2:19" ht="15.75" customHeight="1">
      <c r="B264" s="553"/>
      <c r="C264" s="553"/>
      <c r="D264" s="553"/>
      <c r="E264" s="553"/>
      <c r="F264" s="553"/>
      <c r="G264" s="553"/>
      <c r="H264" s="553"/>
      <c r="I264" s="553"/>
      <c r="J264" s="553"/>
      <c r="K264" s="553"/>
      <c r="L264" s="553"/>
      <c r="M264" s="553"/>
      <c r="N264" s="553"/>
      <c r="O264" s="553"/>
      <c r="P264" s="553"/>
      <c r="Q264" s="553"/>
      <c r="R264" s="553"/>
      <c r="S264" s="319"/>
    </row>
    <row r="265" spans="2:19" ht="15.75" customHeight="1">
      <c r="B265" s="553"/>
      <c r="C265" s="553"/>
      <c r="D265" s="553"/>
      <c r="E265" s="553"/>
      <c r="F265" s="553"/>
      <c r="G265" s="553"/>
      <c r="H265" s="553"/>
      <c r="I265" s="553"/>
      <c r="J265" s="553"/>
      <c r="K265" s="553"/>
      <c r="L265" s="553"/>
      <c r="M265" s="553"/>
      <c r="N265" s="553"/>
      <c r="O265" s="553"/>
      <c r="P265" s="553"/>
      <c r="Q265" s="553"/>
      <c r="R265" s="553"/>
      <c r="S265" s="319"/>
    </row>
    <row r="266" spans="2:19" ht="15.75" customHeight="1">
      <c r="B266" s="553"/>
      <c r="C266" s="553"/>
      <c r="D266" s="553"/>
      <c r="E266" s="553"/>
      <c r="F266" s="553"/>
      <c r="G266" s="553"/>
      <c r="H266" s="553"/>
      <c r="I266" s="553"/>
      <c r="J266" s="553"/>
      <c r="K266" s="553"/>
      <c r="L266" s="553"/>
      <c r="M266" s="553"/>
      <c r="N266" s="553"/>
      <c r="O266" s="553"/>
      <c r="P266" s="553"/>
      <c r="Q266" s="553"/>
      <c r="R266" s="553"/>
      <c r="S266" s="319"/>
    </row>
    <row r="267" spans="2:19" ht="15.75" customHeight="1"/>
    <row r="268" spans="2:19" ht="15.75" customHeight="1"/>
    <row r="269" spans="2:19" ht="15.75" customHeight="1"/>
    <row r="270" spans="2:19" ht="15.75" customHeight="1"/>
    <row r="271" spans="2:19" ht="15.75" customHeight="1"/>
    <row r="272" spans="2:19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B3:R65">
    <cfRule type="cellIs" dxfId="59" priority="1" operator="greaterThan">
      <formula>0</formula>
    </cfRule>
  </conditionalFormatting>
  <conditionalFormatting sqref="S2:S65">
    <cfRule type="cellIs" dxfId="58" priority="2" operator="equal">
      <formula>0</formula>
    </cfRule>
  </conditionalFormatting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7" width="12.453125" customWidth="1"/>
    <col min="8" max="8" width="14.26953125" customWidth="1"/>
  </cols>
  <sheetData>
    <row r="1" spans="1:36" ht="24.75" hidden="1" customHeight="1">
      <c r="A1" s="397" t="s">
        <v>0</v>
      </c>
      <c r="B1" s="398"/>
      <c r="C1" s="398"/>
      <c r="D1" s="399"/>
      <c r="E1" s="562"/>
      <c r="F1" s="562"/>
      <c r="G1" s="562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36" ht="33" hidden="1" customHeight="1">
      <c r="A2" s="792" t="s">
        <v>1</v>
      </c>
      <c r="B2" s="793"/>
      <c r="C2" s="791"/>
      <c r="D2" s="399"/>
      <c r="E2" s="562"/>
      <c r="F2" s="562"/>
      <c r="G2" s="562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ht="23.25" hidden="1" customHeight="1">
      <c r="A3" s="794" t="s">
        <v>2</v>
      </c>
      <c r="B3" s="793"/>
      <c r="C3" s="791"/>
      <c r="D3" s="399"/>
      <c r="E3" s="562"/>
      <c r="F3" s="562"/>
      <c r="G3" s="562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ht="39.75" customHeight="1">
      <c r="A4" s="803" t="s">
        <v>1537</v>
      </c>
      <c r="B4" s="793"/>
      <c r="C4" s="793"/>
      <c r="D4" s="793"/>
      <c r="E4" s="793"/>
      <c r="F4" s="793"/>
      <c r="G4" s="791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ht="21" hidden="1" customHeight="1">
      <c r="A6" s="804" t="s">
        <v>1338</v>
      </c>
      <c r="B6" s="793"/>
      <c r="C6" s="793"/>
      <c r="D6" s="793"/>
      <c r="E6" s="793"/>
      <c r="F6" s="793"/>
      <c r="G6" s="791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ht="18.75" hidden="1" customHeight="1">
      <c r="A7" s="244"/>
      <c r="B7" s="401"/>
      <c r="C7" s="564" t="s">
        <v>1339</v>
      </c>
      <c r="D7" s="403"/>
      <c r="E7" s="565"/>
      <c r="F7" s="565"/>
      <c r="G7" s="565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t="14.25" hidden="1" customHeight="1">
      <c r="A8" s="244"/>
      <c r="B8" s="404"/>
      <c r="C8" s="564" t="s">
        <v>1340</v>
      </c>
      <c r="D8" s="405"/>
      <c r="E8" s="566"/>
      <c r="F8" s="566"/>
      <c r="G8" s="566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t="14.25" hidden="1" customHeight="1">
      <c r="A9" s="244"/>
      <c r="B9" s="404"/>
      <c r="C9" s="798" t="s">
        <v>1341</v>
      </c>
      <c r="D9" s="791"/>
      <c r="E9" s="567"/>
      <c r="F9" s="567"/>
      <c r="G9" s="56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ht="25.5" customHeight="1">
      <c r="A10" s="568"/>
      <c r="B10" s="569"/>
      <c r="C10" s="570"/>
      <c r="D10" s="571"/>
      <c r="E10" s="572"/>
      <c r="F10" s="572"/>
      <c r="G10" s="572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573" t="s">
        <v>25</v>
      </c>
      <c r="F11" s="414" t="s">
        <v>25</v>
      </c>
      <c r="G11" s="414" t="s">
        <v>25</v>
      </c>
      <c r="H11" s="20" t="s">
        <v>25</v>
      </c>
      <c r="I11" s="289" t="s">
        <v>25</v>
      </c>
      <c r="J11" s="574" t="s">
        <v>25</v>
      </c>
      <c r="K11" s="289" t="s">
        <v>25</v>
      </c>
      <c r="L11" s="180" t="s">
        <v>25</v>
      </c>
      <c r="M11" s="22" t="s">
        <v>25</v>
      </c>
      <c r="N11" s="21" t="s">
        <v>25</v>
      </c>
      <c r="O11" s="279" t="s">
        <v>25</v>
      </c>
      <c r="P11" s="575"/>
      <c r="Q11" s="414"/>
      <c r="R11" s="414"/>
      <c r="S11" s="414"/>
      <c r="T11" s="21"/>
      <c r="U11" s="575"/>
      <c r="V11" s="22"/>
      <c r="W11" s="21"/>
      <c r="X11" s="21"/>
      <c r="Y11" s="21"/>
      <c r="Z11" s="21"/>
      <c r="AA11" s="21"/>
      <c r="AB11" s="201"/>
      <c r="AC11" s="576" t="s">
        <v>38</v>
      </c>
      <c r="AD11" s="577"/>
      <c r="AE11" s="535"/>
      <c r="AF11" s="535"/>
      <c r="AG11" s="7"/>
      <c r="AH11" s="7"/>
      <c r="AI11" s="7"/>
      <c r="AJ11" s="7"/>
    </row>
    <row r="12" spans="1:36" ht="29.25" customHeight="1">
      <c r="A12" s="578"/>
      <c r="B12" s="430"/>
      <c r="C12" s="579" t="s">
        <v>39</v>
      </c>
      <c r="D12" s="186"/>
      <c r="E12" s="185">
        <v>1</v>
      </c>
      <c r="F12" s="293">
        <v>1</v>
      </c>
      <c r="G12" s="580">
        <v>1</v>
      </c>
      <c r="H12" s="580">
        <v>1</v>
      </c>
      <c r="I12" s="187">
        <v>1</v>
      </c>
      <c r="J12" s="185">
        <v>1</v>
      </c>
      <c r="K12" s="187">
        <v>1</v>
      </c>
      <c r="L12" s="185"/>
      <c r="M12" s="247"/>
      <c r="N12" s="293">
        <v>1</v>
      </c>
      <c r="O12" s="247"/>
      <c r="P12" s="26"/>
      <c r="Q12" s="185"/>
      <c r="R12" s="185"/>
      <c r="S12" s="185"/>
      <c r="T12" s="191"/>
      <c r="U12" s="30"/>
      <c r="V12" s="29"/>
      <c r="W12" s="185"/>
      <c r="X12" s="185"/>
      <c r="Y12" s="185"/>
      <c r="Z12" s="185"/>
      <c r="AA12" s="185"/>
      <c r="AB12" s="352"/>
      <c r="AC12" s="581">
        <f>SUM(E12:AB12)</f>
        <v>8</v>
      </c>
      <c r="AD12" s="582"/>
      <c r="AE12" s="582"/>
      <c r="AF12" s="582"/>
      <c r="AG12" s="7"/>
      <c r="AH12" s="7"/>
      <c r="AI12" s="7"/>
      <c r="AJ12" s="7"/>
    </row>
    <row r="13" spans="1:36" ht="37.5" customHeight="1">
      <c r="A13" s="583"/>
      <c r="B13" s="584"/>
      <c r="C13" s="585" t="s">
        <v>40</v>
      </c>
      <c r="D13" s="584"/>
      <c r="E13" s="32">
        <v>44745</v>
      </c>
      <c r="F13" s="189" t="s">
        <v>1538</v>
      </c>
      <c r="G13" s="586" t="s">
        <v>1539</v>
      </c>
      <c r="H13" s="586" t="s">
        <v>1540</v>
      </c>
      <c r="I13" s="587" t="s">
        <v>1541</v>
      </c>
      <c r="J13" s="191" t="s">
        <v>1542</v>
      </c>
      <c r="K13" s="189" t="s">
        <v>1543</v>
      </c>
      <c r="L13" s="40" t="s">
        <v>1544</v>
      </c>
      <c r="M13" s="192" t="s">
        <v>1545</v>
      </c>
      <c r="N13" s="30" t="s">
        <v>1546</v>
      </c>
      <c r="O13" s="250"/>
      <c r="P13" s="588"/>
      <c r="Q13" s="32"/>
      <c r="R13" s="32"/>
      <c r="S13" s="32"/>
      <c r="T13" s="32"/>
      <c r="U13" s="589"/>
      <c r="V13" s="189"/>
      <c r="W13" s="590"/>
      <c r="X13" s="590"/>
      <c r="Y13" s="590"/>
      <c r="Z13" s="590"/>
      <c r="AA13" s="590"/>
      <c r="AB13" s="32"/>
      <c r="AC13" s="581"/>
      <c r="AD13" s="591"/>
      <c r="AE13" s="582"/>
      <c r="AF13" s="591"/>
      <c r="AG13" s="7"/>
      <c r="AH13" s="7"/>
      <c r="AI13" s="7"/>
      <c r="AJ13" s="7"/>
    </row>
    <row r="14" spans="1:36" ht="53.25" customHeight="1">
      <c r="A14" s="578"/>
      <c r="B14" s="430"/>
      <c r="C14" s="579" t="s">
        <v>41</v>
      </c>
      <c r="D14" s="430"/>
      <c r="E14" s="185"/>
      <c r="F14" s="185"/>
      <c r="G14" s="186" t="s">
        <v>1547</v>
      </c>
      <c r="H14" s="186"/>
      <c r="I14" s="190"/>
      <c r="J14" s="592"/>
      <c r="K14" s="190"/>
      <c r="L14" s="185" t="s">
        <v>1548</v>
      </c>
      <c r="M14" s="185" t="s">
        <v>1549</v>
      </c>
      <c r="N14" s="185" t="s">
        <v>1550</v>
      </c>
      <c r="O14" s="247" t="s">
        <v>1551</v>
      </c>
      <c r="P14" s="588"/>
      <c r="Q14" s="185"/>
      <c r="R14" s="185"/>
      <c r="S14" s="185"/>
      <c r="T14" s="185"/>
      <c r="U14" s="589"/>
      <c r="V14" s="30"/>
      <c r="W14" s="186"/>
      <c r="X14" s="186"/>
      <c r="Y14" s="186"/>
      <c r="Z14" s="186"/>
      <c r="AA14" s="186"/>
      <c r="AB14" s="593"/>
      <c r="AC14" s="581"/>
      <c r="AD14" s="582"/>
      <c r="AE14" s="582"/>
      <c r="AF14" s="582"/>
      <c r="AG14" s="7"/>
      <c r="AH14" s="7"/>
      <c r="AI14" s="7"/>
      <c r="AJ14" s="7"/>
    </row>
    <row r="15" spans="1:36" ht="51" customHeight="1">
      <c r="A15" s="578"/>
      <c r="B15" s="430"/>
      <c r="C15" s="579" t="s">
        <v>42</v>
      </c>
      <c r="D15" s="430"/>
      <c r="E15" s="594" t="s">
        <v>1552</v>
      </c>
      <c r="F15" s="191" t="s">
        <v>1553</v>
      </c>
      <c r="G15" s="186" t="s">
        <v>1554</v>
      </c>
      <c r="H15" s="186" t="s">
        <v>1555</v>
      </c>
      <c r="I15" s="190" t="s">
        <v>1394</v>
      </c>
      <c r="J15" s="185" t="s">
        <v>1556</v>
      </c>
      <c r="K15" s="190" t="s">
        <v>1557</v>
      </c>
      <c r="L15" s="191" t="s">
        <v>1394</v>
      </c>
      <c r="M15" s="247"/>
      <c r="N15" s="190" t="s">
        <v>1558</v>
      </c>
      <c r="O15" s="247"/>
      <c r="P15" s="595"/>
      <c r="Q15" s="191"/>
      <c r="R15" s="191"/>
      <c r="S15" s="191"/>
      <c r="T15" s="185"/>
      <c r="U15" s="596"/>
      <c r="V15" s="30"/>
      <c r="W15" s="190"/>
      <c r="X15" s="190"/>
      <c r="Y15" s="190"/>
      <c r="Z15" s="190"/>
      <c r="AA15" s="190"/>
      <c r="AB15" s="353"/>
      <c r="AC15" s="576"/>
      <c r="AD15" s="582"/>
      <c r="AE15" s="582"/>
      <c r="AF15" s="582"/>
      <c r="AG15" s="7"/>
      <c r="AH15" s="7"/>
      <c r="AI15" s="7"/>
      <c r="AJ15" s="7"/>
    </row>
    <row r="16" spans="1:36" ht="30.75" customHeight="1">
      <c r="A16" s="579"/>
      <c r="B16" s="186"/>
      <c r="C16" s="579" t="s">
        <v>43</v>
      </c>
      <c r="D16" s="186"/>
      <c r="E16" s="354" t="s">
        <v>1559</v>
      </c>
      <c r="F16" s="193" t="s">
        <v>1560</v>
      </c>
      <c r="G16" s="586"/>
      <c r="H16" s="354" t="s">
        <v>1561</v>
      </c>
      <c r="I16" s="194" t="s">
        <v>1562</v>
      </c>
      <c r="J16" s="185" t="s">
        <v>1563</v>
      </c>
      <c r="K16" s="194"/>
      <c r="L16" s="193" t="s">
        <v>1564</v>
      </c>
      <c r="M16" s="247" t="s">
        <v>1565</v>
      </c>
      <c r="N16" s="354" t="s">
        <v>1566</v>
      </c>
      <c r="O16" s="247" t="s">
        <v>1567</v>
      </c>
      <c r="P16" s="595"/>
      <c r="Q16" s="193"/>
      <c r="R16" s="193"/>
      <c r="S16" s="193"/>
      <c r="T16" s="354"/>
      <c r="U16" s="596"/>
      <c r="V16" s="34"/>
      <c r="W16" s="354"/>
      <c r="X16" s="354"/>
      <c r="Y16" s="354"/>
      <c r="Z16" s="354"/>
      <c r="AA16" s="354"/>
      <c r="AB16" s="597"/>
      <c r="AC16" s="598"/>
      <c r="AD16" s="599"/>
      <c r="AE16" s="599"/>
      <c r="AF16" s="599"/>
      <c r="AG16" s="7"/>
      <c r="AH16" s="7"/>
      <c r="AI16" s="7"/>
      <c r="AJ16" s="7"/>
    </row>
    <row r="17" spans="1:36" ht="33.75" customHeight="1">
      <c r="A17" s="583"/>
      <c r="B17" s="584"/>
      <c r="C17" s="585" t="s">
        <v>70</v>
      </c>
      <c r="D17" s="584"/>
      <c r="E17" s="32">
        <v>44776</v>
      </c>
      <c r="F17" s="32" t="s">
        <v>1568</v>
      </c>
      <c r="G17" s="586" t="s">
        <v>1539</v>
      </c>
      <c r="H17" s="586" t="s">
        <v>1569</v>
      </c>
      <c r="I17" s="587" t="s">
        <v>1570</v>
      </c>
      <c r="J17" s="30" t="s">
        <v>1571</v>
      </c>
      <c r="K17" s="587" t="s">
        <v>1572</v>
      </c>
      <c r="L17" s="40" t="s">
        <v>1573</v>
      </c>
      <c r="M17" s="40" t="s">
        <v>1574</v>
      </c>
      <c r="N17" s="32">
        <v>44837</v>
      </c>
      <c r="O17" s="600" t="s">
        <v>1575</v>
      </c>
      <c r="P17" s="32"/>
      <c r="Q17" s="32"/>
      <c r="R17" s="32"/>
      <c r="S17" s="32"/>
      <c r="T17" s="601"/>
      <c r="U17" s="596"/>
      <c r="V17" s="189"/>
      <c r="W17" s="590"/>
      <c r="X17" s="590"/>
      <c r="Y17" s="590"/>
      <c r="Z17" s="590"/>
      <c r="AA17" s="590"/>
      <c r="AB17" s="32"/>
      <c r="AC17" s="581"/>
      <c r="AD17" s="591"/>
      <c r="AE17" s="591"/>
      <c r="AF17" s="591"/>
      <c r="AG17" s="7"/>
      <c r="AH17" s="7"/>
      <c r="AI17" s="7"/>
      <c r="AJ17" s="7"/>
    </row>
    <row r="18" spans="1:36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196"/>
      <c r="H18" s="196"/>
      <c r="I18" s="198"/>
      <c r="J18" s="197"/>
      <c r="K18" s="198"/>
      <c r="L18" s="43"/>
      <c r="M18" s="462"/>
      <c r="N18" s="196"/>
      <c r="O18" s="255"/>
      <c r="P18" s="43"/>
      <c r="Q18" s="43"/>
      <c r="R18" s="43"/>
      <c r="S18" s="43"/>
      <c r="T18" s="197"/>
      <c r="U18" s="602"/>
      <c r="V18" s="302"/>
      <c r="W18" s="196"/>
      <c r="X18" s="603"/>
      <c r="Y18" s="604"/>
      <c r="Z18" s="605"/>
      <c r="AA18" s="605"/>
      <c r="AB18" s="606"/>
      <c r="AC18" s="607"/>
      <c r="AD18" s="608"/>
      <c r="AE18" s="609"/>
      <c r="AF18" s="609"/>
      <c r="AG18" s="7"/>
      <c r="AH18" s="7"/>
      <c r="AI18" s="7"/>
      <c r="AJ18" s="7"/>
    </row>
    <row r="19" spans="1:36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2"/>
      <c r="H19" s="202"/>
      <c r="I19" s="204"/>
      <c r="J19" s="611"/>
      <c r="K19" s="204"/>
      <c r="L19" s="201"/>
      <c r="M19" s="363"/>
      <c r="N19" s="202"/>
      <c r="O19" s="258"/>
      <c r="P19" s="201"/>
      <c r="Q19" s="201"/>
      <c r="R19" s="201"/>
      <c r="S19" s="201"/>
      <c r="T19" s="203"/>
      <c r="U19" s="201"/>
      <c r="V19" s="304"/>
      <c r="W19" s="202"/>
      <c r="X19" s="612"/>
      <c r="Y19" s="613"/>
      <c r="Z19" s="614"/>
      <c r="AA19" s="614"/>
      <c r="AB19" s="615"/>
      <c r="AC19" s="616"/>
      <c r="AD19" s="617"/>
      <c r="AE19" s="577"/>
      <c r="AF19" s="577"/>
      <c r="AG19" s="7"/>
      <c r="AH19" s="363"/>
      <c r="AI19" s="7"/>
      <c r="AJ19" s="618">
        <f t="shared" ref="AJ19:AJ35" si="0">AH19-AC19</f>
        <v>0</v>
      </c>
    </row>
    <row r="20" spans="1:36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>
        <v>1</v>
      </c>
      <c r="G20" s="210"/>
      <c r="H20" s="210"/>
      <c r="I20" s="211"/>
      <c r="J20" s="620"/>
      <c r="K20" s="211"/>
      <c r="L20" s="209">
        <v>5</v>
      </c>
      <c r="M20" s="370"/>
      <c r="N20" s="210"/>
      <c r="O20" s="284">
        <v>1</v>
      </c>
      <c r="P20" s="209"/>
      <c r="Q20" s="209"/>
      <c r="R20" s="209"/>
      <c r="S20" s="209"/>
      <c r="T20" s="210"/>
      <c r="U20" s="209"/>
      <c r="V20" s="211"/>
      <c r="W20" s="210"/>
      <c r="X20" s="621"/>
      <c r="Y20" s="622"/>
      <c r="Z20" s="623"/>
      <c r="AA20" s="623"/>
      <c r="AB20" s="624"/>
      <c r="AC20" s="625">
        <f t="shared" ref="AC20:AC274" si="1">+SUM(E20:AB20)</f>
        <v>7</v>
      </c>
      <c r="AD20" s="626"/>
      <c r="AE20" s="627"/>
      <c r="AF20" s="627"/>
      <c r="AG20" s="7"/>
      <c r="AH20" s="628">
        <v>10</v>
      </c>
      <c r="AI20" s="7"/>
      <c r="AJ20" s="618">
        <f t="shared" si="0"/>
        <v>3</v>
      </c>
    </row>
    <row r="21" spans="1:36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4"/>
      <c r="H21" s="214"/>
      <c r="I21" s="215"/>
      <c r="J21" s="620"/>
      <c r="K21" s="215"/>
      <c r="L21" s="213"/>
      <c r="M21" s="370"/>
      <c r="N21" s="214"/>
      <c r="O21" s="262"/>
      <c r="P21" s="213"/>
      <c r="Q21" s="213"/>
      <c r="R21" s="213"/>
      <c r="S21" s="213"/>
      <c r="T21" s="221"/>
      <c r="U21" s="213"/>
      <c r="V21" s="215"/>
      <c r="W21" s="214"/>
      <c r="X21" s="630"/>
      <c r="Y21" s="631"/>
      <c r="Z21" s="632"/>
      <c r="AA21" s="632"/>
      <c r="AB21" s="615"/>
      <c r="AC21" s="616">
        <f t="shared" si="1"/>
        <v>0</v>
      </c>
      <c r="AD21" s="633"/>
      <c r="AE21" s="634"/>
      <c r="AF21" s="634"/>
      <c r="AG21" s="7"/>
      <c r="AH21" s="628"/>
      <c r="AI21" s="7"/>
      <c r="AJ21" s="618">
        <f t="shared" si="0"/>
        <v>0</v>
      </c>
    </row>
    <row r="22" spans="1:36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4"/>
      <c r="H22" s="214"/>
      <c r="I22" s="215"/>
      <c r="J22" s="620"/>
      <c r="K22" s="215"/>
      <c r="L22" s="213"/>
      <c r="M22" s="370"/>
      <c r="N22" s="214"/>
      <c r="O22" s="262"/>
      <c r="P22" s="213"/>
      <c r="Q22" s="213"/>
      <c r="R22" s="213"/>
      <c r="S22" s="213"/>
      <c r="T22" s="221"/>
      <c r="U22" s="213"/>
      <c r="V22" s="215"/>
      <c r="W22" s="214"/>
      <c r="X22" s="630"/>
      <c r="Y22" s="631"/>
      <c r="Z22" s="632"/>
      <c r="AA22" s="632"/>
      <c r="AB22" s="615"/>
      <c r="AC22" s="616">
        <f t="shared" si="1"/>
        <v>0</v>
      </c>
      <c r="AD22" s="633"/>
      <c r="AE22" s="634"/>
      <c r="AF22" s="634"/>
      <c r="AG22" s="7"/>
      <c r="AH22" s="628"/>
      <c r="AI22" s="7"/>
      <c r="AJ22" s="618">
        <f t="shared" si="0"/>
        <v>0</v>
      </c>
    </row>
    <row r="23" spans="1:36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4"/>
      <c r="H23" s="214"/>
      <c r="I23" s="215"/>
      <c r="J23" s="620"/>
      <c r="K23" s="215"/>
      <c r="L23" s="213"/>
      <c r="M23" s="370"/>
      <c r="N23" s="214"/>
      <c r="O23" s="262"/>
      <c r="P23" s="213"/>
      <c r="Q23" s="213"/>
      <c r="R23" s="213"/>
      <c r="S23" s="213"/>
      <c r="T23" s="221"/>
      <c r="U23" s="213"/>
      <c r="V23" s="215"/>
      <c r="W23" s="214"/>
      <c r="X23" s="630"/>
      <c r="Y23" s="631"/>
      <c r="Z23" s="632"/>
      <c r="AA23" s="632"/>
      <c r="AB23" s="615"/>
      <c r="AC23" s="616">
        <f t="shared" si="1"/>
        <v>0</v>
      </c>
      <c r="AD23" s="633"/>
      <c r="AE23" s="634"/>
      <c r="AF23" s="634"/>
      <c r="AG23" s="7"/>
      <c r="AH23" s="628"/>
      <c r="AI23" s="7"/>
      <c r="AJ23" s="618">
        <f t="shared" si="0"/>
        <v>0</v>
      </c>
    </row>
    <row r="24" spans="1:36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4"/>
      <c r="H24" s="214"/>
      <c r="I24" s="215"/>
      <c r="J24" s="620"/>
      <c r="K24" s="215"/>
      <c r="L24" s="213"/>
      <c r="M24" s="370"/>
      <c r="N24" s="214"/>
      <c r="O24" s="262"/>
      <c r="P24" s="213"/>
      <c r="Q24" s="213"/>
      <c r="R24" s="213"/>
      <c r="S24" s="213"/>
      <c r="T24" s="221"/>
      <c r="U24" s="213"/>
      <c r="V24" s="215"/>
      <c r="W24" s="214"/>
      <c r="X24" s="630"/>
      <c r="Y24" s="631"/>
      <c r="Z24" s="632"/>
      <c r="AA24" s="632"/>
      <c r="AB24" s="615"/>
      <c r="AC24" s="616">
        <f t="shared" si="1"/>
        <v>0</v>
      </c>
      <c r="AD24" s="633"/>
      <c r="AE24" s="634"/>
      <c r="AF24" s="634"/>
      <c r="AG24" s="7"/>
      <c r="AH24" s="628"/>
      <c r="AI24" s="7"/>
      <c r="AJ24" s="618">
        <f t="shared" si="0"/>
        <v>0</v>
      </c>
    </row>
    <row r="25" spans="1:36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10"/>
      <c r="H25" s="210"/>
      <c r="I25" s="211"/>
      <c r="J25" s="620"/>
      <c r="K25" s="211"/>
      <c r="L25" s="209"/>
      <c r="M25" s="370"/>
      <c r="N25" s="210"/>
      <c r="O25" s="286"/>
      <c r="P25" s="209"/>
      <c r="Q25" s="209"/>
      <c r="R25" s="209"/>
      <c r="S25" s="209"/>
      <c r="T25" s="210"/>
      <c r="U25" s="209"/>
      <c r="V25" s="211"/>
      <c r="W25" s="210"/>
      <c r="X25" s="621"/>
      <c r="Y25" s="622"/>
      <c r="Z25" s="623"/>
      <c r="AA25" s="623"/>
      <c r="AB25" s="624"/>
      <c r="AC25" s="625">
        <f t="shared" si="1"/>
        <v>0</v>
      </c>
      <c r="AD25" s="626"/>
      <c r="AE25" s="627"/>
      <c r="AF25" s="627"/>
      <c r="AG25" s="7"/>
      <c r="AH25" s="628">
        <v>1</v>
      </c>
      <c r="AI25" s="7"/>
      <c r="AJ25" s="618">
        <f t="shared" si="0"/>
        <v>1</v>
      </c>
    </row>
    <row r="26" spans="1:36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4"/>
      <c r="H26" s="214"/>
      <c r="I26" s="215"/>
      <c r="J26" s="620"/>
      <c r="K26" s="215"/>
      <c r="L26" s="213"/>
      <c r="M26" s="370"/>
      <c r="N26" s="214"/>
      <c r="O26" s="262"/>
      <c r="P26" s="213"/>
      <c r="Q26" s="213"/>
      <c r="R26" s="213"/>
      <c r="S26" s="213"/>
      <c r="T26" s="221"/>
      <c r="U26" s="213"/>
      <c r="V26" s="215"/>
      <c r="W26" s="214"/>
      <c r="X26" s="630"/>
      <c r="Y26" s="631"/>
      <c r="Z26" s="632"/>
      <c r="AA26" s="632"/>
      <c r="AB26" s="615"/>
      <c r="AC26" s="616">
        <f t="shared" si="1"/>
        <v>0</v>
      </c>
      <c r="AD26" s="633"/>
      <c r="AE26" s="634"/>
      <c r="AF26" s="634"/>
      <c r="AG26" s="7"/>
      <c r="AH26" s="628"/>
      <c r="AI26" s="7"/>
      <c r="AJ26" s="618">
        <f t="shared" si="0"/>
        <v>0</v>
      </c>
    </row>
    <row r="27" spans="1:36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4"/>
      <c r="H27" s="214"/>
      <c r="I27" s="215"/>
      <c r="J27" s="620"/>
      <c r="K27" s="215"/>
      <c r="L27" s="213"/>
      <c r="M27" s="370"/>
      <c r="N27" s="214"/>
      <c r="O27" s="262"/>
      <c r="P27" s="213"/>
      <c r="Q27" s="213"/>
      <c r="R27" s="213"/>
      <c r="S27" s="213"/>
      <c r="T27" s="221"/>
      <c r="U27" s="213"/>
      <c r="V27" s="215"/>
      <c r="W27" s="214"/>
      <c r="X27" s="630"/>
      <c r="Y27" s="631"/>
      <c r="Z27" s="632"/>
      <c r="AA27" s="632"/>
      <c r="AB27" s="615"/>
      <c r="AC27" s="616">
        <f t="shared" si="1"/>
        <v>0</v>
      </c>
      <c r="AD27" s="633"/>
      <c r="AE27" s="634"/>
      <c r="AF27" s="634"/>
      <c r="AG27" s="7"/>
      <c r="AH27" s="628"/>
      <c r="AI27" s="7"/>
      <c r="AJ27" s="618">
        <f t="shared" si="0"/>
        <v>0</v>
      </c>
    </row>
    <row r="28" spans="1:36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4"/>
      <c r="H28" s="214"/>
      <c r="I28" s="215"/>
      <c r="J28" s="620"/>
      <c r="K28" s="215"/>
      <c r="L28" s="213"/>
      <c r="M28" s="370"/>
      <c r="N28" s="214"/>
      <c r="O28" s="262"/>
      <c r="P28" s="213"/>
      <c r="Q28" s="213"/>
      <c r="R28" s="213"/>
      <c r="S28" s="213"/>
      <c r="T28" s="221"/>
      <c r="U28" s="213"/>
      <c r="V28" s="215"/>
      <c r="W28" s="214"/>
      <c r="X28" s="630"/>
      <c r="Y28" s="631"/>
      <c r="Z28" s="632"/>
      <c r="AA28" s="632"/>
      <c r="AB28" s="615"/>
      <c r="AC28" s="616">
        <f t="shared" si="1"/>
        <v>0</v>
      </c>
      <c r="AD28" s="633"/>
      <c r="AE28" s="634"/>
      <c r="AF28" s="634"/>
      <c r="AG28" s="7"/>
      <c r="AH28" s="628"/>
      <c r="AI28" s="7"/>
      <c r="AJ28" s="618">
        <f t="shared" si="0"/>
        <v>0</v>
      </c>
    </row>
    <row r="29" spans="1:36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4"/>
      <c r="H29" s="214"/>
      <c r="I29" s="215"/>
      <c r="J29" s="620"/>
      <c r="K29" s="215"/>
      <c r="L29" s="213"/>
      <c r="M29" s="370"/>
      <c r="N29" s="214"/>
      <c r="O29" s="262"/>
      <c r="P29" s="213"/>
      <c r="Q29" s="213"/>
      <c r="R29" s="213"/>
      <c r="S29" s="213"/>
      <c r="T29" s="221"/>
      <c r="U29" s="213"/>
      <c r="V29" s="215"/>
      <c r="W29" s="214"/>
      <c r="X29" s="630"/>
      <c r="Y29" s="631"/>
      <c r="Z29" s="632"/>
      <c r="AA29" s="632"/>
      <c r="AB29" s="615"/>
      <c r="AC29" s="616">
        <f t="shared" si="1"/>
        <v>0</v>
      </c>
      <c r="AD29" s="633"/>
      <c r="AE29" s="634"/>
      <c r="AF29" s="634"/>
      <c r="AG29" s="7"/>
      <c r="AH29" s="628"/>
      <c r="AI29" s="7"/>
      <c r="AJ29" s="618">
        <f t="shared" si="0"/>
        <v>0</v>
      </c>
    </row>
    <row r="30" spans="1:36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10"/>
      <c r="H30" s="210"/>
      <c r="I30" s="211"/>
      <c r="J30" s="620"/>
      <c r="K30" s="211"/>
      <c r="L30" s="209"/>
      <c r="M30" s="370"/>
      <c r="N30" s="210"/>
      <c r="O30" s="286"/>
      <c r="P30" s="209"/>
      <c r="Q30" s="209"/>
      <c r="R30" s="209"/>
      <c r="S30" s="209"/>
      <c r="T30" s="210"/>
      <c r="U30" s="209"/>
      <c r="V30" s="211"/>
      <c r="W30" s="210"/>
      <c r="X30" s="621"/>
      <c r="Y30" s="622"/>
      <c r="Z30" s="623"/>
      <c r="AA30" s="623"/>
      <c r="AB30" s="624"/>
      <c r="AC30" s="625">
        <f t="shared" si="1"/>
        <v>0</v>
      </c>
      <c r="AD30" s="626"/>
      <c r="AE30" s="627"/>
      <c r="AF30" s="627"/>
      <c r="AG30" s="7"/>
      <c r="AH30" s="628">
        <v>1</v>
      </c>
      <c r="AI30" s="7"/>
      <c r="AJ30" s="618">
        <f t="shared" si="0"/>
        <v>1</v>
      </c>
    </row>
    <row r="31" spans="1:36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4"/>
      <c r="H31" s="214"/>
      <c r="I31" s="215"/>
      <c r="J31" s="620"/>
      <c r="K31" s="215"/>
      <c r="L31" s="213"/>
      <c r="M31" s="370"/>
      <c r="N31" s="214"/>
      <c r="O31" s="262"/>
      <c r="P31" s="213"/>
      <c r="Q31" s="213"/>
      <c r="R31" s="213"/>
      <c r="S31" s="213"/>
      <c r="T31" s="221"/>
      <c r="U31" s="213"/>
      <c r="V31" s="215"/>
      <c r="W31" s="214"/>
      <c r="X31" s="630"/>
      <c r="Y31" s="631"/>
      <c r="Z31" s="632"/>
      <c r="AA31" s="632"/>
      <c r="AB31" s="615"/>
      <c r="AC31" s="616">
        <f t="shared" si="1"/>
        <v>0</v>
      </c>
      <c r="AD31" s="633"/>
      <c r="AE31" s="634"/>
      <c r="AF31" s="634"/>
      <c r="AG31" s="7"/>
      <c r="AH31" s="628"/>
      <c r="AI31" s="7"/>
      <c r="AJ31" s="618">
        <f t="shared" si="0"/>
        <v>0</v>
      </c>
    </row>
    <row r="32" spans="1:36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4"/>
      <c r="H32" s="214"/>
      <c r="I32" s="215"/>
      <c r="J32" s="620"/>
      <c r="K32" s="215"/>
      <c r="L32" s="213"/>
      <c r="M32" s="370"/>
      <c r="N32" s="214"/>
      <c r="O32" s="262"/>
      <c r="P32" s="213"/>
      <c r="Q32" s="213"/>
      <c r="R32" s="213"/>
      <c r="S32" s="213"/>
      <c r="T32" s="221"/>
      <c r="U32" s="213"/>
      <c r="V32" s="215"/>
      <c r="W32" s="214"/>
      <c r="X32" s="630"/>
      <c r="Y32" s="631"/>
      <c r="Z32" s="632"/>
      <c r="AA32" s="632"/>
      <c r="AB32" s="615"/>
      <c r="AC32" s="616">
        <f t="shared" si="1"/>
        <v>0</v>
      </c>
      <c r="AD32" s="633"/>
      <c r="AE32" s="634"/>
      <c r="AF32" s="634"/>
      <c r="AG32" s="7"/>
      <c r="AH32" s="628"/>
      <c r="AI32" s="7"/>
      <c r="AJ32" s="618">
        <f t="shared" si="0"/>
        <v>0</v>
      </c>
    </row>
    <row r="33" spans="1:36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4"/>
      <c r="H33" s="214"/>
      <c r="I33" s="215"/>
      <c r="J33" s="620"/>
      <c r="K33" s="215"/>
      <c r="L33" s="213"/>
      <c r="M33" s="370"/>
      <c r="N33" s="214"/>
      <c r="O33" s="262"/>
      <c r="P33" s="213"/>
      <c r="Q33" s="213"/>
      <c r="R33" s="213"/>
      <c r="S33" s="213"/>
      <c r="T33" s="221"/>
      <c r="U33" s="213"/>
      <c r="V33" s="215"/>
      <c r="W33" s="214"/>
      <c r="X33" s="630"/>
      <c r="Y33" s="631"/>
      <c r="Z33" s="632"/>
      <c r="AA33" s="632"/>
      <c r="AB33" s="615"/>
      <c r="AC33" s="616">
        <f t="shared" si="1"/>
        <v>0</v>
      </c>
      <c r="AD33" s="633"/>
      <c r="AE33" s="634"/>
      <c r="AF33" s="634"/>
      <c r="AG33" s="7"/>
      <c r="AH33" s="628"/>
      <c r="AI33" s="7"/>
      <c r="AJ33" s="618">
        <f t="shared" si="0"/>
        <v>0</v>
      </c>
    </row>
    <row r="34" spans="1:36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4"/>
      <c r="H34" s="214"/>
      <c r="I34" s="215"/>
      <c r="J34" s="620"/>
      <c r="K34" s="215"/>
      <c r="L34" s="213"/>
      <c r="M34" s="370"/>
      <c r="N34" s="214"/>
      <c r="O34" s="262"/>
      <c r="P34" s="213"/>
      <c r="Q34" s="213"/>
      <c r="R34" s="213"/>
      <c r="S34" s="213"/>
      <c r="T34" s="221"/>
      <c r="U34" s="213"/>
      <c r="V34" s="215"/>
      <c r="W34" s="214"/>
      <c r="X34" s="630"/>
      <c r="Y34" s="631"/>
      <c r="Z34" s="632"/>
      <c r="AA34" s="632"/>
      <c r="AB34" s="615"/>
      <c r="AC34" s="616">
        <f t="shared" si="1"/>
        <v>0</v>
      </c>
      <c r="AD34" s="633"/>
      <c r="AE34" s="634"/>
      <c r="AF34" s="634"/>
      <c r="AG34" s="7"/>
      <c r="AH34" s="628"/>
      <c r="AI34" s="7"/>
      <c r="AJ34" s="618">
        <f t="shared" si="0"/>
        <v>0</v>
      </c>
    </row>
    <row r="35" spans="1:36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4"/>
      <c r="H35" s="214"/>
      <c r="I35" s="215"/>
      <c r="J35" s="620"/>
      <c r="K35" s="215"/>
      <c r="L35" s="213"/>
      <c r="M35" s="370"/>
      <c r="N35" s="214"/>
      <c r="O35" s="262"/>
      <c r="P35" s="213"/>
      <c r="Q35" s="213"/>
      <c r="R35" s="213"/>
      <c r="S35" s="213"/>
      <c r="T35" s="221"/>
      <c r="U35" s="213"/>
      <c r="V35" s="215"/>
      <c r="W35" s="214"/>
      <c r="X35" s="630"/>
      <c r="Y35" s="631"/>
      <c r="Z35" s="632"/>
      <c r="AA35" s="632"/>
      <c r="AB35" s="615"/>
      <c r="AC35" s="616">
        <f t="shared" si="1"/>
        <v>0</v>
      </c>
      <c r="AD35" s="633"/>
      <c r="AE35" s="636"/>
      <c r="AF35" s="636"/>
      <c r="AG35" s="7"/>
      <c r="AH35" s="628"/>
      <c r="AI35" s="7"/>
      <c r="AJ35" s="618">
        <f t="shared" si="0"/>
        <v>0</v>
      </c>
    </row>
    <row r="36" spans="1:36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4"/>
      <c r="H36" s="214"/>
      <c r="I36" s="215"/>
      <c r="J36" s="620"/>
      <c r="K36" s="215"/>
      <c r="L36" s="213"/>
      <c r="M36" s="370"/>
      <c r="N36" s="214"/>
      <c r="O36" s="262">
        <f>723+148+(19+6)*4</f>
        <v>971</v>
      </c>
      <c r="P36" s="213"/>
      <c r="Q36" s="213"/>
      <c r="R36" s="213"/>
      <c r="S36" s="213"/>
      <c r="T36" s="221"/>
      <c r="U36" s="213"/>
      <c r="V36" s="215"/>
      <c r="W36" s="214"/>
      <c r="X36" s="630"/>
      <c r="Y36" s="631"/>
      <c r="Z36" s="632"/>
      <c r="AA36" s="632"/>
      <c r="AB36" s="615"/>
      <c r="AC36" s="616">
        <f t="shared" si="1"/>
        <v>971</v>
      </c>
      <c r="AD36" s="633"/>
      <c r="AE36" s="547" t="s">
        <v>1576</v>
      </c>
      <c r="AF36" s="636"/>
      <c r="AG36" s="7"/>
      <c r="AH36" s="628"/>
      <c r="AI36" s="7"/>
      <c r="AJ36" s="618"/>
    </row>
    <row r="37" spans="1:36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4"/>
      <c r="H37" s="214"/>
      <c r="I37" s="215"/>
      <c r="J37" s="638"/>
      <c r="K37" s="215"/>
      <c r="L37" s="213"/>
      <c r="M37" s="372"/>
      <c r="N37" s="214"/>
      <c r="O37" s="261"/>
      <c r="P37" s="213"/>
      <c r="Q37" s="213"/>
      <c r="R37" s="213"/>
      <c r="S37" s="213"/>
      <c r="T37" s="221"/>
      <c r="U37" s="213"/>
      <c r="V37" s="215"/>
      <c r="W37" s="214"/>
      <c r="X37" s="630"/>
      <c r="Y37" s="631"/>
      <c r="Z37" s="632"/>
      <c r="AA37" s="632"/>
      <c r="AB37" s="639"/>
      <c r="AC37" s="616">
        <f t="shared" si="1"/>
        <v>0</v>
      </c>
      <c r="AD37" s="633"/>
      <c r="AE37" s="640"/>
      <c r="AF37" s="640"/>
      <c r="AG37" s="7"/>
      <c r="AH37" s="628"/>
      <c r="AI37" s="7"/>
      <c r="AJ37" s="618">
        <f t="shared" ref="AJ37:AJ42" si="2">AH37-AC37</f>
        <v>0</v>
      </c>
    </row>
    <row r="38" spans="1:36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1</v>
      </c>
      <c r="F38" s="209"/>
      <c r="G38" s="210"/>
      <c r="H38" s="210"/>
      <c r="I38" s="211"/>
      <c r="J38" s="620"/>
      <c r="K38" s="211"/>
      <c r="L38" s="209">
        <v>1</v>
      </c>
      <c r="M38" s="370"/>
      <c r="N38" s="210"/>
      <c r="O38" s="284">
        <v>1</v>
      </c>
      <c r="P38" s="209"/>
      <c r="Q38" s="209"/>
      <c r="R38" s="209"/>
      <c r="S38" s="209"/>
      <c r="T38" s="210"/>
      <c r="U38" s="209"/>
      <c r="V38" s="211"/>
      <c r="W38" s="210"/>
      <c r="X38" s="621"/>
      <c r="Y38" s="622"/>
      <c r="Z38" s="623"/>
      <c r="AA38" s="623"/>
      <c r="AB38" s="624"/>
      <c r="AC38" s="625">
        <f t="shared" si="1"/>
        <v>3</v>
      </c>
      <c r="AD38" s="626"/>
      <c r="AE38" s="627" t="s">
        <v>1577</v>
      </c>
      <c r="AF38" s="642">
        <f>AC38</f>
        <v>3</v>
      </c>
      <c r="AG38" s="7"/>
      <c r="AH38" s="628">
        <v>10</v>
      </c>
      <c r="AI38" s="7"/>
      <c r="AJ38" s="618">
        <f t="shared" si="2"/>
        <v>7</v>
      </c>
    </row>
    <row r="39" spans="1:36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4"/>
      <c r="H39" s="214"/>
      <c r="I39" s="215"/>
      <c r="J39" s="620"/>
      <c r="K39" s="215"/>
      <c r="L39" s="213"/>
      <c r="M39" s="370"/>
      <c r="N39" s="214"/>
      <c r="O39" s="262"/>
      <c r="P39" s="213"/>
      <c r="Q39" s="213"/>
      <c r="R39" s="213"/>
      <c r="S39" s="213"/>
      <c r="T39" s="221"/>
      <c r="U39" s="213"/>
      <c r="V39" s="215"/>
      <c r="W39" s="214"/>
      <c r="X39" s="630"/>
      <c r="Y39" s="631"/>
      <c r="Z39" s="632"/>
      <c r="AA39" s="632"/>
      <c r="AB39" s="643"/>
      <c r="AC39" s="616">
        <f t="shared" si="1"/>
        <v>0</v>
      </c>
      <c r="AD39" s="633"/>
      <c r="AE39" s="644" t="s">
        <v>1578</v>
      </c>
      <c r="AF39" s="645">
        <f>AD43</f>
        <v>295</v>
      </c>
      <c r="AG39" s="7"/>
      <c r="AH39" s="628"/>
      <c r="AI39" s="7"/>
      <c r="AJ39" s="618">
        <f t="shared" si="2"/>
        <v>0</v>
      </c>
    </row>
    <row r="40" spans="1:36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4"/>
      <c r="H40" s="214"/>
      <c r="I40" s="215"/>
      <c r="J40" s="620"/>
      <c r="K40" s="215"/>
      <c r="L40" s="213"/>
      <c r="M40" s="370"/>
      <c r="N40" s="214"/>
      <c r="O40" s="262"/>
      <c r="P40" s="213"/>
      <c r="Q40" s="213"/>
      <c r="R40" s="213"/>
      <c r="S40" s="213"/>
      <c r="T40" s="221"/>
      <c r="U40" s="213"/>
      <c r="V40" s="215"/>
      <c r="W40" s="214"/>
      <c r="X40" s="630"/>
      <c r="Y40" s="631"/>
      <c r="Z40" s="632"/>
      <c r="AA40" s="632"/>
      <c r="AB40" s="643"/>
      <c r="AC40" s="616">
        <f t="shared" si="1"/>
        <v>0</v>
      </c>
      <c r="AD40" s="633"/>
      <c r="AE40" s="636"/>
      <c r="AF40" s="636"/>
      <c r="AG40" s="7"/>
      <c r="AH40" s="628"/>
      <c r="AI40" s="7"/>
      <c r="AJ40" s="618">
        <f t="shared" si="2"/>
        <v>0</v>
      </c>
    </row>
    <row r="41" spans="1:36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4"/>
      <c r="H41" s="214"/>
      <c r="I41" s="215"/>
      <c r="J41" s="620"/>
      <c r="K41" s="215"/>
      <c r="L41" s="213"/>
      <c r="M41" s="370"/>
      <c r="N41" s="214"/>
      <c r="O41" s="262"/>
      <c r="P41" s="213"/>
      <c r="Q41" s="213"/>
      <c r="R41" s="213"/>
      <c r="S41" s="213"/>
      <c r="T41" s="221"/>
      <c r="U41" s="213"/>
      <c r="V41" s="215"/>
      <c r="W41" s="214"/>
      <c r="X41" s="630"/>
      <c r="Y41" s="631"/>
      <c r="Z41" s="632"/>
      <c r="AA41" s="632"/>
      <c r="AB41" s="643"/>
      <c r="AC41" s="616">
        <f t="shared" si="1"/>
        <v>0</v>
      </c>
      <c r="AD41" s="633"/>
      <c r="AE41" s="636"/>
      <c r="AF41" s="636"/>
      <c r="AG41" s="7"/>
      <c r="AH41" s="628"/>
      <c r="AI41" s="7"/>
      <c r="AJ41" s="618">
        <f t="shared" si="2"/>
        <v>0</v>
      </c>
    </row>
    <row r="42" spans="1:36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4"/>
      <c r="H42" s="214"/>
      <c r="I42" s="215"/>
      <c r="J42" s="620"/>
      <c r="K42" s="215"/>
      <c r="L42" s="213"/>
      <c r="M42" s="370"/>
      <c r="N42" s="214"/>
      <c r="O42" s="262"/>
      <c r="P42" s="213"/>
      <c r="Q42" s="213"/>
      <c r="R42" s="213"/>
      <c r="S42" s="213"/>
      <c r="T42" s="221"/>
      <c r="U42" s="213"/>
      <c r="V42" s="215"/>
      <c r="W42" s="214"/>
      <c r="X42" s="630"/>
      <c r="Y42" s="631"/>
      <c r="Z42" s="632"/>
      <c r="AA42" s="632"/>
      <c r="AB42" s="643"/>
      <c r="AC42" s="616">
        <f t="shared" si="1"/>
        <v>0</v>
      </c>
      <c r="AD42" s="633"/>
      <c r="AE42" s="636"/>
      <c r="AF42" s="636"/>
      <c r="AG42" s="7"/>
      <c r="AH42" s="628"/>
      <c r="AI42" s="7"/>
      <c r="AJ42" s="618">
        <f t="shared" si="2"/>
        <v>0</v>
      </c>
    </row>
    <row r="43" spans="1:36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4"/>
      <c r="H43" s="214"/>
      <c r="I43" s="215"/>
      <c r="J43" s="620"/>
      <c r="K43" s="215"/>
      <c r="L43" s="213"/>
      <c r="M43" s="370"/>
      <c r="N43" s="221"/>
      <c r="O43" s="261"/>
      <c r="P43" s="213"/>
      <c r="Q43" s="213"/>
      <c r="R43" s="213"/>
      <c r="S43" s="213"/>
      <c r="T43" s="221"/>
      <c r="U43" s="213"/>
      <c r="V43" s="215"/>
      <c r="W43" s="214"/>
      <c r="X43" s="630"/>
      <c r="Y43" s="631"/>
      <c r="Z43" s="632"/>
      <c r="AA43" s="632"/>
      <c r="AB43" s="643"/>
      <c r="AC43" s="616">
        <f t="shared" si="1"/>
        <v>0</v>
      </c>
      <c r="AD43" s="633">
        <f>AC43+AC48+AC53+AC62</f>
        <v>295</v>
      </c>
      <c r="AE43" s="634"/>
      <c r="AF43" s="634"/>
      <c r="AG43" s="7"/>
      <c r="AH43" s="628">
        <v>17</v>
      </c>
      <c r="AI43" s="7"/>
      <c r="AJ43" s="618"/>
    </row>
    <row r="44" spans="1:36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4"/>
      <c r="H44" s="214"/>
      <c r="I44" s="215"/>
      <c r="J44" s="620"/>
      <c r="K44" s="215"/>
      <c r="L44" s="213"/>
      <c r="M44" s="370"/>
      <c r="N44" s="221"/>
      <c r="O44" s="262"/>
      <c r="P44" s="213"/>
      <c r="Q44" s="213"/>
      <c r="R44" s="213"/>
      <c r="S44" s="213"/>
      <c r="T44" s="221"/>
      <c r="U44" s="213"/>
      <c r="V44" s="215"/>
      <c r="W44" s="214"/>
      <c r="X44" s="630"/>
      <c r="Y44" s="631"/>
      <c r="Z44" s="632"/>
      <c r="AA44" s="632"/>
      <c r="AB44" s="643"/>
      <c r="AC44" s="616">
        <f t="shared" si="1"/>
        <v>0</v>
      </c>
      <c r="AD44" s="633"/>
      <c r="AE44" s="634"/>
      <c r="AF44" s="634"/>
      <c r="AG44" s="7"/>
      <c r="AH44" s="628"/>
      <c r="AI44" s="7"/>
      <c r="AJ44" s="618"/>
    </row>
    <row r="45" spans="1:36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4"/>
      <c r="H45" s="214"/>
      <c r="I45" s="215"/>
      <c r="J45" s="620"/>
      <c r="K45" s="215"/>
      <c r="L45" s="213"/>
      <c r="M45" s="370"/>
      <c r="N45" s="221"/>
      <c r="O45" s="262"/>
      <c r="P45" s="213"/>
      <c r="Q45" s="213"/>
      <c r="R45" s="213"/>
      <c r="S45" s="213"/>
      <c r="T45" s="221"/>
      <c r="U45" s="213"/>
      <c r="V45" s="215"/>
      <c r="W45" s="214"/>
      <c r="X45" s="630"/>
      <c r="Y45" s="631"/>
      <c r="Z45" s="632"/>
      <c r="AA45" s="632"/>
      <c r="AB45" s="643"/>
      <c r="AC45" s="616">
        <f t="shared" si="1"/>
        <v>0</v>
      </c>
      <c r="AD45" s="633"/>
      <c r="AE45" s="634"/>
      <c r="AF45" s="634"/>
      <c r="AG45" s="7"/>
      <c r="AH45" s="628"/>
      <c r="AI45" s="7"/>
      <c r="AJ45" s="618"/>
    </row>
    <row r="46" spans="1:36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4"/>
      <c r="H46" s="214"/>
      <c r="I46" s="215"/>
      <c r="J46" s="620"/>
      <c r="K46" s="215"/>
      <c r="L46" s="213"/>
      <c r="M46" s="370"/>
      <c r="N46" s="221"/>
      <c r="O46" s="262"/>
      <c r="P46" s="213"/>
      <c r="Q46" s="213"/>
      <c r="R46" s="213"/>
      <c r="S46" s="213"/>
      <c r="T46" s="221"/>
      <c r="U46" s="213"/>
      <c r="V46" s="215"/>
      <c r="W46" s="214"/>
      <c r="X46" s="630"/>
      <c r="Y46" s="631"/>
      <c r="Z46" s="632"/>
      <c r="AA46" s="632"/>
      <c r="AB46" s="643"/>
      <c r="AC46" s="616">
        <f t="shared" si="1"/>
        <v>0</v>
      </c>
      <c r="AD46" s="633"/>
      <c r="AE46" s="634"/>
      <c r="AF46" s="634"/>
      <c r="AG46" s="7"/>
      <c r="AH46" s="628"/>
      <c r="AI46" s="7"/>
      <c r="AJ46" s="618"/>
    </row>
    <row r="47" spans="1:36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4"/>
      <c r="H47" s="214"/>
      <c r="I47" s="215"/>
      <c r="J47" s="620"/>
      <c r="K47" s="215"/>
      <c r="L47" s="213"/>
      <c r="M47" s="370"/>
      <c r="N47" s="221"/>
      <c r="O47" s="262"/>
      <c r="P47" s="213"/>
      <c r="Q47" s="213"/>
      <c r="R47" s="213"/>
      <c r="S47" s="213"/>
      <c r="T47" s="221"/>
      <c r="U47" s="213"/>
      <c r="V47" s="215"/>
      <c r="W47" s="214"/>
      <c r="X47" s="630"/>
      <c r="Y47" s="631"/>
      <c r="Z47" s="632"/>
      <c r="AA47" s="632"/>
      <c r="AB47" s="643"/>
      <c r="AC47" s="616">
        <f t="shared" si="1"/>
        <v>0</v>
      </c>
      <c r="AD47" s="633"/>
      <c r="AE47" s="634"/>
      <c r="AF47" s="634"/>
      <c r="AG47" s="7"/>
      <c r="AH47" s="628"/>
      <c r="AI47" s="7"/>
      <c r="AJ47" s="618"/>
    </row>
    <row r="48" spans="1:36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169</v>
      </c>
      <c r="F48" s="213"/>
      <c r="G48" s="214"/>
      <c r="H48" s="214">
        <v>24</v>
      </c>
      <c r="I48" s="215"/>
      <c r="J48" s="620"/>
      <c r="K48" s="215"/>
      <c r="L48" s="213"/>
      <c r="M48" s="370"/>
      <c r="N48" s="221"/>
      <c r="O48" s="261"/>
      <c r="P48" s="213"/>
      <c r="Q48" s="213"/>
      <c r="R48" s="213"/>
      <c r="S48" s="213"/>
      <c r="T48" s="221"/>
      <c r="U48" s="213"/>
      <c r="V48" s="215"/>
      <c r="W48" s="214"/>
      <c r="X48" s="630"/>
      <c r="Y48" s="631"/>
      <c r="Z48" s="632"/>
      <c r="AA48" s="632"/>
      <c r="AB48" s="643"/>
      <c r="AC48" s="616">
        <f t="shared" si="1"/>
        <v>193</v>
      </c>
      <c r="AD48" s="633"/>
      <c r="AE48" s="634"/>
      <c r="AF48" s="634"/>
      <c r="AG48" s="7"/>
      <c r="AH48" s="628">
        <v>189</v>
      </c>
      <c r="AI48" s="7"/>
      <c r="AJ48" s="618"/>
    </row>
    <row r="49" spans="1:36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4"/>
      <c r="H49" s="214"/>
      <c r="I49" s="215"/>
      <c r="J49" s="620"/>
      <c r="K49" s="215"/>
      <c r="L49" s="213"/>
      <c r="M49" s="370"/>
      <c r="N49" s="221"/>
      <c r="O49" s="262"/>
      <c r="P49" s="213"/>
      <c r="Q49" s="213"/>
      <c r="R49" s="213"/>
      <c r="S49" s="213"/>
      <c r="T49" s="221"/>
      <c r="U49" s="213"/>
      <c r="V49" s="215"/>
      <c r="W49" s="214"/>
      <c r="X49" s="630"/>
      <c r="Y49" s="631"/>
      <c r="Z49" s="632"/>
      <c r="AA49" s="632"/>
      <c r="AB49" s="643"/>
      <c r="AC49" s="616">
        <f t="shared" si="1"/>
        <v>0</v>
      </c>
      <c r="AD49" s="633"/>
      <c r="AE49" s="634"/>
      <c r="AF49" s="634"/>
      <c r="AG49" s="7"/>
      <c r="AH49" s="628"/>
      <c r="AI49" s="7"/>
      <c r="AJ49" s="618"/>
    </row>
    <row r="50" spans="1:36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4"/>
      <c r="H50" s="214"/>
      <c r="I50" s="215"/>
      <c r="J50" s="620"/>
      <c r="K50" s="215"/>
      <c r="L50" s="213"/>
      <c r="M50" s="370"/>
      <c r="N50" s="221"/>
      <c r="O50" s="262"/>
      <c r="P50" s="213"/>
      <c r="Q50" s="213"/>
      <c r="R50" s="213"/>
      <c r="S50" s="213"/>
      <c r="T50" s="221"/>
      <c r="U50" s="213"/>
      <c r="V50" s="215"/>
      <c r="W50" s="214"/>
      <c r="X50" s="630"/>
      <c r="Y50" s="631"/>
      <c r="Z50" s="632"/>
      <c r="AA50" s="632"/>
      <c r="AB50" s="643"/>
      <c r="AC50" s="616">
        <f t="shared" si="1"/>
        <v>0</v>
      </c>
      <c r="AD50" s="633"/>
      <c r="AE50" s="634"/>
      <c r="AF50" s="634"/>
      <c r="AG50" s="7"/>
      <c r="AH50" s="628"/>
      <c r="AI50" s="7"/>
      <c r="AJ50" s="618"/>
    </row>
    <row r="51" spans="1:36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4"/>
      <c r="H51" s="214"/>
      <c r="I51" s="215"/>
      <c r="J51" s="620"/>
      <c r="K51" s="215"/>
      <c r="L51" s="213"/>
      <c r="M51" s="370"/>
      <c r="N51" s="221"/>
      <c r="O51" s="262"/>
      <c r="P51" s="213"/>
      <c r="Q51" s="213"/>
      <c r="R51" s="213"/>
      <c r="S51" s="213"/>
      <c r="T51" s="221"/>
      <c r="U51" s="213"/>
      <c r="V51" s="215"/>
      <c r="W51" s="214"/>
      <c r="X51" s="630"/>
      <c r="Y51" s="631"/>
      <c r="Z51" s="632"/>
      <c r="AA51" s="632"/>
      <c r="AB51" s="643"/>
      <c r="AC51" s="616">
        <f t="shared" si="1"/>
        <v>0</v>
      </c>
      <c r="AD51" s="633"/>
      <c r="AE51" s="634"/>
      <c r="AF51" s="634"/>
      <c r="AG51" s="7"/>
      <c r="AH51" s="628"/>
      <c r="AI51" s="7"/>
      <c r="AJ51" s="618"/>
    </row>
    <row r="52" spans="1:36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4"/>
      <c r="H52" s="214"/>
      <c r="I52" s="215"/>
      <c r="J52" s="620"/>
      <c r="K52" s="215"/>
      <c r="L52" s="213"/>
      <c r="M52" s="370"/>
      <c r="N52" s="221"/>
      <c r="O52" s="262"/>
      <c r="P52" s="213"/>
      <c r="Q52" s="213"/>
      <c r="R52" s="213"/>
      <c r="S52" s="213"/>
      <c r="T52" s="221"/>
      <c r="U52" s="213"/>
      <c r="V52" s="215"/>
      <c r="W52" s="214"/>
      <c r="X52" s="630"/>
      <c r="Y52" s="631"/>
      <c r="Z52" s="632"/>
      <c r="AA52" s="632"/>
      <c r="AB52" s="643"/>
      <c r="AC52" s="616">
        <f t="shared" si="1"/>
        <v>0</v>
      </c>
      <c r="AD52" s="633"/>
      <c r="AE52" s="634"/>
      <c r="AF52" s="634"/>
      <c r="AG52" s="7"/>
      <c r="AH52" s="628"/>
      <c r="AI52" s="7"/>
      <c r="AJ52" s="618"/>
    </row>
    <row r="53" spans="1:36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3"/>
      <c r="G53" s="214"/>
      <c r="H53" s="214"/>
      <c r="I53" s="215">
        <v>9</v>
      </c>
      <c r="J53" s="620"/>
      <c r="K53" s="215"/>
      <c r="L53" s="213">
        <f>121-L38-L58</f>
        <v>46</v>
      </c>
      <c r="M53" s="499">
        <v>7</v>
      </c>
      <c r="N53" s="221">
        <v>11</v>
      </c>
      <c r="O53" s="261">
        <v>29</v>
      </c>
      <c r="P53" s="213"/>
      <c r="Q53" s="213"/>
      <c r="R53" s="213"/>
      <c r="S53" s="213"/>
      <c r="T53" s="221"/>
      <c r="U53" s="213"/>
      <c r="V53" s="215"/>
      <c r="W53" s="214"/>
      <c r="X53" s="630"/>
      <c r="Y53" s="631"/>
      <c r="Z53" s="632"/>
      <c r="AA53" s="632"/>
      <c r="AB53" s="643"/>
      <c r="AC53" s="616">
        <f t="shared" si="1"/>
        <v>102</v>
      </c>
      <c r="AD53" s="633"/>
      <c r="AE53" s="634"/>
      <c r="AF53" s="634"/>
      <c r="AG53" s="7"/>
      <c r="AH53" s="628">
        <v>335</v>
      </c>
      <c r="AI53" s="7"/>
      <c r="AJ53" s="618">
        <v>1</v>
      </c>
    </row>
    <row r="54" spans="1:36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4"/>
      <c r="H54" s="214"/>
      <c r="I54" s="215"/>
      <c r="J54" s="620"/>
      <c r="K54" s="215"/>
      <c r="L54" s="213"/>
      <c r="M54" s="370"/>
      <c r="N54" s="214"/>
      <c r="O54" s="262"/>
      <c r="P54" s="213"/>
      <c r="Q54" s="213"/>
      <c r="R54" s="213"/>
      <c r="S54" s="213"/>
      <c r="T54" s="221"/>
      <c r="U54" s="213"/>
      <c r="V54" s="215"/>
      <c r="W54" s="214"/>
      <c r="X54" s="630"/>
      <c r="Y54" s="631"/>
      <c r="Z54" s="632"/>
      <c r="AA54" s="632"/>
      <c r="AB54" s="643"/>
      <c r="AC54" s="616">
        <f t="shared" si="1"/>
        <v>0</v>
      </c>
      <c r="AD54" s="633"/>
      <c r="AE54" s="634"/>
      <c r="AF54" s="634"/>
      <c r="AG54" s="7"/>
      <c r="AH54" s="628"/>
      <c r="AI54" s="7"/>
      <c r="AJ54" s="618">
        <f t="shared" ref="AJ54:AJ57" si="3">AH54-AC54</f>
        <v>0</v>
      </c>
    </row>
    <row r="55" spans="1:36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4"/>
      <c r="H55" s="214"/>
      <c r="I55" s="215"/>
      <c r="J55" s="620"/>
      <c r="K55" s="215"/>
      <c r="L55" s="213"/>
      <c r="M55" s="370"/>
      <c r="N55" s="214"/>
      <c r="O55" s="262"/>
      <c r="P55" s="213"/>
      <c r="Q55" s="213"/>
      <c r="R55" s="213"/>
      <c r="S55" s="213"/>
      <c r="T55" s="221"/>
      <c r="U55" s="213"/>
      <c r="V55" s="215"/>
      <c r="W55" s="214"/>
      <c r="X55" s="630"/>
      <c r="Y55" s="631"/>
      <c r="Z55" s="632"/>
      <c r="AA55" s="632"/>
      <c r="AB55" s="643"/>
      <c r="AC55" s="616">
        <f t="shared" si="1"/>
        <v>0</v>
      </c>
      <c r="AD55" s="633"/>
      <c r="AE55" s="634"/>
      <c r="AF55" s="634"/>
      <c r="AG55" s="7"/>
      <c r="AH55" s="628"/>
      <c r="AI55" s="7"/>
      <c r="AJ55" s="618">
        <f t="shared" si="3"/>
        <v>0</v>
      </c>
    </row>
    <row r="56" spans="1:36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4"/>
      <c r="H56" s="214"/>
      <c r="I56" s="215"/>
      <c r="J56" s="620"/>
      <c r="K56" s="215"/>
      <c r="L56" s="213"/>
      <c r="M56" s="370"/>
      <c r="N56" s="214"/>
      <c r="O56" s="262"/>
      <c r="P56" s="213"/>
      <c r="Q56" s="213"/>
      <c r="R56" s="213"/>
      <c r="S56" s="213"/>
      <c r="T56" s="221"/>
      <c r="U56" s="213"/>
      <c r="V56" s="215"/>
      <c r="W56" s="214"/>
      <c r="X56" s="630"/>
      <c r="Y56" s="631"/>
      <c r="Z56" s="632"/>
      <c r="AA56" s="632"/>
      <c r="AB56" s="643"/>
      <c r="AC56" s="616">
        <f t="shared" si="1"/>
        <v>0</v>
      </c>
      <c r="AD56" s="633"/>
      <c r="AE56" s="634"/>
      <c r="AF56" s="634"/>
      <c r="AG56" s="7"/>
      <c r="AH56" s="628"/>
      <c r="AI56" s="7"/>
      <c r="AJ56" s="618">
        <f t="shared" si="3"/>
        <v>0</v>
      </c>
    </row>
    <row r="57" spans="1:36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4"/>
      <c r="H57" s="214"/>
      <c r="I57" s="215"/>
      <c r="J57" s="620"/>
      <c r="K57" s="215"/>
      <c r="L57" s="213"/>
      <c r="M57" s="370"/>
      <c r="N57" s="214"/>
      <c r="O57" s="262"/>
      <c r="P57" s="213"/>
      <c r="Q57" s="213"/>
      <c r="R57" s="213"/>
      <c r="S57" s="213"/>
      <c r="T57" s="221"/>
      <c r="U57" s="213"/>
      <c r="V57" s="215"/>
      <c r="W57" s="214"/>
      <c r="X57" s="630"/>
      <c r="Y57" s="631"/>
      <c r="Z57" s="632"/>
      <c r="AA57" s="632"/>
      <c r="AB57" s="643"/>
      <c r="AC57" s="616">
        <f t="shared" si="1"/>
        <v>0</v>
      </c>
      <c r="AD57" s="633"/>
      <c r="AE57" s="634"/>
      <c r="AF57" s="634"/>
      <c r="AG57" s="7"/>
      <c r="AH57" s="628"/>
      <c r="AI57" s="7"/>
      <c r="AJ57" s="618">
        <f t="shared" si="3"/>
        <v>0</v>
      </c>
    </row>
    <row r="58" spans="1:36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374"/>
      <c r="H58" s="374"/>
      <c r="I58" s="215"/>
      <c r="J58" s="620"/>
      <c r="K58" s="215"/>
      <c r="L58" s="213">
        <f>30+1+8+2+23+6+1+1+2</f>
        <v>74</v>
      </c>
      <c r="M58" s="370"/>
      <c r="N58" s="374"/>
      <c r="O58" s="261">
        <v>449</v>
      </c>
      <c r="P58" s="219"/>
      <c r="Q58" s="219"/>
      <c r="R58" s="219"/>
      <c r="S58" s="219"/>
      <c r="T58" s="310"/>
      <c r="U58" s="219"/>
      <c r="V58" s="215"/>
      <c r="W58" s="374"/>
      <c r="X58" s="646"/>
      <c r="Y58" s="631"/>
      <c r="Z58" s="632"/>
      <c r="AA58" s="632"/>
      <c r="AB58" s="643"/>
      <c r="AC58" s="616">
        <f t="shared" si="1"/>
        <v>523</v>
      </c>
      <c r="AD58" s="633"/>
      <c r="AE58" s="634"/>
      <c r="AF58" s="634"/>
      <c r="AG58" s="7"/>
      <c r="AH58" s="628">
        <v>497</v>
      </c>
      <c r="AI58" s="7"/>
      <c r="AJ58" s="618"/>
    </row>
    <row r="59" spans="1:36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4"/>
      <c r="H59" s="214"/>
      <c r="I59" s="215"/>
      <c r="J59" s="647"/>
      <c r="K59" s="215"/>
      <c r="L59" s="213"/>
      <c r="M59" s="370"/>
      <c r="N59" s="214"/>
      <c r="O59" s="262"/>
      <c r="P59" s="213"/>
      <c r="Q59" s="213"/>
      <c r="R59" s="213"/>
      <c r="S59" s="213"/>
      <c r="T59" s="221"/>
      <c r="U59" s="213"/>
      <c r="V59" s="215"/>
      <c r="W59" s="214"/>
      <c r="X59" s="630"/>
      <c r="Y59" s="631"/>
      <c r="Z59" s="632"/>
      <c r="AA59" s="632"/>
      <c r="AB59" s="643"/>
      <c r="AC59" s="616">
        <f t="shared" si="1"/>
        <v>0</v>
      </c>
      <c r="AD59" s="633"/>
      <c r="AE59" s="648"/>
      <c r="AF59" s="648"/>
      <c r="AG59" s="7"/>
      <c r="AH59" s="628"/>
      <c r="AI59" s="7"/>
      <c r="AJ59" s="618">
        <f t="shared" ref="AJ59:AJ62" si="4">AH59-AC59</f>
        <v>0</v>
      </c>
    </row>
    <row r="60" spans="1:36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4"/>
      <c r="H60" s="214"/>
      <c r="I60" s="215"/>
      <c r="J60" s="647"/>
      <c r="K60" s="215"/>
      <c r="L60" s="213"/>
      <c r="M60" s="370"/>
      <c r="N60" s="214"/>
      <c r="O60" s="262"/>
      <c r="P60" s="213"/>
      <c r="Q60" s="213"/>
      <c r="R60" s="213"/>
      <c r="S60" s="213"/>
      <c r="T60" s="221"/>
      <c r="U60" s="213"/>
      <c r="V60" s="215"/>
      <c r="W60" s="214"/>
      <c r="X60" s="630"/>
      <c r="Y60" s="631"/>
      <c r="Z60" s="632"/>
      <c r="AA60" s="632"/>
      <c r="AB60" s="643"/>
      <c r="AC60" s="616">
        <f t="shared" si="1"/>
        <v>0</v>
      </c>
      <c r="AD60" s="633"/>
      <c r="AE60" s="648"/>
      <c r="AF60" s="648"/>
      <c r="AG60" s="7"/>
      <c r="AH60" s="628"/>
      <c r="AI60" s="7"/>
      <c r="AJ60" s="618">
        <f t="shared" si="4"/>
        <v>0</v>
      </c>
    </row>
    <row r="61" spans="1:36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4"/>
      <c r="H61" s="214"/>
      <c r="I61" s="215"/>
      <c r="J61" s="647"/>
      <c r="K61" s="215"/>
      <c r="L61" s="213"/>
      <c r="M61" s="370"/>
      <c r="N61" s="214"/>
      <c r="O61" s="262"/>
      <c r="P61" s="213"/>
      <c r="Q61" s="213"/>
      <c r="R61" s="213"/>
      <c r="S61" s="213"/>
      <c r="T61" s="221"/>
      <c r="U61" s="213"/>
      <c r="V61" s="215"/>
      <c r="W61" s="214"/>
      <c r="X61" s="630"/>
      <c r="Y61" s="631"/>
      <c r="Z61" s="632"/>
      <c r="AA61" s="632"/>
      <c r="AB61" s="643"/>
      <c r="AC61" s="616">
        <f t="shared" si="1"/>
        <v>0</v>
      </c>
      <c r="AD61" s="633"/>
      <c r="AE61" s="648"/>
      <c r="AF61" s="648"/>
      <c r="AG61" s="7"/>
      <c r="AH61" s="628"/>
      <c r="AI61" s="7"/>
      <c r="AJ61" s="618">
        <f t="shared" si="4"/>
        <v>0</v>
      </c>
    </row>
    <row r="62" spans="1:36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4"/>
      <c r="H62" s="214"/>
      <c r="I62" s="215"/>
      <c r="J62" s="620"/>
      <c r="K62" s="215"/>
      <c r="L62" s="213"/>
      <c r="M62" s="370"/>
      <c r="N62" s="214"/>
      <c r="O62" s="261"/>
      <c r="P62" s="213"/>
      <c r="Q62" s="213"/>
      <c r="R62" s="213"/>
      <c r="S62" s="213"/>
      <c r="T62" s="221"/>
      <c r="U62" s="213"/>
      <c r="V62" s="215"/>
      <c r="W62" s="214"/>
      <c r="X62" s="630"/>
      <c r="Y62" s="631"/>
      <c r="Z62" s="632"/>
      <c r="AA62" s="632"/>
      <c r="AB62" s="643"/>
      <c r="AC62" s="616">
        <f t="shared" si="1"/>
        <v>0</v>
      </c>
      <c r="AD62" s="633"/>
      <c r="AE62" s="636"/>
      <c r="AF62" s="636"/>
      <c r="AG62" s="7"/>
      <c r="AH62" s="628">
        <v>188</v>
      </c>
      <c r="AI62" s="7"/>
      <c r="AJ62" s="618">
        <f t="shared" si="4"/>
        <v>188</v>
      </c>
    </row>
    <row r="63" spans="1:36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4"/>
      <c r="H63" s="214"/>
      <c r="I63" s="215"/>
      <c r="J63" s="638"/>
      <c r="K63" s="215"/>
      <c r="L63" s="213"/>
      <c r="M63" s="370"/>
      <c r="N63" s="214"/>
      <c r="O63" s="261"/>
      <c r="P63" s="213"/>
      <c r="Q63" s="213"/>
      <c r="R63" s="213"/>
      <c r="S63" s="213"/>
      <c r="T63" s="221"/>
      <c r="U63" s="213"/>
      <c r="V63" s="215"/>
      <c r="W63" s="214"/>
      <c r="X63" s="630"/>
      <c r="Y63" s="631"/>
      <c r="Z63" s="632"/>
      <c r="AA63" s="632"/>
      <c r="AB63" s="643"/>
      <c r="AC63" s="616">
        <f t="shared" si="1"/>
        <v>0</v>
      </c>
      <c r="AD63" s="633"/>
      <c r="AE63" s="636"/>
      <c r="AF63" s="636"/>
      <c r="AG63" s="7"/>
      <c r="AH63" s="628"/>
      <c r="AI63" s="7"/>
      <c r="AJ63" s="618"/>
    </row>
    <row r="64" spans="1:36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4"/>
      <c r="H64" s="214"/>
      <c r="I64" s="215"/>
      <c r="J64" s="638"/>
      <c r="K64" s="215"/>
      <c r="L64" s="213"/>
      <c r="M64" s="370"/>
      <c r="N64" s="214"/>
      <c r="O64" s="261"/>
      <c r="P64" s="213"/>
      <c r="Q64" s="213"/>
      <c r="R64" s="213"/>
      <c r="S64" s="213"/>
      <c r="T64" s="221"/>
      <c r="U64" s="213"/>
      <c r="V64" s="215"/>
      <c r="W64" s="214"/>
      <c r="X64" s="630"/>
      <c r="Y64" s="631"/>
      <c r="Z64" s="632"/>
      <c r="AA64" s="632"/>
      <c r="AB64" s="643"/>
      <c r="AC64" s="616">
        <f t="shared" si="1"/>
        <v>0</v>
      </c>
      <c r="AD64" s="633"/>
      <c r="AE64" s="640"/>
      <c r="AF64" s="640"/>
      <c r="AG64" s="7"/>
      <c r="AH64" s="628"/>
      <c r="AI64" s="7"/>
      <c r="AJ64" s="618">
        <f t="shared" ref="AJ64:AJ104" si="5">AH64-AC64</f>
        <v>0</v>
      </c>
    </row>
    <row r="65" spans="1:36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4"/>
      <c r="H65" s="214"/>
      <c r="I65" s="215"/>
      <c r="J65" s="620"/>
      <c r="K65" s="215"/>
      <c r="L65" s="213"/>
      <c r="M65" s="370"/>
      <c r="N65" s="214"/>
      <c r="O65" s="261"/>
      <c r="P65" s="213"/>
      <c r="Q65" s="213"/>
      <c r="R65" s="213"/>
      <c r="S65" s="213"/>
      <c r="T65" s="221"/>
      <c r="U65" s="213"/>
      <c r="V65" s="215"/>
      <c r="W65" s="214"/>
      <c r="X65" s="630"/>
      <c r="Y65" s="631"/>
      <c r="Z65" s="632"/>
      <c r="AA65" s="632"/>
      <c r="AB65" s="643"/>
      <c r="AC65" s="616">
        <f t="shared" si="1"/>
        <v>0</v>
      </c>
      <c r="AD65" s="633"/>
      <c r="AE65" s="636"/>
      <c r="AF65" s="636"/>
      <c r="AG65" s="7"/>
      <c r="AH65" s="628">
        <v>3</v>
      </c>
      <c r="AI65" s="7"/>
      <c r="AJ65" s="618">
        <f t="shared" si="5"/>
        <v>3</v>
      </c>
    </row>
    <row r="66" spans="1:36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4"/>
      <c r="H66" s="214"/>
      <c r="I66" s="215"/>
      <c r="J66" s="620"/>
      <c r="K66" s="215"/>
      <c r="L66" s="213"/>
      <c r="M66" s="370"/>
      <c r="N66" s="214"/>
      <c r="O66" s="261"/>
      <c r="P66" s="213"/>
      <c r="Q66" s="213"/>
      <c r="R66" s="213"/>
      <c r="S66" s="213"/>
      <c r="T66" s="221"/>
      <c r="U66" s="213"/>
      <c r="V66" s="215"/>
      <c r="W66" s="214"/>
      <c r="X66" s="630"/>
      <c r="Y66" s="631"/>
      <c r="Z66" s="632"/>
      <c r="AA66" s="632"/>
      <c r="AB66" s="643"/>
      <c r="AC66" s="616">
        <f t="shared" si="1"/>
        <v>0</v>
      </c>
      <c r="AD66" s="633"/>
      <c r="AE66" s="636"/>
      <c r="AF66" s="636"/>
      <c r="AG66" s="7"/>
      <c r="AH66" s="628">
        <v>1</v>
      </c>
      <c r="AI66" s="7"/>
      <c r="AJ66" s="618">
        <f t="shared" si="5"/>
        <v>1</v>
      </c>
    </row>
    <row r="67" spans="1:36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4"/>
      <c r="H67" s="214"/>
      <c r="I67" s="215"/>
      <c r="J67" s="620"/>
      <c r="K67" s="215"/>
      <c r="L67" s="213"/>
      <c r="M67" s="370"/>
      <c r="N67" s="214"/>
      <c r="O67" s="262"/>
      <c r="P67" s="213"/>
      <c r="Q67" s="213"/>
      <c r="R67" s="213"/>
      <c r="S67" s="213"/>
      <c r="T67" s="221"/>
      <c r="U67" s="213"/>
      <c r="V67" s="215"/>
      <c r="W67" s="214"/>
      <c r="X67" s="630"/>
      <c r="Y67" s="631"/>
      <c r="Z67" s="632"/>
      <c r="AA67" s="632"/>
      <c r="AB67" s="643"/>
      <c r="AC67" s="616">
        <f t="shared" si="1"/>
        <v>0</v>
      </c>
      <c r="AD67" s="633"/>
      <c r="AE67" s="634"/>
      <c r="AF67" s="634"/>
      <c r="AG67" s="7"/>
      <c r="AH67" s="628"/>
      <c r="AI67" s="7"/>
      <c r="AJ67" s="618">
        <f t="shared" si="5"/>
        <v>0</v>
      </c>
    </row>
    <row r="68" spans="1:36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4"/>
      <c r="H68" s="214"/>
      <c r="I68" s="215"/>
      <c r="J68" s="620"/>
      <c r="K68" s="215"/>
      <c r="L68" s="213"/>
      <c r="M68" s="370"/>
      <c r="N68" s="214"/>
      <c r="O68" s="262"/>
      <c r="P68" s="213"/>
      <c r="Q68" s="213"/>
      <c r="R68" s="213"/>
      <c r="S68" s="213"/>
      <c r="T68" s="221"/>
      <c r="U68" s="213"/>
      <c r="V68" s="215"/>
      <c r="W68" s="214"/>
      <c r="X68" s="630"/>
      <c r="Y68" s="631"/>
      <c r="Z68" s="632"/>
      <c r="AA68" s="632"/>
      <c r="AB68" s="643"/>
      <c r="AC68" s="616">
        <f t="shared" si="1"/>
        <v>0</v>
      </c>
      <c r="AD68" s="633"/>
      <c r="AE68" s="634"/>
      <c r="AF68" s="634"/>
      <c r="AG68" s="7"/>
      <c r="AH68" s="628"/>
      <c r="AI68" s="7"/>
      <c r="AJ68" s="618">
        <f t="shared" si="5"/>
        <v>0</v>
      </c>
    </row>
    <row r="69" spans="1:36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4"/>
      <c r="H69" s="214"/>
      <c r="I69" s="215"/>
      <c r="J69" s="620"/>
      <c r="K69" s="215"/>
      <c r="L69" s="213"/>
      <c r="M69" s="370"/>
      <c r="N69" s="214"/>
      <c r="O69" s="262"/>
      <c r="P69" s="213"/>
      <c r="Q69" s="213"/>
      <c r="R69" s="213"/>
      <c r="S69" s="213"/>
      <c r="T69" s="221"/>
      <c r="U69" s="213"/>
      <c r="V69" s="215"/>
      <c r="W69" s="214"/>
      <c r="X69" s="630"/>
      <c r="Y69" s="631"/>
      <c r="Z69" s="632"/>
      <c r="AA69" s="632"/>
      <c r="AB69" s="643"/>
      <c r="AC69" s="616">
        <f t="shared" si="1"/>
        <v>0</v>
      </c>
      <c r="AD69" s="633"/>
      <c r="AE69" s="634"/>
      <c r="AF69" s="634"/>
      <c r="AG69" s="7"/>
      <c r="AH69" s="628"/>
      <c r="AI69" s="7"/>
      <c r="AJ69" s="618">
        <f t="shared" si="5"/>
        <v>0</v>
      </c>
    </row>
    <row r="70" spans="1:36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4"/>
      <c r="H70" s="214"/>
      <c r="I70" s="215"/>
      <c r="J70" s="620"/>
      <c r="K70" s="215"/>
      <c r="L70" s="213"/>
      <c r="M70" s="370"/>
      <c r="N70" s="214"/>
      <c r="O70" s="262"/>
      <c r="P70" s="213"/>
      <c r="Q70" s="213"/>
      <c r="R70" s="213"/>
      <c r="S70" s="213"/>
      <c r="T70" s="221"/>
      <c r="U70" s="213"/>
      <c r="V70" s="215"/>
      <c r="W70" s="214"/>
      <c r="X70" s="630"/>
      <c r="Y70" s="631"/>
      <c r="Z70" s="632"/>
      <c r="AA70" s="632"/>
      <c r="AB70" s="643"/>
      <c r="AC70" s="616">
        <f t="shared" si="1"/>
        <v>0</v>
      </c>
      <c r="AD70" s="633"/>
      <c r="AE70" s="634"/>
      <c r="AF70" s="634"/>
      <c r="AG70" s="7"/>
      <c r="AH70" s="628"/>
      <c r="AI70" s="7"/>
      <c r="AJ70" s="618">
        <f t="shared" si="5"/>
        <v>0</v>
      </c>
    </row>
    <row r="71" spans="1:36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4"/>
      <c r="H71" s="214"/>
      <c r="I71" s="215"/>
      <c r="J71" s="620"/>
      <c r="K71" s="215"/>
      <c r="L71" s="213"/>
      <c r="M71" s="370"/>
      <c r="N71" s="214"/>
      <c r="O71" s="262"/>
      <c r="P71" s="213"/>
      <c r="Q71" s="213"/>
      <c r="R71" s="213"/>
      <c r="S71" s="213"/>
      <c r="T71" s="221"/>
      <c r="U71" s="213"/>
      <c r="V71" s="215"/>
      <c r="W71" s="214"/>
      <c r="X71" s="630"/>
      <c r="Y71" s="631"/>
      <c r="Z71" s="632"/>
      <c r="AA71" s="632"/>
      <c r="AB71" s="643"/>
      <c r="AC71" s="616">
        <f t="shared" si="1"/>
        <v>0</v>
      </c>
      <c r="AD71" s="633"/>
      <c r="AE71" s="636"/>
      <c r="AF71" s="636"/>
      <c r="AG71" s="7"/>
      <c r="AH71" s="628"/>
      <c r="AI71" s="7"/>
      <c r="AJ71" s="618">
        <f t="shared" si="5"/>
        <v>0</v>
      </c>
    </row>
    <row r="72" spans="1:36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4"/>
      <c r="H72" s="214"/>
      <c r="I72" s="215"/>
      <c r="J72" s="647"/>
      <c r="K72" s="215"/>
      <c r="L72" s="213"/>
      <c r="M72" s="370"/>
      <c r="N72" s="214"/>
      <c r="O72" s="262"/>
      <c r="P72" s="213"/>
      <c r="Q72" s="213"/>
      <c r="R72" s="213"/>
      <c r="S72" s="213"/>
      <c r="T72" s="221"/>
      <c r="U72" s="213"/>
      <c r="V72" s="215"/>
      <c r="W72" s="214"/>
      <c r="X72" s="630"/>
      <c r="Y72" s="631"/>
      <c r="Z72" s="632"/>
      <c r="AA72" s="632"/>
      <c r="AB72" s="643"/>
      <c r="AC72" s="616">
        <f t="shared" si="1"/>
        <v>0</v>
      </c>
      <c r="AD72" s="633"/>
      <c r="AE72" s="648"/>
      <c r="AF72" s="648"/>
      <c r="AG72" s="7"/>
      <c r="AH72" s="628"/>
      <c r="AI72" s="7"/>
      <c r="AJ72" s="618">
        <f t="shared" si="5"/>
        <v>0</v>
      </c>
    </row>
    <row r="73" spans="1:36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4"/>
      <c r="H73" s="214"/>
      <c r="I73" s="215"/>
      <c r="J73" s="647"/>
      <c r="K73" s="215"/>
      <c r="L73" s="213"/>
      <c r="M73" s="370"/>
      <c r="N73" s="214"/>
      <c r="O73" s="262"/>
      <c r="P73" s="213"/>
      <c r="Q73" s="213"/>
      <c r="R73" s="213"/>
      <c r="S73" s="213"/>
      <c r="T73" s="221"/>
      <c r="U73" s="213"/>
      <c r="V73" s="215"/>
      <c r="W73" s="214"/>
      <c r="X73" s="630"/>
      <c r="Y73" s="631"/>
      <c r="Z73" s="632"/>
      <c r="AA73" s="632"/>
      <c r="AB73" s="643"/>
      <c r="AC73" s="616">
        <f t="shared" si="1"/>
        <v>0</v>
      </c>
      <c r="AD73" s="633"/>
      <c r="AE73" s="648"/>
      <c r="AF73" s="648"/>
      <c r="AG73" s="7"/>
      <c r="AH73" s="628"/>
      <c r="AI73" s="7"/>
      <c r="AJ73" s="618">
        <f t="shared" si="5"/>
        <v>0</v>
      </c>
    </row>
    <row r="74" spans="1:36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4"/>
      <c r="H74" s="214"/>
      <c r="I74" s="215"/>
      <c r="J74" s="647"/>
      <c r="K74" s="215"/>
      <c r="L74" s="213"/>
      <c r="M74" s="370"/>
      <c r="N74" s="214"/>
      <c r="O74" s="262"/>
      <c r="P74" s="213"/>
      <c r="Q74" s="213"/>
      <c r="R74" s="213"/>
      <c r="S74" s="213"/>
      <c r="T74" s="221"/>
      <c r="U74" s="213"/>
      <c r="V74" s="215"/>
      <c r="W74" s="214"/>
      <c r="X74" s="630"/>
      <c r="Y74" s="631"/>
      <c r="Z74" s="632"/>
      <c r="AA74" s="632"/>
      <c r="AB74" s="643"/>
      <c r="AC74" s="616">
        <f t="shared" si="1"/>
        <v>0</v>
      </c>
      <c r="AD74" s="633"/>
      <c r="AE74" s="648"/>
      <c r="AF74" s="648"/>
      <c r="AG74" s="7"/>
      <c r="AH74" s="628"/>
      <c r="AI74" s="7"/>
      <c r="AJ74" s="618">
        <f t="shared" si="5"/>
        <v>0</v>
      </c>
    </row>
    <row r="75" spans="1:36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4"/>
      <c r="H75" s="214"/>
      <c r="I75" s="215"/>
      <c r="J75" s="638"/>
      <c r="K75" s="215"/>
      <c r="L75" s="213"/>
      <c r="M75" s="370"/>
      <c r="N75" s="214"/>
      <c r="O75" s="262"/>
      <c r="P75" s="213"/>
      <c r="Q75" s="213"/>
      <c r="R75" s="213"/>
      <c r="S75" s="213"/>
      <c r="T75" s="221"/>
      <c r="U75" s="213"/>
      <c r="V75" s="215"/>
      <c r="W75" s="214"/>
      <c r="X75" s="630"/>
      <c r="Y75" s="631"/>
      <c r="Z75" s="632"/>
      <c r="AA75" s="632"/>
      <c r="AB75" s="643"/>
      <c r="AC75" s="616">
        <f t="shared" si="1"/>
        <v>0</v>
      </c>
      <c r="AD75" s="633"/>
      <c r="AE75" s="636"/>
      <c r="AF75" s="636"/>
      <c r="AG75" s="7"/>
      <c r="AH75" s="628"/>
      <c r="AI75" s="7"/>
      <c r="AJ75" s="618">
        <f t="shared" si="5"/>
        <v>0</v>
      </c>
    </row>
    <row r="76" spans="1:36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4"/>
      <c r="H76" s="214"/>
      <c r="I76" s="215"/>
      <c r="J76" s="638"/>
      <c r="K76" s="215"/>
      <c r="L76" s="213"/>
      <c r="M76" s="370"/>
      <c r="N76" s="214"/>
      <c r="O76" s="261"/>
      <c r="P76" s="213"/>
      <c r="Q76" s="213"/>
      <c r="R76" s="213"/>
      <c r="S76" s="213"/>
      <c r="T76" s="221"/>
      <c r="U76" s="213"/>
      <c r="V76" s="215"/>
      <c r="W76" s="214"/>
      <c r="X76" s="630"/>
      <c r="Y76" s="631"/>
      <c r="Z76" s="632"/>
      <c r="AA76" s="632"/>
      <c r="AB76" s="643"/>
      <c r="AC76" s="616">
        <f t="shared" si="1"/>
        <v>0</v>
      </c>
      <c r="AD76" s="633"/>
      <c r="AE76" s="636"/>
      <c r="AF76" s="636"/>
      <c r="AG76" s="7"/>
      <c r="AH76" s="628"/>
      <c r="AI76" s="7"/>
      <c r="AJ76" s="618">
        <f t="shared" si="5"/>
        <v>0</v>
      </c>
    </row>
    <row r="77" spans="1:36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4"/>
      <c r="H77" s="214"/>
      <c r="I77" s="215"/>
      <c r="J77" s="638"/>
      <c r="K77" s="215"/>
      <c r="L77" s="213"/>
      <c r="M77" s="370"/>
      <c r="N77" s="214"/>
      <c r="O77" s="261"/>
      <c r="P77" s="213"/>
      <c r="Q77" s="213"/>
      <c r="R77" s="213"/>
      <c r="S77" s="213"/>
      <c r="T77" s="221"/>
      <c r="U77" s="213"/>
      <c r="V77" s="215"/>
      <c r="W77" s="214"/>
      <c r="X77" s="630"/>
      <c r="Y77" s="631"/>
      <c r="Z77" s="632"/>
      <c r="AA77" s="632"/>
      <c r="AB77" s="643"/>
      <c r="AC77" s="616">
        <f t="shared" si="1"/>
        <v>0</v>
      </c>
      <c r="AD77" s="633"/>
      <c r="AE77" s="640"/>
      <c r="AF77" s="640"/>
      <c r="AG77" s="7"/>
      <c r="AH77" s="628"/>
      <c r="AI77" s="7"/>
      <c r="AJ77" s="618">
        <f t="shared" si="5"/>
        <v>0</v>
      </c>
    </row>
    <row r="78" spans="1:36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4"/>
      <c r="H78" s="214"/>
      <c r="I78" s="215"/>
      <c r="J78" s="649"/>
      <c r="K78" s="215"/>
      <c r="L78" s="213"/>
      <c r="M78" s="370"/>
      <c r="N78" s="214"/>
      <c r="O78" s="261"/>
      <c r="P78" s="213"/>
      <c r="Q78" s="213"/>
      <c r="R78" s="213"/>
      <c r="S78" s="213"/>
      <c r="T78" s="221"/>
      <c r="U78" s="213"/>
      <c r="V78" s="215"/>
      <c r="W78" s="214"/>
      <c r="X78" s="630"/>
      <c r="Y78" s="631"/>
      <c r="Z78" s="632"/>
      <c r="AA78" s="632"/>
      <c r="AB78" s="643"/>
      <c r="AC78" s="616">
        <f t="shared" si="1"/>
        <v>0</v>
      </c>
      <c r="AD78" s="633"/>
      <c r="AE78" s="636"/>
      <c r="AF78" s="636"/>
      <c r="AG78" s="7"/>
      <c r="AH78" s="628"/>
      <c r="AI78" s="7"/>
      <c r="AJ78" s="618">
        <f t="shared" si="5"/>
        <v>0</v>
      </c>
    </row>
    <row r="79" spans="1:36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4"/>
      <c r="H79" s="214"/>
      <c r="I79" s="215"/>
      <c r="J79" s="620"/>
      <c r="K79" s="215"/>
      <c r="L79" s="213"/>
      <c r="M79" s="370"/>
      <c r="N79" s="214"/>
      <c r="O79" s="261"/>
      <c r="P79" s="213"/>
      <c r="Q79" s="213"/>
      <c r="R79" s="213"/>
      <c r="S79" s="213"/>
      <c r="T79" s="221"/>
      <c r="U79" s="213"/>
      <c r="V79" s="215"/>
      <c r="W79" s="214"/>
      <c r="X79" s="630"/>
      <c r="Y79" s="631"/>
      <c r="Z79" s="632"/>
      <c r="AA79" s="632"/>
      <c r="AB79" s="643"/>
      <c r="AC79" s="616">
        <f t="shared" si="1"/>
        <v>0</v>
      </c>
      <c r="AD79" s="633"/>
      <c r="AE79" s="634"/>
      <c r="AF79" s="634"/>
      <c r="AG79" s="7"/>
      <c r="AH79" s="628"/>
      <c r="AI79" s="7"/>
      <c r="AJ79" s="618">
        <f t="shared" si="5"/>
        <v>0</v>
      </c>
    </row>
    <row r="80" spans="1:36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4"/>
      <c r="H80" s="214"/>
      <c r="I80" s="215"/>
      <c r="J80" s="620"/>
      <c r="K80" s="215"/>
      <c r="L80" s="213"/>
      <c r="M80" s="370"/>
      <c r="N80" s="214"/>
      <c r="O80" s="261"/>
      <c r="P80" s="213"/>
      <c r="Q80" s="213"/>
      <c r="R80" s="213"/>
      <c r="S80" s="213"/>
      <c r="T80" s="221"/>
      <c r="U80" s="213"/>
      <c r="V80" s="215"/>
      <c r="W80" s="214"/>
      <c r="X80" s="630"/>
      <c r="Y80" s="631"/>
      <c r="Z80" s="632"/>
      <c r="AA80" s="632"/>
      <c r="AB80" s="643"/>
      <c r="AC80" s="616">
        <f t="shared" si="1"/>
        <v>0</v>
      </c>
      <c r="AD80" s="633"/>
      <c r="AE80" s="634"/>
      <c r="AF80" s="634"/>
      <c r="AG80" s="7"/>
      <c r="AH80" s="628"/>
      <c r="AI80" s="7"/>
      <c r="AJ80" s="618">
        <f t="shared" si="5"/>
        <v>0</v>
      </c>
    </row>
    <row r="81" spans="1:36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4"/>
      <c r="H81" s="214"/>
      <c r="I81" s="215"/>
      <c r="J81" s="620"/>
      <c r="K81" s="215"/>
      <c r="L81" s="213"/>
      <c r="M81" s="370"/>
      <c r="N81" s="214"/>
      <c r="O81" s="261"/>
      <c r="P81" s="213"/>
      <c r="Q81" s="213"/>
      <c r="R81" s="213"/>
      <c r="S81" s="213"/>
      <c r="T81" s="221"/>
      <c r="U81" s="213"/>
      <c r="V81" s="215"/>
      <c r="W81" s="214"/>
      <c r="X81" s="630"/>
      <c r="Y81" s="631"/>
      <c r="Z81" s="632"/>
      <c r="AA81" s="632"/>
      <c r="AB81" s="643"/>
      <c r="AC81" s="616">
        <f t="shared" si="1"/>
        <v>0</v>
      </c>
      <c r="AD81" s="633"/>
      <c r="AE81" s="634"/>
      <c r="AF81" s="634"/>
      <c r="AG81" s="7"/>
      <c r="AH81" s="628"/>
      <c r="AI81" s="7"/>
      <c r="AJ81" s="618">
        <f t="shared" si="5"/>
        <v>0</v>
      </c>
    </row>
    <row r="82" spans="1:36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4"/>
      <c r="H82" s="214"/>
      <c r="I82" s="215"/>
      <c r="J82" s="620"/>
      <c r="K82" s="215"/>
      <c r="L82" s="213"/>
      <c r="M82" s="370"/>
      <c r="N82" s="214"/>
      <c r="O82" s="261"/>
      <c r="P82" s="213"/>
      <c r="Q82" s="213"/>
      <c r="R82" s="213"/>
      <c r="S82" s="213"/>
      <c r="T82" s="221"/>
      <c r="U82" s="213"/>
      <c r="V82" s="215"/>
      <c r="W82" s="214"/>
      <c r="X82" s="630"/>
      <c r="Y82" s="631"/>
      <c r="Z82" s="632"/>
      <c r="AA82" s="632"/>
      <c r="AB82" s="643"/>
      <c r="AC82" s="616">
        <f t="shared" si="1"/>
        <v>0</v>
      </c>
      <c r="AD82" s="633"/>
      <c r="AE82" s="634"/>
      <c r="AF82" s="634"/>
      <c r="AG82" s="7"/>
      <c r="AH82" s="628"/>
      <c r="AI82" s="7"/>
      <c r="AJ82" s="618">
        <f t="shared" si="5"/>
        <v>0</v>
      </c>
    </row>
    <row r="83" spans="1:36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4"/>
      <c r="H83" s="214"/>
      <c r="I83" s="215"/>
      <c r="J83" s="649"/>
      <c r="K83" s="215"/>
      <c r="L83" s="213"/>
      <c r="M83" s="370"/>
      <c r="N83" s="214"/>
      <c r="O83" s="261"/>
      <c r="P83" s="213"/>
      <c r="Q83" s="213"/>
      <c r="R83" s="213"/>
      <c r="S83" s="213"/>
      <c r="T83" s="221"/>
      <c r="U83" s="213"/>
      <c r="V83" s="215"/>
      <c r="W83" s="214"/>
      <c r="X83" s="630"/>
      <c r="Y83" s="631"/>
      <c r="Z83" s="632"/>
      <c r="AA83" s="632"/>
      <c r="AB83" s="643"/>
      <c r="AC83" s="616">
        <f t="shared" si="1"/>
        <v>0</v>
      </c>
      <c r="AD83" s="633"/>
      <c r="AE83" s="636"/>
      <c r="AF83" s="636"/>
      <c r="AG83" s="7"/>
      <c r="AH83" s="628"/>
      <c r="AI83" s="7"/>
      <c r="AJ83" s="618">
        <f t="shared" si="5"/>
        <v>0</v>
      </c>
    </row>
    <row r="84" spans="1:36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4"/>
      <c r="H84" s="214"/>
      <c r="I84" s="215"/>
      <c r="J84" s="647"/>
      <c r="K84" s="215"/>
      <c r="L84" s="213"/>
      <c r="M84" s="370"/>
      <c r="N84" s="214"/>
      <c r="O84" s="261"/>
      <c r="P84" s="213"/>
      <c r="Q84" s="213"/>
      <c r="R84" s="213"/>
      <c r="S84" s="213"/>
      <c r="T84" s="221"/>
      <c r="U84" s="213"/>
      <c r="V84" s="215"/>
      <c r="W84" s="214"/>
      <c r="X84" s="630"/>
      <c r="Y84" s="631"/>
      <c r="Z84" s="632"/>
      <c r="AA84" s="632"/>
      <c r="AB84" s="643"/>
      <c r="AC84" s="616">
        <f t="shared" si="1"/>
        <v>0</v>
      </c>
      <c r="AD84" s="633"/>
      <c r="AE84" s="648"/>
      <c r="AF84" s="648"/>
      <c r="AG84" s="7"/>
      <c r="AH84" s="628"/>
      <c r="AI84" s="7"/>
      <c r="AJ84" s="618">
        <f t="shared" si="5"/>
        <v>0</v>
      </c>
    </row>
    <row r="85" spans="1:36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4"/>
      <c r="H85" s="214"/>
      <c r="I85" s="215"/>
      <c r="J85" s="647"/>
      <c r="K85" s="215"/>
      <c r="L85" s="213"/>
      <c r="M85" s="370"/>
      <c r="N85" s="214"/>
      <c r="O85" s="261"/>
      <c r="P85" s="213"/>
      <c r="Q85" s="213"/>
      <c r="R85" s="213"/>
      <c r="S85" s="213"/>
      <c r="T85" s="221"/>
      <c r="U85" s="213"/>
      <c r="V85" s="215"/>
      <c r="W85" s="214"/>
      <c r="X85" s="630"/>
      <c r="Y85" s="631"/>
      <c r="Z85" s="632"/>
      <c r="AA85" s="632"/>
      <c r="AB85" s="643"/>
      <c r="AC85" s="616">
        <f t="shared" si="1"/>
        <v>0</v>
      </c>
      <c r="AD85" s="633"/>
      <c r="AE85" s="648"/>
      <c r="AF85" s="648"/>
      <c r="AG85" s="7"/>
      <c r="AH85" s="628"/>
      <c r="AI85" s="7"/>
      <c r="AJ85" s="618">
        <f t="shared" si="5"/>
        <v>0</v>
      </c>
    </row>
    <row r="86" spans="1:36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4"/>
      <c r="H86" s="214"/>
      <c r="I86" s="215"/>
      <c r="J86" s="647"/>
      <c r="K86" s="215"/>
      <c r="L86" s="213"/>
      <c r="M86" s="370"/>
      <c r="N86" s="214"/>
      <c r="O86" s="261"/>
      <c r="P86" s="213"/>
      <c r="Q86" s="213"/>
      <c r="R86" s="213"/>
      <c r="S86" s="213"/>
      <c r="T86" s="221"/>
      <c r="U86" s="213"/>
      <c r="V86" s="215"/>
      <c r="W86" s="214"/>
      <c r="X86" s="630"/>
      <c r="Y86" s="631"/>
      <c r="Z86" s="632"/>
      <c r="AA86" s="632"/>
      <c r="AB86" s="643"/>
      <c r="AC86" s="616">
        <f t="shared" si="1"/>
        <v>0</v>
      </c>
      <c r="AD86" s="633"/>
      <c r="AE86" s="648"/>
      <c r="AF86" s="648"/>
      <c r="AG86" s="7"/>
      <c r="AH86" s="628"/>
      <c r="AI86" s="7"/>
      <c r="AJ86" s="618">
        <f t="shared" si="5"/>
        <v>0</v>
      </c>
    </row>
    <row r="87" spans="1:36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4"/>
      <c r="H87" s="214"/>
      <c r="I87" s="215"/>
      <c r="J87" s="638"/>
      <c r="K87" s="215"/>
      <c r="L87" s="213"/>
      <c r="M87" s="370"/>
      <c r="N87" s="214"/>
      <c r="O87" s="262"/>
      <c r="P87" s="213"/>
      <c r="Q87" s="213"/>
      <c r="R87" s="213"/>
      <c r="S87" s="213"/>
      <c r="T87" s="221"/>
      <c r="U87" s="213"/>
      <c r="V87" s="215"/>
      <c r="W87" s="214"/>
      <c r="X87" s="630"/>
      <c r="Y87" s="631"/>
      <c r="Z87" s="632"/>
      <c r="AA87" s="632"/>
      <c r="AB87" s="643"/>
      <c r="AC87" s="616">
        <f t="shared" si="1"/>
        <v>0</v>
      </c>
      <c r="AD87" s="633"/>
      <c r="AE87" s="636"/>
      <c r="AF87" s="636"/>
      <c r="AG87" s="7"/>
      <c r="AH87" s="628"/>
      <c r="AI87" s="7"/>
      <c r="AJ87" s="618">
        <f t="shared" si="5"/>
        <v>0</v>
      </c>
    </row>
    <row r="88" spans="1:36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4"/>
      <c r="H88" s="214"/>
      <c r="I88" s="215"/>
      <c r="J88" s="638"/>
      <c r="K88" s="215"/>
      <c r="L88" s="213"/>
      <c r="M88" s="370"/>
      <c r="N88" s="214"/>
      <c r="O88" s="262"/>
      <c r="P88" s="213"/>
      <c r="Q88" s="213"/>
      <c r="R88" s="213"/>
      <c r="S88" s="213"/>
      <c r="T88" s="221"/>
      <c r="U88" s="213"/>
      <c r="V88" s="215"/>
      <c r="W88" s="214"/>
      <c r="X88" s="630"/>
      <c r="Y88" s="631"/>
      <c r="Z88" s="632"/>
      <c r="AA88" s="632"/>
      <c r="AB88" s="643"/>
      <c r="AC88" s="616">
        <f t="shared" si="1"/>
        <v>0</v>
      </c>
      <c r="AD88" s="633"/>
      <c r="AE88" s="636"/>
      <c r="AF88" s="636"/>
      <c r="AG88" s="7"/>
      <c r="AH88" s="628"/>
      <c r="AI88" s="7"/>
      <c r="AJ88" s="618">
        <f t="shared" si="5"/>
        <v>0</v>
      </c>
    </row>
    <row r="89" spans="1:36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4"/>
      <c r="H89" s="214"/>
      <c r="I89" s="215"/>
      <c r="J89" s="638"/>
      <c r="K89" s="215"/>
      <c r="L89" s="213"/>
      <c r="M89" s="370"/>
      <c r="N89" s="214"/>
      <c r="O89" s="261"/>
      <c r="P89" s="213"/>
      <c r="Q89" s="213"/>
      <c r="R89" s="213"/>
      <c r="S89" s="213"/>
      <c r="T89" s="221"/>
      <c r="U89" s="213"/>
      <c r="V89" s="215"/>
      <c r="W89" s="214"/>
      <c r="X89" s="630"/>
      <c r="Y89" s="631"/>
      <c r="Z89" s="632"/>
      <c r="AA89" s="632"/>
      <c r="AB89" s="643"/>
      <c r="AC89" s="616">
        <f t="shared" si="1"/>
        <v>0</v>
      </c>
      <c r="AD89" s="633"/>
      <c r="AE89" s="636"/>
      <c r="AF89" s="636"/>
      <c r="AG89" s="7"/>
      <c r="AH89" s="628"/>
      <c r="AI89" s="7"/>
      <c r="AJ89" s="618">
        <f t="shared" si="5"/>
        <v>0</v>
      </c>
    </row>
    <row r="90" spans="1:36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4"/>
      <c r="H90" s="214"/>
      <c r="I90" s="215"/>
      <c r="J90" s="638"/>
      <c r="K90" s="215"/>
      <c r="L90" s="213"/>
      <c r="M90" s="370"/>
      <c r="N90" s="214"/>
      <c r="O90" s="261"/>
      <c r="P90" s="213"/>
      <c r="Q90" s="213"/>
      <c r="R90" s="213"/>
      <c r="S90" s="213"/>
      <c r="T90" s="221"/>
      <c r="U90" s="213"/>
      <c r="V90" s="215"/>
      <c r="W90" s="214"/>
      <c r="X90" s="630"/>
      <c r="Y90" s="631"/>
      <c r="Z90" s="632"/>
      <c r="AA90" s="632"/>
      <c r="AB90" s="643"/>
      <c r="AC90" s="616">
        <f t="shared" si="1"/>
        <v>0</v>
      </c>
      <c r="AD90" s="633"/>
      <c r="AE90" s="640"/>
      <c r="AF90" s="640"/>
      <c r="AG90" s="7"/>
      <c r="AH90" s="628"/>
      <c r="AI90" s="7"/>
      <c r="AJ90" s="618">
        <f t="shared" si="5"/>
        <v>0</v>
      </c>
    </row>
    <row r="91" spans="1:36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4"/>
      <c r="H91" s="214"/>
      <c r="I91" s="215"/>
      <c r="J91" s="620"/>
      <c r="K91" s="215"/>
      <c r="L91" s="213"/>
      <c r="M91" s="370"/>
      <c r="N91" s="214"/>
      <c r="O91" s="261"/>
      <c r="P91" s="213"/>
      <c r="Q91" s="213"/>
      <c r="R91" s="213"/>
      <c r="S91" s="213"/>
      <c r="T91" s="221"/>
      <c r="U91" s="213"/>
      <c r="V91" s="215"/>
      <c r="W91" s="214"/>
      <c r="X91" s="630"/>
      <c r="Y91" s="631"/>
      <c r="Z91" s="632"/>
      <c r="AA91" s="632"/>
      <c r="AB91" s="643"/>
      <c r="AC91" s="616">
        <f t="shared" si="1"/>
        <v>0</v>
      </c>
      <c r="AD91" s="633"/>
      <c r="AE91" s="636"/>
      <c r="AF91" s="636"/>
      <c r="AG91" s="7"/>
      <c r="AH91" s="628"/>
      <c r="AI91" s="7"/>
      <c r="AJ91" s="618">
        <f t="shared" si="5"/>
        <v>0</v>
      </c>
    </row>
    <row r="92" spans="1:36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4"/>
      <c r="H92" s="214"/>
      <c r="I92" s="215"/>
      <c r="J92" s="620"/>
      <c r="K92" s="215"/>
      <c r="L92" s="213"/>
      <c r="M92" s="370"/>
      <c r="N92" s="214"/>
      <c r="O92" s="261"/>
      <c r="P92" s="213"/>
      <c r="Q92" s="213"/>
      <c r="R92" s="213"/>
      <c r="S92" s="213"/>
      <c r="T92" s="221"/>
      <c r="U92" s="213"/>
      <c r="V92" s="215"/>
      <c r="W92" s="214"/>
      <c r="X92" s="630"/>
      <c r="Y92" s="631"/>
      <c r="Z92" s="632"/>
      <c r="AA92" s="632"/>
      <c r="AB92" s="643"/>
      <c r="AC92" s="616">
        <f t="shared" si="1"/>
        <v>0</v>
      </c>
      <c r="AD92" s="633"/>
      <c r="AE92" s="636"/>
      <c r="AF92" s="636"/>
      <c r="AG92" s="7"/>
      <c r="AH92" s="628"/>
      <c r="AI92" s="7"/>
      <c r="AJ92" s="618">
        <f t="shared" si="5"/>
        <v>0</v>
      </c>
    </row>
    <row r="93" spans="1:36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4"/>
      <c r="H93" s="214"/>
      <c r="I93" s="215"/>
      <c r="J93" s="620"/>
      <c r="K93" s="215"/>
      <c r="L93" s="213"/>
      <c r="M93" s="370"/>
      <c r="N93" s="214"/>
      <c r="O93" s="261"/>
      <c r="P93" s="213"/>
      <c r="Q93" s="213"/>
      <c r="R93" s="213"/>
      <c r="S93" s="213"/>
      <c r="T93" s="221"/>
      <c r="U93" s="213"/>
      <c r="V93" s="215"/>
      <c r="W93" s="214"/>
      <c r="X93" s="630"/>
      <c r="Y93" s="631"/>
      <c r="Z93" s="632"/>
      <c r="AA93" s="632"/>
      <c r="AB93" s="643"/>
      <c r="AC93" s="616">
        <f t="shared" si="1"/>
        <v>0</v>
      </c>
      <c r="AD93" s="633"/>
      <c r="AE93" s="636"/>
      <c r="AF93" s="636"/>
      <c r="AG93" s="7"/>
      <c r="AH93" s="628"/>
      <c r="AI93" s="7"/>
      <c r="AJ93" s="618">
        <f t="shared" si="5"/>
        <v>0</v>
      </c>
    </row>
    <row r="94" spans="1:36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4"/>
      <c r="H94" s="214"/>
      <c r="I94" s="215"/>
      <c r="J94" s="620"/>
      <c r="K94" s="215"/>
      <c r="L94" s="213"/>
      <c r="M94" s="370"/>
      <c r="N94" s="214"/>
      <c r="O94" s="261"/>
      <c r="P94" s="213"/>
      <c r="Q94" s="213"/>
      <c r="R94" s="213"/>
      <c r="S94" s="213"/>
      <c r="T94" s="221"/>
      <c r="U94" s="213"/>
      <c r="V94" s="215"/>
      <c r="W94" s="214"/>
      <c r="X94" s="630"/>
      <c r="Y94" s="631"/>
      <c r="Z94" s="632"/>
      <c r="AA94" s="632"/>
      <c r="AB94" s="643"/>
      <c r="AC94" s="616">
        <f t="shared" si="1"/>
        <v>0</v>
      </c>
      <c r="AD94" s="633"/>
      <c r="AE94" s="636"/>
      <c r="AF94" s="636"/>
      <c r="AG94" s="7"/>
      <c r="AH94" s="628"/>
      <c r="AI94" s="7"/>
      <c r="AJ94" s="618">
        <f t="shared" si="5"/>
        <v>0</v>
      </c>
    </row>
    <row r="95" spans="1:36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4"/>
      <c r="H95" s="214"/>
      <c r="I95" s="215"/>
      <c r="J95" s="620"/>
      <c r="K95" s="215"/>
      <c r="L95" s="213"/>
      <c r="M95" s="370"/>
      <c r="N95" s="214"/>
      <c r="O95" s="261"/>
      <c r="P95" s="213"/>
      <c r="Q95" s="213"/>
      <c r="R95" s="213"/>
      <c r="S95" s="213"/>
      <c r="T95" s="221"/>
      <c r="U95" s="213"/>
      <c r="V95" s="215"/>
      <c r="W95" s="214"/>
      <c r="X95" s="630"/>
      <c r="Y95" s="631"/>
      <c r="Z95" s="632"/>
      <c r="AA95" s="632"/>
      <c r="AB95" s="643"/>
      <c r="AC95" s="616">
        <f t="shared" si="1"/>
        <v>0</v>
      </c>
      <c r="AD95" s="633"/>
      <c r="AE95" s="636"/>
      <c r="AF95" s="636"/>
      <c r="AG95" s="7"/>
      <c r="AH95" s="628"/>
      <c r="AI95" s="7"/>
      <c r="AJ95" s="618">
        <f t="shared" si="5"/>
        <v>0</v>
      </c>
    </row>
    <row r="96" spans="1:36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4"/>
      <c r="H96" s="214"/>
      <c r="I96" s="215"/>
      <c r="J96" s="620"/>
      <c r="K96" s="215"/>
      <c r="L96" s="213"/>
      <c r="M96" s="370"/>
      <c r="N96" s="214"/>
      <c r="O96" s="261"/>
      <c r="P96" s="213"/>
      <c r="Q96" s="213"/>
      <c r="R96" s="213"/>
      <c r="S96" s="213"/>
      <c r="T96" s="221"/>
      <c r="U96" s="213"/>
      <c r="V96" s="215"/>
      <c r="W96" s="214"/>
      <c r="X96" s="630"/>
      <c r="Y96" s="631"/>
      <c r="Z96" s="632"/>
      <c r="AA96" s="632"/>
      <c r="AB96" s="643"/>
      <c r="AC96" s="616">
        <f t="shared" si="1"/>
        <v>0</v>
      </c>
      <c r="AD96" s="633"/>
      <c r="AE96" s="636"/>
      <c r="AF96" s="636"/>
      <c r="AG96" s="7"/>
      <c r="AH96" s="628"/>
      <c r="AI96" s="7"/>
      <c r="AJ96" s="618">
        <f t="shared" si="5"/>
        <v>0</v>
      </c>
    </row>
    <row r="97" spans="1:36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4"/>
      <c r="H97" s="214"/>
      <c r="I97" s="215"/>
      <c r="J97" s="620"/>
      <c r="K97" s="215"/>
      <c r="L97" s="213"/>
      <c r="M97" s="370"/>
      <c r="N97" s="214"/>
      <c r="O97" s="261"/>
      <c r="P97" s="213"/>
      <c r="Q97" s="213"/>
      <c r="R97" s="213"/>
      <c r="S97" s="213"/>
      <c r="T97" s="221"/>
      <c r="U97" s="213"/>
      <c r="V97" s="215"/>
      <c r="W97" s="214"/>
      <c r="X97" s="630"/>
      <c r="Y97" s="631"/>
      <c r="Z97" s="632"/>
      <c r="AA97" s="632"/>
      <c r="AB97" s="643"/>
      <c r="AC97" s="616">
        <f t="shared" si="1"/>
        <v>0</v>
      </c>
      <c r="AD97" s="633"/>
      <c r="AE97" s="636"/>
      <c r="AF97" s="636"/>
      <c r="AG97" s="7"/>
      <c r="AH97" s="628"/>
      <c r="AI97" s="7"/>
      <c r="AJ97" s="618">
        <f t="shared" si="5"/>
        <v>0</v>
      </c>
    </row>
    <row r="98" spans="1:36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4"/>
      <c r="H98" s="214"/>
      <c r="I98" s="215"/>
      <c r="J98" s="620"/>
      <c r="K98" s="215"/>
      <c r="L98" s="213"/>
      <c r="M98" s="370"/>
      <c r="N98" s="214"/>
      <c r="O98" s="261"/>
      <c r="P98" s="213"/>
      <c r="Q98" s="213"/>
      <c r="R98" s="213"/>
      <c r="S98" s="213"/>
      <c r="T98" s="221"/>
      <c r="U98" s="213"/>
      <c r="V98" s="215"/>
      <c r="W98" s="214"/>
      <c r="X98" s="630"/>
      <c r="Y98" s="631"/>
      <c r="Z98" s="632"/>
      <c r="AA98" s="632"/>
      <c r="AB98" s="643"/>
      <c r="AC98" s="616">
        <f t="shared" si="1"/>
        <v>0</v>
      </c>
      <c r="AD98" s="633"/>
      <c r="AE98" s="636"/>
      <c r="AF98" s="636"/>
      <c r="AG98" s="7"/>
      <c r="AH98" s="628"/>
      <c r="AI98" s="7"/>
      <c r="AJ98" s="618">
        <f t="shared" si="5"/>
        <v>0</v>
      </c>
    </row>
    <row r="99" spans="1:36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4"/>
      <c r="H99" s="214"/>
      <c r="I99" s="215"/>
      <c r="J99" s="620"/>
      <c r="K99" s="215"/>
      <c r="L99" s="213"/>
      <c r="M99" s="370"/>
      <c r="N99" s="214"/>
      <c r="O99" s="261"/>
      <c r="P99" s="213"/>
      <c r="Q99" s="213"/>
      <c r="R99" s="213"/>
      <c r="S99" s="213"/>
      <c r="T99" s="221"/>
      <c r="U99" s="213"/>
      <c r="V99" s="215"/>
      <c r="W99" s="214"/>
      <c r="X99" s="630"/>
      <c r="Y99" s="631"/>
      <c r="Z99" s="632"/>
      <c r="AA99" s="632"/>
      <c r="AB99" s="643"/>
      <c r="AC99" s="616">
        <f t="shared" si="1"/>
        <v>0</v>
      </c>
      <c r="AD99" s="633"/>
      <c r="AE99" s="636"/>
      <c r="AF99" s="636"/>
      <c r="AG99" s="7"/>
      <c r="AH99" s="628"/>
      <c r="AI99" s="7"/>
      <c r="AJ99" s="618">
        <f t="shared" si="5"/>
        <v>0</v>
      </c>
    </row>
    <row r="100" spans="1:36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4"/>
      <c r="H100" s="214"/>
      <c r="I100" s="215"/>
      <c r="J100" s="620"/>
      <c r="K100" s="215"/>
      <c r="L100" s="213"/>
      <c r="M100" s="370"/>
      <c r="N100" s="214"/>
      <c r="O100" s="261"/>
      <c r="P100" s="213"/>
      <c r="Q100" s="213"/>
      <c r="R100" s="213"/>
      <c r="S100" s="213"/>
      <c r="T100" s="221"/>
      <c r="U100" s="213"/>
      <c r="V100" s="215"/>
      <c r="W100" s="214"/>
      <c r="X100" s="630"/>
      <c r="Y100" s="631"/>
      <c r="Z100" s="632"/>
      <c r="AA100" s="632"/>
      <c r="AB100" s="643"/>
      <c r="AC100" s="616">
        <f t="shared" si="1"/>
        <v>0</v>
      </c>
      <c r="AD100" s="633"/>
      <c r="AE100" s="636"/>
      <c r="AF100" s="636"/>
      <c r="AG100" s="7"/>
      <c r="AH100" s="628"/>
      <c r="AI100" s="7"/>
      <c r="AJ100" s="618">
        <f t="shared" si="5"/>
        <v>0</v>
      </c>
    </row>
    <row r="101" spans="1:36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4"/>
      <c r="H101" s="214"/>
      <c r="I101" s="215"/>
      <c r="J101" s="638"/>
      <c r="K101" s="215"/>
      <c r="L101" s="213"/>
      <c r="M101" s="370"/>
      <c r="N101" s="214"/>
      <c r="O101" s="261"/>
      <c r="P101" s="213"/>
      <c r="Q101" s="213"/>
      <c r="R101" s="213"/>
      <c r="S101" s="213"/>
      <c r="T101" s="221"/>
      <c r="U101" s="213"/>
      <c r="V101" s="215"/>
      <c r="W101" s="214"/>
      <c r="X101" s="630"/>
      <c r="Y101" s="631"/>
      <c r="Z101" s="632"/>
      <c r="AA101" s="632"/>
      <c r="AB101" s="643"/>
      <c r="AC101" s="616">
        <f t="shared" si="1"/>
        <v>0</v>
      </c>
      <c r="AD101" s="633"/>
      <c r="AE101" s="636"/>
      <c r="AF101" s="636"/>
      <c r="AG101" s="7"/>
      <c r="AH101" s="628"/>
      <c r="AI101" s="7"/>
      <c r="AJ101" s="618">
        <f t="shared" si="5"/>
        <v>0</v>
      </c>
    </row>
    <row r="102" spans="1:36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4"/>
      <c r="H102" s="214"/>
      <c r="I102" s="215"/>
      <c r="J102" s="638"/>
      <c r="K102" s="215"/>
      <c r="L102" s="213"/>
      <c r="M102" s="370"/>
      <c r="N102" s="214"/>
      <c r="O102" s="261"/>
      <c r="P102" s="213"/>
      <c r="Q102" s="213"/>
      <c r="R102" s="213"/>
      <c r="S102" s="213"/>
      <c r="T102" s="221"/>
      <c r="U102" s="213"/>
      <c r="V102" s="215"/>
      <c r="W102" s="214"/>
      <c r="X102" s="630"/>
      <c r="Y102" s="631"/>
      <c r="Z102" s="632"/>
      <c r="AA102" s="632"/>
      <c r="AB102" s="643"/>
      <c r="AC102" s="616">
        <f t="shared" si="1"/>
        <v>0</v>
      </c>
      <c r="AD102" s="633"/>
      <c r="AE102" s="636"/>
      <c r="AF102" s="636"/>
      <c r="AG102" s="7"/>
      <c r="AH102" s="628"/>
      <c r="AI102" s="7"/>
      <c r="AJ102" s="618">
        <f t="shared" si="5"/>
        <v>0</v>
      </c>
    </row>
    <row r="103" spans="1:36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4"/>
      <c r="H103" s="214"/>
      <c r="I103" s="215"/>
      <c r="J103" s="638"/>
      <c r="K103" s="215"/>
      <c r="L103" s="213"/>
      <c r="M103" s="370"/>
      <c r="N103" s="214"/>
      <c r="O103" s="261"/>
      <c r="P103" s="213"/>
      <c r="Q103" s="213"/>
      <c r="R103" s="213"/>
      <c r="S103" s="213"/>
      <c r="T103" s="221"/>
      <c r="U103" s="213"/>
      <c r="V103" s="215"/>
      <c r="W103" s="214"/>
      <c r="X103" s="630"/>
      <c r="Y103" s="631"/>
      <c r="Z103" s="632"/>
      <c r="AA103" s="632"/>
      <c r="AB103" s="643"/>
      <c r="AC103" s="616">
        <f t="shared" si="1"/>
        <v>0</v>
      </c>
      <c r="AD103" s="650" t="s">
        <v>1579</v>
      </c>
      <c r="AE103" s="640"/>
      <c r="AF103" s="640"/>
      <c r="AG103" s="7"/>
      <c r="AH103" s="628"/>
      <c r="AI103" s="7"/>
      <c r="AJ103" s="618">
        <f t="shared" si="5"/>
        <v>0</v>
      </c>
    </row>
    <row r="104" spans="1:36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4.8</v>
      </c>
      <c r="F104" s="213"/>
      <c r="G104" s="214"/>
      <c r="H104" s="214"/>
      <c r="I104" s="215">
        <v>34.78</v>
      </c>
      <c r="J104" s="620"/>
      <c r="K104" s="215"/>
      <c r="L104" s="213">
        <f>197+15+83.9+10+1.5+10+18+10+19.9+80+1.8</f>
        <v>447.09999999999997</v>
      </c>
      <c r="M104" s="651">
        <v>1.1000000000000001</v>
      </c>
      <c r="N104" s="214"/>
      <c r="O104" s="261">
        <v>735.69</v>
      </c>
      <c r="P104" s="213"/>
      <c r="Q104" s="213"/>
      <c r="R104" s="213"/>
      <c r="S104" s="213"/>
      <c r="T104" s="221"/>
      <c r="U104" s="652"/>
      <c r="V104" s="215"/>
      <c r="W104" s="214"/>
      <c r="X104" s="630"/>
      <c r="Y104" s="631"/>
      <c r="Z104" s="632"/>
      <c r="AA104" s="632"/>
      <c r="AB104" s="643"/>
      <c r="AC104" s="616">
        <f t="shared" si="1"/>
        <v>1223.47</v>
      </c>
      <c r="AD104" s="633">
        <f>AC104+AC126+AC115</f>
        <v>2344.3000000000002</v>
      </c>
      <c r="AE104" s="636"/>
      <c r="AF104" s="636"/>
      <c r="AG104" s="7"/>
      <c r="AH104" s="628">
        <v>1629.8</v>
      </c>
      <c r="AI104" s="7"/>
      <c r="AJ104" s="618">
        <f t="shared" si="5"/>
        <v>406.32999999999993</v>
      </c>
    </row>
    <row r="105" spans="1:36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4"/>
      <c r="H105" s="214"/>
      <c r="I105" s="215"/>
      <c r="J105" s="647"/>
      <c r="K105" s="215"/>
      <c r="L105" s="213"/>
      <c r="M105" s="370"/>
      <c r="N105" s="214"/>
      <c r="O105" s="262"/>
      <c r="P105" s="213"/>
      <c r="Q105" s="213"/>
      <c r="R105" s="213"/>
      <c r="S105" s="213"/>
      <c r="T105" s="221"/>
      <c r="U105" s="652"/>
      <c r="V105" s="215"/>
      <c r="W105" s="214"/>
      <c r="X105" s="630"/>
      <c r="Y105" s="631"/>
      <c r="Z105" s="632"/>
      <c r="AA105" s="632"/>
      <c r="AB105" s="643"/>
      <c r="AC105" s="616">
        <f t="shared" si="1"/>
        <v>0</v>
      </c>
      <c r="AD105" s="633"/>
      <c r="AE105" s="654"/>
      <c r="AF105" s="654"/>
      <c r="AG105" s="7"/>
      <c r="AH105" s="628">
        <v>719.2441</v>
      </c>
      <c r="AI105" s="7"/>
      <c r="AJ105" s="618"/>
    </row>
    <row r="106" spans="1:36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4"/>
      <c r="H106" s="214"/>
      <c r="I106" s="215"/>
      <c r="J106" s="647"/>
      <c r="K106" s="215"/>
      <c r="L106" s="213"/>
      <c r="M106" s="370"/>
      <c r="N106" s="214"/>
      <c r="O106" s="262"/>
      <c r="P106" s="213"/>
      <c r="Q106" s="213"/>
      <c r="R106" s="213"/>
      <c r="S106" s="213"/>
      <c r="T106" s="221"/>
      <c r="U106" s="213"/>
      <c r="V106" s="215"/>
      <c r="W106" s="214"/>
      <c r="X106" s="630"/>
      <c r="Y106" s="631"/>
      <c r="Z106" s="632"/>
      <c r="AA106" s="632"/>
      <c r="AB106" s="643"/>
      <c r="AC106" s="616">
        <f t="shared" si="1"/>
        <v>0</v>
      </c>
      <c r="AD106" s="633"/>
      <c r="AE106" s="648"/>
      <c r="AF106" s="648"/>
      <c r="AG106" s="7"/>
      <c r="AH106" s="628">
        <v>120.3741</v>
      </c>
      <c r="AI106" s="7"/>
      <c r="AJ106" s="618"/>
    </row>
    <row r="107" spans="1:36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4"/>
      <c r="H107" s="214"/>
      <c r="I107" s="215"/>
      <c r="J107" s="647"/>
      <c r="K107" s="215"/>
      <c r="L107" s="213"/>
      <c r="M107" s="370"/>
      <c r="N107" s="214"/>
      <c r="O107" s="262"/>
      <c r="P107" s="213"/>
      <c r="Q107" s="213"/>
      <c r="R107" s="213"/>
      <c r="S107" s="213"/>
      <c r="T107" s="221"/>
      <c r="U107" s="213"/>
      <c r="V107" s="215"/>
      <c r="W107" s="214"/>
      <c r="X107" s="630"/>
      <c r="Y107" s="631"/>
      <c r="Z107" s="632"/>
      <c r="AA107" s="632"/>
      <c r="AB107" s="643"/>
      <c r="AC107" s="616">
        <f t="shared" si="1"/>
        <v>0</v>
      </c>
      <c r="AD107" s="633"/>
      <c r="AE107" s="648"/>
      <c r="AF107" s="648"/>
      <c r="AG107" s="7"/>
      <c r="AH107" s="628">
        <v>79.94</v>
      </c>
      <c r="AI107" s="7"/>
      <c r="AJ107" s="618"/>
    </row>
    <row r="108" spans="1:36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4"/>
      <c r="H108" s="214"/>
      <c r="I108" s="215"/>
      <c r="J108" s="647"/>
      <c r="K108" s="215"/>
      <c r="L108" s="213"/>
      <c r="M108" s="370"/>
      <c r="N108" s="214"/>
      <c r="O108" s="262"/>
      <c r="P108" s="213"/>
      <c r="Q108" s="213"/>
      <c r="R108" s="213"/>
      <c r="S108" s="213"/>
      <c r="T108" s="221"/>
      <c r="U108" s="652"/>
      <c r="V108" s="215"/>
      <c r="W108" s="214"/>
      <c r="X108" s="630"/>
      <c r="Y108" s="631"/>
      <c r="Z108" s="632"/>
      <c r="AA108" s="632"/>
      <c r="AB108" s="643"/>
      <c r="AC108" s="616">
        <f t="shared" si="1"/>
        <v>0</v>
      </c>
      <c r="AD108" s="633"/>
      <c r="AE108" s="648"/>
      <c r="AF108" s="648"/>
      <c r="AG108" s="7"/>
      <c r="AH108" s="628">
        <v>46.7</v>
      </c>
      <c r="AI108" s="7"/>
      <c r="AJ108" s="618"/>
    </row>
    <row r="109" spans="1:36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4"/>
      <c r="H109" s="214"/>
      <c r="I109" s="215"/>
      <c r="J109" s="647"/>
      <c r="K109" s="215"/>
      <c r="L109" s="213"/>
      <c r="M109" s="370"/>
      <c r="N109" s="214"/>
      <c r="O109" s="262"/>
      <c r="P109" s="213"/>
      <c r="Q109" s="213"/>
      <c r="R109" s="213"/>
      <c r="S109" s="213"/>
      <c r="T109" s="221"/>
      <c r="U109" s="213"/>
      <c r="V109" s="215"/>
      <c r="W109" s="214"/>
      <c r="X109" s="630"/>
      <c r="Y109" s="631"/>
      <c r="Z109" s="632"/>
      <c r="AA109" s="632"/>
      <c r="AB109" s="643"/>
      <c r="AC109" s="616">
        <f t="shared" si="1"/>
        <v>0</v>
      </c>
      <c r="AD109" s="633"/>
      <c r="AE109" s="648"/>
      <c r="AF109" s="648"/>
      <c r="AG109" s="7"/>
      <c r="AH109" s="628">
        <v>472.23</v>
      </c>
      <c r="AI109" s="7"/>
      <c r="AJ109" s="618"/>
    </row>
    <row r="110" spans="1:36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4"/>
      <c r="H110" s="214"/>
      <c r="I110" s="215"/>
      <c r="J110" s="647"/>
      <c r="K110" s="215"/>
      <c r="L110" s="213"/>
      <c r="M110" s="370"/>
      <c r="N110" s="214"/>
      <c r="O110" s="262"/>
      <c r="P110" s="213"/>
      <c r="Q110" s="213"/>
      <c r="R110" s="213"/>
      <c r="S110" s="213"/>
      <c r="T110" s="221"/>
      <c r="U110" s="213"/>
      <c r="V110" s="215"/>
      <c r="W110" s="214"/>
      <c r="X110" s="630"/>
      <c r="Y110" s="631"/>
      <c r="Z110" s="632"/>
      <c r="AA110" s="632"/>
      <c r="AB110" s="643"/>
      <c r="AC110" s="616">
        <f t="shared" si="1"/>
        <v>0</v>
      </c>
      <c r="AD110" s="633"/>
      <c r="AE110" s="654"/>
      <c r="AF110" s="654"/>
      <c r="AG110" s="7"/>
      <c r="AH110" s="628">
        <v>395.3</v>
      </c>
      <c r="AI110" s="7"/>
      <c r="AJ110" s="618">
        <f t="shared" ref="AJ110:AJ125" si="6">AH110-AC110</f>
        <v>395.3</v>
      </c>
    </row>
    <row r="111" spans="1:36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4"/>
      <c r="H111" s="214"/>
      <c r="I111" s="215"/>
      <c r="J111" s="647"/>
      <c r="K111" s="215"/>
      <c r="L111" s="213"/>
      <c r="M111" s="370"/>
      <c r="N111" s="214"/>
      <c r="O111" s="262"/>
      <c r="P111" s="213"/>
      <c r="Q111" s="213"/>
      <c r="R111" s="213"/>
      <c r="S111" s="213"/>
      <c r="T111" s="221"/>
      <c r="U111" s="213"/>
      <c r="V111" s="215"/>
      <c r="W111" s="214"/>
      <c r="X111" s="630"/>
      <c r="Y111" s="631"/>
      <c r="Z111" s="632"/>
      <c r="AA111" s="632"/>
      <c r="AB111" s="643"/>
      <c r="AC111" s="616">
        <f t="shared" si="1"/>
        <v>0</v>
      </c>
      <c r="AD111" s="633"/>
      <c r="AE111" s="634"/>
      <c r="AF111" s="634"/>
      <c r="AG111" s="7"/>
      <c r="AH111" s="628">
        <v>5.8</v>
      </c>
      <c r="AI111" s="7"/>
      <c r="AJ111" s="618">
        <f t="shared" si="6"/>
        <v>5.8</v>
      </c>
    </row>
    <row r="112" spans="1:36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4"/>
      <c r="H112" s="214"/>
      <c r="I112" s="215"/>
      <c r="J112" s="647"/>
      <c r="K112" s="215"/>
      <c r="L112" s="213"/>
      <c r="M112" s="370"/>
      <c r="N112" s="214"/>
      <c r="O112" s="262"/>
      <c r="P112" s="213"/>
      <c r="Q112" s="213"/>
      <c r="R112" s="213"/>
      <c r="S112" s="213"/>
      <c r="T112" s="221"/>
      <c r="U112" s="213"/>
      <c r="V112" s="215"/>
      <c r="W112" s="214"/>
      <c r="X112" s="630"/>
      <c r="Y112" s="631"/>
      <c r="Z112" s="632"/>
      <c r="AA112" s="632"/>
      <c r="AB112" s="643"/>
      <c r="AC112" s="616">
        <f t="shared" si="1"/>
        <v>0</v>
      </c>
      <c r="AD112" s="633"/>
      <c r="AE112" s="634"/>
      <c r="AF112" s="634"/>
      <c r="AG112" s="7"/>
      <c r="AH112" s="628">
        <v>117.8</v>
      </c>
      <c r="AI112" s="7"/>
      <c r="AJ112" s="618">
        <f t="shared" si="6"/>
        <v>117.8</v>
      </c>
    </row>
    <row r="113" spans="1:36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4"/>
      <c r="H113" s="214"/>
      <c r="I113" s="215"/>
      <c r="J113" s="647"/>
      <c r="K113" s="215"/>
      <c r="L113" s="213"/>
      <c r="M113" s="370"/>
      <c r="N113" s="214"/>
      <c r="O113" s="262"/>
      <c r="P113" s="213"/>
      <c r="Q113" s="213"/>
      <c r="R113" s="213"/>
      <c r="S113" s="213"/>
      <c r="T113" s="221"/>
      <c r="U113" s="213"/>
      <c r="V113" s="215"/>
      <c r="W113" s="214"/>
      <c r="X113" s="630"/>
      <c r="Y113" s="631"/>
      <c r="Z113" s="632"/>
      <c r="AA113" s="632"/>
      <c r="AB113" s="643"/>
      <c r="AC113" s="616">
        <f t="shared" si="1"/>
        <v>0</v>
      </c>
      <c r="AD113" s="633"/>
      <c r="AE113" s="634"/>
      <c r="AF113" s="634"/>
      <c r="AG113" s="7"/>
      <c r="AH113" s="628">
        <v>104.7</v>
      </c>
      <c r="AI113" s="7"/>
      <c r="AJ113" s="618">
        <f t="shared" si="6"/>
        <v>104.7</v>
      </c>
    </row>
    <row r="114" spans="1:36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4"/>
      <c r="H114" s="214"/>
      <c r="I114" s="215"/>
      <c r="J114" s="647"/>
      <c r="K114" s="215"/>
      <c r="L114" s="213"/>
      <c r="M114" s="370"/>
      <c r="N114" s="214"/>
      <c r="O114" s="262"/>
      <c r="P114" s="213"/>
      <c r="Q114" s="213"/>
      <c r="R114" s="213"/>
      <c r="S114" s="213"/>
      <c r="T114" s="221"/>
      <c r="U114" s="213"/>
      <c r="V114" s="215"/>
      <c r="W114" s="214"/>
      <c r="X114" s="630"/>
      <c r="Y114" s="631"/>
      <c r="Z114" s="632"/>
      <c r="AA114" s="632"/>
      <c r="AB114" s="643"/>
      <c r="AC114" s="616">
        <f t="shared" si="1"/>
        <v>0</v>
      </c>
      <c r="AD114" s="633"/>
      <c r="AE114" s="634"/>
      <c r="AF114" s="634"/>
      <c r="AG114" s="7"/>
      <c r="AH114" s="628">
        <v>167</v>
      </c>
      <c r="AI114" s="7"/>
      <c r="AJ114" s="618">
        <f t="shared" si="6"/>
        <v>167</v>
      </c>
    </row>
    <row r="115" spans="1:36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4"/>
      <c r="H115" s="214"/>
      <c r="I115" s="215"/>
      <c r="J115" s="647">
        <v>15.5</v>
      </c>
      <c r="K115" s="215"/>
      <c r="L115" s="213"/>
      <c r="M115" s="370"/>
      <c r="N115" s="214"/>
      <c r="O115" s="262"/>
      <c r="P115" s="213"/>
      <c r="Q115" s="213"/>
      <c r="R115" s="213"/>
      <c r="S115" s="213"/>
      <c r="T115" s="221"/>
      <c r="U115" s="213"/>
      <c r="V115" s="215"/>
      <c r="W115" s="214"/>
      <c r="X115" s="630"/>
      <c r="Y115" s="631"/>
      <c r="Z115" s="632"/>
      <c r="AA115" s="632"/>
      <c r="AB115" s="643"/>
      <c r="AC115" s="616">
        <f t="shared" si="1"/>
        <v>15.5</v>
      </c>
      <c r="AD115" s="633"/>
      <c r="AE115" s="636"/>
      <c r="AF115" s="636"/>
      <c r="AG115" s="7"/>
      <c r="AH115" s="628">
        <v>80.5</v>
      </c>
      <c r="AI115" s="7"/>
      <c r="AJ115" s="618">
        <f t="shared" si="6"/>
        <v>65</v>
      </c>
    </row>
    <row r="116" spans="1:36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4"/>
      <c r="H116" s="214"/>
      <c r="I116" s="215"/>
      <c r="J116" s="647">
        <v>15.5</v>
      </c>
      <c r="K116" s="215"/>
      <c r="L116" s="213"/>
      <c r="M116" s="370"/>
      <c r="N116" s="214"/>
      <c r="O116" s="262"/>
      <c r="P116" s="213"/>
      <c r="Q116" s="213"/>
      <c r="R116" s="213"/>
      <c r="S116" s="213"/>
      <c r="T116" s="221"/>
      <c r="U116" s="213"/>
      <c r="V116" s="215"/>
      <c r="W116" s="214"/>
      <c r="X116" s="630"/>
      <c r="Y116" s="631"/>
      <c r="Z116" s="632"/>
      <c r="AA116" s="632"/>
      <c r="AB116" s="643"/>
      <c r="AC116" s="616">
        <f t="shared" si="1"/>
        <v>15.5</v>
      </c>
      <c r="AD116" s="633"/>
      <c r="AE116" s="654"/>
      <c r="AF116" s="654"/>
      <c r="AG116" s="7"/>
      <c r="AH116" s="628">
        <v>28.15</v>
      </c>
      <c r="AI116" s="7"/>
      <c r="AJ116" s="618">
        <f t="shared" si="6"/>
        <v>12.649999999999999</v>
      </c>
    </row>
    <row r="117" spans="1:36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4"/>
      <c r="H117" s="214"/>
      <c r="I117" s="215"/>
      <c r="J117" s="647"/>
      <c r="K117" s="215"/>
      <c r="L117" s="213"/>
      <c r="M117" s="370"/>
      <c r="N117" s="214"/>
      <c r="O117" s="262"/>
      <c r="P117" s="213"/>
      <c r="Q117" s="213"/>
      <c r="R117" s="213"/>
      <c r="S117" s="213"/>
      <c r="T117" s="221"/>
      <c r="U117" s="213"/>
      <c r="V117" s="215"/>
      <c r="W117" s="214"/>
      <c r="X117" s="630"/>
      <c r="Y117" s="631"/>
      <c r="Z117" s="632"/>
      <c r="AA117" s="632"/>
      <c r="AB117" s="643"/>
      <c r="AC117" s="616">
        <f t="shared" si="1"/>
        <v>0</v>
      </c>
      <c r="AD117" s="633"/>
      <c r="AE117" s="648"/>
      <c r="AF117" s="648"/>
      <c r="AG117" s="7"/>
      <c r="AH117" s="628">
        <v>22.95</v>
      </c>
      <c r="AI117" s="7"/>
      <c r="AJ117" s="618">
        <f t="shared" si="6"/>
        <v>22.95</v>
      </c>
    </row>
    <row r="118" spans="1:36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4"/>
      <c r="H118" s="214"/>
      <c r="I118" s="215"/>
      <c r="J118" s="647">
        <v>6</v>
      </c>
      <c r="K118" s="215"/>
      <c r="L118" s="213"/>
      <c r="M118" s="370"/>
      <c r="N118" s="214"/>
      <c r="O118" s="262"/>
      <c r="P118" s="213"/>
      <c r="Q118" s="213"/>
      <c r="R118" s="213"/>
      <c r="S118" s="213"/>
      <c r="T118" s="221"/>
      <c r="U118" s="213"/>
      <c r="V118" s="215"/>
      <c r="W118" s="214"/>
      <c r="X118" s="630"/>
      <c r="Y118" s="631"/>
      <c r="Z118" s="632"/>
      <c r="AA118" s="632"/>
      <c r="AB118" s="643"/>
      <c r="AC118" s="616">
        <f t="shared" si="1"/>
        <v>6</v>
      </c>
      <c r="AD118" s="633"/>
      <c r="AE118" s="648"/>
      <c r="AF118" s="648"/>
      <c r="AG118" s="7"/>
      <c r="AH118" s="628"/>
      <c r="AI118" s="7"/>
      <c r="AJ118" s="618">
        <f t="shared" si="6"/>
        <v>-6</v>
      </c>
    </row>
    <row r="119" spans="1:36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4"/>
      <c r="H119" s="214"/>
      <c r="I119" s="215"/>
      <c r="J119" s="647">
        <v>9.5</v>
      </c>
      <c r="K119" s="215"/>
      <c r="L119" s="213"/>
      <c r="M119" s="370"/>
      <c r="N119" s="214"/>
      <c r="O119" s="262"/>
      <c r="P119" s="213"/>
      <c r="Q119" s="213"/>
      <c r="R119" s="213"/>
      <c r="S119" s="213"/>
      <c r="T119" s="221"/>
      <c r="U119" s="213"/>
      <c r="V119" s="215"/>
      <c r="W119" s="214"/>
      <c r="X119" s="630"/>
      <c r="Y119" s="631"/>
      <c r="Z119" s="632"/>
      <c r="AA119" s="632"/>
      <c r="AB119" s="643"/>
      <c r="AC119" s="616">
        <f t="shared" si="1"/>
        <v>9.5</v>
      </c>
      <c r="AD119" s="633"/>
      <c r="AE119" s="648"/>
      <c r="AF119" s="648"/>
      <c r="AG119" s="7"/>
      <c r="AH119" s="628"/>
      <c r="AI119" s="7"/>
      <c r="AJ119" s="618">
        <f t="shared" si="6"/>
        <v>-9.5</v>
      </c>
    </row>
    <row r="120" spans="1:36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4"/>
      <c r="H120" s="214"/>
      <c r="I120" s="215"/>
      <c r="J120" s="647"/>
      <c r="K120" s="215"/>
      <c r="L120" s="213"/>
      <c r="M120" s="370"/>
      <c r="N120" s="214"/>
      <c r="O120" s="262"/>
      <c r="P120" s="213"/>
      <c r="Q120" s="213"/>
      <c r="R120" s="213"/>
      <c r="S120" s="213"/>
      <c r="T120" s="221"/>
      <c r="U120" s="213"/>
      <c r="V120" s="215"/>
      <c r="W120" s="214"/>
      <c r="X120" s="630"/>
      <c r="Y120" s="631"/>
      <c r="Z120" s="632"/>
      <c r="AA120" s="632"/>
      <c r="AB120" s="643"/>
      <c r="AC120" s="616">
        <f t="shared" si="1"/>
        <v>0</v>
      </c>
      <c r="AD120" s="633"/>
      <c r="AE120" s="648"/>
      <c r="AF120" s="648"/>
      <c r="AG120" s="7"/>
      <c r="AH120" s="628">
        <v>5.2</v>
      </c>
      <c r="AI120" s="7"/>
      <c r="AJ120" s="618">
        <f t="shared" si="6"/>
        <v>5.2</v>
      </c>
    </row>
    <row r="121" spans="1:36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4"/>
      <c r="H121" s="214"/>
      <c r="I121" s="215"/>
      <c r="J121" s="647"/>
      <c r="K121" s="215"/>
      <c r="L121" s="213"/>
      <c r="M121" s="370"/>
      <c r="N121" s="214"/>
      <c r="O121" s="262"/>
      <c r="P121" s="213"/>
      <c r="Q121" s="213"/>
      <c r="R121" s="213"/>
      <c r="S121" s="213"/>
      <c r="T121" s="221"/>
      <c r="U121" s="213"/>
      <c r="V121" s="215"/>
      <c r="W121" s="214"/>
      <c r="X121" s="630"/>
      <c r="Y121" s="631"/>
      <c r="Z121" s="632"/>
      <c r="AA121" s="632"/>
      <c r="AB121" s="643"/>
      <c r="AC121" s="616">
        <f t="shared" si="1"/>
        <v>0</v>
      </c>
      <c r="AD121" s="633"/>
      <c r="AE121" s="654"/>
      <c r="AF121" s="654"/>
      <c r="AG121" s="7"/>
      <c r="AH121" s="628">
        <v>12.8</v>
      </c>
      <c r="AI121" s="7"/>
      <c r="AJ121" s="618">
        <f t="shared" si="6"/>
        <v>12.8</v>
      </c>
    </row>
    <row r="122" spans="1:36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4"/>
      <c r="H122" s="214"/>
      <c r="I122" s="215"/>
      <c r="J122" s="647"/>
      <c r="K122" s="215"/>
      <c r="L122" s="213"/>
      <c r="M122" s="370"/>
      <c r="N122" s="214"/>
      <c r="O122" s="262"/>
      <c r="P122" s="213"/>
      <c r="Q122" s="213"/>
      <c r="R122" s="213"/>
      <c r="S122" s="213"/>
      <c r="T122" s="221"/>
      <c r="U122" s="213"/>
      <c r="V122" s="215"/>
      <c r="W122" s="214"/>
      <c r="X122" s="630"/>
      <c r="Y122" s="631"/>
      <c r="Z122" s="632"/>
      <c r="AA122" s="632"/>
      <c r="AB122" s="643"/>
      <c r="AC122" s="616">
        <f t="shared" si="1"/>
        <v>0</v>
      </c>
      <c r="AD122" s="633"/>
      <c r="AE122" s="648"/>
      <c r="AF122" s="648"/>
      <c r="AG122" s="7"/>
      <c r="AH122" s="628">
        <v>2.5</v>
      </c>
      <c r="AI122" s="7"/>
      <c r="AJ122" s="618">
        <f t="shared" si="6"/>
        <v>2.5</v>
      </c>
    </row>
    <row r="123" spans="1:36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4"/>
      <c r="H123" s="214"/>
      <c r="I123" s="215"/>
      <c r="J123" s="647"/>
      <c r="K123" s="215"/>
      <c r="L123" s="213"/>
      <c r="M123" s="370"/>
      <c r="N123" s="214"/>
      <c r="O123" s="262"/>
      <c r="P123" s="213"/>
      <c r="Q123" s="213"/>
      <c r="R123" s="213"/>
      <c r="S123" s="213"/>
      <c r="T123" s="221"/>
      <c r="U123" s="213"/>
      <c r="V123" s="215"/>
      <c r="W123" s="214"/>
      <c r="X123" s="630"/>
      <c r="Y123" s="631"/>
      <c r="Z123" s="632"/>
      <c r="AA123" s="632"/>
      <c r="AB123" s="643"/>
      <c r="AC123" s="616">
        <f t="shared" si="1"/>
        <v>0</v>
      </c>
      <c r="AD123" s="633"/>
      <c r="AE123" s="648"/>
      <c r="AF123" s="648"/>
      <c r="AG123" s="7"/>
      <c r="AH123" s="628"/>
      <c r="AI123" s="7"/>
      <c r="AJ123" s="618">
        <f t="shared" si="6"/>
        <v>0</v>
      </c>
    </row>
    <row r="124" spans="1:36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4"/>
      <c r="H124" s="214"/>
      <c r="I124" s="215"/>
      <c r="J124" s="647"/>
      <c r="K124" s="215"/>
      <c r="L124" s="213"/>
      <c r="M124" s="370"/>
      <c r="N124" s="214"/>
      <c r="O124" s="262"/>
      <c r="P124" s="213"/>
      <c r="Q124" s="213"/>
      <c r="R124" s="213"/>
      <c r="S124" s="213"/>
      <c r="T124" s="221"/>
      <c r="U124" s="213"/>
      <c r="V124" s="215"/>
      <c r="W124" s="214"/>
      <c r="X124" s="630"/>
      <c r="Y124" s="631"/>
      <c r="Z124" s="632"/>
      <c r="AA124" s="632"/>
      <c r="AB124" s="643"/>
      <c r="AC124" s="616">
        <f t="shared" si="1"/>
        <v>0</v>
      </c>
      <c r="AD124" s="633"/>
      <c r="AE124" s="648"/>
      <c r="AF124" s="648"/>
      <c r="AG124" s="7"/>
      <c r="AH124" s="628"/>
      <c r="AI124" s="7"/>
      <c r="AJ124" s="618">
        <f t="shared" si="6"/>
        <v>0</v>
      </c>
    </row>
    <row r="125" spans="1:36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4"/>
      <c r="H125" s="214"/>
      <c r="I125" s="215"/>
      <c r="J125" s="647"/>
      <c r="K125" s="215"/>
      <c r="L125" s="213"/>
      <c r="M125" s="370"/>
      <c r="N125" s="214"/>
      <c r="O125" s="262"/>
      <c r="P125" s="213"/>
      <c r="Q125" s="213"/>
      <c r="R125" s="213"/>
      <c r="S125" s="213"/>
      <c r="T125" s="221"/>
      <c r="U125" s="213"/>
      <c r="V125" s="215"/>
      <c r="W125" s="214"/>
      <c r="X125" s="630"/>
      <c r="Y125" s="631"/>
      <c r="Z125" s="632"/>
      <c r="AA125" s="632"/>
      <c r="AB125" s="643"/>
      <c r="AC125" s="616">
        <f t="shared" si="1"/>
        <v>0</v>
      </c>
      <c r="AD125" s="633"/>
      <c r="AE125" s="648"/>
      <c r="AF125" s="648"/>
      <c r="AG125" s="7"/>
      <c r="AH125" s="628">
        <v>10.3</v>
      </c>
      <c r="AI125" s="7"/>
      <c r="AJ125" s="618">
        <f t="shared" si="6"/>
        <v>10.3</v>
      </c>
    </row>
    <row r="126" spans="1:36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11.5</v>
      </c>
      <c r="F126" s="213"/>
      <c r="G126" s="214"/>
      <c r="H126" s="214">
        <v>4.5</v>
      </c>
      <c r="I126" s="215"/>
      <c r="J126" s="620">
        <v>8</v>
      </c>
      <c r="K126" s="215"/>
      <c r="L126" s="213">
        <f>1057.17-L104</f>
        <v>610.07000000000016</v>
      </c>
      <c r="M126" s="370"/>
      <c r="N126" s="214"/>
      <c r="O126" s="261">
        <v>471.26</v>
      </c>
      <c r="P126" s="213"/>
      <c r="Q126" s="213"/>
      <c r="R126" s="213"/>
      <c r="S126" s="213"/>
      <c r="T126" s="221"/>
      <c r="U126" s="652"/>
      <c r="V126" s="215"/>
      <c r="W126" s="214"/>
      <c r="X126" s="630"/>
      <c r="Y126" s="631"/>
      <c r="Z126" s="632"/>
      <c r="AA126" s="632"/>
      <c r="AB126" s="643"/>
      <c r="AC126" s="616">
        <f t="shared" si="1"/>
        <v>1105.3300000000002</v>
      </c>
      <c r="AD126" s="633"/>
      <c r="AE126" s="636"/>
      <c r="AF126" s="636"/>
      <c r="AG126" s="7"/>
      <c r="AH126" s="628">
        <v>604.5</v>
      </c>
      <c r="AI126" s="7"/>
      <c r="AJ126" s="618"/>
    </row>
    <row r="127" spans="1:36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4"/>
      <c r="H127" s="214"/>
      <c r="I127" s="215"/>
      <c r="J127" s="647"/>
      <c r="K127" s="215"/>
      <c r="L127" s="213"/>
      <c r="M127" s="370"/>
      <c r="N127" s="214"/>
      <c r="O127" s="262"/>
      <c r="P127" s="213"/>
      <c r="Q127" s="213"/>
      <c r="R127" s="213"/>
      <c r="S127" s="213"/>
      <c r="T127" s="221"/>
      <c r="U127" s="213"/>
      <c r="V127" s="215"/>
      <c r="W127" s="214"/>
      <c r="X127" s="630"/>
      <c r="Y127" s="631"/>
      <c r="Z127" s="632"/>
      <c r="AA127" s="632"/>
      <c r="AB127" s="643"/>
      <c r="AC127" s="616">
        <f t="shared" si="1"/>
        <v>0</v>
      </c>
      <c r="AD127" s="633"/>
      <c r="AE127" s="634"/>
      <c r="AF127" s="634"/>
      <c r="AG127" s="7"/>
      <c r="AH127" s="628">
        <v>84.48</v>
      </c>
      <c r="AI127" s="7"/>
      <c r="AJ127" s="618"/>
    </row>
    <row r="128" spans="1:36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4"/>
      <c r="H128" s="214"/>
      <c r="I128" s="215"/>
      <c r="J128" s="647"/>
      <c r="K128" s="215"/>
      <c r="L128" s="213"/>
      <c r="M128" s="370"/>
      <c r="N128" s="214"/>
      <c r="O128" s="262"/>
      <c r="P128" s="213"/>
      <c r="Q128" s="213"/>
      <c r="R128" s="213"/>
      <c r="S128" s="213"/>
      <c r="T128" s="221"/>
      <c r="U128" s="213"/>
      <c r="V128" s="215"/>
      <c r="W128" s="214"/>
      <c r="X128" s="630"/>
      <c r="Y128" s="631"/>
      <c r="Z128" s="632"/>
      <c r="AA128" s="632"/>
      <c r="AB128" s="643"/>
      <c r="AC128" s="616">
        <f t="shared" si="1"/>
        <v>0</v>
      </c>
      <c r="AD128" s="633"/>
      <c r="AE128" s="634"/>
      <c r="AF128" s="634"/>
      <c r="AG128" s="7"/>
      <c r="AH128" s="628">
        <v>118.14</v>
      </c>
      <c r="AI128" s="7"/>
      <c r="AJ128" s="618">
        <f>AH128-AC128</f>
        <v>118.14</v>
      </c>
    </row>
    <row r="129" spans="1:36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4"/>
      <c r="H129" s="214"/>
      <c r="I129" s="215"/>
      <c r="J129" s="647"/>
      <c r="K129" s="215"/>
      <c r="L129" s="213"/>
      <c r="M129" s="370"/>
      <c r="N129" s="214"/>
      <c r="O129" s="262"/>
      <c r="P129" s="213"/>
      <c r="Q129" s="213"/>
      <c r="R129" s="213"/>
      <c r="S129" s="213"/>
      <c r="T129" s="221"/>
      <c r="U129" s="652"/>
      <c r="V129" s="215"/>
      <c r="W129" s="214"/>
      <c r="X129" s="630"/>
      <c r="Y129" s="631"/>
      <c r="Z129" s="632"/>
      <c r="AA129" s="632"/>
      <c r="AB129" s="643"/>
      <c r="AC129" s="616">
        <f t="shared" si="1"/>
        <v>0</v>
      </c>
      <c r="AD129" s="633"/>
      <c r="AE129" s="634"/>
      <c r="AF129" s="634"/>
      <c r="AG129" s="7"/>
      <c r="AH129" s="628">
        <v>43.58</v>
      </c>
      <c r="AI129" s="7"/>
      <c r="AJ129" s="618"/>
    </row>
    <row r="130" spans="1:36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4"/>
      <c r="H130" s="214"/>
      <c r="I130" s="215"/>
      <c r="J130" s="647"/>
      <c r="K130" s="215"/>
      <c r="L130" s="213"/>
      <c r="M130" s="370"/>
      <c r="N130" s="214"/>
      <c r="O130" s="262"/>
      <c r="P130" s="213"/>
      <c r="Q130" s="213"/>
      <c r="R130" s="213"/>
      <c r="S130" s="213"/>
      <c r="T130" s="221"/>
      <c r="U130" s="213"/>
      <c r="V130" s="215"/>
      <c r="W130" s="214"/>
      <c r="X130" s="630"/>
      <c r="Y130" s="631"/>
      <c r="Z130" s="632"/>
      <c r="AA130" s="632"/>
      <c r="AB130" s="643"/>
      <c r="AC130" s="616">
        <f t="shared" si="1"/>
        <v>0</v>
      </c>
      <c r="AD130" s="633"/>
      <c r="AE130" s="634"/>
      <c r="AF130" s="634"/>
      <c r="AG130" s="7"/>
      <c r="AH130" s="628">
        <v>148.11000000000001</v>
      </c>
      <c r="AI130" s="7"/>
      <c r="AJ130" s="618"/>
    </row>
    <row r="131" spans="1:36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4"/>
      <c r="H131" s="214"/>
      <c r="I131" s="215"/>
      <c r="J131" s="620"/>
      <c r="K131" s="215"/>
      <c r="L131" s="213"/>
      <c r="M131" s="370"/>
      <c r="N131" s="214"/>
      <c r="O131" s="262"/>
      <c r="P131" s="213"/>
      <c r="Q131" s="213"/>
      <c r="R131" s="213"/>
      <c r="S131" s="213"/>
      <c r="T131" s="221"/>
      <c r="U131" s="213"/>
      <c r="V131" s="215"/>
      <c r="W131" s="214"/>
      <c r="X131" s="630"/>
      <c r="Y131" s="631"/>
      <c r="Z131" s="632"/>
      <c r="AA131" s="632"/>
      <c r="AB131" s="643"/>
      <c r="AC131" s="616">
        <f t="shared" si="1"/>
        <v>0</v>
      </c>
      <c r="AD131" s="633"/>
      <c r="AE131" s="636"/>
      <c r="AF131" s="636"/>
      <c r="AG131" s="7"/>
      <c r="AH131" s="628"/>
      <c r="AI131" s="7"/>
      <c r="AJ131" s="618">
        <f t="shared" ref="AJ131:AJ135" si="7">AH131-AC131</f>
        <v>0</v>
      </c>
    </row>
    <row r="132" spans="1:36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4"/>
      <c r="H132" s="214"/>
      <c r="I132" s="215"/>
      <c r="J132" s="647"/>
      <c r="K132" s="215"/>
      <c r="L132" s="213"/>
      <c r="M132" s="370"/>
      <c r="N132" s="214"/>
      <c r="O132" s="262"/>
      <c r="P132" s="213"/>
      <c r="Q132" s="213"/>
      <c r="R132" s="213"/>
      <c r="S132" s="213"/>
      <c r="T132" s="221"/>
      <c r="U132" s="213"/>
      <c r="V132" s="215"/>
      <c r="W132" s="214"/>
      <c r="X132" s="630"/>
      <c r="Y132" s="631"/>
      <c r="Z132" s="632"/>
      <c r="AA132" s="632"/>
      <c r="AB132" s="643"/>
      <c r="AC132" s="616">
        <f t="shared" si="1"/>
        <v>0</v>
      </c>
      <c r="AD132" s="633"/>
      <c r="AE132" s="634"/>
      <c r="AF132" s="634"/>
      <c r="AG132" s="7"/>
      <c r="AH132" s="628"/>
      <c r="AI132" s="7"/>
      <c r="AJ132" s="618">
        <f t="shared" si="7"/>
        <v>0</v>
      </c>
    </row>
    <row r="133" spans="1:36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4"/>
      <c r="H133" s="214"/>
      <c r="I133" s="215"/>
      <c r="J133" s="647"/>
      <c r="K133" s="215"/>
      <c r="L133" s="213"/>
      <c r="M133" s="370"/>
      <c r="N133" s="214"/>
      <c r="O133" s="262"/>
      <c r="P133" s="213"/>
      <c r="Q133" s="213"/>
      <c r="R133" s="213"/>
      <c r="S133" s="213"/>
      <c r="T133" s="221"/>
      <c r="U133" s="213"/>
      <c r="V133" s="215"/>
      <c r="W133" s="214"/>
      <c r="X133" s="630"/>
      <c r="Y133" s="631"/>
      <c r="Z133" s="632"/>
      <c r="AA133" s="632"/>
      <c r="AB133" s="643"/>
      <c r="AC133" s="616">
        <f t="shared" si="1"/>
        <v>0</v>
      </c>
      <c r="AD133" s="633"/>
      <c r="AE133" s="634"/>
      <c r="AF133" s="634"/>
      <c r="AG133" s="7"/>
      <c r="AH133" s="628"/>
      <c r="AI133" s="7"/>
      <c r="AJ133" s="618">
        <f t="shared" si="7"/>
        <v>0</v>
      </c>
    </row>
    <row r="134" spans="1:36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4"/>
      <c r="H134" s="214"/>
      <c r="I134" s="215"/>
      <c r="J134" s="647"/>
      <c r="K134" s="215"/>
      <c r="L134" s="213"/>
      <c r="M134" s="370"/>
      <c r="N134" s="214"/>
      <c r="O134" s="262"/>
      <c r="P134" s="213"/>
      <c r="Q134" s="213"/>
      <c r="R134" s="213"/>
      <c r="S134" s="213"/>
      <c r="T134" s="221"/>
      <c r="U134" s="213"/>
      <c r="V134" s="215"/>
      <c r="W134" s="214"/>
      <c r="X134" s="630"/>
      <c r="Y134" s="631"/>
      <c r="Z134" s="632"/>
      <c r="AA134" s="632"/>
      <c r="AB134" s="643"/>
      <c r="AC134" s="616">
        <f t="shared" si="1"/>
        <v>0</v>
      </c>
      <c r="AD134" s="633"/>
      <c r="AE134" s="634"/>
      <c r="AF134" s="634"/>
      <c r="AG134" s="7"/>
      <c r="AH134" s="628"/>
      <c r="AI134" s="7"/>
      <c r="AJ134" s="618">
        <f t="shared" si="7"/>
        <v>0</v>
      </c>
    </row>
    <row r="135" spans="1:36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4"/>
      <c r="H135" s="214"/>
      <c r="I135" s="215"/>
      <c r="J135" s="647"/>
      <c r="K135" s="215"/>
      <c r="L135" s="213"/>
      <c r="M135" s="370"/>
      <c r="N135" s="214"/>
      <c r="O135" s="262"/>
      <c r="P135" s="213"/>
      <c r="Q135" s="213"/>
      <c r="R135" s="213"/>
      <c r="S135" s="213"/>
      <c r="T135" s="221"/>
      <c r="U135" s="213"/>
      <c r="V135" s="215"/>
      <c r="W135" s="214"/>
      <c r="X135" s="630"/>
      <c r="Y135" s="631"/>
      <c r="Z135" s="632"/>
      <c r="AA135" s="632"/>
      <c r="AB135" s="643"/>
      <c r="AC135" s="616">
        <f t="shared" si="1"/>
        <v>0</v>
      </c>
      <c r="AD135" s="633"/>
      <c r="AE135" s="634"/>
      <c r="AF135" s="634"/>
      <c r="AG135" s="7"/>
      <c r="AH135" s="628"/>
      <c r="AI135" s="7"/>
      <c r="AJ135" s="618">
        <f t="shared" si="7"/>
        <v>0</v>
      </c>
    </row>
    <row r="136" spans="1:36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4"/>
      <c r="H136" s="214"/>
      <c r="I136" s="215"/>
      <c r="J136" s="620"/>
      <c r="K136" s="215"/>
      <c r="L136" s="213"/>
      <c r="M136" s="370"/>
      <c r="N136" s="214"/>
      <c r="O136" s="261">
        <v>28.4</v>
      </c>
      <c r="P136" s="213"/>
      <c r="Q136" s="213"/>
      <c r="R136" s="213"/>
      <c r="S136" s="213"/>
      <c r="T136" s="221"/>
      <c r="U136" s="213"/>
      <c r="V136" s="215"/>
      <c r="W136" s="214"/>
      <c r="X136" s="630"/>
      <c r="Y136" s="631"/>
      <c r="Z136" s="632"/>
      <c r="AA136" s="632"/>
      <c r="AB136" s="643"/>
      <c r="AC136" s="616">
        <f t="shared" si="1"/>
        <v>28.4</v>
      </c>
      <c r="AD136" s="633"/>
      <c r="AE136" s="636"/>
      <c r="AF136" s="636"/>
      <c r="AG136" s="7"/>
      <c r="AH136" s="628">
        <v>35.5</v>
      </c>
      <c r="AI136" s="7"/>
      <c r="AJ136" s="618">
        <f>AH136-AC136-AC141</f>
        <v>7.1000000000000014</v>
      </c>
    </row>
    <row r="137" spans="1:36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4"/>
      <c r="H137" s="214"/>
      <c r="I137" s="215"/>
      <c r="J137" s="647"/>
      <c r="K137" s="215"/>
      <c r="L137" s="213"/>
      <c r="M137" s="370"/>
      <c r="N137" s="214"/>
      <c r="O137" s="262"/>
      <c r="P137" s="213"/>
      <c r="Q137" s="213"/>
      <c r="R137" s="213"/>
      <c r="S137" s="213"/>
      <c r="T137" s="221"/>
      <c r="U137" s="213"/>
      <c r="V137" s="215"/>
      <c r="W137" s="214"/>
      <c r="X137" s="630"/>
      <c r="Y137" s="631"/>
      <c r="Z137" s="632"/>
      <c r="AA137" s="632"/>
      <c r="AB137" s="643"/>
      <c r="AC137" s="616">
        <f t="shared" si="1"/>
        <v>0</v>
      </c>
      <c r="AD137" s="633"/>
      <c r="AE137" s="648"/>
      <c r="AF137" s="648"/>
      <c r="AG137" s="7"/>
      <c r="AH137" s="628"/>
      <c r="AI137" s="7"/>
      <c r="AJ137" s="618"/>
    </row>
    <row r="138" spans="1:36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4"/>
      <c r="H138" s="214"/>
      <c r="I138" s="215"/>
      <c r="J138" s="647"/>
      <c r="K138" s="215"/>
      <c r="L138" s="213"/>
      <c r="M138" s="370"/>
      <c r="N138" s="214"/>
      <c r="O138" s="262"/>
      <c r="P138" s="213"/>
      <c r="Q138" s="213"/>
      <c r="R138" s="213"/>
      <c r="S138" s="213"/>
      <c r="T138" s="221"/>
      <c r="U138" s="213"/>
      <c r="V138" s="215"/>
      <c r="W138" s="214"/>
      <c r="X138" s="630"/>
      <c r="Y138" s="631"/>
      <c r="Z138" s="632"/>
      <c r="AA138" s="632"/>
      <c r="AB138" s="643"/>
      <c r="AC138" s="616">
        <f t="shared" si="1"/>
        <v>0</v>
      </c>
      <c r="AD138" s="633"/>
      <c r="AE138" s="648"/>
      <c r="AF138" s="648"/>
      <c r="AG138" s="7"/>
      <c r="AH138" s="628">
        <v>2E-3</v>
      </c>
      <c r="AI138" s="7"/>
      <c r="AJ138" s="618"/>
    </row>
    <row r="139" spans="1:36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4"/>
      <c r="H139" s="214"/>
      <c r="I139" s="215"/>
      <c r="J139" s="647"/>
      <c r="K139" s="215"/>
      <c r="L139" s="213"/>
      <c r="M139" s="370"/>
      <c r="N139" s="214"/>
      <c r="O139" s="262"/>
      <c r="P139" s="213"/>
      <c r="Q139" s="213"/>
      <c r="R139" s="213"/>
      <c r="S139" s="213"/>
      <c r="T139" s="221"/>
      <c r="U139" s="213"/>
      <c r="V139" s="215"/>
      <c r="W139" s="214"/>
      <c r="X139" s="630"/>
      <c r="Y139" s="631"/>
      <c r="Z139" s="632"/>
      <c r="AA139" s="632"/>
      <c r="AB139" s="643"/>
      <c r="AC139" s="616">
        <f t="shared" si="1"/>
        <v>0</v>
      </c>
      <c r="AD139" s="633"/>
      <c r="AE139" s="648"/>
      <c r="AF139" s="648"/>
      <c r="AG139" s="7"/>
      <c r="AH139" s="628"/>
      <c r="AI139" s="7"/>
      <c r="AJ139" s="618"/>
    </row>
    <row r="140" spans="1:36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4"/>
      <c r="H140" s="214"/>
      <c r="I140" s="215"/>
      <c r="J140" s="647"/>
      <c r="K140" s="215"/>
      <c r="L140" s="213"/>
      <c r="M140" s="370"/>
      <c r="N140" s="214"/>
      <c r="O140" s="262"/>
      <c r="P140" s="213"/>
      <c r="Q140" s="213"/>
      <c r="R140" s="213"/>
      <c r="S140" s="213"/>
      <c r="T140" s="221"/>
      <c r="U140" s="213"/>
      <c r="V140" s="215"/>
      <c r="W140" s="214"/>
      <c r="X140" s="630"/>
      <c r="Y140" s="631"/>
      <c r="Z140" s="632"/>
      <c r="AA140" s="632"/>
      <c r="AB140" s="643"/>
      <c r="AC140" s="616">
        <f t="shared" si="1"/>
        <v>0</v>
      </c>
      <c r="AD140" s="633"/>
      <c r="AE140" s="648"/>
      <c r="AF140" s="648"/>
      <c r="AG140" s="7"/>
      <c r="AH140" s="628">
        <v>0.5</v>
      </c>
      <c r="AI140" s="7"/>
      <c r="AJ140" s="618"/>
    </row>
    <row r="141" spans="1:36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4"/>
      <c r="H141" s="214"/>
      <c r="I141" s="215"/>
      <c r="J141" s="620"/>
      <c r="K141" s="215"/>
      <c r="L141" s="213"/>
      <c r="M141" s="370"/>
      <c r="N141" s="214"/>
      <c r="O141" s="261"/>
      <c r="P141" s="213"/>
      <c r="Q141" s="213"/>
      <c r="R141" s="213"/>
      <c r="S141" s="213"/>
      <c r="T141" s="221"/>
      <c r="U141" s="213"/>
      <c r="V141" s="215"/>
      <c r="W141" s="214"/>
      <c r="X141" s="630"/>
      <c r="Y141" s="631"/>
      <c r="Z141" s="632"/>
      <c r="AA141" s="632"/>
      <c r="AB141" s="643"/>
      <c r="AC141" s="616">
        <f t="shared" si="1"/>
        <v>0</v>
      </c>
      <c r="AD141" s="633"/>
      <c r="AE141" s="636"/>
      <c r="AF141" s="636"/>
      <c r="AG141" s="7"/>
      <c r="AH141" s="628">
        <v>428.08</v>
      </c>
      <c r="AI141" s="7"/>
      <c r="AJ141" s="618"/>
    </row>
    <row r="142" spans="1:36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4"/>
      <c r="H142" s="214"/>
      <c r="I142" s="215"/>
      <c r="J142" s="647"/>
      <c r="K142" s="215"/>
      <c r="L142" s="213"/>
      <c r="M142" s="370"/>
      <c r="N142" s="214"/>
      <c r="O142" s="262"/>
      <c r="P142" s="213"/>
      <c r="Q142" s="213"/>
      <c r="R142" s="213"/>
      <c r="S142" s="213"/>
      <c r="T142" s="221"/>
      <c r="U142" s="213"/>
      <c r="V142" s="215"/>
      <c r="W142" s="214"/>
      <c r="X142" s="630"/>
      <c r="Y142" s="631"/>
      <c r="Z142" s="632"/>
      <c r="AA142" s="632"/>
      <c r="AB142" s="643"/>
      <c r="AC142" s="616">
        <f t="shared" si="1"/>
        <v>0</v>
      </c>
      <c r="AD142" s="633"/>
      <c r="AE142" s="648"/>
      <c r="AF142" s="648"/>
      <c r="AG142" s="7"/>
      <c r="AH142" s="628">
        <v>17.100000000000001</v>
      </c>
      <c r="AI142" s="7"/>
      <c r="AJ142" s="618">
        <f t="shared" ref="AJ142:AJ144" si="8">AH142-AC142</f>
        <v>17.100000000000001</v>
      </c>
    </row>
    <row r="143" spans="1:36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4"/>
      <c r="H143" s="214"/>
      <c r="I143" s="215"/>
      <c r="J143" s="647"/>
      <c r="K143" s="215"/>
      <c r="L143" s="213"/>
      <c r="M143" s="370"/>
      <c r="N143" s="214"/>
      <c r="O143" s="262"/>
      <c r="P143" s="213"/>
      <c r="Q143" s="213"/>
      <c r="R143" s="213"/>
      <c r="S143" s="213"/>
      <c r="T143" s="221"/>
      <c r="U143" s="213"/>
      <c r="V143" s="215"/>
      <c r="W143" s="214"/>
      <c r="X143" s="630"/>
      <c r="Y143" s="631"/>
      <c r="Z143" s="632"/>
      <c r="AA143" s="632"/>
      <c r="AB143" s="643"/>
      <c r="AC143" s="616">
        <f t="shared" si="1"/>
        <v>0</v>
      </c>
      <c r="AD143" s="633"/>
      <c r="AE143" s="648"/>
      <c r="AF143" s="648"/>
      <c r="AG143" s="7"/>
      <c r="AH143" s="628">
        <v>49.2</v>
      </c>
      <c r="AI143" s="7"/>
      <c r="AJ143" s="618">
        <f t="shared" si="8"/>
        <v>49.2</v>
      </c>
    </row>
    <row r="144" spans="1:36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4"/>
      <c r="H144" s="214"/>
      <c r="I144" s="215"/>
      <c r="J144" s="647"/>
      <c r="K144" s="215"/>
      <c r="L144" s="213"/>
      <c r="M144" s="370"/>
      <c r="N144" s="214"/>
      <c r="O144" s="262"/>
      <c r="P144" s="213"/>
      <c r="Q144" s="213"/>
      <c r="R144" s="213"/>
      <c r="S144" s="213"/>
      <c r="T144" s="221"/>
      <c r="U144" s="213"/>
      <c r="V144" s="215"/>
      <c r="W144" s="214"/>
      <c r="X144" s="630"/>
      <c r="Y144" s="631"/>
      <c r="Z144" s="632"/>
      <c r="AA144" s="632"/>
      <c r="AB144" s="643"/>
      <c r="AC144" s="616">
        <f t="shared" si="1"/>
        <v>0</v>
      </c>
      <c r="AD144" s="633"/>
      <c r="AE144" s="648"/>
      <c r="AF144" s="648"/>
      <c r="AG144" s="7"/>
      <c r="AH144" s="628">
        <v>35.6</v>
      </c>
      <c r="AI144" s="7"/>
      <c r="AJ144" s="618">
        <f t="shared" si="8"/>
        <v>35.6</v>
      </c>
    </row>
    <row r="145" spans="1:36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4"/>
      <c r="H145" s="214"/>
      <c r="I145" s="215"/>
      <c r="J145" s="647"/>
      <c r="K145" s="215"/>
      <c r="L145" s="213"/>
      <c r="M145" s="370"/>
      <c r="N145" s="214"/>
      <c r="O145" s="262"/>
      <c r="P145" s="213"/>
      <c r="Q145" s="213"/>
      <c r="R145" s="213"/>
      <c r="S145" s="213"/>
      <c r="T145" s="221"/>
      <c r="U145" s="213"/>
      <c r="V145" s="215"/>
      <c r="W145" s="214"/>
      <c r="X145" s="630"/>
      <c r="Y145" s="631"/>
      <c r="Z145" s="632"/>
      <c r="AA145" s="632"/>
      <c r="AB145" s="643"/>
      <c r="AC145" s="616">
        <f t="shared" si="1"/>
        <v>0</v>
      </c>
      <c r="AD145" s="633"/>
      <c r="AE145" s="648"/>
      <c r="AF145" s="648"/>
      <c r="AG145" s="7"/>
      <c r="AH145" s="628">
        <v>226</v>
      </c>
      <c r="AI145" s="7"/>
      <c r="AJ145" s="618"/>
    </row>
    <row r="146" spans="1:36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4"/>
      <c r="H146" s="214"/>
      <c r="I146" s="215"/>
      <c r="J146" s="620"/>
      <c r="K146" s="215"/>
      <c r="L146" s="213"/>
      <c r="M146" s="370"/>
      <c r="N146" s="214"/>
      <c r="O146" s="261"/>
      <c r="P146" s="652"/>
      <c r="Q146" s="213"/>
      <c r="R146" s="213"/>
      <c r="S146" s="213"/>
      <c r="T146" s="221"/>
      <c r="U146" s="213"/>
      <c r="V146" s="215"/>
      <c r="W146" s="214"/>
      <c r="X146" s="630"/>
      <c r="Y146" s="631"/>
      <c r="Z146" s="632"/>
      <c r="AA146" s="632"/>
      <c r="AB146" s="643"/>
      <c r="AC146" s="616">
        <f t="shared" si="1"/>
        <v>0</v>
      </c>
      <c r="AD146" s="633"/>
      <c r="AE146" s="636"/>
      <c r="AF146" s="636"/>
      <c r="AG146" s="7"/>
      <c r="AH146" s="628">
        <v>40.11</v>
      </c>
      <c r="AI146" s="7"/>
      <c r="AJ146" s="618"/>
    </row>
    <row r="147" spans="1:36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4"/>
      <c r="H147" s="214"/>
      <c r="I147" s="215"/>
      <c r="J147" s="647"/>
      <c r="K147" s="215"/>
      <c r="L147" s="213"/>
      <c r="M147" s="370"/>
      <c r="N147" s="214"/>
      <c r="O147" s="261"/>
      <c r="P147" s="652"/>
      <c r="Q147" s="213"/>
      <c r="R147" s="213"/>
      <c r="S147" s="213"/>
      <c r="T147" s="221"/>
      <c r="U147" s="213"/>
      <c r="V147" s="215"/>
      <c r="W147" s="214"/>
      <c r="X147" s="630"/>
      <c r="Y147" s="631"/>
      <c r="Z147" s="632"/>
      <c r="AA147" s="632"/>
      <c r="AB147" s="643"/>
      <c r="AC147" s="616">
        <f t="shared" si="1"/>
        <v>0</v>
      </c>
      <c r="AD147" s="633"/>
      <c r="AE147" s="634"/>
      <c r="AF147" s="634"/>
      <c r="AG147" s="7"/>
      <c r="AH147" s="628">
        <v>1.05</v>
      </c>
      <c r="AI147" s="7"/>
      <c r="AJ147" s="618"/>
    </row>
    <row r="148" spans="1:36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4"/>
      <c r="H148" s="214"/>
      <c r="I148" s="215"/>
      <c r="J148" s="647"/>
      <c r="K148" s="215"/>
      <c r="L148" s="213"/>
      <c r="M148" s="370"/>
      <c r="N148" s="214"/>
      <c r="O148" s="261"/>
      <c r="P148" s="213"/>
      <c r="Q148" s="213"/>
      <c r="R148" s="213"/>
      <c r="S148" s="213"/>
      <c r="T148" s="221"/>
      <c r="U148" s="213"/>
      <c r="V148" s="215"/>
      <c r="W148" s="214"/>
      <c r="X148" s="630"/>
      <c r="Y148" s="631"/>
      <c r="Z148" s="632"/>
      <c r="AA148" s="632"/>
      <c r="AB148" s="643"/>
      <c r="AC148" s="616">
        <f t="shared" si="1"/>
        <v>0</v>
      </c>
      <c r="AD148" s="633"/>
      <c r="AE148" s="634"/>
      <c r="AF148" s="634"/>
      <c r="AG148" s="7"/>
      <c r="AH148" s="628"/>
      <c r="AI148" s="7"/>
      <c r="AJ148" s="618"/>
    </row>
    <row r="149" spans="1:36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4"/>
      <c r="H149" s="214"/>
      <c r="I149" s="215"/>
      <c r="J149" s="647"/>
      <c r="K149" s="215"/>
      <c r="L149" s="213"/>
      <c r="M149" s="370"/>
      <c r="N149" s="214"/>
      <c r="O149" s="261"/>
      <c r="P149" s="213"/>
      <c r="Q149" s="213"/>
      <c r="R149" s="213"/>
      <c r="S149" s="213"/>
      <c r="T149" s="221"/>
      <c r="U149" s="213"/>
      <c r="V149" s="215"/>
      <c r="W149" s="214"/>
      <c r="X149" s="630"/>
      <c r="Y149" s="631"/>
      <c r="Z149" s="632"/>
      <c r="AA149" s="632"/>
      <c r="AB149" s="643"/>
      <c r="AC149" s="616">
        <f t="shared" si="1"/>
        <v>0</v>
      </c>
      <c r="AD149" s="633"/>
      <c r="AE149" s="634"/>
      <c r="AF149" s="634"/>
      <c r="AG149" s="7"/>
      <c r="AH149" s="628">
        <v>2.46</v>
      </c>
      <c r="AI149" s="7"/>
      <c r="AJ149" s="618">
        <f t="shared" ref="AJ149:AJ173" si="9">AH149-AC149</f>
        <v>2.46</v>
      </c>
    </row>
    <row r="150" spans="1:36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4"/>
      <c r="H150" s="214"/>
      <c r="I150" s="215"/>
      <c r="J150" s="647"/>
      <c r="K150" s="215"/>
      <c r="L150" s="213"/>
      <c r="M150" s="370"/>
      <c r="N150" s="214"/>
      <c r="O150" s="261"/>
      <c r="P150" s="213"/>
      <c r="Q150" s="213"/>
      <c r="R150" s="213"/>
      <c r="S150" s="213"/>
      <c r="T150" s="221"/>
      <c r="U150" s="213"/>
      <c r="V150" s="215"/>
      <c r="W150" s="214"/>
      <c r="X150" s="630"/>
      <c r="Y150" s="631"/>
      <c r="Z150" s="632"/>
      <c r="AA150" s="632"/>
      <c r="AB150" s="643"/>
      <c r="AC150" s="616">
        <f t="shared" si="1"/>
        <v>0</v>
      </c>
      <c r="AD150" s="633"/>
      <c r="AE150" s="634"/>
      <c r="AF150" s="634"/>
      <c r="AG150" s="7"/>
      <c r="AH150" s="628">
        <v>31.1</v>
      </c>
      <c r="AI150" s="7"/>
      <c r="AJ150" s="618">
        <f t="shared" si="9"/>
        <v>31.1</v>
      </c>
    </row>
    <row r="151" spans="1:36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/>
      <c r="G151" s="214"/>
      <c r="H151" s="214"/>
      <c r="I151" s="215"/>
      <c r="J151" s="620"/>
      <c r="K151" s="215"/>
      <c r="L151" s="213"/>
      <c r="M151" s="370"/>
      <c r="N151" s="214"/>
      <c r="O151" s="261"/>
      <c r="P151" s="213"/>
      <c r="Q151" s="213"/>
      <c r="R151" s="213"/>
      <c r="S151" s="213"/>
      <c r="T151" s="221"/>
      <c r="U151" s="213"/>
      <c r="V151" s="215"/>
      <c r="W151" s="214"/>
      <c r="X151" s="630"/>
      <c r="Y151" s="631"/>
      <c r="Z151" s="632"/>
      <c r="AA151" s="632"/>
      <c r="AB151" s="643"/>
      <c r="AC151" s="616">
        <f t="shared" si="1"/>
        <v>0</v>
      </c>
      <c r="AD151" s="633"/>
      <c r="AE151" s="636"/>
      <c r="AF151" s="636"/>
      <c r="AG151" s="7"/>
      <c r="AH151" s="628">
        <v>6.3</v>
      </c>
      <c r="AI151" s="7"/>
      <c r="AJ151" s="618">
        <f t="shared" si="9"/>
        <v>6.3</v>
      </c>
    </row>
    <row r="152" spans="1:36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4"/>
      <c r="H152" s="214"/>
      <c r="I152" s="215"/>
      <c r="J152" s="647"/>
      <c r="K152" s="215"/>
      <c r="L152" s="213"/>
      <c r="M152" s="370"/>
      <c r="N152" s="214"/>
      <c r="O152" s="261"/>
      <c r="P152" s="213"/>
      <c r="Q152" s="213"/>
      <c r="R152" s="213"/>
      <c r="S152" s="213"/>
      <c r="T152" s="221"/>
      <c r="U152" s="213"/>
      <c r="V152" s="215"/>
      <c r="W152" s="214"/>
      <c r="X152" s="630"/>
      <c r="Y152" s="631"/>
      <c r="Z152" s="632"/>
      <c r="AA152" s="632"/>
      <c r="AB152" s="643"/>
      <c r="AC152" s="616">
        <f t="shared" si="1"/>
        <v>0</v>
      </c>
      <c r="AD152" s="633"/>
      <c r="AE152" s="634"/>
      <c r="AF152" s="634"/>
      <c r="AG152" s="7"/>
      <c r="AH152" s="628">
        <v>0.3</v>
      </c>
      <c r="AI152" s="7"/>
      <c r="AJ152" s="618">
        <f t="shared" si="9"/>
        <v>0.3</v>
      </c>
    </row>
    <row r="153" spans="1:36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4"/>
      <c r="H153" s="214"/>
      <c r="I153" s="215"/>
      <c r="J153" s="647"/>
      <c r="K153" s="215"/>
      <c r="L153" s="213"/>
      <c r="M153" s="370"/>
      <c r="N153" s="214"/>
      <c r="O153" s="261"/>
      <c r="P153" s="213"/>
      <c r="Q153" s="213"/>
      <c r="R153" s="213"/>
      <c r="S153" s="213"/>
      <c r="T153" s="221"/>
      <c r="U153" s="213"/>
      <c r="V153" s="215"/>
      <c r="W153" s="214"/>
      <c r="X153" s="630"/>
      <c r="Y153" s="631"/>
      <c r="Z153" s="632"/>
      <c r="AA153" s="632"/>
      <c r="AB153" s="643"/>
      <c r="AC153" s="616">
        <f t="shared" si="1"/>
        <v>0</v>
      </c>
      <c r="AD153" s="633"/>
      <c r="AE153" s="634"/>
      <c r="AF153" s="634"/>
      <c r="AG153" s="7"/>
      <c r="AH153" s="628">
        <v>1</v>
      </c>
      <c r="AI153" s="7"/>
      <c r="AJ153" s="618">
        <f t="shared" si="9"/>
        <v>1</v>
      </c>
    </row>
    <row r="154" spans="1:36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4"/>
      <c r="H154" s="214"/>
      <c r="I154" s="215"/>
      <c r="J154" s="647"/>
      <c r="K154" s="215"/>
      <c r="L154" s="213"/>
      <c r="M154" s="370"/>
      <c r="N154" s="214"/>
      <c r="O154" s="261"/>
      <c r="P154" s="213"/>
      <c r="Q154" s="213"/>
      <c r="R154" s="213"/>
      <c r="S154" s="213"/>
      <c r="T154" s="221"/>
      <c r="U154" s="213"/>
      <c r="V154" s="215"/>
      <c r="W154" s="214"/>
      <c r="X154" s="630"/>
      <c r="Y154" s="631"/>
      <c r="Z154" s="632"/>
      <c r="AA154" s="632"/>
      <c r="AB154" s="643"/>
      <c r="AC154" s="616">
        <f t="shared" si="1"/>
        <v>0</v>
      </c>
      <c r="AD154" s="633"/>
      <c r="AE154" s="634"/>
      <c r="AF154" s="634"/>
      <c r="AG154" s="7"/>
      <c r="AH154" s="628"/>
      <c r="AI154" s="7"/>
      <c r="AJ154" s="618">
        <f t="shared" si="9"/>
        <v>0</v>
      </c>
    </row>
    <row r="155" spans="1:36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4"/>
      <c r="H155" s="214"/>
      <c r="I155" s="215"/>
      <c r="J155" s="647"/>
      <c r="K155" s="215"/>
      <c r="L155" s="213"/>
      <c r="M155" s="370"/>
      <c r="N155" s="214"/>
      <c r="O155" s="261"/>
      <c r="P155" s="213"/>
      <c r="Q155" s="213"/>
      <c r="R155" s="213"/>
      <c r="S155" s="213"/>
      <c r="T155" s="221"/>
      <c r="U155" s="213"/>
      <c r="V155" s="215"/>
      <c r="W155" s="214"/>
      <c r="X155" s="630"/>
      <c r="Y155" s="631"/>
      <c r="Z155" s="632"/>
      <c r="AA155" s="632"/>
      <c r="AB155" s="643"/>
      <c r="AC155" s="616">
        <f t="shared" si="1"/>
        <v>0</v>
      </c>
      <c r="AD155" s="633"/>
      <c r="AE155" s="634"/>
      <c r="AF155" s="634"/>
      <c r="AG155" s="7"/>
      <c r="AH155" s="628"/>
      <c r="AI155" s="7"/>
      <c r="AJ155" s="618">
        <f t="shared" si="9"/>
        <v>0</v>
      </c>
    </row>
    <row r="156" spans="1:36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4"/>
      <c r="H156" s="214"/>
      <c r="I156" s="215"/>
      <c r="J156" s="620"/>
      <c r="K156" s="215"/>
      <c r="L156" s="213"/>
      <c r="M156" s="370"/>
      <c r="N156" s="214"/>
      <c r="O156" s="261"/>
      <c r="P156" s="213"/>
      <c r="Q156" s="213"/>
      <c r="R156" s="213"/>
      <c r="S156" s="213"/>
      <c r="T156" s="221"/>
      <c r="U156" s="213"/>
      <c r="V156" s="215"/>
      <c r="W156" s="214"/>
      <c r="X156" s="630"/>
      <c r="Y156" s="631"/>
      <c r="Z156" s="632"/>
      <c r="AA156" s="632"/>
      <c r="AB156" s="643"/>
      <c r="AC156" s="616">
        <f t="shared" si="1"/>
        <v>0</v>
      </c>
      <c r="AD156" s="633"/>
      <c r="AE156" s="636"/>
      <c r="AF156" s="636"/>
      <c r="AG156" s="7"/>
      <c r="AH156" s="628"/>
      <c r="AI156" s="7"/>
      <c r="AJ156" s="618">
        <f t="shared" si="9"/>
        <v>0</v>
      </c>
    </row>
    <row r="157" spans="1:36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4"/>
      <c r="H157" s="214"/>
      <c r="I157" s="215"/>
      <c r="J157" s="647"/>
      <c r="K157" s="215"/>
      <c r="L157" s="213"/>
      <c r="M157" s="370"/>
      <c r="N157" s="214"/>
      <c r="O157" s="261"/>
      <c r="P157" s="213"/>
      <c r="Q157" s="213"/>
      <c r="R157" s="213"/>
      <c r="S157" s="213"/>
      <c r="T157" s="221"/>
      <c r="U157" s="213"/>
      <c r="V157" s="215"/>
      <c r="W157" s="214"/>
      <c r="X157" s="630"/>
      <c r="Y157" s="631"/>
      <c r="Z157" s="632"/>
      <c r="AA157" s="632"/>
      <c r="AB157" s="643"/>
      <c r="AC157" s="616">
        <f t="shared" si="1"/>
        <v>0</v>
      </c>
      <c r="AD157" s="633"/>
      <c r="AE157" s="648"/>
      <c r="AF157" s="648"/>
      <c r="AG157" s="7"/>
      <c r="AH157" s="628"/>
      <c r="AI157" s="7"/>
      <c r="AJ157" s="618">
        <f t="shared" si="9"/>
        <v>0</v>
      </c>
    </row>
    <row r="158" spans="1:36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4"/>
      <c r="H158" s="214"/>
      <c r="I158" s="215"/>
      <c r="J158" s="647"/>
      <c r="K158" s="215"/>
      <c r="L158" s="213"/>
      <c r="M158" s="370"/>
      <c r="N158" s="214"/>
      <c r="O158" s="261"/>
      <c r="P158" s="213"/>
      <c r="Q158" s="213"/>
      <c r="R158" s="213"/>
      <c r="S158" s="213"/>
      <c r="T158" s="221"/>
      <c r="U158" s="213"/>
      <c r="V158" s="215"/>
      <c r="W158" s="214"/>
      <c r="X158" s="630"/>
      <c r="Y158" s="631"/>
      <c r="Z158" s="632"/>
      <c r="AA158" s="632"/>
      <c r="AB158" s="643"/>
      <c r="AC158" s="616">
        <f t="shared" si="1"/>
        <v>0</v>
      </c>
      <c r="AD158" s="633"/>
      <c r="AE158" s="648"/>
      <c r="AF158" s="648"/>
      <c r="AG158" s="7"/>
      <c r="AH158" s="628"/>
      <c r="AI158" s="7"/>
      <c r="AJ158" s="618">
        <f t="shared" si="9"/>
        <v>0</v>
      </c>
    </row>
    <row r="159" spans="1:36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4"/>
      <c r="H159" s="214"/>
      <c r="I159" s="215"/>
      <c r="J159" s="647"/>
      <c r="K159" s="215"/>
      <c r="L159" s="213"/>
      <c r="M159" s="370"/>
      <c r="N159" s="214"/>
      <c r="O159" s="261"/>
      <c r="P159" s="213"/>
      <c r="Q159" s="213"/>
      <c r="R159" s="213"/>
      <c r="S159" s="213"/>
      <c r="T159" s="221"/>
      <c r="U159" s="213"/>
      <c r="V159" s="215"/>
      <c r="W159" s="214"/>
      <c r="X159" s="630"/>
      <c r="Y159" s="631"/>
      <c r="Z159" s="632"/>
      <c r="AA159" s="632"/>
      <c r="AB159" s="643"/>
      <c r="AC159" s="616">
        <f t="shared" si="1"/>
        <v>0</v>
      </c>
      <c r="AD159" s="633"/>
      <c r="AE159" s="648"/>
      <c r="AF159" s="648"/>
      <c r="AG159" s="7"/>
      <c r="AH159" s="628"/>
      <c r="AI159" s="7"/>
      <c r="AJ159" s="618">
        <f t="shared" si="9"/>
        <v>0</v>
      </c>
    </row>
    <row r="160" spans="1:36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4"/>
      <c r="H160" s="214"/>
      <c r="I160" s="215"/>
      <c r="J160" s="647"/>
      <c r="K160" s="215"/>
      <c r="L160" s="213"/>
      <c r="M160" s="370"/>
      <c r="N160" s="214"/>
      <c r="O160" s="261"/>
      <c r="P160" s="213"/>
      <c r="Q160" s="213"/>
      <c r="R160" s="213"/>
      <c r="S160" s="213"/>
      <c r="T160" s="221"/>
      <c r="U160" s="213"/>
      <c r="V160" s="215"/>
      <c r="W160" s="214"/>
      <c r="X160" s="630"/>
      <c r="Y160" s="631"/>
      <c r="Z160" s="632"/>
      <c r="AA160" s="632"/>
      <c r="AB160" s="643"/>
      <c r="AC160" s="616">
        <f t="shared" si="1"/>
        <v>0</v>
      </c>
      <c r="AD160" s="633"/>
      <c r="AE160" s="648"/>
      <c r="AF160" s="648"/>
      <c r="AG160" s="7"/>
      <c r="AH160" s="628"/>
      <c r="AI160" s="7"/>
      <c r="AJ160" s="618">
        <f t="shared" si="9"/>
        <v>0</v>
      </c>
    </row>
    <row r="161" spans="1:36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4"/>
      <c r="H161" s="214"/>
      <c r="I161" s="215"/>
      <c r="J161" s="620"/>
      <c r="K161" s="215"/>
      <c r="L161" s="213"/>
      <c r="M161" s="370"/>
      <c r="N161" s="214"/>
      <c r="O161" s="261"/>
      <c r="P161" s="213"/>
      <c r="Q161" s="213"/>
      <c r="R161" s="213"/>
      <c r="S161" s="213"/>
      <c r="T161" s="221"/>
      <c r="U161" s="213"/>
      <c r="V161" s="215"/>
      <c r="W161" s="214"/>
      <c r="X161" s="630"/>
      <c r="Y161" s="631"/>
      <c r="Z161" s="632"/>
      <c r="AA161" s="632"/>
      <c r="AB161" s="643"/>
      <c r="AC161" s="616">
        <f t="shared" si="1"/>
        <v>0</v>
      </c>
      <c r="AD161" s="633"/>
      <c r="AE161" s="636"/>
      <c r="AF161" s="636"/>
      <c r="AG161" s="7"/>
      <c r="AH161" s="628"/>
      <c r="AI161" s="7"/>
      <c r="AJ161" s="618">
        <f t="shared" si="9"/>
        <v>0</v>
      </c>
    </row>
    <row r="162" spans="1:36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4"/>
      <c r="H162" s="214"/>
      <c r="I162" s="215"/>
      <c r="J162" s="620"/>
      <c r="K162" s="215"/>
      <c r="L162" s="213"/>
      <c r="M162" s="370"/>
      <c r="N162" s="214"/>
      <c r="O162" s="262"/>
      <c r="P162" s="213"/>
      <c r="Q162" s="213"/>
      <c r="R162" s="213"/>
      <c r="S162" s="213"/>
      <c r="T162" s="221"/>
      <c r="U162" s="213"/>
      <c r="V162" s="215"/>
      <c r="W162" s="214"/>
      <c r="X162" s="630"/>
      <c r="Y162" s="631"/>
      <c r="Z162" s="632"/>
      <c r="AA162" s="632"/>
      <c r="AB162" s="643"/>
      <c r="AC162" s="616">
        <f t="shared" si="1"/>
        <v>0</v>
      </c>
      <c r="AD162" s="633"/>
      <c r="AE162" s="636"/>
      <c r="AF162" s="636"/>
      <c r="AG162" s="7"/>
      <c r="AH162" s="628"/>
      <c r="AI162" s="7"/>
      <c r="AJ162" s="618">
        <f t="shared" si="9"/>
        <v>0</v>
      </c>
    </row>
    <row r="163" spans="1:36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4"/>
      <c r="H163" s="214"/>
      <c r="I163" s="215"/>
      <c r="J163" s="620"/>
      <c r="K163" s="215"/>
      <c r="L163" s="213"/>
      <c r="M163" s="370"/>
      <c r="N163" s="214"/>
      <c r="O163" s="262"/>
      <c r="P163" s="213"/>
      <c r="Q163" s="213"/>
      <c r="R163" s="213"/>
      <c r="S163" s="213"/>
      <c r="T163" s="221"/>
      <c r="U163" s="213"/>
      <c r="V163" s="215"/>
      <c r="W163" s="214"/>
      <c r="X163" s="630"/>
      <c r="Y163" s="631"/>
      <c r="Z163" s="632"/>
      <c r="AA163" s="632"/>
      <c r="AB163" s="643"/>
      <c r="AC163" s="616">
        <f t="shared" si="1"/>
        <v>0</v>
      </c>
      <c r="AD163" s="633"/>
      <c r="AE163" s="636"/>
      <c r="AF163" s="636"/>
      <c r="AG163" s="7"/>
      <c r="AH163" s="628"/>
      <c r="AI163" s="7"/>
      <c r="AJ163" s="618">
        <f t="shared" si="9"/>
        <v>0</v>
      </c>
    </row>
    <row r="164" spans="1:36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4"/>
      <c r="H164" s="214"/>
      <c r="I164" s="215"/>
      <c r="J164" s="620"/>
      <c r="K164" s="215"/>
      <c r="L164" s="213"/>
      <c r="M164" s="370"/>
      <c r="N164" s="214"/>
      <c r="O164" s="262"/>
      <c r="P164" s="213"/>
      <c r="Q164" s="213"/>
      <c r="R164" s="213"/>
      <c r="S164" s="213"/>
      <c r="T164" s="221"/>
      <c r="U164" s="213"/>
      <c r="V164" s="215"/>
      <c r="W164" s="214"/>
      <c r="X164" s="630"/>
      <c r="Y164" s="631"/>
      <c r="Z164" s="632"/>
      <c r="AA164" s="632"/>
      <c r="AB164" s="643"/>
      <c r="AC164" s="616">
        <f t="shared" si="1"/>
        <v>0</v>
      </c>
      <c r="AD164" s="633"/>
      <c r="AE164" s="636"/>
      <c r="AF164" s="636"/>
      <c r="AG164" s="7"/>
      <c r="AH164" s="628"/>
      <c r="AI164" s="7"/>
      <c r="AJ164" s="618">
        <f t="shared" si="9"/>
        <v>0</v>
      </c>
    </row>
    <row r="165" spans="1:36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4"/>
      <c r="H165" s="214"/>
      <c r="I165" s="215"/>
      <c r="J165" s="620"/>
      <c r="K165" s="215"/>
      <c r="L165" s="213"/>
      <c r="M165" s="370"/>
      <c r="N165" s="214"/>
      <c r="O165" s="262"/>
      <c r="P165" s="213"/>
      <c r="Q165" s="213"/>
      <c r="R165" s="213"/>
      <c r="S165" s="213"/>
      <c r="T165" s="221"/>
      <c r="U165" s="213"/>
      <c r="V165" s="215"/>
      <c r="W165" s="214"/>
      <c r="X165" s="630"/>
      <c r="Y165" s="631"/>
      <c r="Z165" s="632"/>
      <c r="AA165" s="632"/>
      <c r="AB165" s="643"/>
      <c r="AC165" s="616">
        <f t="shared" si="1"/>
        <v>0</v>
      </c>
      <c r="AD165" s="633"/>
      <c r="AE165" s="636"/>
      <c r="AF165" s="636"/>
      <c r="AG165" s="7"/>
      <c r="AH165" s="628"/>
      <c r="AI165" s="7"/>
      <c r="AJ165" s="618">
        <f t="shared" si="9"/>
        <v>0</v>
      </c>
    </row>
    <row r="166" spans="1:36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4"/>
      <c r="H166" s="214"/>
      <c r="I166" s="215"/>
      <c r="J166" s="620"/>
      <c r="K166" s="215"/>
      <c r="L166" s="213"/>
      <c r="M166" s="370"/>
      <c r="N166" s="214"/>
      <c r="O166" s="262"/>
      <c r="P166" s="213"/>
      <c r="Q166" s="213"/>
      <c r="R166" s="213"/>
      <c r="S166" s="213"/>
      <c r="T166" s="221"/>
      <c r="U166" s="213"/>
      <c r="V166" s="215"/>
      <c r="W166" s="214"/>
      <c r="X166" s="630"/>
      <c r="Y166" s="631"/>
      <c r="Z166" s="632"/>
      <c r="AA166" s="632"/>
      <c r="AB166" s="643"/>
      <c r="AC166" s="616">
        <f t="shared" si="1"/>
        <v>0</v>
      </c>
      <c r="AD166" s="633"/>
      <c r="AE166" s="636"/>
      <c r="AF166" s="636"/>
      <c r="AG166" s="7"/>
      <c r="AH166" s="628"/>
      <c r="AI166" s="7"/>
      <c r="AJ166" s="618">
        <f t="shared" si="9"/>
        <v>0</v>
      </c>
    </row>
    <row r="167" spans="1:36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4"/>
      <c r="H167" s="214"/>
      <c r="I167" s="215"/>
      <c r="J167" s="620"/>
      <c r="K167" s="215"/>
      <c r="L167" s="213"/>
      <c r="M167" s="370"/>
      <c r="N167" s="214"/>
      <c r="O167" s="262"/>
      <c r="P167" s="213"/>
      <c r="Q167" s="213"/>
      <c r="R167" s="213"/>
      <c r="S167" s="213"/>
      <c r="T167" s="221"/>
      <c r="U167" s="213"/>
      <c r="V167" s="215"/>
      <c r="W167" s="214"/>
      <c r="X167" s="630"/>
      <c r="Y167" s="631"/>
      <c r="Z167" s="632"/>
      <c r="AA167" s="632"/>
      <c r="AB167" s="643"/>
      <c r="AC167" s="616">
        <f t="shared" si="1"/>
        <v>0</v>
      </c>
      <c r="AD167" s="633"/>
      <c r="AE167" s="636"/>
      <c r="AF167" s="636"/>
      <c r="AG167" s="7"/>
      <c r="AH167" s="628"/>
      <c r="AI167" s="7"/>
      <c r="AJ167" s="618">
        <f t="shared" si="9"/>
        <v>0</v>
      </c>
    </row>
    <row r="168" spans="1:36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4"/>
      <c r="H168" s="214"/>
      <c r="I168" s="215"/>
      <c r="J168" s="620"/>
      <c r="K168" s="215"/>
      <c r="L168" s="213"/>
      <c r="M168" s="370"/>
      <c r="N168" s="214"/>
      <c r="O168" s="262"/>
      <c r="P168" s="213"/>
      <c r="Q168" s="213"/>
      <c r="R168" s="213"/>
      <c r="S168" s="213"/>
      <c r="T168" s="221"/>
      <c r="U168" s="213"/>
      <c r="V168" s="215"/>
      <c r="W168" s="214"/>
      <c r="X168" s="630"/>
      <c r="Y168" s="631"/>
      <c r="Z168" s="632"/>
      <c r="AA168" s="632"/>
      <c r="AB168" s="643"/>
      <c r="AC168" s="616">
        <f t="shared" si="1"/>
        <v>0</v>
      </c>
      <c r="AD168" s="633"/>
      <c r="AE168" s="636"/>
      <c r="AF168" s="636"/>
      <c r="AG168" s="7"/>
      <c r="AH168" s="628"/>
      <c r="AI168" s="7"/>
      <c r="AJ168" s="618">
        <f t="shared" si="9"/>
        <v>0</v>
      </c>
    </row>
    <row r="169" spans="1:36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4"/>
      <c r="H169" s="214"/>
      <c r="I169" s="215"/>
      <c r="J169" s="620"/>
      <c r="K169" s="215"/>
      <c r="L169" s="213"/>
      <c r="M169" s="370"/>
      <c r="N169" s="214"/>
      <c r="O169" s="262"/>
      <c r="P169" s="213"/>
      <c r="Q169" s="213"/>
      <c r="R169" s="213"/>
      <c r="S169" s="213"/>
      <c r="T169" s="221"/>
      <c r="U169" s="213"/>
      <c r="V169" s="215"/>
      <c r="W169" s="214"/>
      <c r="X169" s="630"/>
      <c r="Y169" s="631"/>
      <c r="Z169" s="632"/>
      <c r="AA169" s="632"/>
      <c r="AB169" s="643"/>
      <c r="AC169" s="616">
        <f t="shared" si="1"/>
        <v>0</v>
      </c>
      <c r="AD169" s="633"/>
      <c r="AE169" s="636"/>
      <c r="AF169" s="636"/>
      <c r="AG169" s="7"/>
      <c r="AH169" s="628"/>
      <c r="AI169" s="7"/>
      <c r="AJ169" s="618">
        <f t="shared" si="9"/>
        <v>0</v>
      </c>
    </row>
    <row r="170" spans="1:36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4"/>
      <c r="H170" s="214"/>
      <c r="I170" s="215"/>
      <c r="J170" s="620"/>
      <c r="K170" s="215"/>
      <c r="L170" s="213"/>
      <c r="M170" s="370"/>
      <c r="N170" s="214"/>
      <c r="O170" s="262"/>
      <c r="P170" s="213"/>
      <c r="Q170" s="213"/>
      <c r="R170" s="213"/>
      <c r="S170" s="213"/>
      <c r="T170" s="221"/>
      <c r="U170" s="213"/>
      <c r="V170" s="215"/>
      <c r="W170" s="214"/>
      <c r="X170" s="630"/>
      <c r="Y170" s="631"/>
      <c r="Z170" s="632"/>
      <c r="AA170" s="632"/>
      <c r="AB170" s="643"/>
      <c r="AC170" s="616">
        <f t="shared" si="1"/>
        <v>0</v>
      </c>
      <c r="AD170" s="633"/>
      <c r="AE170" s="636"/>
      <c r="AF170" s="636"/>
      <c r="AG170" s="7"/>
      <c r="AH170" s="628"/>
      <c r="AI170" s="7"/>
      <c r="AJ170" s="618">
        <f t="shared" si="9"/>
        <v>0</v>
      </c>
    </row>
    <row r="171" spans="1:36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4"/>
      <c r="H171" s="214"/>
      <c r="I171" s="215"/>
      <c r="J171" s="638"/>
      <c r="K171" s="215"/>
      <c r="L171" s="213"/>
      <c r="M171" s="370"/>
      <c r="N171" s="214"/>
      <c r="O171" s="262"/>
      <c r="P171" s="213"/>
      <c r="Q171" s="213"/>
      <c r="R171" s="213"/>
      <c r="S171" s="213"/>
      <c r="T171" s="221"/>
      <c r="U171" s="213"/>
      <c r="V171" s="215"/>
      <c r="W171" s="214"/>
      <c r="X171" s="630"/>
      <c r="Y171" s="631"/>
      <c r="Z171" s="632"/>
      <c r="AA171" s="632"/>
      <c r="AB171" s="643"/>
      <c r="AC171" s="616">
        <f t="shared" si="1"/>
        <v>0</v>
      </c>
      <c r="AD171" s="633"/>
      <c r="AE171" s="636"/>
      <c r="AF171" s="636"/>
      <c r="AG171" s="7"/>
      <c r="AH171" s="628"/>
      <c r="AI171" s="7"/>
      <c r="AJ171" s="618">
        <f t="shared" si="9"/>
        <v>0</v>
      </c>
    </row>
    <row r="172" spans="1:36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4"/>
      <c r="H172" s="214"/>
      <c r="I172" s="215"/>
      <c r="J172" s="638"/>
      <c r="K172" s="215"/>
      <c r="L172" s="213"/>
      <c r="M172" s="370"/>
      <c r="N172" s="214"/>
      <c r="O172" s="261"/>
      <c r="P172" s="213"/>
      <c r="Q172" s="213"/>
      <c r="R172" s="213"/>
      <c r="S172" s="213"/>
      <c r="T172" s="221"/>
      <c r="U172" s="213"/>
      <c r="V172" s="215"/>
      <c r="W172" s="214"/>
      <c r="X172" s="630"/>
      <c r="Y172" s="631"/>
      <c r="Z172" s="632"/>
      <c r="AA172" s="632"/>
      <c r="AB172" s="643"/>
      <c r="AC172" s="616">
        <f t="shared" si="1"/>
        <v>0</v>
      </c>
      <c r="AD172" s="633"/>
      <c r="AE172" s="640"/>
      <c r="AF172" s="640"/>
      <c r="AG172" s="7"/>
      <c r="AH172" s="628"/>
      <c r="AI172" s="7"/>
      <c r="AJ172" s="618">
        <f t="shared" si="9"/>
        <v>0</v>
      </c>
    </row>
    <row r="173" spans="1:36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4"/>
      <c r="H173" s="214"/>
      <c r="I173" s="215">
        <v>1</v>
      </c>
      <c r="J173" s="620">
        <v>479</v>
      </c>
      <c r="K173" s="215"/>
      <c r="L173" s="213">
        <v>1</v>
      </c>
      <c r="M173" s="370"/>
      <c r="N173" s="214"/>
      <c r="O173" s="261">
        <f>O174+O175</f>
        <v>88</v>
      </c>
      <c r="P173" s="213"/>
      <c r="Q173" s="213"/>
      <c r="R173" s="213"/>
      <c r="S173" s="213"/>
      <c r="T173" s="221"/>
      <c r="U173" s="213"/>
      <c r="V173" s="215"/>
      <c r="W173" s="214"/>
      <c r="X173" s="630"/>
      <c r="Y173" s="631"/>
      <c r="Z173" s="632"/>
      <c r="AA173" s="632"/>
      <c r="AB173" s="643"/>
      <c r="AC173" s="616">
        <f t="shared" si="1"/>
        <v>569</v>
      </c>
      <c r="AD173" s="633"/>
      <c r="AE173" s="636"/>
      <c r="AF173" s="636"/>
      <c r="AG173" s="7"/>
      <c r="AH173" s="628">
        <v>967</v>
      </c>
      <c r="AI173" s="7"/>
      <c r="AJ173" s="618">
        <f t="shared" si="9"/>
        <v>398</v>
      </c>
    </row>
    <row r="174" spans="1:36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4"/>
      <c r="H174" s="214"/>
      <c r="I174" s="215"/>
      <c r="J174" s="647">
        <f>250+205</f>
        <v>455</v>
      </c>
      <c r="K174" s="215"/>
      <c r="L174" s="213"/>
      <c r="M174" s="370"/>
      <c r="N174" s="214"/>
      <c r="O174" s="261">
        <v>35</v>
      </c>
      <c r="P174" s="213"/>
      <c r="Q174" s="213"/>
      <c r="R174" s="213"/>
      <c r="S174" s="213"/>
      <c r="T174" s="221"/>
      <c r="U174" s="213"/>
      <c r="V174" s="215"/>
      <c r="W174" s="214"/>
      <c r="X174" s="630"/>
      <c r="Y174" s="631"/>
      <c r="Z174" s="632"/>
      <c r="AA174" s="632"/>
      <c r="AB174" s="643"/>
      <c r="AC174" s="616">
        <f t="shared" si="1"/>
        <v>490</v>
      </c>
      <c r="AD174" s="633"/>
      <c r="AE174" s="648"/>
      <c r="AF174" s="648"/>
      <c r="AG174" s="7"/>
      <c r="AH174" s="628"/>
      <c r="AI174" s="7"/>
      <c r="AJ174" s="618"/>
    </row>
    <row r="175" spans="1:36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4"/>
      <c r="H175" s="214"/>
      <c r="I175" s="215"/>
      <c r="J175" s="647">
        <v>24</v>
      </c>
      <c r="K175" s="215"/>
      <c r="L175" s="213"/>
      <c r="M175" s="370"/>
      <c r="N175" s="214"/>
      <c r="O175" s="261">
        <v>53</v>
      </c>
      <c r="P175" s="213"/>
      <c r="Q175" s="213"/>
      <c r="R175" s="213"/>
      <c r="S175" s="213"/>
      <c r="T175" s="221"/>
      <c r="U175" s="213"/>
      <c r="V175" s="215"/>
      <c r="W175" s="214"/>
      <c r="X175" s="630"/>
      <c r="Y175" s="631"/>
      <c r="Z175" s="632"/>
      <c r="AA175" s="632"/>
      <c r="AB175" s="643"/>
      <c r="AC175" s="616">
        <f t="shared" si="1"/>
        <v>77</v>
      </c>
      <c r="AD175" s="633"/>
      <c r="AE175" s="648"/>
      <c r="AF175" s="648"/>
      <c r="AG175" s="7"/>
      <c r="AH175" s="628"/>
      <c r="AI175" s="7"/>
      <c r="AJ175" s="618"/>
    </row>
    <row r="176" spans="1:36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4"/>
      <c r="H176" s="214"/>
      <c r="I176" s="215"/>
      <c r="J176" s="647"/>
      <c r="K176" s="215"/>
      <c r="L176" s="213"/>
      <c r="M176" s="370"/>
      <c r="N176" s="214"/>
      <c r="O176" s="261"/>
      <c r="P176" s="213"/>
      <c r="Q176" s="213"/>
      <c r="R176" s="213"/>
      <c r="S176" s="213"/>
      <c r="T176" s="221"/>
      <c r="U176" s="213"/>
      <c r="V176" s="215"/>
      <c r="W176" s="214"/>
      <c r="X176" s="630"/>
      <c r="Y176" s="631"/>
      <c r="Z176" s="632"/>
      <c r="AA176" s="632"/>
      <c r="AB176" s="643"/>
      <c r="AC176" s="616">
        <f t="shared" si="1"/>
        <v>0</v>
      </c>
      <c r="AD176" s="633"/>
      <c r="AE176" s="648"/>
      <c r="AF176" s="648"/>
      <c r="AG176" s="7"/>
      <c r="AH176" s="628"/>
      <c r="AI176" s="7"/>
      <c r="AJ176" s="618">
        <f t="shared" ref="AJ176:AJ200" si="10">AH176-AC176</f>
        <v>0</v>
      </c>
    </row>
    <row r="177" spans="1:36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4"/>
      <c r="H177" s="214"/>
      <c r="I177" s="215"/>
      <c r="J177" s="647"/>
      <c r="K177" s="215"/>
      <c r="L177" s="213"/>
      <c r="M177" s="370"/>
      <c r="N177" s="214"/>
      <c r="O177" s="261"/>
      <c r="P177" s="213"/>
      <c r="Q177" s="213"/>
      <c r="R177" s="213"/>
      <c r="S177" s="213"/>
      <c r="T177" s="221"/>
      <c r="U177" s="213"/>
      <c r="V177" s="215"/>
      <c r="W177" s="214"/>
      <c r="X177" s="630"/>
      <c r="Y177" s="631"/>
      <c r="Z177" s="632"/>
      <c r="AA177" s="632"/>
      <c r="AB177" s="643"/>
      <c r="AC177" s="616">
        <f t="shared" si="1"/>
        <v>0</v>
      </c>
      <c r="AD177" s="633"/>
      <c r="AE177" s="648"/>
      <c r="AF177" s="648"/>
      <c r="AG177" s="7"/>
      <c r="AH177" s="628"/>
      <c r="AI177" s="7"/>
      <c r="AJ177" s="618">
        <f t="shared" si="10"/>
        <v>0</v>
      </c>
    </row>
    <row r="178" spans="1:36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4"/>
      <c r="H178" s="214"/>
      <c r="I178" s="215"/>
      <c r="J178" s="620"/>
      <c r="K178" s="215"/>
      <c r="L178" s="213">
        <v>230</v>
      </c>
      <c r="M178" s="372">
        <f>SUM(M179:M180)</f>
        <v>0</v>
      </c>
      <c r="N178" s="214"/>
      <c r="O178" s="261">
        <v>6694</v>
      </c>
      <c r="P178" s="213"/>
      <c r="Q178" s="213"/>
      <c r="R178" s="213"/>
      <c r="S178" s="213"/>
      <c r="T178" s="221"/>
      <c r="U178" s="213"/>
      <c r="V178" s="215"/>
      <c r="W178" s="214"/>
      <c r="X178" s="630"/>
      <c r="Y178" s="631"/>
      <c r="Z178" s="632"/>
      <c r="AA178" s="632"/>
      <c r="AB178" s="657"/>
      <c r="AC178" s="616">
        <f t="shared" si="1"/>
        <v>6924</v>
      </c>
      <c r="AD178" s="633"/>
      <c r="AE178" s="636"/>
      <c r="AF178" s="636"/>
      <c r="AG178" s="7"/>
      <c r="AH178" s="628">
        <v>12230</v>
      </c>
      <c r="AI178" s="7"/>
      <c r="AJ178" s="618">
        <f t="shared" si="10"/>
        <v>5306</v>
      </c>
    </row>
    <row r="179" spans="1:36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4"/>
      <c r="H179" s="214"/>
      <c r="I179" s="215"/>
      <c r="J179" s="647"/>
      <c r="K179" s="215"/>
      <c r="L179" s="213"/>
      <c r="M179" s="370"/>
      <c r="N179" s="214"/>
      <c r="O179" s="261"/>
      <c r="P179" s="213"/>
      <c r="Q179" s="213"/>
      <c r="R179" s="213"/>
      <c r="S179" s="213"/>
      <c r="T179" s="221"/>
      <c r="U179" s="213"/>
      <c r="V179" s="215"/>
      <c r="W179" s="214"/>
      <c r="X179" s="630"/>
      <c r="Y179" s="631"/>
      <c r="Z179" s="632"/>
      <c r="AA179" s="632"/>
      <c r="AB179" s="643"/>
      <c r="AC179" s="616">
        <f t="shared" si="1"/>
        <v>0</v>
      </c>
      <c r="AD179" s="633"/>
      <c r="AE179" s="648"/>
      <c r="AF179" s="648"/>
      <c r="AG179" s="7"/>
      <c r="AH179" s="628"/>
      <c r="AI179" s="7"/>
      <c r="AJ179" s="618">
        <f t="shared" si="10"/>
        <v>0</v>
      </c>
    </row>
    <row r="180" spans="1:36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4"/>
      <c r="H180" s="214"/>
      <c r="I180" s="215"/>
      <c r="J180" s="647"/>
      <c r="K180" s="215"/>
      <c r="L180" s="213"/>
      <c r="M180" s="370"/>
      <c r="N180" s="214"/>
      <c r="O180" s="261"/>
      <c r="P180" s="213"/>
      <c r="Q180" s="213"/>
      <c r="R180" s="213"/>
      <c r="S180" s="213"/>
      <c r="T180" s="221"/>
      <c r="U180" s="213"/>
      <c r="V180" s="215"/>
      <c r="W180" s="214"/>
      <c r="X180" s="630"/>
      <c r="Y180" s="631"/>
      <c r="Z180" s="632"/>
      <c r="AA180" s="632"/>
      <c r="AB180" s="643"/>
      <c r="AC180" s="616">
        <f t="shared" si="1"/>
        <v>0</v>
      </c>
      <c r="AD180" s="633"/>
      <c r="AE180" s="648"/>
      <c r="AF180" s="648"/>
      <c r="AG180" s="7"/>
      <c r="AH180" s="628"/>
      <c r="AI180" s="7"/>
      <c r="AJ180" s="618">
        <f t="shared" si="10"/>
        <v>0</v>
      </c>
    </row>
    <row r="181" spans="1:36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4"/>
      <c r="H181" s="214"/>
      <c r="I181" s="215"/>
      <c r="J181" s="647"/>
      <c r="K181" s="215"/>
      <c r="L181" s="213"/>
      <c r="M181" s="370"/>
      <c r="N181" s="214"/>
      <c r="O181" s="261"/>
      <c r="P181" s="213"/>
      <c r="Q181" s="213"/>
      <c r="R181" s="213"/>
      <c r="S181" s="213"/>
      <c r="T181" s="221"/>
      <c r="U181" s="213"/>
      <c r="V181" s="215"/>
      <c r="W181" s="214"/>
      <c r="X181" s="630"/>
      <c r="Y181" s="631"/>
      <c r="Z181" s="632"/>
      <c r="AA181" s="632"/>
      <c r="AB181" s="643"/>
      <c r="AC181" s="616">
        <f t="shared" si="1"/>
        <v>0</v>
      </c>
      <c r="AD181" s="633"/>
      <c r="AE181" s="636"/>
      <c r="AF181" s="636"/>
      <c r="AG181" s="7"/>
      <c r="AH181" s="628"/>
      <c r="AI181" s="7"/>
      <c r="AJ181" s="618">
        <f t="shared" si="10"/>
        <v>0</v>
      </c>
    </row>
    <row r="182" spans="1:36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4"/>
      <c r="H182" s="214"/>
      <c r="I182" s="215"/>
      <c r="J182" s="620"/>
      <c r="K182" s="215"/>
      <c r="L182" s="213"/>
      <c r="M182" s="370"/>
      <c r="N182" s="214"/>
      <c r="O182" s="261"/>
      <c r="P182" s="213"/>
      <c r="Q182" s="213"/>
      <c r="R182" s="213"/>
      <c r="S182" s="213"/>
      <c r="T182" s="221"/>
      <c r="U182" s="213"/>
      <c r="V182" s="215"/>
      <c r="W182" s="214"/>
      <c r="X182" s="630"/>
      <c r="Y182" s="631"/>
      <c r="Z182" s="632"/>
      <c r="AA182" s="632"/>
      <c r="AB182" s="643"/>
      <c r="AC182" s="616">
        <f t="shared" si="1"/>
        <v>0</v>
      </c>
      <c r="AD182" s="633"/>
      <c r="AE182" s="636"/>
      <c r="AF182" s="636"/>
      <c r="AG182" s="7"/>
      <c r="AH182" s="628"/>
      <c r="AI182" s="7"/>
      <c r="AJ182" s="618">
        <f t="shared" si="10"/>
        <v>0</v>
      </c>
    </row>
    <row r="183" spans="1:36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4"/>
      <c r="H183" s="214"/>
      <c r="I183" s="215"/>
      <c r="J183" s="638"/>
      <c r="K183" s="215"/>
      <c r="L183" s="213"/>
      <c r="M183" s="370"/>
      <c r="N183" s="214"/>
      <c r="O183" s="261"/>
      <c r="P183" s="213"/>
      <c r="Q183" s="213"/>
      <c r="R183" s="213"/>
      <c r="S183" s="213"/>
      <c r="T183" s="221"/>
      <c r="U183" s="213"/>
      <c r="V183" s="215"/>
      <c r="W183" s="214"/>
      <c r="X183" s="630"/>
      <c r="Y183" s="631"/>
      <c r="Z183" s="632"/>
      <c r="AA183" s="632"/>
      <c r="AB183" s="643"/>
      <c r="AC183" s="616">
        <f t="shared" si="1"/>
        <v>0</v>
      </c>
      <c r="AD183" s="633"/>
      <c r="AE183" s="636"/>
      <c r="AF183" s="636"/>
      <c r="AG183" s="7"/>
      <c r="AH183" s="628"/>
      <c r="AI183" s="7"/>
      <c r="AJ183" s="618">
        <f t="shared" si="10"/>
        <v>0</v>
      </c>
    </row>
    <row r="184" spans="1:36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4"/>
      <c r="H184" s="214"/>
      <c r="I184" s="215"/>
      <c r="J184" s="638"/>
      <c r="K184" s="215"/>
      <c r="L184" s="213"/>
      <c r="M184" s="370"/>
      <c r="N184" s="214"/>
      <c r="O184" s="261"/>
      <c r="P184" s="213"/>
      <c r="Q184" s="213"/>
      <c r="R184" s="213"/>
      <c r="S184" s="213"/>
      <c r="T184" s="221"/>
      <c r="U184" s="213"/>
      <c r="V184" s="215"/>
      <c r="W184" s="214"/>
      <c r="X184" s="630"/>
      <c r="Y184" s="631"/>
      <c r="Z184" s="632"/>
      <c r="AA184" s="632"/>
      <c r="AB184" s="643"/>
      <c r="AC184" s="616">
        <f t="shared" si="1"/>
        <v>0</v>
      </c>
      <c r="AD184" s="633"/>
      <c r="AE184" s="636"/>
      <c r="AF184" s="636"/>
      <c r="AG184" s="7"/>
      <c r="AH184" s="628"/>
      <c r="AI184" s="7"/>
      <c r="AJ184" s="618">
        <f t="shared" si="10"/>
        <v>0</v>
      </c>
    </row>
    <row r="185" spans="1:36" ht="18.75" customHeight="1">
      <c r="A185" s="486">
        <v>7.7</v>
      </c>
      <c r="B185" s="487" t="s">
        <v>412</v>
      </c>
      <c r="C185" s="635" t="s">
        <v>413</v>
      </c>
      <c r="D185" s="412" t="s">
        <v>1580</v>
      </c>
      <c r="E185" s="213"/>
      <c r="F185" s="213"/>
      <c r="G185" s="214"/>
      <c r="H185" s="214"/>
      <c r="I185" s="215"/>
      <c r="J185" s="620"/>
      <c r="K185" s="215"/>
      <c r="L185" s="213"/>
      <c r="M185" s="370"/>
      <c r="N185" s="214"/>
      <c r="O185" s="261"/>
      <c r="P185" s="213"/>
      <c r="Q185" s="213"/>
      <c r="R185" s="213"/>
      <c r="S185" s="213"/>
      <c r="T185" s="221"/>
      <c r="U185" s="213"/>
      <c r="V185" s="215"/>
      <c r="W185" s="214"/>
      <c r="X185" s="630"/>
      <c r="Y185" s="631"/>
      <c r="Z185" s="632"/>
      <c r="AA185" s="632"/>
      <c r="AB185" s="643"/>
      <c r="AC185" s="616">
        <f t="shared" si="1"/>
        <v>0</v>
      </c>
      <c r="AD185" s="633"/>
      <c r="AE185" s="636"/>
      <c r="AF185" s="636"/>
      <c r="AG185" s="7"/>
      <c r="AH185" s="628"/>
      <c r="AI185" s="7"/>
      <c r="AJ185" s="618">
        <f t="shared" si="10"/>
        <v>0</v>
      </c>
    </row>
    <row r="186" spans="1:36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4"/>
      <c r="H186" s="214"/>
      <c r="I186" s="215"/>
      <c r="J186" s="638"/>
      <c r="K186" s="215"/>
      <c r="L186" s="213"/>
      <c r="M186" s="370"/>
      <c r="N186" s="214"/>
      <c r="O186" s="261"/>
      <c r="P186" s="213"/>
      <c r="Q186" s="213"/>
      <c r="R186" s="213"/>
      <c r="S186" s="213"/>
      <c r="T186" s="221"/>
      <c r="U186" s="213"/>
      <c r="V186" s="215"/>
      <c r="W186" s="214"/>
      <c r="X186" s="630"/>
      <c r="Y186" s="631"/>
      <c r="Z186" s="632"/>
      <c r="AA186" s="632"/>
      <c r="AB186" s="643"/>
      <c r="AC186" s="616">
        <f t="shared" si="1"/>
        <v>0</v>
      </c>
      <c r="AD186" s="633"/>
      <c r="AE186" s="636"/>
      <c r="AF186" s="636"/>
      <c r="AG186" s="7"/>
      <c r="AH186" s="628"/>
      <c r="AI186" s="7"/>
      <c r="AJ186" s="618">
        <f t="shared" si="10"/>
        <v>0</v>
      </c>
    </row>
    <row r="187" spans="1:36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4"/>
      <c r="H187" s="214"/>
      <c r="I187" s="215"/>
      <c r="J187" s="638"/>
      <c r="K187" s="215"/>
      <c r="L187" s="213"/>
      <c r="M187" s="370"/>
      <c r="N187" s="214"/>
      <c r="O187" s="261"/>
      <c r="P187" s="213"/>
      <c r="Q187" s="213"/>
      <c r="R187" s="213"/>
      <c r="S187" s="213"/>
      <c r="T187" s="221"/>
      <c r="U187" s="213"/>
      <c r="V187" s="215"/>
      <c r="W187" s="214"/>
      <c r="X187" s="630"/>
      <c r="Y187" s="631"/>
      <c r="Z187" s="632"/>
      <c r="AA187" s="632"/>
      <c r="AB187" s="643"/>
      <c r="AC187" s="616">
        <f t="shared" si="1"/>
        <v>0</v>
      </c>
      <c r="AD187" s="633"/>
      <c r="AE187" s="640"/>
      <c r="AF187" s="640"/>
      <c r="AG187" s="7"/>
      <c r="AH187" s="628"/>
      <c r="AI187" s="7"/>
      <c r="AJ187" s="618">
        <f t="shared" si="10"/>
        <v>0</v>
      </c>
    </row>
    <row r="188" spans="1:36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4"/>
      <c r="H188" s="214"/>
      <c r="I188" s="215"/>
      <c r="J188" s="647"/>
      <c r="K188" s="215"/>
      <c r="L188" s="213"/>
      <c r="M188" s="370"/>
      <c r="N188" s="214"/>
      <c r="O188" s="261"/>
      <c r="P188" s="213"/>
      <c r="Q188" s="213"/>
      <c r="R188" s="213"/>
      <c r="S188" s="213"/>
      <c r="T188" s="221"/>
      <c r="U188" s="213"/>
      <c r="V188" s="215"/>
      <c r="W188" s="214"/>
      <c r="X188" s="630"/>
      <c r="Y188" s="631"/>
      <c r="Z188" s="632"/>
      <c r="AA188" s="632"/>
      <c r="AB188" s="643"/>
      <c r="AC188" s="616">
        <f t="shared" si="1"/>
        <v>0</v>
      </c>
      <c r="AD188" s="633"/>
      <c r="AE188" s="636"/>
      <c r="AF188" s="636"/>
      <c r="AG188" s="7"/>
      <c r="AH188" s="628"/>
      <c r="AI188" s="7"/>
      <c r="AJ188" s="618">
        <f t="shared" si="10"/>
        <v>0</v>
      </c>
    </row>
    <row r="189" spans="1:36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4"/>
      <c r="H189" s="214"/>
      <c r="I189" s="215"/>
      <c r="J189" s="647"/>
      <c r="K189" s="215"/>
      <c r="L189" s="213"/>
      <c r="M189" s="370"/>
      <c r="N189" s="214"/>
      <c r="O189" s="261"/>
      <c r="P189" s="213"/>
      <c r="Q189" s="213"/>
      <c r="R189" s="213"/>
      <c r="S189" s="213"/>
      <c r="T189" s="221"/>
      <c r="U189" s="213"/>
      <c r="V189" s="215"/>
      <c r="W189" s="214"/>
      <c r="X189" s="630"/>
      <c r="Y189" s="631"/>
      <c r="Z189" s="632"/>
      <c r="AA189" s="632"/>
      <c r="AB189" s="643"/>
      <c r="AC189" s="616">
        <f t="shared" si="1"/>
        <v>0</v>
      </c>
      <c r="AD189" s="633"/>
      <c r="AE189" s="648"/>
      <c r="AF189" s="648"/>
      <c r="AG189" s="7"/>
      <c r="AH189" s="628"/>
      <c r="AI189" s="7"/>
      <c r="AJ189" s="618">
        <f t="shared" si="10"/>
        <v>0</v>
      </c>
    </row>
    <row r="190" spans="1:36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4"/>
      <c r="H190" s="214"/>
      <c r="I190" s="215"/>
      <c r="J190" s="647"/>
      <c r="K190" s="215"/>
      <c r="L190" s="213"/>
      <c r="M190" s="370"/>
      <c r="N190" s="214"/>
      <c r="O190" s="261"/>
      <c r="P190" s="213"/>
      <c r="Q190" s="213"/>
      <c r="R190" s="213"/>
      <c r="S190" s="213"/>
      <c r="T190" s="221"/>
      <c r="U190" s="213"/>
      <c r="V190" s="215"/>
      <c r="W190" s="214"/>
      <c r="X190" s="630"/>
      <c r="Y190" s="631"/>
      <c r="Z190" s="632"/>
      <c r="AA190" s="632"/>
      <c r="AB190" s="643"/>
      <c r="AC190" s="616">
        <f t="shared" si="1"/>
        <v>0</v>
      </c>
      <c r="AD190" s="633"/>
      <c r="AE190" s="648"/>
      <c r="AF190" s="648"/>
      <c r="AG190" s="7"/>
      <c r="AH190" s="628"/>
      <c r="AI190" s="7"/>
      <c r="AJ190" s="618">
        <f t="shared" si="10"/>
        <v>0</v>
      </c>
    </row>
    <row r="191" spans="1:36" ht="20.25" customHeight="1">
      <c r="A191" s="503"/>
      <c r="B191" s="483" t="s">
        <v>428</v>
      </c>
      <c r="C191" s="658" t="s">
        <v>429</v>
      </c>
      <c r="D191" s="504" t="s">
        <v>1581</v>
      </c>
      <c r="E191" s="213"/>
      <c r="F191" s="213"/>
      <c r="G191" s="214"/>
      <c r="H191" s="214"/>
      <c r="I191" s="215"/>
      <c r="J191" s="647"/>
      <c r="K191" s="215"/>
      <c r="L191" s="213"/>
      <c r="M191" s="370"/>
      <c r="N191" s="214"/>
      <c r="O191" s="261"/>
      <c r="P191" s="213"/>
      <c r="Q191" s="213"/>
      <c r="R191" s="213"/>
      <c r="S191" s="213"/>
      <c r="T191" s="221"/>
      <c r="U191" s="213"/>
      <c r="V191" s="215"/>
      <c r="W191" s="214"/>
      <c r="X191" s="630"/>
      <c r="Y191" s="631"/>
      <c r="Z191" s="632"/>
      <c r="AA191" s="632"/>
      <c r="AB191" s="643"/>
      <c r="AC191" s="616">
        <f t="shared" si="1"/>
        <v>0</v>
      </c>
      <c r="AD191" s="633"/>
      <c r="AE191" s="648"/>
      <c r="AF191" s="648"/>
      <c r="AG191" s="7"/>
      <c r="AH191" s="628"/>
      <c r="AI191" s="7"/>
      <c r="AJ191" s="618">
        <f t="shared" si="10"/>
        <v>0</v>
      </c>
    </row>
    <row r="192" spans="1:36" ht="20.25" customHeight="1">
      <c r="A192" s="503"/>
      <c r="B192" s="483" t="s">
        <v>426</v>
      </c>
      <c r="C192" s="658" t="s">
        <v>431</v>
      </c>
      <c r="D192" s="504" t="s">
        <v>1582</v>
      </c>
      <c r="E192" s="213"/>
      <c r="F192" s="213"/>
      <c r="G192" s="214"/>
      <c r="H192" s="214"/>
      <c r="I192" s="215"/>
      <c r="J192" s="647"/>
      <c r="K192" s="215"/>
      <c r="L192" s="213"/>
      <c r="M192" s="370"/>
      <c r="N192" s="214"/>
      <c r="O192" s="261"/>
      <c r="P192" s="213"/>
      <c r="Q192" s="213"/>
      <c r="R192" s="213"/>
      <c r="S192" s="213"/>
      <c r="T192" s="221"/>
      <c r="U192" s="213"/>
      <c r="V192" s="215"/>
      <c r="W192" s="214"/>
      <c r="X192" s="630"/>
      <c r="Y192" s="631"/>
      <c r="Z192" s="632"/>
      <c r="AA192" s="632"/>
      <c r="AB192" s="643"/>
      <c r="AC192" s="616">
        <f t="shared" si="1"/>
        <v>0</v>
      </c>
      <c r="AD192" s="633"/>
      <c r="AE192" s="636"/>
      <c r="AF192" s="636"/>
      <c r="AG192" s="7"/>
      <c r="AH192" s="628"/>
      <c r="AI192" s="7"/>
      <c r="AJ192" s="618">
        <f t="shared" si="10"/>
        <v>0</v>
      </c>
    </row>
    <row r="193" spans="1:36" ht="20.25" customHeight="1">
      <c r="A193" s="503"/>
      <c r="B193" s="483" t="s">
        <v>428</v>
      </c>
      <c r="C193" s="658" t="s">
        <v>433</v>
      </c>
      <c r="D193" s="504" t="s">
        <v>1583</v>
      </c>
      <c r="E193" s="213"/>
      <c r="F193" s="213"/>
      <c r="G193" s="214"/>
      <c r="H193" s="214"/>
      <c r="I193" s="215"/>
      <c r="J193" s="647"/>
      <c r="K193" s="215"/>
      <c r="L193" s="213"/>
      <c r="M193" s="370"/>
      <c r="N193" s="214"/>
      <c r="O193" s="261"/>
      <c r="P193" s="213"/>
      <c r="Q193" s="213"/>
      <c r="R193" s="213"/>
      <c r="S193" s="213"/>
      <c r="T193" s="221"/>
      <c r="U193" s="213"/>
      <c r="V193" s="215"/>
      <c r="W193" s="214"/>
      <c r="X193" s="630"/>
      <c r="Y193" s="631"/>
      <c r="Z193" s="632"/>
      <c r="AA193" s="632"/>
      <c r="AB193" s="643"/>
      <c r="AC193" s="616">
        <f t="shared" si="1"/>
        <v>0</v>
      </c>
      <c r="AD193" s="633"/>
      <c r="AE193" s="648"/>
      <c r="AF193" s="648"/>
      <c r="AG193" s="7"/>
      <c r="AH193" s="628"/>
      <c r="AI193" s="7"/>
      <c r="AJ193" s="618">
        <f t="shared" si="10"/>
        <v>0</v>
      </c>
    </row>
    <row r="194" spans="1:36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4"/>
      <c r="H194" s="214"/>
      <c r="I194" s="215"/>
      <c r="J194" s="620"/>
      <c r="K194" s="215"/>
      <c r="L194" s="213"/>
      <c r="M194" s="370"/>
      <c r="N194" s="214"/>
      <c r="O194" s="261"/>
      <c r="P194" s="213"/>
      <c r="Q194" s="213"/>
      <c r="R194" s="213"/>
      <c r="S194" s="213"/>
      <c r="T194" s="221"/>
      <c r="U194" s="213"/>
      <c r="V194" s="215"/>
      <c r="W194" s="214"/>
      <c r="X194" s="630"/>
      <c r="Y194" s="631"/>
      <c r="Z194" s="632"/>
      <c r="AA194" s="632"/>
      <c r="AB194" s="643"/>
      <c r="AC194" s="616">
        <f t="shared" si="1"/>
        <v>0</v>
      </c>
      <c r="AD194" s="633"/>
      <c r="AE194" s="654"/>
      <c r="AF194" s="654"/>
      <c r="AG194" s="7"/>
      <c r="AH194" s="628"/>
      <c r="AI194" s="7"/>
      <c r="AJ194" s="618">
        <f t="shared" si="10"/>
        <v>0</v>
      </c>
    </row>
    <row r="195" spans="1:36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4"/>
      <c r="H195" s="214"/>
      <c r="I195" s="215"/>
      <c r="J195" s="647"/>
      <c r="K195" s="215"/>
      <c r="L195" s="213"/>
      <c r="M195" s="370"/>
      <c r="N195" s="214"/>
      <c r="O195" s="261"/>
      <c r="P195" s="213"/>
      <c r="Q195" s="213"/>
      <c r="R195" s="213"/>
      <c r="S195" s="213"/>
      <c r="T195" s="221"/>
      <c r="U195" s="213"/>
      <c r="V195" s="215"/>
      <c r="W195" s="214"/>
      <c r="X195" s="630"/>
      <c r="Y195" s="631"/>
      <c r="Z195" s="632"/>
      <c r="AA195" s="632"/>
      <c r="AB195" s="643"/>
      <c r="AC195" s="616">
        <f t="shared" si="1"/>
        <v>0</v>
      </c>
      <c r="AD195" s="633"/>
      <c r="AE195" s="648"/>
      <c r="AF195" s="648"/>
      <c r="AG195" s="7"/>
      <c r="AH195" s="628"/>
      <c r="AI195" s="7"/>
      <c r="AJ195" s="618">
        <f t="shared" si="10"/>
        <v>0</v>
      </c>
    </row>
    <row r="196" spans="1:36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4"/>
      <c r="H196" s="214"/>
      <c r="I196" s="215"/>
      <c r="J196" s="647"/>
      <c r="K196" s="215"/>
      <c r="L196" s="213"/>
      <c r="M196" s="370"/>
      <c r="N196" s="214"/>
      <c r="O196" s="261"/>
      <c r="P196" s="213"/>
      <c r="Q196" s="213"/>
      <c r="R196" s="213"/>
      <c r="S196" s="213"/>
      <c r="T196" s="221"/>
      <c r="U196" s="213"/>
      <c r="V196" s="215"/>
      <c r="W196" s="214"/>
      <c r="X196" s="630"/>
      <c r="Y196" s="631"/>
      <c r="Z196" s="632"/>
      <c r="AA196" s="632"/>
      <c r="AB196" s="643"/>
      <c r="AC196" s="616">
        <f t="shared" si="1"/>
        <v>0</v>
      </c>
      <c r="AD196" s="633"/>
      <c r="AE196" s="636"/>
      <c r="AF196" s="636"/>
      <c r="AG196" s="7"/>
      <c r="AH196" s="628"/>
      <c r="AI196" s="7"/>
      <c r="AJ196" s="618">
        <f t="shared" si="10"/>
        <v>0</v>
      </c>
    </row>
    <row r="197" spans="1:36" ht="20.25" customHeight="1">
      <c r="A197" s="503"/>
      <c r="B197" s="483" t="s">
        <v>440</v>
      </c>
      <c r="C197" s="658" t="s">
        <v>429</v>
      </c>
      <c r="D197" s="504" t="s">
        <v>1584</v>
      </c>
      <c r="E197" s="213"/>
      <c r="F197" s="213"/>
      <c r="G197" s="214"/>
      <c r="H197" s="214"/>
      <c r="I197" s="215"/>
      <c r="J197" s="647"/>
      <c r="K197" s="215"/>
      <c r="L197" s="213"/>
      <c r="M197" s="370"/>
      <c r="N197" s="214"/>
      <c r="O197" s="261"/>
      <c r="P197" s="213"/>
      <c r="Q197" s="213"/>
      <c r="R197" s="213"/>
      <c r="S197" s="213"/>
      <c r="T197" s="221"/>
      <c r="U197" s="213"/>
      <c r="V197" s="215"/>
      <c r="W197" s="214"/>
      <c r="X197" s="630"/>
      <c r="Y197" s="631"/>
      <c r="Z197" s="632"/>
      <c r="AA197" s="632"/>
      <c r="AB197" s="643"/>
      <c r="AC197" s="616">
        <f t="shared" si="1"/>
        <v>0</v>
      </c>
      <c r="AD197" s="633"/>
      <c r="AE197" s="648"/>
      <c r="AF197" s="648"/>
      <c r="AG197" s="7"/>
      <c r="AH197" s="628"/>
      <c r="AI197" s="7"/>
      <c r="AJ197" s="618">
        <f t="shared" si="10"/>
        <v>0</v>
      </c>
    </row>
    <row r="198" spans="1:36" ht="20.25" customHeight="1">
      <c r="A198" s="503"/>
      <c r="B198" s="483" t="s">
        <v>439</v>
      </c>
      <c r="C198" s="658" t="s">
        <v>431</v>
      </c>
      <c r="D198" s="504" t="s">
        <v>1585</v>
      </c>
      <c r="E198" s="213"/>
      <c r="F198" s="213"/>
      <c r="G198" s="214"/>
      <c r="H198" s="214"/>
      <c r="I198" s="215"/>
      <c r="J198" s="647"/>
      <c r="K198" s="215"/>
      <c r="L198" s="213"/>
      <c r="M198" s="370"/>
      <c r="N198" s="214"/>
      <c r="O198" s="261"/>
      <c r="P198" s="213"/>
      <c r="Q198" s="213"/>
      <c r="R198" s="213"/>
      <c r="S198" s="213"/>
      <c r="T198" s="221"/>
      <c r="U198" s="213"/>
      <c r="V198" s="215"/>
      <c r="W198" s="214"/>
      <c r="X198" s="630"/>
      <c r="Y198" s="631"/>
      <c r="Z198" s="632"/>
      <c r="AA198" s="632"/>
      <c r="AB198" s="643"/>
      <c r="AC198" s="616">
        <f t="shared" si="1"/>
        <v>0</v>
      </c>
      <c r="AD198" s="633"/>
      <c r="AE198" s="648"/>
      <c r="AF198" s="648"/>
      <c r="AG198" s="7"/>
      <c r="AH198" s="628"/>
      <c r="AI198" s="7"/>
      <c r="AJ198" s="618">
        <f t="shared" si="10"/>
        <v>0</v>
      </c>
    </row>
    <row r="199" spans="1:36" ht="20.25" customHeight="1">
      <c r="A199" s="503"/>
      <c r="B199" s="483" t="s">
        <v>440</v>
      </c>
      <c r="C199" s="658" t="s">
        <v>433</v>
      </c>
      <c r="D199" s="504" t="s">
        <v>1586</v>
      </c>
      <c r="E199" s="213"/>
      <c r="F199" s="213"/>
      <c r="G199" s="214"/>
      <c r="H199" s="214"/>
      <c r="I199" s="215"/>
      <c r="J199" s="647"/>
      <c r="K199" s="215"/>
      <c r="L199" s="213"/>
      <c r="M199" s="370"/>
      <c r="N199" s="214"/>
      <c r="O199" s="261"/>
      <c r="P199" s="213"/>
      <c r="Q199" s="213"/>
      <c r="R199" s="213"/>
      <c r="S199" s="213"/>
      <c r="T199" s="221"/>
      <c r="U199" s="213"/>
      <c r="V199" s="215"/>
      <c r="W199" s="214"/>
      <c r="X199" s="630"/>
      <c r="Y199" s="631"/>
      <c r="Z199" s="632"/>
      <c r="AA199" s="632"/>
      <c r="AB199" s="643"/>
      <c r="AC199" s="616">
        <f t="shared" si="1"/>
        <v>0</v>
      </c>
      <c r="AD199" s="633"/>
      <c r="AE199" s="648"/>
      <c r="AF199" s="648"/>
      <c r="AG199" s="7"/>
      <c r="AH199" s="628"/>
      <c r="AI199" s="7"/>
      <c r="AJ199" s="618">
        <f t="shared" si="10"/>
        <v>0</v>
      </c>
    </row>
    <row r="200" spans="1:36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4"/>
      <c r="H200" s="214"/>
      <c r="I200" s="215"/>
      <c r="J200" s="620"/>
      <c r="K200" s="215"/>
      <c r="L200" s="213"/>
      <c r="M200" s="370"/>
      <c r="N200" s="214"/>
      <c r="O200" s="261"/>
      <c r="P200" s="213"/>
      <c r="Q200" s="213"/>
      <c r="R200" s="213"/>
      <c r="S200" s="213"/>
      <c r="T200" s="221"/>
      <c r="U200" s="213"/>
      <c r="V200" s="215"/>
      <c r="W200" s="214"/>
      <c r="X200" s="630"/>
      <c r="Y200" s="631"/>
      <c r="Z200" s="632"/>
      <c r="AA200" s="632"/>
      <c r="AB200" s="643"/>
      <c r="AC200" s="616">
        <f t="shared" si="1"/>
        <v>0</v>
      </c>
      <c r="AD200" s="633"/>
      <c r="AE200" s="636"/>
      <c r="AF200" s="636"/>
      <c r="AG200" s="7"/>
      <c r="AH200" s="628"/>
      <c r="AI200" s="7"/>
      <c r="AJ200" s="618">
        <f t="shared" si="10"/>
        <v>0</v>
      </c>
    </row>
    <row r="201" spans="1:36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4"/>
      <c r="H201" s="214"/>
      <c r="I201" s="215"/>
      <c r="J201" s="647"/>
      <c r="K201" s="215"/>
      <c r="L201" s="213">
        <v>100</v>
      </c>
      <c r="M201" s="370"/>
      <c r="N201" s="214"/>
      <c r="O201" s="261">
        <v>100</v>
      </c>
      <c r="P201" s="213"/>
      <c r="Q201" s="213"/>
      <c r="R201" s="213"/>
      <c r="S201" s="213"/>
      <c r="T201" s="221"/>
      <c r="U201" s="213"/>
      <c r="V201" s="215"/>
      <c r="W201" s="214"/>
      <c r="X201" s="630"/>
      <c r="Y201" s="631"/>
      <c r="Z201" s="632"/>
      <c r="AA201" s="632"/>
      <c r="AB201" s="643"/>
      <c r="AC201" s="616">
        <f t="shared" si="1"/>
        <v>200</v>
      </c>
      <c r="AD201" s="633"/>
      <c r="AE201" s="648"/>
      <c r="AF201" s="648"/>
      <c r="AG201" s="7"/>
      <c r="AH201" s="628"/>
      <c r="AI201" s="7"/>
      <c r="AJ201" s="618"/>
    </row>
    <row r="202" spans="1:36" ht="20.25" customHeight="1">
      <c r="A202" s="503"/>
      <c r="B202" s="483" t="s">
        <v>449</v>
      </c>
      <c r="C202" s="658" t="s">
        <v>450</v>
      </c>
      <c r="D202" s="504" t="s">
        <v>1587</v>
      </c>
      <c r="E202" s="213"/>
      <c r="F202" s="213"/>
      <c r="G202" s="214"/>
      <c r="H202" s="214"/>
      <c r="I202" s="215"/>
      <c r="J202" s="647"/>
      <c r="K202" s="215"/>
      <c r="L202" s="213"/>
      <c r="M202" s="370"/>
      <c r="N202" s="214"/>
      <c r="O202" s="261"/>
      <c r="P202" s="213"/>
      <c r="Q202" s="213"/>
      <c r="R202" s="213"/>
      <c r="S202" s="213"/>
      <c r="T202" s="221"/>
      <c r="U202" s="213"/>
      <c r="V202" s="215"/>
      <c r="W202" s="214"/>
      <c r="X202" s="630"/>
      <c r="Y202" s="631"/>
      <c r="Z202" s="632"/>
      <c r="AA202" s="632"/>
      <c r="AB202" s="643"/>
      <c r="AC202" s="616">
        <f t="shared" si="1"/>
        <v>0</v>
      </c>
      <c r="AD202" s="633"/>
      <c r="AE202" s="648"/>
      <c r="AF202" s="648"/>
      <c r="AG202" s="7"/>
      <c r="AH202" s="628"/>
      <c r="AI202" s="7"/>
      <c r="AJ202" s="618">
        <f t="shared" ref="AJ202:AJ220" si="11">AH202-AC202</f>
        <v>0</v>
      </c>
    </row>
    <row r="203" spans="1:36" ht="20.25" customHeight="1">
      <c r="A203" s="503"/>
      <c r="B203" s="483" t="s">
        <v>449</v>
      </c>
      <c r="C203" s="658" t="s">
        <v>431</v>
      </c>
      <c r="D203" s="504" t="s">
        <v>1588</v>
      </c>
      <c r="E203" s="213"/>
      <c r="F203" s="213"/>
      <c r="G203" s="214"/>
      <c r="H203" s="214"/>
      <c r="I203" s="215"/>
      <c r="J203" s="647"/>
      <c r="K203" s="215"/>
      <c r="L203" s="213"/>
      <c r="M203" s="370"/>
      <c r="N203" s="214"/>
      <c r="O203" s="261"/>
      <c r="P203" s="213"/>
      <c r="Q203" s="213"/>
      <c r="R203" s="213"/>
      <c r="S203" s="213"/>
      <c r="T203" s="221"/>
      <c r="U203" s="213"/>
      <c r="V203" s="215"/>
      <c r="W203" s="214"/>
      <c r="X203" s="630"/>
      <c r="Y203" s="631"/>
      <c r="Z203" s="632"/>
      <c r="AA203" s="632"/>
      <c r="AB203" s="643"/>
      <c r="AC203" s="616">
        <f t="shared" si="1"/>
        <v>0</v>
      </c>
      <c r="AD203" s="633"/>
      <c r="AE203" s="648"/>
      <c r="AF203" s="648"/>
      <c r="AG203" s="7"/>
      <c r="AH203" s="628"/>
      <c r="AI203" s="7"/>
      <c r="AJ203" s="618">
        <f t="shared" si="11"/>
        <v>0</v>
      </c>
    </row>
    <row r="204" spans="1:36" ht="20.25" customHeight="1">
      <c r="A204" s="503"/>
      <c r="B204" s="483" t="s">
        <v>453</v>
      </c>
      <c r="C204" s="658" t="s">
        <v>433</v>
      </c>
      <c r="D204" s="504" t="s">
        <v>1589</v>
      </c>
      <c r="E204" s="213"/>
      <c r="F204" s="213"/>
      <c r="G204" s="214"/>
      <c r="H204" s="214"/>
      <c r="I204" s="215"/>
      <c r="J204" s="647"/>
      <c r="K204" s="215"/>
      <c r="L204" s="213"/>
      <c r="M204" s="370"/>
      <c r="N204" s="214"/>
      <c r="O204" s="261"/>
      <c r="P204" s="213"/>
      <c r="Q204" s="213"/>
      <c r="R204" s="213"/>
      <c r="S204" s="213"/>
      <c r="T204" s="221"/>
      <c r="U204" s="213"/>
      <c r="V204" s="215"/>
      <c r="W204" s="214"/>
      <c r="X204" s="630"/>
      <c r="Y204" s="631"/>
      <c r="Z204" s="632"/>
      <c r="AA204" s="632"/>
      <c r="AB204" s="643"/>
      <c r="AC204" s="616">
        <f t="shared" si="1"/>
        <v>0</v>
      </c>
      <c r="AD204" s="633"/>
      <c r="AE204" s="636"/>
      <c r="AF204" s="636"/>
      <c r="AG204" s="7"/>
      <c r="AH204" s="628"/>
      <c r="AI204" s="7"/>
      <c r="AJ204" s="618">
        <f t="shared" si="11"/>
        <v>0</v>
      </c>
    </row>
    <row r="205" spans="1:36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4"/>
      <c r="H205" s="214"/>
      <c r="I205" s="215"/>
      <c r="J205" s="647"/>
      <c r="K205" s="215"/>
      <c r="L205" s="213"/>
      <c r="M205" s="370"/>
      <c r="N205" s="214"/>
      <c r="O205" s="261"/>
      <c r="P205" s="213"/>
      <c r="Q205" s="213"/>
      <c r="R205" s="213"/>
      <c r="S205" s="213"/>
      <c r="T205" s="221"/>
      <c r="U205" s="213"/>
      <c r="V205" s="215"/>
      <c r="W205" s="214"/>
      <c r="X205" s="630"/>
      <c r="Y205" s="631"/>
      <c r="Z205" s="632"/>
      <c r="AA205" s="632"/>
      <c r="AB205" s="643"/>
      <c r="AC205" s="616">
        <f t="shared" si="1"/>
        <v>0</v>
      </c>
      <c r="AD205" s="633"/>
      <c r="AE205" s="636"/>
      <c r="AF205" s="636"/>
      <c r="AG205" s="7"/>
      <c r="AH205" s="628"/>
      <c r="AI205" s="7"/>
      <c r="AJ205" s="618">
        <f t="shared" si="11"/>
        <v>0</v>
      </c>
    </row>
    <row r="206" spans="1:36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4"/>
      <c r="H206" s="214"/>
      <c r="I206" s="215">
        <v>524</v>
      </c>
      <c r="J206" s="647"/>
      <c r="K206" s="215"/>
      <c r="L206" s="213">
        <f>15+40+20+65</f>
        <v>140</v>
      </c>
      <c r="M206" s="370"/>
      <c r="N206" s="214">
        <v>300</v>
      </c>
      <c r="O206" s="261">
        <v>300</v>
      </c>
      <c r="P206" s="213"/>
      <c r="Q206" s="213"/>
      <c r="R206" s="213"/>
      <c r="S206" s="213"/>
      <c r="T206" s="221"/>
      <c r="U206" s="213"/>
      <c r="V206" s="215"/>
      <c r="W206" s="214"/>
      <c r="X206" s="630"/>
      <c r="Y206" s="631"/>
      <c r="Z206" s="632"/>
      <c r="AA206" s="632"/>
      <c r="AB206" s="643"/>
      <c r="AC206" s="616">
        <f t="shared" si="1"/>
        <v>1264</v>
      </c>
      <c r="AD206" s="633"/>
      <c r="AE206" s="648"/>
      <c r="AF206" s="648"/>
      <c r="AG206" s="7"/>
      <c r="AH206" s="628">
        <v>4327</v>
      </c>
      <c r="AI206" s="7"/>
      <c r="AJ206" s="618">
        <f t="shared" si="11"/>
        <v>3063</v>
      </c>
    </row>
    <row r="207" spans="1:36" ht="20.25" customHeight="1">
      <c r="A207" s="503"/>
      <c r="B207" s="483" t="s">
        <v>461</v>
      </c>
      <c r="C207" s="658" t="s">
        <v>431</v>
      </c>
      <c r="D207" s="504" t="s">
        <v>1590</v>
      </c>
      <c r="E207" s="213"/>
      <c r="F207" s="213"/>
      <c r="G207" s="214"/>
      <c r="H207" s="214"/>
      <c r="I207" s="215"/>
      <c r="J207" s="647"/>
      <c r="K207" s="215"/>
      <c r="L207" s="213"/>
      <c r="M207" s="370"/>
      <c r="N207" s="214"/>
      <c r="O207" s="261"/>
      <c r="P207" s="213"/>
      <c r="Q207" s="213"/>
      <c r="R207" s="213"/>
      <c r="S207" s="213"/>
      <c r="T207" s="221"/>
      <c r="U207" s="213"/>
      <c r="V207" s="215"/>
      <c r="W207" s="214"/>
      <c r="X207" s="630"/>
      <c r="Y207" s="631"/>
      <c r="Z207" s="632"/>
      <c r="AA207" s="632"/>
      <c r="AB207" s="643"/>
      <c r="AC207" s="616">
        <f t="shared" si="1"/>
        <v>0</v>
      </c>
      <c r="AD207" s="633"/>
      <c r="AE207" s="648"/>
      <c r="AF207" s="648"/>
      <c r="AG207" s="7"/>
      <c r="AH207" s="628">
        <v>523</v>
      </c>
      <c r="AI207" s="7"/>
      <c r="AJ207" s="618">
        <f t="shared" si="11"/>
        <v>523</v>
      </c>
    </row>
    <row r="208" spans="1:36" ht="20.25" customHeight="1">
      <c r="A208" s="503"/>
      <c r="B208" s="483" t="s">
        <v>464</v>
      </c>
      <c r="C208" s="658" t="s">
        <v>433</v>
      </c>
      <c r="D208" s="504" t="s">
        <v>1591</v>
      </c>
      <c r="E208" s="213"/>
      <c r="F208" s="213"/>
      <c r="G208" s="214"/>
      <c r="H208" s="214"/>
      <c r="I208" s="215"/>
      <c r="J208" s="647"/>
      <c r="K208" s="215"/>
      <c r="L208" s="213"/>
      <c r="M208" s="370"/>
      <c r="N208" s="214"/>
      <c r="O208" s="261"/>
      <c r="P208" s="213"/>
      <c r="Q208" s="213"/>
      <c r="R208" s="213"/>
      <c r="S208" s="213"/>
      <c r="T208" s="221"/>
      <c r="U208" s="213"/>
      <c r="V208" s="215"/>
      <c r="W208" s="214"/>
      <c r="X208" s="630"/>
      <c r="Y208" s="631"/>
      <c r="Z208" s="632"/>
      <c r="AA208" s="632"/>
      <c r="AB208" s="643"/>
      <c r="AC208" s="616">
        <f t="shared" si="1"/>
        <v>0</v>
      </c>
      <c r="AD208" s="633"/>
      <c r="AE208" s="636"/>
      <c r="AF208" s="636"/>
      <c r="AG208" s="7"/>
      <c r="AH208" s="628">
        <v>280</v>
      </c>
      <c r="AI208" s="7"/>
      <c r="AJ208" s="618">
        <f t="shared" si="11"/>
        <v>280</v>
      </c>
    </row>
    <row r="209" spans="1:36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4"/>
      <c r="H209" s="214"/>
      <c r="I209" s="215"/>
      <c r="J209" s="620"/>
      <c r="K209" s="215"/>
      <c r="L209" s="213"/>
      <c r="M209" s="370"/>
      <c r="N209" s="214"/>
      <c r="O209" s="261"/>
      <c r="P209" s="213"/>
      <c r="Q209" s="213"/>
      <c r="R209" s="213"/>
      <c r="S209" s="213"/>
      <c r="T209" s="221"/>
      <c r="U209" s="213"/>
      <c r="V209" s="215"/>
      <c r="W209" s="214"/>
      <c r="X209" s="630"/>
      <c r="Y209" s="631"/>
      <c r="Z209" s="632"/>
      <c r="AA209" s="632"/>
      <c r="AB209" s="643"/>
      <c r="AC209" s="616">
        <f t="shared" si="1"/>
        <v>0</v>
      </c>
      <c r="AD209" s="633"/>
      <c r="AE209" s="648"/>
      <c r="AF209" s="648"/>
      <c r="AG209" s="7"/>
      <c r="AH209" s="628"/>
      <c r="AI209" s="7"/>
      <c r="AJ209" s="618">
        <f t="shared" si="11"/>
        <v>0</v>
      </c>
    </row>
    <row r="210" spans="1:36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4"/>
      <c r="H210" s="214"/>
      <c r="I210" s="215"/>
      <c r="J210" s="647"/>
      <c r="K210" s="215"/>
      <c r="L210" s="213"/>
      <c r="M210" s="370"/>
      <c r="N210" s="214"/>
      <c r="O210" s="261"/>
      <c r="P210" s="213"/>
      <c r="Q210" s="213"/>
      <c r="R210" s="213"/>
      <c r="S210" s="213"/>
      <c r="T210" s="221"/>
      <c r="U210" s="213"/>
      <c r="V210" s="215"/>
      <c r="W210" s="214"/>
      <c r="X210" s="630"/>
      <c r="Y210" s="631"/>
      <c r="Z210" s="632"/>
      <c r="AA210" s="632"/>
      <c r="AB210" s="643"/>
      <c r="AC210" s="616">
        <f t="shared" si="1"/>
        <v>0</v>
      </c>
      <c r="AD210" s="633"/>
      <c r="AE210" s="648"/>
      <c r="AF210" s="648"/>
      <c r="AG210" s="7"/>
      <c r="AH210" s="628">
        <v>1</v>
      </c>
      <c r="AI210" s="7"/>
      <c r="AJ210" s="618">
        <f t="shared" si="11"/>
        <v>1</v>
      </c>
    </row>
    <row r="211" spans="1:36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4"/>
      <c r="H211" s="214"/>
      <c r="I211" s="215"/>
      <c r="J211" s="647"/>
      <c r="K211" s="215"/>
      <c r="L211" s="213"/>
      <c r="M211" s="370"/>
      <c r="N211" s="214"/>
      <c r="O211" s="261"/>
      <c r="P211" s="213"/>
      <c r="Q211" s="213"/>
      <c r="R211" s="213"/>
      <c r="S211" s="213"/>
      <c r="T211" s="221"/>
      <c r="U211" s="213"/>
      <c r="V211" s="215"/>
      <c r="W211" s="214"/>
      <c r="X211" s="630"/>
      <c r="Y211" s="631"/>
      <c r="Z211" s="632"/>
      <c r="AA211" s="632"/>
      <c r="AB211" s="643"/>
      <c r="AC211" s="616">
        <f t="shared" si="1"/>
        <v>0</v>
      </c>
      <c r="AD211" s="633"/>
      <c r="AE211" s="636"/>
      <c r="AF211" s="636"/>
      <c r="AG211" s="7"/>
      <c r="AH211" s="628"/>
      <c r="AI211" s="7"/>
      <c r="AJ211" s="618">
        <f t="shared" si="11"/>
        <v>0</v>
      </c>
    </row>
    <row r="212" spans="1:36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4"/>
      <c r="H212" s="214"/>
      <c r="I212" s="215"/>
      <c r="J212" s="647"/>
      <c r="K212" s="215"/>
      <c r="L212" s="213"/>
      <c r="M212" s="370"/>
      <c r="N212" s="214"/>
      <c r="O212" s="261"/>
      <c r="P212" s="213"/>
      <c r="Q212" s="213"/>
      <c r="R212" s="213"/>
      <c r="S212" s="213"/>
      <c r="T212" s="221"/>
      <c r="U212" s="213"/>
      <c r="V212" s="215"/>
      <c r="W212" s="214"/>
      <c r="X212" s="630"/>
      <c r="Y212" s="631"/>
      <c r="Z212" s="632"/>
      <c r="AA212" s="632"/>
      <c r="AB212" s="643"/>
      <c r="AC212" s="616">
        <f t="shared" si="1"/>
        <v>0</v>
      </c>
      <c r="AD212" s="633"/>
      <c r="AE212" s="636"/>
      <c r="AF212" s="636"/>
      <c r="AG212" s="7"/>
      <c r="AH212" s="628"/>
      <c r="AI212" s="7"/>
      <c r="AJ212" s="618">
        <f t="shared" si="11"/>
        <v>0</v>
      </c>
    </row>
    <row r="213" spans="1:36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4"/>
      <c r="H213" s="214"/>
      <c r="I213" s="215"/>
      <c r="J213" s="620"/>
      <c r="K213" s="215"/>
      <c r="L213" s="213"/>
      <c r="M213" s="370"/>
      <c r="N213" s="214"/>
      <c r="O213" s="261"/>
      <c r="P213" s="213"/>
      <c r="Q213" s="213"/>
      <c r="R213" s="213"/>
      <c r="S213" s="213"/>
      <c r="T213" s="221"/>
      <c r="U213" s="213"/>
      <c r="V213" s="215"/>
      <c r="W213" s="214"/>
      <c r="X213" s="630"/>
      <c r="Y213" s="631"/>
      <c r="Z213" s="632"/>
      <c r="AA213" s="632"/>
      <c r="AB213" s="643"/>
      <c r="AC213" s="616">
        <f t="shared" si="1"/>
        <v>0</v>
      </c>
      <c r="AD213" s="633"/>
      <c r="AE213" s="636"/>
      <c r="AF213" s="636"/>
      <c r="AG213" s="7"/>
      <c r="AH213" s="659"/>
      <c r="AI213" s="7"/>
      <c r="AJ213" s="618">
        <f t="shared" si="11"/>
        <v>0</v>
      </c>
    </row>
    <row r="214" spans="1:36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4"/>
      <c r="H214" s="214"/>
      <c r="I214" s="215"/>
      <c r="J214" s="647"/>
      <c r="K214" s="215"/>
      <c r="L214" s="213"/>
      <c r="M214" s="370"/>
      <c r="N214" s="214"/>
      <c r="O214" s="261"/>
      <c r="P214" s="213"/>
      <c r="Q214" s="213"/>
      <c r="R214" s="213"/>
      <c r="S214" s="213"/>
      <c r="T214" s="221"/>
      <c r="U214" s="213"/>
      <c r="V214" s="215"/>
      <c r="W214" s="214"/>
      <c r="X214" s="630"/>
      <c r="Y214" s="631"/>
      <c r="Z214" s="632"/>
      <c r="AA214" s="632"/>
      <c r="AB214" s="643"/>
      <c r="AC214" s="616">
        <f t="shared" si="1"/>
        <v>0</v>
      </c>
      <c r="AD214" s="633"/>
      <c r="AE214" s="636"/>
      <c r="AF214" s="636"/>
      <c r="AG214" s="7"/>
      <c r="AH214" s="628">
        <v>2</v>
      </c>
      <c r="AI214" s="7"/>
      <c r="AJ214" s="618">
        <f t="shared" si="11"/>
        <v>2</v>
      </c>
    </row>
    <row r="215" spans="1:36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4"/>
      <c r="H215" s="214"/>
      <c r="I215" s="215"/>
      <c r="J215" s="647"/>
      <c r="K215" s="215"/>
      <c r="L215" s="213"/>
      <c r="M215" s="370"/>
      <c r="N215" s="214"/>
      <c r="O215" s="261"/>
      <c r="P215" s="213"/>
      <c r="Q215" s="213"/>
      <c r="R215" s="213"/>
      <c r="S215" s="213"/>
      <c r="T215" s="221"/>
      <c r="U215" s="213"/>
      <c r="V215" s="215"/>
      <c r="W215" s="214"/>
      <c r="X215" s="630"/>
      <c r="Y215" s="631"/>
      <c r="Z215" s="632"/>
      <c r="AA215" s="632"/>
      <c r="AB215" s="643"/>
      <c r="AC215" s="616">
        <f t="shared" si="1"/>
        <v>0</v>
      </c>
      <c r="AD215" s="633"/>
      <c r="AE215" s="636"/>
      <c r="AF215" s="636"/>
      <c r="AG215" s="7"/>
      <c r="AH215" s="628"/>
      <c r="AI215" s="7"/>
      <c r="AJ215" s="618">
        <f t="shared" si="11"/>
        <v>0</v>
      </c>
    </row>
    <row r="216" spans="1:36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4"/>
      <c r="H216" s="214"/>
      <c r="I216" s="215"/>
      <c r="J216" s="647"/>
      <c r="K216" s="215"/>
      <c r="L216" s="213"/>
      <c r="M216" s="370"/>
      <c r="N216" s="214"/>
      <c r="O216" s="261"/>
      <c r="P216" s="213"/>
      <c r="Q216" s="213"/>
      <c r="R216" s="213"/>
      <c r="S216" s="213"/>
      <c r="T216" s="221"/>
      <c r="U216" s="213"/>
      <c r="V216" s="215"/>
      <c r="W216" s="214"/>
      <c r="X216" s="630"/>
      <c r="Y216" s="631"/>
      <c r="Z216" s="632"/>
      <c r="AA216" s="632"/>
      <c r="AB216" s="643"/>
      <c r="AC216" s="616">
        <f t="shared" si="1"/>
        <v>0</v>
      </c>
      <c r="AD216" s="633"/>
      <c r="AE216" s="636"/>
      <c r="AF216" s="636"/>
      <c r="AG216" s="7"/>
      <c r="AH216" s="628"/>
      <c r="AI216" s="7"/>
      <c r="AJ216" s="618">
        <f t="shared" si="11"/>
        <v>0</v>
      </c>
    </row>
    <row r="217" spans="1:36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4"/>
      <c r="H217" s="214"/>
      <c r="I217" s="215"/>
      <c r="J217" s="647"/>
      <c r="K217" s="215"/>
      <c r="L217" s="213"/>
      <c r="M217" s="370"/>
      <c r="N217" s="214"/>
      <c r="O217" s="261"/>
      <c r="P217" s="213"/>
      <c r="Q217" s="213"/>
      <c r="R217" s="213"/>
      <c r="S217" s="213"/>
      <c r="T217" s="221"/>
      <c r="U217" s="213"/>
      <c r="V217" s="215"/>
      <c r="W217" s="214"/>
      <c r="X217" s="630"/>
      <c r="Y217" s="631"/>
      <c r="Z217" s="632"/>
      <c r="AA217" s="632"/>
      <c r="AB217" s="643"/>
      <c r="AC217" s="616">
        <f t="shared" si="1"/>
        <v>0</v>
      </c>
      <c r="AD217" s="633"/>
      <c r="AE217" s="636"/>
      <c r="AF217" s="636"/>
      <c r="AG217" s="7"/>
      <c r="AH217" s="628"/>
      <c r="AI217" s="7"/>
      <c r="AJ217" s="618">
        <f t="shared" si="11"/>
        <v>0</v>
      </c>
    </row>
    <row r="218" spans="1:36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4"/>
      <c r="H218" s="214"/>
      <c r="I218" s="215"/>
      <c r="J218" s="647"/>
      <c r="K218" s="215"/>
      <c r="L218" s="213"/>
      <c r="M218" s="370"/>
      <c r="N218" s="214"/>
      <c r="O218" s="261"/>
      <c r="P218" s="213"/>
      <c r="Q218" s="213"/>
      <c r="R218" s="213"/>
      <c r="S218" s="213"/>
      <c r="T218" s="221"/>
      <c r="U218" s="213"/>
      <c r="V218" s="215"/>
      <c r="W218" s="214"/>
      <c r="X218" s="630"/>
      <c r="Y218" s="631"/>
      <c r="Z218" s="632"/>
      <c r="AA218" s="632"/>
      <c r="AB218" s="643"/>
      <c r="AC218" s="616">
        <f t="shared" si="1"/>
        <v>0</v>
      </c>
      <c r="AD218" s="633"/>
      <c r="AE218" s="636"/>
      <c r="AF218" s="636"/>
      <c r="AG218" s="7"/>
      <c r="AH218" s="628"/>
      <c r="AI218" s="7"/>
      <c r="AJ218" s="618">
        <f t="shared" si="11"/>
        <v>0</v>
      </c>
    </row>
    <row r="219" spans="1:36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4"/>
      <c r="H219" s="214"/>
      <c r="I219" s="215"/>
      <c r="J219" s="647"/>
      <c r="K219" s="215"/>
      <c r="L219" s="213"/>
      <c r="M219" s="370"/>
      <c r="N219" s="214"/>
      <c r="O219" s="261"/>
      <c r="P219" s="213"/>
      <c r="Q219" s="213"/>
      <c r="R219" s="213"/>
      <c r="S219" s="213"/>
      <c r="T219" s="221"/>
      <c r="U219" s="213"/>
      <c r="V219" s="215"/>
      <c r="W219" s="214"/>
      <c r="X219" s="630"/>
      <c r="Y219" s="631"/>
      <c r="Z219" s="632"/>
      <c r="AA219" s="632"/>
      <c r="AB219" s="643"/>
      <c r="AC219" s="616">
        <f t="shared" si="1"/>
        <v>0</v>
      </c>
      <c r="AD219" s="633"/>
      <c r="AE219" s="636"/>
      <c r="AF219" s="636"/>
      <c r="AG219" s="7"/>
      <c r="AH219" s="628">
        <v>16</v>
      </c>
      <c r="AI219" s="7"/>
      <c r="AJ219" s="618">
        <f t="shared" si="11"/>
        <v>16</v>
      </c>
    </row>
    <row r="220" spans="1:36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4"/>
      <c r="H220" s="214"/>
      <c r="I220" s="215"/>
      <c r="J220" s="647"/>
      <c r="K220" s="215"/>
      <c r="L220" s="213"/>
      <c r="M220" s="370"/>
      <c r="N220" s="214"/>
      <c r="O220" s="261"/>
      <c r="P220" s="213"/>
      <c r="Q220" s="213"/>
      <c r="R220" s="213"/>
      <c r="S220" s="213"/>
      <c r="T220" s="221"/>
      <c r="U220" s="213"/>
      <c r="V220" s="215"/>
      <c r="W220" s="214"/>
      <c r="X220" s="630"/>
      <c r="Y220" s="631"/>
      <c r="Z220" s="632"/>
      <c r="AA220" s="632"/>
      <c r="AB220" s="643"/>
      <c r="AC220" s="616">
        <f t="shared" si="1"/>
        <v>0</v>
      </c>
      <c r="AD220" s="633"/>
      <c r="AE220" s="636"/>
      <c r="AF220" s="636"/>
      <c r="AG220" s="7"/>
      <c r="AH220" s="628"/>
      <c r="AI220" s="7"/>
      <c r="AJ220" s="618">
        <f t="shared" si="11"/>
        <v>0</v>
      </c>
    </row>
    <row r="221" spans="1:36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4"/>
      <c r="H221" s="214"/>
      <c r="I221" s="215"/>
      <c r="J221" s="620"/>
      <c r="K221" s="215"/>
      <c r="L221" s="213">
        <v>120</v>
      </c>
      <c r="M221" s="370"/>
      <c r="N221" s="214"/>
      <c r="O221" s="261"/>
      <c r="P221" s="213"/>
      <c r="Q221" s="213"/>
      <c r="R221" s="213"/>
      <c r="S221" s="213"/>
      <c r="T221" s="221"/>
      <c r="U221" s="213"/>
      <c r="V221" s="215"/>
      <c r="W221" s="214"/>
      <c r="X221" s="630"/>
      <c r="Y221" s="631"/>
      <c r="Z221" s="632"/>
      <c r="AA221" s="632"/>
      <c r="AB221" s="643"/>
      <c r="AC221" s="616">
        <f t="shared" si="1"/>
        <v>120</v>
      </c>
      <c r="AD221" s="633"/>
      <c r="AE221" s="634"/>
      <c r="AF221" s="634"/>
      <c r="AG221" s="7"/>
      <c r="AH221" s="628"/>
      <c r="AI221" s="7"/>
      <c r="AJ221" s="618"/>
    </row>
    <row r="222" spans="1:36" ht="20.25" customHeight="1">
      <c r="A222" s="482" t="s">
        <v>1007</v>
      </c>
      <c r="B222" s="483" t="s">
        <v>502</v>
      </c>
      <c r="C222" s="629" t="s">
        <v>503</v>
      </c>
      <c r="D222" s="504" t="s">
        <v>1592</v>
      </c>
      <c r="E222" s="213"/>
      <c r="F222" s="213"/>
      <c r="G222" s="214"/>
      <c r="H222" s="214"/>
      <c r="I222" s="215"/>
      <c r="J222" s="647"/>
      <c r="K222" s="215"/>
      <c r="L222" s="213"/>
      <c r="M222" s="370"/>
      <c r="N222" s="214"/>
      <c r="O222" s="261"/>
      <c r="P222" s="213"/>
      <c r="Q222" s="213"/>
      <c r="R222" s="213"/>
      <c r="S222" s="213"/>
      <c r="T222" s="221"/>
      <c r="U222" s="213"/>
      <c r="V222" s="215"/>
      <c r="W222" s="214"/>
      <c r="X222" s="630"/>
      <c r="Y222" s="631"/>
      <c r="Z222" s="632"/>
      <c r="AA222" s="632"/>
      <c r="AB222" s="643"/>
      <c r="AC222" s="616">
        <f t="shared" si="1"/>
        <v>0</v>
      </c>
      <c r="AD222" s="633"/>
      <c r="AE222" s="634"/>
      <c r="AF222" s="634"/>
      <c r="AG222" s="7"/>
      <c r="AH222" s="628"/>
      <c r="AI222" s="7"/>
      <c r="AJ222" s="618">
        <f t="shared" ref="AJ222:AJ228" si="12">AH222-AC222</f>
        <v>0</v>
      </c>
    </row>
    <row r="223" spans="1:36" ht="20.25" customHeight="1">
      <c r="A223" s="482"/>
      <c r="B223" s="483" t="s">
        <v>506</v>
      </c>
      <c r="C223" s="629" t="s">
        <v>507</v>
      </c>
      <c r="D223" s="485" t="s">
        <v>1593</v>
      </c>
      <c r="E223" s="213"/>
      <c r="F223" s="213"/>
      <c r="G223" s="214"/>
      <c r="H223" s="214"/>
      <c r="I223" s="215"/>
      <c r="J223" s="620"/>
      <c r="K223" s="215"/>
      <c r="L223" s="213"/>
      <c r="M223" s="370"/>
      <c r="N223" s="214"/>
      <c r="O223" s="261"/>
      <c r="P223" s="213"/>
      <c r="Q223" s="213"/>
      <c r="R223" s="213"/>
      <c r="S223" s="213"/>
      <c r="T223" s="221"/>
      <c r="U223" s="213"/>
      <c r="V223" s="215"/>
      <c r="W223" s="214"/>
      <c r="X223" s="630"/>
      <c r="Y223" s="631"/>
      <c r="Z223" s="632"/>
      <c r="AA223" s="632"/>
      <c r="AB223" s="643"/>
      <c r="AC223" s="616">
        <f t="shared" si="1"/>
        <v>0</v>
      </c>
      <c r="AD223" s="633"/>
      <c r="AE223" s="634"/>
      <c r="AF223" s="634"/>
      <c r="AG223" s="7"/>
      <c r="AH223" s="628"/>
      <c r="AI223" s="7"/>
      <c r="AJ223" s="618">
        <f t="shared" si="12"/>
        <v>0</v>
      </c>
    </row>
    <row r="224" spans="1:36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4"/>
      <c r="H224" s="214"/>
      <c r="I224" s="215"/>
      <c r="J224" s="638"/>
      <c r="K224" s="215"/>
      <c r="L224" s="213"/>
      <c r="M224" s="370"/>
      <c r="N224" s="214"/>
      <c r="O224" s="261"/>
      <c r="P224" s="213"/>
      <c r="Q224" s="213"/>
      <c r="R224" s="213"/>
      <c r="S224" s="213"/>
      <c r="T224" s="221"/>
      <c r="U224" s="213"/>
      <c r="V224" s="215"/>
      <c r="W224" s="214"/>
      <c r="X224" s="630"/>
      <c r="Y224" s="631"/>
      <c r="Z224" s="632"/>
      <c r="AA224" s="632"/>
      <c r="AB224" s="643"/>
      <c r="AC224" s="616">
        <f t="shared" si="1"/>
        <v>0</v>
      </c>
      <c r="AD224" s="633"/>
      <c r="AE224" s="636"/>
      <c r="AF224" s="636"/>
      <c r="AG224" s="7"/>
      <c r="AH224" s="628"/>
      <c r="AI224" s="7"/>
      <c r="AJ224" s="618">
        <f t="shared" si="12"/>
        <v>0</v>
      </c>
    </row>
    <row r="225" spans="1:36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4"/>
      <c r="H225" s="214"/>
      <c r="I225" s="215"/>
      <c r="J225" s="638"/>
      <c r="K225" s="215"/>
      <c r="L225" s="213"/>
      <c r="M225" s="370"/>
      <c r="N225" s="214"/>
      <c r="O225" s="261"/>
      <c r="P225" s="213"/>
      <c r="Q225" s="213"/>
      <c r="R225" s="213"/>
      <c r="S225" s="213"/>
      <c r="T225" s="221"/>
      <c r="U225" s="213"/>
      <c r="V225" s="215"/>
      <c r="W225" s="214"/>
      <c r="X225" s="630"/>
      <c r="Y225" s="631"/>
      <c r="Z225" s="632"/>
      <c r="AA225" s="632"/>
      <c r="AB225" s="643"/>
      <c r="AC225" s="616">
        <f t="shared" si="1"/>
        <v>0</v>
      </c>
      <c r="AD225" s="660" t="s">
        <v>1594</v>
      </c>
      <c r="AE225" s="640"/>
      <c r="AF225" s="640"/>
      <c r="AG225" s="7"/>
      <c r="AH225" s="628"/>
      <c r="AI225" s="7"/>
      <c r="AJ225" s="618">
        <f t="shared" si="12"/>
        <v>0</v>
      </c>
    </row>
    <row r="226" spans="1:36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4"/>
      <c r="H226" s="214"/>
      <c r="I226" s="215"/>
      <c r="J226" s="647"/>
      <c r="K226" s="215"/>
      <c r="L226" s="213"/>
      <c r="M226" s="370"/>
      <c r="N226" s="214"/>
      <c r="O226" s="261"/>
      <c r="P226" s="213"/>
      <c r="Q226" s="213"/>
      <c r="R226" s="213"/>
      <c r="S226" s="213"/>
      <c r="T226" s="221"/>
      <c r="U226" s="213"/>
      <c r="V226" s="215"/>
      <c r="W226" s="214"/>
      <c r="X226" s="630"/>
      <c r="Y226" s="631"/>
      <c r="Z226" s="632"/>
      <c r="AA226" s="632"/>
      <c r="AB226" s="643"/>
      <c r="AC226" s="616">
        <f t="shared" si="1"/>
        <v>0</v>
      </c>
      <c r="AD226" s="642">
        <f>AC227+AC237</f>
        <v>3517</v>
      </c>
      <c r="AE226" s="636"/>
      <c r="AF226" s="636"/>
      <c r="AG226" s="7"/>
      <c r="AH226" s="628"/>
      <c r="AI226" s="7"/>
      <c r="AJ226" s="618">
        <f t="shared" si="12"/>
        <v>0</v>
      </c>
    </row>
    <row r="227" spans="1:36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4"/>
      <c r="H227" s="214"/>
      <c r="I227" s="215"/>
      <c r="J227" s="647"/>
      <c r="K227" s="215"/>
      <c r="L227" s="213"/>
      <c r="M227" s="370"/>
      <c r="N227" s="214"/>
      <c r="O227" s="261"/>
      <c r="P227" s="213"/>
      <c r="Q227" s="213"/>
      <c r="R227" s="213"/>
      <c r="S227" s="213"/>
      <c r="T227" s="221"/>
      <c r="U227" s="213"/>
      <c r="V227" s="215"/>
      <c r="W227" s="214"/>
      <c r="X227" s="630"/>
      <c r="Y227" s="631"/>
      <c r="Z227" s="632"/>
      <c r="AA227" s="632"/>
      <c r="AB227" s="643"/>
      <c r="AC227" s="616">
        <f t="shared" si="1"/>
        <v>0</v>
      </c>
      <c r="AD227" s="648"/>
      <c r="AE227" s="648"/>
      <c r="AF227" s="648"/>
      <c r="AG227" s="7"/>
      <c r="AH227" s="628">
        <v>35</v>
      </c>
      <c r="AI227" s="7"/>
      <c r="AJ227" s="618">
        <f t="shared" si="12"/>
        <v>35</v>
      </c>
    </row>
    <row r="228" spans="1:36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4"/>
      <c r="H228" s="214"/>
      <c r="I228" s="215"/>
      <c r="J228" s="647"/>
      <c r="K228" s="215"/>
      <c r="L228" s="213"/>
      <c r="M228" s="370"/>
      <c r="N228" s="214"/>
      <c r="O228" s="261"/>
      <c r="P228" s="213"/>
      <c r="Q228" s="213"/>
      <c r="R228" s="213"/>
      <c r="S228" s="213"/>
      <c r="T228" s="221"/>
      <c r="U228" s="213"/>
      <c r="V228" s="215"/>
      <c r="W228" s="214"/>
      <c r="X228" s="630"/>
      <c r="Y228" s="631"/>
      <c r="Z228" s="632"/>
      <c r="AA228" s="632"/>
      <c r="AB228" s="643"/>
      <c r="AC228" s="616">
        <f t="shared" si="1"/>
        <v>0</v>
      </c>
      <c r="AD228" s="661" t="s">
        <v>1595</v>
      </c>
      <c r="AE228" s="648"/>
      <c r="AF228" s="648"/>
      <c r="AG228" s="7"/>
      <c r="AH228" s="628"/>
      <c r="AI228" s="7"/>
      <c r="AJ228" s="618">
        <f t="shared" si="12"/>
        <v>0</v>
      </c>
    </row>
    <row r="229" spans="1:36" ht="19.5" customHeight="1">
      <c r="A229" s="503"/>
      <c r="B229" s="483" t="s">
        <v>523</v>
      </c>
      <c r="C229" s="629" t="s">
        <v>524</v>
      </c>
      <c r="D229" s="504" t="s">
        <v>1596</v>
      </c>
      <c r="E229" s="213"/>
      <c r="F229" s="213"/>
      <c r="G229" s="214"/>
      <c r="H229" s="214"/>
      <c r="I229" s="215"/>
      <c r="J229" s="647"/>
      <c r="K229" s="215"/>
      <c r="L229" s="213">
        <v>270</v>
      </c>
      <c r="M229" s="370"/>
      <c r="N229" s="214"/>
      <c r="O229" s="261"/>
      <c r="P229" s="213"/>
      <c r="Q229" s="213"/>
      <c r="R229" s="213"/>
      <c r="S229" s="213"/>
      <c r="T229" s="221"/>
      <c r="U229" s="213"/>
      <c r="V229" s="215"/>
      <c r="W229" s="214"/>
      <c r="X229" s="630"/>
      <c r="Y229" s="631"/>
      <c r="Z229" s="632"/>
      <c r="AA229" s="632"/>
      <c r="AB229" s="643"/>
      <c r="AC229" s="616">
        <f t="shared" si="1"/>
        <v>270</v>
      </c>
      <c r="AD229" s="642">
        <f>AC229+AC230+AC239+AC240</f>
        <v>52218</v>
      </c>
      <c r="AE229" s="648"/>
      <c r="AF229" s="648"/>
      <c r="AG229" s="7"/>
      <c r="AH229" s="628">
        <v>232</v>
      </c>
      <c r="AI229" s="7"/>
      <c r="AJ229" s="618"/>
    </row>
    <row r="230" spans="1:36" ht="20.25" customHeight="1">
      <c r="A230" s="503"/>
      <c r="B230" s="483" t="s">
        <v>526</v>
      </c>
      <c r="C230" s="629" t="s">
        <v>527</v>
      </c>
      <c r="D230" s="504" t="s">
        <v>1597</v>
      </c>
      <c r="E230" s="213"/>
      <c r="F230" s="213"/>
      <c r="G230" s="214"/>
      <c r="H230" s="214"/>
      <c r="I230" s="215"/>
      <c r="J230" s="647"/>
      <c r="K230" s="215"/>
      <c r="L230" s="213"/>
      <c r="M230" s="370"/>
      <c r="N230" s="214"/>
      <c r="O230" s="261"/>
      <c r="P230" s="213"/>
      <c r="Q230" s="213"/>
      <c r="R230" s="213"/>
      <c r="S230" s="213"/>
      <c r="T230" s="221"/>
      <c r="U230" s="213"/>
      <c r="V230" s="215"/>
      <c r="W230" s="214"/>
      <c r="X230" s="630"/>
      <c r="Y230" s="631"/>
      <c r="Z230" s="632"/>
      <c r="AA230" s="632"/>
      <c r="AB230" s="643"/>
      <c r="AC230" s="616">
        <f t="shared" si="1"/>
        <v>0</v>
      </c>
      <c r="AD230" s="633"/>
      <c r="AE230" s="648"/>
      <c r="AF230" s="648"/>
      <c r="AG230" s="7"/>
      <c r="AH230" s="628"/>
      <c r="AI230" s="7"/>
      <c r="AJ230" s="618">
        <f t="shared" ref="AJ230:AJ232" si="13">AH230-AC230</f>
        <v>0</v>
      </c>
    </row>
    <row r="231" spans="1:36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4"/>
      <c r="H231" s="214"/>
      <c r="I231" s="215"/>
      <c r="J231" s="647"/>
      <c r="K231" s="215"/>
      <c r="L231" s="213"/>
      <c r="M231" s="370"/>
      <c r="N231" s="214"/>
      <c r="O231" s="261"/>
      <c r="P231" s="213"/>
      <c r="Q231" s="213"/>
      <c r="R231" s="213"/>
      <c r="S231" s="213"/>
      <c r="T231" s="221"/>
      <c r="U231" s="213"/>
      <c r="V231" s="215"/>
      <c r="W231" s="214"/>
      <c r="X231" s="630"/>
      <c r="Y231" s="631"/>
      <c r="Z231" s="632"/>
      <c r="AA231" s="632"/>
      <c r="AB231" s="643"/>
      <c r="AC231" s="616">
        <f t="shared" si="1"/>
        <v>0</v>
      </c>
      <c r="AD231" s="633"/>
      <c r="AE231" s="648"/>
      <c r="AF231" s="648"/>
      <c r="AG231" s="7"/>
      <c r="AH231" s="628">
        <v>2</v>
      </c>
      <c r="AI231" s="7"/>
      <c r="AJ231" s="618">
        <f t="shared" si="13"/>
        <v>2</v>
      </c>
    </row>
    <row r="232" spans="1:36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4"/>
      <c r="H232" s="214"/>
      <c r="I232" s="215"/>
      <c r="J232" s="647"/>
      <c r="K232" s="215"/>
      <c r="L232" s="213"/>
      <c r="M232" s="370"/>
      <c r="N232" s="214"/>
      <c r="O232" s="261"/>
      <c r="P232" s="213"/>
      <c r="Q232" s="213"/>
      <c r="R232" s="213"/>
      <c r="S232" s="213"/>
      <c r="T232" s="221"/>
      <c r="U232" s="213"/>
      <c r="V232" s="215"/>
      <c r="W232" s="214"/>
      <c r="X232" s="630"/>
      <c r="Y232" s="631"/>
      <c r="Z232" s="632"/>
      <c r="AA232" s="632"/>
      <c r="AB232" s="643"/>
      <c r="AC232" s="616">
        <f t="shared" si="1"/>
        <v>0</v>
      </c>
      <c r="AD232" s="633"/>
      <c r="AE232" s="648"/>
      <c r="AF232" s="648"/>
      <c r="AG232" s="7"/>
      <c r="AH232" s="628"/>
      <c r="AI232" s="7"/>
      <c r="AJ232" s="618">
        <f t="shared" si="13"/>
        <v>0</v>
      </c>
    </row>
    <row r="233" spans="1:36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4"/>
      <c r="H233" s="214"/>
      <c r="I233" s="215"/>
      <c r="J233" s="647"/>
      <c r="K233" s="215"/>
      <c r="L233" s="213">
        <v>14</v>
      </c>
      <c r="M233" s="370"/>
      <c r="N233" s="214"/>
      <c r="O233" s="261"/>
      <c r="P233" s="213"/>
      <c r="Q233" s="213"/>
      <c r="R233" s="213"/>
      <c r="S233" s="213"/>
      <c r="T233" s="221"/>
      <c r="U233" s="213"/>
      <c r="V233" s="215"/>
      <c r="W233" s="214"/>
      <c r="X233" s="630"/>
      <c r="Y233" s="631"/>
      <c r="Z233" s="632"/>
      <c r="AA233" s="632"/>
      <c r="AB233" s="643"/>
      <c r="AC233" s="616">
        <f t="shared" si="1"/>
        <v>14</v>
      </c>
      <c r="AD233" s="633"/>
      <c r="AE233" s="648"/>
      <c r="AF233" s="648"/>
      <c r="AG233" s="7"/>
      <c r="AH233" s="628">
        <v>3</v>
      </c>
      <c r="AI233" s="7"/>
      <c r="AJ233" s="618"/>
    </row>
    <row r="234" spans="1:36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4"/>
      <c r="H234" s="214"/>
      <c r="I234" s="215"/>
      <c r="J234" s="662"/>
      <c r="K234" s="215"/>
      <c r="L234" s="213"/>
      <c r="M234" s="370"/>
      <c r="N234" s="214"/>
      <c r="O234" s="261"/>
      <c r="P234" s="213"/>
      <c r="Q234" s="213"/>
      <c r="R234" s="213"/>
      <c r="S234" s="213"/>
      <c r="T234" s="221"/>
      <c r="U234" s="213"/>
      <c r="V234" s="215"/>
      <c r="W234" s="214"/>
      <c r="X234" s="630"/>
      <c r="Y234" s="631"/>
      <c r="Z234" s="632"/>
      <c r="AA234" s="632"/>
      <c r="AB234" s="643"/>
      <c r="AC234" s="616">
        <f t="shared" si="1"/>
        <v>0</v>
      </c>
      <c r="AD234" s="633"/>
      <c r="AE234" s="648"/>
      <c r="AF234" s="648"/>
      <c r="AG234" s="7"/>
      <c r="AH234" s="628"/>
      <c r="AI234" s="7"/>
      <c r="AJ234" s="618">
        <f t="shared" ref="AJ234:AJ239" si="14">AH234-AC234</f>
        <v>0</v>
      </c>
    </row>
    <row r="235" spans="1:36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4"/>
      <c r="H235" s="214"/>
      <c r="I235" s="215"/>
      <c r="J235" s="647"/>
      <c r="K235" s="215"/>
      <c r="L235" s="213"/>
      <c r="M235" s="370"/>
      <c r="N235" s="214"/>
      <c r="O235" s="261"/>
      <c r="P235" s="213"/>
      <c r="Q235" s="213"/>
      <c r="R235" s="213"/>
      <c r="S235" s="213"/>
      <c r="T235" s="221"/>
      <c r="U235" s="213"/>
      <c r="V235" s="215"/>
      <c r="W235" s="214"/>
      <c r="X235" s="630"/>
      <c r="Y235" s="631"/>
      <c r="Z235" s="632"/>
      <c r="AA235" s="632"/>
      <c r="AB235" s="643"/>
      <c r="AC235" s="616">
        <f t="shared" si="1"/>
        <v>0</v>
      </c>
      <c r="AD235" s="633"/>
      <c r="AE235" s="648"/>
      <c r="AF235" s="648"/>
      <c r="AG235" s="7"/>
      <c r="AH235" s="628"/>
      <c r="AI235" s="7"/>
      <c r="AJ235" s="618">
        <f t="shared" si="14"/>
        <v>0</v>
      </c>
    </row>
    <row r="236" spans="1:36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4"/>
      <c r="H236" s="214"/>
      <c r="I236" s="215"/>
      <c r="J236" s="647"/>
      <c r="K236" s="215"/>
      <c r="L236" s="213"/>
      <c r="M236" s="370"/>
      <c r="N236" s="214"/>
      <c r="O236" s="261"/>
      <c r="P236" s="213"/>
      <c r="Q236" s="213"/>
      <c r="R236" s="213"/>
      <c r="S236" s="213"/>
      <c r="T236" s="221"/>
      <c r="U236" s="213"/>
      <c r="V236" s="215"/>
      <c r="W236" s="214"/>
      <c r="X236" s="630"/>
      <c r="Y236" s="631"/>
      <c r="Z236" s="632"/>
      <c r="AA236" s="632"/>
      <c r="AB236" s="643"/>
      <c r="AC236" s="616">
        <f t="shared" si="1"/>
        <v>0</v>
      </c>
      <c r="AD236" s="633"/>
      <c r="AE236" s="636"/>
      <c r="AF236" s="636"/>
      <c r="AG236" s="7"/>
      <c r="AH236" s="628"/>
      <c r="AI236" s="7"/>
      <c r="AJ236" s="618">
        <f t="shared" si="14"/>
        <v>0</v>
      </c>
    </row>
    <row r="237" spans="1:36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214"/>
      <c r="H237" s="214"/>
      <c r="I237" s="215"/>
      <c r="J237" s="647"/>
      <c r="K237" s="215"/>
      <c r="L237" s="213">
        <f>10+30</f>
        <v>40</v>
      </c>
      <c r="M237" s="370">
        <f>10+15+7</f>
        <v>32</v>
      </c>
      <c r="N237" s="214"/>
      <c r="O237" s="261">
        <f>2925+520</f>
        <v>3445</v>
      </c>
      <c r="P237" s="213"/>
      <c r="Q237" s="213"/>
      <c r="R237" s="213"/>
      <c r="S237" s="213"/>
      <c r="T237" s="221"/>
      <c r="U237" s="213"/>
      <c r="V237" s="215"/>
      <c r="W237" s="214"/>
      <c r="X237" s="630"/>
      <c r="Y237" s="631"/>
      <c r="Z237" s="632"/>
      <c r="AA237" s="632"/>
      <c r="AB237" s="643"/>
      <c r="AC237" s="616">
        <f t="shared" si="1"/>
        <v>3517</v>
      </c>
      <c r="AD237" s="633"/>
      <c r="AE237" s="648"/>
      <c r="AF237" s="648"/>
      <c r="AG237" s="7"/>
      <c r="AH237" s="628">
        <v>5717</v>
      </c>
      <c r="AI237" s="7"/>
      <c r="AJ237" s="618">
        <f t="shared" si="14"/>
        <v>2200</v>
      </c>
    </row>
    <row r="238" spans="1:36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4"/>
      <c r="H238" s="214"/>
      <c r="I238" s="215"/>
      <c r="J238" s="647"/>
      <c r="K238" s="215"/>
      <c r="L238" s="213"/>
      <c r="M238" s="370"/>
      <c r="N238" s="214"/>
      <c r="O238" s="261"/>
      <c r="P238" s="213"/>
      <c r="Q238" s="213"/>
      <c r="R238" s="213"/>
      <c r="S238" s="213"/>
      <c r="T238" s="221"/>
      <c r="U238" s="213"/>
      <c r="V238" s="215"/>
      <c r="W238" s="214"/>
      <c r="X238" s="630"/>
      <c r="Y238" s="631"/>
      <c r="Z238" s="632"/>
      <c r="AA238" s="632"/>
      <c r="AB238" s="643"/>
      <c r="AC238" s="616">
        <f t="shared" si="1"/>
        <v>0</v>
      </c>
      <c r="AD238" s="633"/>
      <c r="AE238" s="648"/>
      <c r="AF238" s="648"/>
      <c r="AG238" s="7"/>
      <c r="AH238" s="628">
        <v>1200</v>
      </c>
      <c r="AI238" s="7"/>
      <c r="AJ238" s="618">
        <f t="shared" si="14"/>
        <v>1200</v>
      </c>
    </row>
    <row r="239" spans="1:36" ht="20.25" customHeight="1">
      <c r="A239" s="503"/>
      <c r="B239" s="483" t="s">
        <v>551</v>
      </c>
      <c r="C239" s="629" t="s">
        <v>524</v>
      </c>
      <c r="D239" s="504" t="s">
        <v>1598</v>
      </c>
      <c r="E239" s="213"/>
      <c r="F239" s="213"/>
      <c r="G239" s="214">
        <v>40</v>
      </c>
      <c r="H239" s="214"/>
      <c r="I239" s="215">
        <v>2500</v>
      </c>
      <c r="J239" s="647"/>
      <c r="K239" s="215"/>
      <c r="L239" s="213">
        <f>14801+1000+100+1000+78+400+2200+229+50</f>
        <v>19858</v>
      </c>
      <c r="M239" s="370">
        <v>3000</v>
      </c>
      <c r="N239" s="214"/>
      <c r="O239" s="261">
        <f>1350+4300</f>
        <v>5650</v>
      </c>
      <c r="P239" s="213"/>
      <c r="Q239" s="213"/>
      <c r="R239" s="213"/>
      <c r="S239" s="213"/>
      <c r="T239" s="221"/>
      <c r="U239" s="213"/>
      <c r="V239" s="215"/>
      <c r="W239" s="214"/>
      <c r="X239" s="630"/>
      <c r="Y239" s="631"/>
      <c r="Z239" s="632"/>
      <c r="AA239" s="632"/>
      <c r="AB239" s="643"/>
      <c r="AC239" s="616">
        <f t="shared" si="1"/>
        <v>31048</v>
      </c>
      <c r="AD239" s="633"/>
      <c r="AE239" s="648"/>
      <c r="AF239" s="648"/>
      <c r="AG239" s="7"/>
      <c r="AH239" s="628">
        <v>49216.5</v>
      </c>
      <c r="AI239" s="7"/>
      <c r="AJ239" s="618">
        <f t="shared" si="14"/>
        <v>18168.5</v>
      </c>
    </row>
    <row r="240" spans="1:36" ht="20.25" customHeight="1">
      <c r="A240" s="503"/>
      <c r="B240" s="483" t="s">
        <v>553</v>
      </c>
      <c r="C240" s="629" t="s">
        <v>527</v>
      </c>
      <c r="D240" s="504" t="s">
        <v>1599</v>
      </c>
      <c r="E240" s="213"/>
      <c r="F240" s="213"/>
      <c r="G240" s="214"/>
      <c r="H240" s="214"/>
      <c r="I240" s="215"/>
      <c r="J240" s="647"/>
      <c r="K240" s="215"/>
      <c r="L240" s="213"/>
      <c r="M240" s="370"/>
      <c r="N240" s="214">
        <v>20900</v>
      </c>
      <c r="O240" s="261"/>
      <c r="P240" s="213"/>
      <c r="Q240" s="213"/>
      <c r="R240" s="213"/>
      <c r="S240" s="213"/>
      <c r="T240" s="221"/>
      <c r="U240" s="213"/>
      <c r="V240" s="215"/>
      <c r="W240" s="214"/>
      <c r="X240" s="630"/>
      <c r="Y240" s="631"/>
      <c r="Z240" s="632"/>
      <c r="AA240" s="632"/>
      <c r="AB240" s="643"/>
      <c r="AC240" s="616">
        <f t="shared" si="1"/>
        <v>20900</v>
      </c>
      <c r="AD240" s="633"/>
      <c r="AE240" s="648"/>
      <c r="AF240" s="648"/>
      <c r="AG240" s="7"/>
      <c r="AH240" s="628">
        <v>166</v>
      </c>
      <c r="AI240" s="7"/>
      <c r="AJ240" s="618"/>
    </row>
    <row r="241" spans="1:36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4"/>
      <c r="H241" s="214"/>
      <c r="I241" s="215"/>
      <c r="J241" s="647"/>
      <c r="K241" s="215"/>
      <c r="L241" s="213">
        <v>1</v>
      </c>
      <c r="M241" s="370"/>
      <c r="N241" s="214"/>
      <c r="O241" s="261"/>
      <c r="P241" s="213"/>
      <c r="Q241" s="213"/>
      <c r="R241" s="213"/>
      <c r="S241" s="213"/>
      <c r="T241" s="221"/>
      <c r="U241" s="213"/>
      <c r="V241" s="215"/>
      <c r="W241" s="214"/>
      <c r="X241" s="630"/>
      <c r="Y241" s="631"/>
      <c r="Z241" s="632"/>
      <c r="AA241" s="632"/>
      <c r="AB241" s="643"/>
      <c r="AC241" s="616">
        <f t="shared" si="1"/>
        <v>1</v>
      </c>
      <c r="AD241" s="633"/>
      <c r="AE241" s="648"/>
      <c r="AF241" s="648"/>
      <c r="AG241" s="7"/>
      <c r="AH241" s="628">
        <v>6</v>
      </c>
      <c r="AI241" s="7"/>
      <c r="AJ241" s="618">
        <f t="shared" ref="AJ241:AJ242" si="15">AH241-AC241</f>
        <v>5</v>
      </c>
    </row>
    <row r="242" spans="1:36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4"/>
      <c r="H242" s="214"/>
      <c r="I242" s="215"/>
      <c r="J242" s="647"/>
      <c r="K242" s="215"/>
      <c r="L242" s="213"/>
      <c r="M242" s="370">
        <v>1</v>
      </c>
      <c r="N242" s="214"/>
      <c r="O242" s="261"/>
      <c r="P242" s="213"/>
      <c r="Q242" s="213"/>
      <c r="R242" s="213"/>
      <c r="S242" s="213"/>
      <c r="T242" s="221"/>
      <c r="U242" s="213"/>
      <c r="V242" s="215"/>
      <c r="W242" s="214"/>
      <c r="X242" s="630"/>
      <c r="Y242" s="631"/>
      <c r="Z242" s="632"/>
      <c r="AA242" s="632"/>
      <c r="AB242" s="643"/>
      <c r="AC242" s="616">
        <f t="shared" si="1"/>
        <v>1</v>
      </c>
      <c r="AD242" s="633"/>
      <c r="AE242" s="648"/>
      <c r="AF242" s="648"/>
      <c r="AG242" s="7"/>
      <c r="AH242" s="628">
        <v>4</v>
      </c>
      <c r="AI242" s="7"/>
      <c r="AJ242" s="618">
        <f t="shared" si="15"/>
        <v>3</v>
      </c>
    </row>
    <row r="243" spans="1:36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4"/>
      <c r="H243" s="214"/>
      <c r="I243" s="215">
        <v>15</v>
      </c>
      <c r="J243" s="647"/>
      <c r="K243" s="215"/>
      <c r="L243" s="213">
        <f>46+2+1+16+4+25+1+3+2+7+10</f>
        <v>117</v>
      </c>
      <c r="M243" s="370">
        <v>19</v>
      </c>
      <c r="N243" s="214">
        <v>40</v>
      </c>
      <c r="O243" s="261">
        <f>15+5+14</f>
        <v>34</v>
      </c>
      <c r="P243" s="213"/>
      <c r="Q243" s="213"/>
      <c r="R243" s="213"/>
      <c r="S243" s="213"/>
      <c r="T243" s="221"/>
      <c r="U243" s="213"/>
      <c r="V243" s="215"/>
      <c r="W243" s="214"/>
      <c r="X243" s="630"/>
      <c r="Y243" s="631"/>
      <c r="Z243" s="632"/>
      <c r="AA243" s="632"/>
      <c r="AB243" s="643"/>
      <c r="AC243" s="616">
        <f t="shared" si="1"/>
        <v>225</v>
      </c>
      <c r="AD243" s="633"/>
      <c r="AE243" s="648"/>
      <c r="AF243" s="648"/>
      <c r="AG243" s="7"/>
      <c r="AH243" s="628">
        <v>48</v>
      </c>
      <c r="AI243" s="7"/>
      <c r="AJ243" s="618"/>
    </row>
    <row r="244" spans="1:36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4"/>
      <c r="H244" s="214"/>
      <c r="I244" s="215"/>
      <c r="J244" s="662"/>
      <c r="K244" s="215"/>
      <c r="L244" s="213"/>
      <c r="M244" s="370"/>
      <c r="N244" s="214"/>
      <c r="O244" s="261"/>
      <c r="P244" s="213"/>
      <c r="Q244" s="213"/>
      <c r="R244" s="213"/>
      <c r="S244" s="213"/>
      <c r="T244" s="221"/>
      <c r="U244" s="213"/>
      <c r="V244" s="215"/>
      <c r="W244" s="214"/>
      <c r="X244" s="630"/>
      <c r="Y244" s="631"/>
      <c r="Z244" s="632"/>
      <c r="AA244" s="632"/>
      <c r="AB244" s="643"/>
      <c r="AC244" s="616">
        <f t="shared" si="1"/>
        <v>0</v>
      </c>
      <c r="AD244" s="633"/>
      <c r="AE244" s="648"/>
      <c r="AF244" s="648"/>
      <c r="AG244" s="7"/>
      <c r="AH244" s="628"/>
      <c r="AI244" s="7"/>
      <c r="AJ244" s="618">
        <f t="shared" ref="AJ244:AJ282" si="16">AH244-AC244</f>
        <v>0</v>
      </c>
    </row>
    <row r="245" spans="1:36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4"/>
      <c r="H245" s="214"/>
      <c r="I245" s="215"/>
      <c r="J245" s="647"/>
      <c r="K245" s="215"/>
      <c r="L245" s="213"/>
      <c r="M245" s="370"/>
      <c r="N245" s="214"/>
      <c r="O245" s="261"/>
      <c r="P245" s="213"/>
      <c r="Q245" s="213"/>
      <c r="R245" s="213"/>
      <c r="S245" s="213"/>
      <c r="T245" s="221"/>
      <c r="U245" s="213"/>
      <c r="V245" s="215"/>
      <c r="W245" s="214"/>
      <c r="X245" s="630"/>
      <c r="Y245" s="631"/>
      <c r="Z245" s="632"/>
      <c r="AA245" s="632"/>
      <c r="AB245" s="643"/>
      <c r="AC245" s="616">
        <f t="shared" si="1"/>
        <v>0</v>
      </c>
      <c r="AD245" s="633"/>
      <c r="AE245" s="648"/>
      <c r="AF245" s="648"/>
      <c r="AG245" s="7"/>
      <c r="AH245" s="628"/>
      <c r="AI245" s="7"/>
      <c r="AJ245" s="618">
        <f t="shared" si="16"/>
        <v>0</v>
      </c>
    </row>
    <row r="246" spans="1:36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4"/>
      <c r="H246" s="214"/>
      <c r="I246" s="215"/>
      <c r="J246" s="620"/>
      <c r="K246" s="215"/>
      <c r="L246" s="213"/>
      <c r="M246" s="370"/>
      <c r="N246" s="214"/>
      <c r="O246" s="261"/>
      <c r="P246" s="213"/>
      <c r="Q246" s="213"/>
      <c r="R246" s="213"/>
      <c r="S246" s="213"/>
      <c r="T246" s="221"/>
      <c r="U246" s="213"/>
      <c r="V246" s="215"/>
      <c r="W246" s="214"/>
      <c r="X246" s="630"/>
      <c r="Y246" s="631"/>
      <c r="Z246" s="632"/>
      <c r="AA246" s="632"/>
      <c r="AB246" s="643"/>
      <c r="AC246" s="616">
        <f t="shared" si="1"/>
        <v>0</v>
      </c>
      <c r="AD246" s="633"/>
      <c r="AE246" s="636"/>
      <c r="AF246" s="636"/>
      <c r="AG246" s="7"/>
      <c r="AH246" s="628"/>
      <c r="AI246" s="7"/>
      <c r="AJ246" s="618">
        <f t="shared" si="16"/>
        <v>0</v>
      </c>
    </row>
    <row r="247" spans="1:36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4"/>
      <c r="H247" s="214"/>
      <c r="I247" s="215"/>
      <c r="J247" s="620"/>
      <c r="K247" s="215"/>
      <c r="L247" s="213"/>
      <c r="M247" s="370"/>
      <c r="N247" s="214"/>
      <c r="O247" s="261"/>
      <c r="P247" s="213"/>
      <c r="Q247" s="213"/>
      <c r="R247" s="213"/>
      <c r="S247" s="213"/>
      <c r="T247" s="221"/>
      <c r="U247" s="213"/>
      <c r="V247" s="215"/>
      <c r="W247" s="214"/>
      <c r="X247" s="630"/>
      <c r="Y247" s="631"/>
      <c r="Z247" s="632"/>
      <c r="AA247" s="632"/>
      <c r="AB247" s="643"/>
      <c r="AC247" s="616">
        <f t="shared" si="1"/>
        <v>0</v>
      </c>
      <c r="AD247" s="633"/>
      <c r="AE247" s="636"/>
      <c r="AF247" s="636"/>
      <c r="AG247" s="7"/>
      <c r="AH247" s="628"/>
      <c r="AI247" s="7"/>
      <c r="AJ247" s="618">
        <f t="shared" si="16"/>
        <v>0</v>
      </c>
    </row>
    <row r="248" spans="1:36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4"/>
      <c r="H248" s="214"/>
      <c r="I248" s="215"/>
      <c r="J248" s="620"/>
      <c r="K248" s="215"/>
      <c r="L248" s="213"/>
      <c r="M248" s="370"/>
      <c r="N248" s="214"/>
      <c r="O248" s="261"/>
      <c r="P248" s="213"/>
      <c r="Q248" s="213"/>
      <c r="R248" s="213"/>
      <c r="S248" s="213"/>
      <c r="T248" s="221"/>
      <c r="U248" s="213"/>
      <c r="V248" s="215"/>
      <c r="W248" s="214"/>
      <c r="X248" s="630"/>
      <c r="Y248" s="631"/>
      <c r="Z248" s="632"/>
      <c r="AA248" s="632"/>
      <c r="AB248" s="643"/>
      <c r="AC248" s="616">
        <f t="shared" si="1"/>
        <v>0</v>
      </c>
      <c r="AD248" s="633"/>
      <c r="AE248" s="636"/>
      <c r="AF248" s="636"/>
      <c r="AG248" s="7"/>
      <c r="AH248" s="628"/>
      <c r="AI248" s="7"/>
      <c r="AJ248" s="618">
        <f t="shared" si="16"/>
        <v>0</v>
      </c>
    </row>
    <row r="249" spans="1:36" ht="20.25" customHeight="1">
      <c r="A249" s="503" t="s">
        <v>1020</v>
      </c>
      <c r="B249" s="483" t="s">
        <v>566</v>
      </c>
      <c r="C249" s="629" t="s">
        <v>567</v>
      </c>
      <c r="D249" s="485" t="s">
        <v>1600</v>
      </c>
      <c r="E249" s="213"/>
      <c r="F249" s="213"/>
      <c r="G249" s="214"/>
      <c r="H249" s="214"/>
      <c r="I249" s="215"/>
      <c r="J249" s="620"/>
      <c r="K249" s="215"/>
      <c r="L249" s="213"/>
      <c r="M249" s="370"/>
      <c r="N249" s="214"/>
      <c r="O249" s="261"/>
      <c r="P249" s="213"/>
      <c r="Q249" s="213"/>
      <c r="R249" s="213"/>
      <c r="S249" s="213"/>
      <c r="T249" s="221"/>
      <c r="U249" s="213"/>
      <c r="V249" s="215"/>
      <c r="W249" s="214"/>
      <c r="X249" s="630"/>
      <c r="Y249" s="631"/>
      <c r="Z249" s="632"/>
      <c r="AA249" s="632"/>
      <c r="AB249" s="643"/>
      <c r="AC249" s="616">
        <f t="shared" si="1"/>
        <v>0</v>
      </c>
      <c r="AD249" s="633"/>
      <c r="AE249" s="636"/>
      <c r="AF249" s="636"/>
      <c r="AG249" s="7"/>
      <c r="AH249" s="628"/>
      <c r="AI249" s="7"/>
      <c r="AJ249" s="618">
        <f t="shared" si="16"/>
        <v>0</v>
      </c>
    </row>
    <row r="250" spans="1:36" ht="20.25" customHeight="1">
      <c r="A250" s="503" t="s">
        <v>1022</v>
      </c>
      <c r="B250" s="483" t="s">
        <v>569</v>
      </c>
      <c r="C250" s="629" t="s">
        <v>570</v>
      </c>
      <c r="D250" s="485" t="s">
        <v>1601</v>
      </c>
      <c r="E250" s="213"/>
      <c r="F250" s="213"/>
      <c r="G250" s="214"/>
      <c r="H250" s="214"/>
      <c r="I250" s="215"/>
      <c r="J250" s="620"/>
      <c r="K250" s="215"/>
      <c r="L250" s="213"/>
      <c r="M250" s="370"/>
      <c r="N250" s="214"/>
      <c r="O250" s="261"/>
      <c r="P250" s="213"/>
      <c r="Q250" s="213"/>
      <c r="R250" s="213"/>
      <c r="S250" s="213"/>
      <c r="T250" s="221"/>
      <c r="U250" s="213"/>
      <c r="V250" s="215"/>
      <c r="W250" s="214"/>
      <c r="X250" s="630"/>
      <c r="Y250" s="631"/>
      <c r="Z250" s="632"/>
      <c r="AA250" s="632"/>
      <c r="AB250" s="643"/>
      <c r="AC250" s="616">
        <f t="shared" si="1"/>
        <v>0</v>
      </c>
      <c r="AD250" s="633"/>
      <c r="AE250" s="636"/>
      <c r="AF250" s="636"/>
      <c r="AG250" s="7"/>
      <c r="AH250" s="628"/>
      <c r="AI250" s="7"/>
      <c r="AJ250" s="618">
        <f t="shared" si="16"/>
        <v>0</v>
      </c>
    </row>
    <row r="251" spans="1:36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4"/>
      <c r="H251" s="214"/>
      <c r="I251" s="215"/>
      <c r="J251" s="647"/>
      <c r="K251" s="215"/>
      <c r="L251" s="213"/>
      <c r="M251" s="370"/>
      <c r="N251" s="214"/>
      <c r="O251" s="261"/>
      <c r="P251" s="213"/>
      <c r="Q251" s="213"/>
      <c r="R251" s="213"/>
      <c r="S251" s="213"/>
      <c r="T251" s="221"/>
      <c r="U251" s="213"/>
      <c r="V251" s="215"/>
      <c r="W251" s="214"/>
      <c r="X251" s="630"/>
      <c r="Y251" s="631"/>
      <c r="Z251" s="632"/>
      <c r="AA251" s="632"/>
      <c r="AB251" s="643"/>
      <c r="AC251" s="616">
        <f t="shared" si="1"/>
        <v>0</v>
      </c>
      <c r="AD251" s="633"/>
      <c r="AE251" s="636"/>
      <c r="AF251" s="636"/>
      <c r="AG251" s="7"/>
      <c r="AH251" s="628"/>
      <c r="AI251" s="7"/>
      <c r="AJ251" s="618">
        <f t="shared" si="16"/>
        <v>0</v>
      </c>
    </row>
    <row r="252" spans="1:36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4"/>
      <c r="H252" s="214"/>
      <c r="I252" s="215"/>
      <c r="J252" s="647"/>
      <c r="K252" s="215"/>
      <c r="L252" s="213"/>
      <c r="M252" s="370"/>
      <c r="N252" s="214"/>
      <c r="O252" s="261"/>
      <c r="P252" s="213"/>
      <c r="Q252" s="213"/>
      <c r="R252" s="213"/>
      <c r="S252" s="213"/>
      <c r="T252" s="221"/>
      <c r="U252" s="213"/>
      <c r="V252" s="215"/>
      <c r="W252" s="214"/>
      <c r="X252" s="630"/>
      <c r="Y252" s="631"/>
      <c r="Z252" s="632"/>
      <c r="AA252" s="632"/>
      <c r="AB252" s="643"/>
      <c r="AC252" s="616">
        <f t="shared" si="1"/>
        <v>0</v>
      </c>
      <c r="AD252" s="633"/>
      <c r="AE252" s="636"/>
      <c r="AF252" s="636"/>
      <c r="AG252" s="7"/>
      <c r="AH252" s="628"/>
      <c r="AI252" s="7"/>
      <c r="AJ252" s="618">
        <f t="shared" si="16"/>
        <v>0</v>
      </c>
    </row>
    <row r="253" spans="1:36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4"/>
      <c r="H253" s="214"/>
      <c r="I253" s="215"/>
      <c r="J253" s="662"/>
      <c r="K253" s="215"/>
      <c r="L253" s="213"/>
      <c r="M253" s="370"/>
      <c r="N253" s="214"/>
      <c r="O253" s="261"/>
      <c r="P253" s="213"/>
      <c r="Q253" s="213"/>
      <c r="R253" s="213"/>
      <c r="S253" s="213"/>
      <c r="T253" s="221"/>
      <c r="U253" s="213"/>
      <c r="V253" s="215"/>
      <c r="W253" s="214"/>
      <c r="X253" s="630"/>
      <c r="Y253" s="631"/>
      <c r="Z253" s="632"/>
      <c r="AA253" s="632"/>
      <c r="AB253" s="643"/>
      <c r="AC253" s="616">
        <f t="shared" si="1"/>
        <v>0</v>
      </c>
      <c r="AD253" s="633"/>
      <c r="AE253" s="636"/>
      <c r="AF253" s="636"/>
      <c r="AG253" s="7"/>
      <c r="AH253" s="628"/>
      <c r="AI253" s="7"/>
      <c r="AJ253" s="618">
        <f t="shared" si="16"/>
        <v>0</v>
      </c>
    </row>
    <row r="254" spans="1:36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4"/>
      <c r="H254" s="214"/>
      <c r="I254" s="215"/>
      <c r="J254" s="620"/>
      <c r="K254" s="215"/>
      <c r="L254" s="213"/>
      <c r="M254" s="370"/>
      <c r="N254" s="214"/>
      <c r="O254" s="261"/>
      <c r="P254" s="213"/>
      <c r="Q254" s="213"/>
      <c r="R254" s="213"/>
      <c r="S254" s="213"/>
      <c r="T254" s="221"/>
      <c r="U254" s="213"/>
      <c r="V254" s="215"/>
      <c r="W254" s="214"/>
      <c r="X254" s="630"/>
      <c r="Y254" s="631"/>
      <c r="Z254" s="632"/>
      <c r="AA254" s="632"/>
      <c r="AB254" s="643"/>
      <c r="AC254" s="616">
        <f t="shared" si="1"/>
        <v>0</v>
      </c>
      <c r="AD254" s="633"/>
      <c r="AE254" s="636"/>
      <c r="AF254" s="636"/>
      <c r="AG254" s="7"/>
      <c r="AH254" s="628"/>
      <c r="AI254" s="7"/>
      <c r="AJ254" s="618">
        <f t="shared" si="16"/>
        <v>0</v>
      </c>
    </row>
    <row r="255" spans="1:36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4"/>
      <c r="H255" s="214"/>
      <c r="I255" s="215"/>
      <c r="J255" s="647"/>
      <c r="K255" s="215"/>
      <c r="L255" s="213"/>
      <c r="M255" s="370"/>
      <c r="N255" s="214"/>
      <c r="O255" s="261"/>
      <c r="P255" s="213"/>
      <c r="Q255" s="213"/>
      <c r="R255" s="213"/>
      <c r="S255" s="213"/>
      <c r="T255" s="221"/>
      <c r="U255" s="213"/>
      <c r="V255" s="215"/>
      <c r="W255" s="214"/>
      <c r="X255" s="630"/>
      <c r="Y255" s="631"/>
      <c r="Z255" s="632"/>
      <c r="AA255" s="632"/>
      <c r="AB255" s="643"/>
      <c r="AC255" s="616">
        <f t="shared" si="1"/>
        <v>0</v>
      </c>
      <c r="AD255" s="633"/>
      <c r="AE255" s="636"/>
      <c r="AF255" s="636"/>
      <c r="AG255" s="7"/>
      <c r="AH255" s="628"/>
      <c r="AI255" s="7"/>
      <c r="AJ255" s="618">
        <f t="shared" si="16"/>
        <v>0</v>
      </c>
    </row>
    <row r="256" spans="1:36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4"/>
      <c r="H256" s="214"/>
      <c r="I256" s="215"/>
      <c r="J256" s="647"/>
      <c r="K256" s="215"/>
      <c r="L256" s="213"/>
      <c r="M256" s="370"/>
      <c r="N256" s="214"/>
      <c r="O256" s="261"/>
      <c r="P256" s="213"/>
      <c r="Q256" s="213"/>
      <c r="R256" s="213"/>
      <c r="S256" s="213"/>
      <c r="T256" s="221"/>
      <c r="U256" s="213"/>
      <c r="V256" s="215"/>
      <c r="W256" s="214"/>
      <c r="X256" s="630"/>
      <c r="Y256" s="631"/>
      <c r="Z256" s="632"/>
      <c r="AA256" s="632"/>
      <c r="AB256" s="643"/>
      <c r="AC256" s="616">
        <f t="shared" si="1"/>
        <v>0</v>
      </c>
      <c r="AD256" s="633"/>
      <c r="AE256" s="636"/>
      <c r="AF256" s="636"/>
      <c r="AG256" s="7"/>
      <c r="AH256" s="628"/>
      <c r="AI256" s="7"/>
      <c r="AJ256" s="618">
        <f t="shared" si="16"/>
        <v>0</v>
      </c>
    </row>
    <row r="257" spans="1:36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4"/>
      <c r="H257" s="214"/>
      <c r="I257" s="215"/>
      <c r="J257" s="647"/>
      <c r="K257" s="215"/>
      <c r="L257" s="213"/>
      <c r="M257" s="370"/>
      <c r="N257" s="214"/>
      <c r="O257" s="261"/>
      <c r="P257" s="213"/>
      <c r="Q257" s="213"/>
      <c r="R257" s="213"/>
      <c r="S257" s="213"/>
      <c r="T257" s="221"/>
      <c r="U257" s="213"/>
      <c r="V257" s="215"/>
      <c r="W257" s="214"/>
      <c r="X257" s="630"/>
      <c r="Y257" s="631"/>
      <c r="Z257" s="632"/>
      <c r="AA257" s="632"/>
      <c r="AB257" s="643"/>
      <c r="AC257" s="616">
        <f t="shared" si="1"/>
        <v>0</v>
      </c>
      <c r="AD257" s="633"/>
      <c r="AE257" s="648"/>
      <c r="AF257" s="648"/>
      <c r="AG257" s="7"/>
      <c r="AH257" s="628"/>
      <c r="AI257" s="7"/>
      <c r="AJ257" s="618">
        <f t="shared" si="16"/>
        <v>0</v>
      </c>
    </row>
    <row r="258" spans="1:36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4"/>
      <c r="H258" s="214"/>
      <c r="I258" s="215"/>
      <c r="J258" s="647"/>
      <c r="K258" s="215"/>
      <c r="L258" s="213"/>
      <c r="M258" s="370"/>
      <c r="N258" s="214"/>
      <c r="O258" s="261"/>
      <c r="P258" s="213"/>
      <c r="Q258" s="213"/>
      <c r="R258" s="213"/>
      <c r="S258" s="213"/>
      <c r="T258" s="221"/>
      <c r="U258" s="213"/>
      <c r="V258" s="215"/>
      <c r="W258" s="214"/>
      <c r="X258" s="630"/>
      <c r="Y258" s="631"/>
      <c r="Z258" s="632"/>
      <c r="AA258" s="632"/>
      <c r="AB258" s="643"/>
      <c r="AC258" s="616">
        <f t="shared" si="1"/>
        <v>0</v>
      </c>
      <c r="AD258" s="633"/>
      <c r="AE258" s="648"/>
      <c r="AF258" s="648"/>
      <c r="AG258" s="7"/>
      <c r="AH258" s="628"/>
      <c r="AI258" s="7"/>
      <c r="AJ258" s="618">
        <f t="shared" si="16"/>
        <v>0</v>
      </c>
    </row>
    <row r="259" spans="1:36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4"/>
      <c r="H259" s="214"/>
      <c r="I259" s="215"/>
      <c r="J259" s="662"/>
      <c r="K259" s="215"/>
      <c r="L259" s="213"/>
      <c r="M259" s="370"/>
      <c r="N259" s="214"/>
      <c r="O259" s="261"/>
      <c r="P259" s="213"/>
      <c r="Q259" s="213"/>
      <c r="R259" s="213"/>
      <c r="S259" s="213"/>
      <c r="T259" s="221"/>
      <c r="U259" s="213"/>
      <c r="V259" s="215"/>
      <c r="W259" s="214"/>
      <c r="X259" s="630"/>
      <c r="Y259" s="631"/>
      <c r="Z259" s="632"/>
      <c r="AA259" s="632"/>
      <c r="AB259" s="643"/>
      <c r="AC259" s="616">
        <f t="shared" si="1"/>
        <v>0</v>
      </c>
      <c r="AD259" s="633"/>
      <c r="AE259" s="648"/>
      <c r="AF259" s="648"/>
      <c r="AG259" s="7"/>
      <c r="AH259" s="628"/>
      <c r="AI259" s="7"/>
      <c r="AJ259" s="618">
        <f t="shared" si="16"/>
        <v>0</v>
      </c>
    </row>
    <row r="260" spans="1:36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4"/>
      <c r="H260" s="214"/>
      <c r="I260" s="215"/>
      <c r="J260" s="647"/>
      <c r="K260" s="215"/>
      <c r="L260" s="213"/>
      <c r="M260" s="370"/>
      <c r="N260" s="214"/>
      <c r="O260" s="261"/>
      <c r="P260" s="213"/>
      <c r="Q260" s="213"/>
      <c r="R260" s="213"/>
      <c r="S260" s="213"/>
      <c r="T260" s="221"/>
      <c r="U260" s="213"/>
      <c r="V260" s="215"/>
      <c r="W260" s="214"/>
      <c r="X260" s="630"/>
      <c r="Y260" s="631"/>
      <c r="Z260" s="632"/>
      <c r="AA260" s="632"/>
      <c r="AB260" s="643"/>
      <c r="AC260" s="616">
        <f t="shared" si="1"/>
        <v>0</v>
      </c>
      <c r="AD260" s="633"/>
      <c r="AE260" s="648"/>
      <c r="AF260" s="648"/>
      <c r="AG260" s="7"/>
      <c r="AH260" s="628"/>
      <c r="AI260" s="7"/>
      <c r="AJ260" s="618">
        <f t="shared" si="16"/>
        <v>0</v>
      </c>
    </row>
    <row r="261" spans="1:36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4"/>
      <c r="H261" s="214"/>
      <c r="I261" s="215"/>
      <c r="J261" s="647"/>
      <c r="K261" s="215"/>
      <c r="L261" s="213"/>
      <c r="M261" s="370"/>
      <c r="N261" s="214"/>
      <c r="O261" s="261"/>
      <c r="P261" s="213"/>
      <c r="Q261" s="213"/>
      <c r="R261" s="213"/>
      <c r="S261" s="213"/>
      <c r="T261" s="221"/>
      <c r="U261" s="213"/>
      <c r="V261" s="215"/>
      <c r="W261" s="214"/>
      <c r="X261" s="630"/>
      <c r="Y261" s="631"/>
      <c r="Z261" s="632"/>
      <c r="AA261" s="632"/>
      <c r="AB261" s="643"/>
      <c r="AC261" s="616">
        <f t="shared" si="1"/>
        <v>0</v>
      </c>
      <c r="AD261" s="633"/>
      <c r="AE261" s="648"/>
      <c r="AF261" s="648"/>
      <c r="AG261" s="7"/>
      <c r="AH261" s="628"/>
      <c r="AI261" s="7"/>
      <c r="AJ261" s="618">
        <f t="shared" si="16"/>
        <v>0</v>
      </c>
    </row>
    <row r="262" spans="1:36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4"/>
      <c r="H262" s="214"/>
      <c r="I262" s="215"/>
      <c r="J262" s="647"/>
      <c r="K262" s="215"/>
      <c r="L262" s="213"/>
      <c r="M262" s="370"/>
      <c r="N262" s="214"/>
      <c r="O262" s="261"/>
      <c r="P262" s="213"/>
      <c r="Q262" s="213"/>
      <c r="R262" s="213"/>
      <c r="S262" s="213"/>
      <c r="T262" s="221"/>
      <c r="U262" s="213"/>
      <c r="V262" s="215"/>
      <c r="W262" s="214"/>
      <c r="X262" s="630"/>
      <c r="Y262" s="631"/>
      <c r="Z262" s="632"/>
      <c r="AA262" s="632"/>
      <c r="AB262" s="643"/>
      <c r="AC262" s="616">
        <f t="shared" si="1"/>
        <v>0</v>
      </c>
      <c r="AD262" s="633"/>
      <c r="AE262" s="648"/>
      <c r="AF262" s="648"/>
      <c r="AG262" s="7"/>
      <c r="AH262" s="628"/>
      <c r="AI262" s="7"/>
      <c r="AJ262" s="618">
        <f t="shared" si="16"/>
        <v>0</v>
      </c>
    </row>
    <row r="263" spans="1:36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4"/>
      <c r="H263" s="214"/>
      <c r="I263" s="215"/>
      <c r="J263" s="647"/>
      <c r="K263" s="215"/>
      <c r="L263" s="213"/>
      <c r="M263" s="370"/>
      <c r="N263" s="214"/>
      <c r="O263" s="261"/>
      <c r="P263" s="213"/>
      <c r="Q263" s="213"/>
      <c r="R263" s="213"/>
      <c r="S263" s="213"/>
      <c r="T263" s="221"/>
      <c r="U263" s="213"/>
      <c r="V263" s="215"/>
      <c r="W263" s="214"/>
      <c r="X263" s="630"/>
      <c r="Y263" s="631"/>
      <c r="Z263" s="632"/>
      <c r="AA263" s="632"/>
      <c r="AB263" s="643"/>
      <c r="AC263" s="616">
        <f t="shared" si="1"/>
        <v>0</v>
      </c>
      <c r="AD263" s="633"/>
      <c r="AE263" s="636"/>
      <c r="AF263" s="636"/>
      <c r="AG263" s="7"/>
      <c r="AH263" s="628"/>
      <c r="AI263" s="7"/>
      <c r="AJ263" s="618">
        <f t="shared" si="16"/>
        <v>0</v>
      </c>
    </row>
    <row r="264" spans="1:36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4"/>
      <c r="H264" s="214"/>
      <c r="I264" s="215"/>
      <c r="J264" s="647"/>
      <c r="K264" s="215"/>
      <c r="L264" s="213"/>
      <c r="M264" s="370"/>
      <c r="N264" s="214"/>
      <c r="O264" s="261"/>
      <c r="P264" s="213"/>
      <c r="Q264" s="213"/>
      <c r="R264" s="213"/>
      <c r="S264" s="213"/>
      <c r="T264" s="221"/>
      <c r="U264" s="213"/>
      <c r="V264" s="215"/>
      <c r="W264" s="214"/>
      <c r="X264" s="630"/>
      <c r="Y264" s="631"/>
      <c r="Z264" s="632"/>
      <c r="AA264" s="632"/>
      <c r="AB264" s="643"/>
      <c r="AC264" s="616">
        <f t="shared" si="1"/>
        <v>0</v>
      </c>
      <c r="AD264" s="633"/>
      <c r="AE264" s="648"/>
      <c r="AF264" s="648"/>
      <c r="AG264" s="7"/>
      <c r="AH264" s="628"/>
      <c r="AI264" s="7"/>
      <c r="AJ264" s="618">
        <f t="shared" si="16"/>
        <v>0</v>
      </c>
    </row>
    <row r="265" spans="1:36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4"/>
      <c r="H265" s="214"/>
      <c r="I265" s="215"/>
      <c r="J265" s="662"/>
      <c r="K265" s="215"/>
      <c r="L265" s="213"/>
      <c r="M265" s="370"/>
      <c r="N265" s="214"/>
      <c r="O265" s="261"/>
      <c r="P265" s="213"/>
      <c r="Q265" s="213"/>
      <c r="R265" s="213"/>
      <c r="S265" s="213"/>
      <c r="T265" s="221"/>
      <c r="U265" s="213"/>
      <c r="V265" s="215"/>
      <c r="W265" s="214"/>
      <c r="X265" s="630"/>
      <c r="Y265" s="631"/>
      <c r="Z265" s="632"/>
      <c r="AA265" s="632"/>
      <c r="AB265" s="643"/>
      <c r="AC265" s="616">
        <f t="shared" si="1"/>
        <v>0</v>
      </c>
      <c r="AD265" s="633"/>
      <c r="AE265" s="648"/>
      <c r="AF265" s="648"/>
      <c r="AG265" s="7"/>
      <c r="AH265" s="628"/>
      <c r="AI265" s="7"/>
      <c r="AJ265" s="618">
        <f t="shared" si="16"/>
        <v>0</v>
      </c>
    </row>
    <row r="266" spans="1:36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4"/>
      <c r="H266" s="214"/>
      <c r="I266" s="215"/>
      <c r="J266" s="647"/>
      <c r="K266" s="215"/>
      <c r="L266" s="213"/>
      <c r="M266" s="370"/>
      <c r="N266" s="214"/>
      <c r="O266" s="261"/>
      <c r="P266" s="213"/>
      <c r="Q266" s="213"/>
      <c r="R266" s="213"/>
      <c r="S266" s="213"/>
      <c r="T266" s="221"/>
      <c r="U266" s="213"/>
      <c r="V266" s="215"/>
      <c r="W266" s="214"/>
      <c r="X266" s="630"/>
      <c r="Y266" s="631"/>
      <c r="Z266" s="632"/>
      <c r="AA266" s="632"/>
      <c r="AB266" s="643"/>
      <c r="AC266" s="616">
        <f t="shared" si="1"/>
        <v>0</v>
      </c>
      <c r="AD266" s="633"/>
      <c r="AE266" s="648"/>
      <c r="AF266" s="648"/>
      <c r="AG266" s="7"/>
      <c r="AH266" s="628"/>
      <c r="AI266" s="7"/>
      <c r="AJ266" s="618">
        <f t="shared" si="16"/>
        <v>0</v>
      </c>
    </row>
    <row r="267" spans="1:36" ht="20.25" customHeight="1">
      <c r="A267" s="503" t="s">
        <v>605</v>
      </c>
      <c r="B267" s="483" t="s">
        <v>606</v>
      </c>
      <c r="C267" s="629" t="s">
        <v>593</v>
      </c>
      <c r="D267" s="485" t="s">
        <v>1602</v>
      </c>
      <c r="E267" s="213"/>
      <c r="F267" s="213"/>
      <c r="G267" s="214"/>
      <c r="H267" s="214"/>
      <c r="I267" s="215"/>
      <c r="J267" s="620"/>
      <c r="K267" s="215"/>
      <c r="L267" s="213"/>
      <c r="M267" s="370"/>
      <c r="N267" s="214"/>
      <c r="O267" s="261"/>
      <c r="P267" s="213"/>
      <c r="Q267" s="213"/>
      <c r="R267" s="213"/>
      <c r="S267" s="213"/>
      <c r="T267" s="221"/>
      <c r="U267" s="213"/>
      <c r="V267" s="215"/>
      <c r="W267" s="214"/>
      <c r="X267" s="630"/>
      <c r="Y267" s="631"/>
      <c r="Z267" s="632"/>
      <c r="AA267" s="632"/>
      <c r="AB267" s="643"/>
      <c r="AC267" s="616">
        <f t="shared" si="1"/>
        <v>0</v>
      </c>
      <c r="AD267" s="633"/>
      <c r="AE267" s="648"/>
      <c r="AF267" s="648"/>
      <c r="AG267" s="7"/>
      <c r="AH267" s="628"/>
      <c r="AI267" s="7"/>
      <c r="AJ267" s="618">
        <f t="shared" si="16"/>
        <v>0</v>
      </c>
    </row>
    <row r="268" spans="1:36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4"/>
      <c r="H268" s="214"/>
      <c r="I268" s="215"/>
      <c r="J268" s="647"/>
      <c r="K268" s="215"/>
      <c r="L268" s="213"/>
      <c r="M268" s="370"/>
      <c r="N268" s="214"/>
      <c r="O268" s="261"/>
      <c r="P268" s="213"/>
      <c r="Q268" s="213"/>
      <c r="R268" s="213"/>
      <c r="S268" s="213"/>
      <c r="T268" s="221"/>
      <c r="U268" s="213"/>
      <c r="V268" s="215"/>
      <c r="W268" s="214"/>
      <c r="X268" s="630"/>
      <c r="Y268" s="631"/>
      <c r="Z268" s="632"/>
      <c r="AA268" s="632"/>
      <c r="AB268" s="643"/>
      <c r="AC268" s="616">
        <f t="shared" si="1"/>
        <v>0</v>
      </c>
      <c r="AD268" s="633"/>
      <c r="AE268" s="648"/>
      <c r="AF268" s="648"/>
      <c r="AG268" s="7"/>
      <c r="AH268" s="628"/>
      <c r="AI268" s="7"/>
      <c r="AJ268" s="618">
        <f t="shared" si="16"/>
        <v>0</v>
      </c>
    </row>
    <row r="269" spans="1:36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4"/>
      <c r="H269" s="214"/>
      <c r="I269" s="215"/>
      <c r="J269" s="647"/>
      <c r="K269" s="215"/>
      <c r="L269" s="213"/>
      <c r="M269" s="370"/>
      <c r="N269" s="214"/>
      <c r="O269" s="261"/>
      <c r="P269" s="213"/>
      <c r="Q269" s="213"/>
      <c r="R269" s="213"/>
      <c r="S269" s="213"/>
      <c r="T269" s="221"/>
      <c r="U269" s="213"/>
      <c r="V269" s="215"/>
      <c r="W269" s="214"/>
      <c r="X269" s="630"/>
      <c r="Y269" s="631"/>
      <c r="Z269" s="632"/>
      <c r="AA269" s="632"/>
      <c r="AB269" s="643"/>
      <c r="AC269" s="616">
        <f t="shared" si="1"/>
        <v>0</v>
      </c>
      <c r="AD269" s="633"/>
      <c r="AE269" s="636"/>
      <c r="AF269" s="636"/>
      <c r="AG269" s="7"/>
      <c r="AH269" s="628"/>
      <c r="AI269" s="7"/>
      <c r="AJ269" s="618">
        <f t="shared" si="16"/>
        <v>0</v>
      </c>
    </row>
    <row r="270" spans="1:36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4"/>
      <c r="H270" s="214"/>
      <c r="I270" s="215"/>
      <c r="J270" s="647"/>
      <c r="K270" s="215"/>
      <c r="L270" s="213"/>
      <c r="M270" s="370"/>
      <c r="N270" s="214"/>
      <c r="O270" s="261"/>
      <c r="P270" s="213"/>
      <c r="Q270" s="213"/>
      <c r="R270" s="213"/>
      <c r="S270" s="213"/>
      <c r="T270" s="221"/>
      <c r="U270" s="213"/>
      <c r="V270" s="215"/>
      <c r="W270" s="214"/>
      <c r="X270" s="630"/>
      <c r="Y270" s="631"/>
      <c r="Z270" s="632"/>
      <c r="AA270" s="632"/>
      <c r="AB270" s="643"/>
      <c r="AC270" s="616">
        <f t="shared" si="1"/>
        <v>0</v>
      </c>
      <c r="AD270" s="633"/>
      <c r="AE270" s="648"/>
      <c r="AF270" s="648"/>
      <c r="AG270" s="7"/>
      <c r="AH270" s="628"/>
      <c r="AI270" s="7"/>
      <c r="AJ270" s="618">
        <f t="shared" si="16"/>
        <v>0</v>
      </c>
    </row>
    <row r="271" spans="1:36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4"/>
      <c r="H271" s="214"/>
      <c r="I271" s="215"/>
      <c r="J271" s="647"/>
      <c r="K271" s="215"/>
      <c r="L271" s="213"/>
      <c r="M271" s="370"/>
      <c r="N271" s="214"/>
      <c r="O271" s="261"/>
      <c r="P271" s="213"/>
      <c r="Q271" s="213"/>
      <c r="R271" s="213"/>
      <c r="S271" s="213"/>
      <c r="T271" s="221"/>
      <c r="U271" s="213"/>
      <c r="V271" s="215"/>
      <c r="W271" s="214"/>
      <c r="X271" s="630"/>
      <c r="Y271" s="631"/>
      <c r="Z271" s="632"/>
      <c r="AA271" s="632"/>
      <c r="AB271" s="643"/>
      <c r="AC271" s="616">
        <f t="shared" si="1"/>
        <v>0</v>
      </c>
      <c r="AD271" s="633"/>
      <c r="AE271" s="648"/>
      <c r="AF271" s="648"/>
      <c r="AG271" s="7"/>
      <c r="AH271" s="628"/>
      <c r="AI271" s="7"/>
      <c r="AJ271" s="618">
        <f t="shared" si="16"/>
        <v>0</v>
      </c>
    </row>
    <row r="272" spans="1:36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4"/>
      <c r="H272" s="214"/>
      <c r="I272" s="215"/>
      <c r="J272" s="662"/>
      <c r="K272" s="215"/>
      <c r="L272" s="213"/>
      <c r="M272" s="370"/>
      <c r="N272" s="214"/>
      <c r="O272" s="261"/>
      <c r="P272" s="213"/>
      <c r="Q272" s="213"/>
      <c r="R272" s="213"/>
      <c r="S272" s="213"/>
      <c r="T272" s="221"/>
      <c r="U272" s="213"/>
      <c r="V272" s="215"/>
      <c r="W272" s="214"/>
      <c r="X272" s="630"/>
      <c r="Y272" s="631"/>
      <c r="Z272" s="632"/>
      <c r="AA272" s="632"/>
      <c r="AB272" s="643"/>
      <c r="AC272" s="616">
        <f t="shared" si="1"/>
        <v>0</v>
      </c>
      <c r="AD272" s="633"/>
      <c r="AE272" s="648"/>
      <c r="AF272" s="648"/>
      <c r="AG272" s="7"/>
      <c r="AH272" s="628"/>
      <c r="AI272" s="7"/>
      <c r="AJ272" s="618">
        <f t="shared" si="16"/>
        <v>0</v>
      </c>
    </row>
    <row r="273" spans="1:36" ht="20.25" customHeight="1">
      <c r="A273" s="503" t="s">
        <v>620</v>
      </c>
      <c r="B273" s="483" t="s">
        <v>621</v>
      </c>
      <c r="C273" s="629" t="s">
        <v>622</v>
      </c>
      <c r="D273" s="485" t="s">
        <v>1603</v>
      </c>
      <c r="E273" s="213"/>
      <c r="F273" s="213"/>
      <c r="G273" s="214"/>
      <c r="H273" s="214"/>
      <c r="I273" s="215"/>
      <c r="J273" s="620"/>
      <c r="K273" s="215"/>
      <c r="L273" s="213"/>
      <c r="M273" s="370"/>
      <c r="N273" s="214"/>
      <c r="O273" s="261"/>
      <c r="P273" s="213"/>
      <c r="Q273" s="213"/>
      <c r="R273" s="213"/>
      <c r="S273" s="213"/>
      <c r="T273" s="221"/>
      <c r="U273" s="213"/>
      <c r="V273" s="215"/>
      <c r="W273" s="214"/>
      <c r="X273" s="630"/>
      <c r="Y273" s="631"/>
      <c r="Z273" s="632"/>
      <c r="AA273" s="632"/>
      <c r="AB273" s="643"/>
      <c r="AC273" s="616">
        <f t="shared" si="1"/>
        <v>0</v>
      </c>
      <c r="AD273" s="633"/>
      <c r="AE273" s="648"/>
      <c r="AF273" s="648"/>
      <c r="AG273" s="7"/>
      <c r="AH273" s="628"/>
      <c r="AI273" s="7"/>
      <c r="AJ273" s="618">
        <f t="shared" si="16"/>
        <v>0</v>
      </c>
    </row>
    <row r="274" spans="1:36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4"/>
      <c r="H274" s="214"/>
      <c r="I274" s="215"/>
      <c r="J274" s="647"/>
      <c r="K274" s="215"/>
      <c r="L274" s="213"/>
      <c r="M274" s="370"/>
      <c r="N274" s="214"/>
      <c r="O274" s="261"/>
      <c r="P274" s="213"/>
      <c r="Q274" s="213"/>
      <c r="R274" s="213"/>
      <c r="S274" s="213"/>
      <c r="T274" s="221"/>
      <c r="U274" s="213"/>
      <c r="V274" s="215"/>
      <c r="W274" s="214"/>
      <c r="X274" s="630"/>
      <c r="Y274" s="631"/>
      <c r="Z274" s="632"/>
      <c r="AA274" s="632"/>
      <c r="AB274" s="643"/>
      <c r="AC274" s="616">
        <f t="shared" si="1"/>
        <v>0</v>
      </c>
      <c r="AD274" s="633"/>
      <c r="AE274" s="648"/>
      <c r="AF274" s="648"/>
      <c r="AG274" s="7"/>
      <c r="AH274" s="628"/>
      <c r="AI274" s="7"/>
      <c r="AJ274" s="618">
        <f t="shared" si="16"/>
        <v>0</v>
      </c>
    </row>
    <row r="275" spans="1:36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4"/>
      <c r="H275" s="214"/>
      <c r="I275" s="215"/>
      <c r="J275" s="620"/>
      <c r="K275" s="215"/>
      <c r="L275" s="213"/>
      <c r="M275" s="370"/>
      <c r="N275" s="214"/>
      <c r="O275" s="261"/>
      <c r="P275" s="213"/>
      <c r="Q275" s="213"/>
      <c r="R275" s="213"/>
      <c r="S275" s="213"/>
      <c r="T275" s="221"/>
      <c r="U275" s="213"/>
      <c r="V275" s="215"/>
      <c r="W275" s="214"/>
      <c r="X275" s="630"/>
      <c r="Y275" s="631"/>
      <c r="Z275" s="632"/>
      <c r="AA275" s="632"/>
      <c r="AB275" s="643"/>
      <c r="AC275" s="616">
        <f t="shared" ref="AC275:AC447" si="17">+SUM(E275:AB275)</f>
        <v>0</v>
      </c>
      <c r="AD275" s="633"/>
      <c r="AE275" s="636"/>
      <c r="AF275" s="636"/>
      <c r="AG275" s="7"/>
      <c r="AH275" s="628"/>
      <c r="AI275" s="7"/>
      <c r="AJ275" s="618">
        <f t="shared" si="16"/>
        <v>0</v>
      </c>
    </row>
    <row r="276" spans="1:36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4"/>
      <c r="H276" s="214"/>
      <c r="I276" s="215"/>
      <c r="J276" s="647"/>
      <c r="K276" s="215"/>
      <c r="L276" s="213"/>
      <c r="M276" s="370"/>
      <c r="N276" s="214"/>
      <c r="O276" s="261"/>
      <c r="P276" s="213"/>
      <c r="Q276" s="213"/>
      <c r="R276" s="213"/>
      <c r="S276" s="213"/>
      <c r="T276" s="221"/>
      <c r="U276" s="213"/>
      <c r="V276" s="215"/>
      <c r="W276" s="214"/>
      <c r="X276" s="630"/>
      <c r="Y276" s="631"/>
      <c r="Z276" s="632"/>
      <c r="AA276" s="632"/>
      <c r="AB276" s="643"/>
      <c r="AC276" s="616">
        <f t="shared" si="17"/>
        <v>0</v>
      </c>
      <c r="AD276" s="633"/>
      <c r="AE276" s="648"/>
      <c r="AF276" s="648"/>
      <c r="AG276" s="7"/>
      <c r="AH276" s="628"/>
      <c r="AI276" s="7"/>
      <c r="AJ276" s="618">
        <f t="shared" si="16"/>
        <v>0</v>
      </c>
    </row>
    <row r="277" spans="1:36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4"/>
      <c r="H277" s="214"/>
      <c r="I277" s="215"/>
      <c r="J277" s="662"/>
      <c r="K277" s="215"/>
      <c r="L277" s="213"/>
      <c r="M277" s="370"/>
      <c r="N277" s="214"/>
      <c r="O277" s="261"/>
      <c r="P277" s="213"/>
      <c r="Q277" s="213"/>
      <c r="R277" s="213"/>
      <c r="S277" s="213"/>
      <c r="T277" s="221"/>
      <c r="U277" s="213"/>
      <c r="V277" s="215"/>
      <c r="W277" s="214"/>
      <c r="X277" s="630"/>
      <c r="Y277" s="631"/>
      <c r="Z277" s="632"/>
      <c r="AA277" s="632"/>
      <c r="AB277" s="643"/>
      <c r="AC277" s="616">
        <f t="shared" si="17"/>
        <v>0</v>
      </c>
      <c r="AD277" s="633"/>
      <c r="AE277" s="648"/>
      <c r="AF277" s="648"/>
      <c r="AG277" s="7"/>
      <c r="AH277" s="628"/>
      <c r="AI277" s="7"/>
      <c r="AJ277" s="618">
        <f t="shared" si="16"/>
        <v>0</v>
      </c>
    </row>
    <row r="278" spans="1:36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4"/>
      <c r="H278" s="214"/>
      <c r="I278" s="215"/>
      <c r="J278" s="647"/>
      <c r="K278" s="215"/>
      <c r="L278" s="213"/>
      <c r="M278" s="370"/>
      <c r="N278" s="214"/>
      <c r="O278" s="261"/>
      <c r="P278" s="213"/>
      <c r="Q278" s="213"/>
      <c r="R278" s="213"/>
      <c r="S278" s="213"/>
      <c r="T278" s="221"/>
      <c r="U278" s="213"/>
      <c r="V278" s="215"/>
      <c r="W278" s="214"/>
      <c r="X278" s="630"/>
      <c r="Y278" s="631"/>
      <c r="Z278" s="632"/>
      <c r="AA278" s="632"/>
      <c r="AB278" s="643"/>
      <c r="AC278" s="616">
        <f t="shared" si="17"/>
        <v>0</v>
      </c>
      <c r="AD278" s="633"/>
      <c r="AE278" s="648"/>
      <c r="AF278" s="648"/>
      <c r="AG278" s="7"/>
      <c r="AH278" s="628"/>
      <c r="AI278" s="7"/>
      <c r="AJ278" s="618">
        <f t="shared" si="16"/>
        <v>0</v>
      </c>
    </row>
    <row r="279" spans="1:36" ht="20.25" customHeight="1">
      <c r="A279" s="503" t="s">
        <v>636</v>
      </c>
      <c r="B279" s="483" t="s">
        <v>637</v>
      </c>
      <c r="C279" s="629" t="s">
        <v>638</v>
      </c>
      <c r="D279" s="485" t="s">
        <v>1604</v>
      </c>
      <c r="E279" s="213"/>
      <c r="F279" s="213"/>
      <c r="G279" s="214"/>
      <c r="H279" s="214"/>
      <c r="I279" s="215"/>
      <c r="J279" s="620"/>
      <c r="K279" s="215"/>
      <c r="L279" s="213"/>
      <c r="M279" s="370"/>
      <c r="N279" s="214"/>
      <c r="O279" s="261"/>
      <c r="P279" s="213"/>
      <c r="Q279" s="213"/>
      <c r="R279" s="213"/>
      <c r="S279" s="213"/>
      <c r="T279" s="221"/>
      <c r="U279" s="213"/>
      <c r="V279" s="215"/>
      <c r="W279" s="214"/>
      <c r="X279" s="630"/>
      <c r="Y279" s="631"/>
      <c r="Z279" s="632"/>
      <c r="AA279" s="632"/>
      <c r="AB279" s="643"/>
      <c r="AC279" s="616">
        <f t="shared" si="17"/>
        <v>0</v>
      </c>
      <c r="AD279" s="633"/>
      <c r="AE279" s="648"/>
      <c r="AF279" s="648"/>
      <c r="AG279" s="7"/>
      <c r="AH279" s="628"/>
      <c r="AI279" s="7"/>
      <c r="AJ279" s="618">
        <f t="shared" si="16"/>
        <v>0</v>
      </c>
    </row>
    <row r="280" spans="1:36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4"/>
      <c r="H280" s="214"/>
      <c r="I280" s="215"/>
      <c r="J280" s="647"/>
      <c r="K280" s="215"/>
      <c r="L280" s="213"/>
      <c r="M280" s="370"/>
      <c r="N280" s="214"/>
      <c r="O280" s="261"/>
      <c r="P280" s="213"/>
      <c r="Q280" s="213"/>
      <c r="R280" s="213"/>
      <c r="S280" s="213"/>
      <c r="T280" s="221"/>
      <c r="U280" s="213"/>
      <c r="V280" s="215"/>
      <c r="W280" s="214"/>
      <c r="X280" s="630"/>
      <c r="Y280" s="631"/>
      <c r="Z280" s="632"/>
      <c r="AA280" s="632"/>
      <c r="AB280" s="643"/>
      <c r="AC280" s="616">
        <f t="shared" si="17"/>
        <v>0</v>
      </c>
      <c r="AD280" s="633"/>
      <c r="AE280" s="648"/>
      <c r="AF280" s="648"/>
      <c r="AG280" s="7"/>
      <c r="AH280" s="628"/>
      <c r="AI280" s="7"/>
      <c r="AJ280" s="618">
        <f t="shared" si="16"/>
        <v>0</v>
      </c>
    </row>
    <row r="281" spans="1:36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4"/>
      <c r="H281" s="214"/>
      <c r="I281" s="215"/>
      <c r="J281" s="662"/>
      <c r="K281" s="215"/>
      <c r="L281" s="213"/>
      <c r="M281" s="370"/>
      <c r="N281" s="214"/>
      <c r="O281" s="261"/>
      <c r="P281" s="213"/>
      <c r="Q281" s="213"/>
      <c r="R281" s="213"/>
      <c r="S281" s="213"/>
      <c r="T281" s="221"/>
      <c r="U281" s="213"/>
      <c r="V281" s="215"/>
      <c r="W281" s="214"/>
      <c r="X281" s="630"/>
      <c r="Y281" s="631"/>
      <c r="Z281" s="632"/>
      <c r="AA281" s="632"/>
      <c r="AB281" s="643"/>
      <c r="AC281" s="616">
        <f t="shared" si="17"/>
        <v>0</v>
      </c>
      <c r="AD281" s="633"/>
      <c r="AE281" s="648"/>
      <c r="AF281" s="648"/>
      <c r="AG281" s="7"/>
      <c r="AH281" s="628"/>
      <c r="AI281" s="7"/>
      <c r="AJ281" s="618">
        <f t="shared" si="16"/>
        <v>0</v>
      </c>
    </row>
    <row r="282" spans="1:36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4"/>
      <c r="H282" s="214"/>
      <c r="I282" s="215"/>
      <c r="J282" s="662"/>
      <c r="K282" s="215"/>
      <c r="L282" s="213"/>
      <c r="M282" s="370"/>
      <c r="N282" s="214"/>
      <c r="O282" s="261"/>
      <c r="P282" s="213"/>
      <c r="Q282" s="213"/>
      <c r="R282" s="213"/>
      <c r="S282" s="213"/>
      <c r="T282" s="221"/>
      <c r="U282" s="213"/>
      <c r="V282" s="215"/>
      <c r="W282" s="214"/>
      <c r="X282" s="630"/>
      <c r="Y282" s="631"/>
      <c r="Z282" s="632"/>
      <c r="AA282" s="632"/>
      <c r="AB282" s="643"/>
      <c r="AC282" s="616">
        <f t="shared" si="17"/>
        <v>0</v>
      </c>
      <c r="AD282" s="633"/>
      <c r="AE282" s="640"/>
      <c r="AF282" s="640"/>
      <c r="AG282" s="7"/>
      <c r="AH282" s="628"/>
      <c r="AI282" s="7"/>
      <c r="AJ282" s="618">
        <f t="shared" si="16"/>
        <v>0</v>
      </c>
    </row>
    <row r="283" spans="1:36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4"/>
      <c r="H283" s="214"/>
      <c r="I283" s="215"/>
      <c r="J283" s="620"/>
      <c r="K283" s="215"/>
      <c r="L283" s="213">
        <v>3</v>
      </c>
      <c r="M283" s="663"/>
      <c r="N283" s="214"/>
      <c r="O283" s="261">
        <f>43.8+0.8+160.2</f>
        <v>204.79999999999998</v>
      </c>
      <c r="P283" s="213"/>
      <c r="Q283" s="213"/>
      <c r="R283" s="213"/>
      <c r="S283" s="213"/>
      <c r="T283" s="221"/>
      <c r="U283" s="213"/>
      <c r="V283" s="215"/>
      <c r="W283" s="214"/>
      <c r="X283" s="630"/>
      <c r="Y283" s="631"/>
      <c r="Z283" s="632"/>
      <c r="AA283" s="632"/>
      <c r="AB283" s="643"/>
      <c r="AC283" s="616">
        <f t="shared" si="17"/>
        <v>207.79999999999998</v>
      </c>
      <c r="AD283" s="633"/>
      <c r="AE283" s="636"/>
      <c r="AF283" s="636"/>
      <c r="AG283" s="7"/>
      <c r="AH283" s="628">
        <v>206.8</v>
      </c>
      <c r="AI283" s="7"/>
      <c r="AJ283" s="618"/>
    </row>
    <row r="284" spans="1:36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4"/>
      <c r="H284" s="214"/>
      <c r="I284" s="215"/>
      <c r="J284" s="647"/>
      <c r="K284" s="215"/>
      <c r="L284" s="213"/>
      <c r="M284" s="370"/>
      <c r="N284" s="214"/>
      <c r="O284" s="261"/>
      <c r="P284" s="213"/>
      <c r="Q284" s="213"/>
      <c r="R284" s="213"/>
      <c r="S284" s="213"/>
      <c r="T284" s="221"/>
      <c r="U284" s="213"/>
      <c r="V284" s="215"/>
      <c r="W284" s="214"/>
      <c r="X284" s="630"/>
      <c r="Y284" s="631"/>
      <c r="Z284" s="632"/>
      <c r="AA284" s="632"/>
      <c r="AB284" s="643"/>
      <c r="AC284" s="616">
        <f t="shared" si="17"/>
        <v>0</v>
      </c>
      <c r="AD284" s="633"/>
      <c r="AE284" s="654"/>
      <c r="AF284" s="654"/>
      <c r="AG284" s="7"/>
      <c r="AH284" s="628">
        <v>19.02</v>
      </c>
      <c r="AI284" s="7"/>
      <c r="AJ284" s="618">
        <f t="shared" ref="AJ284:AJ443" si="18">AH284-AC284</f>
        <v>19.02</v>
      </c>
    </row>
    <row r="285" spans="1:36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4"/>
      <c r="H285" s="214"/>
      <c r="I285" s="215"/>
      <c r="J285" s="647"/>
      <c r="K285" s="215"/>
      <c r="L285" s="213"/>
      <c r="M285" s="370"/>
      <c r="N285" s="214"/>
      <c r="O285" s="261"/>
      <c r="P285" s="213"/>
      <c r="Q285" s="213"/>
      <c r="R285" s="213"/>
      <c r="S285" s="213"/>
      <c r="T285" s="221"/>
      <c r="U285" s="213"/>
      <c r="V285" s="215"/>
      <c r="W285" s="214"/>
      <c r="X285" s="630"/>
      <c r="Y285" s="631"/>
      <c r="Z285" s="632"/>
      <c r="AA285" s="632"/>
      <c r="AB285" s="643"/>
      <c r="AC285" s="616">
        <f t="shared" si="17"/>
        <v>0</v>
      </c>
      <c r="AD285" s="633"/>
      <c r="AE285" s="654"/>
      <c r="AF285" s="654"/>
      <c r="AG285" s="7"/>
      <c r="AH285" s="628">
        <v>13.7</v>
      </c>
      <c r="AI285" s="7"/>
      <c r="AJ285" s="618">
        <f t="shared" si="18"/>
        <v>13.7</v>
      </c>
    </row>
    <row r="286" spans="1:36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4"/>
      <c r="H286" s="214"/>
      <c r="I286" s="215"/>
      <c r="J286" s="647"/>
      <c r="K286" s="215"/>
      <c r="L286" s="213"/>
      <c r="M286" s="370"/>
      <c r="N286" s="214"/>
      <c r="O286" s="261"/>
      <c r="P286" s="213"/>
      <c r="Q286" s="213"/>
      <c r="R286" s="213"/>
      <c r="S286" s="213"/>
      <c r="T286" s="221"/>
      <c r="U286" s="213"/>
      <c r="V286" s="215"/>
      <c r="W286" s="214"/>
      <c r="X286" s="630"/>
      <c r="Y286" s="631"/>
      <c r="Z286" s="632"/>
      <c r="AA286" s="632"/>
      <c r="AB286" s="643"/>
      <c r="AC286" s="616">
        <f t="shared" si="17"/>
        <v>0</v>
      </c>
      <c r="AD286" s="633"/>
      <c r="AE286" s="654"/>
      <c r="AF286" s="654"/>
      <c r="AG286" s="7"/>
      <c r="AH286" s="628">
        <v>1.24</v>
      </c>
      <c r="AI286" s="7"/>
      <c r="AJ286" s="618">
        <f t="shared" si="18"/>
        <v>1.24</v>
      </c>
    </row>
    <row r="287" spans="1:36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4"/>
      <c r="H287" s="214"/>
      <c r="I287" s="215"/>
      <c r="J287" s="647"/>
      <c r="K287" s="215"/>
      <c r="L287" s="213"/>
      <c r="M287" s="370"/>
      <c r="N287" s="214"/>
      <c r="O287" s="261"/>
      <c r="P287" s="213"/>
      <c r="Q287" s="213"/>
      <c r="R287" s="213"/>
      <c r="S287" s="213"/>
      <c r="T287" s="221"/>
      <c r="U287" s="213"/>
      <c r="V287" s="215"/>
      <c r="W287" s="214"/>
      <c r="X287" s="630"/>
      <c r="Y287" s="631"/>
      <c r="Z287" s="632"/>
      <c r="AA287" s="632"/>
      <c r="AB287" s="643"/>
      <c r="AC287" s="616">
        <f t="shared" si="17"/>
        <v>0</v>
      </c>
      <c r="AD287" s="633"/>
      <c r="AE287" s="654"/>
      <c r="AF287" s="654"/>
      <c r="AG287" s="7"/>
      <c r="AH287" s="628">
        <v>4</v>
      </c>
      <c r="AI287" s="7"/>
      <c r="AJ287" s="618">
        <f t="shared" si="18"/>
        <v>4</v>
      </c>
    </row>
    <row r="288" spans="1:36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4"/>
      <c r="H288" s="214"/>
      <c r="I288" s="215"/>
      <c r="J288" s="647"/>
      <c r="K288" s="215"/>
      <c r="L288" s="213"/>
      <c r="M288" s="370"/>
      <c r="N288" s="214"/>
      <c r="O288" s="261"/>
      <c r="P288" s="213"/>
      <c r="Q288" s="213"/>
      <c r="R288" s="213"/>
      <c r="S288" s="213"/>
      <c r="T288" s="221"/>
      <c r="U288" s="213"/>
      <c r="V288" s="215"/>
      <c r="W288" s="214"/>
      <c r="X288" s="630"/>
      <c r="Y288" s="631"/>
      <c r="Z288" s="632"/>
      <c r="AA288" s="632"/>
      <c r="AB288" s="643"/>
      <c r="AC288" s="616">
        <f t="shared" si="17"/>
        <v>0</v>
      </c>
      <c r="AD288" s="633"/>
      <c r="AE288" s="654"/>
      <c r="AF288" s="654"/>
      <c r="AG288" s="7"/>
      <c r="AH288" s="628">
        <v>0.08</v>
      </c>
      <c r="AI288" s="7"/>
      <c r="AJ288" s="618">
        <f t="shared" si="18"/>
        <v>0.08</v>
      </c>
    </row>
    <row r="289" spans="1:36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4"/>
      <c r="H289" s="214"/>
      <c r="I289" s="215"/>
      <c r="J289" s="647"/>
      <c r="K289" s="215"/>
      <c r="L289" s="213"/>
      <c r="M289" s="370"/>
      <c r="N289" s="214"/>
      <c r="O289" s="261"/>
      <c r="P289" s="213"/>
      <c r="Q289" s="213"/>
      <c r="R289" s="213"/>
      <c r="S289" s="213"/>
      <c r="T289" s="221"/>
      <c r="U289" s="213"/>
      <c r="V289" s="215"/>
      <c r="W289" s="214"/>
      <c r="X289" s="630"/>
      <c r="Y289" s="631"/>
      <c r="Z289" s="632"/>
      <c r="AA289" s="632"/>
      <c r="AB289" s="643"/>
      <c r="AC289" s="616">
        <f t="shared" si="17"/>
        <v>0</v>
      </c>
      <c r="AD289" s="633"/>
      <c r="AE289" s="654"/>
      <c r="AF289" s="654"/>
      <c r="AG289" s="7"/>
      <c r="AH289" s="628"/>
      <c r="AI289" s="7"/>
      <c r="AJ289" s="618">
        <f t="shared" si="18"/>
        <v>0</v>
      </c>
    </row>
    <row r="290" spans="1:36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4"/>
      <c r="H290" s="214"/>
      <c r="I290" s="215"/>
      <c r="J290" s="647"/>
      <c r="K290" s="215"/>
      <c r="L290" s="213"/>
      <c r="M290" s="370"/>
      <c r="N290" s="214"/>
      <c r="O290" s="261"/>
      <c r="P290" s="213"/>
      <c r="Q290" s="213"/>
      <c r="R290" s="213"/>
      <c r="S290" s="213"/>
      <c r="T290" s="221"/>
      <c r="U290" s="213"/>
      <c r="V290" s="215"/>
      <c r="W290" s="214"/>
      <c r="X290" s="630"/>
      <c r="Y290" s="631"/>
      <c r="Z290" s="632"/>
      <c r="AA290" s="632"/>
      <c r="AB290" s="643"/>
      <c r="AC290" s="616">
        <f t="shared" si="17"/>
        <v>0</v>
      </c>
      <c r="AD290" s="633"/>
      <c r="AE290" s="648"/>
      <c r="AF290" s="648"/>
      <c r="AG290" s="7"/>
      <c r="AH290" s="628"/>
      <c r="AI290" s="7"/>
      <c r="AJ290" s="618">
        <f t="shared" si="18"/>
        <v>0</v>
      </c>
    </row>
    <row r="291" spans="1:36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4"/>
      <c r="H291" s="214"/>
      <c r="I291" s="215"/>
      <c r="J291" s="647"/>
      <c r="K291" s="215"/>
      <c r="L291" s="213"/>
      <c r="M291" s="370"/>
      <c r="N291" s="214"/>
      <c r="O291" s="261"/>
      <c r="P291" s="213"/>
      <c r="Q291" s="213"/>
      <c r="R291" s="213"/>
      <c r="S291" s="213"/>
      <c r="T291" s="221"/>
      <c r="U291" s="213"/>
      <c r="V291" s="215"/>
      <c r="W291" s="214"/>
      <c r="X291" s="630"/>
      <c r="Y291" s="631"/>
      <c r="Z291" s="632"/>
      <c r="AA291" s="632"/>
      <c r="AB291" s="643"/>
      <c r="AC291" s="616">
        <f t="shared" si="17"/>
        <v>0</v>
      </c>
      <c r="AD291" s="633"/>
      <c r="AE291" s="648"/>
      <c r="AF291" s="648"/>
      <c r="AG291" s="7"/>
      <c r="AH291" s="628"/>
      <c r="AI291" s="7"/>
      <c r="AJ291" s="618">
        <f t="shared" si="18"/>
        <v>0</v>
      </c>
    </row>
    <row r="292" spans="1:36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4"/>
      <c r="H292" s="214"/>
      <c r="I292" s="215"/>
      <c r="J292" s="647"/>
      <c r="K292" s="215"/>
      <c r="L292" s="213"/>
      <c r="M292" s="370"/>
      <c r="N292" s="214"/>
      <c r="O292" s="261"/>
      <c r="P292" s="213"/>
      <c r="Q292" s="213"/>
      <c r="R292" s="213"/>
      <c r="S292" s="213"/>
      <c r="T292" s="221"/>
      <c r="U292" s="213"/>
      <c r="V292" s="215"/>
      <c r="W292" s="214"/>
      <c r="X292" s="630"/>
      <c r="Y292" s="631"/>
      <c r="Z292" s="632"/>
      <c r="AA292" s="632"/>
      <c r="AB292" s="643"/>
      <c r="AC292" s="616">
        <f t="shared" si="17"/>
        <v>0</v>
      </c>
      <c r="AD292" s="633"/>
      <c r="AE292" s="648"/>
      <c r="AF292" s="648"/>
      <c r="AG292" s="7"/>
      <c r="AH292" s="628"/>
      <c r="AI292" s="7"/>
      <c r="AJ292" s="618">
        <f t="shared" si="18"/>
        <v>0</v>
      </c>
    </row>
    <row r="293" spans="1:36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4"/>
      <c r="H293" s="214"/>
      <c r="I293" s="215"/>
      <c r="J293" s="647"/>
      <c r="K293" s="215"/>
      <c r="L293" s="213"/>
      <c r="M293" s="370"/>
      <c r="N293" s="214"/>
      <c r="O293" s="261"/>
      <c r="P293" s="213"/>
      <c r="Q293" s="213"/>
      <c r="R293" s="213"/>
      <c r="S293" s="213"/>
      <c r="T293" s="221"/>
      <c r="U293" s="213"/>
      <c r="V293" s="215"/>
      <c r="W293" s="214"/>
      <c r="X293" s="630"/>
      <c r="Y293" s="631"/>
      <c r="Z293" s="632"/>
      <c r="AA293" s="632"/>
      <c r="AB293" s="643"/>
      <c r="AC293" s="616">
        <f t="shared" si="17"/>
        <v>0</v>
      </c>
      <c r="AD293" s="633"/>
      <c r="AE293" s="648"/>
      <c r="AF293" s="648"/>
      <c r="AG293" s="7"/>
      <c r="AH293" s="628"/>
      <c r="AI293" s="7"/>
      <c r="AJ293" s="618">
        <f t="shared" si="18"/>
        <v>0</v>
      </c>
    </row>
    <row r="294" spans="1:36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4"/>
      <c r="H294" s="214"/>
      <c r="I294" s="215"/>
      <c r="J294" s="620"/>
      <c r="K294" s="215"/>
      <c r="L294" s="213"/>
      <c r="M294" s="370"/>
      <c r="N294" s="214"/>
      <c r="O294" s="261"/>
      <c r="P294" s="213"/>
      <c r="Q294" s="213"/>
      <c r="R294" s="213"/>
      <c r="S294" s="213"/>
      <c r="T294" s="221"/>
      <c r="U294" s="213"/>
      <c r="V294" s="215"/>
      <c r="W294" s="214"/>
      <c r="X294" s="630"/>
      <c r="Y294" s="631"/>
      <c r="Z294" s="632"/>
      <c r="AA294" s="632"/>
      <c r="AB294" s="643"/>
      <c r="AC294" s="616">
        <f t="shared" si="17"/>
        <v>0</v>
      </c>
      <c r="AD294" s="633"/>
      <c r="AE294" s="654"/>
      <c r="AF294" s="654"/>
      <c r="AG294" s="7"/>
      <c r="AH294" s="628"/>
      <c r="AI294" s="7"/>
      <c r="AJ294" s="618">
        <f t="shared" si="18"/>
        <v>0</v>
      </c>
    </row>
    <row r="295" spans="1:36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4"/>
      <c r="H295" s="214"/>
      <c r="I295" s="215"/>
      <c r="J295" s="647"/>
      <c r="K295" s="215"/>
      <c r="L295" s="213"/>
      <c r="M295" s="370"/>
      <c r="N295" s="214"/>
      <c r="O295" s="261"/>
      <c r="P295" s="213"/>
      <c r="Q295" s="213"/>
      <c r="R295" s="213"/>
      <c r="S295" s="213"/>
      <c r="T295" s="221"/>
      <c r="U295" s="213"/>
      <c r="V295" s="215"/>
      <c r="W295" s="214"/>
      <c r="X295" s="630"/>
      <c r="Y295" s="631"/>
      <c r="Z295" s="632"/>
      <c r="AA295" s="632"/>
      <c r="AB295" s="643"/>
      <c r="AC295" s="616">
        <f t="shared" si="17"/>
        <v>0</v>
      </c>
      <c r="AD295" s="633"/>
      <c r="AE295" s="648"/>
      <c r="AF295" s="648"/>
      <c r="AG295" s="7"/>
      <c r="AH295" s="628"/>
      <c r="AI295" s="7"/>
      <c r="AJ295" s="618">
        <f t="shared" si="18"/>
        <v>0</v>
      </c>
    </row>
    <row r="296" spans="1:36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4"/>
      <c r="H296" s="214"/>
      <c r="I296" s="215"/>
      <c r="J296" s="647"/>
      <c r="K296" s="215"/>
      <c r="L296" s="213"/>
      <c r="M296" s="370"/>
      <c r="N296" s="214"/>
      <c r="O296" s="261"/>
      <c r="P296" s="213"/>
      <c r="Q296" s="213"/>
      <c r="R296" s="213"/>
      <c r="S296" s="213"/>
      <c r="T296" s="221"/>
      <c r="U296" s="213"/>
      <c r="V296" s="215"/>
      <c r="W296" s="214"/>
      <c r="X296" s="630"/>
      <c r="Y296" s="631"/>
      <c r="Z296" s="632"/>
      <c r="AA296" s="632"/>
      <c r="AB296" s="643"/>
      <c r="AC296" s="616">
        <f t="shared" si="17"/>
        <v>0</v>
      </c>
      <c r="AD296" s="633"/>
      <c r="AE296" s="648"/>
      <c r="AF296" s="648"/>
      <c r="AG296" s="7"/>
      <c r="AH296" s="628"/>
      <c r="AI296" s="7"/>
      <c r="AJ296" s="618">
        <f t="shared" si="18"/>
        <v>0</v>
      </c>
    </row>
    <row r="297" spans="1:36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4"/>
      <c r="H297" s="214"/>
      <c r="I297" s="215"/>
      <c r="J297" s="647"/>
      <c r="K297" s="215"/>
      <c r="L297" s="213"/>
      <c r="M297" s="370"/>
      <c r="N297" s="214"/>
      <c r="O297" s="261"/>
      <c r="P297" s="213"/>
      <c r="Q297" s="213"/>
      <c r="R297" s="213"/>
      <c r="S297" s="213"/>
      <c r="T297" s="221"/>
      <c r="U297" s="213"/>
      <c r="V297" s="215"/>
      <c r="W297" s="214"/>
      <c r="X297" s="630"/>
      <c r="Y297" s="631"/>
      <c r="Z297" s="632"/>
      <c r="AA297" s="632"/>
      <c r="AB297" s="643"/>
      <c r="AC297" s="616">
        <f t="shared" si="17"/>
        <v>0</v>
      </c>
      <c r="AD297" s="633"/>
      <c r="AE297" s="648"/>
      <c r="AF297" s="648"/>
      <c r="AG297" s="7"/>
      <c r="AH297" s="628"/>
      <c r="AI297" s="7"/>
      <c r="AJ297" s="618">
        <f t="shared" si="18"/>
        <v>0</v>
      </c>
    </row>
    <row r="298" spans="1:36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4"/>
      <c r="H298" s="214"/>
      <c r="I298" s="215"/>
      <c r="J298" s="647"/>
      <c r="K298" s="215"/>
      <c r="L298" s="213"/>
      <c r="M298" s="370"/>
      <c r="N298" s="214"/>
      <c r="O298" s="261"/>
      <c r="P298" s="213"/>
      <c r="Q298" s="213"/>
      <c r="R298" s="213"/>
      <c r="S298" s="213"/>
      <c r="T298" s="221"/>
      <c r="U298" s="213"/>
      <c r="V298" s="215"/>
      <c r="W298" s="214"/>
      <c r="X298" s="630"/>
      <c r="Y298" s="631"/>
      <c r="Z298" s="632"/>
      <c r="AA298" s="632"/>
      <c r="AB298" s="643"/>
      <c r="AC298" s="616">
        <f t="shared" si="17"/>
        <v>0</v>
      </c>
      <c r="AD298" s="633"/>
      <c r="AE298" s="648"/>
      <c r="AF298" s="648"/>
      <c r="AG298" s="7"/>
      <c r="AH298" s="628"/>
      <c r="AI298" s="7"/>
      <c r="AJ298" s="618">
        <f t="shared" si="18"/>
        <v>0</v>
      </c>
    </row>
    <row r="299" spans="1:36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4"/>
      <c r="H299" s="214"/>
      <c r="I299" s="215"/>
      <c r="J299" s="620"/>
      <c r="K299" s="215"/>
      <c r="L299" s="213"/>
      <c r="M299" s="370"/>
      <c r="N299" s="214"/>
      <c r="O299" s="261"/>
      <c r="P299" s="213"/>
      <c r="Q299" s="213"/>
      <c r="R299" s="213"/>
      <c r="S299" s="213"/>
      <c r="T299" s="221"/>
      <c r="U299" s="213"/>
      <c r="V299" s="215"/>
      <c r="W299" s="214"/>
      <c r="X299" s="630"/>
      <c r="Y299" s="631"/>
      <c r="Z299" s="632"/>
      <c r="AA299" s="632"/>
      <c r="AB299" s="643"/>
      <c r="AC299" s="616">
        <f t="shared" si="17"/>
        <v>0</v>
      </c>
      <c r="AD299" s="633"/>
      <c r="AE299" s="636"/>
      <c r="AF299" s="636"/>
      <c r="AG299" s="7"/>
      <c r="AH299" s="628"/>
      <c r="AI299" s="7"/>
      <c r="AJ299" s="618">
        <f t="shared" si="18"/>
        <v>0</v>
      </c>
    </row>
    <row r="300" spans="1:36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4"/>
      <c r="H300" s="214"/>
      <c r="I300" s="215"/>
      <c r="J300" s="620"/>
      <c r="K300" s="215"/>
      <c r="L300" s="213"/>
      <c r="M300" s="370"/>
      <c r="N300" s="214"/>
      <c r="O300" s="261"/>
      <c r="P300" s="213"/>
      <c r="Q300" s="213"/>
      <c r="R300" s="213"/>
      <c r="S300" s="213"/>
      <c r="T300" s="221"/>
      <c r="U300" s="213"/>
      <c r="V300" s="215"/>
      <c r="W300" s="214"/>
      <c r="X300" s="630"/>
      <c r="Y300" s="631"/>
      <c r="Z300" s="632"/>
      <c r="AA300" s="632"/>
      <c r="AB300" s="643"/>
      <c r="AC300" s="616">
        <f t="shared" si="17"/>
        <v>0</v>
      </c>
      <c r="AD300" s="633"/>
      <c r="AE300" s="636"/>
      <c r="AF300" s="636"/>
      <c r="AG300" s="7"/>
      <c r="AH300" s="628"/>
      <c r="AI300" s="7"/>
      <c r="AJ300" s="618">
        <f t="shared" si="18"/>
        <v>0</v>
      </c>
    </row>
    <row r="301" spans="1:36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4"/>
      <c r="H301" s="214"/>
      <c r="I301" s="215"/>
      <c r="J301" s="647"/>
      <c r="K301" s="215"/>
      <c r="L301" s="213"/>
      <c r="M301" s="370"/>
      <c r="N301" s="214"/>
      <c r="O301" s="261"/>
      <c r="P301" s="213"/>
      <c r="Q301" s="213"/>
      <c r="R301" s="213"/>
      <c r="S301" s="213"/>
      <c r="T301" s="221"/>
      <c r="U301" s="213"/>
      <c r="V301" s="215"/>
      <c r="W301" s="214"/>
      <c r="X301" s="630"/>
      <c r="Y301" s="631"/>
      <c r="Z301" s="632"/>
      <c r="AA301" s="632"/>
      <c r="AB301" s="643"/>
      <c r="AC301" s="616">
        <f t="shared" si="17"/>
        <v>0</v>
      </c>
      <c r="AD301" s="633"/>
      <c r="AE301" s="648"/>
      <c r="AF301" s="648"/>
      <c r="AG301" s="7"/>
      <c r="AH301" s="628"/>
      <c r="AI301" s="7"/>
      <c r="AJ301" s="618">
        <f t="shared" si="18"/>
        <v>0</v>
      </c>
    </row>
    <row r="302" spans="1:36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4"/>
      <c r="H302" s="214"/>
      <c r="I302" s="215"/>
      <c r="J302" s="647"/>
      <c r="K302" s="215"/>
      <c r="L302" s="213"/>
      <c r="M302" s="370"/>
      <c r="N302" s="214"/>
      <c r="O302" s="261"/>
      <c r="P302" s="213"/>
      <c r="Q302" s="213"/>
      <c r="R302" s="213"/>
      <c r="S302" s="213"/>
      <c r="T302" s="221"/>
      <c r="U302" s="213"/>
      <c r="V302" s="215"/>
      <c r="W302" s="214"/>
      <c r="X302" s="630"/>
      <c r="Y302" s="631"/>
      <c r="Z302" s="632"/>
      <c r="AA302" s="632"/>
      <c r="AB302" s="643"/>
      <c r="AC302" s="616">
        <f t="shared" si="17"/>
        <v>0</v>
      </c>
      <c r="AD302" s="633"/>
      <c r="AE302" s="648"/>
      <c r="AF302" s="648"/>
      <c r="AG302" s="7"/>
      <c r="AH302" s="628"/>
      <c r="AI302" s="7"/>
      <c r="AJ302" s="618">
        <f t="shared" si="18"/>
        <v>0</v>
      </c>
    </row>
    <row r="303" spans="1:36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4"/>
      <c r="H303" s="214"/>
      <c r="I303" s="215"/>
      <c r="J303" s="647"/>
      <c r="K303" s="215"/>
      <c r="L303" s="213"/>
      <c r="M303" s="370"/>
      <c r="N303" s="214"/>
      <c r="O303" s="261"/>
      <c r="P303" s="213"/>
      <c r="Q303" s="213"/>
      <c r="R303" s="213"/>
      <c r="S303" s="213"/>
      <c r="T303" s="221"/>
      <c r="U303" s="213"/>
      <c r="V303" s="215"/>
      <c r="W303" s="214"/>
      <c r="X303" s="630"/>
      <c r="Y303" s="631"/>
      <c r="Z303" s="632"/>
      <c r="AA303" s="632"/>
      <c r="AB303" s="643"/>
      <c r="AC303" s="616">
        <f t="shared" si="17"/>
        <v>0</v>
      </c>
      <c r="AD303" s="633"/>
      <c r="AE303" s="648"/>
      <c r="AF303" s="648"/>
      <c r="AG303" s="7"/>
      <c r="AH303" s="628"/>
      <c r="AI303" s="7"/>
      <c r="AJ303" s="618">
        <f t="shared" si="18"/>
        <v>0</v>
      </c>
    </row>
    <row r="304" spans="1:36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4"/>
      <c r="H304" s="214"/>
      <c r="I304" s="215"/>
      <c r="J304" s="647"/>
      <c r="K304" s="215"/>
      <c r="L304" s="213"/>
      <c r="M304" s="370"/>
      <c r="N304" s="214"/>
      <c r="O304" s="261"/>
      <c r="P304" s="213"/>
      <c r="Q304" s="213"/>
      <c r="R304" s="213"/>
      <c r="S304" s="213"/>
      <c r="T304" s="221"/>
      <c r="U304" s="213"/>
      <c r="V304" s="215"/>
      <c r="W304" s="214"/>
      <c r="X304" s="630"/>
      <c r="Y304" s="631"/>
      <c r="Z304" s="632"/>
      <c r="AA304" s="632"/>
      <c r="AB304" s="643"/>
      <c r="AC304" s="616">
        <f t="shared" si="17"/>
        <v>0</v>
      </c>
      <c r="AD304" s="633"/>
      <c r="AE304" s="648"/>
      <c r="AF304" s="648"/>
      <c r="AG304" s="7"/>
      <c r="AH304" s="628"/>
      <c r="AI304" s="7"/>
      <c r="AJ304" s="618">
        <f t="shared" si="18"/>
        <v>0</v>
      </c>
    </row>
    <row r="305" spans="1:36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4"/>
      <c r="H305" s="214"/>
      <c r="I305" s="215"/>
      <c r="J305" s="620"/>
      <c r="K305" s="215"/>
      <c r="L305" s="213"/>
      <c r="M305" s="370"/>
      <c r="N305" s="214"/>
      <c r="O305" s="261"/>
      <c r="P305" s="213"/>
      <c r="Q305" s="213"/>
      <c r="R305" s="213"/>
      <c r="S305" s="213"/>
      <c r="T305" s="221"/>
      <c r="U305" s="213"/>
      <c r="V305" s="215"/>
      <c r="W305" s="214"/>
      <c r="X305" s="630"/>
      <c r="Y305" s="631"/>
      <c r="Z305" s="632"/>
      <c r="AA305" s="632"/>
      <c r="AB305" s="643"/>
      <c r="AC305" s="616">
        <f t="shared" si="17"/>
        <v>0</v>
      </c>
      <c r="AD305" s="633"/>
      <c r="AE305" s="636"/>
      <c r="AF305" s="636"/>
      <c r="AG305" s="7"/>
      <c r="AH305" s="628"/>
      <c r="AI305" s="7"/>
      <c r="AJ305" s="618">
        <f t="shared" si="18"/>
        <v>0</v>
      </c>
    </row>
    <row r="306" spans="1:36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4"/>
      <c r="H306" s="214"/>
      <c r="I306" s="215"/>
      <c r="J306" s="647"/>
      <c r="K306" s="215"/>
      <c r="L306" s="213"/>
      <c r="M306" s="370"/>
      <c r="N306" s="214"/>
      <c r="O306" s="261"/>
      <c r="P306" s="213"/>
      <c r="Q306" s="213"/>
      <c r="R306" s="213"/>
      <c r="S306" s="213"/>
      <c r="T306" s="221"/>
      <c r="U306" s="213"/>
      <c r="V306" s="215"/>
      <c r="W306" s="214"/>
      <c r="X306" s="630"/>
      <c r="Y306" s="631"/>
      <c r="Z306" s="632"/>
      <c r="AA306" s="632"/>
      <c r="AB306" s="643"/>
      <c r="AC306" s="616">
        <f t="shared" si="17"/>
        <v>0</v>
      </c>
      <c r="AD306" s="633"/>
      <c r="AE306" s="648"/>
      <c r="AF306" s="648"/>
      <c r="AG306" s="7"/>
      <c r="AH306" s="628"/>
      <c r="AI306" s="7"/>
      <c r="AJ306" s="618">
        <f t="shared" si="18"/>
        <v>0</v>
      </c>
    </row>
    <row r="307" spans="1:36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4"/>
      <c r="H307" s="214"/>
      <c r="I307" s="215"/>
      <c r="J307" s="647"/>
      <c r="K307" s="215"/>
      <c r="L307" s="213"/>
      <c r="M307" s="370"/>
      <c r="N307" s="214"/>
      <c r="O307" s="261"/>
      <c r="P307" s="213"/>
      <c r="Q307" s="213"/>
      <c r="R307" s="213"/>
      <c r="S307" s="213"/>
      <c r="T307" s="221"/>
      <c r="U307" s="213"/>
      <c r="V307" s="215"/>
      <c r="W307" s="214"/>
      <c r="X307" s="630"/>
      <c r="Y307" s="631"/>
      <c r="Z307" s="632"/>
      <c r="AA307" s="632"/>
      <c r="AB307" s="643"/>
      <c r="AC307" s="616">
        <f t="shared" si="17"/>
        <v>0</v>
      </c>
      <c r="AD307" s="633"/>
      <c r="AE307" s="648"/>
      <c r="AF307" s="648"/>
      <c r="AG307" s="7"/>
      <c r="AH307" s="628"/>
      <c r="AI307" s="7"/>
      <c r="AJ307" s="618">
        <f t="shared" si="18"/>
        <v>0</v>
      </c>
    </row>
    <row r="308" spans="1:36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4"/>
      <c r="H308" s="214"/>
      <c r="I308" s="215"/>
      <c r="J308" s="647"/>
      <c r="K308" s="215"/>
      <c r="L308" s="213"/>
      <c r="M308" s="370"/>
      <c r="N308" s="214"/>
      <c r="O308" s="261"/>
      <c r="P308" s="213"/>
      <c r="Q308" s="213"/>
      <c r="R308" s="213"/>
      <c r="S308" s="213"/>
      <c r="T308" s="221"/>
      <c r="U308" s="213"/>
      <c r="V308" s="215"/>
      <c r="W308" s="214"/>
      <c r="X308" s="630"/>
      <c r="Y308" s="631"/>
      <c r="Z308" s="632"/>
      <c r="AA308" s="632"/>
      <c r="AB308" s="643"/>
      <c r="AC308" s="616">
        <f t="shared" si="17"/>
        <v>0</v>
      </c>
      <c r="AD308" s="633"/>
      <c r="AE308" s="648"/>
      <c r="AF308" s="648"/>
      <c r="AG308" s="7"/>
      <c r="AH308" s="628"/>
      <c r="AI308" s="7"/>
      <c r="AJ308" s="618">
        <f t="shared" si="18"/>
        <v>0</v>
      </c>
    </row>
    <row r="309" spans="1:36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4"/>
      <c r="H309" s="214"/>
      <c r="I309" s="215"/>
      <c r="J309" s="647"/>
      <c r="K309" s="215"/>
      <c r="L309" s="213"/>
      <c r="M309" s="370"/>
      <c r="N309" s="214"/>
      <c r="O309" s="261"/>
      <c r="P309" s="213"/>
      <c r="Q309" s="213"/>
      <c r="R309" s="213"/>
      <c r="S309" s="213"/>
      <c r="T309" s="221"/>
      <c r="U309" s="213"/>
      <c r="V309" s="215"/>
      <c r="W309" s="214"/>
      <c r="X309" s="630"/>
      <c r="Y309" s="631"/>
      <c r="Z309" s="632"/>
      <c r="AA309" s="632"/>
      <c r="AB309" s="643"/>
      <c r="AC309" s="616">
        <f t="shared" si="17"/>
        <v>0</v>
      </c>
      <c r="AD309" s="633"/>
      <c r="AE309" s="648"/>
      <c r="AF309" s="648"/>
      <c r="AG309" s="7"/>
      <c r="AH309" s="628"/>
      <c r="AI309" s="7"/>
      <c r="AJ309" s="618">
        <f t="shared" si="18"/>
        <v>0</v>
      </c>
    </row>
    <row r="310" spans="1:36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4"/>
      <c r="H310" s="214"/>
      <c r="I310" s="215"/>
      <c r="J310" s="620"/>
      <c r="K310" s="215"/>
      <c r="L310" s="213"/>
      <c r="M310" s="370"/>
      <c r="N310" s="214"/>
      <c r="O310" s="261"/>
      <c r="P310" s="213"/>
      <c r="Q310" s="213"/>
      <c r="R310" s="213"/>
      <c r="S310" s="213"/>
      <c r="T310" s="221"/>
      <c r="U310" s="213"/>
      <c r="V310" s="215"/>
      <c r="W310" s="214"/>
      <c r="X310" s="630"/>
      <c r="Y310" s="631"/>
      <c r="Z310" s="632"/>
      <c r="AA310" s="632"/>
      <c r="AB310" s="643"/>
      <c r="AC310" s="616">
        <f t="shared" si="17"/>
        <v>0</v>
      </c>
      <c r="AD310" s="633"/>
      <c r="AE310" s="636"/>
      <c r="AF310" s="636"/>
      <c r="AG310" s="7"/>
      <c r="AH310" s="628"/>
      <c r="AI310" s="7"/>
      <c r="AJ310" s="618">
        <f t="shared" si="18"/>
        <v>0</v>
      </c>
    </row>
    <row r="311" spans="1:36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4"/>
      <c r="H311" s="214"/>
      <c r="I311" s="215"/>
      <c r="J311" s="647"/>
      <c r="K311" s="215"/>
      <c r="L311" s="213"/>
      <c r="M311" s="370"/>
      <c r="N311" s="214"/>
      <c r="O311" s="261"/>
      <c r="P311" s="213"/>
      <c r="Q311" s="213"/>
      <c r="R311" s="213"/>
      <c r="S311" s="213"/>
      <c r="T311" s="221"/>
      <c r="U311" s="213"/>
      <c r="V311" s="215"/>
      <c r="W311" s="214"/>
      <c r="X311" s="630"/>
      <c r="Y311" s="631"/>
      <c r="Z311" s="632"/>
      <c r="AA311" s="632"/>
      <c r="AB311" s="643"/>
      <c r="AC311" s="616">
        <f t="shared" si="17"/>
        <v>0</v>
      </c>
      <c r="AD311" s="633"/>
      <c r="AE311" s="648"/>
      <c r="AF311" s="648"/>
      <c r="AG311" s="7"/>
      <c r="AH311" s="628"/>
      <c r="AI311" s="7"/>
      <c r="AJ311" s="618">
        <f t="shared" si="18"/>
        <v>0</v>
      </c>
    </row>
    <row r="312" spans="1:36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4"/>
      <c r="H312" s="214"/>
      <c r="I312" s="215"/>
      <c r="J312" s="647"/>
      <c r="K312" s="215"/>
      <c r="L312" s="213"/>
      <c r="M312" s="370"/>
      <c r="N312" s="214"/>
      <c r="O312" s="261"/>
      <c r="P312" s="213"/>
      <c r="Q312" s="213"/>
      <c r="R312" s="213"/>
      <c r="S312" s="213"/>
      <c r="T312" s="221"/>
      <c r="U312" s="213"/>
      <c r="V312" s="215"/>
      <c r="W312" s="214"/>
      <c r="X312" s="630"/>
      <c r="Y312" s="631"/>
      <c r="Z312" s="632"/>
      <c r="AA312" s="632"/>
      <c r="AB312" s="643"/>
      <c r="AC312" s="616">
        <f t="shared" si="17"/>
        <v>0</v>
      </c>
      <c r="AD312" s="633"/>
      <c r="AE312" s="648"/>
      <c r="AF312" s="648"/>
      <c r="AG312" s="7"/>
      <c r="AH312" s="628"/>
      <c r="AI312" s="7"/>
      <c r="AJ312" s="618">
        <f t="shared" si="18"/>
        <v>0</v>
      </c>
    </row>
    <row r="313" spans="1:36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4"/>
      <c r="H313" s="214"/>
      <c r="I313" s="215"/>
      <c r="J313" s="647"/>
      <c r="K313" s="215"/>
      <c r="L313" s="213"/>
      <c r="M313" s="370"/>
      <c r="N313" s="214"/>
      <c r="O313" s="261"/>
      <c r="P313" s="213"/>
      <c r="Q313" s="213"/>
      <c r="R313" s="213"/>
      <c r="S313" s="213"/>
      <c r="T313" s="221"/>
      <c r="U313" s="213"/>
      <c r="V313" s="215"/>
      <c r="W313" s="214"/>
      <c r="X313" s="630"/>
      <c r="Y313" s="631"/>
      <c r="Z313" s="632"/>
      <c r="AA313" s="632"/>
      <c r="AB313" s="643"/>
      <c r="AC313" s="616">
        <f t="shared" si="17"/>
        <v>0</v>
      </c>
      <c r="AD313" s="633"/>
      <c r="AE313" s="648"/>
      <c r="AF313" s="648"/>
      <c r="AG313" s="7"/>
      <c r="AH313" s="628"/>
      <c r="AI313" s="7"/>
      <c r="AJ313" s="618">
        <f t="shared" si="18"/>
        <v>0</v>
      </c>
    </row>
    <row r="314" spans="1:36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4"/>
      <c r="H314" s="214"/>
      <c r="I314" s="215"/>
      <c r="J314" s="647"/>
      <c r="K314" s="215"/>
      <c r="L314" s="213"/>
      <c r="M314" s="370"/>
      <c r="N314" s="214"/>
      <c r="O314" s="261"/>
      <c r="P314" s="213"/>
      <c r="Q314" s="213"/>
      <c r="R314" s="213"/>
      <c r="S314" s="213"/>
      <c r="T314" s="221"/>
      <c r="U314" s="213"/>
      <c r="V314" s="215"/>
      <c r="W314" s="214"/>
      <c r="X314" s="630"/>
      <c r="Y314" s="631"/>
      <c r="Z314" s="632"/>
      <c r="AA314" s="632"/>
      <c r="AB314" s="643"/>
      <c r="AC314" s="616">
        <f t="shared" si="17"/>
        <v>0</v>
      </c>
      <c r="AD314" s="633"/>
      <c r="AE314" s="648"/>
      <c r="AF314" s="648"/>
      <c r="AG314" s="7"/>
      <c r="AH314" s="628"/>
      <c r="AI314" s="7"/>
      <c r="AJ314" s="618">
        <f t="shared" si="18"/>
        <v>0</v>
      </c>
    </row>
    <row r="315" spans="1:36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4"/>
      <c r="H315" s="214"/>
      <c r="I315" s="215"/>
      <c r="J315" s="647"/>
      <c r="K315" s="215"/>
      <c r="L315" s="213"/>
      <c r="M315" s="370"/>
      <c r="N315" s="214"/>
      <c r="O315" s="261"/>
      <c r="P315" s="213"/>
      <c r="Q315" s="213"/>
      <c r="R315" s="213"/>
      <c r="S315" s="213"/>
      <c r="T315" s="221"/>
      <c r="U315" s="213"/>
      <c r="V315" s="215"/>
      <c r="W315" s="214"/>
      <c r="X315" s="630"/>
      <c r="Y315" s="631"/>
      <c r="Z315" s="632"/>
      <c r="AA315" s="632"/>
      <c r="AB315" s="643"/>
      <c r="AC315" s="616">
        <f t="shared" si="17"/>
        <v>0</v>
      </c>
      <c r="AD315" s="633"/>
      <c r="AE315" s="636"/>
      <c r="AF315" s="636"/>
      <c r="AG315" s="7"/>
      <c r="AH315" s="628"/>
      <c r="AI315" s="7"/>
      <c r="AJ315" s="618">
        <f t="shared" si="18"/>
        <v>0</v>
      </c>
    </row>
    <row r="316" spans="1:36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4"/>
      <c r="H316" s="214"/>
      <c r="I316" s="215"/>
      <c r="J316" s="647"/>
      <c r="K316" s="215"/>
      <c r="L316" s="213"/>
      <c r="M316" s="370"/>
      <c r="N316" s="214"/>
      <c r="O316" s="261"/>
      <c r="P316" s="213"/>
      <c r="Q316" s="213"/>
      <c r="R316" s="213"/>
      <c r="S316" s="213"/>
      <c r="T316" s="221"/>
      <c r="U316" s="213"/>
      <c r="V316" s="215"/>
      <c r="W316" s="214"/>
      <c r="X316" s="630"/>
      <c r="Y316" s="631"/>
      <c r="Z316" s="632"/>
      <c r="AA316" s="632"/>
      <c r="AB316" s="643"/>
      <c r="AC316" s="616">
        <f t="shared" si="17"/>
        <v>0</v>
      </c>
      <c r="AD316" s="633"/>
      <c r="AE316" s="648"/>
      <c r="AF316" s="648"/>
      <c r="AG316" s="7"/>
      <c r="AH316" s="628"/>
      <c r="AI316" s="7"/>
      <c r="AJ316" s="618">
        <f t="shared" si="18"/>
        <v>0</v>
      </c>
    </row>
    <row r="317" spans="1:36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4"/>
      <c r="H317" s="214"/>
      <c r="I317" s="215"/>
      <c r="J317" s="647"/>
      <c r="K317" s="215"/>
      <c r="L317" s="213"/>
      <c r="M317" s="370"/>
      <c r="N317" s="214"/>
      <c r="O317" s="261"/>
      <c r="P317" s="213"/>
      <c r="Q317" s="213"/>
      <c r="R317" s="213"/>
      <c r="S317" s="213"/>
      <c r="T317" s="221"/>
      <c r="U317" s="213"/>
      <c r="V317" s="215"/>
      <c r="W317" s="214"/>
      <c r="X317" s="630"/>
      <c r="Y317" s="631"/>
      <c r="Z317" s="632"/>
      <c r="AA317" s="632"/>
      <c r="AB317" s="643"/>
      <c r="AC317" s="616">
        <f t="shared" si="17"/>
        <v>0</v>
      </c>
      <c r="AD317" s="633"/>
      <c r="AE317" s="648"/>
      <c r="AF317" s="648"/>
      <c r="AG317" s="7"/>
      <c r="AH317" s="628"/>
      <c r="AI317" s="7"/>
      <c r="AJ317" s="618">
        <f t="shared" si="18"/>
        <v>0</v>
      </c>
    </row>
    <row r="318" spans="1:36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4"/>
      <c r="H318" s="214"/>
      <c r="I318" s="215"/>
      <c r="J318" s="647"/>
      <c r="K318" s="215"/>
      <c r="L318" s="213"/>
      <c r="M318" s="370"/>
      <c r="N318" s="214"/>
      <c r="O318" s="261"/>
      <c r="P318" s="213"/>
      <c r="Q318" s="213"/>
      <c r="R318" s="213"/>
      <c r="S318" s="213"/>
      <c r="T318" s="221"/>
      <c r="U318" s="213"/>
      <c r="V318" s="215"/>
      <c r="W318" s="214"/>
      <c r="X318" s="630"/>
      <c r="Y318" s="631"/>
      <c r="Z318" s="632"/>
      <c r="AA318" s="632"/>
      <c r="AB318" s="643"/>
      <c r="AC318" s="616">
        <f t="shared" si="17"/>
        <v>0</v>
      </c>
      <c r="AD318" s="633"/>
      <c r="AE318" s="648"/>
      <c r="AF318" s="648"/>
      <c r="AG318" s="7"/>
      <c r="AH318" s="628"/>
      <c r="AI318" s="7"/>
      <c r="AJ318" s="618">
        <f t="shared" si="18"/>
        <v>0</v>
      </c>
    </row>
    <row r="319" spans="1:36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4"/>
      <c r="H319" s="214"/>
      <c r="I319" s="215"/>
      <c r="J319" s="647"/>
      <c r="K319" s="215"/>
      <c r="L319" s="213"/>
      <c r="M319" s="370"/>
      <c r="N319" s="214"/>
      <c r="O319" s="261"/>
      <c r="P319" s="213"/>
      <c r="Q319" s="213"/>
      <c r="R319" s="213"/>
      <c r="S319" s="213"/>
      <c r="T319" s="221"/>
      <c r="U319" s="213"/>
      <c r="V319" s="215"/>
      <c r="W319" s="214"/>
      <c r="X319" s="630"/>
      <c r="Y319" s="631"/>
      <c r="Z319" s="632"/>
      <c r="AA319" s="632"/>
      <c r="AB319" s="643"/>
      <c r="AC319" s="616">
        <f t="shared" si="17"/>
        <v>0</v>
      </c>
      <c r="AD319" s="633"/>
      <c r="AE319" s="648"/>
      <c r="AF319" s="648"/>
      <c r="AG319" s="7"/>
      <c r="AH319" s="628"/>
      <c r="AI319" s="7"/>
      <c r="AJ319" s="618">
        <f t="shared" si="18"/>
        <v>0</v>
      </c>
    </row>
    <row r="320" spans="1:36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4"/>
      <c r="H320" s="214"/>
      <c r="I320" s="215"/>
      <c r="J320" s="620"/>
      <c r="K320" s="215"/>
      <c r="L320" s="213"/>
      <c r="M320" s="370"/>
      <c r="N320" s="214"/>
      <c r="O320" s="261"/>
      <c r="P320" s="213"/>
      <c r="Q320" s="213"/>
      <c r="R320" s="213"/>
      <c r="S320" s="213"/>
      <c r="T320" s="221"/>
      <c r="U320" s="213"/>
      <c r="V320" s="215"/>
      <c r="W320" s="214"/>
      <c r="X320" s="630"/>
      <c r="Y320" s="631"/>
      <c r="Z320" s="632"/>
      <c r="AA320" s="632"/>
      <c r="AB320" s="643"/>
      <c r="AC320" s="616">
        <f t="shared" si="17"/>
        <v>0</v>
      </c>
      <c r="AD320" s="633"/>
      <c r="AE320" s="636"/>
      <c r="AF320" s="636"/>
      <c r="AG320" s="7"/>
      <c r="AH320" s="628"/>
      <c r="AI320" s="7"/>
      <c r="AJ320" s="618">
        <f t="shared" si="18"/>
        <v>0</v>
      </c>
    </row>
    <row r="321" spans="1:36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4"/>
      <c r="H321" s="214"/>
      <c r="I321" s="215"/>
      <c r="J321" s="647"/>
      <c r="K321" s="215"/>
      <c r="L321" s="213"/>
      <c r="M321" s="370"/>
      <c r="N321" s="214"/>
      <c r="O321" s="261"/>
      <c r="P321" s="213"/>
      <c r="Q321" s="213"/>
      <c r="R321" s="213"/>
      <c r="S321" s="213"/>
      <c r="T321" s="221"/>
      <c r="U321" s="213"/>
      <c r="V321" s="215"/>
      <c r="W321" s="214"/>
      <c r="X321" s="630"/>
      <c r="Y321" s="631"/>
      <c r="Z321" s="632"/>
      <c r="AA321" s="632"/>
      <c r="AB321" s="643"/>
      <c r="AC321" s="616">
        <f t="shared" si="17"/>
        <v>0</v>
      </c>
      <c r="AD321" s="633"/>
      <c r="AE321" s="636"/>
      <c r="AF321" s="636"/>
      <c r="AG321" s="7"/>
      <c r="AH321" s="628"/>
      <c r="AI321" s="7"/>
      <c r="AJ321" s="618">
        <f t="shared" si="18"/>
        <v>0</v>
      </c>
    </row>
    <row r="322" spans="1:36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4"/>
      <c r="H322" s="214"/>
      <c r="I322" s="215"/>
      <c r="J322" s="647"/>
      <c r="K322" s="215"/>
      <c r="L322" s="213"/>
      <c r="M322" s="370"/>
      <c r="N322" s="214"/>
      <c r="O322" s="261"/>
      <c r="P322" s="213"/>
      <c r="Q322" s="213"/>
      <c r="R322" s="213"/>
      <c r="S322" s="213"/>
      <c r="T322" s="221"/>
      <c r="U322" s="213"/>
      <c r="V322" s="215"/>
      <c r="W322" s="214"/>
      <c r="X322" s="630"/>
      <c r="Y322" s="631"/>
      <c r="Z322" s="632"/>
      <c r="AA322" s="632"/>
      <c r="AB322" s="643"/>
      <c r="AC322" s="616">
        <f t="shared" si="17"/>
        <v>0</v>
      </c>
      <c r="AD322" s="633"/>
      <c r="AE322" s="636"/>
      <c r="AF322" s="636"/>
      <c r="AG322" s="7"/>
      <c r="AH322" s="628"/>
      <c r="AI322" s="7"/>
      <c r="AJ322" s="618">
        <f t="shared" si="18"/>
        <v>0</v>
      </c>
    </row>
    <row r="323" spans="1:36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4"/>
      <c r="H323" s="214"/>
      <c r="I323" s="215"/>
      <c r="J323" s="647"/>
      <c r="K323" s="215"/>
      <c r="L323" s="213"/>
      <c r="M323" s="370"/>
      <c r="N323" s="214"/>
      <c r="O323" s="261"/>
      <c r="P323" s="213"/>
      <c r="Q323" s="213"/>
      <c r="R323" s="213"/>
      <c r="S323" s="213"/>
      <c r="T323" s="221"/>
      <c r="U323" s="213"/>
      <c r="V323" s="215"/>
      <c r="W323" s="214"/>
      <c r="X323" s="630"/>
      <c r="Y323" s="631"/>
      <c r="Z323" s="632"/>
      <c r="AA323" s="632"/>
      <c r="AB323" s="643"/>
      <c r="AC323" s="616">
        <f t="shared" si="17"/>
        <v>0</v>
      </c>
      <c r="AD323" s="633"/>
      <c r="AE323" s="636"/>
      <c r="AF323" s="636"/>
      <c r="AG323" s="7"/>
      <c r="AH323" s="628"/>
      <c r="AI323" s="7"/>
      <c r="AJ323" s="618">
        <f t="shared" si="18"/>
        <v>0</v>
      </c>
    </row>
    <row r="324" spans="1:36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4"/>
      <c r="H324" s="214"/>
      <c r="I324" s="215"/>
      <c r="J324" s="647"/>
      <c r="K324" s="215"/>
      <c r="L324" s="213"/>
      <c r="M324" s="370"/>
      <c r="N324" s="214"/>
      <c r="O324" s="261"/>
      <c r="P324" s="213"/>
      <c r="Q324" s="213"/>
      <c r="R324" s="213"/>
      <c r="S324" s="213"/>
      <c r="T324" s="221"/>
      <c r="U324" s="213"/>
      <c r="V324" s="215"/>
      <c r="W324" s="214"/>
      <c r="X324" s="630"/>
      <c r="Y324" s="631"/>
      <c r="Z324" s="632"/>
      <c r="AA324" s="632"/>
      <c r="AB324" s="643"/>
      <c r="AC324" s="616">
        <f t="shared" si="17"/>
        <v>0</v>
      </c>
      <c r="AD324" s="633"/>
      <c r="AE324" s="636"/>
      <c r="AF324" s="636"/>
      <c r="AG324" s="7"/>
      <c r="AH324" s="628"/>
      <c r="AI324" s="7"/>
      <c r="AJ324" s="618">
        <f t="shared" si="18"/>
        <v>0</v>
      </c>
    </row>
    <row r="325" spans="1:36" ht="33.75" customHeight="1">
      <c r="A325" s="486"/>
      <c r="B325" s="487" t="s">
        <v>703</v>
      </c>
      <c r="C325" s="656" t="s">
        <v>704</v>
      </c>
      <c r="D325" s="519" t="s">
        <v>1605</v>
      </c>
      <c r="E325" s="213"/>
      <c r="F325" s="213"/>
      <c r="G325" s="214"/>
      <c r="H325" s="214"/>
      <c r="I325" s="215"/>
      <c r="J325" s="193"/>
      <c r="K325" s="215"/>
      <c r="L325" s="213"/>
      <c r="M325" s="370"/>
      <c r="N325" s="214"/>
      <c r="O325" s="261"/>
      <c r="P325" s="213"/>
      <c r="Q325" s="213"/>
      <c r="R325" s="213"/>
      <c r="S325" s="213"/>
      <c r="T325" s="221"/>
      <c r="U325" s="213"/>
      <c r="V325" s="215"/>
      <c r="W325" s="214"/>
      <c r="X325" s="630"/>
      <c r="Y325" s="631"/>
      <c r="Z325" s="632"/>
      <c r="AA325" s="632"/>
      <c r="AB325" s="643"/>
      <c r="AC325" s="616">
        <f t="shared" si="17"/>
        <v>0</v>
      </c>
      <c r="AD325" s="633"/>
      <c r="AE325" s="636"/>
      <c r="AF325" s="636"/>
      <c r="AG325" s="7"/>
      <c r="AH325" s="628">
        <v>2.52</v>
      </c>
      <c r="AI325" s="7"/>
      <c r="AJ325" s="618">
        <f t="shared" si="18"/>
        <v>2.52</v>
      </c>
    </row>
    <row r="326" spans="1:36" ht="25.5" customHeight="1">
      <c r="A326" s="503"/>
      <c r="B326" s="483" t="s">
        <v>707</v>
      </c>
      <c r="C326" s="629" t="s">
        <v>131</v>
      </c>
      <c r="D326" s="354" t="s">
        <v>1606</v>
      </c>
      <c r="E326" s="213"/>
      <c r="F326" s="213"/>
      <c r="G326" s="214"/>
      <c r="H326" s="214"/>
      <c r="I326" s="215"/>
      <c r="J326" s="193"/>
      <c r="K326" s="215"/>
      <c r="L326" s="213"/>
      <c r="M326" s="370"/>
      <c r="N326" s="214"/>
      <c r="O326" s="261"/>
      <c r="P326" s="213"/>
      <c r="Q326" s="213"/>
      <c r="R326" s="213"/>
      <c r="S326" s="213"/>
      <c r="T326" s="221"/>
      <c r="U326" s="213"/>
      <c r="V326" s="215"/>
      <c r="W326" s="214"/>
      <c r="X326" s="630"/>
      <c r="Y326" s="631"/>
      <c r="Z326" s="632"/>
      <c r="AA326" s="632"/>
      <c r="AB326" s="643"/>
      <c r="AC326" s="616">
        <f t="shared" si="17"/>
        <v>0</v>
      </c>
      <c r="AD326" s="633"/>
      <c r="AE326" s="634"/>
      <c r="AF326" s="634"/>
      <c r="AG326" s="7"/>
      <c r="AH326" s="628">
        <v>0.52</v>
      </c>
      <c r="AI326" s="7"/>
      <c r="AJ326" s="618">
        <f t="shared" si="18"/>
        <v>0.52</v>
      </c>
    </row>
    <row r="327" spans="1:36" ht="21" customHeight="1">
      <c r="A327" s="503"/>
      <c r="B327" s="483" t="s">
        <v>709</v>
      </c>
      <c r="C327" s="629" t="s">
        <v>200</v>
      </c>
      <c r="D327" s="354" t="s">
        <v>1607</v>
      </c>
      <c r="E327" s="213"/>
      <c r="F327" s="213"/>
      <c r="G327" s="214"/>
      <c r="H327" s="214"/>
      <c r="I327" s="215"/>
      <c r="J327" s="193"/>
      <c r="K327" s="215"/>
      <c r="L327" s="213"/>
      <c r="M327" s="370"/>
      <c r="N327" s="214"/>
      <c r="O327" s="261"/>
      <c r="P327" s="213"/>
      <c r="Q327" s="213"/>
      <c r="R327" s="213"/>
      <c r="S327" s="213"/>
      <c r="T327" s="221"/>
      <c r="U327" s="213"/>
      <c r="V327" s="215"/>
      <c r="W327" s="214"/>
      <c r="X327" s="630"/>
      <c r="Y327" s="631"/>
      <c r="Z327" s="632"/>
      <c r="AA327" s="632"/>
      <c r="AB327" s="643"/>
      <c r="AC327" s="616">
        <f t="shared" si="17"/>
        <v>0</v>
      </c>
      <c r="AD327" s="633"/>
      <c r="AE327" s="636"/>
      <c r="AF327" s="636"/>
      <c r="AG327" s="7"/>
      <c r="AH327" s="628"/>
      <c r="AI327" s="7"/>
      <c r="AJ327" s="618">
        <f t="shared" si="18"/>
        <v>0</v>
      </c>
    </row>
    <row r="328" spans="1:36" ht="21" customHeight="1">
      <c r="A328" s="503"/>
      <c r="B328" s="483" t="s">
        <v>711</v>
      </c>
      <c r="C328" s="629" t="s">
        <v>203</v>
      </c>
      <c r="D328" s="354" t="s">
        <v>1608</v>
      </c>
      <c r="E328" s="213"/>
      <c r="F328" s="213"/>
      <c r="G328" s="214"/>
      <c r="H328" s="214"/>
      <c r="I328" s="215"/>
      <c r="J328" s="193"/>
      <c r="K328" s="215"/>
      <c r="L328" s="213"/>
      <c r="M328" s="370"/>
      <c r="N328" s="214"/>
      <c r="O328" s="261"/>
      <c r="P328" s="213"/>
      <c r="Q328" s="213"/>
      <c r="R328" s="213"/>
      <c r="S328" s="213"/>
      <c r="T328" s="221"/>
      <c r="U328" s="213"/>
      <c r="V328" s="215"/>
      <c r="W328" s="214"/>
      <c r="X328" s="630"/>
      <c r="Y328" s="631"/>
      <c r="Z328" s="632"/>
      <c r="AA328" s="632"/>
      <c r="AB328" s="643"/>
      <c r="AC328" s="616">
        <f t="shared" si="17"/>
        <v>0</v>
      </c>
      <c r="AD328" s="633"/>
      <c r="AE328" s="636"/>
      <c r="AF328" s="636"/>
      <c r="AG328" s="7"/>
      <c r="AH328" s="628">
        <v>2</v>
      </c>
      <c r="AI328" s="7"/>
      <c r="AJ328" s="618">
        <f t="shared" si="18"/>
        <v>2</v>
      </c>
    </row>
    <row r="329" spans="1:36" ht="21" customHeight="1">
      <c r="A329" s="503"/>
      <c r="B329" s="483" t="s">
        <v>713</v>
      </c>
      <c r="C329" s="629" t="s">
        <v>159</v>
      </c>
      <c r="D329" s="354" t="s">
        <v>1609</v>
      </c>
      <c r="E329" s="213"/>
      <c r="F329" s="213"/>
      <c r="G329" s="214"/>
      <c r="H329" s="214"/>
      <c r="I329" s="215"/>
      <c r="J329" s="193"/>
      <c r="K329" s="215"/>
      <c r="L329" s="213"/>
      <c r="M329" s="370"/>
      <c r="N329" s="214"/>
      <c r="O329" s="261"/>
      <c r="P329" s="213"/>
      <c r="Q329" s="213"/>
      <c r="R329" s="213"/>
      <c r="S329" s="213"/>
      <c r="T329" s="221"/>
      <c r="U329" s="213"/>
      <c r="V329" s="215"/>
      <c r="W329" s="214"/>
      <c r="X329" s="630"/>
      <c r="Y329" s="631"/>
      <c r="Z329" s="632"/>
      <c r="AA329" s="632"/>
      <c r="AB329" s="643"/>
      <c r="AC329" s="616">
        <f t="shared" si="17"/>
        <v>0</v>
      </c>
      <c r="AD329" s="633"/>
      <c r="AE329" s="636"/>
      <c r="AF329" s="636"/>
      <c r="AG329" s="7"/>
      <c r="AH329" s="628"/>
      <c r="AI329" s="7"/>
      <c r="AJ329" s="618">
        <f t="shared" si="18"/>
        <v>0</v>
      </c>
    </row>
    <row r="330" spans="1:36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4"/>
      <c r="H330" s="214"/>
      <c r="I330" s="215"/>
      <c r="J330" s="620"/>
      <c r="K330" s="215"/>
      <c r="L330" s="213"/>
      <c r="M330" s="370"/>
      <c r="N330" s="214"/>
      <c r="O330" s="261"/>
      <c r="P330" s="213"/>
      <c r="Q330" s="213"/>
      <c r="R330" s="213"/>
      <c r="S330" s="213"/>
      <c r="T330" s="221"/>
      <c r="U330" s="213"/>
      <c r="V330" s="215"/>
      <c r="W330" s="214"/>
      <c r="X330" s="630"/>
      <c r="Y330" s="631"/>
      <c r="Z330" s="632"/>
      <c r="AA330" s="632"/>
      <c r="AB330" s="643"/>
      <c r="AC330" s="616">
        <f t="shared" si="17"/>
        <v>0</v>
      </c>
      <c r="AD330" s="633"/>
      <c r="AE330" s="636"/>
      <c r="AF330" s="636"/>
      <c r="AG330" s="7"/>
      <c r="AH330" s="628"/>
      <c r="AI330" s="7"/>
      <c r="AJ330" s="618">
        <f t="shared" si="18"/>
        <v>0</v>
      </c>
    </row>
    <row r="331" spans="1:36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4"/>
      <c r="H331" s="214"/>
      <c r="I331" s="215"/>
      <c r="J331" s="647"/>
      <c r="K331" s="215"/>
      <c r="L331" s="213"/>
      <c r="M331" s="370"/>
      <c r="N331" s="214"/>
      <c r="O331" s="261"/>
      <c r="P331" s="213"/>
      <c r="Q331" s="213"/>
      <c r="R331" s="213"/>
      <c r="S331" s="213"/>
      <c r="T331" s="221"/>
      <c r="U331" s="213"/>
      <c r="V331" s="215"/>
      <c r="W331" s="214"/>
      <c r="X331" s="630"/>
      <c r="Y331" s="631"/>
      <c r="Z331" s="632"/>
      <c r="AA331" s="632"/>
      <c r="AB331" s="643"/>
      <c r="AC331" s="616">
        <f t="shared" si="17"/>
        <v>0</v>
      </c>
      <c r="AD331" s="633"/>
      <c r="AE331" s="654"/>
      <c r="AF331" s="654"/>
      <c r="AG331" s="7"/>
      <c r="AH331" s="628"/>
      <c r="AI331" s="7"/>
      <c r="AJ331" s="618">
        <f t="shared" si="18"/>
        <v>0</v>
      </c>
    </row>
    <row r="332" spans="1:36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4"/>
      <c r="H332" s="214"/>
      <c r="I332" s="215"/>
      <c r="J332" s="647"/>
      <c r="K332" s="215"/>
      <c r="L332" s="213"/>
      <c r="M332" s="370"/>
      <c r="N332" s="214"/>
      <c r="O332" s="261"/>
      <c r="P332" s="213"/>
      <c r="Q332" s="213"/>
      <c r="R332" s="213"/>
      <c r="S332" s="213"/>
      <c r="T332" s="221"/>
      <c r="U332" s="213"/>
      <c r="V332" s="215"/>
      <c r="W332" s="214"/>
      <c r="X332" s="630"/>
      <c r="Y332" s="631"/>
      <c r="Z332" s="632"/>
      <c r="AA332" s="632"/>
      <c r="AB332" s="643"/>
      <c r="AC332" s="616">
        <f t="shared" si="17"/>
        <v>0</v>
      </c>
      <c r="AD332" s="633"/>
      <c r="AE332" s="648"/>
      <c r="AF332" s="648"/>
      <c r="AG332" s="7"/>
      <c r="AH332" s="628"/>
      <c r="AI332" s="7"/>
      <c r="AJ332" s="618">
        <f t="shared" si="18"/>
        <v>0</v>
      </c>
    </row>
    <row r="333" spans="1:36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4"/>
      <c r="H333" s="214"/>
      <c r="I333" s="215"/>
      <c r="J333" s="647"/>
      <c r="K333" s="215"/>
      <c r="L333" s="213"/>
      <c r="M333" s="370"/>
      <c r="N333" s="214"/>
      <c r="O333" s="261"/>
      <c r="P333" s="213"/>
      <c r="Q333" s="213"/>
      <c r="R333" s="213"/>
      <c r="S333" s="213"/>
      <c r="T333" s="221"/>
      <c r="U333" s="213"/>
      <c r="V333" s="215"/>
      <c r="W333" s="214"/>
      <c r="X333" s="630"/>
      <c r="Y333" s="631"/>
      <c r="Z333" s="632"/>
      <c r="AA333" s="632"/>
      <c r="AB333" s="643"/>
      <c r="AC333" s="616">
        <f t="shared" si="17"/>
        <v>0</v>
      </c>
      <c r="AD333" s="633"/>
      <c r="AE333" s="648"/>
      <c r="AF333" s="648"/>
      <c r="AG333" s="7"/>
      <c r="AH333" s="628"/>
      <c r="AI333" s="7"/>
      <c r="AJ333" s="618">
        <f t="shared" si="18"/>
        <v>0</v>
      </c>
    </row>
    <row r="334" spans="1:36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4"/>
      <c r="H334" s="214"/>
      <c r="I334" s="215"/>
      <c r="J334" s="647"/>
      <c r="K334" s="215"/>
      <c r="L334" s="213"/>
      <c r="M334" s="370"/>
      <c r="N334" s="214"/>
      <c r="O334" s="261"/>
      <c r="P334" s="213"/>
      <c r="Q334" s="213"/>
      <c r="R334" s="213"/>
      <c r="S334" s="213"/>
      <c r="T334" s="221"/>
      <c r="U334" s="213"/>
      <c r="V334" s="215"/>
      <c r="W334" s="214"/>
      <c r="X334" s="630"/>
      <c r="Y334" s="631"/>
      <c r="Z334" s="632"/>
      <c r="AA334" s="632"/>
      <c r="AB334" s="643"/>
      <c r="AC334" s="616">
        <f t="shared" si="17"/>
        <v>0</v>
      </c>
      <c r="AD334" s="633"/>
      <c r="AE334" s="648"/>
      <c r="AF334" s="648"/>
      <c r="AG334" s="7"/>
      <c r="AH334" s="628"/>
      <c r="AI334" s="7"/>
      <c r="AJ334" s="618">
        <f t="shared" si="18"/>
        <v>0</v>
      </c>
    </row>
    <row r="335" spans="1:36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4"/>
      <c r="H335" s="214"/>
      <c r="I335" s="215"/>
      <c r="J335" s="647"/>
      <c r="K335" s="215"/>
      <c r="L335" s="213"/>
      <c r="M335" s="370"/>
      <c r="N335" s="214"/>
      <c r="O335" s="261"/>
      <c r="P335" s="213"/>
      <c r="Q335" s="213"/>
      <c r="R335" s="213"/>
      <c r="S335" s="213"/>
      <c r="T335" s="221"/>
      <c r="U335" s="213"/>
      <c r="V335" s="215"/>
      <c r="W335" s="214"/>
      <c r="X335" s="630"/>
      <c r="Y335" s="631"/>
      <c r="Z335" s="632"/>
      <c r="AA335" s="632"/>
      <c r="AB335" s="643"/>
      <c r="AC335" s="616">
        <f t="shared" si="17"/>
        <v>0</v>
      </c>
      <c r="AD335" s="633"/>
      <c r="AE335" s="648"/>
      <c r="AF335" s="648"/>
      <c r="AG335" s="7"/>
      <c r="AH335" s="628"/>
      <c r="AI335" s="7"/>
      <c r="AJ335" s="618">
        <f t="shared" si="18"/>
        <v>0</v>
      </c>
    </row>
    <row r="336" spans="1:36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4"/>
      <c r="H336" s="214"/>
      <c r="I336" s="215"/>
      <c r="J336" s="647"/>
      <c r="K336" s="215"/>
      <c r="L336" s="213"/>
      <c r="M336" s="370"/>
      <c r="N336" s="214"/>
      <c r="O336" s="261"/>
      <c r="P336" s="213"/>
      <c r="Q336" s="213"/>
      <c r="R336" s="213"/>
      <c r="S336" s="213"/>
      <c r="T336" s="221"/>
      <c r="U336" s="213"/>
      <c r="V336" s="215"/>
      <c r="W336" s="214"/>
      <c r="X336" s="630"/>
      <c r="Y336" s="631"/>
      <c r="Z336" s="632"/>
      <c r="AA336" s="632"/>
      <c r="AB336" s="643"/>
      <c r="AC336" s="616">
        <f t="shared" si="17"/>
        <v>0</v>
      </c>
      <c r="AD336" s="633"/>
      <c r="AE336" s="654"/>
      <c r="AF336" s="654"/>
      <c r="AG336" s="7"/>
      <c r="AH336" s="628"/>
      <c r="AI336" s="7"/>
      <c r="AJ336" s="618">
        <f t="shared" si="18"/>
        <v>0</v>
      </c>
    </row>
    <row r="337" spans="1:36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4"/>
      <c r="H337" s="214"/>
      <c r="I337" s="215"/>
      <c r="J337" s="647"/>
      <c r="K337" s="215"/>
      <c r="L337" s="213"/>
      <c r="M337" s="370"/>
      <c r="N337" s="214"/>
      <c r="O337" s="261"/>
      <c r="P337" s="213"/>
      <c r="Q337" s="213"/>
      <c r="R337" s="213"/>
      <c r="S337" s="213"/>
      <c r="T337" s="221"/>
      <c r="U337" s="213"/>
      <c r="V337" s="215"/>
      <c r="W337" s="214"/>
      <c r="X337" s="630"/>
      <c r="Y337" s="631"/>
      <c r="Z337" s="632"/>
      <c r="AA337" s="632"/>
      <c r="AB337" s="643"/>
      <c r="AC337" s="616">
        <f t="shared" si="17"/>
        <v>0</v>
      </c>
      <c r="AD337" s="633"/>
      <c r="AE337" s="654"/>
      <c r="AF337" s="654"/>
      <c r="AG337" s="7"/>
      <c r="AH337" s="628"/>
      <c r="AI337" s="7"/>
      <c r="AJ337" s="618">
        <f t="shared" si="18"/>
        <v>0</v>
      </c>
    </row>
    <row r="338" spans="1:36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4"/>
      <c r="H338" s="214"/>
      <c r="I338" s="215"/>
      <c r="J338" s="647"/>
      <c r="K338" s="215"/>
      <c r="L338" s="213"/>
      <c r="M338" s="370"/>
      <c r="N338" s="214"/>
      <c r="O338" s="261"/>
      <c r="P338" s="213"/>
      <c r="Q338" s="213"/>
      <c r="R338" s="213"/>
      <c r="S338" s="213"/>
      <c r="T338" s="221"/>
      <c r="U338" s="213"/>
      <c r="V338" s="215"/>
      <c r="W338" s="214"/>
      <c r="X338" s="630"/>
      <c r="Y338" s="631"/>
      <c r="Z338" s="632"/>
      <c r="AA338" s="632"/>
      <c r="AB338" s="643"/>
      <c r="AC338" s="616">
        <f t="shared" si="17"/>
        <v>0</v>
      </c>
      <c r="AD338" s="633"/>
      <c r="AE338" s="654"/>
      <c r="AF338" s="654"/>
      <c r="AG338" s="7"/>
      <c r="AH338" s="628"/>
      <c r="AI338" s="7"/>
      <c r="AJ338" s="618">
        <f t="shared" si="18"/>
        <v>0</v>
      </c>
    </row>
    <row r="339" spans="1:36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4"/>
      <c r="H339" s="214"/>
      <c r="I339" s="215"/>
      <c r="J339" s="647"/>
      <c r="K339" s="215"/>
      <c r="L339" s="213"/>
      <c r="M339" s="370"/>
      <c r="N339" s="214"/>
      <c r="O339" s="261"/>
      <c r="P339" s="213"/>
      <c r="Q339" s="213"/>
      <c r="R339" s="213"/>
      <c r="S339" s="213"/>
      <c r="T339" s="221"/>
      <c r="U339" s="213"/>
      <c r="V339" s="215"/>
      <c r="W339" s="214"/>
      <c r="X339" s="630"/>
      <c r="Y339" s="631"/>
      <c r="Z339" s="632"/>
      <c r="AA339" s="632"/>
      <c r="AB339" s="643"/>
      <c r="AC339" s="616">
        <f t="shared" si="17"/>
        <v>0</v>
      </c>
      <c r="AD339" s="633"/>
      <c r="AE339" s="654"/>
      <c r="AF339" s="654"/>
      <c r="AG339" s="7"/>
      <c r="AH339" s="628"/>
      <c r="AI339" s="7"/>
      <c r="AJ339" s="618">
        <f t="shared" si="18"/>
        <v>0</v>
      </c>
    </row>
    <row r="340" spans="1:36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4"/>
      <c r="H340" s="214"/>
      <c r="I340" s="215"/>
      <c r="J340" s="647"/>
      <c r="K340" s="215"/>
      <c r="L340" s="213"/>
      <c r="M340" s="370"/>
      <c r="N340" s="214"/>
      <c r="O340" s="261"/>
      <c r="P340" s="213"/>
      <c r="Q340" s="213"/>
      <c r="R340" s="213"/>
      <c r="S340" s="213"/>
      <c r="T340" s="221"/>
      <c r="U340" s="213"/>
      <c r="V340" s="215"/>
      <c r="W340" s="214"/>
      <c r="X340" s="630"/>
      <c r="Y340" s="631"/>
      <c r="Z340" s="632"/>
      <c r="AA340" s="632"/>
      <c r="AB340" s="643"/>
      <c r="AC340" s="616">
        <f t="shared" si="17"/>
        <v>0</v>
      </c>
      <c r="AD340" s="633"/>
      <c r="AE340" s="648"/>
      <c r="AF340" s="648"/>
      <c r="AG340" s="7"/>
      <c r="AH340" s="628"/>
      <c r="AI340" s="7"/>
      <c r="AJ340" s="618">
        <f t="shared" si="18"/>
        <v>0</v>
      </c>
    </row>
    <row r="341" spans="1:36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4"/>
      <c r="H341" s="214"/>
      <c r="I341" s="215"/>
      <c r="J341" s="647"/>
      <c r="K341" s="215"/>
      <c r="L341" s="213"/>
      <c r="M341" s="370"/>
      <c r="N341" s="214"/>
      <c r="O341" s="261"/>
      <c r="P341" s="213"/>
      <c r="Q341" s="213"/>
      <c r="R341" s="213"/>
      <c r="S341" s="213"/>
      <c r="T341" s="221"/>
      <c r="U341" s="213"/>
      <c r="V341" s="215"/>
      <c r="W341" s="214"/>
      <c r="X341" s="630"/>
      <c r="Y341" s="631"/>
      <c r="Z341" s="632"/>
      <c r="AA341" s="632"/>
      <c r="AB341" s="643"/>
      <c r="AC341" s="616">
        <f t="shared" si="17"/>
        <v>0</v>
      </c>
      <c r="AD341" s="633"/>
      <c r="AE341" s="654"/>
      <c r="AF341" s="654"/>
      <c r="AG341" s="7"/>
      <c r="AH341" s="628"/>
      <c r="AI341" s="7"/>
      <c r="AJ341" s="618">
        <f t="shared" si="18"/>
        <v>0</v>
      </c>
    </row>
    <row r="342" spans="1:36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4"/>
      <c r="H342" s="214"/>
      <c r="I342" s="215"/>
      <c r="J342" s="647"/>
      <c r="K342" s="215"/>
      <c r="L342" s="213"/>
      <c r="M342" s="370"/>
      <c r="N342" s="214"/>
      <c r="O342" s="261"/>
      <c r="P342" s="213"/>
      <c r="Q342" s="213"/>
      <c r="R342" s="213"/>
      <c r="S342" s="213"/>
      <c r="T342" s="221"/>
      <c r="U342" s="213"/>
      <c r="V342" s="215"/>
      <c r="W342" s="214"/>
      <c r="X342" s="630"/>
      <c r="Y342" s="631"/>
      <c r="Z342" s="632"/>
      <c r="AA342" s="632"/>
      <c r="AB342" s="643"/>
      <c r="AC342" s="616">
        <f t="shared" si="17"/>
        <v>0</v>
      </c>
      <c r="AD342" s="633"/>
      <c r="AE342" s="654"/>
      <c r="AF342" s="654"/>
      <c r="AG342" s="7"/>
      <c r="AH342" s="628"/>
      <c r="AI342" s="7"/>
      <c r="AJ342" s="618">
        <f t="shared" si="18"/>
        <v>0</v>
      </c>
    </row>
    <row r="343" spans="1:36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4"/>
      <c r="H343" s="214"/>
      <c r="I343" s="215"/>
      <c r="J343" s="647"/>
      <c r="K343" s="215"/>
      <c r="L343" s="213"/>
      <c r="M343" s="370"/>
      <c r="N343" s="214"/>
      <c r="O343" s="261"/>
      <c r="P343" s="213"/>
      <c r="Q343" s="213"/>
      <c r="R343" s="213"/>
      <c r="S343" s="213"/>
      <c r="T343" s="221"/>
      <c r="U343" s="213"/>
      <c r="V343" s="215"/>
      <c r="W343" s="214"/>
      <c r="X343" s="630"/>
      <c r="Y343" s="631"/>
      <c r="Z343" s="632"/>
      <c r="AA343" s="632"/>
      <c r="AB343" s="643"/>
      <c r="AC343" s="616">
        <f t="shared" si="17"/>
        <v>0</v>
      </c>
      <c r="AD343" s="633"/>
      <c r="AE343" s="654"/>
      <c r="AF343" s="654"/>
      <c r="AG343" s="7"/>
      <c r="AH343" s="628"/>
      <c r="AI343" s="7"/>
      <c r="AJ343" s="618">
        <f t="shared" si="18"/>
        <v>0</v>
      </c>
    </row>
    <row r="344" spans="1:36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4"/>
      <c r="H344" s="214"/>
      <c r="I344" s="215"/>
      <c r="J344" s="647"/>
      <c r="K344" s="215"/>
      <c r="L344" s="213"/>
      <c r="M344" s="370"/>
      <c r="N344" s="214"/>
      <c r="O344" s="261"/>
      <c r="P344" s="213"/>
      <c r="Q344" s="213"/>
      <c r="R344" s="213"/>
      <c r="S344" s="213"/>
      <c r="T344" s="221"/>
      <c r="U344" s="213"/>
      <c r="V344" s="215"/>
      <c r="W344" s="214"/>
      <c r="X344" s="630"/>
      <c r="Y344" s="631"/>
      <c r="Z344" s="632"/>
      <c r="AA344" s="632"/>
      <c r="AB344" s="643"/>
      <c r="AC344" s="616">
        <f t="shared" si="17"/>
        <v>0</v>
      </c>
      <c r="AD344" s="633"/>
      <c r="AE344" s="654"/>
      <c r="AF344" s="654"/>
      <c r="AG344" s="7"/>
      <c r="AH344" s="628"/>
      <c r="AI344" s="7"/>
      <c r="AJ344" s="618">
        <f t="shared" si="18"/>
        <v>0</v>
      </c>
    </row>
    <row r="345" spans="1:36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4"/>
      <c r="H345" s="214"/>
      <c r="I345" s="215"/>
      <c r="J345" s="647"/>
      <c r="K345" s="215"/>
      <c r="L345" s="213"/>
      <c r="M345" s="370"/>
      <c r="N345" s="214"/>
      <c r="O345" s="261"/>
      <c r="P345" s="213"/>
      <c r="Q345" s="213"/>
      <c r="R345" s="213"/>
      <c r="S345" s="213"/>
      <c r="T345" s="221"/>
      <c r="U345" s="213"/>
      <c r="V345" s="215"/>
      <c r="W345" s="214"/>
      <c r="X345" s="630"/>
      <c r="Y345" s="631"/>
      <c r="Z345" s="632"/>
      <c r="AA345" s="632"/>
      <c r="AB345" s="643"/>
      <c r="AC345" s="616">
        <f t="shared" si="17"/>
        <v>0</v>
      </c>
      <c r="AD345" s="633"/>
      <c r="AE345" s="654"/>
      <c r="AF345" s="654"/>
      <c r="AG345" s="7"/>
      <c r="AH345" s="628"/>
      <c r="AI345" s="7"/>
      <c r="AJ345" s="618">
        <f t="shared" si="18"/>
        <v>0</v>
      </c>
    </row>
    <row r="346" spans="1:36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4"/>
      <c r="H346" s="214"/>
      <c r="I346" s="215"/>
      <c r="J346" s="662"/>
      <c r="K346" s="215"/>
      <c r="L346" s="213"/>
      <c r="M346" s="370"/>
      <c r="N346" s="214"/>
      <c r="O346" s="261"/>
      <c r="P346" s="213"/>
      <c r="Q346" s="213"/>
      <c r="R346" s="213"/>
      <c r="S346" s="213"/>
      <c r="T346" s="221"/>
      <c r="U346" s="213"/>
      <c r="V346" s="215"/>
      <c r="W346" s="214"/>
      <c r="X346" s="630"/>
      <c r="Y346" s="631"/>
      <c r="Z346" s="632"/>
      <c r="AA346" s="632"/>
      <c r="AB346" s="643"/>
      <c r="AC346" s="616">
        <f t="shared" si="17"/>
        <v>0</v>
      </c>
      <c r="AD346" s="633"/>
      <c r="AE346" s="636"/>
      <c r="AF346" s="636"/>
      <c r="AG346" s="7"/>
      <c r="AH346" s="628"/>
      <c r="AI346" s="7"/>
      <c r="AJ346" s="618">
        <f t="shared" si="18"/>
        <v>0</v>
      </c>
    </row>
    <row r="347" spans="1:36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4"/>
      <c r="H347" s="214"/>
      <c r="I347" s="215"/>
      <c r="J347" s="662"/>
      <c r="K347" s="215"/>
      <c r="L347" s="213"/>
      <c r="M347" s="370"/>
      <c r="N347" s="214"/>
      <c r="O347" s="261"/>
      <c r="P347" s="213"/>
      <c r="Q347" s="213"/>
      <c r="R347" s="213"/>
      <c r="S347" s="213"/>
      <c r="T347" s="221"/>
      <c r="U347" s="213"/>
      <c r="V347" s="215"/>
      <c r="W347" s="214"/>
      <c r="X347" s="630"/>
      <c r="Y347" s="631"/>
      <c r="Z347" s="632"/>
      <c r="AA347" s="632"/>
      <c r="AB347" s="643"/>
      <c r="AC347" s="616">
        <f t="shared" si="17"/>
        <v>0</v>
      </c>
      <c r="AD347" s="633"/>
      <c r="AE347" s="636"/>
      <c r="AF347" s="636"/>
      <c r="AG347" s="7"/>
      <c r="AH347" s="628"/>
      <c r="AI347" s="7"/>
      <c r="AJ347" s="618">
        <f t="shared" si="18"/>
        <v>0</v>
      </c>
    </row>
    <row r="348" spans="1:36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4"/>
      <c r="H348" s="214"/>
      <c r="I348" s="215"/>
      <c r="J348" s="662"/>
      <c r="K348" s="215"/>
      <c r="L348" s="213"/>
      <c r="M348" s="370"/>
      <c r="N348" s="214"/>
      <c r="O348" s="261"/>
      <c r="P348" s="213"/>
      <c r="Q348" s="213"/>
      <c r="R348" s="213"/>
      <c r="S348" s="213"/>
      <c r="T348" s="221"/>
      <c r="U348" s="213"/>
      <c r="V348" s="215"/>
      <c r="W348" s="214"/>
      <c r="X348" s="630"/>
      <c r="Y348" s="631"/>
      <c r="Z348" s="632"/>
      <c r="AA348" s="632"/>
      <c r="AB348" s="643"/>
      <c r="AC348" s="616">
        <f t="shared" si="17"/>
        <v>0</v>
      </c>
      <c r="AD348" s="633"/>
      <c r="AE348" s="636"/>
      <c r="AF348" s="636"/>
      <c r="AG348" s="7"/>
      <c r="AH348" s="628"/>
      <c r="AI348" s="7"/>
      <c r="AJ348" s="618">
        <f t="shared" si="18"/>
        <v>0</v>
      </c>
    </row>
    <row r="349" spans="1:36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4"/>
      <c r="H349" s="214"/>
      <c r="I349" s="215"/>
      <c r="J349" s="662"/>
      <c r="K349" s="215"/>
      <c r="L349" s="213"/>
      <c r="M349" s="370"/>
      <c r="N349" s="214"/>
      <c r="O349" s="261"/>
      <c r="P349" s="213"/>
      <c r="Q349" s="213"/>
      <c r="R349" s="213"/>
      <c r="S349" s="213"/>
      <c r="T349" s="221"/>
      <c r="U349" s="213"/>
      <c r="V349" s="215"/>
      <c r="W349" s="214"/>
      <c r="X349" s="630"/>
      <c r="Y349" s="631"/>
      <c r="Z349" s="632"/>
      <c r="AA349" s="632"/>
      <c r="AB349" s="643"/>
      <c r="AC349" s="616">
        <f t="shared" si="17"/>
        <v>0</v>
      </c>
      <c r="AD349" s="633"/>
      <c r="AE349" s="636"/>
      <c r="AF349" s="636"/>
      <c r="AG349" s="7"/>
      <c r="AH349" s="628"/>
      <c r="AI349" s="7"/>
      <c r="AJ349" s="618">
        <f t="shared" si="18"/>
        <v>0</v>
      </c>
    </row>
    <row r="350" spans="1:36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4"/>
      <c r="H350" s="214"/>
      <c r="I350" s="215"/>
      <c r="J350" s="662"/>
      <c r="K350" s="215"/>
      <c r="L350" s="213"/>
      <c r="M350" s="370"/>
      <c r="N350" s="214"/>
      <c r="O350" s="261"/>
      <c r="P350" s="213"/>
      <c r="Q350" s="213"/>
      <c r="R350" s="213"/>
      <c r="S350" s="213"/>
      <c r="T350" s="221"/>
      <c r="U350" s="213"/>
      <c r="V350" s="215"/>
      <c r="W350" s="214"/>
      <c r="X350" s="630"/>
      <c r="Y350" s="631"/>
      <c r="Z350" s="632"/>
      <c r="AA350" s="632"/>
      <c r="AB350" s="643"/>
      <c r="AC350" s="616">
        <f t="shared" si="17"/>
        <v>0</v>
      </c>
      <c r="AD350" s="633"/>
      <c r="AE350" s="636"/>
      <c r="AF350" s="636"/>
      <c r="AG350" s="7"/>
      <c r="AH350" s="628"/>
      <c r="AI350" s="7"/>
      <c r="AJ350" s="618">
        <f t="shared" si="18"/>
        <v>0</v>
      </c>
    </row>
    <row r="351" spans="1:36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4"/>
      <c r="H351" s="214"/>
      <c r="I351" s="215"/>
      <c r="J351" s="665"/>
      <c r="K351" s="215"/>
      <c r="L351" s="213"/>
      <c r="M351" s="370"/>
      <c r="N351" s="214"/>
      <c r="O351" s="261"/>
      <c r="P351" s="213"/>
      <c r="Q351" s="213"/>
      <c r="R351" s="213"/>
      <c r="S351" s="213"/>
      <c r="T351" s="221"/>
      <c r="U351" s="213"/>
      <c r="V351" s="215"/>
      <c r="W351" s="214"/>
      <c r="X351" s="630"/>
      <c r="Y351" s="631"/>
      <c r="Z351" s="632"/>
      <c r="AA351" s="632"/>
      <c r="AB351" s="643"/>
      <c r="AC351" s="616">
        <f t="shared" si="17"/>
        <v>0</v>
      </c>
      <c r="AD351" s="633"/>
      <c r="AE351" s="636"/>
      <c r="AF351" s="636"/>
      <c r="AG351" s="7"/>
      <c r="AH351" s="628"/>
      <c r="AI351" s="7"/>
      <c r="AJ351" s="618">
        <f t="shared" si="18"/>
        <v>0</v>
      </c>
    </row>
    <row r="352" spans="1:36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4"/>
      <c r="H352" s="214"/>
      <c r="I352" s="215"/>
      <c r="J352" s="662"/>
      <c r="K352" s="215" t="s">
        <v>1610</v>
      </c>
      <c r="L352" s="213"/>
      <c r="M352" s="370"/>
      <c r="N352" s="214"/>
      <c r="O352" s="261"/>
      <c r="P352" s="213"/>
      <c r="Q352" s="213"/>
      <c r="R352" s="213"/>
      <c r="S352" s="213"/>
      <c r="T352" s="221"/>
      <c r="U352" s="213"/>
      <c r="V352" s="215"/>
      <c r="W352" s="214"/>
      <c r="X352" s="630"/>
      <c r="Y352" s="631"/>
      <c r="Z352" s="632"/>
      <c r="AA352" s="632"/>
      <c r="AB352" s="643"/>
      <c r="AC352" s="616">
        <f t="shared" si="17"/>
        <v>0</v>
      </c>
      <c r="AD352" s="633"/>
      <c r="AE352" s="636"/>
      <c r="AF352" s="636"/>
      <c r="AG352" s="7"/>
      <c r="AH352" s="628"/>
      <c r="AI352" s="7"/>
      <c r="AJ352" s="618">
        <f t="shared" si="18"/>
        <v>0</v>
      </c>
    </row>
    <row r="353" spans="1:36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4"/>
      <c r="H353" s="214"/>
      <c r="I353" s="215"/>
      <c r="J353" s="662"/>
      <c r="K353" s="215"/>
      <c r="L353" s="213"/>
      <c r="M353" s="370"/>
      <c r="N353" s="214"/>
      <c r="O353" s="261"/>
      <c r="P353" s="213"/>
      <c r="Q353" s="213"/>
      <c r="R353" s="213"/>
      <c r="S353" s="213"/>
      <c r="T353" s="221"/>
      <c r="U353" s="213"/>
      <c r="V353" s="215"/>
      <c r="W353" s="214"/>
      <c r="X353" s="630"/>
      <c r="Y353" s="631"/>
      <c r="Z353" s="632"/>
      <c r="AA353" s="632"/>
      <c r="AB353" s="643"/>
      <c r="AC353" s="616">
        <f t="shared" si="17"/>
        <v>0</v>
      </c>
      <c r="AD353" s="633"/>
      <c r="AE353" s="640"/>
      <c r="AF353" s="640"/>
      <c r="AG353" s="7"/>
      <c r="AH353" s="628"/>
      <c r="AI353" s="7"/>
      <c r="AJ353" s="618">
        <f t="shared" si="18"/>
        <v>0</v>
      </c>
    </row>
    <row r="354" spans="1:36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4"/>
      <c r="H354" s="214"/>
      <c r="I354" s="215"/>
      <c r="J354" s="649"/>
      <c r="K354" s="215"/>
      <c r="L354" s="213"/>
      <c r="M354" s="370"/>
      <c r="N354" s="214"/>
      <c r="O354" s="261"/>
      <c r="P354" s="213"/>
      <c r="Q354" s="213"/>
      <c r="R354" s="213"/>
      <c r="S354" s="213"/>
      <c r="T354" s="221"/>
      <c r="U354" s="213"/>
      <c r="V354" s="215"/>
      <c r="W354" s="214"/>
      <c r="X354" s="630"/>
      <c r="Y354" s="631"/>
      <c r="Z354" s="632"/>
      <c r="AA354" s="632"/>
      <c r="AB354" s="643"/>
      <c r="AC354" s="616">
        <f t="shared" si="17"/>
        <v>0</v>
      </c>
      <c r="AD354" s="633"/>
      <c r="AE354" s="547"/>
      <c r="AF354" s="547"/>
      <c r="AG354" s="7"/>
      <c r="AH354" s="628"/>
      <c r="AI354" s="7"/>
      <c r="AJ354" s="618">
        <f t="shared" si="18"/>
        <v>0</v>
      </c>
    </row>
    <row r="355" spans="1:36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4"/>
      <c r="H355" s="214"/>
      <c r="I355" s="215"/>
      <c r="J355" s="649"/>
      <c r="K355" s="215"/>
      <c r="L355" s="213"/>
      <c r="M355" s="370"/>
      <c r="N355" s="214"/>
      <c r="O355" s="261"/>
      <c r="P355" s="213"/>
      <c r="Q355" s="213"/>
      <c r="R355" s="213"/>
      <c r="S355" s="213"/>
      <c r="T355" s="221"/>
      <c r="U355" s="213"/>
      <c r="V355" s="215"/>
      <c r="W355" s="214"/>
      <c r="X355" s="630"/>
      <c r="Y355" s="631"/>
      <c r="Z355" s="632"/>
      <c r="AA355" s="632"/>
      <c r="AB355" s="643"/>
      <c r="AC355" s="616">
        <f t="shared" si="17"/>
        <v>0</v>
      </c>
      <c r="AD355" s="633"/>
      <c r="AE355" s="666"/>
      <c r="AF355" s="666"/>
      <c r="AG355" s="7"/>
      <c r="AH355" s="628"/>
      <c r="AI355" s="7"/>
      <c r="AJ355" s="618">
        <f t="shared" si="18"/>
        <v>0</v>
      </c>
    </row>
    <row r="356" spans="1:36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4"/>
      <c r="H356" s="214"/>
      <c r="I356" s="215"/>
      <c r="J356" s="649"/>
      <c r="K356" s="215"/>
      <c r="L356" s="213"/>
      <c r="M356" s="370"/>
      <c r="N356" s="214"/>
      <c r="O356" s="261"/>
      <c r="P356" s="213"/>
      <c r="Q356" s="213"/>
      <c r="R356" s="213"/>
      <c r="S356" s="213"/>
      <c r="T356" s="221"/>
      <c r="U356" s="213"/>
      <c r="V356" s="215"/>
      <c r="W356" s="214"/>
      <c r="X356" s="630"/>
      <c r="Y356" s="631"/>
      <c r="Z356" s="632"/>
      <c r="AA356" s="632"/>
      <c r="AB356" s="643"/>
      <c r="AC356" s="616">
        <f t="shared" si="17"/>
        <v>0</v>
      </c>
      <c r="AD356" s="633"/>
      <c r="AE356" s="666"/>
      <c r="AF356" s="666"/>
      <c r="AG356" s="7"/>
      <c r="AH356" s="628"/>
      <c r="AI356" s="7"/>
      <c r="AJ356" s="618">
        <f t="shared" si="18"/>
        <v>0</v>
      </c>
    </row>
    <row r="357" spans="1:36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4"/>
      <c r="H357" s="214"/>
      <c r="I357" s="215"/>
      <c r="J357" s="649"/>
      <c r="K357" s="215"/>
      <c r="L357" s="213"/>
      <c r="M357" s="370"/>
      <c r="N357" s="214"/>
      <c r="O357" s="261"/>
      <c r="P357" s="213"/>
      <c r="Q357" s="213"/>
      <c r="R357" s="213"/>
      <c r="S357" s="213"/>
      <c r="T357" s="221"/>
      <c r="U357" s="213"/>
      <c r="V357" s="215"/>
      <c r="W357" s="214"/>
      <c r="X357" s="630"/>
      <c r="Y357" s="631"/>
      <c r="Z357" s="632"/>
      <c r="AA357" s="632"/>
      <c r="AB357" s="643"/>
      <c r="AC357" s="616">
        <f t="shared" si="17"/>
        <v>0</v>
      </c>
      <c r="AD357" s="633"/>
      <c r="AE357" s="542"/>
      <c r="AF357" s="542"/>
      <c r="AG357" s="7"/>
      <c r="AH357" s="628"/>
      <c r="AI357" s="7"/>
      <c r="AJ357" s="618">
        <f t="shared" si="18"/>
        <v>0</v>
      </c>
    </row>
    <row r="358" spans="1:36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4"/>
      <c r="H358" s="214"/>
      <c r="I358" s="215"/>
      <c r="J358" s="649"/>
      <c r="K358" s="215"/>
      <c r="L358" s="213"/>
      <c r="M358" s="370"/>
      <c r="N358" s="214"/>
      <c r="O358" s="261"/>
      <c r="P358" s="213"/>
      <c r="Q358" s="213"/>
      <c r="R358" s="213"/>
      <c r="S358" s="213"/>
      <c r="T358" s="221"/>
      <c r="U358" s="213"/>
      <c r="V358" s="215"/>
      <c r="W358" s="214"/>
      <c r="X358" s="630"/>
      <c r="Y358" s="631"/>
      <c r="Z358" s="632"/>
      <c r="AA358" s="632"/>
      <c r="AB358" s="643"/>
      <c r="AC358" s="616">
        <f t="shared" si="17"/>
        <v>0</v>
      </c>
      <c r="AD358" s="633"/>
      <c r="AE358" s="542"/>
      <c r="AF358" s="542"/>
      <c r="AG358" s="7"/>
      <c r="AH358" s="628"/>
      <c r="AI358" s="7"/>
      <c r="AJ358" s="618">
        <f t="shared" si="18"/>
        <v>0</v>
      </c>
    </row>
    <row r="359" spans="1:36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4"/>
      <c r="H359" s="214"/>
      <c r="I359" s="215"/>
      <c r="J359" s="649"/>
      <c r="K359" s="215"/>
      <c r="L359" s="213"/>
      <c r="M359" s="370"/>
      <c r="N359" s="214"/>
      <c r="O359" s="261"/>
      <c r="P359" s="213"/>
      <c r="Q359" s="213"/>
      <c r="R359" s="213"/>
      <c r="S359" s="213"/>
      <c r="T359" s="221"/>
      <c r="U359" s="213"/>
      <c r="V359" s="215"/>
      <c r="W359" s="214"/>
      <c r="X359" s="630"/>
      <c r="Y359" s="631"/>
      <c r="Z359" s="632"/>
      <c r="AA359" s="632"/>
      <c r="AB359" s="643"/>
      <c r="AC359" s="616">
        <f t="shared" si="17"/>
        <v>0</v>
      </c>
      <c r="AD359" s="633"/>
      <c r="AE359" s="542"/>
      <c r="AF359" s="542"/>
      <c r="AG359" s="7"/>
      <c r="AH359" s="628"/>
      <c r="AI359" s="7"/>
      <c r="AJ359" s="618">
        <f t="shared" si="18"/>
        <v>0</v>
      </c>
    </row>
    <row r="360" spans="1:36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4"/>
      <c r="H360" s="214"/>
      <c r="I360" s="215"/>
      <c r="J360" s="649"/>
      <c r="K360" s="215"/>
      <c r="L360" s="213"/>
      <c r="M360" s="370"/>
      <c r="N360" s="214"/>
      <c r="O360" s="261"/>
      <c r="P360" s="213"/>
      <c r="Q360" s="213"/>
      <c r="R360" s="213"/>
      <c r="S360" s="213"/>
      <c r="T360" s="221"/>
      <c r="U360" s="213"/>
      <c r="V360" s="215"/>
      <c r="W360" s="214"/>
      <c r="X360" s="630"/>
      <c r="Y360" s="631"/>
      <c r="Z360" s="632"/>
      <c r="AA360" s="632"/>
      <c r="AB360" s="643"/>
      <c r="AC360" s="616">
        <f t="shared" si="17"/>
        <v>0</v>
      </c>
      <c r="AD360" s="633"/>
      <c r="AE360" s="542"/>
      <c r="AF360" s="542"/>
      <c r="AG360" s="7"/>
      <c r="AH360" s="628"/>
      <c r="AI360" s="7"/>
      <c r="AJ360" s="618">
        <f t="shared" si="18"/>
        <v>0</v>
      </c>
    </row>
    <row r="361" spans="1:36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4"/>
      <c r="H361" s="214"/>
      <c r="I361" s="215"/>
      <c r="J361" s="662"/>
      <c r="K361" s="215"/>
      <c r="L361" s="213"/>
      <c r="M361" s="370"/>
      <c r="N361" s="214"/>
      <c r="O361" s="261"/>
      <c r="P361" s="213"/>
      <c r="Q361" s="213"/>
      <c r="R361" s="213"/>
      <c r="S361" s="213"/>
      <c r="T361" s="221"/>
      <c r="U361" s="213"/>
      <c r="V361" s="215"/>
      <c r="W361" s="214"/>
      <c r="X361" s="630"/>
      <c r="Y361" s="631"/>
      <c r="Z361" s="632"/>
      <c r="AA361" s="632"/>
      <c r="AB361" s="643"/>
      <c r="AC361" s="616">
        <f t="shared" si="17"/>
        <v>0</v>
      </c>
      <c r="AD361" s="633"/>
      <c r="AE361" s="547"/>
      <c r="AF361" s="547"/>
      <c r="AG361" s="7"/>
      <c r="AH361" s="628"/>
      <c r="AI361" s="7"/>
      <c r="AJ361" s="618">
        <f t="shared" si="18"/>
        <v>0</v>
      </c>
    </row>
    <row r="362" spans="1:36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4"/>
      <c r="H362" s="214"/>
      <c r="I362" s="215"/>
      <c r="J362" s="662"/>
      <c r="K362" s="215"/>
      <c r="L362" s="213"/>
      <c r="M362" s="370"/>
      <c r="N362" s="214"/>
      <c r="O362" s="261"/>
      <c r="P362" s="213"/>
      <c r="Q362" s="213"/>
      <c r="R362" s="213"/>
      <c r="S362" s="213"/>
      <c r="T362" s="221"/>
      <c r="U362" s="213"/>
      <c r="V362" s="215"/>
      <c r="W362" s="214"/>
      <c r="X362" s="630"/>
      <c r="Y362" s="631"/>
      <c r="Z362" s="632"/>
      <c r="AA362" s="632"/>
      <c r="AB362" s="643"/>
      <c r="AC362" s="616">
        <f t="shared" si="17"/>
        <v>0</v>
      </c>
      <c r="AD362" s="633"/>
      <c r="AE362" s="241"/>
      <c r="AF362" s="241"/>
      <c r="AG362" s="7"/>
      <c r="AH362" s="628"/>
      <c r="AI362" s="7"/>
      <c r="AJ362" s="618">
        <f t="shared" si="18"/>
        <v>0</v>
      </c>
    </row>
    <row r="363" spans="1:36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4"/>
      <c r="H363" s="214"/>
      <c r="I363" s="215"/>
      <c r="J363" s="662"/>
      <c r="K363" s="215"/>
      <c r="L363" s="213"/>
      <c r="M363" s="370"/>
      <c r="N363" s="214"/>
      <c r="O363" s="261"/>
      <c r="P363" s="213"/>
      <c r="Q363" s="213"/>
      <c r="R363" s="213"/>
      <c r="S363" s="213"/>
      <c r="T363" s="221"/>
      <c r="U363" s="213"/>
      <c r="V363" s="215"/>
      <c r="W363" s="214"/>
      <c r="X363" s="630"/>
      <c r="Y363" s="631"/>
      <c r="Z363" s="632"/>
      <c r="AA363" s="632"/>
      <c r="AB363" s="643"/>
      <c r="AC363" s="616">
        <f t="shared" si="17"/>
        <v>0</v>
      </c>
      <c r="AD363" s="633"/>
      <c r="AE363" s="241"/>
      <c r="AF363" s="241"/>
      <c r="AG363" s="7"/>
      <c r="AH363" s="628"/>
      <c r="AI363" s="7"/>
      <c r="AJ363" s="618">
        <f t="shared" si="18"/>
        <v>0</v>
      </c>
    </row>
    <row r="364" spans="1:36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4"/>
      <c r="H364" s="214"/>
      <c r="I364" s="215"/>
      <c r="J364" s="662"/>
      <c r="K364" s="215"/>
      <c r="L364" s="213"/>
      <c r="M364" s="370"/>
      <c r="N364" s="214"/>
      <c r="O364" s="261"/>
      <c r="P364" s="213"/>
      <c r="Q364" s="213"/>
      <c r="R364" s="213"/>
      <c r="S364" s="213"/>
      <c r="T364" s="221"/>
      <c r="U364" s="213"/>
      <c r="V364" s="215"/>
      <c r="W364" s="214"/>
      <c r="X364" s="630"/>
      <c r="Y364" s="631"/>
      <c r="Z364" s="632"/>
      <c r="AA364" s="632"/>
      <c r="AB364" s="643"/>
      <c r="AC364" s="616">
        <f t="shared" si="17"/>
        <v>0</v>
      </c>
      <c r="AD364" s="633"/>
      <c r="AE364" s="241"/>
      <c r="AF364" s="241"/>
      <c r="AG364" s="7"/>
      <c r="AH364" s="628"/>
      <c r="AI364" s="7"/>
      <c r="AJ364" s="618">
        <f t="shared" si="18"/>
        <v>0</v>
      </c>
    </row>
    <row r="365" spans="1:36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4"/>
      <c r="H365" s="214"/>
      <c r="I365" s="215"/>
      <c r="J365" s="662"/>
      <c r="K365" s="215"/>
      <c r="L365" s="213"/>
      <c r="M365" s="370"/>
      <c r="N365" s="214"/>
      <c r="O365" s="261"/>
      <c r="P365" s="213"/>
      <c r="Q365" s="213"/>
      <c r="R365" s="213"/>
      <c r="S365" s="213"/>
      <c r="T365" s="221"/>
      <c r="U365" s="213"/>
      <c r="V365" s="215"/>
      <c r="W365" s="214"/>
      <c r="X365" s="630"/>
      <c r="Y365" s="631"/>
      <c r="Z365" s="632"/>
      <c r="AA365" s="632"/>
      <c r="AB365" s="643"/>
      <c r="AC365" s="616">
        <f t="shared" si="17"/>
        <v>0</v>
      </c>
      <c r="AD365" s="633"/>
      <c r="AE365" s="241"/>
      <c r="AF365" s="241"/>
      <c r="AG365" s="7"/>
      <c r="AH365" s="628"/>
      <c r="AI365" s="7"/>
      <c r="AJ365" s="618">
        <f t="shared" si="18"/>
        <v>0</v>
      </c>
    </row>
    <row r="366" spans="1:36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4"/>
      <c r="H366" s="214"/>
      <c r="I366" s="215"/>
      <c r="J366" s="662"/>
      <c r="K366" s="215"/>
      <c r="L366" s="213"/>
      <c r="M366" s="370"/>
      <c r="N366" s="214"/>
      <c r="O366" s="261"/>
      <c r="P366" s="213"/>
      <c r="Q366" s="213"/>
      <c r="R366" s="213"/>
      <c r="S366" s="213"/>
      <c r="T366" s="221"/>
      <c r="U366" s="213"/>
      <c r="V366" s="215"/>
      <c r="W366" s="214"/>
      <c r="X366" s="630"/>
      <c r="Y366" s="631"/>
      <c r="Z366" s="632"/>
      <c r="AA366" s="632"/>
      <c r="AB366" s="643"/>
      <c r="AC366" s="616">
        <f t="shared" si="17"/>
        <v>0</v>
      </c>
      <c r="AD366" s="633"/>
      <c r="AE366" s="547"/>
      <c r="AF366" s="547"/>
      <c r="AG366" s="7"/>
      <c r="AH366" s="628"/>
      <c r="AI366" s="7"/>
      <c r="AJ366" s="618">
        <f t="shared" si="18"/>
        <v>0</v>
      </c>
    </row>
    <row r="367" spans="1:36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4"/>
      <c r="H367" s="214"/>
      <c r="I367" s="215"/>
      <c r="J367" s="662"/>
      <c r="K367" s="215"/>
      <c r="L367" s="213"/>
      <c r="M367" s="370"/>
      <c r="N367" s="214"/>
      <c r="O367" s="261"/>
      <c r="P367" s="213"/>
      <c r="Q367" s="213"/>
      <c r="R367" s="213"/>
      <c r="S367" s="213"/>
      <c r="T367" s="221"/>
      <c r="U367" s="213"/>
      <c r="V367" s="215"/>
      <c r="W367" s="214"/>
      <c r="X367" s="630"/>
      <c r="Y367" s="631"/>
      <c r="Z367" s="632"/>
      <c r="AA367" s="632"/>
      <c r="AB367" s="643"/>
      <c r="AC367" s="616">
        <f t="shared" si="17"/>
        <v>0</v>
      </c>
      <c r="AD367" s="633"/>
      <c r="AE367" s="547"/>
      <c r="AF367" s="547"/>
      <c r="AG367" s="7"/>
      <c r="AH367" s="628"/>
      <c r="AI367" s="7"/>
      <c r="AJ367" s="618">
        <f t="shared" si="18"/>
        <v>0</v>
      </c>
    </row>
    <row r="368" spans="1:36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4"/>
      <c r="H368" s="214"/>
      <c r="I368" s="215"/>
      <c r="J368" s="662"/>
      <c r="K368" s="215"/>
      <c r="L368" s="213"/>
      <c r="M368" s="370"/>
      <c r="N368" s="214"/>
      <c r="O368" s="261"/>
      <c r="P368" s="213"/>
      <c r="Q368" s="213"/>
      <c r="R368" s="213"/>
      <c r="S368" s="213"/>
      <c r="T368" s="221"/>
      <c r="U368" s="213"/>
      <c r="V368" s="215"/>
      <c r="W368" s="214"/>
      <c r="X368" s="630"/>
      <c r="Y368" s="631"/>
      <c r="Z368" s="632"/>
      <c r="AA368" s="632"/>
      <c r="AB368" s="643"/>
      <c r="AC368" s="616">
        <f t="shared" si="17"/>
        <v>0</v>
      </c>
      <c r="AD368" s="633"/>
      <c r="AE368" s="640"/>
      <c r="AF368" s="640"/>
      <c r="AG368" s="7"/>
      <c r="AH368" s="628"/>
      <c r="AI368" s="7"/>
      <c r="AJ368" s="618">
        <f t="shared" si="18"/>
        <v>0</v>
      </c>
    </row>
    <row r="369" spans="1:36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4"/>
      <c r="H369" s="214"/>
      <c r="I369" s="215"/>
      <c r="J369" s="620"/>
      <c r="K369" s="215"/>
      <c r="L369" s="213">
        <v>2</v>
      </c>
      <c r="M369" s="370"/>
      <c r="N369" s="214"/>
      <c r="O369" s="261">
        <v>2</v>
      </c>
      <c r="P369" s="213"/>
      <c r="Q369" s="213"/>
      <c r="R369" s="213"/>
      <c r="S369" s="213"/>
      <c r="T369" s="221"/>
      <c r="U369" s="213"/>
      <c r="V369" s="215"/>
      <c r="W369" s="214"/>
      <c r="X369" s="630"/>
      <c r="Y369" s="631"/>
      <c r="Z369" s="632"/>
      <c r="AA369" s="632"/>
      <c r="AB369" s="657"/>
      <c r="AC369" s="616">
        <f t="shared" si="17"/>
        <v>4</v>
      </c>
      <c r="AD369" s="633"/>
      <c r="AE369" s="636"/>
      <c r="AF369" s="636"/>
      <c r="AG369" s="7"/>
      <c r="AH369" s="628">
        <v>27</v>
      </c>
      <c r="AI369" s="7"/>
      <c r="AJ369" s="618">
        <f t="shared" si="18"/>
        <v>23</v>
      </c>
    </row>
    <row r="370" spans="1:36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4"/>
      <c r="H370" s="214"/>
      <c r="I370" s="215"/>
      <c r="J370" s="647"/>
      <c r="K370" s="215"/>
      <c r="L370" s="213"/>
      <c r="M370" s="370"/>
      <c r="N370" s="214"/>
      <c r="O370" s="261">
        <v>1</v>
      </c>
      <c r="P370" s="213"/>
      <c r="Q370" s="213"/>
      <c r="R370" s="213"/>
      <c r="S370" s="213"/>
      <c r="T370" s="221"/>
      <c r="U370" s="213"/>
      <c r="V370" s="215"/>
      <c r="W370" s="214"/>
      <c r="X370" s="630"/>
      <c r="Y370" s="667"/>
      <c r="Z370" s="668"/>
      <c r="AA370" s="668"/>
      <c r="AB370" s="643"/>
      <c r="AC370" s="616">
        <f t="shared" si="17"/>
        <v>1</v>
      </c>
      <c r="AD370" s="633"/>
      <c r="AE370" s="648"/>
      <c r="AF370" s="648"/>
      <c r="AG370" s="7"/>
      <c r="AH370" s="628">
        <v>3</v>
      </c>
      <c r="AI370" s="7"/>
      <c r="AJ370" s="618">
        <f t="shared" si="18"/>
        <v>2</v>
      </c>
    </row>
    <row r="371" spans="1:36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4"/>
      <c r="H371" s="214"/>
      <c r="I371" s="215"/>
      <c r="J371" s="647"/>
      <c r="K371" s="215"/>
      <c r="L371" s="213"/>
      <c r="M371" s="370"/>
      <c r="N371" s="214"/>
      <c r="O371" s="261">
        <v>1</v>
      </c>
      <c r="P371" s="213"/>
      <c r="Q371" s="213"/>
      <c r="R371" s="213"/>
      <c r="S371" s="213"/>
      <c r="T371" s="221"/>
      <c r="U371" s="213"/>
      <c r="V371" s="215"/>
      <c r="W371" s="214"/>
      <c r="X371" s="630"/>
      <c r="Y371" s="667"/>
      <c r="Z371" s="668"/>
      <c r="AA371" s="668"/>
      <c r="AB371" s="643"/>
      <c r="AC371" s="616">
        <f t="shared" si="17"/>
        <v>1</v>
      </c>
      <c r="AD371" s="633"/>
      <c r="AE371" s="648"/>
      <c r="AF371" s="648"/>
      <c r="AG371" s="7"/>
      <c r="AH371" s="628">
        <v>24</v>
      </c>
      <c r="AI371" s="7"/>
      <c r="AJ371" s="618">
        <f t="shared" si="18"/>
        <v>23</v>
      </c>
    </row>
    <row r="372" spans="1:36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4"/>
      <c r="H372" s="214"/>
      <c r="I372" s="215"/>
      <c r="J372" s="620"/>
      <c r="K372" s="215"/>
      <c r="L372" s="213"/>
      <c r="M372" s="370"/>
      <c r="N372" s="214"/>
      <c r="O372" s="261"/>
      <c r="P372" s="213"/>
      <c r="Q372" s="213"/>
      <c r="R372" s="213"/>
      <c r="S372" s="213"/>
      <c r="T372" s="221"/>
      <c r="U372" s="213"/>
      <c r="V372" s="215"/>
      <c r="W372" s="214"/>
      <c r="X372" s="630"/>
      <c r="Y372" s="667"/>
      <c r="Z372" s="668"/>
      <c r="AA372" s="668"/>
      <c r="AB372" s="657"/>
      <c r="AC372" s="616">
        <f t="shared" si="17"/>
        <v>0</v>
      </c>
      <c r="AD372" s="633"/>
      <c r="AE372" s="636"/>
      <c r="AF372" s="636"/>
      <c r="AG372" s="7"/>
      <c r="AH372" s="628"/>
      <c r="AI372" s="7"/>
      <c r="AJ372" s="618">
        <f t="shared" si="18"/>
        <v>0</v>
      </c>
    </row>
    <row r="373" spans="1:36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4"/>
      <c r="H373" s="214"/>
      <c r="I373" s="215"/>
      <c r="J373" s="647"/>
      <c r="K373" s="215"/>
      <c r="L373" s="213"/>
      <c r="M373" s="370"/>
      <c r="N373" s="214"/>
      <c r="O373" s="261"/>
      <c r="P373" s="213"/>
      <c r="Q373" s="213"/>
      <c r="R373" s="213"/>
      <c r="S373" s="213"/>
      <c r="T373" s="221"/>
      <c r="U373" s="213"/>
      <c r="V373" s="215"/>
      <c r="W373" s="214"/>
      <c r="X373" s="630"/>
      <c r="Y373" s="667"/>
      <c r="Z373" s="668"/>
      <c r="AA373" s="668"/>
      <c r="AB373" s="643"/>
      <c r="AC373" s="616">
        <f t="shared" si="17"/>
        <v>0</v>
      </c>
      <c r="AD373" s="633"/>
      <c r="AE373" s="648"/>
      <c r="AF373" s="648"/>
      <c r="AG373" s="7"/>
      <c r="AH373" s="628"/>
      <c r="AI373" s="7"/>
      <c r="AJ373" s="618">
        <f t="shared" si="18"/>
        <v>0</v>
      </c>
    </row>
    <row r="374" spans="1:36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4"/>
      <c r="H374" s="214"/>
      <c r="I374" s="215"/>
      <c r="J374" s="647"/>
      <c r="K374" s="215"/>
      <c r="L374" s="213"/>
      <c r="M374" s="370"/>
      <c r="N374" s="214"/>
      <c r="O374" s="261"/>
      <c r="P374" s="213"/>
      <c r="Q374" s="213"/>
      <c r="R374" s="213"/>
      <c r="S374" s="213"/>
      <c r="T374" s="221"/>
      <c r="U374" s="213"/>
      <c r="V374" s="215"/>
      <c r="W374" s="214"/>
      <c r="X374" s="630"/>
      <c r="Y374" s="667"/>
      <c r="Z374" s="668"/>
      <c r="AA374" s="668"/>
      <c r="AB374" s="643"/>
      <c r="AC374" s="616">
        <f t="shared" si="17"/>
        <v>0</v>
      </c>
      <c r="AD374" s="633"/>
      <c r="AE374" s="648"/>
      <c r="AF374" s="648"/>
      <c r="AG374" s="7"/>
      <c r="AH374" s="628"/>
      <c r="AI374" s="7"/>
      <c r="AJ374" s="618">
        <f t="shared" si="18"/>
        <v>0</v>
      </c>
    </row>
    <row r="375" spans="1:36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4"/>
      <c r="H375" s="214"/>
      <c r="I375" s="215"/>
      <c r="J375" s="620"/>
      <c r="K375" s="215"/>
      <c r="L375" s="213"/>
      <c r="M375" s="370"/>
      <c r="N375" s="214"/>
      <c r="O375" s="261"/>
      <c r="P375" s="213"/>
      <c r="Q375" s="213"/>
      <c r="R375" s="213"/>
      <c r="S375" s="213"/>
      <c r="T375" s="221"/>
      <c r="U375" s="213"/>
      <c r="V375" s="215"/>
      <c r="W375" s="214"/>
      <c r="X375" s="630"/>
      <c r="Y375" s="667"/>
      <c r="Z375" s="668"/>
      <c r="AA375" s="668"/>
      <c r="AB375" s="643"/>
      <c r="AC375" s="616">
        <f t="shared" si="17"/>
        <v>0</v>
      </c>
      <c r="AD375" s="633"/>
      <c r="AE375" s="636"/>
      <c r="AF375" s="636"/>
      <c r="AG375" s="7"/>
      <c r="AH375" s="669"/>
      <c r="AI375" s="7"/>
      <c r="AJ375" s="618">
        <f t="shared" si="18"/>
        <v>0</v>
      </c>
    </row>
    <row r="376" spans="1:36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4"/>
      <c r="H376" s="214"/>
      <c r="I376" s="215"/>
      <c r="J376" s="647"/>
      <c r="K376" s="215"/>
      <c r="L376" s="213"/>
      <c r="M376" s="370"/>
      <c r="N376" s="214"/>
      <c r="O376" s="261"/>
      <c r="P376" s="213"/>
      <c r="Q376" s="213"/>
      <c r="R376" s="213"/>
      <c r="S376" s="213"/>
      <c r="T376" s="221"/>
      <c r="U376" s="213"/>
      <c r="V376" s="215"/>
      <c r="W376" s="214"/>
      <c r="X376" s="630"/>
      <c r="Y376" s="667"/>
      <c r="Z376" s="668"/>
      <c r="AA376" s="668"/>
      <c r="AB376" s="643"/>
      <c r="AC376" s="616">
        <f t="shared" si="17"/>
        <v>0</v>
      </c>
      <c r="AD376" s="633"/>
      <c r="AE376" s="648"/>
      <c r="AF376" s="648"/>
      <c r="AG376" s="7"/>
      <c r="AH376" s="669"/>
      <c r="AI376" s="7"/>
      <c r="AJ376" s="618">
        <f t="shared" si="18"/>
        <v>0</v>
      </c>
    </row>
    <row r="377" spans="1:36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4"/>
      <c r="H377" s="214"/>
      <c r="I377" s="215"/>
      <c r="J377" s="647"/>
      <c r="K377" s="215"/>
      <c r="L377" s="213"/>
      <c r="M377" s="370"/>
      <c r="N377" s="214"/>
      <c r="O377" s="261"/>
      <c r="P377" s="213"/>
      <c r="Q377" s="213"/>
      <c r="R377" s="213"/>
      <c r="S377" s="213"/>
      <c r="T377" s="221"/>
      <c r="U377" s="213"/>
      <c r="V377" s="215"/>
      <c r="W377" s="214"/>
      <c r="X377" s="630"/>
      <c r="Y377" s="667"/>
      <c r="Z377" s="668"/>
      <c r="AA377" s="668"/>
      <c r="AB377" s="643"/>
      <c r="AC377" s="616">
        <f t="shared" si="17"/>
        <v>0</v>
      </c>
      <c r="AD377" s="633"/>
      <c r="AE377" s="648"/>
      <c r="AF377" s="648"/>
      <c r="AG377" s="7"/>
      <c r="AH377" s="669"/>
      <c r="AI377" s="7"/>
      <c r="AJ377" s="618">
        <f t="shared" si="18"/>
        <v>0</v>
      </c>
    </row>
    <row r="378" spans="1:36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4"/>
      <c r="H378" s="214"/>
      <c r="I378" s="215"/>
      <c r="J378" s="620"/>
      <c r="K378" s="215"/>
      <c r="L378" s="213"/>
      <c r="M378" s="370"/>
      <c r="N378" s="214"/>
      <c r="O378" s="261"/>
      <c r="P378" s="213"/>
      <c r="Q378" s="213"/>
      <c r="R378" s="213"/>
      <c r="S378" s="213"/>
      <c r="T378" s="221"/>
      <c r="U378" s="213"/>
      <c r="V378" s="215"/>
      <c r="W378" s="214"/>
      <c r="X378" s="630"/>
      <c r="Y378" s="667"/>
      <c r="Z378" s="668"/>
      <c r="AA378" s="668"/>
      <c r="AB378" s="643"/>
      <c r="AC378" s="616">
        <f t="shared" si="17"/>
        <v>0</v>
      </c>
      <c r="AD378" s="633"/>
      <c r="AE378" s="636"/>
      <c r="AF378" s="636"/>
      <c r="AG378" s="7"/>
      <c r="AH378" s="669"/>
      <c r="AI378" s="7"/>
      <c r="AJ378" s="618">
        <f t="shared" si="18"/>
        <v>0</v>
      </c>
    </row>
    <row r="379" spans="1:36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4"/>
      <c r="H379" s="214"/>
      <c r="I379" s="215"/>
      <c r="J379" s="647"/>
      <c r="K379" s="215"/>
      <c r="L379" s="213"/>
      <c r="M379" s="370"/>
      <c r="N379" s="214"/>
      <c r="O379" s="261"/>
      <c r="P379" s="213"/>
      <c r="Q379" s="213"/>
      <c r="R379" s="213"/>
      <c r="S379" s="213"/>
      <c r="T379" s="221"/>
      <c r="U379" s="213"/>
      <c r="V379" s="215"/>
      <c r="W379" s="214"/>
      <c r="X379" s="630"/>
      <c r="Y379" s="667"/>
      <c r="Z379" s="668"/>
      <c r="AA379" s="668"/>
      <c r="AB379" s="643"/>
      <c r="AC379" s="616">
        <f t="shared" si="17"/>
        <v>0</v>
      </c>
      <c r="AD379" s="633"/>
      <c r="AE379" s="648"/>
      <c r="AF379" s="648"/>
      <c r="AG379" s="7"/>
      <c r="AH379" s="669"/>
      <c r="AI379" s="7"/>
      <c r="AJ379" s="618">
        <f t="shared" si="18"/>
        <v>0</v>
      </c>
    </row>
    <row r="380" spans="1:36" ht="21.75" customHeight="1">
      <c r="A380" s="503" t="s">
        <v>1499</v>
      </c>
      <c r="B380" s="483" t="s">
        <v>828</v>
      </c>
      <c r="C380" s="658" t="s">
        <v>829</v>
      </c>
      <c r="D380" s="504" t="s">
        <v>1611</v>
      </c>
      <c r="E380" s="213"/>
      <c r="F380" s="213"/>
      <c r="G380" s="214"/>
      <c r="H380" s="214"/>
      <c r="I380" s="215"/>
      <c r="J380" s="647"/>
      <c r="K380" s="215"/>
      <c r="L380" s="213"/>
      <c r="M380" s="370"/>
      <c r="N380" s="214"/>
      <c r="O380" s="261"/>
      <c r="P380" s="213"/>
      <c r="Q380" s="213"/>
      <c r="R380" s="213"/>
      <c r="S380" s="213"/>
      <c r="T380" s="221"/>
      <c r="U380" s="213"/>
      <c r="V380" s="215"/>
      <c r="W380" s="214"/>
      <c r="X380" s="630"/>
      <c r="Y380" s="667"/>
      <c r="Z380" s="668"/>
      <c r="AA380" s="668"/>
      <c r="AB380" s="643"/>
      <c r="AC380" s="616">
        <f t="shared" si="17"/>
        <v>0</v>
      </c>
      <c r="AD380" s="633"/>
      <c r="AE380" s="648"/>
      <c r="AF380" s="648"/>
      <c r="AG380" s="7"/>
      <c r="AH380" s="669"/>
      <c r="AI380" s="7"/>
      <c r="AJ380" s="618">
        <f t="shared" si="18"/>
        <v>0</v>
      </c>
    </row>
    <row r="381" spans="1:36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4"/>
      <c r="H381" s="214"/>
      <c r="I381" s="215"/>
      <c r="J381" s="647"/>
      <c r="K381" s="215"/>
      <c r="L381" s="213"/>
      <c r="M381" s="370"/>
      <c r="N381" s="214"/>
      <c r="O381" s="261"/>
      <c r="P381" s="213"/>
      <c r="Q381" s="213"/>
      <c r="R381" s="213"/>
      <c r="S381" s="213"/>
      <c r="T381" s="221"/>
      <c r="U381" s="213"/>
      <c r="V381" s="215"/>
      <c r="W381" s="214"/>
      <c r="X381" s="630"/>
      <c r="Y381" s="667"/>
      <c r="Z381" s="668"/>
      <c r="AA381" s="668"/>
      <c r="AB381" s="643"/>
      <c r="AC381" s="616">
        <f t="shared" si="17"/>
        <v>0</v>
      </c>
      <c r="AD381" s="633"/>
      <c r="AE381" s="648"/>
      <c r="AF381" s="648"/>
      <c r="AG381" s="7"/>
      <c r="AH381" s="669"/>
      <c r="AI381" s="7"/>
      <c r="AJ381" s="618">
        <f t="shared" si="18"/>
        <v>0</v>
      </c>
    </row>
    <row r="382" spans="1:36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4"/>
      <c r="H382" s="214"/>
      <c r="I382" s="215"/>
      <c r="J382" s="620"/>
      <c r="K382" s="215"/>
      <c r="L382" s="213"/>
      <c r="M382" s="370"/>
      <c r="N382" s="214"/>
      <c r="O382" s="261"/>
      <c r="P382" s="213"/>
      <c r="Q382" s="213"/>
      <c r="R382" s="213"/>
      <c r="S382" s="213"/>
      <c r="T382" s="221"/>
      <c r="U382" s="213"/>
      <c r="V382" s="215"/>
      <c r="W382" s="214"/>
      <c r="X382" s="630"/>
      <c r="Y382" s="667"/>
      <c r="Z382" s="668"/>
      <c r="AA382" s="668"/>
      <c r="AB382" s="643"/>
      <c r="AC382" s="616">
        <f t="shared" si="17"/>
        <v>0</v>
      </c>
      <c r="AD382" s="633"/>
      <c r="AE382" s="636"/>
      <c r="AF382" s="636"/>
      <c r="AG382" s="7"/>
      <c r="AH382" s="669"/>
      <c r="AI382" s="7"/>
      <c r="AJ382" s="618">
        <f t="shared" si="18"/>
        <v>0</v>
      </c>
    </row>
    <row r="383" spans="1:36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4"/>
      <c r="H383" s="214"/>
      <c r="I383" s="215"/>
      <c r="J383" s="620"/>
      <c r="K383" s="215"/>
      <c r="L383" s="213"/>
      <c r="M383" s="370"/>
      <c r="N383" s="214"/>
      <c r="O383" s="261"/>
      <c r="P383" s="213"/>
      <c r="Q383" s="213"/>
      <c r="R383" s="213"/>
      <c r="S383" s="213"/>
      <c r="T383" s="221"/>
      <c r="U383" s="213"/>
      <c r="V383" s="215"/>
      <c r="W383" s="214"/>
      <c r="X383" s="630"/>
      <c r="Y383" s="667"/>
      <c r="Z383" s="668"/>
      <c r="AA383" s="668"/>
      <c r="AB383" s="643"/>
      <c r="AC383" s="616">
        <f t="shared" si="17"/>
        <v>0</v>
      </c>
      <c r="AD383" s="633"/>
      <c r="AE383" s="636"/>
      <c r="AF383" s="636"/>
      <c r="AG383" s="7"/>
      <c r="AH383" s="669"/>
      <c r="AI383" s="7"/>
      <c r="AJ383" s="618">
        <f t="shared" si="18"/>
        <v>0</v>
      </c>
    </row>
    <row r="384" spans="1:36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4"/>
      <c r="H384" s="214"/>
      <c r="I384" s="215"/>
      <c r="J384" s="620"/>
      <c r="K384" s="215"/>
      <c r="L384" s="213"/>
      <c r="M384" s="370"/>
      <c r="N384" s="214"/>
      <c r="O384" s="261"/>
      <c r="P384" s="213"/>
      <c r="Q384" s="213"/>
      <c r="R384" s="213"/>
      <c r="S384" s="213"/>
      <c r="T384" s="221"/>
      <c r="U384" s="213"/>
      <c r="V384" s="215"/>
      <c r="W384" s="214"/>
      <c r="X384" s="630"/>
      <c r="Y384" s="667"/>
      <c r="Z384" s="668"/>
      <c r="AA384" s="668"/>
      <c r="AB384" s="643"/>
      <c r="AC384" s="616">
        <f t="shared" si="17"/>
        <v>0</v>
      </c>
      <c r="AD384" s="633"/>
      <c r="AE384" s="648"/>
      <c r="AF384" s="648"/>
      <c r="AG384" s="7"/>
      <c r="AH384" s="669"/>
      <c r="AI384" s="7"/>
      <c r="AJ384" s="618">
        <f t="shared" si="18"/>
        <v>0</v>
      </c>
    </row>
    <row r="385" spans="1:36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4"/>
      <c r="H385" s="214"/>
      <c r="I385" s="215"/>
      <c r="J385" s="620"/>
      <c r="K385" s="215"/>
      <c r="L385" s="213"/>
      <c r="M385" s="370"/>
      <c r="N385" s="214"/>
      <c r="O385" s="261"/>
      <c r="P385" s="213"/>
      <c r="Q385" s="213"/>
      <c r="R385" s="213"/>
      <c r="S385" s="213"/>
      <c r="T385" s="221"/>
      <c r="U385" s="213"/>
      <c r="V385" s="215"/>
      <c r="W385" s="214"/>
      <c r="X385" s="630"/>
      <c r="Y385" s="667"/>
      <c r="Z385" s="668"/>
      <c r="AA385" s="668"/>
      <c r="AB385" s="643"/>
      <c r="AC385" s="616">
        <f t="shared" si="17"/>
        <v>0</v>
      </c>
      <c r="AD385" s="633"/>
      <c r="AE385" s="648"/>
      <c r="AF385" s="648"/>
      <c r="AG385" s="7"/>
      <c r="AH385" s="669"/>
      <c r="AI385" s="7"/>
      <c r="AJ385" s="618">
        <f t="shared" si="18"/>
        <v>0</v>
      </c>
    </row>
    <row r="386" spans="1:36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4"/>
      <c r="H386" s="214"/>
      <c r="I386" s="215"/>
      <c r="J386" s="620"/>
      <c r="K386" s="215"/>
      <c r="L386" s="213"/>
      <c r="M386" s="370"/>
      <c r="N386" s="214"/>
      <c r="O386" s="261"/>
      <c r="P386" s="213"/>
      <c r="Q386" s="213"/>
      <c r="R386" s="213"/>
      <c r="S386" s="213"/>
      <c r="T386" s="221"/>
      <c r="U386" s="213"/>
      <c r="V386" s="215"/>
      <c r="W386" s="214"/>
      <c r="X386" s="630"/>
      <c r="Y386" s="667"/>
      <c r="Z386" s="668"/>
      <c r="AA386" s="668"/>
      <c r="AB386" s="643"/>
      <c r="AC386" s="616">
        <f t="shared" si="17"/>
        <v>0</v>
      </c>
      <c r="AD386" s="633"/>
      <c r="AE386" s="648"/>
      <c r="AF386" s="648"/>
      <c r="AG386" s="7"/>
      <c r="AH386" s="669"/>
      <c r="AI386" s="7"/>
      <c r="AJ386" s="618">
        <f t="shared" si="18"/>
        <v>0</v>
      </c>
    </row>
    <row r="387" spans="1:36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4"/>
      <c r="H387" s="214"/>
      <c r="I387" s="215"/>
      <c r="J387" s="620"/>
      <c r="K387" s="215"/>
      <c r="L387" s="213"/>
      <c r="M387" s="370"/>
      <c r="N387" s="214"/>
      <c r="O387" s="261"/>
      <c r="P387" s="213"/>
      <c r="Q387" s="213"/>
      <c r="R387" s="213"/>
      <c r="S387" s="213"/>
      <c r="T387" s="221"/>
      <c r="U387" s="213"/>
      <c r="V387" s="215"/>
      <c r="W387" s="214"/>
      <c r="X387" s="630"/>
      <c r="Y387" s="667"/>
      <c r="Z387" s="668"/>
      <c r="AA387" s="668"/>
      <c r="AB387" s="643"/>
      <c r="AC387" s="616">
        <f t="shared" si="17"/>
        <v>0</v>
      </c>
      <c r="AD387" s="633"/>
      <c r="AE387" s="648"/>
      <c r="AF387" s="648"/>
      <c r="AG387" s="7"/>
      <c r="AH387" s="669"/>
      <c r="AI387" s="7"/>
      <c r="AJ387" s="618">
        <f t="shared" si="18"/>
        <v>0</v>
      </c>
    </row>
    <row r="388" spans="1:36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4"/>
      <c r="H388" s="214"/>
      <c r="I388" s="215"/>
      <c r="J388" s="620"/>
      <c r="K388" s="215"/>
      <c r="L388" s="213"/>
      <c r="M388" s="370"/>
      <c r="N388" s="214"/>
      <c r="O388" s="261"/>
      <c r="P388" s="213"/>
      <c r="Q388" s="213"/>
      <c r="R388" s="213"/>
      <c r="S388" s="213"/>
      <c r="T388" s="221"/>
      <c r="U388" s="213"/>
      <c r="V388" s="215"/>
      <c r="W388" s="214"/>
      <c r="X388" s="630"/>
      <c r="Y388" s="667"/>
      <c r="Z388" s="668"/>
      <c r="AA388" s="668"/>
      <c r="AB388" s="643"/>
      <c r="AC388" s="616">
        <f t="shared" si="17"/>
        <v>0</v>
      </c>
      <c r="AD388" s="633"/>
      <c r="AE388" s="636"/>
      <c r="AF388" s="636"/>
      <c r="AG388" s="7"/>
      <c r="AH388" s="669"/>
      <c r="AI388" s="7"/>
      <c r="AJ388" s="618">
        <f t="shared" si="18"/>
        <v>0</v>
      </c>
    </row>
    <row r="389" spans="1:36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4"/>
      <c r="H389" s="214"/>
      <c r="I389" s="215"/>
      <c r="J389" s="620"/>
      <c r="K389" s="215"/>
      <c r="L389" s="213"/>
      <c r="M389" s="370"/>
      <c r="N389" s="214"/>
      <c r="O389" s="261"/>
      <c r="P389" s="213"/>
      <c r="Q389" s="213"/>
      <c r="R389" s="213"/>
      <c r="S389" s="213"/>
      <c r="T389" s="221"/>
      <c r="U389" s="213"/>
      <c r="V389" s="215"/>
      <c r="W389" s="214"/>
      <c r="X389" s="630"/>
      <c r="Y389" s="667"/>
      <c r="Z389" s="668"/>
      <c r="AA389" s="668"/>
      <c r="AB389" s="643"/>
      <c r="AC389" s="616">
        <f t="shared" si="17"/>
        <v>0</v>
      </c>
      <c r="AD389" s="633"/>
      <c r="AE389" s="636"/>
      <c r="AF389" s="636"/>
      <c r="AG389" s="7"/>
      <c r="AH389" s="669"/>
      <c r="AI389" s="7"/>
      <c r="AJ389" s="618">
        <f t="shared" si="18"/>
        <v>0</v>
      </c>
    </row>
    <row r="390" spans="1:36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4"/>
      <c r="H390" s="214"/>
      <c r="I390" s="215"/>
      <c r="J390" s="662"/>
      <c r="K390" s="215"/>
      <c r="L390" s="213"/>
      <c r="M390" s="370"/>
      <c r="N390" s="214"/>
      <c r="O390" s="261"/>
      <c r="P390" s="213"/>
      <c r="Q390" s="213"/>
      <c r="R390" s="213"/>
      <c r="S390" s="213"/>
      <c r="T390" s="221"/>
      <c r="U390" s="213"/>
      <c r="V390" s="215"/>
      <c r="W390" s="214"/>
      <c r="X390" s="630"/>
      <c r="Y390" s="670"/>
      <c r="Z390" s="671"/>
      <c r="AA390" s="671"/>
      <c r="AB390" s="643"/>
      <c r="AC390" s="616">
        <f t="shared" si="17"/>
        <v>0</v>
      </c>
      <c r="AD390" s="633"/>
      <c r="AE390" s="636"/>
      <c r="AF390" s="636"/>
      <c r="AG390" s="7"/>
      <c r="AH390" s="669"/>
      <c r="AI390" s="7"/>
      <c r="AJ390" s="618">
        <f t="shared" si="18"/>
        <v>0</v>
      </c>
    </row>
    <row r="391" spans="1:36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4"/>
      <c r="H391" s="214"/>
      <c r="I391" s="215"/>
      <c r="J391" s="662"/>
      <c r="K391" s="215"/>
      <c r="L391" s="213"/>
      <c r="M391" s="370"/>
      <c r="N391" s="214"/>
      <c r="O391" s="261"/>
      <c r="P391" s="213"/>
      <c r="Q391" s="213"/>
      <c r="R391" s="213"/>
      <c r="S391" s="213"/>
      <c r="T391" s="221"/>
      <c r="U391" s="213"/>
      <c r="V391" s="215"/>
      <c r="W391" s="214"/>
      <c r="X391" s="630"/>
      <c r="Y391" s="670"/>
      <c r="Z391" s="671"/>
      <c r="AA391" s="671"/>
      <c r="AB391" s="643"/>
      <c r="AC391" s="616">
        <f t="shared" si="17"/>
        <v>0</v>
      </c>
      <c r="AD391" s="633"/>
      <c r="AE391" s="636"/>
      <c r="AF391" s="636"/>
      <c r="AG391" s="7"/>
      <c r="AH391" s="669"/>
      <c r="AI391" s="7"/>
      <c r="AJ391" s="618">
        <f t="shared" si="18"/>
        <v>0</v>
      </c>
    </row>
    <row r="392" spans="1:36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4"/>
      <c r="H392" s="214"/>
      <c r="I392" s="215"/>
      <c r="J392" s="662"/>
      <c r="K392" s="215"/>
      <c r="L392" s="213"/>
      <c r="M392" s="370"/>
      <c r="N392" s="214"/>
      <c r="O392" s="261"/>
      <c r="P392" s="213"/>
      <c r="Q392" s="213"/>
      <c r="R392" s="213"/>
      <c r="S392" s="213"/>
      <c r="T392" s="221"/>
      <c r="U392" s="213"/>
      <c r="V392" s="215"/>
      <c r="W392" s="214"/>
      <c r="X392" s="630"/>
      <c r="Y392" s="670"/>
      <c r="Z392" s="671"/>
      <c r="AA392" s="671"/>
      <c r="AB392" s="643"/>
      <c r="AC392" s="616">
        <f t="shared" si="17"/>
        <v>0</v>
      </c>
      <c r="AD392" s="633"/>
      <c r="AE392" s="636"/>
      <c r="AF392" s="636"/>
      <c r="AG392" s="7"/>
      <c r="AH392" s="669"/>
      <c r="AI392" s="7"/>
      <c r="AJ392" s="618">
        <f t="shared" si="18"/>
        <v>0</v>
      </c>
    </row>
    <row r="393" spans="1:36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4"/>
      <c r="H393" s="214"/>
      <c r="I393" s="215"/>
      <c r="J393" s="662"/>
      <c r="K393" s="215"/>
      <c r="L393" s="213"/>
      <c r="M393" s="370"/>
      <c r="N393" s="214"/>
      <c r="O393" s="261"/>
      <c r="P393" s="213"/>
      <c r="Q393" s="213"/>
      <c r="R393" s="213"/>
      <c r="S393" s="213"/>
      <c r="T393" s="221"/>
      <c r="U393" s="213"/>
      <c r="V393" s="215"/>
      <c r="W393" s="214"/>
      <c r="X393" s="630"/>
      <c r="Y393" s="670"/>
      <c r="Z393" s="671"/>
      <c r="AA393" s="671"/>
      <c r="AB393" s="643"/>
      <c r="AC393" s="616">
        <f t="shared" si="17"/>
        <v>0</v>
      </c>
      <c r="AD393" s="633"/>
      <c r="AE393" s="636"/>
      <c r="AF393" s="636"/>
      <c r="AG393" s="7"/>
      <c r="AH393" s="669"/>
      <c r="AI393" s="7"/>
      <c r="AJ393" s="618">
        <f t="shared" si="18"/>
        <v>0</v>
      </c>
    </row>
    <row r="394" spans="1:36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4"/>
      <c r="H394" s="214"/>
      <c r="I394" s="215"/>
      <c r="J394" s="620"/>
      <c r="K394" s="215"/>
      <c r="L394" s="213"/>
      <c r="M394" s="370"/>
      <c r="N394" s="214"/>
      <c r="O394" s="261"/>
      <c r="P394" s="213"/>
      <c r="Q394" s="213"/>
      <c r="R394" s="213"/>
      <c r="S394" s="213"/>
      <c r="T394" s="221"/>
      <c r="U394" s="213"/>
      <c r="V394" s="215"/>
      <c r="W394" s="214"/>
      <c r="X394" s="630"/>
      <c r="Y394" s="667"/>
      <c r="Z394" s="668"/>
      <c r="AA394" s="668"/>
      <c r="AB394" s="643"/>
      <c r="AC394" s="616">
        <f t="shared" si="17"/>
        <v>0</v>
      </c>
      <c r="AD394" s="633"/>
      <c r="AE394" s="634"/>
      <c r="AF394" s="634"/>
      <c r="AG394" s="7"/>
      <c r="AH394" s="669"/>
      <c r="AI394" s="7"/>
      <c r="AJ394" s="618">
        <f t="shared" si="18"/>
        <v>0</v>
      </c>
    </row>
    <row r="395" spans="1:36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4"/>
      <c r="H395" s="214"/>
      <c r="I395" s="215"/>
      <c r="J395" s="620"/>
      <c r="K395" s="215"/>
      <c r="L395" s="213"/>
      <c r="M395" s="370"/>
      <c r="N395" s="214"/>
      <c r="O395" s="261"/>
      <c r="P395" s="213"/>
      <c r="Q395" s="213"/>
      <c r="R395" s="213"/>
      <c r="S395" s="213"/>
      <c r="T395" s="221"/>
      <c r="U395" s="213"/>
      <c r="V395" s="215"/>
      <c r="W395" s="214"/>
      <c r="X395" s="630"/>
      <c r="Y395" s="667"/>
      <c r="Z395" s="668"/>
      <c r="AA395" s="668"/>
      <c r="AB395" s="643"/>
      <c r="AC395" s="616">
        <f t="shared" si="17"/>
        <v>0</v>
      </c>
      <c r="AD395" s="633"/>
      <c r="AE395" s="634"/>
      <c r="AF395" s="634"/>
      <c r="AG395" s="7"/>
      <c r="AH395" s="669"/>
      <c r="AI395" s="7"/>
      <c r="AJ395" s="618">
        <f t="shared" si="18"/>
        <v>0</v>
      </c>
    </row>
    <row r="396" spans="1:36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4"/>
      <c r="H396" s="214"/>
      <c r="I396" s="215"/>
      <c r="J396" s="620"/>
      <c r="K396" s="215"/>
      <c r="L396" s="213"/>
      <c r="M396" s="370"/>
      <c r="N396" s="214"/>
      <c r="O396" s="261"/>
      <c r="P396" s="213"/>
      <c r="Q396" s="213"/>
      <c r="R396" s="213"/>
      <c r="S396" s="213"/>
      <c r="T396" s="221"/>
      <c r="U396" s="213"/>
      <c r="V396" s="215"/>
      <c r="W396" s="214"/>
      <c r="X396" s="630"/>
      <c r="Y396" s="667"/>
      <c r="Z396" s="668"/>
      <c r="AA396" s="668"/>
      <c r="AB396" s="643"/>
      <c r="AC396" s="616">
        <f t="shared" si="17"/>
        <v>0</v>
      </c>
      <c r="AD396" s="633"/>
      <c r="AE396" s="634"/>
      <c r="AF396" s="634"/>
      <c r="AG396" s="7"/>
      <c r="AH396" s="669"/>
      <c r="AI396" s="7"/>
      <c r="AJ396" s="618">
        <f t="shared" si="18"/>
        <v>0</v>
      </c>
    </row>
    <row r="397" spans="1:36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4"/>
      <c r="H397" s="214"/>
      <c r="I397" s="215"/>
      <c r="J397" s="620"/>
      <c r="K397" s="215"/>
      <c r="L397" s="213"/>
      <c r="M397" s="370"/>
      <c r="N397" s="214"/>
      <c r="O397" s="261"/>
      <c r="P397" s="213"/>
      <c r="Q397" s="213"/>
      <c r="R397" s="213"/>
      <c r="S397" s="213"/>
      <c r="T397" s="221"/>
      <c r="U397" s="213"/>
      <c r="V397" s="215"/>
      <c r="W397" s="214"/>
      <c r="X397" s="630"/>
      <c r="Y397" s="667"/>
      <c r="Z397" s="668"/>
      <c r="AA397" s="668"/>
      <c r="AB397" s="643"/>
      <c r="AC397" s="616">
        <f t="shared" si="17"/>
        <v>0</v>
      </c>
      <c r="AD397" s="633"/>
      <c r="AE397" s="636"/>
      <c r="AF397" s="636"/>
      <c r="AG397" s="7"/>
      <c r="AH397" s="669"/>
      <c r="AI397" s="7"/>
      <c r="AJ397" s="618">
        <f t="shared" si="18"/>
        <v>0</v>
      </c>
    </row>
    <row r="398" spans="1:36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4"/>
      <c r="H398" s="214"/>
      <c r="I398" s="215"/>
      <c r="J398" s="620"/>
      <c r="K398" s="215"/>
      <c r="L398" s="213"/>
      <c r="M398" s="370"/>
      <c r="N398" s="214"/>
      <c r="O398" s="261"/>
      <c r="P398" s="213"/>
      <c r="Q398" s="213"/>
      <c r="R398" s="213"/>
      <c r="S398" s="213"/>
      <c r="T398" s="221"/>
      <c r="U398" s="213"/>
      <c r="V398" s="215"/>
      <c r="W398" s="214"/>
      <c r="X398" s="630"/>
      <c r="Y398" s="667"/>
      <c r="Z398" s="668"/>
      <c r="AA398" s="668"/>
      <c r="AB398" s="643"/>
      <c r="AC398" s="616">
        <f t="shared" si="17"/>
        <v>0</v>
      </c>
      <c r="AD398" s="633"/>
      <c r="AE398" s="634"/>
      <c r="AF398" s="634"/>
      <c r="AG398" s="7"/>
      <c r="AH398" s="669"/>
      <c r="AI398" s="7"/>
      <c r="AJ398" s="618">
        <f t="shared" si="18"/>
        <v>0</v>
      </c>
    </row>
    <row r="399" spans="1:36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4"/>
      <c r="H399" s="214"/>
      <c r="I399" s="215"/>
      <c r="J399" s="620"/>
      <c r="K399" s="215"/>
      <c r="L399" s="213"/>
      <c r="M399" s="370"/>
      <c r="N399" s="214"/>
      <c r="O399" s="261"/>
      <c r="P399" s="213"/>
      <c r="Q399" s="213"/>
      <c r="R399" s="213"/>
      <c r="S399" s="213"/>
      <c r="T399" s="221"/>
      <c r="U399" s="213"/>
      <c r="V399" s="215"/>
      <c r="W399" s="214"/>
      <c r="X399" s="630"/>
      <c r="Y399" s="667"/>
      <c r="Z399" s="668"/>
      <c r="AA399" s="668"/>
      <c r="AB399" s="643"/>
      <c r="AC399" s="616">
        <f t="shared" si="17"/>
        <v>0</v>
      </c>
      <c r="AD399" s="633"/>
      <c r="AE399" s="634"/>
      <c r="AF399" s="634"/>
      <c r="AG399" s="7"/>
      <c r="AH399" s="669"/>
      <c r="AI399" s="7"/>
      <c r="AJ399" s="618">
        <f t="shared" si="18"/>
        <v>0</v>
      </c>
    </row>
    <row r="400" spans="1:36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4"/>
      <c r="H400" s="214"/>
      <c r="I400" s="215"/>
      <c r="J400" s="620"/>
      <c r="K400" s="215"/>
      <c r="L400" s="213"/>
      <c r="M400" s="370"/>
      <c r="N400" s="214"/>
      <c r="O400" s="261"/>
      <c r="P400" s="213"/>
      <c r="Q400" s="213"/>
      <c r="R400" s="213"/>
      <c r="S400" s="213"/>
      <c r="T400" s="221"/>
      <c r="U400" s="213"/>
      <c r="V400" s="215"/>
      <c r="W400" s="214"/>
      <c r="X400" s="630"/>
      <c r="Y400" s="667"/>
      <c r="Z400" s="668"/>
      <c r="AA400" s="668"/>
      <c r="AB400" s="643"/>
      <c r="AC400" s="616">
        <f t="shared" si="17"/>
        <v>0</v>
      </c>
      <c r="AD400" s="633"/>
      <c r="AE400" s="636"/>
      <c r="AF400" s="636"/>
      <c r="AG400" s="7"/>
      <c r="AH400" s="669"/>
      <c r="AI400" s="7"/>
      <c r="AJ400" s="618">
        <f t="shared" si="18"/>
        <v>0</v>
      </c>
    </row>
    <row r="401" spans="1:36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4"/>
      <c r="H401" s="214"/>
      <c r="I401" s="215"/>
      <c r="J401" s="620"/>
      <c r="K401" s="215"/>
      <c r="L401" s="213"/>
      <c r="M401" s="370"/>
      <c r="N401" s="214"/>
      <c r="O401" s="261"/>
      <c r="P401" s="213"/>
      <c r="Q401" s="213"/>
      <c r="R401" s="213"/>
      <c r="S401" s="213"/>
      <c r="T401" s="221"/>
      <c r="U401" s="213"/>
      <c r="V401" s="215"/>
      <c r="W401" s="214"/>
      <c r="X401" s="630"/>
      <c r="Y401" s="667"/>
      <c r="Z401" s="668"/>
      <c r="AA401" s="668"/>
      <c r="AB401" s="643"/>
      <c r="AC401" s="616">
        <f t="shared" si="17"/>
        <v>0</v>
      </c>
      <c r="AD401" s="633"/>
      <c r="AE401" s="634"/>
      <c r="AF401" s="634"/>
      <c r="AG401" s="7"/>
      <c r="AH401" s="669"/>
      <c r="AI401" s="7"/>
      <c r="AJ401" s="618">
        <f t="shared" si="18"/>
        <v>0</v>
      </c>
    </row>
    <row r="402" spans="1:36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4"/>
      <c r="H402" s="214"/>
      <c r="I402" s="215"/>
      <c r="J402" s="620"/>
      <c r="K402" s="215"/>
      <c r="L402" s="213"/>
      <c r="M402" s="370"/>
      <c r="N402" s="214"/>
      <c r="O402" s="261"/>
      <c r="P402" s="213"/>
      <c r="Q402" s="213"/>
      <c r="R402" s="213"/>
      <c r="S402" s="213"/>
      <c r="T402" s="221"/>
      <c r="U402" s="213"/>
      <c r="V402" s="215"/>
      <c r="W402" s="214"/>
      <c r="X402" s="630"/>
      <c r="Y402" s="667"/>
      <c r="Z402" s="668"/>
      <c r="AA402" s="668"/>
      <c r="AB402" s="643"/>
      <c r="AC402" s="616">
        <f t="shared" si="17"/>
        <v>0</v>
      </c>
      <c r="AD402" s="633"/>
      <c r="AE402" s="634"/>
      <c r="AF402" s="634"/>
      <c r="AG402" s="7"/>
      <c r="AH402" s="669"/>
      <c r="AI402" s="7"/>
      <c r="AJ402" s="618">
        <f t="shared" si="18"/>
        <v>0</v>
      </c>
    </row>
    <row r="403" spans="1:36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4"/>
      <c r="H403" s="214"/>
      <c r="I403" s="215"/>
      <c r="J403" s="662"/>
      <c r="K403" s="215"/>
      <c r="L403" s="213"/>
      <c r="M403" s="370"/>
      <c r="N403" s="214"/>
      <c r="O403" s="261"/>
      <c r="P403" s="213"/>
      <c r="Q403" s="213"/>
      <c r="R403" s="213"/>
      <c r="S403" s="213"/>
      <c r="T403" s="221"/>
      <c r="U403" s="213"/>
      <c r="V403" s="215"/>
      <c r="W403" s="214"/>
      <c r="X403" s="630"/>
      <c r="Y403" s="670"/>
      <c r="Z403" s="671"/>
      <c r="AA403" s="671"/>
      <c r="AB403" s="643"/>
      <c r="AC403" s="616">
        <f t="shared" si="17"/>
        <v>0</v>
      </c>
      <c r="AD403" s="633"/>
      <c r="AE403" s="634"/>
      <c r="AF403" s="634"/>
      <c r="AG403" s="7"/>
      <c r="AH403" s="669"/>
      <c r="AI403" s="7"/>
      <c r="AJ403" s="618">
        <f t="shared" si="18"/>
        <v>0</v>
      </c>
    </row>
    <row r="404" spans="1:36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4"/>
      <c r="H404" s="214"/>
      <c r="I404" s="215"/>
      <c r="J404" s="662"/>
      <c r="K404" s="215"/>
      <c r="L404" s="213"/>
      <c r="M404" s="370"/>
      <c r="N404" s="214"/>
      <c r="O404" s="261"/>
      <c r="P404" s="213"/>
      <c r="Q404" s="213"/>
      <c r="R404" s="213"/>
      <c r="S404" s="213"/>
      <c r="T404" s="221"/>
      <c r="U404" s="213"/>
      <c r="V404" s="215"/>
      <c r="W404" s="214"/>
      <c r="X404" s="630"/>
      <c r="Y404" s="670"/>
      <c r="Z404" s="671"/>
      <c r="AA404" s="671"/>
      <c r="AB404" s="643"/>
      <c r="AC404" s="616">
        <f t="shared" si="17"/>
        <v>0</v>
      </c>
      <c r="AD404" s="633"/>
      <c r="AE404" s="640"/>
      <c r="AF404" s="640"/>
      <c r="AG404" s="7"/>
      <c r="AH404" s="669"/>
      <c r="AI404" s="7"/>
      <c r="AJ404" s="618">
        <f t="shared" si="18"/>
        <v>0</v>
      </c>
    </row>
    <row r="405" spans="1:36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4"/>
      <c r="H405" s="214"/>
      <c r="I405" s="215"/>
      <c r="J405" s="662"/>
      <c r="K405" s="215"/>
      <c r="L405" s="213"/>
      <c r="M405" s="370"/>
      <c r="N405" s="214"/>
      <c r="O405" s="261"/>
      <c r="P405" s="213"/>
      <c r="Q405" s="213"/>
      <c r="R405" s="213"/>
      <c r="S405" s="213"/>
      <c r="T405" s="221"/>
      <c r="U405" s="213"/>
      <c r="V405" s="215"/>
      <c r="W405" s="214"/>
      <c r="X405" s="630"/>
      <c r="Y405" s="670"/>
      <c r="Z405" s="671"/>
      <c r="AA405" s="671"/>
      <c r="AB405" s="643"/>
      <c r="AC405" s="616">
        <f t="shared" si="17"/>
        <v>0</v>
      </c>
      <c r="AD405" s="633"/>
      <c r="AE405" s="636"/>
      <c r="AF405" s="636"/>
      <c r="AG405" s="7"/>
      <c r="AH405" s="669"/>
      <c r="AI405" s="7"/>
      <c r="AJ405" s="618">
        <f t="shared" si="18"/>
        <v>0</v>
      </c>
    </row>
    <row r="406" spans="1:36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4"/>
      <c r="H406" s="214"/>
      <c r="I406" s="215"/>
      <c r="J406" s="662"/>
      <c r="K406" s="215"/>
      <c r="L406" s="213"/>
      <c r="M406" s="370"/>
      <c r="N406" s="214"/>
      <c r="O406" s="261"/>
      <c r="P406" s="213"/>
      <c r="Q406" s="213"/>
      <c r="R406" s="213"/>
      <c r="S406" s="213"/>
      <c r="T406" s="221"/>
      <c r="U406" s="213"/>
      <c r="V406" s="215"/>
      <c r="W406" s="214"/>
      <c r="X406" s="630"/>
      <c r="Y406" s="670"/>
      <c r="Z406" s="671"/>
      <c r="AA406" s="671"/>
      <c r="AB406" s="643"/>
      <c r="AC406" s="616">
        <f t="shared" si="17"/>
        <v>0</v>
      </c>
      <c r="AD406" s="633"/>
      <c r="AE406" s="636"/>
      <c r="AF406" s="636"/>
      <c r="AG406" s="7"/>
      <c r="AH406" s="669"/>
      <c r="AI406" s="7"/>
      <c r="AJ406" s="618">
        <f t="shared" si="18"/>
        <v>0</v>
      </c>
    </row>
    <row r="407" spans="1:36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4"/>
      <c r="H407" s="214"/>
      <c r="I407" s="215"/>
      <c r="J407" s="662"/>
      <c r="K407" s="215"/>
      <c r="L407" s="213"/>
      <c r="M407" s="370"/>
      <c r="N407" s="214"/>
      <c r="O407" s="261"/>
      <c r="P407" s="213"/>
      <c r="Q407" s="213"/>
      <c r="R407" s="213"/>
      <c r="S407" s="213"/>
      <c r="T407" s="221"/>
      <c r="U407" s="213"/>
      <c r="V407" s="215"/>
      <c r="W407" s="214"/>
      <c r="X407" s="630"/>
      <c r="Y407" s="670"/>
      <c r="Z407" s="671"/>
      <c r="AA407" s="671"/>
      <c r="AB407" s="643"/>
      <c r="AC407" s="616">
        <f t="shared" si="17"/>
        <v>0</v>
      </c>
      <c r="AD407" s="633"/>
      <c r="AE407" s="636"/>
      <c r="AF407" s="636"/>
      <c r="AG407" s="7"/>
      <c r="AH407" s="669"/>
      <c r="AI407" s="7"/>
      <c r="AJ407" s="618">
        <f t="shared" si="18"/>
        <v>0</v>
      </c>
    </row>
    <row r="408" spans="1:36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4"/>
      <c r="H408" s="214"/>
      <c r="I408" s="215"/>
      <c r="J408" s="662"/>
      <c r="K408" s="215"/>
      <c r="L408" s="213"/>
      <c r="M408" s="370"/>
      <c r="N408" s="214"/>
      <c r="O408" s="261"/>
      <c r="P408" s="213"/>
      <c r="Q408" s="213"/>
      <c r="R408" s="213"/>
      <c r="S408" s="213"/>
      <c r="T408" s="221"/>
      <c r="U408" s="213"/>
      <c r="V408" s="215"/>
      <c r="W408" s="214"/>
      <c r="X408" s="630"/>
      <c r="Y408" s="670"/>
      <c r="Z408" s="671"/>
      <c r="AA408" s="671"/>
      <c r="AB408" s="643"/>
      <c r="AC408" s="616">
        <f t="shared" si="17"/>
        <v>0</v>
      </c>
      <c r="AD408" s="633"/>
      <c r="AE408" s="636"/>
      <c r="AF408" s="636"/>
      <c r="AG408" s="7"/>
      <c r="AH408" s="669"/>
      <c r="AI408" s="7"/>
      <c r="AJ408" s="618">
        <f t="shared" si="18"/>
        <v>0</v>
      </c>
    </row>
    <row r="409" spans="1:36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4"/>
      <c r="H409" s="214"/>
      <c r="I409" s="215"/>
      <c r="J409" s="662"/>
      <c r="K409" s="215"/>
      <c r="L409" s="213"/>
      <c r="M409" s="370"/>
      <c r="N409" s="214"/>
      <c r="O409" s="261"/>
      <c r="P409" s="213"/>
      <c r="Q409" s="213"/>
      <c r="R409" s="213"/>
      <c r="S409" s="213"/>
      <c r="T409" s="221"/>
      <c r="U409" s="213"/>
      <c r="V409" s="215"/>
      <c r="W409" s="214"/>
      <c r="X409" s="630"/>
      <c r="Y409" s="670"/>
      <c r="Z409" s="671"/>
      <c r="AA409" s="671"/>
      <c r="AB409" s="643"/>
      <c r="AC409" s="616">
        <f t="shared" si="17"/>
        <v>0</v>
      </c>
      <c r="AD409" s="633"/>
      <c r="AE409" s="636"/>
      <c r="AF409" s="636"/>
      <c r="AG409" s="7"/>
      <c r="AH409" s="669"/>
      <c r="AI409" s="7"/>
      <c r="AJ409" s="618">
        <f t="shared" si="18"/>
        <v>0</v>
      </c>
    </row>
    <row r="410" spans="1:36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4"/>
      <c r="H410" s="214"/>
      <c r="I410" s="215"/>
      <c r="J410" s="662"/>
      <c r="K410" s="215"/>
      <c r="L410" s="213"/>
      <c r="M410" s="370"/>
      <c r="N410" s="214"/>
      <c r="O410" s="261"/>
      <c r="P410" s="213"/>
      <c r="Q410" s="213"/>
      <c r="R410" s="213"/>
      <c r="S410" s="213"/>
      <c r="T410" s="221"/>
      <c r="U410" s="213"/>
      <c r="V410" s="215"/>
      <c r="W410" s="214"/>
      <c r="X410" s="630"/>
      <c r="Y410" s="670"/>
      <c r="Z410" s="671"/>
      <c r="AA410" s="671"/>
      <c r="AB410" s="643"/>
      <c r="AC410" s="616">
        <f t="shared" si="17"/>
        <v>0</v>
      </c>
      <c r="AD410" s="633"/>
      <c r="AE410" s="636"/>
      <c r="AF410" s="636"/>
      <c r="AG410" s="7"/>
      <c r="AH410" s="669"/>
      <c r="AI410" s="7"/>
      <c r="AJ410" s="618">
        <f t="shared" si="18"/>
        <v>0</v>
      </c>
    </row>
    <row r="411" spans="1:36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4"/>
      <c r="H411" s="214"/>
      <c r="I411" s="215"/>
      <c r="J411" s="662"/>
      <c r="K411" s="215"/>
      <c r="L411" s="213"/>
      <c r="M411" s="370"/>
      <c r="N411" s="214"/>
      <c r="O411" s="261"/>
      <c r="P411" s="213"/>
      <c r="Q411" s="213"/>
      <c r="R411" s="213"/>
      <c r="S411" s="213"/>
      <c r="T411" s="221"/>
      <c r="U411" s="213"/>
      <c r="V411" s="215"/>
      <c r="W411" s="214"/>
      <c r="X411" s="630"/>
      <c r="Y411" s="670"/>
      <c r="Z411" s="671"/>
      <c r="AA411" s="671"/>
      <c r="AB411" s="643"/>
      <c r="AC411" s="616">
        <f t="shared" si="17"/>
        <v>0</v>
      </c>
      <c r="AD411" s="633"/>
      <c r="AE411" s="636"/>
      <c r="AF411" s="636"/>
      <c r="AG411" s="7"/>
      <c r="AH411" s="669"/>
      <c r="AI411" s="7"/>
      <c r="AJ411" s="618">
        <f t="shared" si="18"/>
        <v>0</v>
      </c>
    </row>
    <row r="412" spans="1:36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4"/>
      <c r="H412" s="214"/>
      <c r="I412" s="215"/>
      <c r="J412" s="662"/>
      <c r="K412" s="215"/>
      <c r="L412" s="213"/>
      <c r="M412" s="370"/>
      <c r="N412" s="214"/>
      <c r="O412" s="261"/>
      <c r="P412" s="213"/>
      <c r="Q412" s="213"/>
      <c r="R412" s="213"/>
      <c r="S412" s="213"/>
      <c r="T412" s="221"/>
      <c r="U412" s="213"/>
      <c r="V412" s="215"/>
      <c r="W412" s="214"/>
      <c r="X412" s="630"/>
      <c r="Y412" s="670"/>
      <c r="Z412" s="671"/>
      <c r="AA412" s="671"/>
      <c r="AB412" s="643"/>
      <c r="AC412" s="616">
        <f t="shared" si="17"/>
        <v>0</v>
      </c>
      <c r="AD412" s="633"/>
      <c r="AE412" s="636"/>
      <c r="AF412" s="636"/>
      <c r="AG412" s="7"/>
      <c r="AH412" s="669"/>
      <c r="AI412" s="7"/>
      <c r="AJ412" s="618">
        <f t="shared" si="18"/>
        <v>0</v>
      </c>
    </row>
    <row r="413" spans="1:36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4"/>
      <c r="H413" s="214"/>
      <c r="I413" s="215"/>
      <c r="J413" s="662"/>
      <c r="K413" s="215"/>
      <c r="L413" s="213"/>
      <c r="M413" s="370"/>
      <c r="N413" s="214"/>
      <c r="O413" s="261"/>
      <c r="P413" s="213"/>
      <c r="Q413" s="213"/>
      <c r="R413" s="213"/>
      <c r="S413" s="213"/>
      <c r="T413" s="221"/>
      <c r="U413" s="213"/>
      <c r="V413" s="215"/>
      <c r="W413" s="214"/>
      <c r="X413" s="630"/>
      <c r="Y413" s="670"/>
      <c r="Z413" s="671"/>
      <c r="AA413" s="671"/>
      <c r="AB413" s="643"/>
      <c r="AC413" s="616">
        <f t="shared" si="17"/>
        <v>0</v>
      </c>
      <c r="AD413" s="633"/>
      <c r="AE413" s="636"/>
      <c r="AF413" s="636"/>
      <c r="AG413" s="7"/>
      <c r="AH413" s="669"/>
      <c r="AI413" s="7"/>
      <c r="AJ413" s="618">
        <f t="shared" si="18"/>
        <v>0</v>
      </c>
    </row>
    <row r="414" spans="1:36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4"/>
      <c r="H414" s="214"/>
      <c r="I414" s="215"/>
      <c r="J414" s="662"/>
      <c r="K414" s="215"/>
      <c r="L414" s="213"/>
      <c r="M414" s="370"/>
      <c r="N414" s="214"/>
      <c r="O414" s="261"/>
      <c r="P414" s="213"/>
      <c r="Q414" s="213"/>
      <c r="R414" s="213"/>
      <c r="S414" s="213"/>
      <c r="T414" s="221"/>
      <c r="U414" s="213"/>
      <c r="V414" s="215"/>
      <c r="W414" s="214"/>
      <c r="X414" s="630"/>
      <c r="Y414" s="670"/>
      <c r="Z414" s="671"/>
      <c r="AA414" s="671"/>
      <c r="AB414" s="643"/>
      <c r="AC414" s="616">
        <f t="shared" si="17"/>
        <v>0</v>
      </c>
      <c r="AD414" s="633"/>
      <c r="AE414" s="636"/>
      <c r="AF414" s="636"/>
      <c r="AG414" s="7"/>
      <c r="AH414" s="669"/>
      <c r="AI414" s="7"/>
      <c r="AJ414" s="618">
        <f t="shared" si="18"/>
        <v>0</v>
      </c>
    </row>
    <row r="415" spans="1:36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4"/>
      <c r="H415" s="214"/>
      <c r="I415" s="215"/>
      <c r="J415" s="662"/>
      <c r="K415" s="215"/>
      <c r="L415" s="213"/>
      <c r="M415" s="370"/>
      <c r="N415" s="214"/>
      <c r="O415" s="261"/>
      <c r="P415" s="213"/>
      <c r="Q415" s="213"/>
      <c r="R415" s="213"/>
      <c r="S415" s="213"/>
      <c r="T415" s="221"/>
      <c r="U415" s="213"/>
      <c r="V415" s="215"/>
      <c r="W415" s="214"/>
      <c r="X415" s="630"/>
      <c r="Y415" s="670"/>
      <c r="Z415" s="671"/>
      <c r="AA415" s="671"/>
      <c r="AB415" s="643"/>
      <c r="AC415" s="616">
        <f t="shared" si="17"/>
        <v>0</v>
      </c>
      <c r="AD415" s="633"/>
      <c r="AE415" s="636"/>
      <c r="AF415" s="636"/>
      <c r="AG415" s="7"/>
      <c r="AH415" s="669"/>
      <c r="AI415" s="7"/>
      <c r="AJ415" s="618">
        <f t="shared" si="18"/>
        <v>0</v>
      </c>
    </row>
    <row r="416" spans="1:36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4"/>
      <c r="H416" s="214"/>
      <c r="I416" s="215"/>
      <c r="J416" s="662"/>
      <c r="K416" s="215"/>
      <c r="L416" s="213"/>
      <c r="M416" s="370"/>
      <c r="N416" s="214"/>
      <c r="O416" s="261"/>
      <c r="P416" s="213"/>
      <c r="Q416" s="213"/>
      <c r="R416" s="213"/>
      <c r="S416" s="213"/>
      <c r="T416" s="221"/>
      <c r="U416" s="213"/>
      <c r="V416" s="215"/>
      <c r="W416" s="214"/>
      <c r="X416" s="630"/>
      <c r="Y416" s="670"/>
      <c r="Z416" s="671"/>
      <c r="AA416" s="671"/>
      <c r="AB416" s="643"/>
      <c r="AC416" s="616">
        <f t="shared" si="17"/>
        <v>0</v>
      </c>
      <c r="AD416" s="633"/>
      <c r="AE416" s="636"/>
      <c r="AF416" s="636"/>
      <c r="AG416" s="7"/>
      <c r="AH416" s="669"/>
      <c r="AI416" s="7"/>
      <c r="AJ416" s="618">
        <f t="shared" si="18"/>
        <v>0</v>
      </c>
    </row>
    <row r="417" spans="1:36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4"/>
      <c r="H417" s="214"/>
      <c r="I417" s="215"/>
      <c r="J417" s="662"/>
      <c r="K417" s="215"/>
      <c r="L417" s="213"/>
      <c r="M417" s="370"/>
      <c r="N417" s="214"/>
      <c r="O417" s="261"/>
      <c r="P417" s="213"/>
      <c r="Q417" s="213"/>
      <c r="R417" s="213"/>
      <c r="S417" s="213"/>
      <c r="T417" s="221"/>
      <c r="U417" s="213"/>
      <c r="V417" s="215"/>
      <c r="W417" s="214"/>
      <c r="X417" s="630"/>
      <c r="Y417" s="670"/>
      <c r="Z417" s="671"/>
      <c r="AA417" s="671"/>
      <c r="AB417" s="643"/>
      <c r="AC417" s="616">
        <f t="shared" si="17"/>
        <v>0</v>
      </c>
      <c r="AD417" s="633"/>
      <c r="AE417" s="636"/>
      <c r="AF417" s="636"/>
      <c r="AG417" s="7"/>
      <c r="AH417" s="669"/>
      <c r="AI417" s="7"/>
      <c r="AJ417" s="618">
        <f t="shared" si="18"/>
        <v>0</v>
      </c>
    </row>
    <row r="418" spans="1:36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4"/>
      <c r="H418" s="214"/>
      <c r="I418" s="215"/>
      <c r="J418" s="662"/>
      <c r="K418" s="215"/>
      <c r="L418" s="213"/>
      <c r="M418" s="370"/>
      <c r="N418" s="214"/>
      <c r="O418" s="261"/>
      <c r="P418" s="213"/>
      <c r="Q418" s="213"/>
      <c r="R418" s="213"/>
      <c r="S418" s="213"/>
      <c r="T418" s="221"/>
      <c r="U418" s="213"/>
      <c r="V418" s="215"/>
      <c r="W418" s="214"/>
      <c r="X418" s="630"/>
      <c r="Y418" s="670"/>
      <c r="Z418" s="671"/>
      <c r="AA418" s="671"/>
      <c r="AB418" s="643"/>
      <c r="AC418" s="616">
        <f t="shared" si="17"/>
        <v>0</v>
      </c>
      <c r="AD418" s="633"/>
      <c r="AE418" s="636"/>
      <c r="AF418" s="636"/>
      <c r="AG418" s="7"/>
      <c r="AH418" s="669"/>
      <c r="AI418" s="7"/>
      <c r="AJ418" s="618">
        <f t="shared" si="18"/>
        <v>0</v>
      </c>
    </row>
    <row r="419" spans="1:36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4"/>
      <c r="H419" s="214"/>
      <c r="I419" s="215"/>
      <c r="J419" s="662"/>
      <c r="K419" s="215"/>
      <c r="L419" s="213"/>
      <c r="M419" s="370"/>
      <c r="N419" s="214"/>
      <c r="O419" s="261"/>
      <c r="P419" s="213"/>
      <c r="Q419" s="213"/>
      <c r="R419" s="213"/>
      <c r="S419" s="213"/>
      <c r="T419" s="221"/>
      <c r="U419" s="213"/>
      <c r="V419" s="215"/>
      <c r="W419" s="214"/>
      <c r="X419" s="630"/>
      <c r="Y419" s="670"/>
      <c r="Z419" s="671"/>
      <c r="AA419" s="671"/>
      <c r="AB419" s="643"/>
      <c r="AC419" s="616">
        <f t="shared" si="17"/>
        <v>0</v>
      </c>
      <c r="AD419" s="633"/>
      <c r="AE419" s="636"/>
      <c r="AF419" s="636"/>
      <c r="AG419" s="7"/>
      <c r="AH419" s="669"/>
      <c r="AI419" s="7"/>
      <c r="AJ419" s="618">
        <f t="shared" si="18"/>
        <v>0</v>
      </c>
    </row>
    <row r="420" spans="1:36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4"/>
      <c r="H420" s="214"/>
      <c r="I420" s="215"/>
      <c r="J420" s="662"/>
      <c r="K420" s="215"/>
      <c r="L420" s="213"/>
      <c r="M420" s="370"/>
      <c r="N420" s="214"/>
      <c r="O420" s="261"/>
      <c r="P420" s="213"/>
      <c r="Q420" s="213"/>
      <c r="R420" s="213"/>
      <c r="S420" s="213"/>
      <c r="T420" s="221"/>
      <c r="U420" s="213"/>
      <c r="V420" s="215"/>
      <c r="W420" s="214"/>
      <c r="X420" s="630"/>
      <c r="Y420" s="670"/>
      <c r="Z420" s="671"/>
      <c r="AA420" s="671"/>
      <c r="AB420" s="643"/>
      <c r="AC420" s="616">
        <f t="shared" si="17"/>
        <v>0</v>
      </c>
      <c r="AD420" s="633"/>
      <c r="AE420" s="636"/>
      <c r="AF420" s="636"/>
      <c r="AG420" s="7"/>
      <c r="AH420" s="669"/>
      <c r="AI420" s="7"/>
      <c r="AJ420" s="618">
        <f t="shared" si="18"/>
        <v>0</v>
      </c>
    </row>
    <row r="421" spans="1:36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4"/>
      <c r="H421" s="214"/>
      <c r="I421" s="215"/>
      <c r="J421" s="662"/>
      <c r="K421" s="215"/>
      <c r="L421" s="213"/>
      <c r="M421" s="370"/>
      <c r="N421" s="214"/>
      <c r="O421" s="262"/>
      <c r="P421" s="213"/>
      <c r="Q421" s="213"/>
      <c r="R421" s="213"/>
      <c r="S421" s="213"/>
      <c r="T421" s="221"/>
      <c r="U421" s="213"/>
      <c r="V421" s="215"/>
      <c r="W421" s="214"/>
      <c r="X421" s="630"/>
      <c r="Y421" s="670"/>
      <c r="Z421" s="671"/>
      <c r="AA421" s="671"/>
      <c r="AB421" s="643"/>
      <c r="AC421" s="616">
        <f t="shared" si="17"/>
        <v>0</v>
      </c>
      <c r="AD421" s="633"/>
      <c r="AE421" s="640"/>
      <c r="AF421" s="640"/>
      <c r="AG421" s="7"/>
      <c r="AH421" s="669"/>
      <c r="AI421" s="7"/>
      <c r="AJ421" s="618">
        <f t="shared" si="18"/>
        <v>0</v>
      </c>
    </row>
    <row r="422" spans="1:36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4"/>
      <c r="H422" s="214"/>
      <c r="I422" s="215"/>
      <c r="J422" s="672"/>
      <c r="K422" s="215"/>
      <c r="L422" s="213"/>
      <c r="M422" s="370"/>
      <c r="N422" s="214"/>
      <c r="O422" s="262"/>
      <c r="P422" s="213"/>
      <c r="Q422" s="213"/>
      <c r="R422" s="213"/>
      <c r="S422" s="213"/>
      <c r="T422" s="221"/>
      <c r="U422" s="213"/>
      <c r="V422" s="215"/>
      <c r="W422" s="214"/>
      <c r="X422" s="630"/>
      <c r="Y422" s="673"/>
      <c r="Z422" s="674"/>
      <c r="AA422" s="674"/>
      <c r="AB422" s="643"/>
      <c r="AC422" s="616">
        <f t="shared" si="17"/>
        <v>0</v>
      </c>
      <c r="AD422" s="633"/>
      <c r="AE422" s="634"/>
      <c r="AF422" s="634"/>
      <c r="AG422" s="7"/>
      <c r="AH422" s="669"/>
      <c r="AI422" s="7"/>
      <c r="AJ422" s="618">
        <f t="shared" si="18"/>
        <v>0</v>
      </c>
    </row>
    <row r="423" spans="1:36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4"/>
      <c r="H423" s="214"/>
      <c r="I423" s="215"/>
      <c r="J423" s="672"/>
      <c r="K423" s="215"/>
      <c r="L423" s="213"/>
      <c r="M423" s="370"/>
      <c r="N423" s="214"/>
      <c r="O423" s="262"/>
      <c r="P423" s="213"/>
      <c r="Q423" s="213"/>
      <c r="R423" s="213"/>
      <c r="S423" s="213"/>
      <c r="T423" s="221"/>
      <c r="U423" s="213"/>
      <c r="V423" s="215"/>
      <c r="W423" s="214"/>
      <c r="X423" s="630"/>
      <c r="Y423" s="673"/>
      <c r="Z423" s="674"/>
      <c r="AA423" s="674"/>
      <c r="AB423" s="643"/>
      <c r="AC423" s="616">
        <f t="shared" si="17"/>
        <v>0</v>
      </c>
      <c r="AD423" s="633"/>
      <c r="AE423" s="634"/>
      <c r="AF423" s="634"/>
      <c r="AG423" s="7"/>
      <c r="AH423" s="669"/>
      <c r="AI423" s="7"/>
      <c r="AJ423" s="618">
        <f t="shared" si="18"/>
        <v>0</v>
      </c>
    </row>
    <row r="424" spans="1:36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4"/>
      <c r="H424" s="214"/>
      <c r="I424" s="215"/>
      <c r="J424" s="672"/>
      <c r="K424" s="215"/>
      <c r="L424" s="213"/>
      <c r="M424" s="370"/>
      <c r="N424" s="214"/>
      <c r="O424" s="262"/>
      <c r="P424" s="213"/>
      <c r="Q424" s="213"/>
      <c r="R424" s="213"/>
      <c r="S424" s="213"/>
      <c r="T424" s="221"/>
      <c r="U424" s="213"/>
      <c r="V424" s="215"/>
      <c r="W424" s="214"/>
      <c r="X424" s="630"/>
      <c r="Y424" s="673"/>
      <c r="Z424" s="674"/>
      <c r="AA424" s="674"/>
      <c r="AB424" s="643"/>
      <c r="AC424" s="616">
        <f t="shared" si="17"/>
        <v>0</v>
      </c>
      <c r="AD424" s="633"/>
      <c r="AE424" s="634"/>
      <c r="AF424" s="634"/>
      <c r="AG424" s="7"/>
      <c r="AH424" s="669"/>
      <c r="AI424" s="7"/>
      <c r="AJ424" s="618">
        <f t="shared" si="18"/>
        <v>0</v>
      </c>
    </row>
    <row r="425" spans="1:36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4"/>
      <c r="H425" s="214"/>
      <c r="I425" s="215"/>
      <c r="J425" s="672"/>
      <c r="K425" s="215"/>
      <c r="L425" s="213"/>
      <c r="M425" s="370"/>
      <c r="N425" s="214"/>
      <c r="O425" s="262"/>
      <c r="P425" s="213"/>
      <c r="Q425" s="213"/>
      <c r="R425" s="213"/>
      <c r="S425" s="213"/>
      <c r="T425" s="221"/>
      <c r="U425" s="213"/>
      <c r="V425" s="215"/>
      <c r="W425" s="214"/>
      <c r="X425" s="630"/>
      <c r="Y425" s="673"/>
      <c r="Z425" s="674"/>
      <c r="AA425" s="674"/>
      <c r="AB425" s="643"/>
      <c r="AC425" s="616">
        <f t="shared" si="17"/>
        <v>0</v>
      </c>
      <c r="AD425" s="633"/>
      <c r="AE425" s="636"/>
      <c r="AF425" s="636"/>
      <c r="AG425" s="7"/>
      <c r="AH425" s="669">
        <v>1</v>
      </c>
      <c r="AI425" s="7"/>
      <c r="AJ425" s="618">
        <f t="shared" si="18"/>
        <v>1</v>
      </c>
    </row>
    <row r="426" spans="1:36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4"/>
      <c r="H426" s="214"/>
      <c r="I426" s="215"/>
      <c r="J426" s="662"/>
      <c r="K426" s="215"/>
      <c r="L426" s="213"/>
      <c r="M426" s="370"/>
      <c r="N426" s="214"/>
      <c r="O426" s="262"/>
      <c r="P426" s="213"/>
      <c r="Q426" s="213"/>
      <c r="R426" s="213"/>
      <c r="S426" s="213"/>
      <c r="T426" s="221"/>
      <c r="U426" s="213"/>
      <c r="V426" s="215"/>
      <c r="W426" s="214"/>
      <c r="X426" s="630"/>
      <c r="Y426" s="670"/>
      <c r="Z426" s="671"/>
      <c r="AA426" s="671"/>
      <c r="AB426" s="643"/>
      <c r="AC426" s="616">
        <f t="shared" si="17"/>
        <v>0</v>
      </c>
      <c r="AD426" s="633"/>
      <c r="AE426" s="634"/>
      <c r="AF426" s="634"/>
      <c r="AG426" s="7"/>
      <c r="AH426" s="669">
        <v>2</v>
      </c>
      <c r="AI426" s="7"/>
      <c r="AJ426" s="618">
        <f t="shared" si="18"/>
        <v>2</v>
      </c>
    </row>
    <row r="427" spans="1:36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4"/>
      <c r="H427" s="214"/>
      <c r="I427" s="215"/>
      <c r="J427" s="662"/>
      <c r="K427" s="215"/>
      <c r="L427" s="213"/>
      <c r="M427" s="370"/>
      <c r="N427" s="214"/>
      <c r="O427" s="261"/>
      <c r="P427" s="213"/>
      <c r="Q427" s="213"/>
      <c r="R427" s="213"/>
      <c r="S427" s="213"/>
      <c r="T427" s="221"/>
      <c r="U427" s="213"/>
      <c r="V427" s="215"/>
      <c r="W427" s="214"/>
      <c r="X427" s="630"/>
      <c r="Y427" s="670"/>
      <c r="Z427" s="671"/>
      <c r="AA427" s="671"/>
      <c r="AB427" s="643"/>
      <c r="AC427" s="616">
        <f t="shared" si="17"/>
        <v>0</v>
      </c>
      <c r="AD427" s="633"/>
      <c r="AE427" s="640"/>
      <c r="AF427" s="640"/>
      <c r="AG427" s="7"/>
      <c r="AH427" s="669"/>
      <c r="AI427" s="7"/>
      <c r="AJ427" s="618">
        <f t="shared" si="18"/>
        <v>0</v>
      </c>
    </row>
    <row r="428" spans="1:36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4"/>
      <c r="H428" s="214"/>
      <c r="I428" s="215"/>
      <c r="J428" s="620"/>
      <c r="K428" s="215"/>
      <c r="L428" s="213"/>
      <c r="M428" s="370"/>
      <c r="N428" s="214"/>
      <c r="O428" s="261"/>
      <c r="P428" s="213"/>
      <c r="Q428" s="213"/>
      <c r="R428" s="213"/>
      <c r="S428" s="213"/>
      <c r="T428" s="221"/>
      <c r="U428" s="213"/>
      <c r="V428" s="215"/>
      <c r="W428" s="214"/>
      <c r="X428" s="630"/>
      <c r="Y428" s="667"/>
      <c r="Z428" s="668"/>
      <c r="AA428" s="668"/>
      <c r="AB428" s="643"/>
      <c r="AC428" s="616">
        <f t="shared" si="17"/>
        <v>0</v>
      </c>
      <c r="AD428" s="633"/>
      <c r="AE428" s="636"/>
      <c r="AF428" s="636"/>
      <c r="AG428" s="7"/>
      <c r="AH428" s="669">
        <v>1</v>
      </c>
      <c r="AI428" s="7"/>
      <c r="AJ428" s="618">
        <f t="shared" si="18"/>
        <v>1</v>
      </c>
    </row>
    <row r="429" spans="1:36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4"/>
      <c r="H429" s="214"/>
      <c r="I429" s="215"/>
      <c r="J429" s="620"/>
      <c r="K429" s="215"/>
      <c r="L429" s="213"/>
      <c r="M429" s="370"/>
      <c r="N429" s="214"/>
      <c r="O429" s="261"/>
      <c r="P429" s="213"/>
      <c r="Q429" s="213"/>
      <c r="R429" s="213"/>
      <c r="S429" s="213"/>
      <c r="T429" s="221"/>
      <c r="U429" s="213"/>
      <c r="V429" s="215"/>
      <c r="W429" s="214"/>
      <c r="X429" s="630"/>
      <c r="Y429" s="667"/>
      <c r="Z429" s="668"/>
      <c r="AA429" s="668"/>
      <c r="AB429" s="643"/>
      <c r="AC429" s="616">
        <f t="shared" si="17"/>
        <v>0</v>
      </c>
      <c r="AD429" s="633"/>
      <c r="AE429" s="636"/>
      <c r="AF429" s="636"/>
      <c r="AG429" s="7"/>
      <c r="AH429" s="669"/>
      <c r="AI429" s="7"/>
      <c r="AJ429" s="618">
        <f t="shared" si="18"/>
        <v>0</v>
      </c>
    </row>
    <row r="430" spans="1:36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4"/>
      <c r="H430" s="214"/>
      <c r="I430" s="215"/>
      <c r="J430" s="620"/>
      <c r="K430" s="215"/>
      <c r="L430" s="213"/>
      <c r="M430" s="370"/>
      <c r="N430" s="214"/>
      <c r="O430" s="261"/>
      <c r="P430" s="213"/>
      <c r="Q430" s="213"/>
      <c r="R430" s="213"/>
      <c r="S430" s="213"/>
      <c r="T430" s="221"/>
      <c r="U430" s="213"/>
      <c r="V430" s="215"/>
      <c r="W430" s="214"/>
      <c r="X430" s="630"/>
      <c r="Y430" s="667"/>
      <c r="Z430" s="668"/>
      <c r="AA430" s="668"/>
      <c r="AB430" s="643"/>
      <c r="AC430" s="616">
        <f t="shared" si="17"/>
        <v>0</v>
      </c>
      <c r="AD430" s="633"/>
      <c r="AE430" s="636"/>
      <c r="AF430" s="636"/>
      <c r="AG430" s="7"/>
      <c r="AH430" s="669"/>
      <c r="AI430" s="7"/>
      <c r="AJ430" s="618">
        <f t="shared" si="18"/>
        <v>0</v>
      </c>
    </row>
    <row r="431" spans="1:36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4"/>
      <c r="H431" s="214"/>
      <c r="I431" s="215"/>
      <c r="J431" s="620"/>
      <c r="K431" s="215"/>
      <c r="L431" s="213"/>
      <c r="M431" s="370"/>
      <c r="N431" s="214"/>
      <c r="O431" s="261"/>
      <c r="P431" s="213"/>
      <c r="Q431" s="213"/>
      <c r="R431" s="213"/>
      <c r="S431" s="213"/>
      <c r="T431" s="221"/>
      <c r="U431" s="213"/>
      <c r="V431" s="215"/>
      <c r="W431" s="214"/>
      <c r="X431" s="630"/>
      <c r="Y431" s="667"/>
      <c r="Z431" s="668"/>
      <c r="AA431" s="668"/>
      <c r="AB431" s="643"/>
      <c r="AC431" s="616">
        <f t="shared" si="17"/>
        <v>0</v>
      </c>
      <c r="AD431" s="633"/>
      <c r="AE431" s="636"/>
      <c r="AF431" s="636"/>
      <c r="AG431" s="7"/>
      <c r="AH431" s="669"/>
      <c r="AI431" s="7"/>
      <c r="AJ431" s="618">
        <f t="shared" si="18"/>
        <v>0</v>
      </c>
    </row>
    <row r="432" spans="1:36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4"/>
      <c r="H432" s="214"/>
      <c r="I432" s="215"/>
      <c r="J432" s="620"/>
      <c r="K432" s="215"/>
      <c r="L432" s="213"/>
      <c r="M432" s="370"/>
      <c r="N432" s="214"/>
      <c r="O432" s="261"/>
      <c r="P432" s="213"/>
      <c r="Q432" s="213"/>
      <c r="R432" s="213"/>
      <c r="S432" s="213"/>
      <c r="T432" s="221"/>
      <c r="U432" s="213"/>
      <c r="V432" s="215"/>
      <c r="W432" s="214"/>
      <c r="X432" s="630"/>
      <c r="Y432" s="667"/>
      <c r="Z432" s="668"/>
      <c r="AA432" s="668"/>
      <c r="AB432" s="643"/>
      <c r="AC432" s="616">
        <f t="shared" si="17"/>
        <v>0</v>
      </c>
      <c r="AD432" s="633"/>
      <c r="AE432" s="636"/>
      <c r="AF432" s="636"/>
      <c r="AG432" s="7"/>
      <c r="AH432" s="669">
        <v>1</v>
      </c>
      <c r="AI432" s="7"/>
      <c r="AJ432" s="618">
        <f t="shared" si="18"/>
        <v>1</v>
      </c>
    </row>
    <row r="433" spans="1:36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4"/>
      <c r="H433" s="214"/>
      <c r="I433" s="215"/>
      <c r="J433" s="620"/>
      <c r="K433" s="215"/>
      <c r="L433" s="213"/>
      <c r="M433" s="370"/>
      <c r="N433" s="214"/>
      <c r="O433" s="261"/>
      <c r="P433" s="213"/>
      <c r="Q433" s="213"/>
      <c r="R433" s="213"/>
      <c r="S433" s="213"/>
      <c r="T433" s="221"/>
      <c r="U433" s="213"/>
      <c r="V433" s="215"/>
      <c r="W433" s="214"/>
      <c r="X433" s="630"/>
      <c r="Y433" s="667"/>
      <c r="Z433" s="668"/>
      <c r="AA433" s="668"/>
      <c r="AB433" s="643"/>
      <c r="AC433" s="616">
        <f t="shared" si="17"/>
        <v>0</v>
      </c>
      <c r="AD433" s="633"/>
      <c r="AE433" s="636"/>
      <c r="AF433" s="636"/>
      <c r="AG433" s="7"/>
      <c r="AH433" s="669"/>
      <c r="AI433" s="7"/>
      <c r="AJ433" s="618">
        <f t="shared" si="18"/>
        <v>0</v>
      </c>
    </row>
    <row r="434" spans="1:36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4"/>
      <c r="H434" s="214"/>
      <c r="I434" s="215"/>
      <c r="J434" s="620"/>
      <c r="K434" s="215"/>
      <c r="L434" s="213"/>
      <c r="M434" s="370"/>
      <c r="N434" s="214"/>
      <c r="O434" s="261"/>
      <c r="P434" s="213"/>
      <c r="Q434" s="213"/>
      <c r="R434" s="213"/>
      <c r="S434" s="213"/>
      <c r="T434" s="221"/>
      <c r="U434" s="213"/>
      <c r="V434" s="215"/>
      <c r="W434" s="214"/>
      <c r="X434" s="630"/>
      <c r="Y434" s="667"/>
      <c r="Z434" s="668"/>
      <c r="AA434" s="668"/>
      <c r="AB434" s="643"/>
      <c r="AC434" s="616">
        <f t="shared" si="17"/>
        <v>0</v>
      </c>
      <c r="AD434" s="633"/>
      <c r="AE434" s="636"/>
      <c r="AF434" s="636"/>
      <c r="AG434" s="7"/>
      <c r="AH434" s="669"/>
      <c r="AI434" s="7"/>
      <c r="AJ434" s="618">
        <f t="shared" si="18"/>
        <v>0</v>
      </c>
    </row>
    <row r="435" spans="1:36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4"/>
      <c r="H435" s="214"/>
      <c r="I435" s="215"/>
      <c r="J435" s="620"/>
      <c r="K435" s="215"/>
      <c r="L435" s="213"/>
      <c r="M435" s="370"/>
      <c r="N435" s="214"/>
      <c r="O435" s="261"/>
      <c r="P435" s="213"/>
      <c r="Q435" s="213"/>
      <c r="R435" s="213"/>
      <c r="S435" s="213"/>
      <c r="T435" s="221"/>
      <c r="U435" s="213"/>
      <c r="V435" s="215"/>
      <c r="W435" s="214"/>
      <c r="X435" s="630"/>
      <c r="Y435" s="667"/>
      <c r="Z435" s="668"/>
      <c r="AA435" s="668"/>
      <c r="AB435" s="643"/>
      <c r="AC435" s="616">
        <f t="shared" si="17"/>
        <v>0</v>
      </c>
      <c r="AD435" s="633"/>
      <c r="AE435" s="636"/>
      <c r="AF435" s="636"/>
      <c r="AG435" s="7"/>
      <c r="AH435" s="669"/>
      <c r="AI435" s="7"/>
      <c r="AJ435" s="618">
        <f t="shared" si="18"/>
        <v>0</v>
      </c>
    </row>
    <row r="436" spans="1:36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4"/>
      <c r="H436" s="214"/>
      <c r="I436" s="215"/>
      <c r="J436" s="620"/>
      <c r="K436" s="215"/>
      <c r="L436" s="213"/>
      <c r="M436" s="370"/>
      <c r="N436" s="214"/>
      <c r="O436" s="261"/>
      <c r="P436" s="213"/>
      <c r="Q436" s="213"/>
      <c r="R436" s="213"/>
      <c r="S436" s="213"/>
      <c r="T436" s="221"/>
      <c r="U436" s="213"/>
      <c r="V436" s="215"/>
      <c r="W436" s="214"/>
      <c r="X436" s="630"/>
      <c r="Y436" s="667"/>
      <c r="Z436" s="668"/>
      <c r="AA436" s="668"/>
      <c r="AB436" s="643"/>
      <c r="AC436" s="616">
        <f t="shared" si="17"/>
        <v>0</v>
      </c>
      <c r="AD436" s="633"/>
      <c r="AE436" s="636"/>
      <c r="AF436" s="636"/>
      <c r="AG436" s="7"/>
      <c r="AH436" s="669"/>
      <c r="AI436" s="7"/>
      <c r="AJ436" s="618">
        <f t="shared" si="18"/>
        <v>0</v>
      </c>
    </row>
    <row r="437" spans="1:36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4"/>
      <c r="H437" s="214"/>
      <c r="I437" s="215"/>
      <c r="J437" s="620"/>
      <c r="K437" s="215"/>
      <c r="L437" s="213"/>
      <c r="M437" s="370"/>
      <c r="N437" s="214"/>
      <c r="O437" s="261"/>
      <c r="P437" s="213"/>
      <c r="Q437" s="213"/>
      <c r="R437" s="213"/>
      <c r="S437" s="213"/>
      <c r="T437" s="221"/>
      <c r="U437" s="213"/>
      <c r="V437" s="215"/>
      <c r="W437" s="214"/>
      <c r="X437" s="630"/>
      <c r="Y437" s="667"/>
      <c r="Z437" s="668"/>
      <c r="AA437" s="668"/>
      <c r="AB437" s="643"/>
      <c r="AC437" s="616">
        <f t="shared" si="17"/>
        <v>0</v>
      </c>
      <c r="AD437" s="633"/>
      <c r="AE437" s="636"/>
      <c r="AF437" s="636"/>
      <c r="AG437" s="7"/>
      <c r="AH437" s="669"/>
      <c r="AI437" s="7"/>
      <c r="AJ437" s="618">
        <f t="shared" si="18"/>
        <v>0</v>
      </c>
    </row>
    <row r="438" spans="1:36" ht="21.75" customHeight="1">
      <c r="A438" s="486">
        <v>15.3</v>
      </c>
      <c r="B438" s="487" t="s">
        <v>947</v>
      </c>
      <c r="C438" s="635" t="s">
        <v>948</v>
      </c>
      <c r="D438" s="412" t="s">
        <v>1612</v>
      </c>
      <c r="E438" s="213"/>
      <c r="F438" s="213"/>
      <c r="G438" s="214"/>
      <c r="H438" s="214"/>
      <c r="I438" s="215"/>
      <c r="J438" s="620"/>
      <c r="K438" s="215"/>
      <c r="L438" s="213"/>
      <c r="M438" s="370"/>
      <c r="N438" s="214"/>
      <c r="O438" s="261"/>
      <c r="P438" s="213"/>
      <c r="Q438" s="213"/>
      <c r="R438" s="213"/>
      <c r="S438" s="213"/>
      <c r="T438" s="221"/>
      <c r="U438" s="213"/>
      <c r="V438" s="215"/>
      <c r="W438" s="214"/>
      <c r="X438" s="630"/>
      <c r="Y438" s="667"/>
      <c r="Z438" s="668"/>
      <c r="AA438" s="668"/>
      <c r="AB438" s="643"/>
      <c r="AC438" s="616">
        <f t="shared" si="17"/>
        <v>0</v>
      </c>
      <c r="AD438" s="633"/>
      <c r="AE438" s="636"/>
      <c r="AF438" s="636"/>
      <c r="AG438" s="7"/>
      <c r="AH438" s="669"/>
      <c r="AI438" s="7"/>
      <c r="AJ438" s="618">
        <f t="shared" si="18"/>
        <v>0</v>
      </c>
    </row>
    <row r="439" spans="1:36" ht="21.75" customHeight="1">
      <c r="A439" s="503" t="s">
        <v>1515</v>
      </c>
      <c r="B439" s="483" t="s">
        <v>951</v>
      </c>
      <c r="C439" s="629" t="s">
        <v>131</v>
      </c>
      <c r="D439" s="485" t="s">
        <v>1613</v>
      </c>
      <c r="E439" s="213"/>
      <c r="F439" s="213"/>
      <c r="G439" s="214"/>
      <c r="H439" s="214"/>
      <c r="I439" s="215"/>
      <c r="J439" s="620"/>
      <c r="K439" s="215"/>
      <c r="L439" s="213"/>
      <c r="M439" s="370"/>
      <c r="N439" s="214"/>
      <c r="O439" s="261"/>
      <c r="P439" s="213"/>
      <c r="Q439" s="213"/>
      <c r="R439" s="213"/>
      <c r="S439" s="213"/>
      <c r="T439" s="221"/>
      <c r="U439" s="213"/>
      <c r="V439" s="215"/>
      <c r="W439" s="214"/>
      <c r="X439" s="630"/>
      <c r="Y439" s="667"/>
      <c r="Z439" s="668"/>
      <c r="AA439" s="668"/>
      <c r="AB439" s="643"/>
      <c r="AC439" s="616">
        <f t="shared" si="17"/>
        <v>0</v>
      </c>
      <c r="AD439" s="633"/>
      <c r="AE439" s="636"/>
      <c r="AF439" s="636"/>
      <c r="AG439" s="7"/>
      <c r="AH439" s="669"/>
      <c r="AI439" s="7"/>
      <c r="AJ439" s="618">
        <f t="shared" si="18"/>
        <v>0</v>
      </c>
    </row>
    <row r="440" spans="1:36" ht="21.75" customHeight="1">
      <c r="A440" s="503" t="s">
        <v>1517</v>
      </c>
      <c r="B440" s="483" t="s">
        <v>953</v>
      </c>
      <c r="C440" s="629" t="s">
        <v>200</v>
      </c>
      <c r="D440" s="485" t="s">
        <v>1614</v>
      </c>
      <c r="E440" s="213"/>
      <c r="F440" s="213"/>
      <c r="G440" s="214"/>
      <c r="H440" s="214"/>
      <c r="I440" s="215"/>
      <c r="J440" s="620"/>
      <c r="K440" s="215"/>
      <c r="L440" s="213"/>
      <c r="M440" s="370"/>
      <c r="N440" s="214"/>
      <c r="O440" s="261"/>
      <c r="P440" s="213"/>
      <c r="Q440" s="213"/>
      <c r="R440" s="213"/>
      <c r="S440" s="213"/>
      <c r="T440" s="221"/>
      <c r="U440" s="213"/>
      <c r="V440" s="215"/>
      <c r="W440" s="214"/>
      <c r="X440" s="630"/>
      <c r="Y440" s="667"/>
      <c r="Z440" s="668"/>
      <c r="AA440" s="668"/>
      <c r="AB440" s="643"/>
      <c r="AC440" s="616">
        <f t="shared" si="17"/>
        <v>0</v>
      </c>
      <c r="AD440" s="633"/>
      <c r="AE440" s="636"/>
      <c r="AF440" s="636"/>
      <c r="AG440" s="7"/>
      <c r="AH440" s="669"/>
      <c r="AI440" s="7"/>
      <c r="AJ440" s="618">
        <f t="shared" si="18"/>
        <v>0</v>
      </c>
    </row>
    <row r="441" spans="1:36" ht="21.75" customHeight="1">
      <c r="A441" s="503" t="s">
        <v>1519</v>
      </c>
      <c r="B441" s="483" t="s">
        <v>955</v>
      </c>
      <c r="C441" s="629" t="s">
        <v>203</v>
      </c>
      <c r="D441" s="485" t="s">
        <v>1615</v>
      </c>
      <c r="E441" s="213"/>
      <c r="F441" s="213"/>
      <c r="G441" s="214"/>
      <c r="H441" s="214"/>
      <c r="I441" s="215"/>
      <c r="J441" s="620"/>
      <c r="K441" s="215"/>
      <c r="L441" s="213"/>
      <c r="M441" s="370"/>
      <c r="N441" s="214"/>
      <c r="O441" s="261"/>
      <c r="P441" s="213"/>
      <c r="Q441" s="213"/>
      <c r="R441" s="213"/>
      <c r="S441" s="213"/>
      <c r="T441" s="221"/>
      <c r="U441" s="213"/>
      <c r="V441" s="215"/>
      <c r="W441" s="214"/>
      <c r="X441" s="630"/>
      <c r="Y441" s="667"/>
      <c r="Z441" s="668"/>
      <c r="AA441" s="668"/>
      <c r="AB441" s="643"/>
      <c r="AC441" s="616">
        <f t="shared" si="17"/>
        <v>0</v>
      </c>
      <c r="AD441" s="633"/>
      <c r="AE441" s="636"/>
      <c r="AF441" s="636"/>
      <c r="AG441" s="7"/>
      <c r="AH441" s="669"/>
      <c r="AI441" s="7"/>
      <c r="AJ441" s="618">
        <f t="shared" si="18"/>
        <v>0</v>
      </c>
    </row>
    <row r="442" spans="1:36" ht="21.75" customHeight="1">
      <c r="A442" s="503" t="s">
        <v>1521</v>
      </c>
      <c r="B442" s="483" t="s">
        <v>957</v>
      </c>
      <c r="C442" s="629" t="s">
        <v>159</v>
      </c>
      <c r="D442" s="485" t="s">
        <v>1616</v>
      </c>
      <c r="E442" s="213"/>
      <c r="F442" s="213"/>
      <c r="G442" s="214"/>
      <c r="H442" s="214"/>
      <c r="I442" s="215"/>
      <c r="J442" s="620"/>
      <c r="K442" s="215"/>
      <c r="L442" s="213"/>
      <c r="M442" s="370"/>
      <c r="N442" s="214"/>
      <c r="O442" s="261"/>
      <c r="P442" s="213"/>
      <c r="Q442" s="213"/>
      <c r="R442" s="213"/>
      <c r="S442" s="213"/>
      <c r="T442" s="221"/>
      <c r="U442" s="213"/>
      <c r="V442" s="215"/>
      <c r="W442" s="214"/>
      <c r="X442" s="630"/>
      <c r="Y442" s="667"/>
      <c r="Z442" s="668"/>
      <c r="AA442" s="668"/>
      <c r="AB442" s="643"/>
      <c r="AC442" s="616">
        <f t="shared" si="17"/>
        <v>0</v>
      </c>
      <c r="AD442" s="633"/>
      <c r="AE442" s="636"/>
      <c r="AF442" s="636"/>
      <c r="AG442" s="7"/>
      <c r="AH442" s="669"/>
      <c r="AI442" s="7"/>
      <c r="AJ442" s="618">
        <f t="shared" si="18"/>
        <v>0</v>
      </c>
    </row>
    <row r="443" spans="1:36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4"/>
      <c r="H443" s="214"/>
      <c r="I443" s="215"/>
      <c r="J443" s="620"/>
      <c r="K443" s="215"/>
      <c r="L443" s="213"/>
      <c r="M443" s="370"/>
      <c r="N443" s="214"/>
      <c r="O443" s="261"/>
      <c r="P443" s="213"/>
      <c r="Q443" s="213"/>
      <c r="R443" s="213"/>
      <c r="S443" s="213"/>
      <c r="T443" s="221"/>
      <c r="U443" s="213"/>
      <c r="V443" s="215"/>
      <c r="W443" s="214"/>
      <c r="X443" s="630"/>
      <c r="Y443" s="667"/>
      <c r="Z443" s="668"/>
      <c r="AA443" s="668"/>
      <c r="AB443" s="643"/>
      <c r="AC443" s="616">
        <f t="shared" si="17"/>
        <v>0</v>
      </c>
      <c r="AD443" s="633"/>
      <c r="AE443" s="636"/>
      <c r="AF443" s="636"/>
      <c r="AG443" s="7"/>
      <c r="AH443" s="669"/>
      <c r="AI443" s="7"/>
      <c r="AJ443" s="618">
        <f t="shared" si="18"/>
        <v>0</v>
      </c>
    </row>
    <row r="444" spans="1:36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4"/>
      <c r="H444" s="214"/>
      <c r="I444" s="215"/>
      <c r="J444" s="662"/>
      <c r="K444" s="215"/>
      <c r="L444" s="213"/>
      <c r="M444" s="370"/>
      <c r="N444" s="214"/>
      <c r="O444" s="261">
        <f>524+1214</f>
        <v>1738</v>
      </c>
      <c r="P444" s="213"/>
      <c r="Q444" s="213"/>
      <c r="R444" s="213"/>
      <c r="S444" s="213"/>
      <c r="T444" s="221"/>
      <c r="U444" s="213"/>
      <c r="V444" s="215"/>
      <c r="W444" s="214"/>
      <c r="X444" s="630"/>
      <c r="Y444" s="670"/>
      <c r="Z444" s="671"/>
      <c r="AA444" s="671"/>
      <c r="AB444" s="643"/>
      <c r="AC444" s="616">
        <f t="shared" si="17"/>
        <v>1738</v>
      </c>
      <c r="AD444" s="633"/>
      <c r="AE444" s="636"/>
      <c r="AF444" s="636"/>
      <c r="AG444" s="7"/>
      <c r="AH444" s="669"/>
      <c r="AI444" s="7"/>
      <c r="AJ444" s="618"/>
    </row>
    <row r="445" spans="1:36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4"/>
      <c r="H445" s="214"/>
      <c r="I445" s="215"/>
      <c r="J445" s="662"/>
      <c r="K445" s="215"/>
      <c r="L445" s="213"/>
      <c r="M445" s="370"/>
      <c r="N445" s="214"/>
      <c r="O445" s="261"/>
      <c r="P445" s="213"/>
      <c r="Q445" s="213"/>
      <c r="R445" s="213"/>
      <c r="S445" s="213"/>
      <c r="T445" s="221"/>
      <c r="U445" s="213"/>
      <c r="V445" s="215"/>
      <c r="W445" s="214"/>
      <c r="X445" s="630"/>
      <c r="Y445" s="670"/>
      <c r="Z445" s="671"/>
      <c r="AA445" s="671"/>
      <c r="AB445" s="643"/>
      <c r="AC445" s="616">
        <f t="shared" si="17"/>
        <v>0</v>
      </c>
      <c r="AD445" s="633"/>
      <c r="AE445" s="636"/>
      <c r="AF445" s="636"/>
      <c r="AG445" s="7"/>
      <c r="AH445" s="669"/>
      <c r="AI445" s="7"/>
      <c r="AJ445" s="618">
        <f t="shared" ref="AJ445:AJ447" si="19">AH445-AC445</f>
        <v>0</v>
      </c>
    </row>
    <row r="446" spans="1:36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4"/>
      <c r="H446" s="214"/>
      <c r="I446" s="215"/>
      <c r="J446" s="662"/>
      <c r="K446" s="215"/>
      <c r="L446" s="213"/>
      <c r="M446" s="370"/>
      <c r="N446" s="214"/>
      <c r="O446" s="261"/>
      <c r="P446" s="213"/>
      <c r="Q446" s="213"/>
      <c r="R446" s="213"/>
      <c r="S446" s="213"/>
      <c r="T446" s="221"/>
      <c r="U446" s="213"/>
      <c r="V446" s="215"/>
      <c r="W446" s="214"/>
      <c r="X446" s="630"/>
      <c r="Y446" s="670"/>
      <c r="Z446" s="671"/>
      <c r="AA446" s="671"/>
      <c r="AB446" s="643"/>
      <c r="AC446" s="616">
        <f t="shared" si="17"/>
        <v>0</v>
      </c>
      <c r="AD446" s="633"/>
      <c r="AE446" s="636"/>
      <c r="AF446" s="636"/>
      <c r="AG446" s="7"/>
      <c r="AH446" s="669"/>
      <c r="AI446" s="7"/>
      <c r="AJ446" s="618">
        <f t="shared" si="19"/>
        <v>0</v>
      </c>
    </row>
    <row r="447" spans="1:36" ht="42" customHeight="1">
      <c r="A447" s="519"/>
      <c r="B447" s="801" t="s">
        <v>969</v>
      </c>
      <c r="C447" s="771"/>
      <c r="D447" s="491" t="s">
        <v>970</v>
      </c>
      <c r="E447" s="231"/>
      <c r="F447" s="231"/>
      <c r="G447" s="374"/>
      <c r="H447" s="374"/>
      <c r="I447" s="235"/>
      <c r="J447" s="675"/>
      <c r="K447" s="235"/>
      <c r="L447" s="231"/>
      <c r="M447" s="370"/>
      <c r="N447" s="374"/>
      <c r="O447" s="276"/>
      <c r="P447" s="231"/>
      <c r="Q447" s="231"/>
      <c r="R447" s="231"/>
      <c r="S447" s="231"/>
      <c r="T447" s="310"/>
      <c r="U447" s="231"/>
      <c r="V447" s="219"/>
      <c r="W447" s="374"/>
      <c r="X447" s="646"/>
      <c r="Y447" s="676"/>
      <c r="Z447" s="677"/>
      <c r="AA447" s="677"/>
      <c r="AB447" s="678"/>
      <c r="AC447" s="616">
        <f t="shared" si="17"/>
        <v>0</v>
      </c>
      <c r="AD447" s="633"/>
      <c r="AE447" s="537"/>
      <c r="AF447" s="537"/>
      <c r="AG447" s="7"/>
      <c r="AH447" s="679">
        <v>666.1</v>
      </c>
      <c r="AI447" s="7"/>
      <c r="AJ447" s="618">
        <f t="shared" si="19"/>
        <v>666.1</v>
      </c>
    </row>
    <row r="448" spans="1:36" ht="21.75" customHeight="1">
      <c r="A448" s="534"/>
      <c r="B448" s="535"/>
      <c r="C448" s="680"/>
      <c r="D448" s="536"/>
      <c r="E448" s="539"/>
      <c r="F448" s="539"/>
      <c r="G448" s="539"/>
      <c r="H448" s="538"/>
      <c r="I448" s="7"/>
      <c r="J448" s="536"/>
      <c r="K448" s="239"/>
      <c r="L448" s="239"/>
      <c r="M448" s="240"/>
      <c r="N448" s="260"/>
      <c r="O448" s="239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</row>
    <row r="449" spans="1:36" ht="15.75" customHeight="1">
      <c r="A449" s="541"/>
      <c r="B449" s="542" t="s">
        <v>1523</v>
      </c>
      <c r="C449" s="542"/>
      <c r="D449" s="541"/>
      <c r="E449" s="539"/>
      <c r="F449" s="539"/>
      <c r="G449" s="539"/>
      <c r="H449" s="543"/>
      <c r="I449" s="7"/>
      <c r="J449" s="541"/>
      <c r="K449" s="239"/>
      <c r="L449" s="239"/>
      <c r="M449" s="240"/>
      <c r="N449" s="260"/>
      <c r="O449" s="239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</row>
    <row r="450" spans="1:36" ht="15.75" customHeight="1">
      <c r="A450" s="541"/>
      <c r="B450" s="545" t="s">
        <v>1524</v>
      </c>
      <c r="C450" s="542" t="s">
        <v>1525</v>
      </c>
      <c r="D450" s="541"/>
      <c r="E450" s="539"/>
      <c r="F450" s="539"/>
      <c r="G450" s="539"/>
      <c r="H450" s="543"/>
      <c r="I450" s="7"/>
      <c r="J450" s="541"/>
      <c r="K450" s="239"/>
      <c r="L450" s="239"/>
      <c r="M450" s="240"/>
      <c r="N450" s="260"/>
      <c r="O450" s="239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</row>
    <row r="451" spans="1:36" ht="15.75" customHeight="1">
      <c r="A451" s="541"/>
      <c r="B451" s="545" t="s">
        <v>1526</v>
      </c>
      <c r="C451" s="542" t="s">
        <v>1527</v>
      </c>
      <c r="D451" s="541"/>
      <c r="E451" s="681"/>
      <c r="F451" s="681"/>
      <c r="G451" s="681"/>
      <c r="H451" s="543"/>
      <c r="I451" s="7"/>
      <c r="J451" s="541"/>
      <c r="K451" s="239"/>
      <c r="L451" s="239"/>
      <c r="M451" s="240"/>
      <c r="N451" s="7"/>
      <c r="O451" s="239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</row>
    <row r="452" spans="1:36" ht="15.75" customHeight="1">
      <c r="A452" s="541"/>
      <c r="B452" s="545"/>
      <c r="C452" s="542"/>
      <c r="D452" s="541"/>
      <c r="E452" s="681"/>
      <c r="F452" s="681"/>
      <c r="G452" s="681"/>
      <c r="H452" s="543"/>
      <c r="I452" s="7"/>
      <c r="J452" s="541"/>
      <c r="K452" s="239"/>
      <c r="L452" s="239"/>
      <c r="M452" s="240"/>
      <c r="N452" s="7"/>
      <c r="O452" s="239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</row>
    <row r="453" spans="1:36" ht="15.75" customHeight="1">
      <c r="A453" s="541"/>
      <c r="B453" s="802" t="s">
        <v>1528</v>
      </c>
      <c r="C453" s="791"/>
      <c r="D453" s="541"/>
      <c r="E453" s="681"/>
      <c r="F453" s="681"/>
      <c r="G453" s="681"/>
      <c r="H453" s="543"/>
      <c r="I453" s="7"/>
      <c r="J453" s="541"/>
      <c r="K453" s="239"/>
      <c r="L453" s="239"/>
      <c r="M453" s="240"/>
      <c r="N453" s="7"/>
      <c r="O453" s="239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</row>
    <row r="454" spans="1:36" ht="15.75" customHeight="1">
      <c r="A454" s="541"/>
      <c r="B454" s="790" t="s">
        <v>1529</v>
      </c>
      <c r="C454" s="791"/>
      <c r="D454" s="541" t="s">
        <v>1530</v>
      </c>
      <c r="E454" s="681"/>
      <c r="F454" s="681"/>
      <c r="G454" s="681"/>
      <c r="H454" s="543"/>
      <c r="I454" s="7"/>
      <c r="J454" s="541"/>
      <c r="K454" s="239"/>
      <c r="L454" s="239"/>
      <c r="M454" s="240"/>
      <c r="N454" s="7"/>
      <c r="O454" s="239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</row>
    <row r="455" spans="1:36" ht="15.75" customHeight="1">
      <c r="A455" s="541"/>
      <c r="B455" s="545"/>
      <c r="C455" s="542"/>
      <c r="D455" s="541"/>
      <c r="E455" s="681"/>
      <c r="F455" s="681"/>
      <c r="G455" s="681"/>
      <c r="H455" s="543"/>
      <c r="I455" s="7"/>
      <c r="J455" s="541"/>
      <c r="K455" s="239"/>
      <c r="L455" s="239"/>
      <c r="M455" s="240"/>
      <c r="N455" s="7"/>
      <c r="O455" s="239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</row>
    <row r="456" spans="1:36" ht="15.75" customHeight="1">
      <c r="A456" s="546" t="s">
        <v>971</v>
      </c>
      <c r="B456" s="547"/>
      <c r="C456" s="547"/>
      <c r="D456" s="547"/>
      <c r="E456" s="682"/>
      <c r="F456" s="682"/>
      <c r="G456" s="682"/>
      <c r="H456" s="683"/>
      <c r="I456" s="7"/>
      <c r="J456" s="547"/>
      <c r="K456" s="239"/>
      <c r="L456" s="239"/>
      <c r="M456" s="240"/>
      <c r="N456" s="7"/>
      <c r="O456" s="239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</row>
    <row r="457" spans="1:36" ht="15.75" customHeight="1">
      <c r="A457" s="549" t="s">
        <v>972</v>
      </c>
      <c r="B457" s="550"/>
      <c r="C457" s="550"/>
      <c r="D457" s="550"/>
      <c r="E457" s="684"/>
      <c r="F457" s="684"/>
      <c r="G457" s="684"/>
      <c r="H457" s="685"/>
      <c r="I457" s="7"/>
      <c r="J457" s="550"/>
      <c r="K457" s="239"/>
      <c r="L457" s="239"/>
      <c r="M457" s="240"/>
      <c r="N457" s="7"/>
      <c r="O457" s="239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</row>
    <row r="458" spans="1:36" ht="15.75" customHeight="1">
      <c r="A458" s="546"/>
      <c r="B458" s="547"/>
      <c r="C458" s="241" t="s">
        <v>12</v>
      </c>
      <c r="D458" s="242">
        <f>COUNTIF($D$11:$AC$11,"Hà Giang")</f>
        <v>0</v>
      </c>
      <c r="E458" s="539"/>
      <c r="F458" s="539"/>
      <c r="G458" s="539"/>
      <c r="H458" s="683"/>
      <c r="I458" s="7"/>
      <c r="J458" s="546"/>
      <c r="K458" s="239"/>
      <c r="L458" s="239"/>
      <c r="M458" s="240"/>
      <c r="N458" s="7"/>
      <c r="O458" s="239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</row>
    <row r="459" spans="1:36" ht="15.75" customHeight="1">
      <c r="A459" s="546"/>
      <c r="B459" s="547"/>
      <c r="C459" s="241" t="s">
        <v>14</v>
      </c>
      <c r="D459" s="242">
        <f>COUNTIF($D$11:$AC$11,"Lào Cai")</f>
        <v>0</v>
      </c>
      <c r="E459" s="539"/>
      <c r="F459" s="539"/>
      <c r="G459" s="539"/>
      <c r="H459" s="683"/>
      <c r="I459" s="7"/>
      <c r="J459" s="546"/>
      <c r="K459" s="239"/>
      <c r="L459" s="239"/>
      <c r="M459" s="240"/>
      <c r="N459" s="7"/>
      <c r="O459" s="239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</row>
    <row r="460" spans="1:36" ht="15.75" customHeight="1">
      <c r="A460" s="546"/>
      <c r="B460" s="552"/>
      <c r="C460" s="241" t="s">
        <v>23</v>
      </c>
      <c r="D460" s="242">
        <f>COUNTIF($D$11:$AC$11,"Lai Châu")</f>
        <v>0</v>
      </c>
      <c r="E460" s="539"/>
      <c r="F460" s="539"/>
      <c r="G460" s="539"/>
      <c r="H460" s="683"/>
      <c r="I460" s="7"/>
      <c r="J460" s="546"/>
      <c r="K460" s="239"/>
      <c r="L460" s="239"/>
      <c r="M460" s="240"/>
      <c r="N460" s="7"/>
      <c r="O460" s="239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</row>
    <row r="461" spans="1:36" ht="15.75" customHeight="1">
      <c r="A461" s="686"/>
      <c r="B461" s="687"/>
      <c r="C461" s="243" t="s">
        <v>17</v>
      </c>
      <c r="D461" s="242">
        <f>COUNTIF($D$11:$AC$11,"Điện Biên")</f>
        <v>0</v>
      </c>
      <c r="E461" s="688"/>
      <c r="F461" s="688"/>
      <c r="G461" s="688"/>
      <c r="H461" s="689"/>
      <c r="I461" s="7"/>
      <c r="J461" s="244"/>
      <c r="K461" s="239"/>
      <c r="L461" s="239"/>
      <c r="M461" s="240"/>
      <c r="N461" s="7"/>
      <c r="O461" s="239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</row>
    <row r="462" spans="1:36" ht="15.75" customHeight="1">
      <c r="A462" s="686"/>
      <c r="B462" s="687"/>
      <c r="C462" s="243" t="s">
        <v>16</v>
      </c>
      <c r="D462" s="242">
        <f>COUNTIF($D$11:$AC$11,"Lạng Sơn")</f>
        <v>0</v>
      </c>
      <c r="E462" s="688"/>
      <c r="F462" s="688"/>
      <c r="G462" s="688"/>
      <c r="H462" s="689"/>
      <c r="I462" s="7"/>
      <c r="J462" s="244"/>
      <c r="K462" s="239"/>
      <c r="L462" s="239"/>
      <c r="M462" s="240"/>
      <c r="N462" s="7"/>
      <c r="O462" s="239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</row>
    <row r="463" spans="1:36" ht="15.75" customHeight="1">
      <c r="A463" s="686"/>
      <c r="B463" s="687"/>
      <c r="C463" s="243" t="s">
        <v>13</v>
      </c>
      <c r="D463" s="242">
        <f>COUNTIF($D$11:$AC$11,"Cao Bằng")</f>
        <v>0</v>
      </c>
      <c r="E463" s="688"/>
      <c r="F463" s="688"/>
      <c r="G463" s="688"/>
      <c r="H463" s="689"/>
      <c r="I463" s="7"/>
      <c r="J463" s="244"/>
      <c r="K463" s="239"/>
      <c r="L463" s="239"/>
      <c r="M463" s="240"/>
      <c r="N463" s="7"/>
      <c r="O463" s="239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</row>
    <row r="464" spans="1:36" ht="15.75" customHeight="1">
      <c r="A464" s="686"/>
      <c r="B464" s="687"/>
      <c r="C464" s="243" t="s">
        <v>1090</v>
      </c>
      <c r="D464" s="242">
        <f>COUNTIF($D$11:$AC$11,"Sơn La")</f>
        <v>0</v>
      </c>
      <c r="E464" s="688"/>
      <c r="F464" s="688"/>
      <c r="G464" s="688"/>
      <c r="H464" s="689"/>
      <c r="I464" s="7"/>
      <c r="J464" s="244"/>
      <c r="K464" s="239"/>
      <c r="L464" s="239"/>
      <c r="M464" s="240"/>
      <c r="N464" s="7"/>
      <c r="O464" s="239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</row>
    <row r="465" spans="1:36" ht="15.75" customHeight="1">
      <c r="A465" s="686"/>
      <c r="B465" s="687"/>
      <c r="C465" s="243" t="s">
        <v>19</v>
      </c>
      <c r="D465" s="242">
        <f>COUNTIF($D$11:$AC$11,"Yên Bái")</f>
        <v>0</v>
      </c>
      <c r="E465" s="688"/>
      <c r="F465" s="688"/>
      <c r="G465" s="688"/>
      <c r="H465" s="689"/>
      <c r="I465" s="7"/>
      <c r="J465" s="244"/>
      <c r="K465" s="239"/>
      <c r="L465" s="239"/>
      <c r="M465" s="240"/>
      <c r="N465" s="7"/>
      <c r="O465" s="239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</row>
    <row r="466" spans="1:36" ht="15.75" customHeight="1">
      <c r="A466" s="686"/>
      <c r="B466" s="687"/>
      <c r="C466" s="243" t="s">
        <v>18</v>
      </c>
      <c r="D466" s="242">
        <f>COUNTIF($D$11:$AC$11,"Tuyên Quang")</f>
        <v>0</v>
      </c>
      <c r="E466" s="688"/>
      <c r="F466" s="688"/>
      <c r="G466" s="688"/>
      <c r="H466" s="689"/>
      <c r="I466" s="7"/>
      <c r="J466" s="244"/>
      <c r="K466" s="239"/>
      <c r="L466" s="239"/>
      <c r="M466" s="240"/>
      <c r="N466" s="7"/>
      <c r="O466" s="239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</row>
    <row r="467" spans="1:36" ht="15.75" customHeight="1">
      <c r="A467" s="686"/>
      <c r="B467" s="687"/>
      <c r="C467" s="243" t="s">
        <v>1091</v>
      </c>
      <c r="D467" s="242">
        <f>COUNTIF($D$11:$AC$11,"Thái Nguyên")</f>
        <v>0</v>
      </c>
      <c r="E467" s="688"/>
      <c r="F467" s="688"/>
      <c r="G467" s="688"/>
      <c r="H467" s="689"/>
      <c r="I467" s="7"/>
      <c r="J467" s="244"/>
      <c r="K467" s="239"/>
      <c r="L467" s="239"/>
      <c r="M467" s="240"/>
      <c r="N467" s="7"/>
      <c r="O467" s="239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</row>
    <row r="468" spans="1:36" ht="15.75" customHeight="1">
      <c r="A468" s="686"/>
      <c r="B468" s="687"/>
      <c r="C468" s="243" t="s">
        <v>15</v>
      </c>
      <c r="D468" s="242">
        <f>COUNTIF($D$11:$AC$11,"Bắc Kạn")</f>
        <v>0</v>
      </c>
      <c r="E468" s="688"/>
      <c r="F468" s="688"/>
      <c r="G468" s="688"/>
      <c r="H468" s="689"/>
      <c r="I468" s="7"/>
      <c r="J468" s="244"/>
      <c r="K468" s="239"/>
      <c r="L468" s="239"/>
      <c r="M468" s="240"/>
      <c r="N468" s="7"/>
      <c r="O468" s="239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</row>
    <row r="469" spans="1:36" ht="15.75" customHeight="1">
      <c r="A469" s="686"/>
      <c r="B469" s="687"/>
      <c r="C469" s="243" t="s">
        <v>25</v>
      </c>
      <c r="D469" s="242">
        <f>COUNTIF($D$11:$AC$11,"Hoà Bình")</f>
        <v>11</v>
      </c>
      <c r="E469" s="688"/>
      <c r="F469" s="688"/>
      <c r="G469" s="688"/>
      <c r="H469" s="689"/>
      <c r="I469" s="7"/>
      <c r="J469" s="244"/>
      <c r="K469" s="239"/>
      <c r="L469" s="239"/>
      <c r="M469" s="240"/>
      <c r="N469" s="7"/>
      <c r="O469" s="239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</row>
    <row r="470" spans="1:36" ht="15.75" customHeight="1">
      <c r="A470" s="686"/>
      <c r="B470" s="687"/>
      <c r="C470" s="243" t="s">
        <v>1092</v>
      </c>
      <c r="D470" s="242">
        <f>COUNTIF($D$11:$AC$11,"Bắc Giang")</f>
        <v>0</v>
      </c>
      <c r="E470" s="688"/>
      <c r="F470" s="688"/>
      <c r="G470" s="688"/>
      <c r="H470" s="689"/>
      <c r="I470" s="7"/>
      <c r="J470" s="244"/>
      <c r="K470" s="239"/>
      <c r="L470" s="239"/>
      <c r="M470" s="240"/>
      <c r="N470" s="7"/>
      <c r="O470" s="239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</row>
    <row r="471" spans="1:36" ht="15.75" customHeight="1">
      <c r="A471" s="686"/>
      <c r="B471" s="687"/>
      <c r="C471" s="243" t="s">
        <v>28</v>
      </c>
      <c r="D471" s="242">
        <f>COUNTIF($D$11:$AC$11,"Quảng Ninh")</f>
        <v>0</v>
      </c>
      <c r="E471" s="688"/>
      <c r="F471" s="688"/>
      <c r="G471" s="688"/>
      <c r="H471" s="689"/>
      <c r="I471" s="7"/>
      <c r="J471" s="244"/>
      <c r="K471" s="239"/>
      <c r="L471" s="239"/>
      <c r="M471" s="240"/>
      <c r="N471" s="7"/>
      <c r="O471" s="239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</row>
    <row r="472" spans="1:36" ht="15.75" customHeight="1">
      <c r="A472" s="686"/>
      <c r="B472" s="687"/>
      <c r="C472" s="243" t="s">
        <v>26</v>
      </c>
      <c r="D472" s="242">
        <f>COUNTIF($D$11:$AC$11,"Hà Nội")</f>
        <v>0</v>
      </c>
      <c r="E472" s="688"/>
      <c r="F472" s="688"/>
      <c r="G472" s="688"/>
      <c r="H472" s="689"/>
      <c r="I472" s="7"/>
      <c r="J472" s="244"/>
      <c r="K472" s="239"/>
      <c r="L472" s="239"/>
      <c r="M472" s="240"/>
      <c r="N472" s="7"/>
      <c r="O472" s="239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</row>
    <row r="473" spans="1:36" ht="15.75" customHeight="1">
      <c r="A473" s="686"/>
      <c r="B473" s="687"/>
      <c r="C473" s="243" t="s">
        <v>21</v>
      </c>
      <c r="D473" s="242">
        <f>COUNTIF($D$11:$AC$11,"Phú Thọ")</f>
        <v>0</v>
      </c>
      <c r="E473" s="688"/>
      <c r="F473" s="688"/>
      <c r="G473" s="688"/>
      <c r="H473" s="689"/>
      <c r="I473" s="7"/>
      <c r="J473" s="244"/>
      <c r="K473" s="239"/>
      <c r="L473" s="239"/>
      <c r="M473" s="240"/>
      <c r="N473" s="7"/>
      <c r="O473" s="239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</row>
    <row r="474" spans="1:36" ht="15.75" customHeight="1">
      <c r="A474" s="686"/>
      <c r="B474" s="687"/>
      <c r="C474" s="243" t="s">
        <v>1093</v>
      </c>
      <c r="D474" s="242">
        <f>COUNTIF($D$11:$AC$11,"Vĩnh Phúc")</f>
        <v>0</v>
      </c>
      <c r="E474" s="688"/>
      <c r="F474" s="688"/>
      <c r="G474" s="688"/>
      <c r="H474" s="689"/>
      <c r="I474" s="7"/>
      <c r="J474" s="244"/>
      <c r="K474" s="239"/>
      <c r="L474" s="239"/>
      <c r="M474" s="240"/>
      <c r="N474" s="7"/>
      <c r="O474" s="239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</row>
    <row r="475" spans="1:36" ht="15.75" customHeight="1">
      <c r="A475" s="686"/>
      <c r="B475" s="687"/>
      <c r="C475" s="243" t="s">
        <v>32</v>
      </c>
      <c r="D475" s="242">
        <f>COUNTIF($D$11:$AC$11,"Bắc Ninh")</f>
        <v>0</v>
      </c>
      <c r="E475" s="688"/>
      <c r="F475" s="688"/>
      <c r="G475" s="688"/>
      <c r="H475" s="689"/>
      <c r="I475" s="7"/>
      <c r="J475" s="244"/>
      <c r="K475" s="239"/>
      <c r="L475" s="239"/>
      <c r="M475" s="240"/>
      <c r="N475" s="7"/>
      <c r="O475" s="239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</row>
    <row r="476" spans="1:36" ht="15.75" customHeight="1">
      <c r="A476" s="686"/>
      <c r="B476" s="687"/>
      <c r="C476" s="243" t="s">
        <v>29</v>
      </c>
      <c r="D476" s="242">
        <f>COUNTIF($D$11:$AC$11,"Hải Dương")</f>
        <v>0</v>
      </c>
      <c r="E476" s="688"/>
      <c r="F476" s="688"/>
      <c r="G476" s="688"/>
      <c r="H476" s="689"/>
      <c r="I476" s="7"/>
      <c r="J476" s="244"/>
      <c r="K476" s="239"/>
      <c r="L476" s="239"/>
      <c r="M476" s="240"/>
      <c r="N476" s="7"/>
      <c r="O476" s="239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</row>
    <row r="477" spans="1:36" ht="15.75" customHeight="1">
      <c r="A477" s="686"/>
      <c r="B477" s="687"/>
      <c r="C477" s="243" t="s">
        <v>30</v>
      </c>
      <c r="D477" s="242">
        <f>COUNTIF($D$11:$AC$11,"Hưng Yên")</f>
        <v>0</v>
      </c>
      <c r="E477" s="688"/>
      <c r="F477" s="688"/>
      <c r="G477" s="688"/>
      <c r="H477" s="689"/>
      <c r="I477" s="7"/>
      <c r="J477" s="244"/>
      <c r="K477" s="239"/>
      <c r="L477" s="239"/>
      <c r="M477" s="240"/>
      <c r="N477" s="7"/>
      <c r="O477" s="239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</row>
    <row r="478" spans="1:36" ht="15.75" customHeight="1">
      <c r="A478" s="686"/>
      <c r="B478" s="687"/>
      <c r="C478" s="243" t="s">
        <v>27</v>
      </c>
      <c r="D478" s="242">
        <f>COUNTIF($D$11:$AC$11,"Hải Phòng")</f>
        <v>0</v>
      </c>
      <c r="E478" s="688"/>
      <c r="F478" s="688"/>
      <c r="G478" s="688"/>
      <c r="H478" s="689"/>
      <c r="I478" s="7"/>
      <c r="J478" s="244"/>
      <c r="K478" s="239"/>
      <c r="L478" s="239"/>
      <c r="M478" s="240"/>
      <c r="N478" s="7"/>
      <c r="O478" s="239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</row>
    <row r="479" spans="1:36" ht="15.75" customHeight="1">
      <c r="A479" s="686"/>
      <c r="B479" s="687"/>
      <c r="C479" s="243" t="s">
        <v>33</v>
      </c>
      <c r="D479" s="242">
        <f>COUNTIF($D$11:$AC$11,"Hà Nam")</f>
        <v>0</v>
      </c>
      <c r="E479" s="688"/>
      <c r="F479" s="688"/>
      <c r="G479" s="688"/>
      <c r="H479" s="689"/>
      <c r="I479" s="7"/>
      <c r="J479" s="244"/>
      <c r="K479" s="239"/>
      <c r="L479" s="239"/>
      <c r="M479" s="240"/>
      <c r="N479" s="7"/>
      <c r="O479" s="239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</row>
    <row r="480" spans="1:36" ht="15.75" customHeight="1">
      <c r="A480" s="686"/>
      <c r="B480" s="687"/>
      <c r="C480" s="243" t="s">
        <v>36</v>
      </c>
      <c r="D480" s="242">
        <f>COUNTIF($D$11:$AC$11,"Nam Định")</f>
        <v>0</v>
      </c>
      <c r="E480" s="688"/>
      <c r="F480" s="688"/>
      <c r="G480" s="688"/>
      <c r="H480" s="689"/>
      <c r="I480" s="7"/>
      <c r="J480" s="244"/>
      <c r="K480" s="239"/>
      <c r="L480" s="239"/>
      <c r="M480" s="240"/>
      <c r="N480" s="7"/>
      <c r="O480" s="239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</row>
    <row r="481" spans="1:36" ht="15.75" customHeight="1">
      <c r="A481" s="686"/>
      <c r="B481" s="687"/>
      <c r="C481" s="243" t="s">
        <v>1094</v>
      </c>
      <c r="D481" s="242">
        <f>COUNTIF($D$11:$AC$11,"Thái Bình")</f>
        <v>0</v>
      </c>
      <c r="E481" s="688"/>
      <c r="F481" s="688"/>
      <c r="G481" s="688"/>
      <c r="H481" s="689"/>
      <c r="I481" s="7"/>
      <c r="J481" s="244"/>
      <c r="K481" s="239"/>
      <c r="L481" s="239"/>
      <c r="M481" s="240"/>
      <c r="N481" s="7"/>
      <c r="O481" s="239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</row>
    <row r="482" spans="1:36" ht="15.75" customHeight="1">
      <c r="A482" s="686"/>
      <c r="B482" s="687"/>
      <c r="C482" s="243" t="s">
        <v>34</v>
      </c>
      <c r="D482" s="242">
        <f>COUNTIF($D$11:$AC$11,"Ninh Bình")</f>
        <v>0</v>
      </c>
      <c r="E482" s="688"/>
      <c r="F482" s="688"/>
      <c r="G482" s="688"/>
      <c r="H482" s="689"/>
      <c r="I482" s="7"/>
      <c r="J482" s="244"/>
      <c r="K482" s="239"/>
      <c r="L482" s="239"/>
      <c r="M482" s="240"/>
      <c r="N482" s="7"/>
      <c r="O482" s="239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</row>
    <row r="483" spans="1:36" ht="15.75" customHeight="1">
      <c r="A483" s="686"/>
      <c r="B483" s="687"/>
      <c r="C483" s="243" t="s">
        <v>37</v>
      </c>
      <c r="D483" s="242">
        <f>COUNTIF($D$11:$AC$11,"Thanh Hoá")</f>
        <v>0</v>
      </c>
      <c r="E483" s="688"/>
      <c r="F483" s="688"/>
      <c r="G483" s="688"/>
      <c r="H483" s="689"/>
      <c r="I483" s="7"/>
      <c r="J483" s="244"/>
      <c r="K483" s="239"/>
      <c r="L483" s="239"/>
      <c r="M483" s="240"/>
      <c r="N483" s="7"/>
      <c r="O483" s="239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</row>
    <row r="484" spans="1:36" ht="15.75" customHeight="1">
      <c r="A484" s="686"/>
      <c r="B484" s="687"/>
      <c r="C484" s="243" t="s">
        <v>1095</v>
      </c>
      <c r="D484" s="242">
        <f>COUNTIF($D$11:$AC$11,"Nghệ An")</f>
        <v>0</v>
      </c>
      <c r="E484" s="688"/>
      <c r="F484" s="688"/>
      <c r="G484" s="688"/>
      <c r="H484" s="689"/>
      <c r="I484" s="7"/>
      <c r="J484" s="244"/>
      <c r="K484" s="239"/>
      <c r="L484" s="239"/>
      <c r="M484" s="240"/>
      <c r="N484" s="7"/>
      <c r="O484" s="239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</row>
    <row r="485" spans="1:36" ht="15.75" customHeight="1">
      <c r="A485" s="686"/>
      <c r="B485" s="687"/>
      <c r="C485" s="243" t="s">
        <v>1096</v>
      </c>
      <c r="D485" s="242">
        <f>COUNTIF($D$11:$AC$11,"Hà Tĩnh")</f>
        <v>0</v>
      </c>
      <c r="E485" s="688"/>
      <c r="F485" s="688"/>
      <c r="G485" s="688"/>
      <c r="H485" s="689"/>
      <c r="I485" s="7"/>
      <c r="J485" s="244"/>
      <c r="K485" s="239"/>
      <c r="L485" s="239"/>
      <c r="M485" s="240"/>
      <c r="N485" s="7"/>
      <c r="O485" s="239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</row>
    <row r="486" spans="1:36" ht="15.75" customHeight="1">
      <c r="A486" s="686"/>
      <c r="B486" s="687"/>
      <c r="C486" s="243" t="s">
        <v>1097</v>
      </c>
      <c r="D486" s="242">
        <f>COUNTIF($D$11:$AC$11,"Quảng Bình")</f>
        <v>0</v>
      </c>
      <c r="E486" s="688"/>
      <c r="F486" s="688"/>
      <c r="G486" s="688"/>
      <c r="H486" s="689"/>
      <c r="I486" s="7"/>
      <c r="J486" s="244"/>
      <c r="K486" s="239"/>
      <c r="L486" s="239"/>
      <c r="M486" s="240"/>
      <c r="N486" s="7"/>
      <c r="O486" s="239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</row>
    <row r="487" spans="1:36" ht="15.75" customHeight="1">
      <c r="A487" s="686"/>
      <c r="B487" s="687"/>
      <c r="C487" s="243" t="s">
        <v>1098</v>
      </c>
      <c r="D487" s="242">
        <f>COUNTIF($D$11:$AC$11,"Quảng Trị")</f>
        <v>0</v>
      </c>
      <c r="E487" s="688"/>
      <c r="F487" s="688"/>
      <c r="G487" s="688"/>
      <c r="H487" s="689"/>
      <c r="I487" s="7"/>
      <c r="J487" s="244"/>
      <c r="K487" s="239"/>
      <c r="L487" s="239"/>
      <c r="M487" s="240"/>
      <c r="N487" s="7"/>
      <c r="O487" s="239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</row>
    <row r="488" spans="1:36" ht="15.75" customHeight="1">
      <c r="A488" s="686"/>
      <c r="B488" s="687"/>
      <c r="C488" s="243" t="s">
        <v>1099</v>
      </c>
      <c r="D488" s="242">
        <f>COUNTIF($D$11:$AC$11,"Thừa Thiên Huế")</f>
        <v>0</v>
      </c>
      <c r="E488" s="688"/>
      <c r="F488" s="688"/>
      <c r="G488" s="688"/>
      <c r="H488" s="689"/>
      <c r="I488" s="7"/>
      <c r="J488" s="244"/>
      <c r="K488" s="239"/>
      <c r="L488" s="239"/>
      <c r="M488" s="240"/>
      <c r="N488" s="7"/>
      <c r="O488" s="239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</row>
    <row r="489" spans="1:36" ht="15.75" customHeight="1">
      <c r="A489" s="686"/>
      <c r="B489" s="687"/>
      <c r="C489" s="243" t="s">
        <v>1100</v>
      </c>
      <c r="D489" s="242">
        <f>COUNTIF($D$11:$AC$11,"Đà Nẵng")</f>
        <v>0</v>
      </c>
      <c r="E489" s="688"/>
      <c r="F489" s="688"/>
      <c r="G489" s="688"/>
      <c r="H489" s="689"/>
      <c r="I489" s="7"/>
      <c r="J489" s="244"/>
      <c r="K489" s="239"/>
      <c r="L489" s="239"/>
      <c r="M489" s="240"/>
      <c r="N489" s="7"/>
      <c r="O489" s="239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</row>
    <row r="490" spans="1:36" ht="15.75" customHeight="1">
      <c r="A490" s="686"/>
      <c r="B490" s="687"/>
      <c r="C490" s="243" t="s">
        <v>1101</v>
      </c>
      <c r="D490" s="242">
        <f>COUNTIF($D$11:$AC$11,"Quảng Nam")</f>
        <v>0</v>
      </c>
      <c r="E490" s="688"/>
      <c r="F490" s="688"/>
      <c r="G490" s="688"/>
      <c r="H490" s="689"/>
      <c r="I490" s="7"/>
      <c r="J490" s="244"/>
      <c r="K490" s="239"/>
      <c r="L490" s="239"/>
      <c r="M490" s="240"/>
      <c r="N490" s="7"/>
      <c r="O490" s="239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</row>
    <row r="491" spans="1:36" ht="15.75" customHeight="1">
      <c r="A491" s="686"/>
      <c r="B491" s="687"/>
      <c r="C491" s="243" t="s">
        <v>1102</v>
      </c>
      <c r="D491" s="242">
        <f>COUNTIF($D$11:$AC$11,"Quảng Ngãi")</f>
        <v>0</v>
      </c>
      <c r="E491" s="688"/>
      <c r="F491" s="688"/>
      <c r="G491" s="688"/>
      <c r="H491" s="689"/>
      <c r="I491" s="7"/>
      <c r="J491" s="244"/>
      <c r="K491" s="239"/>
      <c r="L491" s="239"/>
      <c r="M491" s="240"/>
      <c r="N491" s="7"/>
      <c r="O491" s="239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</row>
    <row r="492" spans="1:36" ht="15.75" customHeight="1">
      <c r="A492" s="686"/>
      <c r="B492" s="687"/>
      <c r="C492" s="243" t="s">
        <v>1103</v>
      </c>
      <c r="D492" s="242">
        <f>COUNTIF($D$11:$AC$11,"Bình Định")</f>
        <v>0</v>
      </c>
      <c r="E492" s="688"/>
      <c r="F492" s="688"/>
      <c r="G492" s="688"/>
      <c r="H492" s="689"/>
      <c r="I492" s="7"/>
      <c r="J492" s="244"/>
      <c r="K492" s="239"/>
      <c r="L492" s="239"/>
      <c r="M492" s="240"/>
      <c r="N492" s="7"/>
      <c r="O492" s="239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</row>
    <row r="493" spans="1:36" ht="15.75" customHeight="1">
      <c r="A493" s="686"/>
      <c r="B493" s="687"/>
      <c r="C493" s="243" t="s">
        <v>1104</v>
      </c>
      <c r="D493" s="242">
        <f>COUNTIF($D$11:$AC$11,"Phú Yên")</f>
        <v>0</v>
      </c>
      <c r="E493" s="688"/>
      <c r="F493" s="688"/>
      <c r="G493" s="688"/>
      <c r="H493" s="689"/>
      <c r="I493" s="7"/>
      <c r="J493" s="244"/>
      <c r="K493" s="239"/>
      <c r="L493" s="239"/>
      <c r="M493" s="240"/>
      <c r="N493" s="7"/>
      <c r="O493" s="239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</row>
    <row r="494" spans="1:36" ht="15.75" customHeight="1">
      <c r="A494" s="686"/>
      <c r="B494" s="687"/>
      <c r="C494" s="243" t="s">
        <v>1105</v>
      </c>
      <c r="D494" s="242">
        <f>COUNTIF($D$11:$AC$11,"Khánh Hoà")</f>
        <v>0</v>
      </c>
      <c r="E494" s="688"/>
      <c r="F494" s="688"/>
      <c r="G494" s="688"/>
      <c r="H494" s="689"/>
      <c r="I494" s="7"/>
      <c r="J494" s="244"/>
      <c r="K494" s="239"/>
      <c r="L494" s="239"/>
      <c r="M494" s="240"/>
      <c r="N494" s="7"/>
      <c r="O494" s="239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</row>
    <row r="495" spans="1:36" ht="15.75" customHeight="1">
      <c r="A495" s="686"/>
      <c r="B495" s="687"/>
      <c r="C495" s="243" t="s">
        <v>1106</v>
      </c>
      <c r="D495" s="242">
        <f>COUNTIF($D$11:$AC$11,"Ninh Thuận")</f>
        <v>0</v>
      </c>
      <c r="E495" s="688"/>
      <c r="F495" s="688"/>
      <c r="G495" s="688"/>
      <c r="H495" s="689"/>
      <c r="I495" s="7"/>
      <c r="J495" s="244"/>
      <c r="K495" s="239"/>
      <c r="L495" s="239"/>
      <c r="M495" s="240"/>
      <c r="N495" s="7"/>
      <c r="O495" s="239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</row>
    <row r="496" spans="1:36" ht="15.75" customHeight="1">
      <c r="A496" s="686"/>
      <c r="B496" s="687"/>
      <c r="C496" s="243" t="s">
        <v>1107</v>
      </c>
      <c r="D496" s="242">
        <f>COUNTIF($D$11:$AC$11,"Bình Thuận")</f>
        <v>0</v>
      </c>
      <c r="E496" s="688"/>
      <c r="F496" s="688"/>
      <c r="G496" s="688"/>
      <c r="H496" s="689"/>
      <c r="I496" s="7"/>
      <c r="J496" s="244"/>
      <c r="K496" s="239"/>
      <c r="L496" s="239"/>
      <c r="M496" s="240"/>
      <c r="N496" s="7"/>
      <c r="O496" s="239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</row>
    <row r="497" spans="1:36" ht="15.75" customHeight="1">
      <c r="A497" s="686"/>
      <c r="B497" s="687"/>
      <c r="C497" s="243" t="s">
        <v>1108</v>
      </c>
      <c r="D497" s="242">
        <f>COUNTIF($D$11:$AC$11,"Kon Tum")</f>
        <v>0</v>
      </c>
      <c r="E497" s="688"/>
      <c r="F497" s="688"/>
      <c r="G497" s="688"/>
      <c r="H497" s="689"/>
      <c r="I497" s="7"/>
      <c r="J497" s="244"/>
      <c r="K497" s="239"/>
      <c r="L497" s="239"/>
      <c r="M497" s="240"/>
      <c r="N497" s="7"/>
      <c r="O497" s="239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</row>
    <row r="498" spans="1:36" ht="15.75" customHeight="1">
      <c r="A498" s="686"/>
      <c r="B498" s="687"/>
      <c r="C498" s="243" t="s">
        <v>1109</v>
      </c>
      <c r="D498" s="242">
        <f>COUNTIF($D$11:$AC$11,"Gia Lai")</f>
        <v>0</v>
      </c>
      <c r="E498" s="688"/>
      <c r="F498" s="688"/>
      <c r="G498" s="688"/>
      <c r="H498" s="689"/>
      <c r="I498" s="7"/>
      <c r="J498" s="244"/>
      <c r="K498" s="239"/>
      <c r="L498" s="239"/>
      <c r="M498" s="240"/>
      <c r="N498" s="7"/>
      <c r="O498" s="239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</row>
    <row r="499" spans="1:36" ht="15.75" customHeight="1">
      <c r="A499" s="686"/>
      <c r="B499" s="687"/>
      <c r="C499" s="243" t="s">
        <v>1110</v>
      </c>
      <c r="D499" s="242">
        <f>COUNTIF($D$11:$AC$11,"Đắk Lắk")</f>
        <v>0</v>
      </c>
      <c r="E499" s="688"/>
      <c r="F499" s="688"/>
      <c r="G499" s="688"/>
      <c r="H499" s="689"/>
      <c r="I499" s="7"/>
      <c r="J499" s="244"/>
      <c r="K499" s="239"/>
      <c r="L499" s="239"/>
      <c r="M499" s="240"/>
      <c r="N499" s="7"/>
      <c r="O499" s="239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</row>
    <row r="500" spans="1:36" ht="15.75" customHeight="1">
      <c r="A500" s="686"/>
      <c r="B500" s="687"/>
      <c r="C500" s="243" t="s">
        <v>1111</v>
      </c>
      <c r="D500" s="242">
        <f>COUNTIF($D$11:$AC$11,"Đắk Nông")</f>
        <v>0</v>
      </c>
      <c r="E500" s="688"/>
      <c r="F500" s="688"/>
      <c r="G500" s="688"/>
      <c r="H500" s="689"/>
      <c r="I500" s="7"/>
      <c r="J500" s="244"/>
      <c r="K500" s="239"/>
      <c r="L500" s="239"/>
      <c r="M500" s="240"/>
      <c r="N500" s="7"/>
      <c r="O500" s="239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</row>
    <row r="501" spans="1:36" ht="15.75" customHeight="1">
      <c r="A501" s="686"/>
      <c r="B501" s="687"/>
      <c r="C501" s="243" t="s">
        <v>1112</v>
      </c>
      <c r="D501" s="242">
        <f>COUNTIF($D$11:$AC$11,"Lâm Đồng")</f>
        <v>0</v>
      </c>
      <c r="E501" s="688"/>
      <c r="F501" s="688"/>
      <c r="G501" s="688"/>
      <c r="H501" s="689"/>
      <c r="I501" s="7"/>
      <c r="J501" s="244"/>
      <c r="K501" s="239"/>
      <c r="L501" s="239"/>
      <c r="M501" s="240"/>
      <c r="N501" s="7"/>
      <c r="O501" s="239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</row>
    <row r="502" spans="1:36" ht="15.75" customHeight="1">
      <c r="A502" s="686"/>
      <c r="B502" s="687"/>
      <c r="C502" s="243" t="s">
        <v>1113</v>
      </c>
      <c r="D502" s="242">
        <f>COUNTIF($D$11:$AC$11,"Tây Ninh")</f>
        <v>0</v>
      </c>
      <c r="E502" s="688"/>
      <c r="F502" s="688"/>
      <c r="G502" s="688"/>
      <c r="H502" s="689"/>
      <c r="I502" s="7"/>
      <c r="J502" s="244"/>
      <c r="K502" s="239"/>
      <c r="L502" s="239"/>
      <c r="M502" s="240"/>
      <c r="N502" s="7"/>
      <c r="O502" s="239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</row>
    <row r="503" spans="1:36" ht="15.75" customHeight="1">
      <c r="A503" s="686"/>
      <c r="B503" s="687"/>
      <c r="C503" s="243" t="s">
        <v>1114</v>
      </c>
      <c r="D503" s="242">
        <f>COUNTIF($D$11:$AC$11,"Bình Phước")</f>
        <v>0</v>
      </c>
      <c r="E503" s="688"/>
      <c r="F503" s="688"/>
      <c r="G503" s="688"/>
      <c r="H503" s="689"/>
      <c r="I503" s="7"/>
      <c r="J503" s="244"/>
      <c r="K503" s="239"/>
      <c r="L503" s="239"/>
      <c r="M503" s="240"/>
      <c r="N503" s="7"/>
      <c r="O503" s="239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</row>
    <row r="504" spans="1:36" ht="15.75" customHeight="1">
      <c r="A504" s="686"/>
      <c r="B504" s="687"/>
      <c r="C504" s="243" t="s">
        <v>1115</v>
      </c>
      <c r="D504" s="242">
        <f>COUNTIF($D$11:$AC$11,"Bình Dương")</f>
        <v>0</v>
      </c>
      <c r="E504" s="688"/>
      <c r="F504" s="688"/>
      <c r="G504" s="688"/>
      <c r="H504" s="689"/>
      <c r="I504" s="7"/>
      <c r="J504" s="244"/>
      <c r="K504" s="239"/>
      <c r="L504" s="239"/>
      <c r="M504" s="240"/>
      <c r="N504" s="7"/>
      <c r="O504" s="239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</row>
    <row r="505" spans="1:36" ht="15.75" customHeight="1">
      <c r="A505" s="686"/>
      <c r="B505" s="687"/>
      <c r="C505" s="243" t="s">
        <v>1116</v>
      </c>
      <c r="D505" s="242">
        <f>COUNTIF($D$11:$AC$11,"Bà Rịa - Vũng Tàu")</f>
        <v>0</v>
      </c>
      <c r="E505" s="688"/>
      <c r="F505" s="688"/>
      <c r="G505" s="688"/>
      <c r="H505" s="689"/>
      <c r="I505" s="7"/>
      <c r="J505" s="244"/>
      <c r="K505" s="239"/>
      <c r="L505" s="239"/>
      <c r="M505" s="240"/>
      <c r="N505" s="7"/>
      <c r="O505" s="239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</row>
    <row r="506" spans="1:36" ht="15.75" customHeight="1">
      <c r="A506" s="686"/>
      <c r="B506" s="687"/>
      <c r="C506" s="243" t="s">
        <v>1117</v>
      </c>
      <c r="D506" s="242">
        <f>COUNTIF($D$11:$AC$11,"Bến Tre")</f>
        <v>0</v>
      </c>
      <c r="E506" s="688"/>
      <c r="F506" s="688"/>
      <c r="G506" s="688"/>
      <c r="H506" s="689"/>
      <c r="I506" s="7"/>
      <c r="J506" s="244"/>
      <c r="K506" s="239"/>
      <c r="L506" s="239"/>
      <c r="M506" s="240"/>
      <c r="N506" s="7"/>
      <c r="O506" s="239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</row>
    <row r="507" spans="1:36" ht="15.75" customHeight="1">
      <c r="A507" s="686"/>
      <c r="B507" s="687"/>
      <c r="C507" s="243" t="s">
        <v>1118</v>
      </c>
      <c r="D507" s="242">
        <f>COUNTIF($D$11:$AC$11,"An Giang")</f>
        <v>0</v>
      </c>
      <c r="E507" s="688"/>
      <c r="F507" s="688"/>
      <c r="G507" s="688"/>
      <c r="H507" s="689"/>
      <c r="I507" s="7"/>
      <c r="J507" s="244"/>
      <c r="K507" s="239"/>
      <c r="L507" s="239"/>
      <c r="M507" s="240"/>
      <c r="N507" s="7"/>
      <c r="O507" s="239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</row>
    <row r="508" spans="1:36" ht="15.75" customHeight="1">
      <c r="A508" s="686"/>
      <c r="B508" s="687"/>
      <c r="C508" s="243" t="s">
        <v>1119</v>
      </c>
      <c r="D508" s="242">
        <f>COUNTIF($D$11:$AC$11,"Vĩnh Long")</f>
        <v>0</v>
      </c>
      <c r="E508" s="688"/>
      <c r="F508" s="688"/>
      <c r="G508" s="688"/>
      <c r="H508" s="689"/>
      <c r="I508" s="7"/>
      <c r="J508" s="244"/>
      <c r="K508" s="239"/>
      <c r="L508" s="239"/>
      <c r="M508" s="240"/>
      <c r="N508" s="7"/>
      <c r="O508" s="239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</row>
    <row r="509" spans="1:36" ht="15.75" customHeight="1">
      <c r="A509" s="686"/>
      <c r="B509" s="687"/>
      <c r="C509" s="243" t="s">
        <v>1120</v>
      </c>
      <c r="D509" s="242">
        <f>COUNTIF($D$11:$AC$11,"Cần Thơ")</f>
        <v>0</v>
      </c>
      <c r="E509" s="688"/>
      <c r="F509" s="688"/>
      <c r="G509" s="688"/>
      <c r="H509" s="689"/>
      <c r="I509" s="7"/>
      <c r="J509" s="244"/>
      <c r="K509" s="239"/>
      <c r="L509" s="239"/>
      <c r="M509" s="240"/>
      <c r="N509" s="7"/>
      <c r="O509" s="239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</row>
    <row r="510" spans="1:36" ht="15.75" customHeight="1">
      <c r="A510" s="686"/>
      <c r="B510" s="687"/>
      <c r="C510" s="243" t="s">
        <v>1121</v>
      </c>
      <c r="D510" s="242">
        <f>COUNTIF($D$11:$AC$11,"Hậu Giang")</f>
        <v>0</v>
      </c>
      <c r="E510" s="688"/>
      <c r="F510" s="688"/>
      <c r="G510" s="688"/>
      <c r="H510" s="689"/>
      <c r="I510" s="7"/>
      <c r="J510" s="244"/>
      <c r="K510" s="239"/>
      <c r="L510" s="239"/>
      <c r="M510" s="240"/>
      <c r="N510" s="7"/>
      <c r="O510" s="239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</row>
    <row r="511" spans="1:36" ht="15.75" customHeight="1">
      <c r="A511" s="686"/>
      <c r="B511" s="687"/>
      <c r="C511" s="243" t="s">
        <v>1122</v>
      </c>
      <c r="D511" s="242">
        <f>COUNTIF($D$11:$AC$11,"Sóc Trăng")</f>
        <v>0</v>
      </c>
      <c r="E511" s="688"/>
      <c r="F511" s="688"/>
      <c r="G511" s="688"/>
      <c r="H511" s="689"/>
      <c r="I511" s="7"/>
      <c r="J511" s="244"/>
      <c r="K511" s="239"/>
      <c r="L511" s="239"/>
      <c r="M511" s="240"/>
      <c r="N511" s="7"/>
      <c r="O511" s="239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</row>
    <row r="512" spans="1:36" ht="15.75" customHeight="1">
      <c r="A512" s="686"/>
      <c r="B512" s="687"/>
      <c r="C512" s="243" t="s">
        <v>1123</v>
      </c>
      <c r="D512" s="242">
        <f>COUNTIF($D$11:$AC$11,"Bạc Liêu")</f>
        <v>0</v>
      </c>
      <c r="E512" s="688"/>
      <c r="F512" s="688"/>
      <c r="G512" s="688"/>
      <c r="H512" s="689"/>
      <c r="I512" s="7"/>
      <c r="J512" s="244"/>
      <c r="K512" s="239"/>
      <c r="L512" s="239"/>
      <c r="M512" s="240"/>
      <c r="N512" s="7"/>
      <c r="O512" s="239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</row>
    <row r="513" spans="1:36" ht="15.75" customHeight="1">
      <c r="A513" s="686"/>
      <c r="B513" s="687"/>
      <c r="C513" s="243" t="s">
        <v>1124</v>
      </c>
      <c r="D513" s="242">
        <f>COUNTIF($D$11:$AC$11,"Cà Mau")</f>
        <v>0</v>
      </c>
      <c r="E513" s="688"/>
      <c r="F513" s="688"/>
      <c r="G513" s="688"/>
      <c r="H513" s="689"/>
      <c r="I513" s="7"/>
      <c r="J513" s="244"/>
      <c r="K513" s="239"/>
      <c r="L513" s="239"/>
      <c r="M513" s="240"/>
      <c r="N513" s="7"/>
      <c r="O513" s="239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</row>
    <row r="514" spans="1:36" ht="15.75" customHeight="1">
      <c r="A514" s="686"/>
      <c r="B514" s="687"/>
      <c r="C514" s="243" t="s">
        <v>1125</v>
      </c>
      <c r="D514" s="242">
        <f>COUNTIF($D$11:$AC$11,"Kiên Giang")</f>
        <v>0</v>
      </c>
      <c r="E514" s="688"/>
      <c r="F514" s="688"/>
      <c r="G514" s="688"/>
      <c r="H514" s="689"/>
      <c r="I514" s="7"/>
      <c r="J514" s="244"/>
      <c r="K514" s="239"/>
      <c r="L514" s="239"/>
      <c r="M514" s="240"/>
      <c r="N514" s="7"/>
      <c r="O514" s="239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</row>
    <row r="515" spans="1:36" ht="15.75" customHeight="1">
      <c r="A515" s="686"/>
      <c r="B515" s="687"/>
      <c r="C515" s="243" t="s">
        <v>1126</v>
      </c>
      <c r="D515" s="242">
        <f>COUNTIF($D$11:$AC$11,"Đồng Tháp")</f>
        <v>0</v>
      </c>
      <c r="E515" s="688"/>
      <c r="F515" s="688"/>
      <c r="G515" s="688"/>
      <c r="H515" s="689"/>
      <c r="I515" s="7"/>
      <c r="J515" s="244"/>
      <c r="K515" s="239"/>
      <c r="L515" s="239"/>
      <c r="M515" s="240"/>
      <c r="N515" s="7"/>
      <c r="O515" s="239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</row>
    <row r="516" spans="1:36" ht="15.75" customHeight="1">
      <c r="A516" s="686"/>
      <c r="B516" s="687"/>
      <c r="C516" s="243" t="s">
        <v>1127</v>
      </c>
      <c r="D516" s="242">
        <f>COUNTIF($D$11:$AC$11,"Trà Vinh")</f>
        <v>0</v>
      </c>
      <c r="E516" s="688"/>
      <c r="F516" s="688"/>
      <c r="G516" s="688"/>
      <c r="H516" s="689"/>
      <c r="I516" s="7"/>
      <c r="J516" s="244"/>
      <c r="K516" s="239"/>
      <c r="L516" s="239"/>
      <c r="M516" s="240"/>
      <c r="N516" s="7"/>
      <c r="O516" s="239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</row>
    <row r="517" spans="1:36" ht="15.75" customHeight="1">
      <c r="A517" s="686"/>
      <c r="B517" s="687"/>
      <c r="C517" s="243" t="s">
        <v>1128</v>
      </c>
      <c r="D517" s="242">
        <f>COUNTIF($D$11:$AC$11,"Tiền Giang")</f>
        <v>0</v>
      </c>
      <c r="E517" s="688"/>
      <c r="F517" s="688"/>
      <c r="G517" s="688"/>
      <c r="H517" s="689"/>
      <c r="I517" s="7"/>
      <c r="J517" s="244"/>
      <c r="K517" s="239"/>
      <c r="L517" s="239"/>
      <c r="M517" s="240"/>
      <c r="N517" s="7"/>
      <c r="O517" s="239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</row>
    <row r="518" spans="1:36" ht="15.75" customHeight="1">
      <c r="A518" s="686"/>
      <c r="B518" s="687"/>
      <c r="C518" s="243" t="s">
        <v>1129</v>
      </c>
      <c r="D518" s="242">
        <f>COUNTIF($D$11:$AC$11,"Long An")</f>
        <v>0</v>
      </c>
      <c r="E518" s="688"/>
      <c r="F518" s="688"/>
      <c r="G518" s="688"/>
      <c r="H518" s="689"/>
      <c r="I518" s="7"/>
      <c r="J518" s="244"/>
      <c r="K518" s="239"/>
      <c r="L518" s="239"/>
      <c r="M518" s="240"/>
      <c r="N518" s="7"/>
      <c r="O518" s="239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</row>
    <row r="519" spans="1:36" ht="15.75" customHeight="1">
      <c r="A519" s="686"/>
      <c r="B519" s="687"/>
      <c r="C519" s="243" t="s">
        <v>1130</v>
      </c>
      <c r="D519" s="242">
        <f>COUNTIF($D$11:$AC$11,"Đồng Nai")</f>
        <v>0</v>
      </c>
      <c r="E519" s="688"/>
      <c r="F519" s="688"/>
      <c r="G519" s="688"/>
      <c r="H519" s="689"/>
      <c r="I519" s="7"/>
      <c r="J519" s="244"/>
      <c r="K519" s="239"/>
      <c r="L519" s="239"/>
      <c r="M519" s="240"/>
      <c r="N519" s="7"/>
      <c r="O519" s="239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</row>
    <row r="520" spans="1:36" ht="15.75" customHeight="1">
      <c r="A520" s="686"/>
      <c r="B520" s="687"/>
      <c r="C520" s="243" t="s">
        <v>1131</v>
      </c>
      <c r="D520" s="242">
        <f>COUNTIF($D$11:$AC$11,"TP Hồ Chí Minh")</f>
        <v>0</v>
      </c>
      <c r="E520" s="688"/>
      <c r="F520" s="688"/>
      <c r="G520" s="688"/>
      <c r="H520" s="689"/>
      <c r="I520" s="7"/>
      <c r="J520" s="244"/>
      <c r="K520" s="239"/>
      <c r="L520" s="239"/>
      <c r="M520" s="240"/>
      <c r="N520" s="7"/>
      <c r="O520" s="239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</row>
    <row r="521" spans="1:36" ht="15.75" customHeight="1">
      <c r="A521" s="686"/>
      <c r="B521" s="687"/>
      <c r="C521" s="243"/>
      <c r="D521" s="244"/>
      <c r="E521" s="688"/>
      <c r="F521" s="688"/>
      <c r="G521" s="688"/>
      <c r="H521" s="689"/>
      <c r="I521" s="7"/>
      <c r="J521" s="244"/>
      <c r="K521" s="239"/>
      <c r="L521" s="239"/>
      <c r="M521" s="240"/>
      <c r="N521" s="7"/>
      <c r="O521" s="239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</row>
    <row r="522" spans="1:36" ht="15.75" customHeight="1">
      <c r="A522" s="686"/>
      <c r="B522" s="687"/>
      <c r="C522" s="243"/>
      <c r="D522" s="245">
        <f>SUM(D458:D520)</f>
        <v>11</v>
      </c>
      <c r="E522" s="688"/>
      <c r="F522" s="688"/>
      <c r="G522" s="688"/>
      <c r="H522" s="689"/>
      <c r="I522" s="7"/>
      <c r="J522" s="244"/>
      <c r="K522" s="239"/>
      <c r="L522" s="239"/>
      <c r="M522" s="240"/>
      <c r="N522" s="7"/>
      <c r="O522" s="239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</row>
    <row r="523" spans="1:36" ht="15.75" customHeight="1">
      <c r="A523" s="686"/>
      <c r="B523" s="687"/>
      <c r="C523" s="243"/>
      <c r="D523" s="244"/>
      <c r="E523" s="688"/>
      <c r="F523" s="688"/>
      <c r="G523" s="688"/>
      <c r="H523" s="689"/>
      <c r="I523" s="7"/>
      <c r="J523" s="244"/>
      <c r="K523" s="239"/>
      <c r="L523" s="239"/>
      <c r="M523" s="240"/>
      <c r="N523" s="7"/>
      <c r="O523" s="239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</row>
    <row r="524" spans="1:36" ht="15.75" customHeight="1">
      <c r="A524" s="686"/>
      <c r="B524" s="687"/>
      <c r="C524" s="243"/>
      <c r="D524" s="244"/>
      <c r="E524" s="688"/>
      <c r="F524" s="688"/>
      <c r="G524" s="688"/>
      <c r="H524" s="689"/>
      <c r="I524" s="7"/>
      <c r="J524" s="244"/>
      <c r="K524" s="239"/>
      <c r="L524" s="239"/>
      <c r="M524" s="240"/>
      <c r="N524" s="7"/>
      <c r="O524" s="239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</row>
    <row r="525" spans="1:36" ht="15.75" customHeight="1">
      <c r="A525" s="686"/>
      <c r="B525" s="687"/>
      <c r="C525" s="243"/>
      <c r="D525" s="244"/>
      <c r="E525" s="688"/>
      <c r="F525" s="688"/>
      <c r="G525" s="688"/>
      <c r="H525" s="689"/>
      <c r="I525" s="7"/>
      <c r="J525" s="244"/>
      <c r="K525" s="239"/>
      <c r="L525" s="239"/>
      <c r="M525" s="240"/>
      <c r="N525" s="7"/>
      <c r="O525" s="239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</row>
    <row r="526" spans="1:36" ht="15.75" customHeight="1">
      <c r="A526" s="686"/>
      <c r="B526" s="687"/>
      <c r="C526" s="243"/>
      <c r="D526" s="244"/>
      <c r="E526" s="688"/>
      <c r="F526" s="688"/>
      <c r="G526" s="688"/>
      <c r="H526" s="689"/>
      <c r="I526" s="7"/>
      <c r="J526" s="244"/>
      <c r="K526" s="239"/>
      <c r="L526" s="239"/>
      <c r="M526" s="240"/>
      <c r="N526" s="7"/>
      <c r="O526" s="239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</row>
    <row r="527" spans="1:36" ht="15.75" customHeight="1">
      <c r="A527" s="686"/>
      <c r="B527" s="687"/>
      <c r="C527" s="243"/>
      <c r="D527" s="244"/>
      <c r="E527" s="688"/>
      <c r="F527" s="688"/>
      <c r="G527" s="688"/>
      <c r="H527" s="689"/>
      <c r="I527" s="7"/>
      <c r="J527" s="244"/>
      <c r="K527" s="239"/>
      <c r="L527" s="239"/>
      <c r="M527" s="240"/>
      <c r="N527" s="7"/>
      <c r="O527" s="239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</row>
    <row r="528" spans="1:36" ht="15.75" customHeight="1">
      <c r="A528" s="686"/>
      <c r="B528" s="687"/>
      <c r="C528" s="243"/>
      <c r="D528" s="244"/>
      <c r="E528" s="688"/>
      <c r="F528" s="688"/>
      <c r="G528" s="688"/>
      <c r="H528" s="689"/>
      <c r="I528" s="7"/>
      <c r="J528" s="244"/>
      <c r="K528" s="239"/>
      <c r="L528" s="239"/>
      <c r="M528" s="240"/>
      <c r="N528" s="7"/>
      <c r="O528" s="239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</row>
    <row r="529" spans="1:36" ht="15.75" customHeight="1">
      <c r="A529" s="686"/>
      <c r="B529" s="687"/>
      <c r="C529" s="243"/>
      <c r="D529" s="244"/>
      <c r="E529" s="688"/>
      <c r="F529" s="688"/>
      <c r="G529" s="688"/>
      <c r="H529" s="689"/>
      <c r="I529" s="7"/>
      <c r="J529" s="244"/>
      <c r="K529" s="239"/>
      <c r="L529" s="239"/>
      <c r="M529" s="240"/>
      <c r="N529" s="7"/>
      <c r="O529" s="239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</row>
    <row r="530" spans="1:36" ht="15.75" customHeight="1">
      <c r="A530" s="686"/>
      <c r="B530" s="687"/>
      <c r="C530" s="243"/>
      <c r="D530" s="244"/>
      <c r="E530" s="688"/>
      <c r="F530" s="688"/>
      <c r="G530" s="688"/>
      <c r="H530" s="689"/>
      <c r="I530" s="7"/>
      <c r="J530" s="244"/>
      <c r="K530" s="239"/>
      <c r="L530" s="239"/>
      <c r="M530" s="240"/>
      <c r="N530" s="7"/>
      <c r="O530" s="239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</row>
    <row r="531" spans="1:36" ht="15.75" customHeight="1">
      <c r="A531" s="686"/>
      <c r="B531" s="687"/>
      <c r="C531" s="243"/>
      <c r="D531" s="244"/>
      <c r="E531" s="688"/>
      <c r="F531" s="688"/>
      <c r="G531" s="688"/>
      <c r="H531" s="689"/>
      <c r="I531" s="7"/>
      <c r="J531" s="244"/>
      <c r="K531" s="239"/>
      <c r="L531" s="239"/>
      <c r="M531" s="240"/>
      <c r="N531" s="7"/>
      <c r="O531" s="239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</row>
    <row r="532" spans="1:36" ht="15.75" customHeight="1">
      <c r="A532" s="686"/>
      <c r="B532" s="687"/>
      <c r="C532" s="243"/>
      <c r="D532" s="244"/>
      <c r="E532" s="688"/>
      <c r="F532" s="688"/>
      <c r="G532" s="688"/>
      <c r="H532" s="689"/>
      <c r="I532" s="7"/>
      <c r="J532" s="244"/>
      <c r="K532" s="239"/>
      <c r="L532" s="239"/>
      <c r="M532" s="240"/>
      <c r="N532" s="7"/>
      <c r="O532" s="239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</row>
    <row r="533" spans="1:36" ht="15.75" customHeight="1">
      <c r="A533" s="686"/>
      <c r="B533" s="687"/>
      <c r="C533" s="243"/>
      <c r="D533" s="244"/>
      <c r="E533" s="688"/>
      <c r="F533" s="688"/>
      <c r="G533" s="688"/>
      <c r="H533" s="689"/>
      <c r="I533" s="7"/>
      <c r="J533" s="244"/>
      <c r="K533" s="239"/>
      <c r="L533" s="239"/>
      <c r="M533" s="240"/>
      <c r="N533" s="7"/>
      <c r="O533" s="239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</row>
    <row r="534" spans="1:36" ht="15.75" customHeight="1">
      <c r="A534" s="686"/>
      <c r="B534" s="687"/>
      <c r="C534" s="243"/>
      <c r="D534" s="244"/>
      <c r="E534" s="688"/>
      <c r="F534" s="688"/>
      <c r="G534" s="688"/>
      <c r="H534" s="689"/>
      <c r="I534" s="7"/>
      <c r="J534" s="244"/>
      <c r="K534" s="239"/>
      <c r="L534" s="239"/>
      <c r="M534" s="240"/>
      <c r="N534" s="7"/>
      <c r="O534" s="239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</row>
    <row r="535" spans="1:36" ht="15.75" customHeight="1">
      <c r="A535" s="686"/>
      <c r="B535" s="687"/>
      <c r="C535" s="243"/>
      <c r="D535" s="244"/>
      <c r="E535" s="688"/>
      <c r="F535" s="688"/>
      <c r="G535" s="688"/>
      <c r="H535" s="689"/>
      <c r="I535" s="7"/>
      <c r="J535" s="244"/>
      <c r="K535" s="239"/>
      <c r="L535" s="239"/>
      <c r="M535" s="240"/>
      <c r="N535" s="7"/>
      <c r="O535" s="239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</row>
    <row r="536" spans="1:36" ht="15.75" customHeight="1">
      <c r="A536" s="686"/>
      <c r="B536" s="687"/>
      <c r="C536" s="243"/>
      <c r="D536" s="244"/>
      <c r="E536" s="688"/>
      <c r="F536" s="688"/>
      <c r="G536" s="688"/>
      <c r="H536" s="689"/>
      <c r="I536" s="7"/>
      <c r="J536" s="244"/>
      <c r="K536" s="239"/>
      <c r="L536" s="239"/>
      <c r="M536" s="240"/>
      <c r="N536" s="7"/>
      <c r="O536" s="239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</row>
    <row r="537" spans="1:36" ht="15.75" customHeight="1">
      <c r="A537" s="686"/>
      <c r="B537" s="687"/>
      <c r="C537" s="243"/>
      <c r="D537" s="244"/>
      <c r="E537" s="688"/>
      <c r="F537" s="688"/>
      <c r="G537" s="688"/>
      <c r="H537" s="689"/>
      <c r="I537" s="7"/>
      <c r="J537" s="244"/>
      <c r="K537" s="239"/>
      <c r="L537" s="239"/>
      <c r="M537" s="240"/>
      <c r="N537" s="7"/>
      <c r="O537" s="239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</row>
    <row r="538" spans="1:36" ht="15.75" customHeight="1">
      <c r="A538" s="686"/>
      <c r="B538" s="687"/>
      <c r="C538" s="243"/>
      <c r="D538" s="244"/>
      <c r="E538" s="688"/>
      <c r="F538" s="688"/>
      <c r="G538" s="688"/>
      <c r="H538" s="689"/>
      <c r="I538" s="7"/>
      <c r="J538" s="244"/>
      <c r="K538" s="239"/>
      <c r="L538" s="239"/>
      <c r="M538" s="240"/>
      <c r="N538" s="7"/>
      <c r="O538" s="239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</row>
    <row r="539" spans="1:36" ht="15.75" customHeight="1">
      <c r="A539" s="686"/>
      <c r="B539" s="687"/>
      <c r="C539" s="243"/>
      <c r="D539" s="244"/>
      <c r="E539" s="688"/>
      <c r="F539" s="688"/>
      <c r="G539" s="688"/>
      <c r="H539" s="689"/>
      <c r="I539" s="7"/>
      <c r="J539" s="244"/>
      <c r="K539" s="239"/>
      <c r="L539" s="239"/>
      <c r="M539" s="240"/>
      <c r="N539" s="7"/>
      <c r="O539" s="239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</row>
    <row r="540" spans="1:36" ht="15.75" customHeight="1">
      <c r="A540" s="686"/>
      <c r="B540" s="687"/>
      <c r="C540" s="243"/>
      <c r="D540" s="244"/>
      <c r="E540" s="688"/>
      <c r="F540" s="688"/>
      <c r="G540" s="688"/>
      <c r="H540" s="689"/>
      <c r="I540" s="7"/>
      <c r="J540" s="244"/>
      <c r="K540" s="239"/>
      <c r="L540" s="239"/>
      <c r="M540" s="240"/>
      <c r="N540" s="7"/>
      <c r="O540" s="239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</row>
    <row r="541" spans="1:36" ht="15.75" customHeight="1">
      <c r="A541" s="686"/>
      <c r="B541" s="687"/>
      <c r="C541" s="243"/>
      <c r="D541" s="244"/>
      <c r="E541" s="688"/>
      <c r="F541" s="688"/>
      <c r="G541" s="688"/>
      <c r="H541" s="689"/>
      <c r="I541" s="7"/>
      <c r="J541" s="244"/>
      <c r="K541" s="239"/>
      <c r="L541" s="239"/>
      <c r="M541" s="240"/>
      <c r="N541" s="7"/>
      <c r="O541" s="239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</row>
    <row r="542" spans="1:36" ht="15.75" customHeight="1">
      <c r="A542" s="686"/>
      <c r="B542" s="687"/>
      <c r="C542" s="243"/>
      <c r="D542" s="244"/>
      <c r="E542" s="688"/>
      <c r="F542" s="688"/>
      <c r="G542" s="688"/>
      <c r="H542" s="689"/>
      <c r="I542" s="7"/>
      <c r="J542" s="244"/>
      <c r="K542" s="239"/>
      <c r="L542" s="239"/>
      <c r="M542" s="240"/>
      <c r="N542" s="7"/>
      <c r="O542" s="239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</row>
    <row r="543" spans="1:36" ht="15.75" customHeight="1">
      <c r="A543" s="686"/>
      <c r="B543" s="687"/>
      <c r="C543" s="243"/>
      <c r="D543" s="244"/>
      <c r="E543" s="688"/>
      <c r="F543" s="688"/>
      <c r="G543" s="688"/>
      <c r="H543" s="689"/>
      <c r="I543" s="7"/>
      <c r="J543" s="244"/>
      <c r="K543" s="239"/>
      <c r="L543" s="239"/>
      <c r="M543" s="240"/>
      <c r="N543" s="7"/>
      <c r="O543" s="239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</row>
    <row r="544" spans="1:36" ht="15.75" customHeight="1">
      <c r="A544" s="686"/>
      <c r="B544" s="687"/>
      <c r="C544" s="243"/>
      <c r="D544" s="244"/>
      <c r="E544" s="688"/>
      <c r="F544" s="688"/>
      <c r="G544" s="688"/>
      <c r="H544" s="689"/>
      <c r="I544" s="7"/>
      <c r="J544" s="244"/>
      <c r="K544" s="239"/>
      <c r="L544" s="239"/>
      <c r="M544" s="240"/>
      <c r="N544" s="7"/>
      <c r="O544" s="239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</row>
    <row r="545" spans="1:36" ht="15.75" customHeight="1">
      <c r="A545" s="686"/>
      <c r="B545" s="687"/>
      <c r="C545" s="243"/>
      <c r="D545" s="244"/>
      <c r="E545" s="688"/>
      <c r="F545" s="688"/>
      <c r="G545" s="688"/>
      <c r="H545" s="689"/>
      <c r="I545" s="7"/>
      <c r="J545" s="244"/>
      <c r="K545" s="239"/>
      <c r="L545" s="239"/>
      <c r="M545" s="240"/>
      <c r="N545" s="7"/>
      <c r="O545" s="239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</row>
    <row r="546" spans="1:36" ht="15.75" customHeight="1">
      <c r="A546" s="686"/>
      <c r="B546" s="687"/>
      <c r="C546" s="243"/>
      <c r="D546" s="244"/>
      <c r="E546" s="688"/>
      <c r="F546" s="688"/>
      <c r="G546" s="688"/>
      <c r="H546" s="689"/>
      <c r="I546" s="7"/>
      <c r="J546" s="244"/>
      <c r="K546" s="239"/>
      <c r="L546" s="239"/>
      <c r="M546" s="240"/>
      <c r="N546" s="7"/>
      <c r="O546" s="239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1:36" ht="15.75" customHeight="1">
      <c r="A547" s="686"/>
      <c r="B547" s="687"/>
      <c r="C547" s="243"/>
      <c r="D547" s="244"/>
      <c r="E547" s="688"/>
      <c r="F547" s="688"/>
      <c r="G547" s="688"/>
      <c r="H547" s="689"/>
      <c r="I547" s="7"/>
      <c r="J547" s="244"/>
      <c r="K547" s="239"/>
      <c r="L547" s="239"/>
      <c r="M547" s="240"/>
      <c r="N547" s="7"/>
      <c r="O547" s="239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1:36" ht="15.75" customHeight="1">
      <c r="A548" s="686"/>
      <c r="B548" s="687"/>
      <c r="C548" s="243"/>
      <c r="D548" s="244"/>
      <c r="E548" s="688"/>
      <c r="F548" s="688"/>
      <c r="G548" s="688"/>
      <c r="H548" s="689"/>
      <c r="I548" s="7"/>
      <c r="J548" s="244"/>
      <c r="K548" s="239"/>
      <c r="L548" s="239"/>
      <c r="M548" s="240"/>
      <c r="N548" s="7"/>
      <c r="O548" s="239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1:36" ht="15.75" customHeight="1">
      <c r="A549" s="686"/>
      <c r="B549" s="687"/>
      <c r="C549" s="243"/>
      <c r="D549" s="244"/>
      <c r="E549" s="688"/>
      <c r="F549" s="688"/>
      <c r="G549" s="688"/>
      <c r="H549" s="689"/>
      <c r="I549" s="7"/>
      <c r="J549" s="244"/>
      <c r="K549" s="239"/>
      <c r="L549" s="239"/>
      <c r="M549" s="240"/>
      <c r="N549" s="7"/>
      <c r="O549" s="239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1:36" ht="15.75" customHeight="1">
      <c r="A550" s="686"/>
      <c r="B550" s="687"/>
      <c r="C550" s="243"/>
      <c r="D550" s="244"/>
      <c r="E550" s="688"/>
      <c r="F550" s="688"/>
      <c r="G550" s="688"/>
      <c r="H550" s="689"/>
      <c r="I550" s="7"/>
      <c r="J550" s="244"/>
      <c r="K550" s="239"/>
      <c r="L550" s="239"/>
      <c r="M550" s="240"/>
      <c r="N550" s="7"/>
      <c r="O550" s="239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1:36" ht="15.75" customHeight="1">
      <c r="A551" s="686"/>
      <c r="B551" s="687"/>
      <c r="C551" s="243"/>
      <c r="D551" s="244"/>
      <c r="E551" s="688"/>
      <c r="F551" s="688"/>
      <c r="G551" s="688"/>
      <c r="H551" s="689"/>
      <c r="I551" s="7"/>
      <c r="J551" s="244"/>
      <c r="K551" s="239"/>
      <c r="L551" s="239"/>
      <c r="M551" s="240"/>
      <c r="N551" s="7"/>
      <c r="O551" s="239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</row>
    <row r="552" spans="1:36" ht="15.75" customHeight="1">
      <c r="A552" s="686"/>
      <c r="B552" s="687"/>
      <c r="C552" s="243"/>
      <c r="D552" s="244"/>
      <c r="E552" s="688"/>
      <c r="F552" s="688"/>
      <c r="G552" s="688"/>
      <c r="H552" s="689"/>
      <c r="I552" s="7"/>
      <c r="J552" s="244"/>
      <c r="K552" s="239"/>
      <c r="L552" s="239"/>
      <c r="M552" s="240"/>
      <c r="N552" s="7"/>
      <c r="O552" s="239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</row>
    <row r="553" spans="1:36" ht="15.75" customHeight="1">
      <c r="A553" s="686"/>
      <c r="B553" s="687"/>
      <c r="C553" s="243"/>
      <c r="D553" s="244"/>
      <c r="E553" s="688"/>
      <c r="F553" s="688"/>
      <c r="G553" s="688"/>
      <c r="H553" s="689"/>
      <c r="I553" s="7"/>
      <c r="J553" s="244"/>
      <c r="K553" s="239"/>
      <c r="L553" s="239"/>
      <c r="M553" s="240"/>
      <c r="N553" s="7"/>
      <c r="O553" s="239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</row>
    <row r="554" spans="1:36" ht="15.75" customHeight="1">
      <c r="A554" s="686"/>
      <c r="B554" s="687"/>
      <c r="C554" s="243"/>
      <c r="D554" s="244"/>
      <c r="E554" s="688"/>
      <c r="F554" s="688"/>
      <c r="G554" s="688"/>
      <c r="H554" s="689"/>
      <c r="I554" s="7"/>
      <c r="J554" s="244"/>
      <c r="K554" s="239"/>
      <c r="L554" s="239"/>
      <c r="M554" s="240"/>
      <c r="N554" s="7"/>
      <c r="O554" s="239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</row>
    <row r="555" spans="1:36" ht="15.75" customHeight="1">
      <c r="A555" s="686"/>
      <c r="B555" s="687"/>
      <c r="C555" s="243"/>
      <c r="D555" s="244"/>
      <c r="E555" s="688"/>
      <c r="F555" s="688"/>
      <c r="G555" s="688"/>
      <c r="H555" s="689"/>
      <c r="I555" s="7"/>
      <c r="J555" s="244"/>
      <c r="K555" s="239"/>
      <c r="L555" s="239"/>
      <c r="M555" s="240"/>
      <c r="N555" s="7"/>
      <c r="O555" s="239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</row>
    <row r="556" spans="1:36" ht="15.75" customHeight="1">
      <c r="A556" s="686"/>
      <c r="B556" s="687"/>
      <c r="C556" s="243"/>
      <c r="D556" s="244"/>
      <c r="E556" s="688"/>
      <c r="F556" s="688"/>
      <c r="G556" s="688"/>
      <c r="H556" s="689"/>
      <c r="I556" s="7"/>
      <c r="J556" s="244"/>
      <c r="K556" s="239"/>
      <c r="L556" s="239"/>
      <c r="M556" s="240"/>
      <c r="N556" s="7"/>
      <c r="O556" s="239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</row>
    <row r="557" spans="1:36" ht="15.75" customHeight="1">
      <c r="A557" s="686"/>
      <c r="B557" s="687"/>
      <c r="C557" s="243"/>
      <c r="D557" s="244"/>
      <c r="E557" s="688"/>
      <c r="F557" s="688"/>
      <c r="G557" s="688"/>
      <c r="H557" s="689"/>
      <c r="I557" s="7"/>
      <c r="J557" s="244"/>
      <c r="K557" s="239"/>
      <c r="L557" s="239"/>
      <c r="M557" s="240"/>
      <c r="N557" s="7"/>
      <c r="O557" s="239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</row>
    <row r="558" spans="1:36" ht="15.75" customHeight="1">
      <c r="A558" s="686"/>
      <c r="B558" s="687"/>
      <c r="C558" s="243"/>
      <c r="D558" s="244"/>
      <c r="E558" s="688"/>
      <c r="F558" s="688"/>
      <c r="G558" s="688"/>
      <c r="H558" s="689"/>
      <c r="I558" s="7"/>
      <c r="J558" s="244"/>
      <c r="K558" s="239"/>
      <c r="L558" s="239"/>
      <c r="M558" s="240"/>
      <c r="N558" s="7"/>
      <c r="O558" s="239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</row>
    <row r="559" spans="1:36" ht="15.75" customHeight="1">
      <c r="A559" s="686"/>
      <c r="B559" s="687"/>
      <c r="C559" s="243"/>
      <c r="D559" s="244"/>
      <c r="E559" s="688"/>
      <c r="F559" s="688"/>
      <c r="G559" s="688"/>
      <c r="H559" s="689"/>
      <c r="I559" s="7"/>
      <c r="J559" s="244"/>
      <c r="K559" s="239"/>
      <c r="L559" s="239"/>
      <c r="M559" s="240"/>
      <c r="N559" s="7"/>
      <c r="O559" s="239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</row>
    <row r="560" spans="1:36" ht="15.75" customHeight="1">
      <c r="A560" s="686"/>
      <c r="B560" s="687"/>
      <c r="C560" s="243"/>
      <c r="D560" s="244"/>
      <c r="E560" s="688"/>
      <c r="F560" s="688"/>
      <c r="G560" s="688"/>
      <c r="H560" s="689"/>
      <c r="I560" s="7"/>
      <c r="J560" s="244"/>
      <c r="K560" s="239"/>
      <c r="L560" s="239"/>
      <c r="M560" s="240"/>
      <c r="N560" s="7"/>
      <c r="O560" s="239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</row>
    <row r="561" spans="1:36" ht="15.75" customHeight="1">
      <c r="A561" s="686"/>
      <c r="B561" s="687"/>
      <c r="C561" s="243"/>
      <c r="D561" s="244"/>
      <c r="E561" s="688"/>
      <c r="F561" s="688"/>
      <c r="G561" s="688"/>
      <c r="H561" s="689"/>
      <c r="I561" s="7"/>
      <c r="J561" s="244"/>
      <c r="K561" s="239"/>
      <c r="L561" s="239"/>
      <c r="M561" s="240"/>
      <c r="N561" s="7"/>
      <c r="O561" s="239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</row>
    <row r="562" spans="1:36" ht="15.75" customHeight="1">
      <c r="A562" s="686"/>
      <c r="B562" s="687"/>
      <c r="C562" s="243"/>
      <c r="D562" s="244"/>
      <c r="E562" s="688"/>
      <c r="F562" s="688"/>
      <c r="G562" s="688"/>
      <c r="H562" s="689"/>
      <c r="I562" s="7"/>
      <c r="J562" s="244"/>
      <c r="K562" s="239"/>
      <c r="L562" s="239"/>
      <c r="M562" s="240"/>
      <c r="N562" s="7"/>
      <c r="O562" s="239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</row>
    <row r="563" spans="1:36" ht="15.75" customHeight="1">
      <c r="A563" s="686"/>
      <c r="B563" s="687"/>
      <c r="C563" s="243"/>
      <c r="D563" s="244"/>
      <c r="E563" s="688"/>
      <c r="F563" s="688"/>
      <c r="G563" s="688"/>
      <c r="H563" s="689"/>
      <c r="I563" s="7"/>
      <c r="J563" s="244"/>
      <c r="K563" s="239"/>
      <c r="L563" s="239"/>
      <c r="M563" s="240"/>
      <c r="N563" s="7"/>
      <c r="O563" s="239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</row>
    <row r="564" spans="1:36" ht="15.75" customHeight="1">
      <c r="A564" s="686"/>
      <c r="B564" s="687"/>
      <c r="C564" s="243"/>
      <c r="D564" s="244"/>
      <c r="E564" s="688"/>
      <c r="F564" s="688"/>
      <c r="G564" s="688"/>
      <c r="H564" s="689"/>
      <c r="I564" s="7"/>
      <c r="J564" s="244"/>
      <c r="K564" s="239"/>
      <c r="L564" s="239"/>
      <c r="M564" s="240"/>
      <c r="N564" s="7"/>
      <c r="O564" s="239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</row>
    <row r="565" spans="1:36" ht="15.75" customHeight="1">
      <c r="A565" s="686"/>
      <c r="B565" s="687"/>
      <c r="C565" s="243"/>
      <c r="D565" s="244"/>
      <c r="E565" s="688"/>
      <c r="F565" s="688"/>
      <c r="G565" s="688"/>
      <c r="H565" s="689"/>
      <c r="I565" s="7"/>
      <c r="J565" s="244"/>
      <c r="K565" s="239"/>
      <c r="L565" s="239"/>
      <c r="M565" s="240"/>
      <c r="N565" s="7"/>
      <c r="O565" s="239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</row>
    <row r="566" spans="1:36" ht="15.75" customHeight="1">
      <c r="A566" s="686"/>
      <c r="B566" s="687"/>
      <c r="C566" s="243"/>
      <c r="D566" s="244"/>
      <c r="E566" s="688"/>
      <c r="F566" s="688"/>
      <c r="G566" s="688"/>
      <c r="H566" s="689"/>
      <c r="I566" s="7"/>
      <c r="J566" s="244"/>
      <c r="K566" s="239"/>
      <c r="L566" s="239"/>
      <c r="M566" s="240"/>
      <c r="N566" s="7"/>
      <c r="O566" s="239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</row>
    <row r="567" spans="1:36" ht="15.75" customHeight="1">
      <c r="A567" s="686"/>
      <c r="B567" s="687"/>
      <c r="C567" s="243"/>
      <c r="D567" s="244"/>
      <c r="E567" s="688"/>
      <c r="F567" s="688"/>
      <c r="G567" s="688"/>
      <c r="H567" s="689"/>
      <c r="I567" s="7"/>
      <c r="J567" s="244"/>
      <c r="K567" s="239"/>
      <c r="L567" s="239"/>
      <c r="M567" s="240"/>
      <c r="N567" s="7"/>
      <c r="O567" s="239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</row>
    <row r="568" spans="1:36" ht="15.75" customHeight="1">
      <c r="A568" s="686"/>
      <c r="B568" s="687"/>
      <c r="C568" s="243"/>
      <c r="D568" s="244"/>
      <c r="E568" s="688"/>
      <c r="F568" s="688"/>
      <c r="G568" s="688"/>
      <c r="H568" s="689"/>
      <c r="I568" s="7"/>
      <c r="J568" s="244"/>
      <c r="K568" s="239"/>
      <c r="L568" s="239"/>
      <c r="M568" s="240"/>
      <c r="N568" s="7"/>
      <c r="O568" s="239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</row>
    <row r="569" spans="1:36" ht="15.75" customHeight="1">
      <c r="A569" s="686"/>
      <c r="B569" s="687"/>
      <c r="C569" s="243"/>
      <c r="D569" s="244"/>
      <c r="E569" s="688"/>
      <c r="F569" s="688"/>
      <c r="G569" s="688"/>
      <c r="H569" s="689"/>
      <c r="I569" s="7"/>
      <c r="J569" s="244"/>
      <c r="K569" s="239"/>
      <c r="L569" s="239"/>
      <c r="M569" s="240"/>
      <c r="N569" s="7"/>
      <c r="O569" s="239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</row>
    <row r="570" spans="1:36" ht="15.75" customHeight="1">
      <c r="A570" s="686"/>
      <c r="B570" s="687"/>
      <c r="C570" s="243"/>
      <c r="D570" s="244"/>
      <c r="E570" s="688"/>
      <c r="F570" s="688"/>
      <c r="G570" s="688"/>
      <c r="H570" s="689"/>
      <c r="I570" s="7"/>
      <c r="J570" s="244"/>
      <c r="K570" s="239"/>
      <c r="L570" s="239"/>
      <c r="M570" s="240"/>
      <c r="N570" s="7"/>
      <c r="O570" s="239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</row>
    <row r="571" spans="1:36" ht="15.75" customHeight="1">
      <c r="A571" s="686"/>
      <c r="B571" s="687"/>
      <c r="C571" s="243"/>
      <c r="D571" s="244"/>
      <c r="E571" s="688"/>
      <c r="F571" s="688"/>
      <c r="G571" s="688"/>
      <c r="H571" s="689"/>
      <c r="I571" s="7"/>
      <c r="J571" s="244"/>
      <c r="K571" s="239"/>
      <c r="L571" s="239"/>
      <c r="M571" s="240"/>
      <c r="N571" s="7"/>
      <c r="O571" s="239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</row>
    <row r="572" spans="1:36" ht="15.75" customHeight="1">
      <c r="A572" s="686"/>
      <c r="B572" s="687"/>
      <c r="C572" s="243"/>
      <c r="D572" s="244"/>
      <c r="E572" s="688"/>
      <c r="F572" s="688"/>
      <c r="G572" s="688"/>
      <c r="H572" s="689"/>
      <c r="I572" s="7"/>
      <c r="J572" s="244"/>
      <c r="K572" s="239"/>
      <c r="L572" s="239"/>
      <c r="M572" s="240"/>
      <c r="N572" s="7"/>
      <c r="O572" s="239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</row>
    <row r="573" spans="1:36" ht="15.75" customHeight="1">
      <c r="A573" s="686"/>
      <c r="B573" s="687"/>
      <c r="C573" s="243"/>
      <c r="D573" s="244"/>
      <c r="E573" s="688"/>
      <c r="F573" s="688"/>
      <c r="G573" s="688"/>
      <c r="H573" s="689"/>
      <c r="I573" s="7"/>
      <c r="J573" s="244"/>
      <c r="K573" s="239"/>
      <c r="L573" s="239"/>
      <c r="M573" s="240"/>
      <c r="N573" s="7"/>
      <c r="O573" s="239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</row>
    <row r="574" spans="1:36" ht="15.75" customHeight="1">
      <c r="A574" s="686"/>
      <c r="B574" s="687"/>
      <c r="C574" s="243"/>
      <c r="D574" s="244"/>
      <c r="E574" s="688"/>
      <c r="F574" s="688"/>
      <c r="G574" s="688"/>
      <c r="H574" s="689"/>
      <c r="I574" s="7"/>
      <c r="J574" s="244"/>
      <c r="K574" s="239"/>
      <c r="L574" s="239"/>
      <c r="M574" s="240"/>
      <c r="N574" s="7"/>
      <c r="O574" s="239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</row>
    <row r="575" spans="1:36" ht="15.75" customHeight="1">
      <c r="A575" s="686"/>
      <c r="B575" s="687"/>
      <c r="C575" s="243"/>
      <c r="D575" s="244"/>
      <c r="E575" s="688"/>
      <c r="F575" s="688"/>
      <c r="G575" s="688"/>
      <c r="H575" s="689"/>
      <c r="I575" s="7"/>
      <c r="J575" s="244"/>
      <c r="K575" s="239"/>
      <c r="L575" s="239"/>
      <c r="M575" s="240"/>
      <c r="N575" s="7"/>
      <c r="O575" s="239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</row>
    <row r="576" spans="1:36" ht="15.75" customHeight="1">
      <c r="A576" s="686"/>
      <c r="B576" s="687"/>
      <c r="C576" s="243"/>
      <c r="D576" s="244"/>
      <c r="E576" s="688"/>
      <c r="F576" s="688"/>
      <c r="G576" s="688"/>
      <c r="H576" s="689"/>
      <c r="I576" s="7"/>
      <c r="J576" s="244"/>
      <c r="K576" s="239"/>
      <c r="L576" s="239"/>
      <c r="M576" s="240"/>
      <c r="N576" s="7"/>
      <c r="O576" s="239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</row>
    <row r="577" spans="1:36" ht="15.75" customHeight="1">
      <c r="A577" s="686"/>
      <c r="B577" s="687"/>
      <c r="C577" s="243"/>
      <c r="D577" s="244"/>
      <c r="E577" s="688"/>
      <c r="F577" s="688"/>
      <c r="G577" s="688"/>
      <c r="H577" s="689"/>
      <c r="I577" s="7"/>
      <c r="J577" s="244"/>
      <c r="K577" s="239"/>
      <c r="L577" s="239"/>
      <c r="M577" s="240"/>
      <c r="N577" s="7"/>
      <c r="O577" s="239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</row>
    <row r="578" spans="1:36" ht="15.75" customHeight="1">
      <c r="A578" s="686"/>
      <c r="B578" s="687"/>
      <c r="C578" s="243"/>
      <c r="D578" s="244"/>
      <c r="E578" s="688"/>
      <c r="F578" s="688"/>
      <c r="G578" s="688"/>
      <c r="H578" s="689"/>
      <c r="I578" s="7"/>
      <c r="J578" s="244"/>
      <c r="K578" s="239"/>
      <c r="L578" s="239"/>
      <c r="M578" s="240"/>
      <c r="N578" s="7"/>
      <c r="O578" s="239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</row>
    <row r="579" spans="1:36" ht="15.75" customHeight="1">
      <c r="A579" s="686"/>
      <c r="B579" s="687"/>
      <c r="C579" s="243"/>
      <c r="D579" s="244"/>
      <c r="E579" s="688"/>
      <c r="F579" s="688"/>
      <c r="G579" s="688"/>
      <c r="H579" s="689"/>
      <c r="I579" s="7"/>
      <c r="J579" s="244"/>
      <c r="K579" s="239"/>
      <c r="L579" s="239"/>
      <c r="M579" s="240"/>
      <c r="N579" s="7"/>
      <c r="O579" s="239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</row>
    <row r="580" spans="1:36" ht="15.75" customHeight="1">
      <c r="A580" s="686"/>
      <c r="B580" s="687"/>
      <c r="C580" s="243"/>
      <c r="D580" s="244"/>
      <c r="E580" s="688"/>
      <c r="F580" s="688"/>
      <c r="G580" s="688"/>
      <c r="H580" s="689"/>
      <c r="I580" s="7"/>
      <c r="J580" s="244"/>
      <c r="K580" s="239"/>
      <c r="L580" s="239"/>
      <c r="M580" s="240"/>
      <c r="N580" s="7"/>
      <c r="O580" s="239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</row>
    <row r="581" spans="1:36" ht="15.75" customHeight="1">
      <c r="A581" s="686"/>
      <c r="B581" s="687"/>
      <c r="C581" s="243"/>
      <c r="D581" s="244"/>
      <c r="E581" s="688"/>
      <c r="F581" s="688"/>
      <c r="G581" s="688"/>
      <c r="H581" s="689"/>
      <c r="I581" s="7"/>
      <c r="J581" s="244"/>
      <c r="K581" s="239"/>
      <c r="L581" s="239"/>
      <c r="M581" s="240"/>
      <c r="N581" s="7"/>
      <c r="O581" s="239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</row>
    <row r="582" spans="1:36" ht="15.75" customHeight="1">
      <c r="A582" s="686"/>
      <c r="B582" s="687"/>
      <c r="C582" s="243"/>
      <c r="D582" s="244"/>
      <c r="E582" s="688"/>
      <c r="F582" s="688"/>
      <c r="G582" s="688"/>
      <c r="H582" s="689"/>
      <c r="I582" s="7"/>
      <c r="J582" s="244"/>
      <c r="K582" s="239"/>
      <c r="L582" s="239"/>
      <c r="M582" s="240"/>
      <c r="N582" s="7"/>
      <c r="O582" s="239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</row>
    <row r="583" spans="1:36" ht="15.75" customHeight="1">
      <c r="A583" s="686"/>
      <c r="B583" s="687"/>
      <c r="C583" s="243"/>
      <c r="D583" s="244"/>
      <c r="E583" s="688"/>
      <c r="F583" s="688"/>
      <c r="G583" s="688"/>
      <c r="H583" s="689"/>
      <c r="I583" s="7"/>
      <c r="J583" s="244"/>
      <c r="K583" s="239"/>
      <c r="L583" s="239"/>
      <c r="M583" s="240"/>
      <c r="N583" s="7"/>
      <c r="O583" s="239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</row>
    <row r="584" spans="1:36" ht="15.75" customHeight="1">
      <c r="A584" s="686"/>
      <c r="B584" s="687"/>
      <c r="C584" s="243"/>
      <c r="D584" s="244"/>
      <c r="E584" s="688"/>
      <c r="F584" s="688"/>
      <c r="G584" s="688"/>
      <c r="H584" s="689"/>
      <c r="I584" s="7"/>
      <c r="J584" s="244"/>
      <c r="K584" s="239"/>
      <c r="L584" s="239"/>
      <c r="M584" s="240"/>
      <c r="N584" s="7"/>
      <c r="O584" s="239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</row>
    <row r="585" spans="1:36" ht="15.75" customHeight="1">
      <c r="A585" s="686"/>
      <c r="B585" s="687"/>
      <c r="C585" s="243"/>
      <c r="D585" s="244"/>
      <c r="E585" s="688"/>
      <c r="F585" s="688"/>
      <c r="G585" s="688"/>
      <c r="H585" s="689"/>
      <c r="I585" s="7"/>
      <c r="J585" s="244"/>
      <c r="K585" s="239"/>
      <c r="L585" s="239"/>
      <c r="M585" s="240"/>
      <c r="N585" s="7"/>
      <c r="O585" s="239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</row>
    <row r="586" spans="1:36" ht="15.75" customHeight="1">
      <c r="A586" s="686"/>
      <c r="B586" s="687"/>
      <c r="C586" s="243"/>
      <c r="D586" s="244"/>
      <c r="E586" s="688"/>
      <c r="F586" s="688"/>
      <c r="G586" s="688"/>
      <c r="H586" s="689"/>
      <c r="I586" s="7"/>
      <c r="J586" s="244"/>
      <c r="K586" s="239"/>
      <c r="L586" s="239"/>
      <c r="M586" s="240"/>
      <c r="N586" s="7"/>
      <c r="O586" s="239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</row>
    <row r="587" spans="1:36" ht="15.75" customHeight="1">
      <c r="A587" s="686"/>
      <c r="B587" s="687"/>
      <c r="C587" s="243"/>
      <c r="D587" s="244"/>
      <c r="E587" s="688"/>
      <c r="F587" s="688"/>
      <c r="G587" s="688"/>
      <c r="H587" s="689"/>
      <c r="I587" s="7"/>
      <c r="J587" s="244"/>
      <c r="K587" s="239"/>
      <c r="L587" s="239"/>
      <c r="M587" s="240"/>
      <c r="N587" s="7"/>
      <c r="O587" s="239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</row>
    <row r="588" spans="1:36" ht="15.75" customHeight="1">
      <c r="A588" s="686"/>
      <c r="B588" s="687"/>
      <c r="C588" s="243"/>
      <c r="D588" s="244"/>
      <c r="E588" s="688"/>
      <c r="F588" s="688"/>
      <c r="G588" s="688"/>
      <c r="H588" s="689"/>
      <c r="I588" s="7"/>
      <c r="J588" s="244"/>
      <c r="K588" s="239"/>
      <c r="L588" s="239"/>
      <c r="M588" s="240"/>
      <c r="N588" s="7"/>
      <c r="O588" s="239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</row>
    <row r="589" spans="1:36" ht="15.75" customHeight="1">
      <c r="A589" s="686"/>
      <c r="B589" s="687"/>
      <c r="C589" s="243"/>
      <c r="D589" s="244"/>
      <c r="E589" s="688"/>
      <c r="F589" s="688"/>
      <c r="G589" s="688"/>
      <c r="H589" s="689"/>
      <c r="I589" s="7"/>
      <c r="J589" s="244"/>
      <c r="K589" s="239"/>
      <c r="L589" s="239"/>
      <c r="M589" s="240"/>
      <c r="N589" s="7"/>
      <c r="O589" s="239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</row>
    <row r="590" spans="1:36" ht="15.75" customHeight="1">
      <c r="A590" s="686"/>
      <c r="B590" s="687"/>
      <c r="C590" s="243"/>
      <c r="D590" s="244"/>
      <c r="E590" s="688"/>
      <c r="F590" s="688"/>
      <c r="G590" s="688"/>
      <c r="H590" s="689"/>
      <c r="I590" s="7"/>
      <c r="J590" s="244"/>
      <c r="K590" s="239"/>
      <c r="L590" s="239"/>
      <c r="M590" s="240"/>
      <c r="N590" s="7"/>
      <c r="O590" s="239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</row>
    <row r="591" spans="1:36" ht="15.75" customHeight="1">
      <c r="A591" s="686"/>
      <c r="B591" s="687"/>
      <c r="C591" s="243"/>
      <c r="D591" s="244"/>
      <c r="E591" s="688"/>
      <c r="F591" s="688"/>
      <c r="G591" s="688"/>
      <c r="H591" s="689"/>
      <c r="I591" s="7"/>
      <c r="J591" s="244"/>
      <c r="K591" s="239"/>
      <c r="L591" s="239"/>
      <c r="M591" s="240"/>
      <c r="N591" s="7"/>
      <c r="O591" s="239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</row>
    <row r="592" spans="1:36" ht="15.75" customHeight="1">
      <c r="A592" s="686"/>
      <c r="B592" s="687"/>
      <c r="C592" s="243"/>
      <c r="D592" s="244"/>
      <c r="E592" s="688"/>
      <c r="F592" s="688"/>
      <c r="G592" s="688"/>
      <c r="H592" s="689"/>
      <c r="I592" s="7"/>
      <c r="J592" s="244"/>
      <c r="K592" s="239"/>
      <c r="L592" s="239"/>
      <c r="M592" s="240"/>
      <c r="N592" s="7"/>
      <c r="O592" s="239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</row>
    <row r="593" spans="1:36" ht="15.75" customHeight="1">
      <c r="A593" s="686"/>
      <c r="B593" s="687"/>
      <c r="C593" s="243"/>
      <c r="D593" s="244"/>
      <c r="E593" s="688"/>
      <c r="F593" s="688"/>
      <c r="G593" s="688"/>
      <c r="H593" s="689"/>
      <c r="I593" s="7"/>
      <c r="J593" s="244"/>
      <c r="K593" s="239"/>
      <c r="L593" s="239"/>
      <c r="M593" s="240"/>
      <c r="N593" s="7"/>
      <c r="O593" s="239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</row>
    <row r="594" spans="1:36" ht="15.75" customHeight="1">
      <c r="A594" s="686"/>
      <c r="B594" s="687"/>
      <c r="C594" s="243"/>
      <c r="D594" s="244"/>
      <c r="E594" s="688"/>
      <c r="F594" s="688"/>
      <c r="G594" s="688"/>
      <c r="H594" s="689"/>
      <c r="I594" s="7"/>
      <c r="J594" s="244"/>
      <c r="K594" s="239"/>
      <c r="L594" s="239"/>
      <c r="M594" s="240"/>
      <c r="N594" s="7"/>
      <c r="O594" s="239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</row>
    <row r="595" spans="1:36" ht="15.75" customHeight="1">
      <c r="A595" s="686"/>
      <c r="B595" s="687"/>
      <c r="C595" s="243"/>
      <c r="D595" s="244"/>
      <c r="E595" s="688"/>
      <c r="F595" s="688"/>
      <c r="G595" s="688"/>
      <c r="H595" s="689"/>
      <c r="I595" s="7"/>
      <c r="J595" s="244"/>
      <c r="K595" s="239"/>
      <c r="L595" s="239"/>
      <c r="M595" s="240"/>
      <c r="N595" s="7"/>
      <c r="O595" s="239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</row>
    <row r="596" spans="1:36" ht="15.75" customHeight="1">
      <c r="A596" s="686"/>
      <c r="B596" s="687"/>
      <c r="C596" s="243"/>
      <c r="D596" s="244"/>
      <c r="E596" s="688"/>
      <c r="F596" s="688"/>
      <c r="G596" s="688"/>
      <c r="H596" s="689"/>
      <c r="I596" s="7"/>
      <c r="J596" s="244"/>
      <c r="K596" s="239"/>
      <c r="L596" s="239"/>
      <c r="M596" s="240"/>
      <c r="N596" s="7"/>
      <c r="O596" s="239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</row>
    <row r="597" spans="1:36" ht="15.75" customHeight="1">
      <c r="A597" s="686"/>
      <c r="B597" s="687"/>
      <c r="C597" s="243"/>
      <c r="D597" s="244"/>
      <c r="E597" s="688"/>
      <c r="F597" s="688"/>
      <c r="G597" s="688"/>
      <c r="H597" s="689"/>
      <c r="I597" s="7"/>
      <c r="J597" s="244"/>
      <c r="K597" s="239"/>
      <c r="L597" s="239"/>
      <c r="M597" s="240"/>
      <c r="N597" s="7"/>
      <c r="O597" s="239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</row>
    <row r="598" spans="1:36" ht="15.75" customHeight="1">
      <c r="A598" s="686"/>
      <c r="B598" s="687"/>
      <c r="C598" s="243"/>
      <c r="D598" s="244"/>
      <c r="E598" s="688"/>
      <c r="F598" s="688"/>
      <c r="G598" s="688"/>
      <c r="H598" s="689"/>
      <c r="I598" s="7"/>
      <c r="J598" s="244"/>
      <c r="K598" s="239"/>
      <c r="L598" s="239"/>
      <c r="M598" s="240"/>
      <c r="N598" s="7"/>
      <c r="O598" s="239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</row>
    <row r="599" spans="1:36" ht="15.75" customHeight="1">
      <c r="A599" s="686"/>
      <c r="B599" s="687"/>
      <c r="C599" s="243"/>
      <c r="D599" s="244"/>
      <c r="E599" s="688"/>
      <c r="F599" s="688"/>
      <c r="G599" s="688"/>
      <c r="H599" s="689"/>
      <c r="I599" s="7"/>
      <c r="J599" s="244"/>
      <c r="K599" s="239"/>
      <c r="L599" s="239"/>
      <c r="M599" s="240"/>
      <c r="N599" s="7"/>
      <c r="O599" s="239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</row>
    <row r="600" spans="1:36" ht="15.75" customHeight="1">
      <c r="A600" s="686"/>
      <c r="B600" s="687"/>
      <c r="C600" s="243"/>
      <c r="D600" s="244"/>
      <c r="E600" s="688"/>
      <c r="F600" s="688"/>
      <c r="G600" s="688"/>
      <c r="H600" s="689"/>
      <c r="I600" s="7"/>
      <c r="J600" s="244"/>
      <c r="K600" s="239"/>
      <c r="L600" s="239"/>
      <c r="M600" s="240"/>
      <c r="N600" s="7"/>
      <c r="O600" s="239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</row>
    <row r="601" spans="1:36" ht="15.75" customHeight="1">
      <c r="A601" s="686"/>
      <c r="B601" s="687"/>
      <c r="C601" s="243"/>
      <c r="D601" s="244"/>
      <c r="E601" s="688"/>
      <c r="F601" s="688"/>
      <c r="G601" s="688"/>
      <c r="H601" s="689"/>
      <c r="I601" s="7"/>
      <c r="J601" s="244"/>
      <c r="K601" s="239"/>
      <c r="L601" s="239"/>
      <c r="M601" s="240"/>
      <c r="N601" s="7"/>
      <c r="O601" s="239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</row>
    <row r="602" spans="1:36" ht="15.75" customHeight="1">
      <c r="A602" s="686"/>
      <c r="B602" s="687"/>
      <c r="C602" s="243"/>
      <c r="D602" s="244"/>
      <c r="E602" s="688"/>
      <c r="F602" s="688"/>
      <c r="G602" s="688"/>
      <c r="H602" s="689"/>
      <c r="I602" s="7"/>
      <c r="J602" s="244"/>
      <c r="K602" s="239"/>
      <c r="L602" s="239"/>
      <c r="M602" s="240"/>
      <c r="N602" s="7"/>
      <c r="O602" s="239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</row>
    <row r="603" spans="1:36" ht="15.75" customHeight="1">
      <c r="A603" s="686"/>
      <c r="B603" s="687"/>
      <c r="C603" s="243"/>
      <c r="D603" s="244"/>
      <c r="E603" s="688"/>
      <c r="F603" s="688"/>
      <c r="G603" s="688"/>
      <c r="H603" s="689"/>
      <c r="I603" s="7"/>
      <c r="J603" s="244"/>
      <c r="K603" s="239"/>
      <c r="L603" s="239"/>
      <c r="M603" s="240"/>
      <c r="N603" s="7"/>
      <c r="O603" s="239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</row>
    <row r="604" spans="1:36" ht="15.75" customHeight="1">
      <c r="A604" s="686"/>
      <c r="B604" s="687"/>
      <c r="C604" s="243"/>
      <c r="D604" s="244"/>
      <c r="E604" s="688"/>
      <c r="F604" s="688"/>
      <c r="G604" s="688"/>
      <c r="H604" s="689"/>
      <c r="I604" s="7"/>
      <c r="J604" s="244"/>
      <c r="K604" s="239"/>
      <c r="L604" s="239"/>
      <c r="M604" s="240"/>
      <c r="N604" s="7"/>
      <c r="O604" s="239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</row>
    <row r="605" spans="1:36" ht="15.75" customHeight="1">
      <c r="A605" s="686"/>
      <c r="B605" s="687"/>
      <c r="C605" s="243"/>
      <c r="D605" s="244"/>
      <c r="E605" s="688"/>
      <c r="F605" s="688"/>
      <c r="G605" s="688"/>
      <c r="H605" s="689"/>
      <c r="I605" s="7"/>
      <c r="J605" s="244"/>
      <c r="K605" s="239"/>
      <c r="L605" s="239"/>
      <c r="M605" s="240"/>
      <c r="N605" s="7"/>
      <c r="O605" s="239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</row>
    <row r="606" spans="1:36" ht="15.75" customHeight="1">
      <c r="A606" s="686"/>
      <c r="B606" s="687"/>
      <c r="C606" s="243"/>
      <c r="D606" s="244"/>
      <c r="E606" s="688"/>
      <c r="F606" s="688"/>
      <c r="G606" s="688"/>
      <c r="H606" s="689"/>
      <c r="I606" s="7"/>
      <c r="J606" s="244"/>
      <c r="K606" s="239"/>
      <c r="L606" s="239"/>
      <c r="M606" s="240"/>
      <c r="N606" s="7"/>
      <c r="O606" s="239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</row>
    <row r="607" spans="1:36" ht="15.75" customHeight="1">
      <c r="A607" s="686"/>
      <c r="B607" s="687"/>
      <c r="C607" s="243"/>
      <c r="D607" s="244"/>
      <c r="E607" s="688"/>
      <c r="F607" s="688"/>
      <c r="G607" s="688"/>
      <c r="H607" s="689"/>
      <c r="I607" s="7"/>
      <c r="J607" s="244"/>
      <c r="K607" s="239"/>
      <c r="L607" s="239"/>
      <c r="M607" s="240"/>
      <c r="N607" s="7"/>
      <c r="O607" s="239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</row>
    <row r="608" spans="1:36" ht="15.75" customHeight="1">
      <c r="A608" s="686"/>
      <c r="B608" s="687"/>
      <c r="C608" s="243"/>
      <c r="D608" s="244"/>
      <c r="E608" s="688"/>
      <c r="F608" s="688"/>
      <c r="G608" s="688"/>
      <c r="H608" s="689"/>
      <c r="I608" s="7"/>
      <c r="J608" s="244"/>
      <c r="K608" s="239"/>
      <c r="L608" s="239"/>
      <c r="M608" s="240"/>
      <c r="N608" s="7"/>
      <c r="O608" s="239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</row>
    <row r="609" spans="1:36" ht="15.75" customHeight="1">
      <c r="A609" s="686"/>
      <c r="B609" s="687"/>
      <c r="C609" s="243"/>
      <c r="D609" s="244"/>
      <c r="E609" s="688"/>
      <c r="F609" s="688"/>
      <c r="G609" s="688"/>
      <c r="H609" s="689"/>
      <c r="I609" s="7"/>
      <c r="J609" s="244"/>
      <c r="K609" s="239"/>
      <c r="L609" s="239"/>
      <c r="M609" s="240"/>
      <c r="N609" s="7"/>
      <c r="O609" s="239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</row>
    <row r="610" spans="1:36" ht="15.75" customHeight="1">
      <c r="A610" s="686"/>
      <c r="B610" s="687"/>
      <c r="C610" s="243"/>
      <c r="D610" s="244"/>
      <c r="E610" s="688"/>
      <c r="F610" s="688"/>
      <c r="G610" s="688"/>
      <c r="H610" s="689"/>
      <c r="I610" s="7"/>
      <c r="J610" s="244"/>
      <c r="K610" s="239"/>
      <c r="L610" s="239"/>
      <c r="M610" s="240"/>
      <c r="N610" s="7"/>
      <c r="O610" s="239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</row>
    <row r="611" spans="1:36" ht="15.75" customHeight="1">
      <c r="A611" s="686"/>
      <c r="B611" s="687"/>
      <c r="C611" s="243"/>
      <c r="D611" s="244"/>
      <c r="E611" s="688"/>
      <c r="F611" s="688"/>
      <c r="G611" s="688"/>
      <c r="H611" s="689"/>
      <c r="I611" s="7"/>
      <c r="J611" s="244"/>
      <c r="K611" s="239"/>
      <c r="L611" s="239"/>
      <c r="M611" s="240"/>
      <c r="N611" s="7"/>
      <c r="O611" s="239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</row>
    <row r="612" spans="1:36" ht="15.75" customHeight="1">
      <c r="A612" s="686"/>
      <c r="B612" s="687"/>
      <c r="C612" s="243"/>
      <c r="D612" s="244"/>
      <c r="E612" s="688"/>
      <c r="F612" s="688"/>
      <c r="G612" s="688"/>
      <c r="H612" s="689"/>
      <c r="I612" s="7"/>
      <c r="J612" s="244"/>
      <c r="K612" s="239"/>
      <c r="L612" s="239"/>
      <c r="M612" s="240"/>
      <c r="N612" s="7"/>
      <c r="O612" s="239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</row>
    <row r="613" spans="1:36" ht="15.75" customHeight="1">
      <c r="A613" s="686"/>
      <c r="B613" s="687"/>
      <c r="C613" s="243"/>
      <c r="D613" s="244"/>
      <c r="E613" s="688"/>
      <c r="F613" s="688"/>
      <c r="G613" s="688"/>
      <c r="H613" s="689"/>
      <c r="I613" s="7"/>
      <c r="J613" s="244"/>
      <c r="K613" s="239"/>
      <c r="L613" s="239"/>
      <c r="M613" s="240"/>
      <c r="N613" s="7"/>
      <c r="O613" s="239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</row>
    <row r="614" spans="1:36" ht="15.75" customHeight="1">
      <c r="A614" s="686"/>
      <c r="B614" s="687"/>
      <c r="C614" s="243"/>
      <c r="D614" s="244"/>
      <c r="E614" s="688"/>
      <c r="F614" s="688"/>
      <c r="G614" s="688"/>
      <c r="H614" s="689"/>
      <c r="I614" s="7"/>
      <c r="J614" s="244"/>
      <c r="K614" s="239"/>
      <c r="L614" s="239"/>
      <c r="M614" s="240"/>
      <c r="N614" s="7"/>
      <c r="O614" s="239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</row>
    <row r="615" spans="1:36" ht="15.75" customHeight="1">
      <c r="A615" s="686"/>
      <c r="B615" s="687"/>
      <c r="C615" s="243"/>
      <c r="D615" s="244"/>
      <c r="E615" s="688"/>
      <c r="F615" s="688"/>
      <c r="G615" s="688"/>
      <c r="H615" s="689"/>
      <c r="I615" s="7"/>
      <c r="J615" s="244"/>
      <c r="K615" s="239"/>
      <c r="L615" s="239"/>
      <c r="M615" s="240"/>
      <c r="N615" s="7"/>
      <c r="O615" s="239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</row>
    <row r="616" spans="1:36" ht="15.75" customHeight="1">
      <c r="A616" s="686"/>
      <c r="B616" s="687"/>
      <c r="C616" s="243"/>
      <c r="D616" s="244"/>
      <c r="E616" s="688"/>
      <c r="F616" s="688"/>
      <c r="G616" s="688"/>
      <c r="H616" s="689"/>
      <c r="I616" s="7"/>
      <c r="J616" s="244"/>
      <c r="K616" s="239"/>
      <c r="L616" s="239"/>
      <c r="M616" s="240"/>
      <c r="N616" s="7"/>
      <c r="O616" s="239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</row>
    <row r="617" spans="1:36" ht="15.75" customHeight="1">
      <c r="A617" s="686"/>
      <c r="B617" s="687"/>
      <c r="C617" s="243"/>
      <c r="D617" s="244"/>
      <c r="E617" s="688"/>
      <c r="F617" s="688"/>
      <c r="G617" s="688"/>
      <c r="H617" s="689"/>
      <c r="I617" s="7"/>
      <c r="J617" s="244"/>
      <c r="K617" s="239"/>
      <c r="L617" s="239"/>
      <c r="M617" s="240"/>
      <c r="N617" s="7"/>
      <c r="O617" s="239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</row>
    <row r="618" spans="1:36" ht="15.75" customHeight="1">
      <c r="A618" s="686"/>
      <c r="B618" s="687"/>
      <c r="C618" s="243"/>
      <c r="D618" s="244"/>
      <c r="E618" s="688"/>
      <c r="F618" s="688"/>
      <c r="G618" s="688"/>
      <c r="H618" s="689"/>
      <c r="I618" s="7"/>
      <c r="J618" s="244"/>
      <c r="K618" s="239"/>
      <c r="L618" s="239"/>
      <c r="M618" s="240"/>
      <c r="N618" s="7"/>
      <c r="O618" s="239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</row>
    <row r="619" spans="1:36" ht="15.75" customHeight="1">
      <c r="A619" s="686"/>
      <c r="B619" s="687"/>
      <c r="C619" s="243"/>
      <c r="D619" s="244"/>
      <c r="E619" s="688"/>
      <c r="F619" s="688"/>
      <c r="G619" s="688"/>
      <c r="H619" s="689"/>
      <c r="I619" s="7"/>
      <c r="J619" s="244"/>
      <c r="K619" s="239"/>
      <c r="L619" s="239"/>
      <c r="M619" s="240"/>
      <c r="N619" s="7"/>
      <c r="O619" s="239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</row>
    <row r="620" spans="1:36" ht="15.75" customHeight="1">
      <c r="A620" s="686"/>
      <c r="B620" s="687"/>
      <c r="C620" s="243"/>
      <c r="D620" s="244"/>
      <c r="E620" s="688"/>
      <c r="F620" s="688"/>
      <c r="G620" s="688"/>
      <c r="H620" s="689"/>
      <c r="I620" s="7"/>
      <c r="J620" s="244"/>
      <c r="K620" s="239"/>
      <c r="L620" s="239"/>
      <c r="M620" s="240"/>
      <c r="N620" s="7"/>
      <c r="O620" s="239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</row>
    <row r="621" spans="1:36" ht="15.75" customHeight="1">
      <c r="A621" s="686"/>
      <c r="B621" s="687"/>
      <c r="C621" s="243"/>
      <c r="D621" s="244"/>
      <c r="E621" s="688"/>
      <c r="F621" s="688"/>
      <c r="G621" s="688"/>
      <c r="H621" s="689"/>
      <c r="I621" s="7"/>
      <c r="J621" s="244"/>
      <c r="K621" s="239"/>
      <c r="L621" s="239"/>
      <c r="M621" s="240"/>
      <c r="N621" s="7"/>
      <c r="O621" s="239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</row>
    <row r="622" spans="1:36" ht="15.75" customHeight="1">
      <c r="A622" s="686"/>
      <c r="B622" s="687"/>
      <c r="C622" s="243"/>
      <c r="D622" s="244"/>
      <c r="E622" s="688"/>
      <c r="F622" s="688"/>
      <c r="G622" s="688"/>
      <c r="H622" s="689"/>
      <c r="I622" s="7"/>
      <c r="J622" s="244"/>
      <c r="K622" s="239"/>
      <c r="L622" s="239"/>
      <c r="M622" s="240"/>
      <c r="N622" s="7"/>
      <c r="O622" s="239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</row>
    <row r="623" spans="1:36" ht="15.75" customHeight="1">
      <c r="A623" s="686"/>
      <c r="B623" s="687"/>
      <c r="C623" s="243"/>
      <c r="D623" s="244"/>
      <c r="E623" s="688"/>
      <c r="F623" s="688"/>
      <c r="G623" s="688"/>
      <c r="H623" s="689"/>
      <c r="I623" s="7"/>
      <c r="J623" s="244"/>
      <c r="K623" s="239"/>
      <c r="L623" s="239"/>
      <c r="M623" s="240"/>
      <c r="N623" s="7"/>
      <c r="O623" s="239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</row>
    <row r="624" spans="1:36" ht="15.75" customHeight="1">
      <c r="A624" s="686"/>
      <c r="B624" s="687"/>
      <c r="C624" s="243"/>
      <c r="D624" s="244"/>
      <c r="E624" s="688"/>
      <c r="F624" s="688"/>
      <c r="G624" s="688"/>
      <c r="H624" s="689"/>
      <c r="I624" s="7"/>
      <c r="J624" s="244"/>
      <c r="K624" s="239"/>
      <c r="L624" s="239"/>
      <c r="M624" s="240"/>
      <c r="N624" s="7"/>
      <c r="O624" s="239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</row>
    <row r="625" spans="1:36" ht="15.75" customHeight="1">
      <c r="A625" s="686"/>
      <c r="B625" s="687"/>
      <c r="C625" s="243"/>
      <c r="D625" s="244"/>
      <c r="E625" s="688"/>
      <c r="F625" s="688"/>
      <c r="G625" s="688"/>
      <c r="H625" s="689"/>
      <c r="I625" s="7"/>
      <c r="J625" s="244"/>
      <c r="K625" s="239"/>
      <c r="L625" s="239"/>
      <c r="M625" s="240"/>
      <c r="N625" s="7"/>
      <c r="O625" s="239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</row>
    <row r="626" spans="1:36" ht="15.75" customHeight="1">
      <c r="A626" s="686"/>
      <c r="B626" s="687"/>
      <c r="C626" s="243"/>
      <c r="D626" s="244"/>
      <c r="E626" s="688"/>
      <c r="F626" s="688"/>
      <c r="G626" s="688"/>
      <c r="H626" s="689"/>
      <c r="I626" s="7"/>
      <c r="J626" s="244"/>
      <c r="K626" s="239"/>
      <c r="L626" s="239"/>
      <c r="M626" s="240"/>
      <c r="N626" s="7"/>
      <c r="O626" s="239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</row>
    <row r="627" spans="1:36" ht="15.75" customHeight="1">
      <c r="A627" s="686"/>
      <c r="B627" s="687"/>
      <c r="C627" s="243"/>
      <c r="D627" s="244"/>
      <c r="E627" s="688"/>
      <c r="F627" s="688"/>
      <c r="G627" s="688"/>
      <c r="H627" s="689"/>
      <c r="I627" s="7"/>
      <c r="J627" s="244"/>
      <c r="K627" s="239"/>
      <c r="L627" s="239"/>
      <c r="M627" s="240"/>
      <c r="N627" s="7"/>
      <c r="O627" s="239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</row>
    <row r="628" spans="1:36" ht="15.75" customHeight="1">
      <c r="A628" s="686"/>
      <c r="B628" s="687"/>
      <c r="C628" s="243"/>
      <c r="D628" s="244"/>
      <c r="E628" s="688"/>
      <c r="F628" s="688"/>
      <c r="G628" s="688"/>
      <c r="H628" s="689"/>
      <c r="I628" s="7"/>
      <c r="J628" s="244"/>
      <c r="K628" s="239"/>
      <c r="L628" s="239"/>
      <c r="M628" s="240"/>
      <c r="N628" s="7"/>
      <c r="O628" s="239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</row>
    <row r="629" spans="1:36" ht="15.75" customHeight="1">
      <c r="A629" s="686"/>
      <c r="B629" s="687"/>
      <c r="C629" s="243"/>
      <c r="D629" s="244"/>
      <c r="E629" s="688"/>
      <c r="F629" s="688"/>
      <c r="G629" s="688"/>
      <c r="H629" s="689"/>
      <c r="I629" s="7"/>
      <c r="J629" s="244"/>
      <c r="K629" s="239"/>
      <c r="L629" s="239"/>
      <c r="M629" s="240"/>
      <c r="N629" s="7"/>
      <c r="O629" s="239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</row>
    <row r="630" spans="1:36" ht="15.75" customHeight="1">
      <c r="A630" s="686"/>
      <c r="B630" s="687"/>
      <c r="C630" s="243"/>
      <c r="D630" s="244"/>
      <c r="E630" s="688"/>
      <c r="F630" s="688"/>
      <c r="G630" s="688"/>
      <c r="H630" s="689"/>
      <c r="I630" s="7"/>
      <c r="J630" s="244"/>
      <c r="K630" s="239"/>
      <c r="L630" s="239"/>
      <c r="M630" s="240"/>
      <c r="N630" s="7"/>
      <c r="O630" s="239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</row>
    <row r="631" spans="1:36" ht="15.75" customHeight="1">
      <c r="A631" s="686"/>
      <c r="B631" s="687"/>
      <c r="C631" s="243"/>
      <c r="D631" s="244"/>
      <c r="E631" s="688"/>
      <c r="F631" s="688"/>
      <c r="G631" s="688"/>
      <c r="H631" s="689"/>
      <c r="I631" s="7"/>
      <c r="J631" s="244"/>
      <c r="K631" s="239"/>
      <c r="L631" s="239"/>
      <c r="M631" s="240"/>
      <c r="N631" s="7"/>
      <c r="O631" s="239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</row>
    <row r="632" spans="1:36" ht="15.75" customHeight="1">
      <c r="A632" s="686"/>
      <c r="B632" s="687"/>
      <c r="C632" s="243"/>
      <c r="D632" s="244"/>
      <c r="E632" s="688"/>
      <c r="F632" s="688"/>
      <c r="G632" s="688"/>
      <c r="H632" s="689"/>
      <c r="I632" s="7"/>
      <c r="J632" s="244"/>
      <c r="K632" s="239"/>
      <c r="L632" s="239"/>
      <c r="M632" s="240"/>
      <c r="N632" s="7"/>
      <c r="O632" s="239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</row>
    <row r="633" spans="1:36" ht="15.75" customHeight="1">
      <c r="A633" s="686"/>
      <c r="B633" s="687"/>
      <c r="C633" s="243"/>
      <c r="D633" s="244"/>
      <c r="E633" s="688"/>
      <c r="F633" s="688"/>
      <c r="G633" s="688"/>
      <c r="H633" s="689"/>
      <c r="I633" s="7"/>
      <c r="J633" s="244"/>
      <c r="K633" s="239"/>
      <c r="L633" s="239"/>
      <c r="M633" s="240"/>
      <c r="N633" s="7"/>
      <c r="O633" s="239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</row>
    <row r="634" spans="1:36" ht="15.75" customHeight="1">
      <c r="A634" s="686"/>
      <c r="B634" s="687"/>
      <c r="C634" s="243"/>
      <c r="D634" s="244"/>
      <c r="E634" s="688"/>
      <c r="F634" s="688"/>
      <c r="G634" s="688"/>
      <c r="H634" s="689"/>
      <c r="I634" s="7"/>
      <c r="J634" s="244"/>
      <c r="K634" s="239"/>
      <c r="L634" s="239"/>
      <c r="M634" s="240"/>
      <c r="N634" s="7"/>
      <c r="O634" s="239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</row>
    <row r="635" spans="1:36" ht="15.75" customHeight="1">
      <c r="A635" s="686"/>
      <c r="B635" s="687"/>
      <c r="C635" s="243"/>
      <c r="D635" s="244"/>
      <c r="E635" s="688"/>
      <c r="F635" s="688"/>
      <c r="G635" s="688"/>
      <c r="H635" s="689"/>
      <c r="I635" s="7"/>
      <c r="J635" s="244"/>
      <c r="K635" s="239"/>
      <c r="L635" s="239"/>
      <c r="M635" s="240"/>
      <c r="N635" s="7"/>
      <c r="O635" s="239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</row>
    <row r="636" spans="1:36" ht="15.75" customHeight="1">
      <c r="A636" s="686"/>
      <c r="B636" s="687"/>
      <c r="C636" s="243"/>
      <c r="D636" s="244"/>
      <c r="E636" s="688"/>
      <c r="F636" s="688"/>
      <c r="G636" s="688"/>
      <c r="H636" s="689"/>
      <c r="I636" s="7"/>
      <c r="J636" s="244"/>
      <c r="K636" s="239"/>
      <c r="L636" s="239"/>
      <c r="M636" s="240"/>
      <c r="N636" s="7"/>
      <c r="O636" s="239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</row>
    <row r="637" spans="1:36" ht="15.75" customHeight="1">
      <c r="A637" s="686"/>
      <c r="B637" s="687"/>
      <c r="C637" s="243"/>
      <c r="D637" s="244"/>
      <c r="E637" s="688"/>
      <c r="F637" s="688"/>
      <c r="G637" s="688"/>
      <c r="H637" s="689"/>
      <c r="I637" s="7"/>
      <c r="J637" s="244"/>
      <c r="K637" s="239"/>
      <c r="L637" s="239"/>
      <c r="M637" s="240"/>
      <c r="N637" s="7"/>
      <c r="O637" s="239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</row>
    <row r="638" spans="1:36" ht="15.75" customHeight="1">
      <c r="A638" s="686"/>
      <c r="B638" s="687"/>
      <c r="C638" s="243"/>
      <c r="D638" s="244"/>
      <c r="E638" s="688"/>
      <c r="F638" s="688"/>
      <c r="G638" s="688"/>
      <c r="H638" s="689"/>
      <c r="I638" s="7"/>
      <c r="J638" s="244"/>
      <c r="K638" s="239"/>
      <c r="L638" s="239"/>
      <c r="M638" s="167"/>
      <c r="N638" s="7"/>
      <c r="O638" s="16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</row>
    <row r="639" spans="1:36" ht="15.75" customHeight="1">
      <c r="A639" s="686"/>
      <c r="B639" s="687"/>
      <c r="C639" s="243"/>
      <c r="D639" s="244"/>
      <c r="E639" s="688"/>
      <c r="F639" s="688"/>
      <c r="G639" s="688"/>
      <c r="H639" s="689"/>
      <c r="I639" s="7"/>
      <c r="J639" s="244"/>
      <c r="K639" s="239"/>
      <c r="L639" s="239"/>
      <c r="M639" s="167"/>
      <c r="N639" s="7"/>
      <c r="O639" s="16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</row>
    <row r="640" spans="1:36" ht="15.75" customHeight="1">
      <c r="A640" s="686"/>
      <c r="B640" s="687"/>
      <c r="C640" s="243"/>
      <c r="D640" s="244"/>
      <c r="E640" s="688"/>
      <c r="F640" s="688"/>
      <c r="G640" s="688"/>
      <c r="H640" s="689"/>
      <c r="I640" s="7"/>
      <c r="J640" s="244"/>
      <c r="K640" s="239"/>
      <c r="L640" s="239"/>
      <c r="M640" s="167"/>
      <c r="N640" s="7"/>
      <c r="O640" s="16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</row>
    <row r="641" spans="1:36" ht="15.75" customHeight="1">
      <c r="A641" s="686"/>
      <c r="B641" s="687"/>
      <c r="C641" s="243"/>
      <c r="D641" s="244"/>
      <c r="E641" s="688"/>
      <c r="F641" s="688"/>
      <c r="G641" s="688"/>
      <c r="H641" s="689"/>
      <c r="I641" s="7"/>
      <c r="J641" s="244"/>
      <c r="K641" s="239"/>
      <c r="L641" s="239"/>
      <c r="M641" s="167"/>
      <c r="N641" s="7"/>
      <c r="O641" s="16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</row>
    <row r="642" spans="1:36" ht="15.75" customHeight="1">
      <c r="A642" s="686"/>
      <c r="B642" s="687"/>
      <c r="C642" s="243"/>
      <c r="D642" s="244"/>
      <c r="E642" s="688"/>
      <c r="F642" s="688"/>
      <c r="G642" s="688"/>
      <c r="H642" s="689"/>
      <c r="I642" s="7"/>
      <c r="J642" s="244"/>
      <c r="K642" s="239"/>
      <c r="L642" s="239"/>
      <c r="M642" s="167"/>
      <c r="N642" s="7"/>
      <c r="O642" s="16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</row>
    <row r="643" spans="1:36" ht="15.75" customHeight="1">
      <c r="A643" s="686"/>
      <c r="B643" s="687"/>
      <c r="C643" s="243"/>
      <c r="D643" s="244"/>
      <c r="E643" s="688"/>
      <c r="F643" s="688"/>
      <c r="G643" s="688"/>
      <c r="H643" s="689"/>
      <c r="I643" s="7"/>
      <c r="J643" s="244"/>
      <c r="K643" s="239"/>
      <c r="L643" s="239"/>
      <c r="M643" s="167"/>
      <c r="N643" s="7"/>
      <c r="O643" s="16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</row>
    <row r="644" spans="1:36" ht="15.75" customHeight="1">
      <c r="A644" s="686"/>
      <c r="B644" s="687"/>
      <c r="C644" s="243"/>
      <c r="D644" s="244"/>
      <c r="E644" s="688"/>
      <c r="F644" s="688"/>
      <c r="G644" s="688"/>
      <c r="H644" s="689"/>
      <c r="I644" s="7"/>
      <c r="J644" s="244"/>
      <c r="K644" s="239"/>
      <c r="L644" s="239"/>
      <c r="M644" s="167"/>
      <c r="N644" s="7"/>
      <c r="O644" s="16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1:36" ht="15.75" customHeight="1">
      <c r="A645" s="686"/>
      <c r="B645" s="687"/>
      <c r="C645" s="243"/>
      <c r="D645" s="244"/>
      <c r="E645" s="688"/>
      <c r="F645" s="688"/>
      <c r="G645" s="688"/>
      <c r="H645" s="689"/>
      <c r="I645" s="7"/>
      <c r="J645" s="244"/>
      <c r="K645" s="239"/>
      <c r="L645" s="239"/>
      <c r="M645" s="167"/>
      <c r="N645" s="7"/>
      <c r="O645" s="16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</row>
    <row r="646" spans="1:36" ht="15.75" customHeight="1">
      <c r="A646" s="686"/>
      <c r="B646" s="687"/>
      <c r="C646" s="243"/>
      <c r="D646" s="244"/>
      <c r="E646" s="688"/>
      <c r="F646" s="688"/>
      <c r="G646" s="688"/>
      <c r="H646" s="689"/>
      <c r="I646" s="7"/>
      <c r="J646" s="244"/>
      <c r="K646" s="239"/>
      <c r="L646" s="239"/>
      <c r="M646" s="167"/>
      <c r="N646" s="7"/>
      <c r="O646" s="16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</row>
    <row r="647" spans="1:36" ht="15.75" customHeight="1">
      <c r="A647" s="686"/>
      <c r="B647" s="687"/>
      <c r="C647" s="243"/>
      <c r="D647" s="244"/>
      <c r="E647" s="688"/>
      <c r="F647" s="688"/>
      <c r="G647" s="688"/>
      <c r="H647" s="689"/>
      <c r="I647" s="7"/>
      <c r="J647" s="244"/>
      <c r="K647" s="239"/>
      <c r="L647" s="239"/>
      <c r="M647" s="167"/>
      <c r="N647" s="7"/>
      <c r="O647" s="16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</row>
    <row r="648" spans="1:36" ht="15.75" customHeight="1">
      <c r="A648" s="686"/>
      <c r="B648" s="687"/>
      <c r="C648" s="243"/>
      <c r="D648" s="244"/>
      <c r="E648" s="688"/>
      <c r="F648" s="688"/>
      <c r="G648" s="688"/>
      <c r="H648" s="689"/>
      <c r="I648" s="7"/>
      <c r="J648" s="244"/>
      <c r="K648" s="239"/>
      <c r="L648" s="7"/>
      <c r="M648" s="16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</row>
    <row r="649" spans="1:36" ht="15.75" customHeight="1">
      <c r="A649" s="686"/>
      <c r="B649" s="687"/>
      <c r="C649" s="243"/>
      <c r="D649" s="244"/>
      <c r="E649" s="688"/>
      <c r="F649" s="688"/>
      <c r="G649" s="688"/>
      <c r="H649" s="689"/>
      <c r="I649" s="7"/>
      <c r="J649" s="244"/>
      <c r="K649" s="239"/>
      <c r="L649" s="7"/>
      <c r="M649" s="16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</row>
    <row r="650" spans="1:36" ht="15.75" customHeight="1">
      <c r="A650" s="686"/>
      <c r="B650" s="687"/>
      <c r="C650" s="243"/>
      <c r="D650" s="244"/>
      <c r="E650" s="688"/>
      <c r="F650" s="688"/>
      <c r="G650" s="688"/>
      <c r="H650" s="689"/>
      <c r="I650" s="7"/>
      <c r="J650" s="244"/>
      <c r="K650" s="239"/>
      <c r="L650" s="7"/>
      <c r="M650" s="16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</row>
    <row r="651" spans="1:36" ht="15.75" customHeight="1">
      <c r="A651" s="686"/>
      <c r="B651" s="687"/>
      <c r="C651" s="243"/>
      <c r="D651" s="244"/>
      <c r="E651" s="688"/>
      <c r="F651" s="688"/>
      <c r="G651" s="688"/>
      <c r="H651" s="689"/>
      <c r="I651" s="7"/>
      <c r="J651" s="244"/>
      <c r="K651" s="239"/>
      <c r="L651" s="7"/>
      <c r="M651" s="16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</row>
    <row r="652" spans="1:36" ht="15.75" customHeight="1">
      <c r="A652" s="686"/>
      <c r="B652" s="687"/>
      <c r="C652" s="243"/>
      <c r="D652" s="244"/>
      <c r="E652" s="688"/>
      <c r="F652" s="688"/>
      <c r="G652" s="688"/>
      <c r="H652" s="689"/>
      <c r="I652" s="7"/>
      <c r="J652" s="244"/>
      <c r="K652" s="239"/>
      <c r="L652" s="7"/>
      <c r="M652" s="16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</row>
    <row r="653" spans="1:36" ht="15.75" customHeight="1">
      <c r="A653" s="686"/>
      <c r="B653" s="687"/>
      <c r="C653" s="243"/>
      <c r="D653" s="244"/>
      <c r="E653" s="688"/>
      <c r="F653" s="688"/>
      <c r="G653" s="688"/>
      <c r="H653" s="689"/>
      <c r="I653" s="7"/>
      <c r="J653" s="244"/>
      <c r="K653" s="239"/>
      <c r="L653" s="7"/>
      <c r="M653" s="16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</row>
    <row r="654" spans="1:36" ht="15.75" customHeight="1">
      <c r="A654" s="686"/>
      <c r="B654" s="687"/>
      <c r="C654" s="243"/>
      <c r="D654" s="244"/>
      <c r="E654" s="688"/>
      <c r="F654" s="688"/>
      <c r="G654" s="688"/>
      <c r="H654" s="689"/>
      <c r="I654" s="7"/>
      <c r="J654" s="244"/>
      <c r="K654" s="239"/>
      <c r="L654" s="7"/>
      <c r="M654" s="16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</row>
    <row r="655" spans="1:36" ht="15.75" customHeight="1">
      <c r="A655" s="686"/>
      <c r="B655" s="687"/>
      <c r="C655" s="243"/>
      <c r="D655" s="244"/>
      <c r="E655" s="688"/>
      <c r="F655" s="688"/>
      <c r="G655" s="688"/>
      <c r="H655" s="689"/>
      <c r="I655" s="7"/>
      <c r="J655" s="244"/>
      <c r="K655" s="239"/>
      <c r="L655" s="7"/>
      <c r="M655" s="16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</row>
    <row r="656" spans="1:36" ht="15.75" customHeight="1">
      <c r="A656" s="686"/>
      <c r="B656" s="687"/>
      <c r="C656" s="243"/>
      <c r="D656" s="244"/>
      <c r="E656" s="688"/>
      <c r="F656" s="688"/>
      <c r="G656" s="688"/>
      <c r="H656" s="689"/>
      <c r="I656" s="7"/>
      <c r="J656" s="244"/>
      <c r="K656" s="239"/>
      <c r="L656" s="7"/>
      <c r="M656" s="16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</row>
    <row r="657" spans="1:36" ht="15.75" customHeight="1">
      <c r="A657" s="686"/>
      <c r="B657" s="687"/>
      <c r="C657" s="243"/>
      <c r="D657" s="244"/>
      <c r="E657" s="688"/>
      <c r="F657" s="688"/>
      <c r="G657" s="688"/>
      <c r="H657" s="689"/>
      <c r="I657" s="7"/>
      <c r="J657" s="244"/>
      <c r="K657" s="239"/>
      <c r="L657" s="7"/>
      <c r="M657" s="16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</row>
    <row r="658" spans="1:36" ht="14.25" customHeight="1">
      <c r="A658" s="7"/>
      <c r="B658" s="7"/>
      <c r="C658" s="7"/>
      <c r="D658" s="7"/>
      <c r="E658" s="7"/>
      <c r="F658" s="7"/>
      <c r="G658" s="7"/>
      <c r="H658" s="7"/>
      <c r="I658" s="7"/>
      <c r="J658" s="244"/>
      <c r="K658" s="239"/>
      <c r="L658" s="7"/>
      <c r="M658" s="16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1:36" ht="14.25" customHeight="1">
      <c r="A659" s="7"/>
      <c r="B659" s="7"/>
      <c r="C659" s="7"/>
      <c r="D659" s="7"/>
      <c r="E659" s="7"/>
      <c r="F659" s="7"/>
      <c r="G659" s="7"/>
      <c r="H659" s="7"/>
      <c r="I659" s="7"/>
      <c r="J659" s="244"/>
      <c r="K659" s="239"/>
      <c r="L659" s="7"/>
      <c r="M659" s="16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</row>
    <row r="660" spans="1:36" ht="14.25" customHeight="1">
      <c r="A660" s="7"/>
      <c r="B660" s="7"/>
      <c r="C660" s="7"/>
      <c r="D660" s="7"/>
      <c r="E660" s="7"/>
      <c r="F660" s="7"/>
      <c r="G660" s="7"/>
      <c r="H660" s="7"/>
      <c r="I660" s="7"/>
      <c r="J660" s="244"/>
      <c r="K660" s="239"/>
      <c r="L660" s="7"/>
      <c r="M660" s="16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</row>
    <row r="661" spans="1:36" ht="14.25" customHeight="1">
      <c r="A661" s="7"/>
      <c r="B661" s="7"/>
      <c r="C661" s="7"/>
      <c r="D661" s="7"/>
      <c r="E661" s="7"/>
      <c r="F661" s="7"/>
      <c r="G661" s="7"/>
      <c r="H661" s="7"/>
      <c r="I661" s="7"/>
      <c r="J661" s="244"/>
      <c r="K661" s="239"/>
      <c r="L661" s="7"/>
      <c r="M661" s="16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1:36" ht="14.25" customHeight="1">
      <c r="A662" s="7"/>
      <c r="B662" s="7"/>
      <c r="C662" s="7"/>
      <c r="D662" s="7"/>
      <c r="E662" s="7"/>
      <c r="F662" s="7"/>
      <c r="G662" s="7"/>
      <c r="H662" s="7"/>
      <c r="I662" s="7"/>
      <c r="J662" s="244"/>
      <c r="K662" s="239"/>
      <c r="L662" s="7"/>
      <c r="M662" s="16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</row>
    <row r="663" spans="1:36" ht="14.25" customHeight="1">
      <c r="A663" s="7"/>
      <c r="B663" s="7"/>
      <c r="C663" s="7"/>
      <c r="D663" s="7"/>
      <c r="E663" s="7"/>
      <c r="F663" s="7"/>
      <c r="G663" s="7"/>
      <c r="H663" s="7"/>
      <c r="I663" s="7"/>
      <c r="J663" s="244"/>
      <c r="K663" s="239"/>
      <c r="L663" s="7"/>
      <c r="M663" s="16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</row>
    <row r="664" spans="1:36" ht="14.25" customHeight="1">
      <c r="A664" s="7"/>
      <c r="B664" s="7"/>
      <c r="C664" s="7"/>
      <c r="D664" s="7"/>
      <c r="E664" s="7"/>
      <c r="F664" s="7"/>
      <c r="G664" s="7"/>
      <c r="H664" s="7"/>
      <c r="I664" s="7"/>
      <c r="J664" s="244"/>
      <c r="K664" s="239"/>
      <c r="L664" s="7"/>
      <c r="M664" s="16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</row>
    <row r="665" spans="1:36" ht="14.25" customHeight="1">
      <c r="A665" s="7"/>
      <c r="B665" s="7"/>
      <c r="C665" s="7"/>
      <c r="D665" s="7"/>
      <c r="E665" s="7"/>
      <c r="F665" s="7"/>
      <c r="G665" s="7"/>
      <c r="H665" s="7"/>
      <c r="I665" s="7"/>
      <c r="J665" s="244"/>
      <c r="K665" s="239"/>
      <c r="L665" s="7"/>
      <c r="M665" s="16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</row>
    <row r="666" spans="1:36" ht="14.25" customHeight="1">
      <c r="A666" s="7"/>
      <c r="B666" s="7"/>
      <c r="C666" s="7"/>
      <c r="D666" s="7"/>
      <c r="E666" s="7"/>
      <c r="F666" s="7"/>
      <c r="G666" s="7"/>
      <c r="H666" s="7"/>
      <c r="I666" s="7"/>
      <c r="J666" s="244"/>
      <c r="K666" s="239"/>
      <c r="L666" s="7"/>
      <c r="M666" s="16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</row>
    <row r="667" spans="1:36" ht="14.25" customHeight="1">
      <c r="A667" s="7"/>
      <c r="B667" s="7"/>
      <c r="C667" s="7"/>
      <c r="D667" s="7"/>
      <c r="E667" s="7"/>
      <c r="F667" s="7"/>
      <c r="G667" s="7"/>
      <c r="H667" s="7"/>
      <c r="I667" s="7"/>
      <c r="J667" s="244"/>
      <c r="K667" s="239"/>
      <c r="L667" s="7"/>
      <c r="M667" s="16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</row>
    <row r="668" spans="1:36" ht="14.25" customHeight="1">
      <c r="A668" s="7"/>
      <c r="B668" s="7"/>
      <c r="C668" s="7"/>
      <c r="D668" s="7"/>
      <c r="E668" s="7"/>
      <c r="F668" s="7"/>
      <c r="G668" s="7"/>
      <c r="H668" s="7"/>
      <c r="I668" s="7"/>
      <c r="J668" s="244"/>
      <c r="K668" s="239"/>
      <c r="L668" s="7"/>
      <c r="M668" s="16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</row>
    <row r="669" spans="1:36" ht="14.25" customHeight="1">
      <c r="A669" s="7"/>
      <c r="B669" s="7"/>
      <c r="C669" s="7"/>
      <c r="D669" s="7"/>
      <c r="E669" s="7"/>
      <c r="F669" s="7"/>
      <c r="G669" s="7"/>
      <c r="H669" s="7"/>
      <c r="I669" s="7"/>
      <c r="J669" s="244"/>
      <c r="K669" s="239"/>
      <c r="L669" s="7"/>
      <c r="M669" s="16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1:36" ht="14.25" customHeight="1">
      <c r="A670" s="7"/>
      <c r="B670" s="7"/>
      <c r="C670" s="7"/>
      <c r="D670" s="7"/>
      <c r="E670" s="7"/>
      <c r="F670" s="7"/>
      <c r="G670" s="7"/>
      <c r="H670" s="7"/>
      <c r="I670" s="7"/>
      <c r="J670" s="244"/>
      <c r="K670" s="239"/>
      <c r="L670" s="7"/>
      <c r="M670" s="16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1:36" ht="14.25" customHeight="1">
      <c r="A671" s="7"/>
      <c r="B671" s="7"/>
      <c r="C671" s="7"/>
      <c r="D671" s="7"/>
      <c r="E671" s="7"/>
      <c r="F671" s="7"/>
      <c r="G671" s="7"/>
      <c r="H671" s="7"/>
      <c r="I671" s="7"/>
      <c r="J671" s="244"/>
      <c r="K671" s="239"/>
      <c r="L671" s="7"/>
      <c r="M671" s="16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</row>
    <row r="672" spans="1:36" ht="14.25" customHeight="1">
      <c r="A672" s="7"/>
      <c r="B672" s="7"/>
      <c r="C672" s="7"/>
      <c r="D672" s="7"/>
      <c r="E672" s="7"/>
      <c r="F672" s="7"/>
      <c r="G672" s="7"/>
      <c r="H672" s="7"/>
      <c r="I672" s="7"/>
      <c r="J672" s="244"/>
      <c r="K672" s="239"/>
      <c r="L672" s="7"/>
      <c r="M672" s="16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</row>
    <row r="673" spans="1:36" ht="14.25" customHeight="1">
      <c r="A673" s="7"/>
      <c r="B673" s="7"/>
      <c r="C673" s="7"/>
      <c r="D673" s="7"/>
      <c r="E673" s="7"/>
      <c r="F673" s="7"/>
      <c r="G673" s="7"/>
      <c r="H673" s="7"/>
      <c r="I673" s="7"/>
      <c r="J673" s="244"/>
      <c r="K673" s="239"/>
      <c r="L673" s="7"/>
      <c r="M673" s="16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</row>
    <row r="674" spans="1:36" ht="14.25" customHeight="1">
      <c r="A674" s="7"/>
      <c r="B674" s="7"/>
      <c r="C674" s="7"/>
      <c r="D674" s="7"/>
      <c r="E674" s="7"/>
      <c r="F674" s="7"/>
      <c r="G674" s="7"/>
      <c r="H674" s="7"/>
      <c r="I674" s="7"/>
      <c r="J674" s="244"/>
      <c r="K674" s="239"/>
      <c r="L674" s="7"/>
      <c r="M674" s="16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</row>
    <row r="675" spans="1:36" ht="14.25" customHeight="1">
      <c r="A675" s="7"/>
      <c r="B675" s="7"/>
      <c r="C675" s="7"/>
      <c r="D675" s="7"/>
      <c r="E675" s="7"/>
      <c r="F675" s="7"/>
      <c r="G675" s="7"/>
      <c r="H675" s="7"/>
      <c r="I675" s="7"/>
      <c r="J675" s="244"/>
      <c r="K675" s="239"/>
      <c r="L675" s="7"/>
      <c r="M675" s="16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1:36" ht="14.25" customHeight="1">
      <c r="A676" s="7"/>
      <c r="B676" s="7"/>
      <c r="C676" s="7"/>
      <c r="D676" s="7"/>
      <c r="E676" s="7"/>
      <c r="F676" s="7"/>
      <c r="G676" s="7"/>
      <c r="H676" s="7"/>
      <c r="I676" s="7"/>
      <c r="J676" s="244"/>
      <c r="K676" s="239"/>
      <c r="L676" s="7"/>
      <c r="M676" s="16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1:36" ht="14.25" customHeight="1">
      <c r="A677" s="7"/>
      <c r="B677" s="7"/>
      <c r="C677" s="7"/>
      <c r="D677" s="7"/>
      <c r="E677" s="7"/>
      <c r="F677" s="7"/>
      <c r="G677" s="7"/>
      <c r="H677" s="7"/>
      <c r="I677" s="7"/>
      <c r="J677" s="244"/>
      <c r="K677" s="239"/>
      <c r="L677" s="7"/>
      <c r="M677" s="16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1:36" ht="14.25" customHeight="1">
      <c r="A678" s="7"/>
      <c r="B678" s="7"/>
      <c r="C678" s="7"/>
      <c r="D678" s="7"/>
      <c r="E678" s="7"/>
      <c r="F678" s="7"/>
      <c r="G678" s="7"/>
      <c r="H678" s="7"/>
      <c r="I678" s="7"/>
      <c r="J678" s="244"/>
      <c r="K678" s="239"/>
      <c r="L678" s="7"/>
      <c r="M678" s="16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</row>
    <row r="679" spans="1:36" ht="14.25" customHeight="1">
      <c r="A679" s="7"/>
      <c r="B679" s="7"/>
      <c r="C679" s="7"/>
      <c r="D679" s="7"/>
      <c r="E679" s="7"/>
      <c r="F679" s="7"/>
      <c r="G679" s="7"/>
      <c r="H679" s="7"/>
      <c r="I679" s="7"/>
      <c r="J679" s="244"/>
      <c r="K679" s="239"/>
      <c r="L679" s="7"/>
      <c r="M679" s="16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</row>
    <row r="680" spans="1:36" ht="14.25" customHeight="1">
      <c r="A680" s="7"/>
      <c r="B680" s="7"/>
      <c r="C680" s="7"/>
      <c r="D680" s="7"/>
      <c r="E680" s="7"/>
      <c r="F680" s="7"/>
      <c r="G680" s="7"/>
      <c r="H680" s="7"/>
      <c r="I680" s="7"/>
      <c r="J680" s="244"/>
      <c r="K680" s="239"/>
      <c r="L680" s="7"/>
      <c r="M680" s="16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</row>
    <row r="681" spans="1:36" ht="14.25" customHeight="1">
      <c r="A681" s="7"/>
      <c r="B681" s="7"/>
      <c r="C681" s="7"/>
      <c r="D681" s="7"/>
      <c r="E681" s="7"/>
      <c r="F681" s="7"/>
      <c r="G681" s="7"/>
      <c r="H681" s="7"/>
      <c r="I681" s="7"/>
      <c r="J681" s="244"/>
      <c r="K681" s="239"/>
      <c r="L681" s="7"/>
      <c r="M681" s="16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</row>
    <row r="682" spans="1:36" ht="14.25" customHeight="1">
      <c r="A682" s="7"/>
      <c r="B682" s="7"/>
      <c r="C682" s="7"/>
      <c r="D682" s="7"/>
      <c r="E682" s="7"/>
      <c r="F682" s="7"/>
      <c r="G682" s="7"/>
      <c r="H682" s="7"/>
      <c r="I682" s="7"/>
      <c r="J682" s="244"/>
      <c r="K682" s="239"/>
      <c r="L682" s="7"/>
      <c r="M682" s="16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</row>
    <row r="683" spans="1:36" ht="14.25" customHeight="1">
      <c r="A683" s="7"/>
      <c r="B683" s="7"/>
      <c r="C683" s="7"/>
      <c r="D683" s="7"/>
      <c r="E683" s="7"/>
      <c r="F683" s="7"/>
      <c r="G683" s="7"/>
      <c r="H683" s="7"/>
      <c r="I683" s="7"/>
      <c r="J683" s="244"/>
      <c r="K683" s="239"/>
      <c r="L683" s="7"/>
      <c r="M683" s="16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</row>
    <row r="684" spans="1:36" ht="14.25" customHeight="1">
      <c r="A684" s="7"/>
      <c r="B684" s="7"/>
      <c r="C684" s="7"/>
      <c r="D684" s="7"/>
      <c r="E684" s="7"/>
      <c r="F684" s="7"/>
      <c r="G684" s="7"/>
      <c r="H684" s="7"/>
      <c r="I684" s="7"/>
      <c r="J684" s="244"/>
      <c r="K684" s="239"/>
      <c r="L684" s="7"/>
      <c r="M684" s="16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</row>
    <row r="685" spans="1:36" ht="14.25" customHeight="1">
      <c r="A685" s="7"/>
      <c r="B685" s="7"/>
      <c r="C685" s="7"/>
      <c r="D685" s="7"/>
      <c r="E685" s="7"/>
      <c r="F685" s="7"/>
      <c r="G685" s="7"/>
      <c r="H685" s="7"/>
      <c r="I685" s="7"/>
      <c r="J685" s="244"/>
      <c r="K685" s="239"/>
      <c r="L685" s="7"/>
      <c r="M685" s="16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</row>
    <row r="686" spans="1:36" ht="14.25" customHeight="1">
      <c r="A686" s="7"/>
      <c r="B686" s="7"/>
      <c r="C686" s="7"/>
      <c r="D686" s="7"/>
      <c r="E686" s="7"/>
      <c r="F686" s="7"/>
      <c r="G686" s="7"/>
      <c r="H686" s="7"/>
      <c r="I686" s="7"/>
      <c r="J686" s="244"/>
      <c r="K686" s="239"/>
      <c r="L686" s="7"/>
      <c r="M686" s="16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</row>
    <row r="687" spans="1:36" ht="14.25" customHeight="1">
      <c r="A687" s="7"/>
      <c r="B687" s="7"/>
      <c r="C687" s="7"/>
      <c r="D687" s="7"/>
      <c r="E687" s="7"/>
      <c r="F687" s="7"/>
      <c r="G687" s="7"/>
      <c r="H687" s="7"/>
      <c r="I687" s="7"/>
      <c r="J687" s="244"/>
      <c r="K687" s="239"/>
      <c r="L687" s="7"/>
      <c r="M687" s="16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</row>
    <row r="688" spans="1:36" ht="14.25" customHeight="1">
      <c r="A688" s="7"/>
      <c r="B688" s="7"/>
      <c r="C688" s="7"/>
      <c r="D688" s="7"/>
      <c r="E688" s="7"/>
      <c r="F688" s="7"/>
      <c r="G688" s="7"/>
      <c r="H688" s="7"/>
      <c r="I688" s="7"/>
      <c r="J688" s="244"/>
      <c r="K688" s="239"/>
      <c r="L688" s="7"/>
      <c r="M688" s="16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</row>
    <row r="689" spans="1:36" ht="14.25" customHeight="1">
      <c r="A689" s="7"/>
      <c r="B689" s="7"/>
      <c r="C689" s="7"/>
      <c r="D689" s="7"/>
      <c r="E689" s="7"/>
      <c r="F689" s="7"/>
      <c r="G689" s="7"/>
      <c r="H689" s="7"/>
      <c r="I689" s="7"/>
      <c r="J689" s="244"/>
      <c r="K689" s="239"/>
      <c r="L689" s="7"/>
      <c r="M689" s="16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</row>
    <row r="690" spans="1:36" ht="14.25" customHeight="1">
      <c r="A690" s="7"/>
      <c r="B690" s="7"/>
      <c r="C690" s="7"/>
      <c r="D690" s="7"/>
      <c r="E690" s="7"/>
      <c r="F690" s="7"/>
      <c r="G690" s="7"/>
      <c r="H690" s="7"/>
      <c r="I690" s="7"/>
      <c r="J690" s="244"/>
      <c r="K690" s="239"/>
      <c r="L690" s="7"/>
      <c r="M690" s="16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</row>
    <row r="691" spans="1:36" ht="14.25" customHeight="1">
      <c r="A691" s="7"/>
      <c r="B691" s="7"/>
      <c r="C691" s="7"/>
      <c r="D691" s="7"/>
      <c r="E691" s="7"/>
      <c r="F691" s="7"/>
      <c r="G691" s="7"/>
      <c r="H691" s="7"/>
      <c r="I691" s="7"/>
      <c r="J691" s="244"/>
      <c r="K691" s="239"/>
      <c r="L691" s="7"/>
      <c r="M691" s="16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1:36" ht="14.25" customHeight="1">
      <c r="A692" s="7"/>
      <c r="B692" s="7"/>
      <c r="C692" s="7"/>
      <c r="D692" s="7"/>
      <c r="E692" s="7"/>
      <c r="F692" s="7"/>
      <c r="G692" s="7"/>
      <c r="H692" s="7"/>
      <c r="I692" s="7"/>
      <c r="J692" s="244"/>
      <c r="K692" s="239"/>
      <c r="L692" s="7"/>
      <c r="M692" s="16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</row>
    <row r="693" spans="1:36" ht="14.25" customHeight="1">
      <c r="A693" s="7"/>
      <c r="B693" s="7"/>
      <c r="C693" s="7"/>
      <c r="D693" s="7"/>
      <c r="E693" s="7"/>
      <c r="F693" s="7"/>
      <c r="G693" s="7"/>
      <c r="H693" s="7"/>
      <c r="I693" s="7"/>
      <c r="J693" s="244"/>
      <c r="K693" s="239"/>
      <c r="L693" s="7"/>
      <c r="M693" s="16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</row>
    <row r="694" spans="1:36" ht="14.25" customHeight="1">
      <c r="A694" s="7"/>
      <c r="B694" s="7"/>
      <c r="C694" s="7"/>
      <c r="D694" s="7"/>
      <c r="E694" s="7"/>
      <c r="F694" s="7"/>
      <c r="G694" s="7"/>
      <c r="H694" s="7"/>
      <c r="I694" s="7"/>
      <c r="J694" s="244"/>
      <c r="K694" s="239"/>
      <c r="L694" s="7"/>
      <c r="M694" s="16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</row>
    <row r="695" spans="1:36" ht="14.25" customHeight="1">
      <c r="A695" s="7"/>
      <c r="B695" s="7"/>
      <c r="C695" s="7"/>
      <c r="D695" s="7"/>
      <c r="E695" s="7"/>
      <c r="F695" s="7"/>
      <c r="G695" s="7"/>
      <c r="H695" s="7"/>
      <c r="I695" s="7"/>
      <c r="J695" s="244"/>
      <c r="K695" s="239"/>
      <c r="L695" s="7"/>
      <c r="M695" s="16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</row>
    <row r="696" spans="1:36" ht="14.25" customHeight="1">
      <c r="A696" s="7"/>
      <c r="B696" s="7"/>
      <c r="C696" s="7"/>
      <c r="D696" s="7"/>
      <c r="E696" s="7"/>
      <c r="F696" s="7"/>
      <c r="G696" s="7"/>
      <c r="H696" s="7"/>
      <c r="I696" s="7"/>
      <c r="J696" s="244"/>
      <c r="K696" s="239"/>
      <c r="L696" s="7"/>
      <c r="M696" s="16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</row>
    <row r="697" spans="1:36" ht="14.25" customHeight="1">
      <c r="A697" s="7"/>
      <c r="B697" s="7"/>
      <c r="C697" s="7"/>
      <c r="D697" s="7"/>
      <c r="E697" s="7"/>
      <c r="F697" s="7"/>
      <c r="G697" s="7"/>
      <c r="H697" s="7"/>
      <c r="I697" s="7"/>
      <c r="J697" s="244"/>
      <c r="K697" s="239"/>
      <c r="L697" s="7"/>
      <c r="M697" s="16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</row>
    <row r="698" spans="1:36" ht="14.25" customHeight="1">
      <c r="A698" s="7"/>
      <c r="B698" s="7"/>
      <c r="C698" s="7"/>
      <c r="D698" s="7"/>
      <c r="E698" s="7"/>
      <c r="F698" s="7"/>
      <c r="G698" s="7"/>
      <c r="H698" s="7"/>
      <c r="I698" s="7"/>
      <c r="J698" s="244"/>
      <c r="K698" s="239"/>
      <c r="L698" s="7"/>
      <c r="M698" s="16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</row>
    <row r="699" spans="1:36" ht="14.25" customHeight="1">
      <c r="A699" s="7"/>
      <c r="B699" s="7"/>
      <c r="C699" s="7"/>
      <c r="D699" s="7"/>
      <c r="E699" s="7"/>
      <c r="F699" s="7"/>
      <c r="G699" s="7"/>
      <c r="H699" s="7"/>
      <c r="I699" s="7"/>
      <c r="J699" s="244"/>
      <c r="K699" s="239"/>
      <c r="L699" s="7"/>
      <c r="M699" s="16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</row>
    <row r="700" spans="1:36" ht="14.25" customHeight="1">
      <c r="A700" s="7"/>
      <c r="B700" s="7"/>
      <c r="C700" s="7"/>
      <c r="D700" s="7"/>
      <c r="E700" s="7"/>
      <c r="F700" s="7"/>
      <c r="G700" s="7"/>
      <c r="H700" s="7"/>
      <c r="I700" s="7"/>
      <c r="J700" s="244"/>
      <c r="K700" s="239"/>
      <c r="L700" s="7"/>
      <c r="M700" s="16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</row>
    <row r="701" spans="1:36" ht="14.25" customHeight="1">
      <c r="A701" s="7"/>
      <c r="B701" s="7"/>
      <c r="C701" s="7"/>
      <c r="D701" s="7"/>
      <c r="E701" s="7"/>
      <c r="F701" s="7"/>
      <c r="G701" s="7"/>
      <c r="H701" s="7"/>
      <c r="I701" s="7"/>
      <c r="J701" s="244"/>
      <c r="K701" s="239"/>
      <c r="L701" s="7"/>
      <c r="M701" s="16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</row>
    <row r="702" spans="1:36" ht="14.25" customHeight="1">
      <c r="A702" s="7"/>
      <c r="B702" s="7"/>
      <c r="C702" s="7"/>
      <c r="D702" s="7"/>
      <c r="E702" s="7"/>
      <c r="F702" s="7"/>
      <c r="G702" s="7"/>
      <c r="H702" s="7"/>
      <c r="I702" s="7"/>
      <c r="J702" s="244"/>
      <c r="K702" s="239"/>
      <c r="L702" s="7"/>
      <c r="M702" s="16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</row>
    <row r="703" spans="1:36" ht="14.25" customHeight="1">
      <c r="A703" s="7"/>
      <c r="B703" s="7"/>
      <c r="C703" s="7"/>
      <c r="D703" s="7"/>
      <c r="E703" s="7"/>
      <c r="F703" s="7"/>
      <c r="G703" s="7"/>
      <c r="H703" s="7"/>
      <c r="I703" s="7"/>
      <c r="J703" s="244"/>
      <c r="K703" s="239"/>
      <c r="L703" s="7"/>
      <c r="M703" s="16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</row>
    <row r="704" spans="1:36" ht="14.25" customHeight="1">
      <c r="A704" s="7"/>
      <c r="B704" s="7"/>
      <c r="C704" s="7"/>
      <c r="D704" s="7"/>
      <c r="E704" s="7"/>
      <c r="F704" s="7"/>
      <c r="G704" s="7"/>
      <c r="H704" s="7"/>
      <c r="I704" s="7"/>
      <c r="J704" s="244"/>
      <c r="K704" s="239"/>
      <c r="L704" s="7"/>
      <c r="M704" s="16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ht="14.25" customHeight="1">
      <c r="A705" s="7"/>
      <c r="B705" s="7"/>
      <c r="C705" s="7"/>
      <c r="D705" s="7"/>
      <c r="E705" s="7"/>
      <c r="F705" s="7"/>
      <c r="G705" s="7"/>
      <c r="H705" s="7"/>
      <c r="I705" s="7"/>
      <c r="J705" s="244"/>
      <c r="K705" s="239"/>
      <c r="L705" s="7"/>
      <c r="M705" s="16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</row>
    <row r="706" spans="1:36" ht="14.25" customHeight="1">
      <c r="A706" s="7"/>
      <c r="B706" s="7"/>
      <c r="C706" s="7"/>
      <c r="D706" s="7"/>
      <c r="E706" s="7"/>
      <c r="F706" s="7"/>
      <c r="G706" s="7"/>
      <c r="H706" s="7"/>
      <c r="I706" s="7"/>
      <c r="J706" s="244"/>
      <c r="K706" s="239"/>
      <c r="L706" s="7"/>
      <c r="M706" s="16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</row>
    <row r="707" spans="1:36" ht="14.25" customHeight="1">
      <c r="A707" s="7"/>
      <c r="B707" s="7"/>
      <c r="C707" s="7"/>
      <c r="D707" s="7"/>
      <c r="E707" s="7"/>
      <c r="F707" s="7"/>
      <c r="G707" s="7"/>
      <c r="H707" s="7"/>
      <c r="I707" s="7"/>
      <c r="J707" s="244"/>
      <c r="K707" s="239"/>
      <c r="L707" s="7"/>
      <c r="M707" s="16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1:36" ht="14.25" customHeight="1">
      <c r="A708" s="7"/>
      <c r="B708" s="7"/>
      <c r="C708" s="7"/>
      <c r="D708" s="7"/>
      <c r="E708" s="7"/>
      <c r="F708" s="7"/>
      <c r="G708" s="7"/>
      <c r="H708" s="7"/>
      <c r="I708" s="7"/>
      <c r="J708" s="244"/>
      <c r="K708" s="239"/>
      <c r="L708" s="7"/>
      <c r="M708" s="16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</row>
    <row r="709" spans="1:36" ht="14.25" customHeight="1">
      <c r="A709" s="7"/>
      <c r="B709" s="7"/>
      <c r="C709" s="7"/>
      <c r="D709" s="7"/>
      <c r="E709" s="7"/>
      <c r="F709" s="7"/>
      <c r="G709" s="7"/>
      <c r="H709" s="7"/>
      <c r="I709" s="7"/>
      <c r="J709" s="244"/>
      <c r="K709" s="239"/>
      <c r="L709" s="7"/>
      <c r="M709" s="16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</row>
    <row r="710" spans="1:36" ht="14.25" customHeight="1">
      <c r="A710" s="7"/>
      <c r="B710" s="7"/>
      <c r="C710" s="7"/>
      <c r="D710" s="7"/>
      <c r="E710" s="7"/>
      <c r="F710" s="7"/>
      <c r="G710" s="7"/>
      <c r="H710" s="7"/>
      <c r="I710" s="7"/>
      <c r="J710" s="244"/>
      <c r="K710" s="239"/>
      <c r="L710" s="7"/>
      <c r="M710" s="16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</row>
    <row r="711" spans="1:36" ht="14.25" customHeight="1">
      <c r="A711" s="7"/>
      <c r="B711" s="7"/>
      <c r="C711" s="7"/>
      <c r="D711" s="7"/>
      <c r="E711" s="7"/>
      <c r="F711" s="7"/>
      <c r="G711" s="7"/>
      <c r="H711" s="7"/>
      <c r="I711" s="7"/>
      <c r="J711" s="244"/>
      <c r="K711" s="239"/>
      <c r="L711" s="7"/>
      <c r="M711" s="16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</row>
    <row r="712" spans="1:36" ht="14.25" customHeight="1">
      <c r="A712" s="7"/>
      <c r="B712" s="7"/>
      <c r="C712" s="7"/>
      <c r="D712" s="7"/>
      <c r="E712" s="7"/>
      <c r="F712" s="7"/>
      <c r="G712" s="7"/>
      <c r="H712" s="7"/>
      <c r="I712" s="7"/>
      <c r="J712" s="244"/>
      <c r="K712" s="239"/>
      <c r="L712" s="7"/>
      <c r="M712" s="16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</row>
    <row r="713" spans="1:36" ht="14.25" customHeight="1">
      <c r="A713" s="7"/>
      <c r="B713" s="7"/>
      <c r="C713" s="7"/>
      <c r="D713" s="7"/>
      <c r="E713" s="7"/>
      <c r="F713" s="7"/>
      <c r="G713" s="7"/>
      <c r="H713" s="7"/>
      <c r="I713" s="7"/>
      <c r="J713" s="244"/>
      <c r="K713" s="239"/>
      <c r="L713" s="7"/>
      <c r="M713" s="16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</row>
    <row r="714" spans="1:36" ht="14.25" customHeight="1">
      <c r="A714" s="7"/>
      <c r="B714" s="7"/>
      <c r="C714" s="7"/>
      <c r="D714" s="7"/>
      <c r="E714" s="7"/>
      <c r="F714" s="7"/>
      <c r="G714" s="7"/>
      <c r="H714" s="7"/>
      <c r="I714" s="7"/>
      <c r="J714" s="244"/>
      <c r="K714" s="239"/>
      <c r="L714" s="7"/>
      <c r="M714" s="16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</row>
    <row r="715" spans="1:36" ht="14.25" customHeight="1">
      <c r="A715" s="7"/>
      <c r="B715" s="7"/>
      <c r="C715" s="7"/>
      <c r="D715" s="7"/>
      <c r="E715" s="7"/>
      <c r="F715" s="7"/>
      <c r="G715" s="7"/>
      <c r="H715" s="7"/>
      <c r="I715" s="7"/>
      <c r="J715" s="244"/>
      <c r="K715" s="239"/>
      <c r="L715" s="7"/>
      <c r="M715" s="16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</row>
    <row r="716" spans="1:36" ht="14.25" customHeight="1">
      <c r="A716" s="7"/>
      <c r="B716" s="7"/>
      <c r="C716" s="7"/>
      <c r="D716" s="7"/>
      <c r="E716" s="7"/>
      <c r="F716" s="7"/>
      <c r="G716" s="7"/>
      <c r="H716" s="7"/>
      <c r="I716" s="7"/>
      <c r="J716" s="244"/>
      <c r="K716" s="239"/>
      <c r="L716" s="7"/>
      <c r="M716" s="16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</row>
    <row r="717" spans="1:36" ht="14.25" customHeight="1">
      <c r="A717" s="7"/>
      <c r="B717" s="7"/>
      <c r="C717" s="7"/>
      <c r="D717" s="7"/>
      <c r="E717" s="7"/>
      <c r="F717" s="7"/>
      <c r="G717" s="7"/>
      <c r="H717" s="7"/>
      <c r="I717" s="7"/>
      <c r="J717" s="244"/>
      <c r="K717" s="239"/>
      <c r="L717" s="7"/>
      <c r="M717" s="16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</row>
    <row r="718" spans="1:36" ht="14.25" customHeight="1">
      <c r="A718" s="7"/>
      <c r="B718" s="7"/>
      <c r="C718" s="7"/>
      <c r="D718" s="7"/>
      <c r="E718" s="7"/>
      <c r="F718" s="7"/>
      <c r="G718" s="7"/>
      <c r="H718" s="7"/>
      <c r="I718" s="7"/>
      <c r="J718" s="244"/>
      <c r="K718" s="239"/>
      <c r="L718" s="7"/>
      <c r="M718" s="16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</row>
    <row r="719" spans="1:36" ht="14.25" customHeight="1">
      <c r="A719" s="7"/>
      <c r="B719" s="7"/>
      <c r="C719" s="7"/>
      <c r="D719" s="7"/>
      <c r="E719" s="7"/>
      <c r="F719" s="7"/>
      <c r="G719" s="7"/>
      <c r="H719" s="7"/>
      <c r="I719" s="7"/>
      <c r="J719" s="244"/>
      <c r="K719" s="239"/>
      <c r="L719" s="7"/>
      <c r="M719" s="16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</row>
    <row r="720" spans="1:36" ht="14.25" customHeight="1">
      <c r="A720" s="7"/>
      <c r="B720" s="7"/>
      <c r="C720" s="7"/>
      <c r="D720" s="7"/>
      <c r="E720" s="7"/>
      <c r="F720" s="7"/>
      <c r="G720" s="7"/>
      <c r="H720" s="7"/>
      <c r="I720" s="7"/>
      <c r="J720" s="244"/>
      <c r="K720" s="239"/>
      <c r="L720" s="7"/>
      <c r="M720" s="16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</row>
    <row r="721" spans="1:36" ht="14.25" customHeight="1">
      <c r="A721" s="7"/>
      <c r="B721" s="7"/>
      <c r="C721" s="7"/>
      <c r="D721" s="7"/>
      <c r="E721" s="7"/>
      <c r="F721" s="7"/>
      <c r="G721" s="7"/>
      <c r="H721" s="7"/>
      <c r="I721" s="7"/>
      <c r="J721" s="244"/>
      <c r="K721" s="239"/>
      <c r="L721" s="7"/>
      <c r="M721" s="16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</row>
    <row r="722" spans="1:36" ht="14.25" customHeight="1">
      <c r="A722" s="7"/>
      <c r="B722" s="7"/>
      <c r="C722" s="7"/>
      <c r="D722" s="7"/>
      <c r="E722" s="7"/>
      <c r="F722" s="7"/>
      <c r="G722" s="7"/>
      <c r="H722" s="7"/>
      <c r="I722" s="7"/>
      <c r="J722" s="244"/>
      <c r="K722" s="239"/>
      <c r="L722" s="7"/>
      <c r="M722" s="16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</row>
    <row r="723" spans="1:36" ht="15.75" customHeight="1"/>
    <row r="724" spans="1:36" ht="15.75" customHeight="1"/>
    <row r="725" spans="1:36" ht="15.75" customHeight="1"/>
    <row r="726" spans="1:36" ht="15.75" customHeight="1"/>
    <row r="727" spans="1:36" ht="15.75" customHeight="1"/>
    <row r="728" spans="1:36" ht="15.75" customHeight="1"/>
    <row r="729" spans="1:36" ht="15.75" customHeight="1"/>
    <row r="730" spans="1:36" ht="15.75" customHeight="1"/>
    <row r="731" spans="1:36" ht="15.75" customHeight="1"/>
    <row r="732" spans="1:36" ht="15.75" customHeight="1"/>
    <row r="733" spans="1:36" ht="15.75" customHeight="1"/>
    <row r="734" spans="1:36" ht="15.75" customHeight="1"/>
    <row r="735" spans="1:36" ht="15.75" customHeight="1"/>
    <row r="736" spans="1: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G4"/>
    <mergeCell ref="A5:D5"/>
    <mergeCell ref="A6:G6"/>
    <mergeCell ref="C9:D9"/>
    <mergeCell ref="B447:C447"/>
  </mergeCells>
  <conditionalFormatting sqref="A11:K11 P11:AJ11">
    <cfRule type="containsText" dxfId="57" priority="1" operator="containsText" text="hoà bình">
      <formula>NOT(ISERROR(SEARCH(("hoà bình"),(A11))))</formula>
    </cfRule>
  </conditionalFormatting>
  <conditionalFormatting sqref="L11">
    <cfRule type="containsText" dxfId="56" priority="2" operator="containsText" text="&quot;quảng ngãi&quot;">
      <formula>NOT(ISERROR(SEARCH(("""quảng ngãi"""),(L11))))</formula>
    </cfRule>
  </conditionalFormatting>
  <conditionalFormatting sqref="N11:O11">
    <cfRule type="containsText" dxfId="55" priority="3" operator="containsText" text="&quot;quảng ngãi&quot;">
      <formula>NOT(ISERROR(SEARCH(("""quảng ngãi"""),(N11))))</formula>
    </cfRule>
  </conditionalFormatting>
  <conditionalFormatting sqref="AJ17:AJ447">
    <cfRule type="cellIs" dxfId="54" priority="4" operator="lessThan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11" width="12.453125" customWidth="1"/>
    <col min="12" max="18" width="14.26953125" customWidth="1"/>
  </cols>
  <sheetData>
    <row r="1" spans="1:33" ht="24.75" hidden="1" customHeight="1">
      <c r="A1" s="397" t="s">
        <v>0</v>
      </c>
      <c r="B1" s="398"/>
      <c r="C1" s="398"/>
      <c r="D1" s="399"/>
      <c r="E1" s="562"/>
      <c r="F1" s="562"/>
      <c r="G1" s="562"/>
      <c r="H1" s="562"/>
      <c r="I1" s="562"/>
      <c r="J1" s="562"/>
      <c r="K1" s="56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33" hidden="1" customHeight="1">
      <c r="A2" s="792" t="s">
        <v>1</v>
      </c>
      <c r="B2" s="793"/>
      <c r="C2" s="791"/>
      <c r="D2" s="399"/>
      <c r="E2" s="562"/>
      <c r="F2" s="562"/>
      <c r="G2" s="562"/>
      <c r="H2" s="562"/>
      <c r="I2" s="562"/>
      <c r="J2" s="562"/>
      <c r="K2" s="56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23.25" hidden="1" customHeight="1">
      <c r="A3" s="794" t="s">
        <v>2</v>
      </c>
      <c r="B3" s="793"/>
      <c r="C3" s="791"/>
      <c r="D3" s="399"/>
      <c r="E3" s="562"/>
      <c r="F3" s="562"/>
      <c r="G3" s="562"/>
      <c r="H3" s="562"/>
      <c r="I3" s="562"/>
      <c r="J3" s="562"/>
      <c r="K3" s="56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39.75" customHeight="1">
      <c r="A4" s="803" t="s">
        <v>1537</v>
      </c>
      <c r="B4" s="793"/>
      <c r="C4" s="793"/>
      <c r="D4" s="793"/>
      <c r="E4" s="793"/>
      <c r="F4" s="793"/>
      <c r="G4" s="793"/>
      <c r="H4" s="793"/>
      <c r="I4" s="793"/>
      <c r="J4" s="793"/>
      <c r="K4" s="791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spans="1:33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563"/>
      <c r="I5" s="563"/>
      <c r="J5" s="563"/>
      <c r="K5" s="563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6" spans="1:33" ht="21" hidden="1" customHeight="1">
      <c r="A6" s="804" t="s">
        <v>1338</v>
      </c>
      <c r="B6" s="793"/>
      <c r="C6" s="793"/>
      <c r="D6" s="793"/>
      <c r="E6" s="793"/>
      <c r="F6" s="793"/>
      <c r="G6" s="793"/>
      <c r="H6" s="793"/>
      <c r="I6" s="793"/>
      <c r="J6" s="793"/>
      <c r="K6" s="791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ht="18.75" hidden="1" customHeight="1">
      <c r="A7" s="244"/>
      <c r="B7" s="401"/>
      <c r="C7" s="564" t="s">
        <v>1339</v>
      </c>
      <c r="D7" s="403"/>
      <c r="E7" s="565"/>
      <c r="F7" s="565"/>
      <c r="G7" s="565"/>
      <c r="H7" s="565"/>
      <c r="I7" s="565"/>
      <c r="J7" s="565"/>
      <c r="K7" s="565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ht="14.25" hidden="1" customHeight="1">
      <c r="A8" s="244"/>
      <c r="B8" s="404"/>
      <c r="C8" s="564" t="s">
        <v>1340</v>
      </c>
      <c r="D8" s="405"/>
      <c r="E8" s="566"/>
      <c r="F8" s="566"/>
      <c r="G8" s="566"/>
      <c r="H8" s="566"/>
      <c r="I8" s="566"/>
      <c r="J8" s="566"/>
      <c r="K8" s="56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33" ht="14.25" hidden="1" customHeight="1">
      <c r="A9" s="244"/>
      <c r="B9" s="404"/>
      <c r="C9" s="798" t="s">
        <v>1341</v>
      </c>
      <c r="D9" s="791"/>
      <c r="E9" s="567"/>
      <c r="F9" s="567"/>
      <c r="G9" s="567"/>
      <c r="H9" s="567"/>
      <c r="I9" s="567"/>
      <c r="J9" s="567"/>
      <c r="K9" s="56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</row>
    <row r="10" spans="1:33" ht="25.5" customHeight="1">
      <c r="A10" s="568"/>
      <c r="B10" s="569"/>
      <c r="C10" s="570"/>
      <c r="D10" s="571"/>
      <c r="E10" s="572"/>
      <c r="F10" s="572"/>
      <c r="G10" s="572"/>
      <c r="H10" s="572"/>
      <c r="I10" s="572"/>
      <c r="J10" s="572"/>
      <c r="K10" s="572"/>
      <c r="L10" s="7"/>
      <c r="M10" s="7"/>
      <c r="N10" s="7"/>
      <c r="O10" s="7"/>
      <c r="P10" s="7"/>
      <c r="Q10" s="690"/>
      <c r="R10" s="69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412" t="s">
        <v>1113</v>
      </c>
      <c r="F11" s="412" t="s">
        <v>1113</v>
      </c>
      <c r="G11" s="22" t="s">
        <v>1113</v>
      </c>
      <c r="H11" s="22" t="s">
        <v>1113</v>
      </c>
      <c r="I11" s="414" t="s">
        <v>1113</v>
      </c>
      <c r="J11" s="575" t="s">
        <v>1113</v>
      </c>
      <c r="K11" s="414" t="s">
        <v>1113</v>
      </c>
      <c r="L11" s="575" t="s">
        <v>1113</v>
      </c>
      <c r="M11" s="575" t="s">
        <v>1113</v>
      </c>
      <c r="N11" s="414" t="s">
        <v>1113</v>
      </c>
      <c r="O11" s="414" t="s">
        <v>1113</v>
      </c>
      <c r="P11" s="414" t="s">
        <v>1113</v>
      </c>
      <c r="Q11" s="21" t="s">
        <v>1113</v>
      </c>
      <c r="R11" s="575" t="s">
        <v>1113</v>
      </c>
      <c r="S11" s="22" t="s">
        <v>1113</v>
      </c>
      <c r="T11" s="21" t="s">
        <v>1113</v>
      </c>
      <c r="U11" s="21" t="s">
        <v>1113</v>
      </c>
      <c r="V11" s="21" t="s">
        <v>1113</v>
      </c>
      <c r="W11" s="21" t="s">
        <v>1113</v>
      </c>
      <c r="X11" s="21" t="s">
        <v>1113</v>
      </c>
      <c r="Y11" s="201"/>
      <c r="Z11" s="576" t="s">
        <v>38</v>
      </c>
      <c r="AA11" s="577"/>
      <c r="AB11" s="535"/>
      <c r="AC11" s="535"/>
      <c r="AD11" s="7"/>
      <c r="AE11" s="7"/>
      <c r="AF11" s="7"/>
      <c r="AG11" s="7"/>
    </row>
    <row r="12" spans="1:33" ht="29.25" customHeight="1">
      <c r="A12" s="578"/>
      <c r="B12" s="430"/>
      <c r="C12" s="579" t="s">
        <v>39</v>
      </c>
      <c r="D12" s="186"/>
      <c r="E12" s="691">
        <v>1</v>
      </c>
      <c r="F12" s="691">
        <v>1</v>
      </c>
      <c r="G12" s="29">
        <v>2</v>
      </c>
      <c r="H12" s="29">
        <v>2</v>
      </c>
      <c r="I12" s="293">
        <v>1</v>
      </c>
      <c r="J12" s="26">
        <v>1</v>
      </c>
      <c r="K12" s="293">
        <v>1</v>
      </c>
      <c r="L12" s="26">
        <v>2</v>
      </c>
      <c r="M12" s="26">
        <v>3</v>
      </c>
      <c r="N12" s="185">
        <v>1</v>
      </c>
      <c r="O12" s="185">
        <v>1</v>
      </c>
      <c r="P12" s="185">
        <v>2</v>
      </c>
      <c r="Q12" s="191">
        <v>1</v>
      </c>
      <c r="R12" s="30">
        <v>5</v>
      </c>
      <c r="S12" s="29">
        <v>3</v>
      </c>
      <c r="T12" s="185">
        <v>1</v>
      </c>
      <c r="U12" s="185">
        <v>1</v>
      </c>
      <c r="V12" s="185">
        <v>1</v>
      </c>
      <c r="W12" s="185">
        <v>1</v>
      </c>
      <c r="X12" s="185">
        <v>1</v>
      </c>
      <c r="Y12" s="352"/>
      <c r="Z12" s="581">
        <f>SUM(E12:Y12)</f>
        <v>32</v>
      </c>
      <c r="AA12" s="582"/>
      <c r="AB12" s="582"/>
      <c r="AC12" s="582"/>
      <c r="AD12" s="7"/>
      <c r="AE12" s="7"/>
      <c r="AF12" s="7"/>
      <c r="AG12" s="7"/>
    </row>
    <row r="13" spans="1:33" ht="37.5" customHeight="1">
      <c r="A13" s="583"/>
      <c r="B13" s="584"/>
      <c r="C13" s="585" t="s">
        <v>40</v>
      </c>
      <c r="D13" s="584"/>
      <c r="E13" s="601" t="s">
        <v>1617</v>
      </c>
      <c r="F13" s="601" t="s">
        <v>1618</v>
      </c>
      <c r="G13" s="32" t="s">
        <v>1619</v>
      </c>
      <c r="H13" s="32" t="s">
        <v>1620</v>
      </c>
      <c r="I13" s="32" t="s">
        <v>1621</v>
      </c>
      <c r="J13" s="692" t="s">
        <v>1622</v>
      </c>
      <c r="K13" s="189">
        <v>44871</v>
      </c>
      <c r="L13" s="692" t="s">
        <v>1623</v>
      </c>
      <c r="M13" s="588"/>
      <c r="N13" s="32">
        <v>44801</v>
      </c>
      <c r="O13" s="40" t="s">
        <v>1624</v>
      </c>
      <c r="P13" s="40" t="s">
        <v>1625</v>
      </c>
      <c r="Q13" s="32" t="s">
        <v>1626</v>
      </c>
      <c r="R13" s="693" t="s">
        <v>1627</v>
      </c>
      <c r="S13" s="587" t="s">
        <v>1628</v>
      </c>
      <c r="T13" s="694" t="s">
        <v>1629</v>
      </c>
      <c r="U13" s="694" t="s">
        <v>1351</v>
      </c>
      <c r="V13" s="694" t="s">
        <v>1351</v>
      </c>
      <c r="W13" s="694" t="s">
        <v>1352</v>
      </c>
      <c r="X13" s="694" t="s">
        <v>1630</v>
      </c>
      <c r="Y13" s="32"/>
      <c r="Z13" s="581"/>
      <c r="AA13" s="591"/>
      <c r="AB13" s="582"/>
      <c r="AC13" s="591"/>
      <c r="AD13" s="7"/>
      <c r="AE13" s="7"/>
      <c r="AF13" s="7"/>
      <c r="AG13" s="7"/>
    </row>
    <row r="14" spans="1:33" ht="53.25" customHeight="1">
      <c r="A14" s="578"/>
      <c r="B14" s="430"/>
      <c r="C14" s="579" t="s">
        <v>41</v>
      </c>
      <c r="D14" s="430"/>
      <c r="E14" s="186" t="s">
        <v>1385</v>
      </c>
      <c r="F14" s="186" t="s">
        <v>1631</v>
      </c>
      <c r="G14" s="30" t="s">
        <v>1632</v>
      </c>
      <c r="H14" s="30" t="s">
        <v>1633</v>
      </c>
      <c r="I14" s="185"/>
      <c r="J14" s="588" t="s">
        <v>1634</v>
      </c>
      <c r="K14" s="185"/>
      <c r="L14" s="588" t="s">
        <v>1635</v>
      </c>
      <c r="M14" s="588"/>
      <c r="N14" s="185" t="s">
        <v>1636</v>
      </c>
      <c r="O14" s="185" t="s">
        <v>1631</v>
      </c>
      <c r="P14" s="185" t="s">
        <v>1637</v>
      </c>
      <c r="Q14" s="185"/>
      <c r="R14" s="589" t="s">
        <v>1382</v>
      </c>
      <c r="S14" s="30" t="s">
        <v>1638</v>
      </c>
      <c r="T14" s="186" t="s">
        <v>1385</v>
      </c>
      <c r="U14" s="186" t="s">
        <v>1384</v>
      </c>
      <c r="V14" s="186" t="s">
        <v>1385</v>
      </c>
      <c r="W14" s="186" t="s">
        <v>1385</v>
      </c>
      <c r="X14" s="186" t="s">
        <v>1639</v>
      </c>
      <c r="Y14" s="593"/>
      <c r="Z14" s="581"/>
      <c r="AA14" s="582"/>
      <c r="AB14" s="582"/>
      <c r="AC14" s="582"/>
      <c r="AD14" s="7"/>
      <c r="AE14" s="7"/>
      <c r="AF14" s="7"/>
      <c r="AG14" s="7"/>
    </row>
    <row r="15" spans="1:33" ht="51" customHeight="1">
      <c r="A15" s="578"/>
      <c r="B15" s="430"/>
      <c r="C15" s="579" t="s">
        <v>42</v>
      </c>
      <c r="D15" s="430"/>
      <c r="E15" s="186" t="s">
        <v>1552</v>
      </c>
      <c r="F15" s="186" t="s">
        <v>1552</v>
      </c>
      <c r="G15" s="30" t="s">
        <v>1640</v>
      </c>
      <c r="H15" s="30" t="s">
        <v>1640</v>
      </c>
      <c r="I15" s="191" t="s">
        <v>1552</v>
      </c>
      <c r="J15" s="595" t="s">
        <v>1641</v>
      </c>
      <c r="K15" s="191" t="s">
        <v>1642</v>
      </c>
      <c r="L15" s="595" t="s">
        <v>1641</v>
      </c>
      <c r="M15" s="595" t="s">
        <v>1641</v>
      </c>
      <c r="N15" s="191" t="s">
        <v>1642</v>
      </c>
      <c r="O15" s="191" t="s">
        <v>1642</v>
      </c>
      <c r="P15" s="191" t="s">
        <v>1642</v>
      </c>
      <c r="Q15" s="185" t="s">
        <v>1394</v>
      </c>
      <c r="R15" s="596" t="s">
        <v>1641</v>
      </c>
      <c r="S15" s="30" t="s">
        <v>1395</v>
      </c>
      <c r="T15" s="190" t="s">
        <v>1395</v>
      </c>
      <c r="U15" s="190" t="s">
        <v>1395</v>
      </c>
      <c r="V15" s="190" t="s">
        <v>1395</v>
      </c>
      <c r="W15" s="190" t="s">
        <v>1395</v>
      </c>
      <c r="X15" s="190" t="s">
        <v>1395</v>
      </c>
      <c r="Y15" s="353"/>
      <c r="Z15" s="576"/>
      <c r="AA15" s="582"/>
      <c r="AB15" s="582"/>
      <c r="AC15" s="582"/>
      <c r="AD15" s="7"/>
      <c r="AE15" s="7"/>
      <c r="AF15" s="7"/>
      <c r="AG15" s="7"/>
    </row>
    <row r="16" spans="1:33" ht="30.75" customHeight="1">
      <c r="A16" s="579"/>
      <c r="B16" s="186"/>
      <c r="C16" s="579" t="s">
        <v>43</v>
      </c>
      <c r="D16" s="186"/>
      <c r="E16" s="186" t="s">
        <v>1643</v>
      </c>
      <c r="F16" s="186" t="s">
        <v>1644</v>
      </c>
      <c r="G16" s="34" t="s">
        <v>1645</v>
      </c>
      <c r="H16" s="34" t="s">
        <v>1646</v>
      </c>
      <c r="I16" s="193" t="s">
        <v>1647</v>
      </c>
      <c r="J16" s="595" t="s">
        <v>1648</v>
      </c>
      <c r="K16" s="193" t="s">
        <v>1649</v>
      </c>
      <c r="L16" s="595" t="s">
        <v>1650</v>
      </c>
      <c r="M16" s="595" t="s">
        <v>1651</v>
      </c>
      <c r="N16" s="193" t="s">
        <v>1652</v>
      </c>
      <c r="O16" s="193" t="s">
        <v>1653</v>
      </c>
      <c r="P16" s="193" t="s">
        <v>1654</v>
      </c>
      <c r="Q16" s="354" t="s">
        <v>1655</v>
      </c>
      <c r="R16" s="596" t="s">
        <v>1656</v>
      </c>
      <c r="S16" s="695" t="s">
        <v>1651</v>
      </c>
      <c r="T16" s="354" t="s">
        <v>1657</v>
      </c>
      <c r="U16" s="354" t="s">
        <v>1403</v>
      </c>
      <c r="V16" s="354" t="s">
        <v>1404</v>
      </c>
      <c r="W16" s="354" t="s">
        <v>1405</v>
      </c>
      <c r="X16" s="354" t="s">
        <v>1658</v>
      </c>
      <c r="Y16" s="597"/>
      <c r="Z16" s="598"/>
      <c r="AA16" s="599"/>
      <c r="AB16" s="599"/>
      <c r="AC16" s="599"/>
      <c r="AD16" s="7"/>
      <c r="AE16" s="7"/>
      <c r="AF16" s="7"/>
      <c r="AG16" s="7"/>
    </row>
    <row r="17" spans="1:33" ht="33.75" customHeight="1">
      <c r="A17" s="583"/>
      <c r="B17" s="584"/>
      <c r="C17" s="585" t="s">
        <v>70</v>
      </c>
      <c r="D17" s="584"/>
      <c r="E17" s="601" t="s">
        <v>1659</v>
      </c>
      <c r="F17" s="601" t="s">
        <v>1660</v>
      </c>
      <c r="G17" s="32" t="s">
        <v>1661</v>
      </c>
      <c r="H17" s="32" t="s">
        <v>1662</v>
      </c>
      <c r="I17" s="32" t="s">
        <v>1663</v>
      </c>
      <c r="J17" s="696" t="s">
        <v>1664</v>
      </c>
      <c r="K17" s="32" t="s">
        <v>1665</v>
      </c>
      <c r="L17" s="696" t="s">
        <v>1666</v>
      </c>
      <c r="M17" s="40" t="s">
        <v>1667</v>
      </c>
      <c r="N17" s="40" t="s">
        <v>1668</v>
      </c>
      <c r="O17" s="40" t="s">
        <v>1669</v>
      </c>
      <c r="P17" s="40" t="s">
        <v>1670</v>
      </c>
      <c r="Q17" s="601" t="s">
        <v>1671</v>
      </c>
      <c r="R17" s="697" t="s">
        <v>1672</v>
      </c>
      <c r="S17" s="587" t="s">
        <v>1667</v>
      </c>
      <c r="T17" s="694" t="s">
        <v>1673</v>
      </c>
      <c r="U17" s="694" t="s">
        <v>1443</v>
      </c>
      <c r="V17" s="694" t="s">
        <v>1351</v>
      </c>
      <c r="W17" s="694" t="s">
        <v>1444</v>
      </c>
      <c r="X17" s="694" t="s">
        <v>1674</v>
      </c>
      <c r="Y17" s="32"/>
      <c r="Z17" s="581"/>
      <c r="AA17" s="591"/>
      <c r="AB17" s="591"/>
      <c r="AC17" s="591"/>
      <c r="AD17" s="7"/>
      <c r="AE17" s="7"/>
      <c r="AF17" s="7"/>
      <c r="AG17" s="7"/>
    </row>
    <row r="18" spans="1:33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196"/>
      <c r="F18" s="196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197"/>
      <c r="R18" s="602"/>
      <c r="S18" s="302"/>
      <c r="T18" s="196"/>
      <c r="U18" s="603"/>
      <c r="V18" s="604"/>
      <c r="W18" s="605"/>
      <c r="X18" s="605"/>
      <c r="Y18" s="606"/>
      <c r="Z18" s="607"/>
      <c r="AA18" s="608"/>
      <c r="AB18" s="609"/>
      <c r="AC18" s="609"/>
      <c r="AD18" s="7"/>
      <c r="AE18" s="7"/>
      <c r="AF18" s="7"/>
      <c r="AG18" s="7"/>
    </row>
    <row r="19" spans="1:33" ht="27" customHeight="1">
      <c r="A19" s="466">
        <v>1</v>
      </c>
      <c r="B19" s="467" t="s">
        <v>87</v>
      </c>
      <c r="C19" s="610" t="s">
        <v>88</v>
      </c>
      <c r="D19" s="466"/>
      <c r="E19" s="466"/>
      <c r="F19" s="466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3"/>
      <c r="R19" s="201"/>
      <c r="S19" s="304"/>
      <c r="T19" s="202"/>
      <c r="U19" s="612"/>
      <c r="V19" s="613"/>
      <c r="W19" s="614"/>
      <c r="X19" s="614"/>
      <c r="Y19" s="615"/>
      <c r="Z19" s="616"/>
      <c r="AA19" s="617"/>
      <c r="AB19" s="577"/>
      <c r="AC19" s="577"/>
      <c r="AD19" s="7"/>
      <c r="AE19" s="24"/>
      <c r="AF19" s="7"/>
      <c r="AG19" s="618">
        <f t="shared" ref="AG19:AG42" si="0">AE19-Z19</f>
        <v>0</v>
      </c>
    </row>
    <row r="20" spans="1:33" ht="20.25" customHeight="1">
      <c r="A20" s="474"/>
      <c r="B20" s="475" t="s">
        <v>89</v>
      </c>
      <c r="C20" s="619" t="s">
        <v>90</v>
      </c>
      <c r="D20" s="416" t="s">
        <v>91</v>
      </c>
      <c r="E20" s="624"/>
      <c r="F20" s="624"/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10"/>
      <c r="R20" s="209"/>
      <c r="S20" s="211"/>
      <c r="T20" s="210"/>
      <c r="U20" s="621"/>
      <c r="V20" s="622"/>
      <c r="W20" s="623"/>
      <c r="X20" s="623"/>
      <c r="Y20" s="624">
        <v>0</v>
      </c>
      <c r="Z20" s="625">
        <f t="shared" ref="Z20:Z274" si="1">+SUM(E20:Y20)</f>
        <v>0</v>
      </c>
      <c r="AA20" s="626"/>
      <c r="AB20" s="627"/>
      <c r="AC20" s="627"/>
      <c r="AD20" s="7"/>
      <c r="AE20" s="24"/>
      <c r="AF20" s="7"/>
      <c r="AG20" s="618">
        <f t="shared" si="0"/>
        <v>0</v>
      </c>
    </row>
    <row r="21" spans="1:33" ht="20.25" customHeight="1">
      <c r="A21" s="482"/>
      <c r="B21" s="483" t="s">
        <v>94</v>
      </c>
      <c r="C21" s="629" t="s">
        <v>95</v>
      </c>
      <c r="D21" s="485" t="s">
        <v>91</v>
      </c>
      <c r="E21" s="485"/>
      <c r="F21" s="485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21"/>
      <c r="R21" s="213"/>
      <c r="S21" s="215"/>
      <c r="T21" s="214"/>
      <c r="U21" s="630"/>
      <c r="V21" s="631"/>
      <c r="W21" s="632"/>
      <c r="X21" s="632"/>
      <c r="Y21" s="615">
        <v>0</v>
      </c>
      <c r="Z21" s="616">
        <f t="shared" si="1"/>
        <v>0</v>
      </c>
      <c r="AA21" s="633"/>
      <c r="AB21" s="634"/>
      <c r="AC21" s="634"/>
      <c r="AD21" s="7"/>
      <c r="AE21" s="24"/>
      <c r="AF21" s="7"/>
      <c r="AG21" s="618">
        <f t="shared" si="0"/>
        <v>0</v>
      </c>
    </row>
    <row r="22" spans="1:33" ht="20.25" customHeight="1">
      <c r="A22" s="482"/>
      <c r="B22" s="483" t="s">
        <v>96</v>
      </c>
      <c r="C22" s="629" t="s">
        <v>97</v>
      </c>
      <c r="D22" s="485" t="s">
        <v>91</v>
      </c>
      <c r="E22" s="485"/>
      <c r="F22" s="485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21"/>
      <c r="R22" s="213"/>
      <c r="S22" s="215"/>
      <c r="T22" s="214"/>
      <c r="U22" s="630"/>
      <c r="V22" s="631"/>
      <c r="W22" s="632"/>
      <c r="X22" s="632"/>
      <c r="Y22" s="615">
        <v>0</v>
      </c>
      <c r="Z22" s="616">
        <f t="shared" si="1"/>
        <v>0</v>
      </c>
      <c r="AA22" s="633"/>
      <c r="AB22" s="634"/>
      <c r="AC22" s="634"/>
      <c r="AD22" s="7"/>
      <c r="AE22" s="24"/>
      <c r="AF22" s="7"/>
      <c r="AG22" s="618">
        <f t="shared" si="0"/>
        <v>0</v>
      </c>
    </row>
    <row r="23" spans="1:33" ht="20.25" customHeight="1">
      <c r="A23" s="482"/>
      <c r="B23" s="483" t="s">
        <v>98</v>
      </c>
      <c r="C23" s="629" t="s">
        <v>99</v>
      </c>
      <c r="D23" s="485" t="s">
        <v>91</v>
      </c>
      <c r="E23" s="485"/>
      <c r="F23" s="485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21"/>
      <c r="R23" s="213"/>
      <c r="S23" s="215"/>
      <c r="T23" s="214"/>
      <c r="U23" s="630"/>
      <c r="V23" s="631"/>
      <c r="W23" s="632"/>
      <c r="X23" s="632"/>
      <c r="Y23" s="615">
        <v>0</v>
      </c>
      <c r="Z23" s="616">
        <f t="shared" si="1"/>
        <v>0</v>
      </c>
      <c r="AA23" s="633"/>
      <c r="AB23" s="634"/>
      <c r="AC23" s="634"/>
      <c r="AD23" s="7"/>
      <c r="AE23" s="24"/>
      <c r="AF23" s="7"/>
      <c r="AG23" s="618">
        <f t="shared" si="0"/>
        <v>0</v>
      </c>
    </row>
    <row r="24" spans="1:33" ht="20.25" customHeight="1">
      <c r="A24" s="482"/>
      <c r="B24" s="483" t="s">
        <v>100</v>
      </c>
      <c r="C24" s="629" t="s">
        <v>101</v>
      </c>
      <c r="D24" s="485" t="s">
        <v>91</v>
      </c>
      <c r="E24" s="485"/>
      <c r="F24" s="485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21"/>
      <c r="R24" s="213"/>
      <c r="S24" s="215"/>
      <c r="T24" s="214"/>
      <c r="U24" s="630"/>
      <c r="V24" s="631"/>
      <c r="W24" s="632"/>
      <c r="X24" s="632"/>
      <c r="Y24" s="615">
        <v>0</v>
      </c>
      <c r="Z24" s="616">
        <f t="shared" si="1"/>
        <v>0</v>
      </c>
      <c r="AA24" s="633"/>
      <c r="AB24" s="634"/>
      <c r="AC24" s="634"/>
      <c r="AD24" s="7"/>
      <c r="AE24" s="24"/>
      <c r="AF24" s="7"/>
      <c r="AG24" s="618">
        <f t="shared" si="0"/>
        <v>0</v>
      </c>
    </row>
    <row r="25" spans="1:33" ht="20.25" customHeight="1">
      <c r="A25" s="474"/>
      <c r="B25" s="475" t="s">
        <v>102</v>
      </c>
      <c r="C25" s="619" t="s">
        <v>103</v>
      </c>
      <c r="D25" s="416" t="s">
        <v>91</v>
      </c>
      <c r="E25" s="624"/>
      <c r="F25" s="624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10"/>
      <c r="R25" s="209"/>
      <c r="S25" s="211"/>
      <c r="T25" s="210"/>
      <c r="U25" s="621"/>
      <c r="V25" s="622"/>
      <c r="W25" s="623"/>
      <c r="X25" s="623"/>
      <c r="Y25" s="624">
        <v>0</v>
      </c>
      <c r="Z25" s="625">
        <f t="shared" si="1"/>
        <v>0</v>
      </c>
      <c r="AA25" s="626"/>
      <c r="AB25" s="627"/>
      <c r="AC25" s="627"/>
      <c r="AD25" s="7"/>
      <c r="AE25" s="24"/>
      <c r="AF25" s="7"/>
      <c r="AG25" s="618">
        <f t="shared" si="0"/>
        <v>0</v>
      </c>
    </row>
    <row r="26" spans="1:33" ht="20.25" customHeight="1">
      <c r="A26" s="482"/>
      <c r="B26" s="483" t="s">
        <v>105</v>
      </c>
      <c r="C26" s="629" t="s">
        <v>95</v>
      </c>
      <c r="D26" s="485" t="s">
        <v>91</v>
      </c>
      <c r="E26" s="485"/>
      <c r="F26" s="485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21"/>
      <c r="R26" s="213"/>
      <c r="S26" s="215"/>
      <c r="T26" s="214"/>
      <c r="U26" s="630"/>
      <c r="V26" s="631"/>
      <c r="W26" s="632"/>
      <c r="X26" s="632"/>
      <c r="Y26" s="615">
        <v>0</v>
      </c>
      <c r="Z26" s="616">
        <f t="shared" si="1"/>
        <v>0</v>
      </c>
      <c r="AA26" s="633"/>
      <c r="AB26" s="634"/>
      <c r="AC26" s="634"/>
      <c r="AD26" s="7"/>
      <c r="AE26" s="24"/>
      <c r="AF26" s="7"/>
      <c r="AG26" s="618">
        <f t="shared" si="0"/>
        <v>0</v>
      </c>
    </row>
    <row r="27" spans="1:33" ht="20.25" customHeight="1">
      <c r="A27" s="482"/>
      <c r="B27" s="483" t="s">
        <v>106</v>
      </c>
      <c r="C27" s="629" t="s">
        <v>97</v>
      </c>
      <c r="D27" s="485" t="s">
        <v>91</v>
      </c>
      <c r="E27" s="485"/>
      <c r="F27" s="485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21"/>
      <c r="R27" s="213"/>
      <c r="S27" s="215"/>
      <c r="T27" s="214"/>
      <c r="U27" s="630"/>
      <c r="V27" s="631"/>
      <c r="W27" s="632"/>
      <c r="X27" s="632"/>
      <c r="Y27" s="615">
        <v>0</v>
      </c>
      <c r="Z27" s="616">
        <f t="shared" si="1"/>
        <v>0</v>
      </c>
      <c r="AA27" s="633"/>
      <c r="AB27" s="634"/>
      <c r="AC27" s="634"/>
      <c r="AD27" s="7"/>
      <c r="AE27" s="24"/>
      <c r="AF27" s="7"/>
      <c r="AG27" s="618">
        <f t="shared" si="0"/>
        <v>0</v>
      </c>
    </row>
    <row r="28" spans="1:33" ht="20.25" customHeight="1">
      <c r="A28" s="482"/>
      <c r="B28" s="483" t="s">
        <v>107</v>
      </c>
      <c r="C28" s="629" t="s">
        <v>99</v>
      </c>
      <c r="D28" s="485" t="s">
        <v>91</v>
      </c>
      <c r="E28" s="485"/>
      <c r="F28" s="485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21"/>
      <c r="R28" s="213"/>
      <c r="S28" s="215"/>
      <c r="T28" s="214"/>
      <c r="U28" s="630"/>
      <c r="V28" s="631"/>
      <c r="W28" s="632"/>
      <c r="X28" s="632"/>
      <c r="Y28" s="615">
        <v>0</v>
      </c>
      <c r="Z28" s="616">
        <f t="shared" si="1"/>
        <v>0</v>
      </c>
      <c r="AA28" s="633"/>
      <c r="AB28" s="634"/>
      <c r="AC28" s="634"/>
      <c r="AD28" s="7"/>
      <c r="AE28" s="24"/>
      <c r="AF28" s="7"/>
      <c r="AG28" s="618">
        <f t="shared" si="0"/>
        <v>0</v>
      </c>
    </row>
    <row r="29" spans="1:33" ht="20.25" customHeight="1">
      <c r="A29" s="482"/>
      <c r="B29" s="483" t="s">
        <v>108</v>
      </c>
      <c r="C29" s="629" t="s">
        <v>101</v>
      </c>
      <c r="D29" s="485" t="s">
        <v>91</v>
      </c>
      <c r="E29" s="485"/>
      <c r="F29" s="485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21"/>
      <c r="R29" s="213"/>
      <c r="S29" s="215"/>
      <c r="T29" s="214"/>
      <c r="U29" s="630"/>
      <c r="V29" s="631"/>
      <c r="W29" s="632"/>
      <c r="X29" s="632"/>
      <c r="Y29" s="615">
        <v>0</v>
      </c>
      <c r="Z29" s="616">
        <f t="shared" si="1"/>
        <v>0</v>
      </c>
      <c r="AA29" s="633"/>
      <c r="AB29" s="634"/>
      <c r="AC29" s="634"/>
      <c r="AD29" s="7"/>
      <c r="AE29" s="24"/>
      <c r="AF29" s="7"/>
      <c r="AG29" s="618">
        <f t="shared" si="0"/>
        <v>0</v>
      </c>
    </row>
    <row r="30" spans="1:33" ht="20.25" customHeight="1">
      <c r="A30" s="474"/>
      <c r="B30" s="475" t="s">
        <v>109</v>
      </c>
      <c r="C30" s="619" t="s">
        <v>110</v>
      </c>
      <c r="D30" s="416" t="s">
        <v>91</v>
      </c>
      <c r="E30" s="624"/>
      <c r="F30" s="624"/>
      <c r="G30" s="209"/>
      <c r="H30" s="209"/>
      <c r="I30" s="209"/>
      <c r="J30" s="209"/>
      <c r="K30" s="209"/>
      <c r="L30" s="209">
        <v>1</v>
      </c>
      <c r="M30" s="209"/>
      <c r="N30" s="209"/>
      <c r="O30" s="209"/>
      <c r="P30" s="209"/>
      <c r="Q30" s="210"/>
      <c r="R30" s="209"/>
      <c r="S30" s="211"/>
      <c r="T30" s="210"/>
      <c r="U30" s="621"/>
      <c r="V30" s="622"/>
      <c r="W30" s="623"/>
      <c r="X30" s="623"/>
      <c r="Y30" s="624">
        <v>0</v>
      </c>
      <c r="Z30" s="625">
        <f t="shared" si="1"/>
        <v>1</v>
      </c>
      <c r="AA30" s="626"/>
      <c r="AB30" s="627"/>
      <c r="AC30" s="627"/>
      <c r="AD30" s="7"/>
      <c r="AE30" s="24">
        <v>1</v>
      </c>
      <c r="AF30" s="7"/>
      <c r="AG30" s="618">
        <f t="shared" si="0"/>
        <v>0</v>
      </c>
    </row>
    <row r="31" spans="1:33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485"/>
      <c r="F31" s="485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21"/>
      <c r="R31" s="213"/>
      <c r="S31" s="215"/>
      <c r="T31" s="214"/>
      <c r="U31" s="630"/>
      <c r="V31" s="631"/>
      <c r="W31" s="632"/>
      <c r="X31" s="632"/>
      <c r="Y31" s="615">
        <v>0</v>
      </c>
      <c r="Z31" s="616">
        <f t="shared" si="1"/>
        <v>0</v>
      </c>
      <c r="AA31" s="633"/>
      <c r="AB31" s="634"/>
      <c r="AC31" s="634"/>
      <c r="AD31" s="7"/>
      <c r="AE31" s="24"/>
      <c r="AF31" s="7"/>
      <c r="AG31" s="618">
        <f t="shared" si="0"/>
        <v>0</v>
      </c>
    </row>
    <row r="32" spans="1:33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485"/>
      <c r="F32" s="485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21"/>
      <c r="R32" s="213"/>
      <c r="S32" s="215"/>
      <c r="T32" s="214"/>
      <c r="U32" s="630"/>
      <c r="V32" s="631"/>
      <c r="W32" s="632"/>
      <c r="X32" s="632"/>
      <c r="Y32" s="615">
        <v>0</v>
      </c>
      <c r="Z32" s="616">
        <f t="shared" si="1"/>
        <v>0</v>
      </c>
      <c r="AA32" s="633"/>
      <c r="AB32" s="634"/>
      <c r="AC32" s="634"/>
      <c r="AD32" s="7"/>
      <c r="AE32" s="24"/>
      <c r="AF32" s="7"/>
      <c r="AG32" s="618">
        <f t="shared" si="0"/>
        <v>0</v>
      </c>
    </row>
    <row r="33" spans="1:33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485"/>
      <c r="F33" s="485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21"/>
      <c r="R33" s="213"/>
      <c r="S33" s="215"/>
      <c r="T33" s="214"/>
      <c r="U33" s="630"/>
      <c r="V33" s="631"/>
      <c r="W33" s="632"/>
      <c r="X33" s="632"/>
      <c r="Y33" s="615">
        <v>0</v>
      </c>
      <c r="Z33" s="616">
        <f t="shared" si="1"/>
        <v>0</v>
      </c>
      <c r="AA33" s="633"/>
      <c r="AB33" s="634"/>
      <c r="AC33" s="634"/>
      <c r="AD33" s="7"/>
      <c r="AE33" s="24"/>
      <c r="AF33" s="7"/>
      <c r="AG33" s="618">
        <f t="shared" si="0"/>
        <v>0</v>
      </c>
    </row>
    <row r="34" spans="1:33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485"/>
      <c r="F34" s="485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21"/>
      <c r="R34" s="213"/>
      <c r="S34" s="215"/>
      <c r="T34" s="214"/>
      <c r="U34" s="630"/>
      <c r="V34" s="631"/>
      <c r="W34" s="632"/>
      <c r="X34" s="632"/>
      <c r="Y34" s="615">
        <v>0</v>
      </c>
      <c r="Z34" s="616">
        <f t="shared" si="1"/>
        <v>0</v>
      </c>
      <c r="AA34" s="633"/>
      <c r="AB34" s="634"/>
      <c r="AC34" s="634"/>
      <c r="AD34" s="7"/>
      <c r="AE34" s="24"/>
      <c r="AF34" s="7"/>
      <c r="AG34" s="618">
        <f t="shared" si="0"/>
        <v>0</v>
      </c>
    </row>
    <row r="35" spans="1:33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412"/>
      <c r="F35" s="412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21"/>
      <c r="R35" s="213"/>
      <c r="S35" s="215"/>
      <c r="T35" s="214"/>
      <c r="U35" s="630"/>
      <c r="V35" s="631"/>
      <c r="W35" s="632"/>
      <c r="X35" s="632"/>
      <c r="Y35" s="615">
        <v>0</v>
      </c>
      <c r="Z35" s="616">
        <f t="shared" si="1"/>
        <v>0</v>
      </c>
      <c r="AA35" s="633"/>
      <c r="AB35" s="636"/>
      <c r="AC35" s="636"/>
      <c r="AD35" s="7"/>
      <c r="AE35" s="24"/>
      <c r="AF35" s="7"/>
      <c r="AG35" s="618">
        <f t="shared" si="0"/>
        <v>0</v>
      </c>
    </row>
    <row r="36" spans="1:33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412"/>
      <c r="F36" s="412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21"/>
      <c r="R36" s="213"/>
      <c r="S36" s="215"/>
      <c r="T36" s="214"/>
      <c r="U36" s="630"/>
      <c r="V36" s="631"/>
      <c r="W36" s="632"/>
      <c r="X36" s="632"/>
      <c r="Y36" s="615">
        <v>0</v>
      </c>
      <c r="Z36" s="616">
        <f t="shared" si="1"/>
        <v>0</v>
      </c>
      <c r="AA36" s="633"/>
      <c r="AB36" s="547" t="s">
        <v>1576</v>
      </c>
      <c r="AC36" s="636"/>
      <c r="AD36" s="7"/>
      <c r="AE36" s="24"/>
      <c r="AF36" s="7"/>
      <c r="AG36" s="618">
        <f t="shared" si="0"/>
        <v>0</v>
      </c>
    </row>
    <row r="37" spans="1:33" ht="19.5" customHeight="1">
      <c r="A37" s="489">
        <v>2</v>
      </c>
      <c r="B37" s="490" t="s">
        <v>128</v>
      </c>
      <c r="C37" s="637" t="s">
        <v>129</v>
      </c>
      <c r="D37" s="491"/>
      <c r="E37" s="639"/>
      <c r="F37" s="639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21"/>
      <c r="R37" s="213"/>
      <c r="S37" s="215"/>
      <c r="T37" s="214"/>
      <c r="U37" s="630"/>
      <c r="V37" s="631"/>
      <c r="W37" s="632"/>
      <c r="X37" s="632"/>
      <c r="Y37" s="639">
        <v>0</v>
      </c>
      <c r="Z37" s="616">
        <f t="shared" si="1"/>
        <v>0</v>
      </c>
      <c r="AA37" s="633"/>
      <c r="AB37" s="640"/>
      <c r="AC37" s="640"/>
      <c r="AD37" s="7"/>
      <c r="AE37" s="24"/>
      <c r="AF37" s="7"/>
      <c r="AG37" s="618">
        <f t="shared" si="0"/>
        <v>0</v>
      </c>
    </row>
    <row r="38" spans="1:33" ht="20.25" customHeight="1">
      <c r="A38" s="492"/>
      <c r="B38" s="493" t="s">
        <v>130</v>
      </c>
      <c r="C38" s="641" t="s">
        <v>131</v>
      </c>
      <c r="D38" s="495" t="s">
        <v>132</v>
      </c>
      <c r="E38" s="624"/>
      <c r="F38" s="624"/>
      <c r="G38" s="209">
        <v>1</v>
      </c>
      <c r="H38" s="209"/>
      <c r="I38" s="209"/>
      <c r="J38" s="209"/>
      <c r="K38" s="209"/>
      <c r="L38" s="209"/>
      <c r="M38" s="209"/>
      <c r="N38" s="209"/>
      <c r="O38" s="209"/>
      <c r="P38" s="209"/>
      <c r="Q38" s="210"/>
      <c r="R38" s="209"/>
      <c r="S38" s="211"/>
      <c r="T38" s="210"/>
      <c r="U38" s="621"/>
      <c r="V38" s="622"/>
      <c r="W38" s="623"/>
      <c r="X38" s="623"/>
      <c r="Y38" s="624">
        <v>1</v>
      </c>
      <c r="Z38" s="625">
        <f t="shared" si="1"/>
        <v>2</v>
      </c>
      <c r="AA38" s="626"/>
      <c r="AB38" s="627" t="s">
        <v>1577</v>
      </c>
      <c r="AC38" s="642">
        <f>Z38</f>
        <v>2</v>
      </c>
      <c r="AD38" s="7"/>
      <c r="AE38" s="24">
        <v>2</v>
      </c>
      <c r="AF38" s="7"/>
      <c r="AG38" s="618">
        <f t="shared" si="0"/>
        <v>0</v>
      </c>
    </row>
    <row r="39" spans="1:33" ht="20.25" hidden="1" customHeight="1">
      <c r="A39" s="482"/>
      <c r="B39" s="483" t="s">
        <v>135</v>
      </c>
      <c r="C39" s="629" t="s">
        <v>136</v>
      </c>
      <c r="D39" s="485" t="s">
        <v>132</v>
      </c>
      <c r="E39" s="485"/>
      <c r="F39" s="485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21"/>
      <c r="R39" s="213"/>
      <c r="S39" s="215"/>
      <c r="T39" s="214"/>
      <c r="U39" s="630"/>
      <c r="V39" s="631"/>
      <c r="W39" s="632"/>
      <c r="X39" s="632"/>
      <c r="Y39" s="643">
        <v>0</v>
      </c>
      <c r="Z39" s="616">
        <f t="shared" si="1"/>
        <v>0</v>
      </c>
      <c r="AA39" s="633"/>
      <c r="AB39" s="644" t="s">
        <v>1578</v>
      </c>
      <c r="AC39" s="645">
        <f>AA43</f>
        <v>104</v>
      </c>
      <c r="AD39" s="7"/>
      <c r="AE39" s="24"/>
      <c r="AF39" s="7"/>
      <c r="AG39" s="618">
        <f t="shared" si="0"/>
        <v>0</v>
      </c>
    </row>
    <row r="40" spans="1:33" ht="20.25" hidden="1" customHeight="1">
      <c r="A40" s="482"/>
      <c r="B40" s="483" t="s">
        <v>137</v>
      </c>
      <c r="C40" s="629" t="s">
        <v>138</v>
      </c>
      <c r="D40" s="485" t="s">
        <v>132</v>
      </c>
      <c r="E40" s="485"/>
      <c r="F40" s="485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21"/>
      <c r="R40" s="213"/>
      <c r="S40" s="215"/>
      <c r="T40" s="214"/>
      <c r="U40" s="630"/>
      <c r="V40" s="631"/>
      <c r="W40" s="632"/>
      <c r="X40" s="632"/>
      <c r="Y40" s="643">
        <v>0</v>
      </c>
      <c r="Z40" s="616">
        <f t="shared" si="1"/>
        <v>0</v>
      </c>
      <c r="AA40" s="633"/>
      <c r="AB40" s="636"/>
      <c r="AC40" s="636"/>
      <c r="AD40" s="7"/>
      <c r="AE40" s="24"/>
      <c r="AF40" s="7"/>
      <c r="AG40" s="618">
        <f t="shared" si="0"/>
        <v>0</v>
      </c>
    </row>
    <row r="41" spans="1:33" ht="20.25" hidden="1" customHeight="1">
      <c r="A41" s="482"/>
      <c r="B41" s="483" t="s">
        <v>139</v>
      </c>
      <c r="C41" s="629" t="s">
        <v>140</v>
      </c>
      <c r="D41" s="485" t="s">
        <v>132</v>
      </c>
      <c r="E41" s="485"/>
      <c r="F41" s="485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21"/>
      <c r="R41" s="213"/>
      <c r="S41" s="215"/>
      <c r="T41" s="214"/>
      <c r="U41" s="630"/>
      <c r="V41" s="631"/>
      <c r="W41" s="632"/>
      <c r="X41" s="632"/>
      <c r="Y41" s="643">
        <v>0</v>
      </c>
      <c r="Z41" s="616">
        <f t="shared" si="1"/>
        <v>0</v>
      </c>
      <c r="AA41" s="633"/>
      <c r="AB41" s="636"/>
      <c r="AC41" s="636"/>
      <c r="AD41" s="7"/>
      <c r="AE41" s="24"/>
      <c r="AF41" s="7"/>
      <c r="AG41" s="618">
        <f t="shared" si="0"/>
        <v>0</v>
      </c>
    </row>
    <row r="42" spans="1:33" ht="20.25" hidden="1" customHeight="1">
      <c r="A42" s="482"/>
      <c r="B42" s="483" t="s">
        <v>141</v>
      </c>
      <c r="C42" s="629" t="s">
        <v>142</v>
      </c>
      <c r="D42" s="485" t="s">
        <v>132</v>
      </c>
      <c r="E42" s="485"/>
      <c r="F42" s="485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21"/>
      <c r="R42" s="213"/>
      <c r="S42" s="215"/>
      <c r="T42" s="214"/>
      <c r="U42" s="630"/>
      <c r="V42" s="631"/>
      <c r="W42" s="632"/>
      <c r="X42" s="632"/>
      <c r="Y42" s="643">
        <v>0</v>
      </c>
      <c r="Z42" s="616">
        <f t="shared" si="1"/>
        <v>0</v>
      </c>
      <c r="AA42" s="633"/>
      <c r="AB42" s="636"/>
      <c r="AC42" s="636"/>
      <c r="AD42" s="7"/>
      <c r="AE42" s="24"/>
      <c r="AF42" s="7"/>
      <c r="AG42" s="618">
        <f t="shared" si="0"/>
        <v>0</v>
      </c>
    </row>
    <row r="43" spans="1:33" ht="20.25" customHeight="1">
      <c r="A43" s="482"/>
      <c r="B43" s="496" t="s">
        <v>143</v>
      </c>
      <c r="C43" s="555" t="s">
        <v>144</v>
      </c>
      <c r="D43" s="485" t="s">
        <v>132</v>
      </c>
      <c r="E43" s="485"/>
      <c r="F43" s="485"/>
      <c r="G43" s="213"/>
      <c r="H43" s="213"/>
      <c r="I43" s="213">
        <v>13</v>
      </c>
      <c r="J43" s="213">
        <v>1</v>
      </c>
      <c r="K43" s="213">
        <v>4</v>
      </c>
      <c r="L43" s="213">
        <v>4</v>
      </c>
      <c r="M43" s="213">
        <v>1</v>
      </c>
      <c r="N43" s="213">
        <v>2</v>
      </c>
      <c r="O43" s="213"/>
      <c r="P43" s="213"/>
      <c r="Q43" s="221"/>
      <c r="R43" s="213"/>
      <c r="S43" s="215">
        <v>1</v>
      </c>
      <c r="T43" s="214"/>
      <c r="U43" s="630"/>
      <c r="V43" s="631"/>
      <c r="W43" s="632"/>
      <c r="X43" s="632"/>
      <c r="Y43" s="643"/>
      <c r="Z43" s="616">
        <f t="shared" si="1"/>
        <v>26</v>
      </c>
      <c r="AA43" s="633">
        <f>Z43+Z48+Z53+Z62</f>
        <v>104</v>
      </c>
      <c r="AB43" s="634"/>
      <c r="AC43" s="634"/>
      <c r="AD43" s="7"/>
      <c r="AE43" s="24">
        <v>31</v>
      </c>
      <c r="AF43" s="7"/>
      <c r="AG43" s="618"/>
    </row>
    <row r="44" spans="1:33" ht="20.25" hidden="1" customHeight="1">
      <c r="A44" s="482"/>
      <c r="B44" s="483" t="s">
        <v>147</v>
      </c>
      <c r="C44" s="629" t="s">
        <v>136</v>
      </c>
      <c r="D44" s="485" t="s">
        <v>132</v>
      </c>
      <c r="E44" s="485"/>
      <c r="F44" s="485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21"/>
      <c r="R44" s="213"/>
      <c r="S44" s="215"/>
      <c r="T44" s="214"/>
      <c r="U44" s="630"/>
      <c r="V44" s="631"/>
      <c r="W44" s="632"/>
      <c r="X44" s="632"/>
      <c r="Y44" s="643"/>
      <c r="Z44" s="616">
        <f t="shared" si="1"/>
        <v>0</v>
      </c>
      <c r="AA44" s="633"/>
      <c r="AB44" s="634"/>
      <c r="AC44" s="634"/>
      <c r="AD44" s="7"/>
      <c r="AE44" s="24"/>
      <c r="AF44" s="7"/>
      <c r="AG44" s="618"/>
    </row>
    <row r="45" spans="1:33" ht="20.25" hidden="1" customHeight="1">
      <c r="A45" s="482"/>
      <c r="B45" s="483" t="s">
        <v>148</v>
      </c>
      <c r="C45" s="629" t="s">
        <v>138</v>
      </c>
      <c r="D45" s="485" t="s">
        <v>132</v>
      </c>
      <c r="E45" s="485"/>
      <c r="F45" s="485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21"/>
      <c r="R45" s="213"/>
      <c r="S45" s="215"/>
      <c r="T45" s="214"/>
      <c r="U45" s="630"/>
      <c r="V45" s="631"/>
      <c r="W45" s="632"/>
      <c r="X45" s="632"/>
      <c r="Y45" s="643"/>
      <c r="Z45" s="616">
        <f t="shared" si="1"/>
        <v>0</v>
      </c>
      <c r="AA45" s="633"/>
      <c r="AB45" s="634"/>
      <c r="AC45" s="634"/>
      <c r="AD45" s="7"/>
      <c r="AE45" s="24"/>
      <c r="AF45" s="7"/>
      <c r="AG45" s="618"/>
    </row>
    <row r="46" spans="1:33" ht="20.25" hidden="1" customHeight="1">
      <c r="A46" s="482"/>
      <c r="B46" s="483" t="s">
        <v>149</v>
      </c>
      <c r="C46" s="629" t="s">
        <v>140</v>
      </c>
      <c r="D46" s="485" t="s">
        <v>132</v>
      </c>
      <c r="E46" s="485"/>
      <c r="F46" s="485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21"/>
      <c r="R46" s="213"/>
      <c r="S46" s="215"/>
      <c r="T46" s="214"/>
      <c r="U46" s="630"/>
      <c r="V46" s="631"/>
      <c r="W46" s="632"/>
      <c r="X46" s="632"/>
      <c r="Y46" s="643"/>
      <c r="Z46" s="616">
        <f t="shared" si="1"/>
        <v>0</v>
      </c>
      <c r="AA46" s="633"/>
      <c r="AB46" s="634"/>
      <c r="AC46" s="634"/>
      <c r="AD46" s="7"/>
      <c r="AE46" s="24"/>
      <c r="AF46" s="7"/>
      <c r="AG46" s="618"/>
    </row>
    <row r="47" spans="1:33" ht="20.25" hidden="1" customHeight="1">
      <c r="A47" s="482"/>
      <c r="B47" s="483" t="s">
        <v>150</v>
      </c>
      <c r="C47" s="629" t="s">
        <v>142</v>
      </c>
      <c r="D47" s="485" t="s">
        <v>132</v>
      </c>
      <c r="E47" s="485"/>
      <c r="F47" s="485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21"/>
      <c r="R47" s="213"/>
      <c r="S47" s="215"/>
      <c r="T47" s="214"/>
      <c r="U47" s="630"/>
      <c r="V47" s="631"/>
      <c r="W47" s="632"/>
      <c r="X47" s="632"/>
      <c r="Y47" s="643"/>
      <c r="Z47" s="616">
        <f t="shared" si="1"/>
        <v>0</v>
      </c>
      <c r="AA47" s="633"/>
      <c r="AB47" s="634"/>
      <c r="AC47" s="634"/>
      <c r="AD47" s="7"/>
      <c r="AE47" s="24"/>
      <c r="AF47" s="7"/>
      <c r="AG47" s="618"/>
    </row>
    <row r="48" spans="1:33" ht="20.25" customHeight="1">
      <c r="A48" s="482"/>
      <c r="B48" s="496" t="s">
        <v>151</v>
      </c>
      <c r="C48" s="555" t="s">
        <v>152</v>
      </c>
      <c r="D48" s="485" t="s">
        <v>132</v>
      </c>
      <c r="E48" s="485"/>
      <c r="F48" s="485"/>
      <c r="G48" s="213">
        <v>17</v>
      </c>
      <c r="H48" s="213">
        <v>14</v>
      </c>
      <c r="I48" s="213">
        <v>8</v>
      </c>
      <c r="J48" s="213"/>
      <c r="K48" s="213">
        <v>4</v>
      </c>
      <c r="L48" s="213">
        <v>12</v>
      </c>
      <c r="M48" s="213"/>
      <c r="N48" s="213">
        <v>1</v>
      </c>
      <c r="O48" s="213"/>
      <c r="P48" s="213">
        <v>12</v>
      </c>
      <c r="Q48" s="221"/>
      <c r="R48" s="213"/>
      <c r="S48" s="215"/>
      <c r="T48" s="214"/>
      <c r="U48" s="630"/>
      <c r="V48" s="631"/>
      <c r="W48" s="632"/>
      <c r="X48" s="632"/>
      <c r="Y48" s="643"/>
      <c r="Z48" s="616">
        <f t="shared" si="1"/>
        <v>68</v>
      </c>
      <c r="AA48" s="633"/>
      <c r="AB48" s="634"/>
      <c r="AC48" s="634"/>
      <c r="AD48" s="7"/>
      <c r="AE48" s="24">
        <v>52</v>
      </c>
      <c r="AF48" s="7"/>
      <c r="AG48" s="618"/>
    </row>
    <row r="49" spans="1:33" ht="20.25" hidden="1" customHeight="1">
      <c r="A49" s="482"/>
      <c r="B49" s="483" t="s">
        <v>154</v>
      </c>
      <c r="C49" s="629" t="s">
        <v>136</v>
      </c>
      <c r="D49" s="485" t="s">
        <v>132</v>
      </c>
      <c r="E49" s="485"/>
      <c r="F49" s="485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21"/>
      <c r="R49" s="213"/>
      <c r="S49" s="215"/>
      <c r="T49" s="214"/>
      <c r="U49" s="630"/>
      <c r="V49" s="631"/>
      <c r="W49" s="632"/>
      <c r="X49" s="632"/>
      <c r="Y49" s="643"/>
      <c r="Z49" s="616">
        <f t="shared" si="1"/>
        <v>0</v>
      </c>
      <c r="AA49" s="633"/>
      <c r="AB49" s="634"/>
      <c r="AC49" s="634"/>
      <c r="AD49" s="7"/>
      <c r="AE49" s="24"/>
      <c r="AF49" s="7"/>
      <c r="AG49" s="618"/>
    </row>
    <row r="50" spans="1:33" ht="20.25" hidden="1" customHeight="1">
      <c r="A50" s="482"/>
      <c r="B50" s="483" t="s">
        <v>155</v>
      </c>
      <c r="C50" s="629" t="s">
        <v>138</v>
      </c>
      <c r="D50" s="485" t="s">
        <v>132</v>
      </c>
      <c r="E50" s="485"/>
      <c r="F50" s="485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21"/>
      <c r="R50" s="213"/>
      <c r="S50" s="215"/>
      <c r="T50" s="214"/>
      <c r="U50" s="630"/>
      <c r="V50" s="631"/>
      <c r="W50" s="632"/>
      <c r="X50" s="632"/>
      <c r="Y50" s="643"/>
      <c r="Z50" s="616">
        <f t="shared" si="1"/>
        <v>0</v>
      </c>
      <c r="AA50" s="633"/>
      <c r="AB50" s="634"/>
      <c r="AC50" s="634"/>
      <c r="AD50" s="7"/>
      <c r="AE50" s="24"/>
      <c r="AF50" s="7"/>
      <c r="AG50" s="618"/>
    </row>
    <row r="51" spans="1:33" ht="20.25" hidden="1" customHeight="1">
      <c r="A51" s="482"/>
      <c r="B51" s="483" t="s">
        <v>156</v>
      </c>
      <c r="C51" s="629" t="s">
        <v>140</v>
      </c>
      <c r="D51" s="485" t="s">
        <v>132</v>
      </c>
      <c r="E51" s="485"/>
      <c r="F51" s="485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21"/>
      <c r="R51" s="213"/>
      <c r="S51" s="215"/>
      <c r="T51" s="214"/>
      <c r="U51" s="630"/>
      <c r="V51" s="631"/>
      <c r="W51" s="632"/>
      <c r="X51" s="632"/>
      <c r="Y51" s="643"/>
      <c r="Z51" s="616">
        <f t="shared" si="1"/>
        <v>0</v>
      </c>
      <c r="AA51" s="633"/>
      <c r="AB51" s="634"/>
      <c r="AC51" s="634"/>
      <c r="AD51" s="7"/>
      <c r="AE51" s="24"/>
      <c r="AF51" s="7"/>
      <c r="AG51" s="618"/>
    </row>
    <row r="52" spans="1:33" ht="20.25" hidden="1" customHeight="1">
      <c r="A52" s="482"/>
      <c r="B52" s="483" t="s">
        <v>157</v>
      </c>
      <c r="C52" s="629" t="s">
        <v>142</v>
      </c>
      <c r="D52" s="485" t="s">
        <v>132</v>
      </c>
      <c r="E52" s="485"/>
      <c r="F52" s="485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21"/>
      <c r="R52" s="213"/>
      <c r="S52" s="215"/>
      <c r="T52" s="214"/>
      <c r="U52" s="630"/>
      <c r="V52" s="631"/>
      <c r="W52" s="632"/>
      <c r="X52" s="632"/>
      <c r="Y52" s="643"/>
      <c r="Z52" s="616">
        <f t="shared" si="1"/>
        <v>0</v>
      </c>
      <c r="AA52" s="633"/>
      <c r="AB52" s="634"/>
      <c r="AC52" s="634"/>
      <c r="AD52" s="7"/>
      <c r="AE52" s="24"/>
      <c r="AF52" s="7"/>
      <c r="AG52" s="618"/>
    </row>
    <row r="53" spans="1:33" ht="20.25" customHeight="1">
      <c r="A53" s="482"/>
      <c r="B53" s="483" t="s">
        <v>158</v>
      </c>
      <c r="C53" s="555" t="s">
        <v>159</v>
      </c>
      <c r="D53" s="485" t="s">
        <v>132</v>
      </c>
      <c r="E53" s="485"/>
      <c r="F53" s="485"/>
      <c r="G53" s="213"/>
      <c r="H53" s="213"/>
      <c r="I53" s="213">
        <v>8</v>
      </c>
      <c r="J53" s="213"/>
      <c r="K53" s="213">
        <v>1</v>
      </c>
      <c r="L53" s="213"/>
      <c r="M53" s="213"/>
      <c r="N53" s="213"/>
      <c r="O53" s="213"/>
      <c r="P53" s="213"/>
      <c r="Q53" s="221"/>
      <c r="R53" s="213"/>
      <c r="S53" s="215"/>
      <c r="T53" s="214"/>
      <c r="U53" s="630"/>
      <c r="V53" s="631"/>
      <c r="W53" s="632"/>
      <c r="X53" s="632"/>
      <c r="Y53" s="643">
        <v>1</v>
      </c>
      <c r="Z53" s="616">
        <f t="shared" si="1"/>
        <v>10</v>
      </c>
      <c r="AA53" s="633"/>
      <c r="AB53" s="634"/>
      <c r="AC53" s="634"/>
      <c r="AD53" s="7"/>
      <c r="AE53" s="24">
        <f>3+18</f>
        <v>21</v>
      </c>
      <c r="AF53" s="7"/>
      <c r="AG53" s="618">
        <v>1</v>
      </c>
    </row>
    <row r="54" spans="1:33" ht="20.25" hidden="1" customHeight="1">
      <c r="A54" s="482"/>
      <c r="B54" s="483" t="s">
        <v>161</v>
      </c>
      <c r="C54" s="629" t="s">
        <v>136</v>
      </c>
      <c r="D54" s="485" t="s">
        <v>132</v>
      </c>
      <c r="E54" s="485"/>
      <c r="F54" s="485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21"/>
      <c r="R54" s="213"/>
      <c r="S54" s="215"/>
      <c r="T54" s="214"/>
      <c r="U54" s="630"/>
      <c r="V54" s="631"/>
      <c r="W54" s="632"/>
      <c r="X54" s="632"/>
      <c r="Y54" s="643">
        <v>0</v>
      </c>
      <c r="Z54" s="616">
        <f t="shared" si="1"/>
        <v>0</v>
      </c>
      <c r="AA54" s="633"/>
      <c r="AB54" s="634"/>
      <c r="AC54" s="634"/>
      <c r="AD54" s="7"/>
      <c r="AE54" s="24"/>
      <c r="AF54" s="7"/>
      <c r="AG54" s="618">
        <f t="shared" ref="AG54:AG57" si="2">AE54-Z54</f>
        <v>0</v>
      </c>
    </row>
    <row r="55" spans="1:33" ht="20.25" hidden="1" customHeight="1">
      <c r="A55" s="482"/>
      <c r="B55" s="483" t="s">
        <v>162</v>
      </c>
      <c r="C55" s="629" t="s">
        <v>138</v>
      </c>
      <c r="D55" s="485" t="s">
        <v>132</v>
      </c>
      <c r="E55" s="485"/>
      <c r="F55" s="485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21"/>
      <c r="R55" s="213"/>
      <c r="S55" s="215"/>
      <c r="T55" s="214"/>
      <c r="U55" s="630"/>
      <c r="V55" s="631"/>
      <c r="W55" s="632"/>
      <c r="X55" s="632"/>
      <c r="Y55" s="643">
        <v>0</v>
      </c>
      <c r="Z55" s="616">
        <f t="shared" si="1"/>
        <v>0</v>
      </c>
      <c r="AA55" s="633"/>
      <c r="AB55" s="634"/>
      <c r="AC55" s="634"/>
      <c r="AD55" s="7"/>
      <c r="AE55" s="24"/>
      <c r="AF55" s="7"/>
      <c r="AG55" s="618">
        <f t="shared" si="2"/>
        <v>0</v>
      </c>
    </row>
    <row r="56" spans="1:33" ht="20.25" hidden="1" customHeight="1">
      <c r="A56" s="482"/>
      <c r="B56" s="483" t="s">
        <v>163</v>
      </c>
      <c r="C56" s="629" t="s">
        <v>140</v>
      </c>
      <c r="D56" s="485" t="s">
        <v>132</v>
      </c>
      <c r="E56" s="485"/>
      <c r="F56" s="485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21"/>
      <c r="R56" s="213"/>
      <c r="S56" s="215"/>
      <c r="T56" s="214"/>
      <c r="U56" s="630"/>
      <c r="V56" s="631"/>
      <c r="W56" s="632"/>
      <c r="X56" s="632"/>
      <c r="Y56" s="643">
        <v>0</v>
      </c>
      <c r="Z56" s="616">
        <f t="shared" si="1"/>
        <v>0</v>
      </c>
      <c r="AA56" s="633"/>
      <c r="AB56" s="634"/>
      <c r="AC56" s="634"/>
      <c r="AD56" s="7"/>
      <c r="AE56" s="24"/>
      <c r="AF56" s="7"/>
      <c r="AG56" s="618">
        <f t="shared" si="2"/>
        <v>0</v>
      </c>
    </row>
    <row r="57" spans="1:33" ht="20.25" hidden="1" customHeight="1">
      <c r="A57" s="482"/>
      <c r="B57" s="483" t="s">
        <v>164</v>
      </c>
      <c r="C57" s="629" t="s">
        <v>142</v>
      </c>
      <c r="D57" s="485" t="s">
        <v>132</v>
      </c>
      <c r="E57" s="485"/>
      <c r="F57" s="485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21"/>
      <c r="R57" s="213"/>
      <c r="S57" s="215"/>
      <c r="T57" s="214"/>
      <c r="U57" s="630"/>
      <c r="V57" s="631"/>
      <c r="W57" s="632"/>
      <c r="X57" s="632"/>
      <c r="Y57" s="643">
        <v>0</v>
      </c>
      <c r="Z57" s="616">
        <f t="shared" si="1"/>
        <v>0</v>
      </c>
      <c r="AA57" s="633"/>
      <c r="AB57" s="634"/>
      <c r="AC57" s="634"/>
      <c r="AD57" s="7"/>
      <c r="AE57" s="24"/>
      <c r="AF57" s="7"/>
      <c r="AG57" s="618">
        <f t="shared" si="2"/>
        <v>0</v>
      </c>
    </row>
    <row r="58" spans="1:33" ht="20.25" customHeight="1">
      <c r="A58" s="482"/>
      <c r="B58" s="496" t="s">
        <v>165</v>
      </c>
      <c r="C58" s="555" t="s">
        <v>166</v>
      </c>
      <c r="D58" s="485" t="s">
        <v>132</v>
      </c>
      <c r="E58" s="412"/>
      <c r="F58" s="412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310"/>
      <c r="R58" s="219"/>
      <c r="S58" s="215"/>
      <c r="T58" s="374">
        <v>22</v>
      </c>
      <c r="U58" s="646">
        <v>1</v>
      </c>
      <c r="V58" s="631">
        <v>11</v>
      </c>
      <c r="W58" s="632"/>
      <c r="X58" s="632">
        <v>168</v>
      </c>
      <c r="Y58" s="643"/>
      <c r="Z58" s="616">
        <f t="shared" si="1"/>
        <v>202</v>
      </c>
      <c r="AA58" s="633"/>
      <c r="AB58" s="634"/>
      <c r="AC58" s="634"/>
      <c r="AD58" s="7"/>
      <c r="AE58" s="24"/>
      <c r="AF58" s="7"/>
      <c r="AG58" s="618"/>
    </row>
    <row r="59" spans="1:33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504"/>
      <c r="F59" s="504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21"/>
      <c r="R59" s="213"/>
      <c r="S59" s="215"/>
      <c r="T59" s="214"/>
      <c r="U59" s="630"/>
      <c r="V59" s="631"/>
      <c r="W59" s="632"/>
      <c r="X59" s="632"/>
      <c r="Y59" s="643">
        <v>0</v>
      </c>
      <c r="Z59" s="616">
        <f t="shared" si="1"/>
        <v>0</v>
      </c>
      <c r="AA59" s="633"/>
      <c r="AB59" s="648"/>
      <c r="AC59" s="648"/>
      <c r="AD59" s="7"/>
      <c r="AE59" s="24"/>
      <c r="AF59" s="7"/>
      <c r="AG59" s="618">
        <f t="shared" ref="AG59:AG62" si="3">AE59-Z59</f>
        <v>0</v>
      </c>
    </row>
    <row r="60" spans="1:33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504"/>
      <c r="F60" s="504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21"/>
      <c r="R60" s="213"/>
      <c r="S60" s="215"/>
      <c r="T60" s="214"/>
      <c r="U60" s="630"/>
      <c r="V60" s="631"/>
      <c r="W60" s="632"/>
      <c r="X60" s="632"/>
      <c r="Y60" s="643">
        <v>0</v>
      </c>
      <c r="Z60" s="616">
        <f t="shared" si="1"/>
        <v>0</v>
      </c>
      <c r="AA60" s="633"/>
      <c r="AB60" s="648"/>
      <c r="AC60" s="648"/>
      <c r="AD60" s="7"/>
      <c r="AE60" s="24"/>
      <c r="AF60" s="7"/>
      <c r="AG60" s="618">
        <f t="shared" si="3"/>
        <v>0</v>
      </c>
    </row>
    <row r="61" spans="1:33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504"/>
      <c r="F61" s="504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21"/>
      <c r="R61" s="213"/>
      <c r="S61" s="215"/>
      <c r="T61" s="214"/>
      <c r="U61" s="630"/>
      <c r="V61" s="631"/>
      <c r="W61" s="632"/>
      <c r="X61" s="632"/>
      <c r="Y61" s="643">
        <v>0</v>
      </c>
      <c r="Z61" s="616">
        <f t="shared" si="1"/>
        <v>0</v>
      </c>
      <c r="AA61" s="633"/>
      <c r="AB61" s="648"/>
      <c r="AC61" s="648"/>
      <c r="AD61" s="7"/>
      <c r="AE61" s="24"/>
      <c r="AF61" s="7"/>
      <c r="AG61" s="618">
        <f t="shared" si="3"/>
        <v>0</v>
      </c>
    </row>
    <row r="62" spans="1:33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412"/>
      <c r="F62" s="412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21"/>
      <c r="R62" s="213"/>
      <c r="S62" s="215"/>
      <c r="T62" s="214"/>
      <c r="U62" s="630"/>
      <c r="V62" s="631"/>
      <c r="W62" s="632"/>
      <c r="X62" s="632"/>
      <c r="Y62" s="643">
        <v>0</v>
      </c>
      <c r="Z62" s="616">
        <f t="shared" si="1"/>
        <v>0</v>
      </c>
      <c r="AA62" s="633"/>
      <c r="AB62" s="636"/>
      <c r="AC62" s="636"/>
      <c r="AD62" s="7"/>
      <c r="AE62" s="24"/>
      <c r="AF62" s="7"/>
      <c r="AG62" s="618">
        <f t="shared" si="3"/>
        <v>0</v>
      </c>
    </row>
    <row r="63" spans="1:33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491"/>
      <c r="F63" s="491"/>
      <c r="G63" s="213"/>
      <c r="H63" s="213"/>
      <c r="I63" s="213"/>
      <c r="J63" s="213"/>
      <c r="K63" s="213"/>
      <c r="L63" s="213"/>
      <c r="M63" s="213"/>
      <c r="N63" s="213"/>
      <c r="O63" s="213">
        <v>10</v>
      </c>
      <c r="P63" s="213"/>
      <c r="Q63" s="221"/>
      <c r="R63" s="213"/>
      <c r="S63" s="215"/>
      <c r="T63" s="214"/>
      <c r="U63" s="630"/>
      <c r="V63" s="631"/>
      <c r="W63" s="632"/>
      <c r="X63" s="632"/>
      <c r="Y63" s="643"/>
      <c r="Z63" s="616">
        <f t="shared" si="1"/>
        <v>10</v>
      </c>
      <c r="AA63" s="633"/>
      <c r="AB63" s="636"/>
      <c r="AC63" s="636"/>
      <c r="AD63" s="7"/>
      <c r="AE63" s="24"/>
      <c r="AF63" s="7"/>
      <c r="AG63" s="618"/>
    </row>
    <row r="64" spans="1:33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491"/>
      <c r="F64" s="491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21"/>
      <c r="R64" s="213"/>
      <c r="S64" s="215"/>
      <c r="T64" s="214"/>
      <c r="U64" s="630"/>
      <c r="V64" s="631"/>
      <c r="W64" s="632"/>
      <c r="X64" s="632"/>
      <c r="Y64" s="643">
        <v>0</v>
      </c>
      <c r="Z64" s="616">
        <f t="shared" si="1"/>
        <v>0</v>
      </c>
      <c r="AA64" s="633"/>
      <c r="AB64" s="640"/>
      <c r="AC64" s="640"/>
      <c r="AD64" s="7"/>
      <c r="AE64" s="24"/>
      <c r="AF64" s="7"/>
      <c r="AG64" s="618">
        <f t="shared" ref="AG64:AG104" si="4">AE64-Z64</f>
        <v>0</v>
      </c>
    </row>
    <row r="65" spans="1:33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412"/>
      <c r="F65" s="412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21"/>
      <c r="R65" s="213"/>
      <c r="S65" s="215"/>
      <c r="T65" s="214"/>
      <c r="U65" s="630"/>
      <c r="V65" s="631"/>
      <c r="W65" s="632"/>
      <c r="X65" s="632"/>
      <c r="Y65" s="643">
        <v>0</v>
      </c>
      <c r="Z65" s="616">
        <f t="shared" si="1"/>
        <v>0</v>
      </c>
      <c r="AA65" s="633"/>
      <c r="AB65" s="636"/>
      <c r="AC65" s="636"/>
      <c r="AD65" s="7"/>
      <c r="AE65" s="24"/>
      <c r="AF65" s="7"/>
      <c r="AG65" s="618">
        <f t="shared" si="4"/>
        <v>0</v>
      </c>
    </row>
    <row r="66" spans="1:33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412"/>
      <c r="F66" s="412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21"/>
      <c r="R66" s="213"/>
      <c r="S66" s="215"/>
      <c r="T66" s="214"/>
      <c r="U66" s="630"/>
      <c r="V66" s="631"/>
      <c r="W66" s="632"/>
      <c r="X66" s="632"/>
      <c r="Y66" s="643">
        <v>0</v>
      </c>
      <c r="Z66" s="616">
        <f t="shared" si="1"/>
        <v>0</v>
      </c>
      <c r="AA66" s="633"/>
      <c r="AB66" s="636"/>
      <c r="AC66" s="636"/>
      <c r="AD66" s="7"/>
      <c r="AE66" s="24"/>
      <c r="AF66" s="7"/>
      <c r="AG66" s="618">
        <f t="shared" si="4"/>
        <v>0</v>
      </c>
    </row>
    <row r="67" spans="1:33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485"/>
      <c r="F67" s="485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21"/>
      <c r="R67" s="213"/>
      <c r="S67" s="215"/>
      <c r="T67" s="214"/>
      <c r="U67" s="630"/>
      <c r="V67" s="631"/>
      <c r="W67" s="632"/>
      <c r="X67" s="632"/>
      <c r="Y67" s="643">
        <v>0</v>
      </c>
      <c r="Z67" s="616">
        <f t="shared" si="1"/>
        <v>0</v>
      </c>
      <c r="AA67" s="633"/>
      <c r="AB67" s="634"/>
      <c r="AC67" s="634"/>
      <c r="AD67" s="7"/>
      <c r="AE67" s="24"/>
      <c r="AF67" s="7"/>
      <c r="AG67" s="618">
        <f t="shared" si="4"/>
        <v>0</v>
      </c>
    </row>
    <row r="68" spans="1:33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485"/>
      <c r="F68" s="485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21"/>
      <c r="R68" s="213"/>
      <c r="S68" s="215"/>
      <c r="T68" s="214"/>
      <c r="U68" s="630"/>
      <c r="V68" s="631"/>
      <c r="W68" s="632"/>
      <c r="X68" s="632"/>
      <c r="Y68" s="643">
        <v>0</v>
      </c>
      <c r="Z68" s="616">
        <f t="shared" si="1"/>
        <v>0</v>
      </c>
      <c r="AA68" s="633"/>
      <c r="AB68" s="634"/>
      <c r="AC68" s="634"/>
      <c r="AD68" s="7"/>
      <c r="AE68" s="24"/>
      <c r="AF68" s="7"/>
      <c r="AG68" s="618">
        <f t="shared" si="4"/>
        <v>0</v>
      </c>
    </row>
    <row r="69" spans="1:33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485"/>
      <c r="F69" s="485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21"/>
      <c r="R69" s="213"/>
      <c r="S69" s="215"/>
      <c r="T69" s="214"/>
      <c r="U69" s="630"/>
      <c r="V69" s="631"/>
      <c r="W69" s="632"/>
      <c r="X69" s="632"/>
      <c r="Y69" s="643">
        <v>0</v>
      </c>
      <c r="Z69" s="616">
        <f t="shared" si="1"/>
        <v>0</v>
      </c>
      <c r="AA69" s="633"/>
      <c r="AB69" s="634"/>
      <c r="AC69" s="634"/>
      <c r="AD69" s="7"/>
      <c r="AE69" s="24"/>
      <c r="AF69" s="7"/>
      <c r="AG69" s="618">
        <f t="shared" si="4"/>
        <v>0</v>
      </c>
    </row>
    <row r="70" spans="1:33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485"/>
      <c r="F70" s="485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21"/>
      <c r="R70" s="213"/>
      <c r="S70" s="215"/>
      <c r="T70" s="214"/>
      <c r="U70" s="630"/>
      <c r="V70" s="631"/>
      <c r="W70" s="632"/>
      <c r="X70" s="632"/>
      <c r="Y70" s="643">
        <v>0</v>
      </c>
      <c r="Z70" s="616">
        <f t="shared" si="1"/>
        <v>0</v>
      </c>
      <c r="AA70" s="633"/>
      <c r="AB70" s="634"/>
      <c r="AC70" s="634"/>
      <c r="AD70" s="7"/>
      <c r="AE70" s="24"/>
      <c r="AF70" s="7"/>
      <c r="AG70" s="618">
        <f t="shared" si="4"/>
        <v>0</v>
      </c>
    </row>
    <row r="71" spans="1:33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412"/>
      <c r="F71" s="412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21"/>
      <c r="R71" s="213"/>
      <c r="S71" s="215"/>
      <c r="T71" s="214"/>
      <c r="U71" s="630"/>
      <c r="V71" s="631"/>
      <c r="W71" s="632"/>
      <c r="X71" s="632"/>
      <c r="Y71" s="643">
        <v>0</v>
      </c>
      <c r="Z71" s="616">
        <f t="shared" si="1"/>
        <v>0</v>
      </c>
      <c r="AA71" s="633"/>
      <c r="AB71" s="636"/>
      <c r="AC71" s="636"/>
      <c r="AD71" s="7"/>
      <c r="AE71" s="24"/>
      <c r="AF71" s="7"/>
      <c r="AG71" s="618">
        <f t="shared" si="4"/>
        <v>0</v>
      </c>
    </row>
    <row r="72" spans="1:33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504"/>
      <c r="F72" s="504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21"/>
      <c r="R72" s="213"/>
      <c r="S72" s="215"/>
      <c r="T72" s="214"/>
      <c r="U72" s="630"/>
      <c r="V72" s="631"/>
      <c r="W72" s="632"/>
      <c r="X72" s="632"/>
      <c r="Y72" s="643">
        <v>0</v>
      </c>
      <c r="Z72" s="616">
        <f t="shared" si="1"/>
        <v>0</v>
      </c>
      <c r="AA72" s="633"/>
      <c r="AB72" s="648"/>
      <c r="AC72" s="648"/>
      <c r="AD72" s="7"/>
      <c r="AE72" s="24"/>
      <c r="AF72" s="7"/>
      <c r="AG72" s="618">
        <f t="shared" si="4"/>
        <v>0</v>
      </c>
    </row>
    <row r="73" spans="1:33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504"/>
      <c r="F73" s="504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21"/>
      <c r="R73" s="213"/>
      <c r="S73" s="215"/>
      <c r="T73" s="214"/>
      <c r="U73" s="630"/>
      <c r="V73" s="631"/>
      <c r="W73" s="632"/>
      <c r="X73" s="632"/>
      <c r="Y73" s="643">
        <v>0</v>
      </c>
      <c r="Z73" s="616">
        <f t="shared" si="1"/>
        <v>0</v>
      </c>
      <c r="AA73" s="633"/>
      <c r="AB73" s="648"/>
      <c r="AC73" s="648"/>
      <c r="AD73" s="7"/>
      <c r="AE73" s="24"/>
      <c r="AF73" s="7"/>
      <c r="AG73" s="618">
        <f t="shared" si="4"/>
        <v>0</v>
      </c>
    </row>
    <row r="74" spans="1:33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504"/>
      <c r="F74" s="504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21"/>
      <c r="R74" s="213"/>
      <c r="S74" s="215"/>
      <c r="T74" s="214"/>
      <c r="U74" s="630"/>
      <c r="V74" s="631"/>
      <c r="W74" s="632"/>
      <c r="X74" s="632"/>
      <c r="Y74" s="643">
        <v>0</v>
      </c>
      <c r="Z74" s="616">
        <f t="shared" si="1"/>
        <v>0</v>
      </c>
      <c r="AA74" s="633"/>
      <c r="AB74" s="648"/>
      <c r="AC74" s="648"/>
      <c r="AD74" s="7"/>
      <c r="AE74" s="24"/>
      <c r="AF74" s="7"/>
      <c r="AG74" s="618">
        <f t="shared" si="4"/>
        <v>0</v>
      </c>
    </row>
    <row r="75" spans="1:33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491"/>
      <c r="F75" s="491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21"/>
      <c r="R75" s="213"/>
      <c r="S75" s="215"/>
      <c r="T75" s="214"/>
      <c r="U75" s="630"/>
      <c r="V75" s="631"/>
      <c r="W75" s="632"/>
      <c r="X75" s="632"/>
      <c r="Y75" s="643">
        <v>0</v>
      </c>
      <c r="Z75" s="616">
        <f t="shared" si="1"/>
        <v>0</v>
      </c>
      <c r="AA75" s="633"/>
      <c r="AB75" s="636"/>
      <c r="AC75" s="636"/>
      <c r="AD75" s="7"/>
      <c r="AE75" s="24"/>
      <c r="AF75" s="7"/>
      <c r="AG75" s="618">
        <f t="shared" si="4"/>
        <v>0</v>
      </c>
    </row>
    <row r="76" spans="1:33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491"/>
      <c r="F76" s="491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21"/>
      <c r="R76" s="213"/>
      <c r="S76" s="215"/>
      <c r="T76" s="214"/>
      <c r="U76" s="630"/>
      <c r="V76" s="631"/>
      <c r="W76" s="632"/>
      <c r="X76" s="632"/>
      <c r="Y76" s="643">
        <v>0</v>
      </c>
      <c r="Z76" s="616">
        <f t="shared" si="1"/>
        <v>0</v>
      </c>
      <c r="AA76" s="633"/>
      <c r="AB76" s="636"/>
      <c r="AC76" s="636"/>
      <c r="AD76" s="7"/>
      <c r="AE76" s="24"/>
      <c r="AF76" s="7"/>
      <c r="AG76" s="618">
        <f t="shared" si="4"/>
        <v>0</v>
      </c>
    </row>
    <row r="77" spans="1:33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491"/>
      <c r="F77" s="491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21"/>
      <c r="R77" s="213"/>
      <c r="S77" s="215"/>
      <c r="T77" s="214"/>
      <c r="U77" s="630"/>
      <c r="V77" s="631"/>
      <c r="W77" s="632"/>
      <c r="X77" s="632"/>
      <c r="Y77" s="643">
        <v>0</v>
      </c>
      <c r="Z77" s="616">
        <f t="shared" si="1"/>
        <v>0</v>
      </c>
      <c r="AA77" s="633"/>
      <c r="AB77" s="640"/>
      <c r="AC77" s="640"/>
      <c r="AD77" s="7"/>
      <c r="AE77" s="24"/>
      <c r="AF77" s="7"/>
      <c r="AG77" s="618">
        <f t="shared" si="4"/>
        <v>0</v>
      </c>
    </row>
    <row r="78" spans="1:33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507"/>
      <c r="F78" s="507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21"/>
      <c r="R78" s="213"/>
      <c r="S78" s="215"/>
      <c r="T78" s="214"/>
      <c r="U78" s="630"/>
      <c r="V78" s="631"/>
      <c r="W78" s="632"/>
      <c r="X78" s="632"/>
      <c r="Y78" s="643">
        <v>0</v>
      </c>
      <c r="Z78" s="616">
        <f t="shared" si="1"/>
        <v>0</v>
      </c>
      <c r="AA78" s="633"/>
      <c r="AB78" s="636"/>
      <c r="AC78" s="636"/>
      <c r="AD78" s="7"/>
      <c r="AE78" s="24"/>
      <c r="AF78" s="7"/>
      <c r="AG78" s="618">
        <f t="shared" si="4"/>
        <v>0</v>
      </c>
    </row>
    <row r="79" spans="1:33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485"/>
      <c r="F79" s="485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21"/>
      <c r="R79" s="213"/>
      <c r="S79" s="215"/>
      <c r="T79" s="214"/>
      <c r="U79" s="630"/>
      <c r="V79" s="631"/>
      <c r="W79" s="632"/>
      <c r="X79" s="632"/>
      <c r="Y79" s="643">
        <v>0</v>
      </c>
      <c r="Z79" s="616">
        <f t="shared" si="1"/>
        <v>0</v>
      </c>
      <c r="AA79" s="633"/>
      <c r="AB79" s="634"/>
      <c r="AC79" s="634"/>
      <c r="AD79" s="7"/>
      <c r="AE79" s="24"/>
      <c r="AF79" s="7"/>
      <c r="AG79" s="618">
        <f t="shared" si="4"/>
        <v>0</v>
      </c>
    </row>
    <row r="80" spans="1:33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485"/>
      <c r="F80" s="485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21"/>
      <c r="R80" s="213"/>
      <c r="S80" s="215"/>
      <c r="T80" s="214"/>
      <c r="U80" s="630"/>
      <c r="V80" s="631"/>
      <c r="W80" s="632"/>
      <c r="X80" s="632"/>
      <c r="Y80" s="643">
        <v>0</v>
      </c>
      <c r="Z80" s="616">
        <f t="shared" si="1"/>
        <v>0</v>
      </c>
      <c r="AA80" s="633"/>
      <c r="AB80" s="634"/>
      <c r="AC80" s="634"/>
      <c r="AD80" s="7"/>
      <c r="AE80" s="24"/>
      <c r="AF80" s="7"/>
      <c r="AG80" s="618">
        <f t="shared" si="4"/>
        <v>0</v>
      </c>
    </row>
    <row r="81" spans="1:33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485"/>
      <c r="F81" s="485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21"/>
      <c r="R81" s="213"/>
      <c r="S81" s="215"/>
      <c r="T81" s="214"/>
      <c r="U81" s="630"/>
      <c r="V81" s="631"/>
      <c r="W81" s="632"/>
      <c r="X81" s="632"/>
      <c r="Y81" s="643">
        <v>0</v>
      </c>
      <c r="Z81" s="616">
        <f t="shared" si="1"/>
        <v>0</v>
      </c>
      <c r="AA81" s="633"/>
      <c r="AB81" s="634"/>
      <c r="AC81" s="634"/>
      <c r="AD81" s="7"/>
      <c r="AE81" s="24"/>
      <c r="AF81" s="7"/>
      <c r="AG81" s="618">
        <f t="shared" si="4"/>
        <v>0</v>
      </c>
    </row>
    <row r="82" spans="1:33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485"/>
      <c r="F82" s="485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21"/>
      <c r="R82" s="213"/>
      <c r="S82" s="215"/>
      <c r="T82" s="214"/>
      <c r="U82" s="630"/>
      <c r="V82" s="631"/>
      <c r="W82" s="632"/>
      <c r="X82" s="632"/>
      <c r="Y82" s="643">
        <v>0</v>
      </c>
      <c r="Z82" s="616">
        <f t="shared" si="1"/>
        <v>0</v>
      </c>
      <c r="AA82" s="633"/>
      <c r="AB82" s="634"/>
      <c r="AC82" s="634"/>
      <c r="AD82" s="7"/>
      <c r="AE82" s="24"/>
      <c r="AF82" s="7"/>
      <c r="AG82" s="618">
        <f t="shared" si="4"/>
        <v>0</v>
      </c>
    </row>
    <row r="83" spans="1:33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507"/>
      <c r="F83" s="507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21"/>
      <c r="R83" s="213"/>
      <c r="S83" s="215"/>
      <c r="T83" s="214"/>
      <c r="U83" s="630"/>
      <c r="V83" s="631"/>
      <c r="W83" s="632"/>
      <c r="X83" s="632"/>
      <c r="Y83" s="643">
        <v>0</v>
      </c>
      <c r="Z83" s="616">
        <f t="shared" si="1"/>
        <v>0</v>
      </c>
      <c r="AA83" s="633"/>
      <c r="AB83" s="636"/>
      <c r="AC83" s="636"/>
      <c r="AD83" s="7"/>
      <c r="AE83" s="24"/>
      <c r="AF83" s="7"/>
      <c r="AG83" s="618">
        <f t="shared" si="4"/>
        <v>0</v>
      </c>
    </row>
    <row r="84" spans="1:33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504"/>
      <c r="F84" s="504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21"/>
      <c r="R84" s="213"/>
      <c r="S84" s="215"/>
      <c r="T84" s="214"/>
      <c r="U84" s="630"/>
      <c r="V84" s="631"/>
      <c r="W84" s="632"/>
      <c r="X84" s="632"/>
      <c r="Y84" s="643">
        <v>0</v>
      </c>
      <c r="Z84" s="616">
        <f t="shared" si="1"/>
        <v>0</v>
      </c>
      <c r="AA84" s="633"/>
      <c r="AB84" s="648"/>
      <c r="AC84" s="648"/>
      <c r="AD84" s="7"/>
      <c r="AE84" s="24"/>
      <c r="AF84" s="7"/>
      <c r="AG84" s="618">
        <f t="shared" si="4"/>
        <v>0</v>
      </c>
    </row>
    <row r="85" spans="1:33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504"/>
      <c r="F85" s="504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21"/>
      <c r="R85" s="213"/>
      <c r="S85" s="215"/>
      <c r="T85" s="214"/>
      <c r="U85" s="630"/>
      <c r="V85" s="631"/>
      <c r="W85" s="632"/>
      <c r="X85" s="632"/>
      <c r="Y85" s="643">
        <v>0</v>
      </c>
      <c r="Z85" s="616">
        <f t="shared" si="1"/>
        <v>0</v>
      </c>
      <c r="AA85" s="633"/>
      <c r="AB85" s="648"/>
      <c r="AC85" s="648"/>
      <c r="AD85" s="7"/>
      <c r="AE85" s="24"/>
      <c r="AF85" s="7"/>
      <c r="AG85" s="618">
        <f t="shared" si="4"/>
        <v>0</v>
      </c>
    </row>
    <row r="86" spans="1:33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504"/>
      <c r="F86" s="504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21"/>
      <c r="R86" s="213"/>
      <c r="S86" s="215"/>
      <c r="T86" s="214"/>
      <c r="U86" s="630"/>
      <c r="V86" s="631"/>
      <c r="W86" s="632"/>
      <c r="X86" s="632"/>
      <c r="Y86" s="643">
        <v>0</v>
      </c>
      <c r="Z86" s="616">
        <f t="shared" si="1"/>
        <v>0</v>
      </c>
      <c r="AA86" s="633"/>
      <c r="AB86" s="648"/>
      <c r="AC86" s="648"/>
      <c r="AD86" s="7"/>
      <c r="AE86" s="24"/>
      <c r="AF86" s="7"/>
      <c r="AG86" s="618">
        <f t="shared" si="4"/>
        <v>0</v>
      </c>
    </row>
    <row r="87" spans="1:33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491"/>
      <c r="F87" s="491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21"/>
      <c r="R87" s="213"/>
      <c r="S87" s="215"/>
      <c r="T87" s="214"/>
      <c r="U87" s="630"/>
      <c r="V87" s="631"/>
      <c r="W87" s="632"/>
      <c r="X87" s="632"/>
      <c r="Y87" s="643">
        <v>0</v>
      </c>
      <c r="Z87" s="616">
        <f t="shared" si="1"/>
        <v>0</v>
      </c>
      <c r="AA87" s="633"/>
      <c r="AB87" s="636"/>
      <c r="AC87" s="636"/>
      <c r="AD87" s="7"/>
      <c r="AE87" s="24"/>
      <c r="AF87" s="7"/>
      <c r="AG87" s="618">
        <f t="shared" si="4"/>
        <v>0</v>
      </c>
    </row>
    <row r="88" spans="1:33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491"/>
      <c r="F88" s="491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21"/>
      <c r="R88" s="213"/>
      <c r="S88" s="215"/>
      <c r="T88" s="214"/>
      <c r="U88" s="630"/>
      <c r="V88" s="631"/>
      <c r="W88" s="632"/>
      <c r="X88" s="632"/>
      <c r="Y88" s="643">
        <v>0</v>
      </c>
      <c r="Z88" s="616">
        <f t="shared" si="1"/>
        <v>0</v>
      </c>
      <c r="AA88" s="633"/>
      <c r="AB88" s="636"/>
      <c r="AC88" s="636"/>
      <c r="AD88" s="7"/>
      <c r="AE88" s="24"/>
      <c r="AF88" s="7"/>
      <c r="AG88" s="618">
        <f t="shared" si="4"/>
        <v>0</v>
      </c>
    </row>
    <row r="89" spans="1:33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491"/>
      <c r="F89" s="491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21"/>
      <c r="R89" s="213"/>
      <c r="S89" s="215"/>
      <c r="T89" s="214"/>
      <c r="U89" s="630"/>
      <c r="V89" s="631"/>
      <c r="W89" s="632"/>
      <c r="X89" s="632"/>
      <c r="Y89" s="643">
        <v>0</v>
      </c>
      <c r="Z89" s="616">
        <f t="shared" si="1"/>
        <v>0</v>
      </c>
      <c r="AA89" s="633"/>
      <c r="AB89" s="636"/>
      <c r="AC89" s="636"/>
      <c r="AD89" s="7"/>
      <c r="AE89" s="24"/>
      <c r="AF89" s="7"/>
      <c r="AG89" s="618">
        <f t="shared" si="4"/>
        <v>0</v>
      </c>
    </row>
    <row r="90" spans="1:33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491"/>
      <c r="F90" s="491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21"/>
      <c r="R90" s="213"/>
      <c r="S90" s="215"/>
      <c r="T90" s="214"/>
      <c r="U90" s="630"/>
      <c r="V90" s="631"/>
      <c r="W90" s="632"/>
      <c r="X90" s="632"/>
      <c r="Y90" s="643">
        <v>0</v>
      </c>
      <c r="Z90" s="616">
        <f t="shared" si="1"/>
        <v>0</v>
      </c>
      <c r="AA90" s="633"/>
      <c r="AB90" s="640"/>
      <c r="AC90" s="640"/>
      <c r="AD90" s="7"/>
      <c r="AE90" s="24"/>
      <c r="AF90" s="7"/>
      <c r="AG90" s="618">
        <f t="shared" si="4"/>
        <v>0</v>
      </c>
    </row>
    <row r="91" spans="1:33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412"/>
      <c r="F91" s="412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21"/>
      <c r="R91" s="213"/>
      <c r="S91" s="215"/>
      <c r="T91" s="214"/>
      <c r="U91" s="630"/>
      <c r="V91" s="631"/>
      <c r="W91" s="632"/>
      <c r="X91" s="632"/>
      <c r="Y91" s="643">
        <v>0</v>
      </c>
      <c r="Z91" s="616">
        <f t="shared" si="1"/>
        <v>0</v>
      </c>
      <c r="AA91" s="633"/>
      <c r="AB91" s="636"/>
      <c r="AC91" s="636"/>
      <c r="AD91" s="7"/>
      <c r="AE91" s="24"/>
      <c r="AF91" s="7"/>
      <c r="AG91" s="618">
        <f t="shared" si="4"/>
        <v>0</v>
      </c>
    </row>
    <row r="92" spans="1:33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485"/>
      <c r="F92" s="485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21"/>
      <c r="R92" s="213"/>
      <c r="S92" s="215"/>
      <c r="T92" s="214"/>
      <c r="U92" s="630"/>
      <c r="V92" s="631"/>
      <c r="W92" s="632"/>
      <c r="X92" s="632"/>
      <c r="Y92" s="643">
        <v>0</v>
      </c>
      <c r="Z92" s="616">
        <f t="shared" si="1"/>
        <v>0</v>
      </c>
      <c r="AA92" s="633"/>
      <c r="AB92" s="636"/>
      <c r="AC92" s="636"/>
      <c r="AD92" s="7"/>
      <c r="AE92" s="24"/>
      <c r="AF92" s="7"/>
      <c r="AG92" s="618">
        <f t="shared" si="4"/>
        <v>0</v>
      </c>
    </row>
    <row r="93" spans="1:33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485"/>
      <c r="F93" s="485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21"/>
      <c r="R93" s="213"/>
      <c r="S93" s="215"/>
      <c r="T93" s="214"/>
      <c r="U93" s="630"/>
      <c r="V93" s="631"/>
      <c r="W93" s="632"/>
      <c r="X93" s="632"/>
      <c r="Y93" s="643">
        <v>0</v>
      </c>
      <c r="Z93" s="616">
        <f t="shared" si="1"/>
        <v>0</v>
      </c>
      <c r="AA93" s="633"/>
      <c r="AB93" s="636"/>
      <c r="AC93" s="636"/>
      <c r="AD93" s="7"/>
      <c r="AE93" s="24"/>
      <c r="AF93" s="7"/>
      <c r="AG93" s="618">
        <f t="shared" si="4"/>
        <v>0</v>
      </c>
    </row>
    <row r="94" spans="1:33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485"/>
      <c r="F94" s="485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21"/>
      <c r="R94" s="213"/>
      <c r="S94" s="215"/>
      <c r="T94" s="214"/>
      <c r="U94" s="630"/>
      <c r="V94" s="631"/>
      <c r="W94" s="632"/>
      <c r="X94" s="632"/>
      <c r="Y94" s="643">
        <v>0</v>
      </c>
      <c r="Z94" s="616">
        <f t="shared" si="1"/>
        <v>0</v>
      </c>
      <c r="AA94" s="633"/>
      <c r="AB94" s="636"/>
      <c r="AC94" s="636"/>
      <c r="AD94" s="7"/>
      <c r="AE94" s="24"/>
      <c r="AF94" s="7"/>
      <c r="AG94" s="618">
        <f t="shared" si="4"/>
        <v>0</v>
      </c>
    </row>
    <row r="95" spans="1:33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485"/>
      <c r="F95" s="485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21"/>
      <c r="R95" s="213"/>
      <c r="S95" s="215"/>
      <c r="T95" s="214"/>
      <c r="U95" s="630"/>
      <c r="V95" s="631"/>
      <c r="W95" s="632"/>
      <c r="X95" s="632"/>
      <c r="Y95" s="643">
        <v>0</v>
      </c>
      <c r="Z95" s="616">
        <f t="shared" si="1"/>
        <v>0</v>
      </c>
      <c r="AA95" s="633"/>
      <c r="AB95" s="636"/>
      <c r="AC95" s="636"/>
      <c r="AD95" s="7"/>
      <c r="AE95" s="24"/>
      <c r="AF95" s="7"/>
      <c r="AG95" s="618">
        <f t="shared" si="4"/>
        <v>0</v>
      </c>
    </row>
    <row r="96" spans="1:33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412"/>
      <c r="F96" s="412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21"/>
      <c r="R96" s="213"/>
      <c r="S96" s="215"/>
      <c r="T96" s="214"/>
      <c r="U96" s="630"/>
      <c r="V96" s="631"/>
      <c r="W96" s="632"/>
      <c r="X96" s="632"/>
      <c r="Y96" s="643">
        <v>0</v>
      </c>
      <c r="Z96" s="616">
        <f t="shared" si="1"/>
        <v>0</v>
      </c>
      <c r="AA96" s="633"/>
      <c r="AB96" s="636"/>
      <c r="AC96" s="636"/>
      <c r="AD96" s="7"/>
      <c r="AE96" s="24"/>
      <c r="AF96" s="7"/>
      <c r="AG96" s="618">
        <f t="shared" si="4"/>
        <v>0</v>
      </c>
    </row>
    <row r="97" spans="1:33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485"/>
      <c r="F97" s="485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21"/>
      <c r="R97" s="213"/>
      <c r="S97" s="215"/>
      <c r="T97" s="214"/>
      <c r="U97" s="630"/>
      <c r="V97" s="631"/>
      <c r="W97" s="632"/>
      <c r="X97" s="632"/>
      <c r="Y97" s="643">
        <v>0</v>
      </c>
      <c r="Z97" s="616">
        <f t="shared" si="1"/>
        <v>0</v>
      </c>
      <c r="AA97" s="633"/>
      <c r="AB97" s="636"/>
      <c r="AC97" s="636"/>
      <c r="AD97" s="7"/>
      <c r="AE97" s="24"/>
      <c r="AF97" s="7"/>
      <c r="AG97" s="618">
        <f t="shared" si="4"/>
        <v>0</v>
      </c>
    </row>
    <row r="98" spans="1:33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485"/>
      <c r="F98" s="485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21"/>
      <c r="R98" s="213"/>
      <c r="S98" s="215"/>
      <c r="T98" s="214"/>
      <c r="U98" s="630"/>
      <c r="V98" s="631"/>
      <c r="W98" s="632"/>
      <c r="X98" s="632"/>
      <c r="Y98" s="643">
        <v>0</v>
      </c>
      <c r="Z98" s="616">
        <f t="shared" si="1"/>
        <v>0</v>
      </c>
      <c r="AA98" s="633"/>
      <c r="AB98" s="636"/>
      <c r="AC98" s="636"/>
      <c r="AD98" s="7"/>
      <c r="AE98" s="24"/>
      <c r="AF98" s="7"/>
      <c r="AG98" s="618">
        <f t="shared" si="4"/>
        <v>0</v>
      </c>
    </row>
    <row r="99" spans="1:33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485"/>
      <c r="F99" s="485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21"/>
      <c r="R99" s="213"/>
      <c r="S99" s="215"/>
      <c r="T99" s="214"/>
      <c r="U99" s="630"/>
      <c r="V99" s="631"/>
      <c r="W99" s="632"/>
      <c r="X99" s="632"/>
      <c r="Y99" s="643">
        <v>0</v>
      </c>
      <c r="Z99" s="616">
        <f t="shared" si="1"/>
        <v>0</v>
      </c>
      <c r="AA99" s="633"/>
      <c r="AB99" s="636"/>
      <c r="AC99" s="636"/>
      <c r="AD99" s="7"/>
      <c r="AE99" s="24"/>
      <c r="AF99" s="7"/>
      <c r="AG99" s="618">
        <f t="shared" si="4"/>
        <v>0</v>
      </c>
    </row>
    <row r="100" spans="1:33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485"/>
      <c r="F100" s="485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21"/>
      <c r="R100" s="213"/>
      <c r="S100" s="215"/>
      <c r="T100" s="214"/>
      <c r="U100" s="630"/>
      <c r="V100" s="631"/>
      <c r="W100" s="632"/>
      <c r="X100" s="632"/>
      <c r="Y100" s="643">
        <v>0</v>
      </c>
      <c r="Z100" s="616">
        <f t="shared" si="1"/>
        <v>0</v>
      </c>
      <c r="AA100" s="633"/>
      <c r="AB100" s="636"/>
      <c r="AC100" s="636"/>
      <c r="AD100" s="7"/>
      <c r="AE100" s="24"/>
      <c r="AF100" s="7"/>
      <c r="AG100" s="618">
        <f t="shared" si="4"/>
        <v>0</v>
      </c>
    </row>
    <row r="101" spans="1:33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491"/>
      <c r="F101" s="491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21"/>
      <c r="R101" s="213"/>
      <c r="S101" s="215"/>
      <c r="T101" s="214"/>
      <c r="U101" s="630"/>
      <c r="V101" s="631"/>
      <c r="W101" s="632"/>
      <c r="X101" s="632"/>
      <c r="Y101" s="643">
        <v>0</v>
      </c>
      <c r="Z101" s="616">
        <f t="shared" si="1"/>
        <v>0</v>
      </c>
      <c r="AA101" s="633"/>
      <c r="AB101" s="636"/>
      <c r="AC101" s="636"/>
      <c r="AD101" s="7"/>
      <c r="AE101" s="24"/>
      <c r="AF101" s="7"/>
      <c r="AG101" s="618">
        <f t="shared" si="4"/>
        <v>0</v>
      </c>
    </row>
    <row r="102" spans="1:33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491"/>
      <c r="F102" s="491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21"/>
      <c r="R102" s="213"/>
      <c r="S102" s="215"/>
      <c r="T102" s="214"/>
      <c r="U102" s="630"/>
      <c r="V102" s="631"/>
      <c r="W102" s="632"/>
      <c r="X102" s="632"/>
      <c r="Y102" s="643">
        <v>0</v>
      </c>
      <c r="Z102" s="616">
        <f t="shared" si="1"/>
        <v>0</v>
      </c>
      <c r="AA102" s="633"/>
      <c r="AB102" s="636"/>
      <c r="AC102" s="636"/>
      <c r="AD102" s="7"/>
      <c r="AE102" s="24"/>
      <c r="AF102" s="7"/>
      <c r="AG102" s="618">
        <f t="shared" si="4"/>
        <v>0</v>
      </c>
    </row>
    <row r="103" spans="1:33" ht="18.75" customHeight="1">
      <c r="A103" s="489">
        <v>3</v>
      </c>
      <c r="B103" s="490" t="s">
        <v>266</v>
      </c>
      <c r="C103" s="637" t="s">
        <v>267</v>
      </c>
      <c r="D103" s="491"/>
      <c r="E103" s="491"/>
      <c r="F103" s="491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21"/>
      <c r="R103" s="213"/>
      <c r="S103" s="215"/>
      <c r="T103" s="214"/>
      <c r="U103" s="630"/>
      <c r="V103" s="631"/>
      <c r="W103" s="632"/>
      <c r="X103" s="632"/>
      <c r="Y103" s="643">
        <v>0</v>
      </c>
      <c r="Z103" s="616">
        <f t="shared" si="1"/>
        <v>0</v>
      </c>
      <c r="AA103" s="650" t="s">
        <v>1579</v>
      </c>
      <c r="AB103" s="640"/>
      <c r="AC103" s="640"/>
      <c r="AD103" s="7"/>
      <c r="AE103" s="24"/>
      <c r="AF103" s="7"/>
      <c r="AG103" s="618">
        <f t="shared" si="4"/>
        <v>0</v>
      </c>
    </row>
    <row r="104" spans="1:33" ht="20.25" customHeight="1">
      <c r="A104" s="486"/>
      <c r="B104" s="487" t="s">
        <v>269</v>
      </c>
      <c r="C104" s="635" t="s">
        <v>270</v>
      </c>
      <c r="D104" s="412" t="s">
        <v>271</v>
      </c>
      <c r="E104" s="412"/>
      <c r="F104" s="412"/>
      <c r="G104" s="213"/>
      <c r="H104" s="213"/>
      <c r="I104" s="213">
        <v>1</v>
      </c>
      <c r="J104" s="213"/>
      <c r="K104" s="213"/>
      <c r="L104" s="213"/>
      <c r="M104" s="213">
        <v>600</v>
      </c>
      <c r="N104" s="213"/>
      <c r="O104" s="213"/>
      <c r="P104" s="213"/>
      <c r="Q104" s="221">
        <v>1952.6</v>
      </c>
      <c r="R104" s="652">
        <v>1423</v>
      </c>
      <c r="S104" s="215">
        <v>600</v>
      </c>
      <c r="T104" s="214"/>
      <c r="U104" s="630">
        <v>482</v>
      </c>
      <c r="V104" s="631"/>
      <c r="W104" s="632"/>
      <c r="X104" s="632"/>
      <c r="Y104" s="643">
        <v>4029.1999999999989</v>
      </c>
      <c r="Z104" s="616">
        <f t="shared" si="1"/>
        <v>9087.7999999999993</v>
      </c>
      <c r="AA104" s="633">
        <f>Z104+Z126+Z115</f>
        <v>10202.349999999999</v>
      </c>
      <c r="AB104" s="636"/>
      <c r="AC104" s="636"/>
      <c r="AD104" s="7"/>
      <c r="AE104" s="24">
        <v>9087.7999999999993</v>
      </c>
      <c r="AF104" s="7"/>
      <c r="AG104" s="618">
        <f t="shared" si="4"/>
        <v>0</v>
      </c>
    </row>
    <row r="105" spans="1:33" ht="20.25" customHeight="1">
      <c r="A105" s="510"/>
      <c r="B105" s="505" t="s">
        <v>273</v>
      </c>
      <c r="C105" s="653" t="s">
        <v>274</v>
      </c>
      <c r="D105" s="512" t="s">
        <v>271</v>
      </c>
      <c r="E105" s="512"/>
      <c r="F105" s="512"/>
      <c r="G105" s="213"/>
      <c r="H105" s="213"/>
      <c r="I105" s="213"/>
      <c r="J105" s="213"/>
      <c r="K105" s="213"/>
      <c r="L105" s="213"/>
      <c r="M105" s="213">
        <v>600</v>
      </c>
      <c r="N105" s="213"/>
      <c r="O105" s="213"/>
      <c r="P105" s="213"/>
      <c r="Q105" s="221"/>
      <c r="R105" s="652">
        <v>1423</v>
      </c>
      <c r="S105" s="215"/>
      <c r="T105" s="214"/>
      <c r="U105" s="630"/>
      <c r="V105" s="631"/>
      <c r="W105" s="632"/>
      <c r="X105" s="632"/>
      <c r="Y105" s="643"/>
      <c r="Z105" s="616">
        <f t="shared" si="1"/>
        <v>2023</v>
      </c>
      <c r="AA105" s="633"/>
      <c r="AB105" s="654"/>
      <c r="AC105" s="654"/>
      <c r="AD105" s="7"/>
      <c r="AE105" s="24">
        <v>9087.7999999999993</v>
      </c>
      <c r="AF105" s="7"/>
      <c r="AG105" s="618"/>
    </row>
    <row r="106" spans="1:33" ht="20.25" customHeight="1">
      <c r="A106" s="503"/>
      <c r="B106" s="483" t="s">
        <v>275</v>
      </c>
      <c r="C106" s="629" t="s">
        <v>131</v>
      </c>
      <c r="D106" s="504" t="s">
        <v>271</v>
      </c>
      <c r="E106" s="504"/>
      <c r="F106" s="504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21"/>
      <c r="R106" s="213"/>
      <c r="S106" s="215"/>
      <c r="T106" s="214"/>
      <c r="U106" s="630"/>
      <c r="V106" s="631"/>
      <c r="W106" s="632"/>
      <c r="X106" s="632"/>
      <c r="Y106" s="643"/>
      <c r="Z106" s="616">
        <f t="shared" si="1"/>
        <v>0</v>
      </c>
      <c r="AA106" s="633"/>
      <c r="AB106" s="648"/>
      <c r="AC106" s="648"/>
      <c r="AD106" s="7"/>
      <c r="AE106" s="24">
        <v>5353.25</v>
      </c>
      <c r="AF106" s="7"/>
      <c r="AG106" s="618"/>
    </row>
    <row r="107" spans="1:33" ht="20.25" customHeight="1">
      <c r="A107" s="503"/>
      <c r="B107" s="483" t="s">
        <v>276</v>
      </c>
      <c r="C107" s="629" t="s">
        <v>200</v>
      </c>
      <c r="D107" s="504" t="s">
        <v>271</v>
      </c>
      <c r="E107" s="504"/>
      <c r="F107" s="504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21"/>
      <c r="R107" s="213"/>
      <c r="S107" s="215"/>
      <c r="T107" s="214"/>
      <c r="U107" s="630"/>
      <c r="V107" s="631"/>
      <c r="W107" s="632"/>
      <c r="X107" s="632"/>
      <c r="Y107" s="643"/>
      <c r="Z107" s="616">
        <f t="shared" si="1"/>
        <v>0</v>
      </c>
      <c r="AA107" s="633"/>
      <c r="AB107" s="648"/>
      <c r="AC107" s="648"/>
      <c r="AD107" s="7"/>
      <c r="AE107" s="24"/>
      <c r="AF107" s="7"/>
      <c r="AG107" s="618"/>
    </row>
    <row r="108" spans="1:33" ht="20.25" customHeight="1">
      <c r="A108" s="503"/>
      <c r="B108" s="483" t="s">
        <v>277</v>
      </c>
      <c r="C108" s="629" t="s">
        <v>203</v>
      </c>
      <c r="D108" s="504" t="s">
        <v>271</v>
      </c>
      <c r="E108" s="504"/>
      <c r="F108" s="504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21"/>
      <c r="R108" s="652">
        <v>1423</v>
      </c>
      <c r="S108" s="215"/>
      <c r="T108" s="214"/>
      <c r="U108" s="630"/>
      <c r="V108" s="631"/>
      <c r="W108" s="632"/>
      <c r="X108" s="632"/>
      <c r="Y108" s="643"/>
      <c r="Z108" s="616">
        <f t="shared" si="1"/>
        <v>1423</v>
      </c>
      <c r="AA108" s="633"/>
      <c r="AB108" s="648"/>
      <c r="AC108" s="648"/>
      <c r="AD108" s="7"/>
      <c r="AE108" s="24">
        <v>900.45</v>
      </c>
      <c r="AF108" s="7"/>
      <c r="AG108" s="618"/>
    </row>
    <row r="109" spans="1:33" ht="20.25" customHeight="1">
      <c r="A109" s="503"/>
      <c r="B109" s="483" t="s">
        <v>278</v>
      </c>
      <c r="C109" s="629" t="s">
        <v>159</v>
      </c>
      <c r="D109" s="504" t="s">
        <v>271</v>
      </c>
      <c r="E109" s="504"/>
      <c r="F109" s="504"/>
      <c r="G109" s="213"/>
      <c r="H109" s="213"/>
      <c r="I109" s="213"/>
      <c r="J109" s="213"/>
      <c r="K109" s="213"/>
      <c r="L109" s="213"/>
      <c r="M109" s="213">
        <v>600</v>
      </c>
      <c r="N109" s="213"/>
      <c r="O109" s="213"/>
      <c r="P109" s="213"/>
      <c r="Q109" s="221"/>
      <c r="R109" s="213"/>
      <c r="S109" s="215"/>
      <c r="T109" s="214"/>
      <c r="U109" s="630"/>
      <c r="V109" s="631"/>
      <c r="W109" s="632"/>
      <c r="X109" s="632"/>
      <c r="Y109" s="643"/>
      <c r="Z109" s="616">
        <f t="shared" si="1"/>
        <v>600</v>
      </c>
      <c r="AA109" s="633"/>
      <c r="AB109" s="648"/>
      <c r="AC109" s="648"/>
      <c r="AD109" s="7"/>
      <c r="AE109" s="24">
        <v>2834.1</v>
      </c>
      <c r="AF109" s="7"/>
      <c r="AG109" s="618"/>
    </row>
    <row r="110" spans="1:33" ht="20.25" customHeight="1">
      <c r="A110" s="510"/>
      <c r="B110" s="505" t="s">
        <v>279</v>
      </c>
      <c r="C110" s="655" t="s">
        <v>280</v>
      </c>
      <c r="D110" s="512" t="s">
        <v>271</v>
      </c>
      <c r="E110" s="512"/>
      <c r="F110" s="512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21"/>
      <c r="R110" s="213"/>
      <c r="S110" s="215"/>
      <c r="T110" s="214"/>
      <c r="U110" s="630"/>
      <c r="V110" s="631"/>
      <c r="W110" s="632"/>
      <c r="X110" s="632"/>
      <c r="Y110" s="643">
        <v>0</v>
      </c>
      <c r="Z110" s="616">
        <f t="shared" si="1"/>
        <v>0</v>
      </c>
      <c r="AA110" s="633"/>
      <c r="AB110" s="654"/>
      <c r="AC110" s="654"/>
      <c r="AD110" s="7"/>
      <c r="AE110" s="24"/>
      <c r="AF110" s="7"/>
      <c r="AG110" s="618">
        <f t="shared" ref="AG110:AG125" si="5">AE110-Z110</f>
        <v>0</v>
      </c>
    </row>
    <row r="111" spans="1:33" ht="20.25" customHeight="1">
      <c r="A111" s="482"/>
      <c r="B111" s="483" t="s">
        <v>281</v>
      </c>
      <c r="C111" s="629" t="s">
        <v>131</v>
      </c>
      <c r="D111" s="504" t="s">
        <v>271</v>
      </c>
      <c r="E111" s="504"/>
      <c r="F111" s="504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21"/>
      <c r="R111" s="213"/>
      <c r="S111" s="215"/>
      <c r="T111" s="214"/>
      <c r="U111" s="630"/>
      <c r="V111" s="631"/>
      <c r="W111" s="632"/>
      <c r="X111" s="632"/>
      <c r="Y111" s="643">
        <v>0</v>
      </c>
      <c r="Z111" s="616">
        <f t="shared" si="1"/>
        <v>0</v>
      </c>
      <c r="AA111" s="633"/>
      <c r="AB111" s="634"/>
      <c r="AC111" s="634"/>
      <c r="AD111" s="7"/>
      <c r="AE111" s="24"/>
      <c r="AF111" s="7"/>
      <c r="AG111" s="618">
        <f t="shared" si="5"/>
        <v>0</v>
      </c>
    </row>
    <row r="112" spans="1:33" ht="20.25" customHeight="1">
      <c r="A112" s="482"/>
      <c r="B112" s="483" t="s">
        <v>282</v>
      </c>
      <c r="C112" s="629" t="s">
        <v>200</v>
      </c>
      <c r="D112" s="504" t="s">
        <v>271</v>
      </c>
      <c r="E112" s="504"/>
      <c r="F112" s="504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21"/>
      <c r="R112" s="213"/>
      <c r="S112" s="215"/>
      <c r="T112" s="214"/>
      <c r="U112" s="630"/>
      <c r="V112" s="631"/>
      <c r="W112" s="632"/>
      <c r="X112" s="632"/>
      <c r="Y112" s="643">
        <v>0</v>
      </c>
      <c r="Z112" s="616">
        <f t="shared" si="1"/>
        <v>0</v>
      </c>
      <c r="AA112" s="633"/>
      <c r="AB112" s="634"/>
      <c r="AC112" s="634"/>
      <c r="AD112" s="7"/>
      <c r="AE112" s="24"/>
      <c r="AF112" s="7"/>
      <c r="AG112" s="618">
        <f t="shared" si="5"/>
        <v>0</v>
      </c>
    </row>
    <row r="113" spans="1:33" ht="20.25" customHeight="1">
      <c r="A113" s="482"/>
      <c r="B113" s="483" t="s">
        <v>283</v>
      </c>
      <c r="C113" s="629" t="s">
        <v>203</v>
      </c>
      <c r="D113" s="504" t="s">
        <v>271</v>
      </c>
      <c r="E113" s="504"/>
      <c r="F113" s="504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21"/>
      <c r="R113" s="213"/>
      <c r="S113" s="215"/>
      <c r="T113" s="214"/>
      <c r="U113" s="630"/>
      <c r="V113" s="631"/>
      <c r="W113" s="632"/>
      <c r="X113" s="632"/>
      <c r="Y113" s="643">
        <v>0</v>
      </c>
      <c r="Z113" s="616">
        <f t="shared" si="1"/>
        <v>0</v>
      </c>
      <c r="AA113" s="633"/>
      <c r="AB113" s="634"/>
      <c r="AC113" s="634"/>
      <c r="AD113" s="7"/>
      <c r="AE113" s="24"/>
      <c r="AF113" s="7"/>
      <c r="AG113" s="618">
        <f t="shared" si="5"/>
        <v>0</v>
      </c>
    </row>
    <row r="114" spans="1:33" ht="20.25" customHeight="1">
      <c r="A114" s="482"/>
      <c r="B114" s="483" t="s">
        <v>284</v>
      </c>
      <c r="C114" s="629" t="s">
        <v>159</v>
      </c>
      <c r="D114" s="504" t="s">
        <v>271</v>
      </c>
      <c r="E114" s="504"/>
      <c r="F114" s="504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21"/>
      <c r="R114" s="213"/>
      <c r="S114" s="215"/>
      <c r="T114" s="214"/>
      <c r="U114" s="630"/>
      <c r="V114" s="631"/>
      <c r="W114" s="632"/>
      <c r="X114" s="632"/>
      <c r="Y114" s="643">
        <v>0</v>
      </c>
      <c r="Z114" s="616">
        <f t="shared" si="1"/>
        <v>0</v>
      </c>
      <c r="AA114" s="633"/>
      <c r="AB114" s="634"/>
      <c r="AC114" s="634"/>
      <c r="AD114" s="7"/>
      <c r="AE114" s="24"/>
      <c r="AF114" s="7"/>
      <c r="AG114" s="618">
        <f t="shared" si="5"/>
        <v>0</v>
      </c>
    </row>
    <row r="115" spans="1:33" ht="20.25" customHeight="1">
      <c r="A115" s="486"/>
      <c r="B115" s="487" t="s">
        <v>285</v>
      </c>
      <c r="C115" s="635" t="s">
        <v>286</v>
      </c>
      <c r="D115" s="512" t="s">
        <v>271</v>
      </c>
      <c r="E115" s="512"/>
      <c r="F115" s="512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21"/>
      <c r="R115" s="213"/>
      <c r="S115" s="215"/>
      <c r="T115" s="214"/>
      <c r="U115" s="630"/>
      <c r="V115" s="631"/>
      <c r="W115" s="632"/>
      <c r="X115" s="632"/>
      <c r="Y115" s="643">
        <v>0</v>
      </c>
      <c r="Z115" s="616">
        <f t="shared" si="1"/>
        <v>0</v>
      </c>
      <c r="AA115" s="633"/>
      <c r="AB115" s="636"/>
      <c r="AC115" s="636"/>
      <c r="AD115" s="7"/>
      <c r="AE115" s="24"/>
      <c r="AF115" s="7"/>
      <c r="AG115" s="618">
        <f t="shared" si="5"/>
        <v>0</v>
      </c>
    </row>
    <row r="116" spans="1:33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512"/>
      <c r="F116" s="512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21"/>
      <c r="R116" s="213"/>
      <c r="S116" s="215"/>
      <c r="T116" s="214"/>
      <c r="U116" s="630"/>
      <c r="V116" s="631"/>
      <c r="W116" s="632"/>
      <c r="X116" s="632"/>
      <c r="Y116" s="643">
        <v>0</v>
      </c>
      <c r="Z116" s="616">
        <f t="shared" si="1"/>
        <v>0</v>
      </c>
      <c r="AA116" s="633"/>
      <c r="AB116" s="654"/>
      <c r="AC116" s="654"/>
      <c r="AD116" s="7"/>
      <c r="AE116" s="24"/>
      <c r="AF116" s="7"/>
      <c r="AG116" s="618">
        <f t="shared" si="5"/>
        <v>0</v>
      </c>
    </row>
    <row r="117" spans="1:33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504"/>
      <c r="F117" s="504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21"/>
      <c r="R117" s="213"/>
      <c r="S117" s="215"/>
      <c r="T117" s="214"/>
      <c r="U117" s="630"/>
      <c r="V117" s="631"/>
      <c r="W117" s="632"/>
      <c r="X117" s="632"/>
      <c r="Y117" s="643">
        <v>0</v>
      </c>
      <c r="Z117" s="616">
        <f t="shared" si="1"/>
        <v>0</v>
      </c>
      <c r="AA117" s="633"/>
      <c r="AB117" s="648"/>
      <c r="AC117" s="648"/>
      <c r="AD117" s="7"/>
      <c r="AE117" s="24"/>
      <c r="AF117" s="7"/>
      <c r="AG117" s="618">
        <f t="shared" si="5"/>
        <v>0</v>
      </c>
    </row>
    <row r="118" spans="1:33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504"/>
      <c r="F118" s="504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21"/>
      <c r="R118" s="213"/>
      <c r="S118" s="215"/>
      <c r="T118" s="214"/>
      <c r="U118" s="630"/>
      <c r="V118" s="631"/>
      <c r="W118" s="632"/>
      <c r="X118" s="632"/>
      <c r="Y118" s="643">
        <v>0</v>
      </c>
      <c r="Z118" s="616">
        <f t="shared" si="1"/>
        <v>0</v>
      </c>
      <c r="AA118" s="633"/>
      <c r="AB118" s="648"/>
      <c r="AC118" s="648"/>
      <c r="AD118" s="7"/>
      <c r="AE118" s="24"/>
      <c r="AF118" s="7"/>
      <c r="AG118" s="618">
        <f t="shared" si="5"/>
        <v>0</v>
      </c>
    </row>
    <row r="119" spans="1:33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504"/>
      <c r="F119" s="504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21"/>
      <c r="R119" s="213"/>
      <c r="S119" s="215"/>
      <c r="T119" s="214"/>
      <c r="U119" s="630"/>
      <c r="V119" s="631"/>
      <c r="W119" s="632"/>
      <c r="X119" s="632"/>
      <c r="Y119" s="643">
        <v>0</v>
      </c>
      <c r="Z119" s="616">
        <f t="shared" si="1"/>
        <v>0</v>
      </c>
      <c r="AA119" s="633"/>
      <c r="AB119" s="648"/>
      <c r="AC119" s="648"/>
      <c r="AD119" s="7"/>
      <c r="AE119" s="24"/>
      <c r="AF119" s="7"/>
      <c r="AG119" s="618">
        <f t="shared" si="5"/>
        <v>0</v>
      </c>
    </row>
    <row r="120" spans="1:33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504"/>
      <c r="F120" s="504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21"/>
      <c r="R120" s="213"/>
      <c r="S120" s="215"/>
      <c r="T120" s="214"/>
      <c r="U120" s="630"/>
      <c r="V120" s="631"/>
      <c r="W120" s="632"/>
      <c r="X120" s="632"/>
      <c r="Y120" s="643">
        <v>0</v>
      </c>
      <c r="Z120" s="616">
        <f t="shared" si="1"/>
        <v>0</v>
      </c>
      <c r="AA120" s="633"/>
      <c r="AB120" s="648"/>
      <c r="AC120" s="648"/>
      <c r="AD120" s="7"/>
      <c r="AE120" s="24"/>
      <c r="AF120" s="7"/>
      <c r="AG120" s="618">
        <f t="shared" si="5"/>
        <v>0</v>
      </c>
    </row>
    <row r="121" spans="1:33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512"/>
      <c r="F121" s="512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21"/>
      <c r="R121" s="213"/>
      <c r="S121" s="215"/>
      <c r="T121" s="214"/>
      <c r="U121" s="630"/>
      <c r="V121" s="631"/>
      <c r="W121" s="632"/>
      <c r="X121" s="632"/>
      <c r="Y121" s="643">
        <v>0</v>
      </c>
      <c r="Z121" s="616">
        <f t="shared" si="1"/>
        <v>0</v>
      </c>
      <c r="AA121" s="633"/>
      <c r="AB121" s="654"/>
      <c r="AC121" s="654"/>
      <c r="AD121" s="7"/>
      <c r="AE121" s="24"/>
      <c r="AF121" s="7"/>
      <c r="AG121" s="618">
        <f t="shared" si="5"/>
        <v>0</v>
      </c>
    </row>
    <row r="122" spans="1:33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504"/>
      <c r="F122" s="504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21"/>
      <c r="R122" s="213"/>
      <c r="S122" s="215"/>
      <c r="T122" s="214"/>
      <c r="U122" s="630"/>
      <c r="V122" s="631"/>
      <c r="W122" s="632"/>
      <c r="X122" s="632"/>
      <c r="Y122" s="643">
        <v>0</v>
      </c>
      <c r="Z122" s="616">
        <f t="shared" si="1"/>
        <v>0</v>
      </c>
      <c r="AA122" s="633"/>
      <c r="AB122" s="648"/>
      <c r="AC122" s="648"/>
      <c r="AD122" s="7"/>
      <c r="AE122" s="24"/>
      <c r="AF122" s="7"/>
      <c r="AG122" s="618">
        <f t="shared" si="5"/>
        <v>0</v>
      </c>
    </row>
    <row r="123" spans="1:33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504"/>
      <c r="F123" s="504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21"/>
      <c r="R123" s="213"/>
      <c r="S123" s="215"/>
      <c r="T123" s="214"/>
      <c r="U123" s="630"/>
      <c r="V123" s="631"/>
      <c r="W123" s="632"/>
      <c r="X123" s="632"/>
      <c r="Y123" s="643">
        <v>0</v>
      </c>
      <c r="Z123" s="616">
        <f t="shared" si="1"/>
        <v>0</v>
      </c>
      <c r="AA123" s="633"/>
      <c r="AB123" s="648"/>
      <c r="AC123" s="648"/>
      <c r="AD123" s="7"/>
      <c r="AE123" s="24"/>
      <c r="AF123" s="7"/>
      <c r="AG123" s="618">
        <f t="shared" si="5"/>
        <v>0</v>
      </c>
    </row>
    <row r="124" spans="1:33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504"/>
      <c r="F124" s="504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21"/>
      <c r="R124" s="213"/>
      <c r="S124" s="215"/>
      <c r="T124" s="214"/>
      <c r="U124" s="630"/>
      <c r="V124" s="631"/>
      <c r="W124" s="632"/>
      <c r="X124" s="632"/>
      <c r="Y124" s="643">
        <v>0</v>
      </c>
      <c r="Z124" s="616">
        <f t="shared" si="1"/>
        <v>0</v>
      </c>
      <c r="AA124" s="633"/>
      <c r="AB124" s="648"/>
      <c r="AC124" s="648"/>
      <c r="AD124" s="7"/>
      <c r="AE124" s="24"/>
      <c r="AF124" s="7"/>
      <c r="AG124" s="618">
        <f t="shared" si="5"/>
        <v>0</v>
      </c>
    </row>
    <row r="125" spans="1:33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504"/>
      <c r="F125" s="504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21"/>
      <c r="R125" s="213"/>
      <c r="S125" s="215"/>
      <c r="T125" s="214"/>
      <c r="U125" s="630"/>
      <c r="V125" s="631"/>
      <c r="W125" s="632"/>
      <c r="X125" s="632"/>
      <c r="Y125" s="643">
        <v>0</v>
      </c>
      <c r="Z125" s="616">
        <f t="shared" si="1"/>
        <v>0</v>
      </c>
      <c r="AA125" s="633"/>
      <c r="AB125" s="648"/>
      <c r="AC125" s="648"/>
      <c r="AD125" s="7"/>
      <c r="AE125" s="24"/>
      <c r="AF125" s="7"/>
      <c r="AG125" s="618">
        <f t="shared" si="5"/>
        <v>0</v>
      </c>
    </row>
    <row r="126" spans="1:33" ht="20.25" customHeight="1">
      <c r="A126" s="486"/>
      <c r="B126" s="487" t="s">
        <v>299</v>
      </c>
      <c r="C126" s="635" t="s">
        <v>300</v>
      </c>
      <c r="D126" s="412" t="s">
        <v>271</v>
      </c>
      <c r="E126" s="412">
        <v>59.2</v>
      </c>
      <c r="F126" s="412">
        <v>74.7</v>
      </c>
      <c r="G126" s="213"/>
      <c r="H126" s="213"/>
      <c r="I126" s="213"/>
      <c r="J126" s="213"/>
      <c r="K126" s="213"/>
      <c r="L126" s="213"/>
      <c r="M126" s="213">
        <v>100</v>
      </c>
      <c r="N126" s="213">
        <v>1.75</v>
      </c>
      <c r="O126" s="213"/>
      <c r="P126" s="213">
        <v>0.1</v>
      </c>
      <c r="Q126" s="221">
        <v>9.1999999999999993</v>
      </c>
      <c r="R126" s="652">
        <v>836</v>
      </c>
      <c r="S126" s="215"/>
      <c r="T126" s="214">
        <v>1</v>
      </c>
      <c r="U126" s="630"/>
      <c r="V126" s="631"/>
      <c r="W126" s="632"/>
      <c r="X126" s="632">
        <v>32.6</v>
      </c>
      <c r="Y126" s="643"/>
      <c r="Z126" s="616">
        <f t="shared" si="1"/>
        <v>1114.55</v>
      </c>
      <c r="AA126" s="633"/>
      <c r="AB126" s="636"/>
      <c r="AC126" s="636"/>
      <c r="AD126" s="7"/>
      <c r="AE126" s="24">
        <v>1023.56</v>
      </c>
      <c r="AF126" s="7"/>
      <c r="AG126" s="618"/>
    </row>
    <row r="127" spans="1:33" ht="19.5" customHeight="1">
      <c r="A127" s="482"/>
      <c r="B127" s="483" t="s">
        <v>302</v>
      </c>
      <c r="C127" s="629" t="s">
        <v>131</v>
      </c>
      <c r="D127" s="504" t="s">
        <v>271</v>
      </c>
      <c r="E127" s="504"/>
      <c r="F127" s="504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21"/>
      <c r="R127" s="213"/>
      <c r="S127" s="215"/>
      <c r="T127" s="214"/>
      <c r="U127" s="630"/>
      <c r="V127" s="631"/>
      <c r="W127" s="632"/>
      <c r="X127" s="632"/>
      <c r="Y127" s="643"/>
      <c r="Z127" s="616">
        <f t="shared" si="1"/>
        <v>0</v>
      </c>
      <c r="AA127" s="633"/>
      <c r="AB127" s="634"/>
      <c r="AC127" s="634"/>
      <c r="AD127" s="7"/>
      <c r="AE127" s="24">
        <v>314.62</v>
      </c>
      <c r="AF127" s="7"/>
      <c r="AG127" s="618"/>
    </row>
    <row r="128" spans="1:33" ht="20.25" customHeight="1">
      <c r="A128" s="482"/>
      <c r="B128" s="483" t="s">
        <v>303</v>
      </c>
      <c r="C128" s="629" t="s">
        <v>200</v>
      </c>
      <c r="D128" s="504" t="s">
        <v>271</v>
      </c>
      <c r="E128" s="504"/>
      <c r="F128" s="504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21"/>
      <c r="R128" s="213"/>
      <c r="S128" s="215"/>
      <c r="T128" s="214"/>
      <c r="U128" s="630"/>
      <c r="V128" s="631"/>
      <c r="W128" s="632"/>
      <c r="X128" s="632"/>
      <c r="Y128" s="643">
        <v>0</v>
      </c>
      <c r="Z128" s="616">
        <f t="shared" si="1"/>
        <v>0</v>
      </c>
      <c r="AA128" s="633"/>
      <c r="AB128" s="634"/>
      <c r="AC128" s="634"/>
      <c r="AD128" s="7"/>
      <c r="AE128" s="24"/>
      <c r="AF128" s="7"/>
      <c r="AG128" s="618">
        <f>AE128-Z128</f>
        <v>0</v>
      </c>
    </row>
    <row r="129" spans="1:33" ht="20.25" customHeight="1">
      <c r="A129" s="482"/>
      <c r="B129" s="483" t="s">
        <v>304</v>
      </c>
      <c r="C129" s="629" t="s">
        <v>203</v>
      </c>
      <c r="D129" s="504" t="s">
        <v>271</v>
      </c>
      <c r="E129" s="504"/>
      <c r="F129" s="504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21"/>
      <c r="R129" s="652">
        <v>836</v>
      </c>
      <c r="S129" s="215"/>
      <c r="T129" s="214"/>
      <c r="U129" s="630"/>
      <c r="V129" s="631"/>
      <c r="W129" s="632"/>
      <c r="X129" s="632"/>
      <c r="Y129" s="643"/>
      <c r="Z129" s="616">
        <f t="shared" si="1"/>
        <v>836</v>
      </c>
      <c r="AA129" s="633"/>
      <c r="AB129" s="634"/>
      <c r="AC129" s="634"/>
      <c r="AD129" s="7"/>
      <c r="AE129" s="24">
        <v>262.14</v>
      </c>
      <c r="AF129" s="7"/>
      <c r="AG129" s="618"/>
    </row>
    <row r="130" spans="1:33" ht="20.25" customHeight="1">
      <c r="A130" s="482"/>
      <c r="B130" s="483" t="s">
        <v>305</v>
      </c>
      <c r="C130" s="629" t="s">
        <v>159</v>
      </c>
      <c r="D130" s="504" t="s">
        <v>271</v>
      </c>
      <c r="E130" s="504"/>
      <c r="F130" s="504"/>
      <c r="G130" s="213"/>
      <c r="H130" s="213"/>
      <c r="I130" s="213"/>
      <c r="J130" s="213"/>
      <c r="K130" s="213"/>
      <c r="L130" s="213"/>
      <c r="M130" s="213">
        <v>100</v>
      </c>
      <c r="N130" s="213"/>
      <c r="O130" s="213"/>
      <c r="P130" s="213"/>
      <c r="Q130" s="221"/>
      <c r="R130" s="213"/>
      <c r="S130" s="215"/>
      <c r="T130" s="214"/>
      <c r="U130" s="630"/>
      <c r="V130" s="631"/>
      <c r="W130" s="632"/>
      <c r="X130" s="632"/>
      <c r="Y130" s="643"/>
      <c r="Z130" s="616">
        <f t="shared" si="1"/>
        <v>100</v>
      </c>
      <c r="AA130" s="633"/>
      <c r="AB130" s="634"/>
      <c r="AC130" s="634"/>
      <c r="AD130" s="7"/>
      <c r="AE130" s="24">
        <v>446.8</v>
      </c>
      <c r="AF130" s="7"/>
      <c r="AG130" s="618"/>
    </row>
    <row r="131" spans="1:33" ht="20.25" customHeight="1">
      <c r="A131" s="486"/>
      <c r="B131" s="505" t="s">
        <v>306</v>
      </c>
      <c r="C131" s="635" t="s">
        <v>307</v>
      </c>
      <c r="D131" s="412" t="s">
        <v>308</v>
      </c>
      <c r="E131" s="412"/>
      <c r="F131" s="412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21"/>
      <c r="R131" s="213"/>
      <c r="S131" s="215"/>
      <c r="T131" s="214"/>
      <c r="U131" s="630"/>
      <c r="V131" s="631"/>
      <c r="W131" s="632"/>
      <c r="X131" s="632"/>
      <c r="Y131" s="643">
        <v>0</v>
      </c>
      <c r="Z131" s="616">
        <f t="shared" si="1"/>
        <v>0</v>
      </c>
      <c r="AA131" s="633"/>
      <c r="AB131" s="636"/>
      <c r="AC131" s="636"/>
      <c r="AD131" s="7"/>
      <c r="AE131" s="24"/>
      <c r="AF131" s="7"/>
      <c r="AG131" s="618">
        <f t="shared" ref="AG131:AG135" si="6">AE131-Z131</f>
        <v>0</v>
      </c>
    </row>
    <row r="132" spans="1:33" ht="20.25" customHeight="1">
      <c r="A132" s="482"/>
      <c r="B132" s="483" t="s">
        <v>310</v>
      </c>
      <c r="C132" s="629" t="s">
        <v>131</v>
      </c>
      <c r="D132" s="504" t="s">
        <v>308</v>
      </c>
      <c r="E132" s="504"/>
      <c r="F132" s="504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21"/>
      <c r="R132" s="213"/>
      <c r="S132" s="215"/>
      <c r="T132" s="214"/>
      <c r="U132" s="630"/>
      <c r="V132" s="631"/>
      <c r="W132" s="632"/>
      <c r="X132" s="632"/>
      <c r="Y132" s="643">
        <v>0</v>
      </c>
      <c r="Z132" s="616">
        <f t="shared" si="1"/>
        <v>0</v>
      </c>
      <c r="AA132" s="633"/>
      <c r="AB132" s="634"/>
      <c r="AC132" s="634"/>
      <c r="AD132" s="7"/>
      <c r="AE132" s="24"/>
      <c r="AF132" s="7"/>
      <c r="AG132" s="618">
        <f t="shared" si="6"/>
        <v>0</v>
      </c>
    </row>
    <row r="133" spans="1:33" ht="20.25" customHeight="1">
      <c r="A133" s="482"/>
      <c r="B133" s="483" t="s">
        <v>311</v>
      </c>
      <c r="C133" s="629" t="s">
        <v>200</v>
      </c>
      <c r="D133" s="504" t="s">
        <v>308</v>
      </c>
      <c r="E133" s="504"/>
      <c r="F133" s="504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21"/>
      <c r="R133" s="213"/>
      <c r="S133" s="215"/>
      <c r="T133" s="214"/>
      <c r="U133" s="630"/>
      <c r="V133" s="631"/>
      <c r="W133" s="632"/>
      <c r="X133" s="632"/>
      <c r="Y133" s="643">
        <v>0</v>
      </c>
      <c r="Z133" s="616">
        <f t="shared" si="1"/>
        <v>0</v>
      </c>
      <c r="AA133" s="633"/>
      <c r="AB133" s="634"/>
      <c r="AC133" s="634"/>
      <c r="AD133" s="7"/>
      <c r="AE133" s="24"/>
      <c r="AF133" s="7"/>
      <c r="AG133" s="618">
        <f t="shared" si="6"/>
        <v>0</v>
      </c>
    </row>
    <row r="134" spans="1:33" ht="20.25" customHeight="1">
      <c r="A134" s="482"/>
      <c r="B134" s="483" t="s">
        <v>312</v>
      </c>
      <c r="C134" s="629" t="s">
        <v>203</v>
      </c>
      <c r="D134" s="504" t="s">
        <v>308</v>
      </c>
      <c r="E134" s="504"/>
      <c r="F134" s="504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21"/>
      <c r="R134" s="213"/>
      <c r="S134" s="215"/>
      <c r="T134" s="214"/>
      <c r="U134" s="630"/>
      <c r="V134" s="631"/>
      <c r="W134" s="632"/>
      <c r="X134" s="632"/>
      <c r="Y134" s="643">
        <v>0</v>
      </c>
      <c r="Z134" s="616">
        <f t="shared" si="1"/>
        <v>0</v>
      </c>
      <c r="AA134" s="633"/>
      <c r="AB134" s="634"/>
      <c r="AC134" s="634"/>
      <c r="AD134" s="7"/>
      <c r="AE134" s="24"/>
      <c r="AF134" s="7"/>
      <c r="AG134" s="618">
        <f t="shared" si="6"/>
        <v>0</v>
      </c>
    </row>
    <row r="135" spans="1:33" ht="20.25" customHeight="1">
      <c r="A135" s="482"/>
      <c r="B135" s="483" t="s">
        <v>313</v>
      </c>
      <c r="C135" s="629" t="s">
        <v>159</v>
      </c>
      <c r="D135" s="504" t="s">
        <v>308</v>
      </c>
      <c r="E135" s="504"/>
      <c r="F135" s="504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21"/>
      <c r="R135" s="213"/>
      <c r="S135" s="215"/>
      <c r="T135" s="214"/>
      <c r="U135" s="630"/>
      <c r="V135" s="631"/>
      <c r="W135" s="632"/>
      <c r="X135" s="632"/>
      <c r="Y135" s="643">
        <v>0</v>
      </c>
      <c r="Z135" s="616">
        <f t="shared" si="1"/>
        <v>0</v>
      </c>
      <c r="AA135" s="633"/>
      <c r="AB135" s="634"/>
      <c r="AC135" s="634"/>
      <c r="AD135" s="7"/>
      <c r="AE135" s="24"/>
      <c r="AF135" s="7"/>
      <c r="AG135" s="618">
        <f t="shared" si="6"/>
        <v>0</v>
      </c>
    </row>
    <row r="136" spans="1:33" ht="20.25" customHeight="1">
      <c r="A136" s="486"/>
      <c r="B136" s="487" t="s">
        <v>314</v>
      </c>
      <c r="C136" s="656" t="s">
        <v>315</v>
      </c>
      <c r="D136" s="412" t="s">
        <v>271</v>
      </c>
      <c r="E136" s="412"/>
      <c r="F136" s="412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21"/>
      <c r="R136" s="213"/>
      <c r="S136" s="215"/>
      <c r="T136" s="214"/>
      <c r="U136" s="630"/>
      <c r="V136" s="631"/>
      <c r="W136" s="632">
        <v>3</v>
      </c>
      <c r="X136" s="632"/>
      <c r="Y136" s="643">
        <v>402.73</v>
      </c>
      <c r="Z136" s="616">
        <f t="shared" si="1"/>
        <v>405.73</v>
      </c>
      <c r="AA136" s="633"/>
      <c r="AB136" s="636"/>
      <c r="AC136" s="636"/>
      <c r="AD136" s="7"/>
      <c r="AE136" s="24">
        <v>894.23</v>
      </c>
      <c r="AF136" s="7"/>
      <c r="AG136" s="618">
        <f>AE136-Z136-Z141</f>
        <v>0</v>
      </c>
    </row>
    <row r="137" spans="1:33" ht="20.25" customHeight="1">
      <c r="A137" s="503"/>
      <c r="B137" s="483" t="s">
        <v>317</v>
      </c>
      <c r="C137" s="629" t="s">
        <v>131</v>
      </c>
      <c r="D137" s="504" t="s">
        <v>271</v>
      </c>
      <c r="E137" s="504"/>
      <c r="F137" s="504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21"/>
      <c r="R137" s="213"/>
      <c r="S137" s="215"/>
      <c r="T137" s="214"/>
      <c r="U137" s="630"/>
      <c r="V137" s="631"/>
      <c r="W137" s="632"/>
      <c r="X137" s="632"/>
      <c r="Y137" s="643"/>
      <c r="Z137" s="616">
        <f t="shared" si="1"/>
        <v>0</v>
      </c>
      <c r="AA137" s="633"/>
      <c r="AB137" s="648"/>
      <c r="AC137" s="648"/>
      <c r="AD137" s="7"/>
      <c r="AE137" s="24">
        <v>19.399999999999999</v>
      </c>
      <c r="AF137" s="7"/>
      <c r="AG137" s="618"/>
    </row>
    <row r="138" spans="1:33" ht="20.25" customHeight="1">
      <c r="A138" s="503"/>
      <c r="B138" s="483" t="s">
        <v>318</v>
      </c>
      <c r="C138" s="629" t="s">
        <v>200</v>
      </c>
      <c r="D138" s="504" t="s">
        <v>271</v>
      </c>
      <c r="E138" s="504"/>
      <c r="F138" s="504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21"/>
      <c r="R138" s="213"/>
      <c r="S138" s="215"/>
      <c r="T138" s="214"/>
      <c r="U138" s="630"/>
      <c r="V138" s="631"/>
      <c r="W138" s="632"/>
      <c r="X138" s="632"/>
      <c r="Y138" s="643"/>
      <c r="Z138" s="616">
        <f t="shared" si="1"/>
        <v>0</v>
      </c>
      <c r="AA138" s="633"/>
      <c r="AB138" s="648"/>
      <c r="AC138" s="648"/>
      <c r="AD138" s="7"/>
      <c r="AE138" s="24"/>
      <c r="AF138" s="7"/>
      <c r="AG138" s="618"/>
    </row>
    <row r="139" spans="1:33" ht="20.25" customHeight="1">
      <c r="A139" s="503"/>
      <c r="B139" s="483" t="s">
        <v>319</v>
      </c>
      <c r="C139" s="629" t="s">
        <v>203</v>
      </c>
      <c r="D139" s="504" t="s">
        <v>271</v>
      </c>
      <c r="E139" s="504"/>
      <c r="F139" s="504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21"/>
      <c r="R139" s="213"/>
      <c r="S139" s="215"/>
      <c r="T139" s="214"/>
      <c r="U139" s="630"/>
      <c r="V139" s="631"/>
      <c r="W139" s="632"/>
      <c r="X139" s="632"/>
      <c r="Y139" s="643"/>
      <c r="Z139" s="616">
        <f t="shared" si="1"/>
        <v>0</v>
      </c>
      <c r="AA139" s="633"/>
      <c r="AB139" s="648"/>
      <c r="AC139" s="648"/>
      <c r="AD139" s="7"/>
      <c r="AE139" s="24">
        <v>59.13</v>
      </c>
      <c r="AF139" s="7"/>
      <c r="AG139" s="618"/>
    </row>
    <row r="140" spans="1:33" ht="20.25" customHeight="1">
      <c r="A140" s="503"/>
      <c r="B140" s="483" t="s">
        <v>320</v>
      </c>
      <c r="C140" s="629" t="s">
        <v>159</v>
      </c>
      <c r="D140" s="504" t="s">
        <v>271</v>
      </c>
      <c r="E140" s="504"/>
      <c r="F140" s="504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21"/>
      <c r="R140" s="213"/>
      <c r="S140" s="215"/>
      <c r="T140" s="214"/>
      <c r="U140" s="630"/>
      <c r="V140" s="631"/>
      <c r="W140" s="632"/>
      <c r="X140" s="632"/>
      <c r="Y140" s="643"/>
      <c r="Z140" s="616">
        <f t="shared" si="1"/>
        <v>0</v>
      </c>
      <c r="AA140" s="633"/>
      <c r="AB140" s="648"/>
      <c r="AC140" s="648"/>
      <c r="AD140" s="7"/>
      <c r="AE140" s="24">
        <v>815.7</v>
      </c>
      <c r="AF140" s="7"/>
      <c r="AG140" s="618"/>
    </row>
    <row r="141" spans="1:33" ht="20.25" customHeight="1">
      <c r="A141" s="486"/>
      <c r="B141" s="487" t="s">
        <v>321</v>
      </c>
      <c r="C141" s="656" t="s">
        <v>322</v>
      </c>
      <c r="D141" s="412" t="s">
        <v>271</v>
      </c>
      <c r="E141" s="412"/>
      <c r="F141" s="412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21">
        <f>295.7+68.9</f>
        <v>364.6</v>
      </c>
      <c r="R141" s="213"/>
      <c r="S141" s="215">
        <v>100</v>
      </c>
      <c r="T141" s="214"/>
      <c r="U141" s="630">
        <v>23.9</v>
      </c>
      <c r="V141" s="631"/>
      <c r="W141" s="632"/>
      <c r="X141" s="632"/>
      <c r="Y141" s="643"/>
      <c r="Z141" s="616">
        <f t="shared" si="1"/>
        <v>488.5</v>
      </c>
      <c r="AA141" s="633"/>
      <c r="AB141" s="636"/>
      <c r="AC141" s="636"/>
      <c r="AD141" s="7"/>
      <c r="AE141" s="24"/>
      <c r="AF141" s="7"/>
      <c r="AG141" s="618"/>
    </row>
    <row r="142" spans="1:33" ht="20.25" customHeight="1">
      <c r="A142" s="503"/>
      <c r="B142" s="483" t="s">
        <v>324</v>
      </c>
      <c r="C142" s="629" t="s">
        <v>131</v>
      </c>
      <c r="D142" s="504" t="s">
        <v>271</v>
      </c>
      <c r="E142" s="504"/>
      <c r="F142" s="504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21"/>
      <c r="R142" s="213"/>
      <c r="S142" s="215"/>
      <c r="T142" s="214"/>
      <c r="U142" s="630"/>
      <c r="V142" s="631"/>
      <c r="W142" s="632"/>
      <c r="X142" s="632"/>
      <c r="Y142" s="643">
        <v>0</v>
      </c>
      <c r="Z142" s="616">
        <f t="shared" si="1"/>
        <v>0</v>
      </c>
      <c r="AA142" s="633"/>
      <c r="AB142" s="648"/>
      <c r="AC142" s="648"/>
      <c r="AD142" s="7"/>
      <c r="AE142" s="24"/>
      <c r="AF142" s="7"/>
      <c r="AG142" s="618">
        <f t="shared" ref="AG142:AG144" si="7">AE142-Z142</f>
        <v>0</v>
      </c>
    </row>
    <row r="143" spans="1:33" ht="20.25" customHeight="1">
      <c r="A143" s="503"/>
      <c r="B143" s="483" t="s">
        <v>325</v>
      </c>
      <c r="C143" s="629" t="s">
        <v>200</v>
      </c>
      <c r="D143" s="504" t="s">
        <v>271</v>
      </c>
      <c r="E143" s="504"/>
      <c r="F143" s="504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21"/>
      <c r="R143" s="213"/>
      <c r="S143" s="215"/>
      <c r="T143" s="214"/>
      <c r="U143" s="630"/>
      <c r="V143" s="631"/>
      <c r="W143" s="632"/>
      <c r="X143" s="632"/>
      <c r="Y143" s="643">
        <v>0</v>
      </c>
      <c r="Z143" s="616">
        <f t="shared" si="1"/>
        <v>0</v>
      </c>
      <c r="AA143" s="633"/>
      <c r="AB143" s="648"/>
      <c r="AC143" s="648"/>
      <c r="AD143" s="7"/>
      <c r="AE143" s="24"/>
      <c r="AF143" s="7"/>
      <c r="AG143" s="618">
        <f t="shared" si="7"/>
        <v>0</v>
      </c>
    </row>
    <row r="144" spans="1:33" ht="20.25" customHeight="1">
      <c r="A144" s="503"/>
      <c r="B144" s="483" t="s">
        <v>326</v>
      </c>
      <c r="C144" s="629" t="s">
        <v>203</v>
      </c>
      <c r="D144" s="504" t="s">
        <v>271</v>
      </c>
      <c r="E144" s="504"/>
      <c r="F144" s="504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21"/>
      <c r="R144" s="213"/>
      <c r="S144" s="215"/>
      <c r="T144" s="214"/>
      <c r="U144" s="630"/>
      <c r="V144" s="631"/>
      <c r="W144" s="632"/>
      <c r="X144" s="632"/>
      <c r="Y144" s="643">
        <v>0</v>
      </c>
      <c r="Z144" s="616">
        <f t="shared" si="1"/>
        <v>0</v>
      </c>
      <c r="AA144" s="633"/>
      <c r="AB144" s="648"/>
      <c r="AC144" s="648"/>
      <c r="AD144" s="7"/>
      <c r="AE144" s="24"/>
      <c r="AF144" s="7"/>
      <c r="AG144" s="618">
        <f t="shared" si="7"/>
        <v>0</v>
      </c>
    </row>
    <row r="145" spans="1:33" ht="20.25" customHeight="1">
      <c r="A145" s="503"/>
      <c r="B145" s="483" t="s">
        <v>327</v>
      </c>
      <c r="C145" s="629" t="s">
        <v>159</v>
      </c>
      <c r="D145" s="504" t="s">
        <v>271</v>
      </c>
      <c r="E145" s="504"/>
      <c r="F145" s="504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21"/>
      <c r="R145" s="213"/>
      <c r="S145" s="215"/>
      <c r="T145" s="214"/>
      <c r="U145" s="630"/>
      <c r="V145" s="631"/>
      <c r="W145" s="632"/>
      <c r="X145" s="632"/>
      <c r="Y145" s="643"/>
      <c r="Z145" s="616">
        <f t="shared" si="1"/>
        <v>0</v>
      </c>
      <c r="AA145" s="633"/>
      <c r="AB145" s="648"/>
      <c r="AC145" s="648"/>
      <c r="AD145" s="7"/>
      <c r="AE145" s="24"/>
      <c r="AF145" s="7"/>
      <c r="AG145" s="618"/>
    </row>
    <row r="146" spans="1:33" ht="20.25" customHeight="1">
      <c r="A146" s="486"/>
      <c r="B146" s="487" t="s">
        <v>328</v>
      </c>
      <c r="C146" s="635" t="s">
        <v>329</v>
      </c>
      <c r="D146" s="412" t="s">
        <v>271</v>
      </c>
      <c r="E146" s="412"/>
      <c r="F146" s="412"/>
      <c r="G146" s="213"/>
      <c r="H146" s="213"/>
      <c r="I146" s="213"/>
      <c r="J146" s="213"/>
      <c r="K146" s="213"/>
      <c r="L146" s="213"/>
      <c r="M146" s="652">
        <v>0.85</v>
      </c>
      <c r="N146" s="213"/>
      <c r="O146" s="213"/>
      <c r="P146" s="213"/>
      <c r="Q146" s="221"/>
      <c r="R146" s="213"/>
      <c r="S146" s="215">
        <v>0.85</v>
      </c>
      <c r="T146" s="214"/>
      <c r="U146" s="630"/>
      <c r="V146" s="631"/>
      <c r="W146" s="632"/>
      <c r="X146" s="632">
        <v>3</v>
      </c>
      <c r="Y146" s="643"/>
      <c r="Z146" s="616">
        <f t="shared" si="1"/>
        <v>4.7</v>
      </c>
      <c r="AA146" s="633"/>
      <c r="AB146" s="636"/>
      <c r="AC146" s="636"/>
      <c r="AD146" s="7"/>
      <c r="AE146" s="24"/>
      <c r="AF146" s="7"/>
      <c r="AG146" s="618"/>
    </row>
    <row r="147" spans="1:33" ht="20.25" customHeight="1">
      <c r="A147" s="482"/>
      <c r="B147" s="483" t="s">
        <v>331</v>
      </c>
      <c r="C147" s="629" t="s">
        <v>131</v>
      </c>
      <c r="D147" s="504" t="s">
        <v>271</v>
      </c>
      <c r="E147" s="504"/>
      <c r="F147" s="504"/>
      <c r="G147" s="213"/>
      <c r="H147" s="213"/>
      <c r="I147" s="213"/>
      <c r="J147" s="213"/>
      <c r="K147" s="213"/>
      <c r="L147" s="213"/>
      <c r="M147" s="652">
        <v>0.85</v>
      </c>
      <c r="N147" s="213"/>
      <c r="O147" s="213"/>
      <c r="P147" s="213"/>
      <c r="Q147" s="221"/>
      <c r="R147" s="213"/>
      <c r="S147" s="215"/>
      <c r="T147" s="214"/>
      <c r="U147" s="630"/>
      <c r="V147" s="631"/>
      <c r="W147" s="632"/>
      <c r="X147" s="632"/>
      <c r="Y147" s="643"/>
      <c r="Z147" s="616">
        <f t="shared" si="1"/>
        <v>0.85</v>
      </c>
      <c r="AA147" s="633"/>
      <c r="AB147" s="634"/>
      <c r="AC147" s="634"/>
      <c r="AD147" s="7"/>
      <c r="AE147" s="24"/>
      <c r="AF147" s="7"/>
      <c r="AG147" s="618"/>
    </row>
    <row r="148" spans="1:33" ht="20.25" customHeight="1">
      <c r="A148" s="482"/>
      <c r="B148" s="483" t="s">
        <v>332</v>
      </c>
      <c r="C148" s="629" t="s">
        <v>200</v>
      </c>
      <c r="D148" s="504" t="s">
        <v>271</v>
      </c>
      <c r="E148" s="504"/>
      <c r="F148" s="504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21"/>
      <c r="R148" s="213"/>
      <c r="S148" s="215"/>
      <c r="T148" s="214"/>
      <c r="U148" s="630"/>
      <c r="V148" s="631"/>
      <c r="W148" s="632"/>
      <c r="X148" s="632"/>
      <c r="Y148" s="643"/>
      <c r="Z148" s="616">
        <f t="shared" si="1"/>
        <v>0</v>
      </c>
      <c r="AA148" s="633"/>
      <c r="AB148" s="634"/>
      <c r="AC148" s="634"/>
      <c r="AD148" s="7"/>
      <c r="AE148" s="24"/>
      <c r="AF148" s="7"/>
      <c r="AG148" s="618"/>
    </row>
    <row r="149" spans="1:33" ht="20.25" customHeight="1">
      <c r="A149" s="482"/>
      <c r="B149" s="483" t="s">
        <v>333</v>
      </c>
      <c r="C149" s="629" t="s">
        <v>203</v>
      </c>
      <c r="D149" s="504" t="s">
        <v>271</v>
      </c>
      <c r="E149" s="504"/>
      <c r="F149" s="504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21"/>
      <c r="R149" s="213"/>
      <c r="S149" s="215"/>
      <c r="T149" s="214"/>
      <c r="U149" s="630"/>
      <c r="V149" s="631"/>
      <c r="W149" s="632"/>
      <c r="X149" s="632"/>
      <c r="Y149" s="643">
        <v>0</v>
      </c>
      <c r="Z149" s="616">
        <f t="shared" si="1"/>
        <v>0</v>
      </c>
      <c r="AA149" s="633"/>
      <c r="AB149" s="634"/>
      <c r="AC149" s="634"/>
      <c r="AD149" s="7"/>
      <c r="AE149" s="24"/>
      <c r="AF149" s="7"/>
      <c r="AG149" s="618">
        <f t="shared" ref="AG149:AG403" si="8">AE149-Z149</f>
        <v>0</v>
      </c>
    </row>
    <row r="150" spans="1:33" ht="20.25" customHeight="1">
      <c r="A150" s="482"/>
      <c r="B150" s="483" t="s">
        <v>334</v>
      </c>
      <c r="C150" s="629" t="s">
        <v>159</v>
      </c>
      <c r="D150" s="504" t="s">
        <v>271</v>
      </c>
      <c r="E150" s="504"/>
      <c r="F150" s="504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21"/>
      <c r="R150" s="213"/>
      <c r="S150" s="215"/>
      <c r="T150" s="214"/>
      <c r="U150" s="630"/>
      <c r="V150" s="631"/>
      <c r="W150" s="632"/>
      <c r="X150" s="632"/>
      <c r="Y150" s="643">
        <v>0</v>
      </c>
      <c r="Z150" s="616">
        <f t="shared" si="1"/>
        <v>0</v>
      </c>
      <c r="AA150" s="633"/>
      <c r="AB150" s="634"/>
      <c r="AC150" s="634"/>
      <c r="AD150" s="7"/>
      <c r="AE150" s="24"/>
      <c r="AF150" s="7"/>
      <c r="AG150" s="618">
        <f t="shared" si="8"/>
        <v>0</v>
      </c>
    </row>
    <row r="151" spans="1:33" ht="20.25" customHeight="1">
      <c r="A151" s="486"/>
      <c r="B151" s="487" t="s">
        <v>335</v>
      </c>
      <c r="C151" s="635" t="s">
        <v>336</v>
      </c>
      <c r="D151" s="412" t="s">
        <v>271</v>
      </c>
      <c r="E151" s="412"/>
      <c r="F151" s="412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21"/>
      <c r="R151" s="213"/>
      <c r="S151" s="215"/>
      <c r="T151" s="214"/>
      <c r="U151" s="630"/>
      <c r="V151" s="631"/>
      <c r="W151" s="632"/>
      <c r="X151" s="632"/>
      <c r="Y151" s="643">
        <v>0</v>
      </c>
      <c r="Z151" s="616">
        <f t="shared" si="1"/>
        <v>0</v>
      </c>
      <c r="AA151" s="633"/>
      <c r="AB151" s="636"/>
      <c r="AC151" s="636"/>
      <c r="AD151" s="7"/>
      <c r="AE151" s="24"/>
      <c r="AF151" s="7"/>
      <c r="AG151" s="618">
        <f t="shared" si="8"/>
        <v>0</v>
      </c>
    </row>
    <row r="152" spans="1:33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504"/>
      <c r="F152" s="504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21"/>
      <c r="R152" s="213"/>
      <c r="S152" s="215"/>
      <c r="T152" s="214"/>
      <c r="U152" s="630"/>
      <c r="V152" s="631"/>
      <c r="W152" s="632"/>
      <c r="X152" s="632"/>
      <c r="Y152" s="643">
        <v>0</v>
      </c>
      <c r="Z152" s="616">
        <f t="shared" si="1"/>
        <v>0</v>
      </c>
      <c r="AA152" s="633"/>
      <c r="AB152" s="634"/>
      <c r="AC152" s="634"/>
      <c r="AD152" s="7"/>
      <c r="AE152" s="24"/>
      <c r="AF152" s="7"/>
      <c r="AG152" s="618">
        <f t="shared" si="8"/>
        <v>0</v>
      </c>
    </row>
    <row r="153" spans="1:33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504"/>
      <c r="F153" s="504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21"/>
      <c r="R153" s="213"/>
      <c r="S153" s="215"/>
      <c r="T153" s="214"/>
      <c r="U153" s="630"/>
      <c r="V153" s="631"/>
      <c r="W153" s="632"/>
      <c r="X153" s="632"/>
      <c r="Y153" s="643">
        <v>0</v>
      </c>
      <c r="Z153" s="616">
        <f t="shared" si="1"/>
        <v>0</v>
      </c>
      <c r="AA153" s="633"/>
      <c r="AB153" s="634"/>
      <c r="AC153" s="634"/>
      <c r="AD153" s="7"/>
      <c r="AE153" s="24"/>
      <c r="AF153" s="7"/>
      <c r="AG153" s="618">
        <f t="shared" si="8"/>
        <v>0</v>
      </c>
    </row>
    <row r="154" spans="1:33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504"/>
      <c r="F154" s="504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21"/>
      <c r="R154" s="213"/>
      <c r="S154" s="215"/>
      <c r="T154" s="214"/>
      <c r="U154" s="630"/>
      <c r="V154" s="631"/>
      <c r="W154" s="632"/>
      <c r="X154" s="632"/>
      <c r="Y154" s="643">
        <v>0</v>
      </c>
      <c r="Z154" s="616">
        <f t="shared" si="1"/>
        <v>0</v>
      </c>
      <c r="AA154" s="633"/>
      <c r="AB154" s="634"/>
      <c r="AC154" s="634"/>
      <c r="AD154" s="7"/>
      <c r="AE154" s="24"/>
      <c r="AF154" s="7"/>
      <c r="AG154" s="618">
        <f t="shared" si="8"/>
        <v>0</v>
      </c>
    </row>
    <row r="155" spans="1:33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504"/>
      <c r="F155" s="504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21"/>
      <c r="R155" s="213"/>
      <c r="S155" s="215"/>
      <c r="T155" s="214"/>
      <c r="U155" s="630"/>
      <c r="V155" s="631"/>
      <c r="W155" s="632"/>
      <c r="X155" s="632"/>
      <c r="Y155" s="643">
        <v>0</v>
      </c>
      <c r="Z155" s="616">
        <f t="shared" si="1"/>
        <v>0</v>
      </c>
      <c r="AA155" s="633"/>
      <c r="AB155" s="634"/>
      <c r="AC155" s="634"/>
      <c r="AD155" s="7"/>
      <c r="AE155" s="24"/>
      <c r="AF155" s="7"/>
      <c r="AG155" s="618">
        <f t="shared" si="8"/>
        <v>0</v>
      </c>
    </row>
    <row r="156" spans="1:33" ht="20.25" customHeight="1">
      <c r="A156" s="486"/>
      <c r="B156" s="487" t="s">
        <v>342</v>
      </c>
      <c r="C156" s="635" t="s">
        <v>343</v>
      </c>
      <c r="D156" s="412" t="s">
        <v>271</v>
      </c>
      <c r="E156" s="412"/>
      <c r="F156" s="412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21"/>
      <c r="R156" s="213"/>
      <c r="S156" s="215"/>
      <c r="T156" s="214"/>
      <c r="U156" s="630"/>
      <c r="V156" s="631"/>
      <c r="W156" s="632"/>
      <c r="X156" s="632"/>
      <c r="Y156" s="643">
        <v>0</v>
      </c>
      <c r="Z156" s="616">
        <f t="shared" si="1"/>
        <v>0</v>
      </c>
      <c r="AA156" s="633"/>
      <c r="AB156" s="636"/>
      <c r="AC156" s="636"/>
      <c r="AD156" s="7"/>
      <c r="AE156" s="24"/>
      <c r="AF156" s="7"/>
      <c r="AG156" s="618">
        <f t="shared" si="8"/>
        <v>0</v>
      </c>
    </row>
    <row r="157" spans="1:33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504"/>
      <c r="F157" s="504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21"/>
      <c r="R157" s="213"/>
      <c r="S157" s="215"/>
      <c r="T157" s="214"/>
      <c r="U157" s="630"/>
      <c r="V157" s="631"/>
      <c r="W157" s="632"/>
      <c r="X157" s="632"/>
      <c r="Y157" s="643">
        <v>0</v>
      </c>
      <c r="Z157" s="616">
        <f t="shared" si="1"/>
        <v>0</v>
      </c>
      <c r="AA157" s="633"/>
      <c r="AB157" s="648"/>
      <c r="AC157" s="648"/>
      <c r="AD157" s="7"/>
      <c r="AE157" s="24"/>
      <c r="AF157" s="7"/>
      <c r="AG157" s="618">
        <f t="shared" si="8"/>
        <v>0</v>
      </c>
    </row>
    <row r="158" spans="1:33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504"/>
      <c r="F158" s="504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21"/>
      <c r="R158" s="213"/>
      <c r="S158" s="215"/>
      <c r="T158" s="214"/>
      <c r="U158" s="630"/>
      <c r="V158" s="631"/>
      <c r="W158" s="632"/>
      <c r="X158" s="632"/>
      <c r="Y158" s="643">
        <v>0</v>
      </c>
      <c r="Z158" s="616">
        <f t="shared" si="1"/>
        <v>0</v>
      </c>
      <c r="AA158" s="633"/>
      <c r="AB158" s="648"/>
      <c r="AC158" s="648"/>
      <c r="AD158" s="7"/>
      <c r="AE158" s="24"/>
      <c r="AF158" s="7"/>
      <c r="AG158" s="618">
        <f t="shared" si="8"/>
        <v>0</v>
      </c>
    </row>
    <row r="159" spans="1:33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504"/>
      <c r="F159" s="504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21"/>
      <c r="R159" s="213"/>
      <c r="S159" s="215"/>
      <c r="T159" s="214"/>
      <c r="U159" s="630"/>
      <c r="V159" s="631"/>
      <c r="W159" s="632"/>
      <c r="X159" s="632"/>
      <c r="Y159" s="643">
        <v>0</v>
      </c>
      <c r="Z159" s="616">
        <f t="shared" si="1"/>
        <v>0</v>
      </c>
      <c r="AA159" s="633"/>
      <c r="AB159" s="648"/>
      <c r="AC159" s="648"/>
      <c r="AD159" s="7"/>
      <c r="AE159" s="24"/>
      <c r="AF159" s="7"/>
      <c r="AG159" s="618">
        <f t="shared" si="8"/>
        <v>0</v>
      </c>
    </row>
    <row r="160" spans="1:33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504"/>
      <c r="F160" s="504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21"/>
      <c r="R160" s="213"/>
      <c r="S160" s="215"/>
      <c r="T160" s="214"/>
      <c r="U160" s="630"/>
      <c r="V160" s="631"/>
      <c r="W160" s="632"/>
      <c r="X160" s="632"/>
      <c r="Y160" s="643">
        <v>0</v>
      </c>
      <c r="Z160" s="616">
        <f t="shared" si="1"/>
        <v>0</v>
      </c>
      <c r="AA160" s="633"/>
      <c r="AB160" s="648"/>
      <c r="AC160" s="648"/>
      <c r="AD160" s="7"/>
      <c r="AE160" s="24"/>
      <c r="AF160" s="7"/>
      <c r="AG160" s="618">
        <f t="shared" si="8"/>
        <v>0</v>
      </c>
    </row>
    <row r="161" spans="1:33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412"/>
      <c r="F161" s="412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21"/>
      <c r="R161" s="213"/>
      <c r="S161" s="215"/>
      <c r="T161" s="214"/>
      <c r="U161" s="630"/>
      <c r="V161" s="631"/>
      <c r="W161" s="632"/>
      <c r="X161" s="632"/>
      <c r="Y161" s="643">
        <v>0</v>
      </c>
      <c r="Z161" s="616">
        <f t="shared" si="1"/>
        <v>0</v>
      </c>
      <c r="AA161" s="633"/>
      <c r="AB161" s="636"/>
      <c r="AC161" s="636"/>
      <c r="AD161" s="7"/>
      <c r="AE161" s="24"/>
      <c r="AF161" s="7"/>
      <c r="AG161" s="618">
        <f t="shared" si="8"/>
        <v>0</v>
      </c>
    </row>
    <row r="162" spans="1:33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412"/>
      <c r="F162" s="412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21"/>
      <c r="R162" s="213"/>
      <c r="S162" s="215"/>
      <c r="T162" s="214"/>
      <c r="U162" s="630"/>
      <c r="V162" s="631"/>
      <c r="W162" s="632"/>
      <c r="X162" s="632"/>
      <c r="Y162" s="643">
        <v>0</v>
      </c>
      <c r="Z162" s="616">
        <f t="shared" si="1"/>
        <v>0</v>
      </c>
      <c r="AA162" s="633"/>
      <c r="AB162" s="636"/>
      <c r="AC162" s="636"/>
      <c r="AD162" s="7"/>
      <c r="AE162" s="24"/>
      <c r="AF162" s="7"/>
      <c r="AG162" s="618">
        <f t="shared" si="8"/>
        <v>0</v>
      </c>
    </row>
    <row r="163" spans="1:33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412"/>
      <c r="F163" s="412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21"/>
      <c r="R163" s="213"/>
      <c r="S163" s="215"/>
      <c r="T163" s="214"/>
      <c r="U163" s="630"/>
      <c r="V163" s="631"/>
      <c r="W163" s="632"/>
      <c r="X163" s="632"/>
      <c r="Y163" s="643">
        <v>0</v>
      </c>
      <c r="Z163" s="616">
        <f t="shared" si="1"/>
        <v>0</v>
      </c>
      <c r="AA163" s="633"/>
      <c r="AB163" s="636"/>
      <c r="AC163" s="636"/>
      <c r="AD163" s="7"/>
      <c r="AE163" s="24"/>
      <c r="AF163" s="7"/>
      <c r="AG163" s="618">
        <f t="shared" si="8"/>
        <v>0</v>
      </c>
    </row>
    <row r="164" spans="1:33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412"/>
      <c r="F164" s="412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21"/>
      <c r="R164" s="213"/>
      <c r="S164" s="215"/>
      <c r="T164" s="214"/>
      <c r="U164" s="630"/>
      <c r="V164" s="631"/>
      <c r="W164" s="632"/>
      <c r="X164" s="632"/>
      <c r="Y164" s="643">
        <v>0</v>
      </c>
      <c r="Z164" s="616">
        <f t="shared" si="1"/>
        <v>0</v>
      </c>
      <c r="AA164" s="633"/>
      <c r="AB164" s="636"/>
      <c r="AC164" s="636"/>
      <c r="AD164" s="7"/>
      <c r="AE164" s="24"/>
      <c r="AF164" s="7"/>
      <c r="AG164" s="618">
        <f t="shared" si="8"/>
        <v>0</v>
      </c>
    </row>
    <row r="165" spans="1:33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412"/>
      <c r="F165" s="412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21"/>
      <c r="R165" s="213"/>
      <c r="S165" s="215"/>
      <c r="T165" s="214"/>
      <c r="U165" s="630"/>
      <c r="V165" s="631"/>
      <c r="W165" s="632"/>
      <c r="X165" s="632"/>
      <c r="Y165" s="643">
        <v>0</v>
      </c>
      <c r="Z165" s="616">
        <f t="shared" si="1"/>
        <v>0</v>
      </c>
      <c r="AA165" s="633"/>
      <c r="AB165" s="636"/>
      <c r="AC165" s="636"/>
      <c r="AD165" s="7"/>
      <c r="AE165" s="24"/>
      <c r="AF165" s="7"/>
      <c r="AG165" s="618">
        <f t="shared" si="8"/>
        <v>0</v>
      </c>
    </row>
    <row r="166" spans="1:33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412"/>
      <c r="F166" s="412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21"/>
      <c r="R166" s="213"/>
      <c r="S166" s="215"/>
      <c r="T166" s="214"/>
      <c r="U166" s="630"/>
      <c r="V166" s="631"/>
      <c r="W166" s="632"/>
      <c r="X166" s="632"/>
      <c r="Y166" s="643">
        <v>0</v>
      </c>
      <c r="Z166" s="616">
        <f t="shared" si="1"/>
        <v>0</v>
      </c>
      <c r="AA166" s="633"/>
      <c r="AB166" s="636"/>
      <c r="AC166" s="636"/>
      <c r="AD166" s="7"/>
      <c r="AE166" s="24"/>
      <c r="AF166" s="7"/>
      <c r="AG166" s="618">
        <f t="shared" si="8"/>
        <v>0</v>
      </c>
    </row>
    <row r="167" spans="1:33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412"/>
      <c r="F167" s="412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21"/>
      <c r="R167" s="213"/>
      <c r="S167" s="215"/>
      <c r="T167" s="214"/>
      <c r="U167" s="630"/>
      <c r="V167" s="631"/>
      <c r="W167" s="632"/>
      <c r="X167" s="632"/>
      <c r="Y167" s="643">
        <v>0</v>
      </c>
      <c r="Z167" s="616">
        <f t="shared" si="1"/>
        <v>0</v>
      </c>
      <c r="AA167" s="633"/>
      <c r="AB167" s="636"/>
      <c r="AC167" s="636"/>
      <c r="AD167" s="7"/>
      <c r="AE167" s="24"/>
      <c r="AF167" s="7"/>
      <c r="AG167" s="618">
        <f t="shared" si="8"/>
        <v>0</v>
      </c>
    </row>
    <row r="168" spans="1:33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412"/>
      <c r="F168" s="412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21"/>
      <c r="R168" s="213"/>
      <c r="S168" s="215"/>
      <c r="T168" s="214"/>
      <c r="U168" s="630"/>
      <c r="V168" s="631"/>
      <c r="W168" s="632"/>
      <c r="X168" s="632"/>
      <c r="Y168" s="643">
        <v>0</v>
      </c>
      <c r="Z168" s="616">
        <f t="shared" si="1"/>
        <v>0</v>
      </c>
      <c r="AA168" s="633"/>
      <c r="AB168" s="636"/>
      <c r="AC168" s="636"/>
      <c r="AD168" s="7"/>
      <c r="AE168" s="24"/>
      <c r="AF168" s="7"/>
      <c r="AG168" s="618">
        <f t="shared" si="8"/>
        <v>0</v>
      </c>
    </row>
    <row r="169" spans="1:33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412"/>
      <c r="F169" s="412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21"/>
      <c r="R169" s="213"/>
      <c r="S169" s="215"/>
      <c r="T169" s="214"/>
      <c r="U169" s="630"/>
      <c r="V169" s="631"/>
      <c r="W169" s="632"/>
      <c r="X169" s="632"/>
      <c r="Y169" s="643">
        <v>0</v>
      </c>
      <c r="Z169" s="616">
        <f t="shared" si="1"/>
        <v>0</v>
      </c>
      <c r="AA169" s="633"/>
      <c r="AB169" s="636"/>
      <c r="AC169" s="636"/>
      <c r="AD169" s="7"/>
      <c r="AE169" s="24"/>
      <c r="AF169" s="7"/>
      <c r="AG169" s="618">
        <f t="shared" si="8"/>
        <v>0</v>
      </c>
    </row>
    <row r="170" spans="1:33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412"/>
      <c r="F170" s="412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21"/>
      <c r="R170" s="213"/>
      <c r="S170" s="215"/>
      <c r="T170" s="214"/>
      <c r="U170" s="630"/>
      <c r="V170" s="631"/>
      <c r="W170" s="632"/>
      <c r="X170" s="632"/>
      <c r="Y170" s="643">
        <v>0</v>
      </c>
      <c r="Z170" s="616">
        <f t="shared" si="1"/>
        <v>0</v>
      </c>
      <c r="AA170" s="633"/>
      <c r="AB170" s="636"/>
      <c r="AC170" s="636"/>
      <c r="AD170" s="7"/>
      <c r="AE170" s="24"/>
      <c r="AF170" s="7"/>
      <c r="AG170" s="618">
        <f t="shared" si="8"/>
        <v>0</v>
      </c>
    </row>
    <row r="171" spans="1:33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491"/>
      <c r="F171" s="491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21"/>
      <c r="R171" s="213"/>
      <c r="S171" s="215"/>
      <c r="T171" s="214"/>
      <c r="U171" s="630"/>
      <c r="V171" s="631"/>
      <c r="W171" s="632"/>
      <c r="X171" s="632"/>
      <c r="Y171" s="643">
        <v>0</v>
      </c>
      <c r="Z171" s="616">
        <f t="shared" si="1"/>
        <v>0</v>
      </c>
      <c r="AA171" s="633"/>
      <c r="AB171" s="636"/>
      <c r="AC171" s="636"/>
      <c r="AD171" s="7"/>
      <c r="AE171" s="24"/>
      <c r="AF171" s="7"/>
      <c r="AG171" s="618">
        <f t="shared" si="8"/>
        <v>0</v>
      </c>
    </row>
    <row r="172" spans="1:33" ht="21" customHeight="1">
      <c r="A172" s="489">
        <v>4</v>
      </c>
      <c r="B172" s="490" t="s">
        <v>378</v>
      </c>
      <c r="C172" s="637" t="s">
        <v>379</v>
      </c>
      <c r="D172" s="491"/>
      <c r="E172" s="491"/>
      <c r="F172" s="491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21"/>
      <c r="R172" s="213"/>
      <c r="S172" s="215"/>
      <c r="T172" s="214"/>
      <c r="U172" s="630"/>
      <c r="V172" s="631"/>
      <c r="W172" s="632"/>
      <c r="X172" s="632"/>
      <c r="Y172" s="643">
        <v>0</v>
      </c>
      <c r="Z172" s="616">
        <f t="shared" si="1"/>
        <v>0</v>
      </c>
      <c r="AA172" s="633"/>
      <c r="AB172" s="640"/>
      <c r="AC172" s="640"/>
      <c r="AD172" s="7"/>
      <c r="AE172" s="24"/>
      <c r="AF172" s="7"/>
      <c r="AG172" s="618">
        <f t="shared" si="8"/>
        <v>0</v>
      </c>
    </row>
    <row r="173" spans="1:33" ht="20.25" customHeight="1">
      <c r="A173" s="486"/>
      <c r="B173" s="487" t="s">
        <v>381</v>
      </c>
      <c r="C173" s="635" t="s">
        <v>382</v>
      </c>
      <c r="D173" s="412" t="s">
        <v>383</v>
      </c>
      <c r="E173" s="412"/>
      <c r="F173" s="412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21"/>
      <c r="R173" s="213"/>
      <c r="S173" s="215"/>
      <c r="T173" s="214"/>
      <c r="U173" s="630"/>
      <c r="V173" s="631"/>
      <c r="W173" s="632"/>
      <c r="X173" s="632"/>
      <c r="Y173" s="643">
        <v>0</v>
      </c>
      <c r="Z173" s="616">
        <f t="shared" si="1"/>
        <v>0</v>
      </c>
      <c r="AA173" s="633"/>
      <c r="AB173" s="636"/>
      <c r="AC173" s="636"/>
      <c r="AD173" s="7"/>
      <c r="AE173" s="24"/>
      <c r="AF173" s="7"/>
      <c r="AG173" s="618">
        <f t="shared" si="8"/>
        <v>0</v>
      </c>
    </row>
    <row r="174" spans="1:33" ht="20.25" customHeight="1">
      <c r="A174" s="503"/>
      <c r="B174" s="483" t="s">
        <v>386</v>
      </c>
      <c r="C174" s="629" t="s">
        <v>387</v>
      </c>
      <c r="D174" s="504" t="s">
        <v>383</v>
      </c>
      <c r="E174" s="504"/>
      <c r="F174" s="504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21"/>
      <c r="R174" s="213"/>
      <c r="S174" s="215"/>
      <c r="T174" s="214"/>
      <c r="U174" s="630"/>
      <c r="V174" s="631"/>
      <c r="W174" s="632"/>
      <c r="X174" s="632"/>
      <c r="Y174" s="643">
        <v>0</v>
      </c>
      <c r="Z174" s="616">
        <f t="shared" si="1"/>
        <v>0</v>
      </c>
      <c r="AA174" s="633"/>
      <c r="AB174" s="648"/>
      <c r="AC174" s="648"/>
      <c r="AD174" s="7"/>
      <c r="AE174" s="24"/>
      <c r="AF174" s="7"/>
      <c r="AG174" s="618">
        <f t="shared" si="8"/>
        <v>0</v>
      </c>
    </row>
    <row r="175" spans="1:33" ht="20.25" customHeight="1">
      <c r="A175" s="503"/>
      <c r="B175" s="483" t="s">
        <v>388</v>
      </c>
      <c r="C175" s="629" t="s">
        <v>389</v>
      </c>
      <c r="D175" s="504" t="s">
        <v>383</v>
      </c>
      <c r="E175" s="504"/>
      <c r="F175" s="504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21"/>
      <c r="R175" s="213"/>
      <c r="S175" s="215"/>
      <c r="T175" s="214"/>
      <c r="U175" s="630"/>
      <c r="V175" s="631"/>
      <c r="W175" s="632"/>
      <c r="X175" s="632"/>
      <c r="Y175" s="643">
        <v>0</v>
      </c>
      <c r="Z175" s="616">
        <f t="shared" si="1"/>
        <v>0</v>
      </c>
      <c r="AA175" s="633"/>
      <c r="AB175" s="648"/>
      <c r="AC175" s="648"/>
      <c r="AD175" s="7"/>
      <c r="AE175" s="24"/>
      <c r="AF175" s="7"/>
      <c r="AG175" s="618">
        <f t="shared" si="8"/>
        <v>0</v>
      </c>
    </row>
    <row r="176" spans="1:33" ht="20.25" customHeight="1">
      <c r="A176" s="503"/>
      <c r="B176" s="483" t="s">
        <v>390</v>
      </c>
      <c r="C176" s="629" t="s">
        <v>391</v>
      </c>
      <c r="D176" s="504" t="s">
        <v>383</v>
      </c>
      <c r="E176" s="504"/>
      <c r="F176" s="504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21"/>
      <c r="R176" s="213"/>
      <c r="S176" s="215"/>
      <c r="T176" s="214"/>
      <c r="U176" s="630"/>
      <c r="V176" s="631"/>
      <c r="W176" s="632"/>
      <c r="X176" s="632"/>
      <c r="Y176" s="643">
        <v>0</v>
      </c>
      <c r="Z176" s="616">
        <f t="shared" si="1"/>
        <v>0</v>
      </c>
      <c r="AA176" s="633"/>
      <c r="AB176" s="648"/>
      <c r="AC176" s="648"/>
      <c r="AD176" s="7"/>
      <c r="AE176" s="24"/>
      <c r="AF176" s="7"/>
      <c r="AG176" s="618">
        <f t="shared" si="8"/>
        <v>0</v>
      </c>
    </row>
    <row r="177" spans="1:33" ht="20.25" customHeight="1">
      <c r="A177" s="503"/>
      <c r="B177" s="483" t="s">
        <v>392</v>
      </c>
      <c r="C177" s="629" t="s">
        <v>393</v>
      </c>
      <c r="D177" s="504" t="s">
        <v>383</v>
      </c>
      <c r="E177" s="504"/>
      <c r="F177" s="504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21"/>
      <c r="R177" s="213"/>
      <c r="S177" s="215"/>
      <c r="T177" s="214"/>
      <c r="U177" s="630"/>
      <c r="V177" s="631"/>
      <c r="W177" s="632"/>
      <c r="X177" s="632"/>
      <c r="Y177" s="643">
        <v>0</v>
      </c>
      <c r="Z177" s="616">
        <f t="shared" si="1"/>
        <v>0</v>
      </c>
      <c r="AA177" s="633"/>
      <c r="AB177" s="648"/>
      <c r="AC177" s="648"/>
      <c r="AD177" s="7"/>
      <c r="AE177" s="24"/>
      <c r="AF177" s="7"/>
      <c r="AG177" s="618">
        <f t="shared" si="8"/>
        <v>0</v>
      </c>
    </row>
    <row r="178" spans="1:33" ht="20.25" customHeight="1">
      <c r="A178" s="486"/>
      <c r="B178" s="487" t="s">
        <v>388</v>
      </c>
      <c r="C178" s="635" t="s">
        <v>394</v>
      </c>
      <c r="D178" s="412" t="s">
        <v>383</v>
      </c>
      <c r="E178" s="412"/>
      <c r="F178" s="412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21"/>
      <c r="R178" s="213"/>
      <c r="S178" s="215"/>
      <c r="T178" s="214"/>
      <c r="U178" s="630"/>
      <c r="V178" s="631"/>
      <c r="W178" s="632"/>
      <c r="X178" s="632"/>
      <c r="Y178" s="657">
        <v>0</v>
      </c>
      <c r="Z178" s="616">
        <f t="shared" si="1"/>
        <v>0</v>
      </c>
      <c r="AA178" s="633"/>
      <c r="AB178" s="636"/>
      <c r="AC178" s="636"/>
      <c r="AD178" s="7"/>
      <c r="AE178" s="24"/>
      <c r="AF178" s="7"/>
      <c r="AG178" s="618">
        <f t="shared" si="8"/>
        <v>0</v>
      </c>
    </row>
    <row r="179" spans="1:33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504"/>
      <c r="F179" s="504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21"/>
      <c r="R179" s="213"/>
      <c r="S179" s="215"/>
      <c r="T179" s="214"/>
      <c r="U179" s="630"/>
      <c r="V179" s="631"/>
      <c r="W179" s="632"/>
      <c r="X179" s="632"/>
      <c r="Y179" s="643">
        <v>0</v>
      </c>
      <c r="Z179" s="616">
        <f t="shared" si="1"/>
        <v>0</v>
      </c>
      <c r="AA179" s="633"/>
      <c r="AB179" s="648"/>
      <c r="AC179" s="648"/>
      <c r="AD179" s="7"/>
      <c r="AE179" s="24"/>
      <c r="AF179" s="7"/>
      <c r="AG179" s="618">
        <f t="shared" si="8"/>
        <v>0</v>
      </c>
    </row>
    <row r="180" spans="1:33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504"/>
      <c r="F180" s="504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21"/>
      <c r="R180" s="213"/>
      <c r="S180" s="215"/>
      <c r="T180" s="214"/>
      <c r="U180" s="630"/>
      <c r="V180" s="631"/>
      <c r="W180" s="632"/>
      <c r="X180" s="632"/>
      <c r="Y180" s="643">
        <v>0</v>
      </c>
      <c r="Z180" s="616">
        <f t="shared" si="1"/>
        <v>0</v>
      </c>
      <c r="AA180" s="633"/>
      <c r="AB180" s="648"/>
      <c r="AC180" s="648"/>
      <c r="AD180" s="7"/>
      <c r="AE180" s="24"/>
      <c r="AF180" s="7"/>
      <c r="AG180" s="618">
        <f t="shared" si="8"/>
        <v>0</v>
      </c>
    </row>
    <row r="181" spans="1:33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504"/>
      <c r="F181" s="504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21"/>
      <c r="R181" s="213"/>
      <c r="S181" s="215"/>
      <c r="T181" s="214"/>
      <c r="U181" s="630"/>
      <c r="V181" s="631"/>
      <c r="W181" s="632"/>
      <c r="X181" s="632"/>
      <c r="Y181" s="643">
        <v>0</v>
      </c>
      <c r="Z181" s="616">
        <f t="shared" si="1"/>
        <v>0</v>
      </c>
      <c r="AA181" s="633"/>
      <c r="AB181" s="636"/>
      <c r="AC181" s="636"/>
      <c r="AD181" s="7"/>
      <c r="AE181" s="24"/>
      <c r="AF181" s="7"/>
      <c r="AG181" s="618">
        <f t="shared" si="8"/>
        <v>0</v>
      </c>
    </row>
    <row r="182" spans="1:33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412"/>
      <c r="F182" s="412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21"/>
      <c r="R182" s="213"/>
      <c r="S182" s="215"/>
      <c r="T182" s="214"/>
      <c r="U182" s="630"/>
      <c r="V182" s="631"/>
      <c r="W182" s="632"/>
      <c r="X182" s="632"/>
      <c r="Y182" s="643">
        <v>0</v>
      </c>
      <c r="Z182" s="616">
        <f t="shared" si="1"/>
        <v>0</v>
      </c>
      <c r="AA182" s="633"/>
      <c r="AB182" s="636"/>
      <c r="AC182" s="636"/>
      <c r="AD182" s="7"/>
      <c r="AE182" s="24"/>
      <c r="AF182" s="7"/>
      <c r="AG182" s="618">
        <f t="shared" si="8"/>
        <v>0</v>
      </c>
    </row>
    <row r="183" spans="1:33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491"/>
      <c r="F183" s="491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21"/>
      <c r="R183" s="213"/>
      <c r="S183" s="215"/>
      <c r="T183" s="214"/>
      <c r="U183" s="630"/>
      <c r="V183" s="631"/>
      <c r="W183" s="632"/>
      <c r="X183" s="632"/>
      <c r="Y183" s="643">
        <v>0</v>
      </c>
      <c r="Z183" s="616">
        <f t="shared" si="1"/>
        <v>0</v>
      </c>
      <c r="AA183" s="633"/>
      <c r="AB183" s="636"/>
      <c r="AC183" s="636"/>
      <c r="AD183" s="7"/>
      <c r="AE183" s="24"/>
      <c r="AF183" s="7"/>
      <c r="AG183" s="618">
        <f t="shared" si="8"/>
        <v>0</v>
      </c>
    </row>
    <row r="184" spans="1:33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491"/>
      <c r="F184" s="491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21"/>
      <c r="R184" s="213"/>
      <c r="S184" s="215"/>
      <c r="T184" s="214"/>
      <c r="U184" s="630"/>
      <c r="V184" s="631"/>
      <c r="W184" s="632"/>
      <c r="X184" s="632"/>
      <c r="Y184" s="643">
        <v>0</v>
      </c>
      <c r="Z184" s="616">
        <f t="shared" si="1"/>
        <v>0</v>
      </c>
      <c r="AA184" s="633"/>
      <c r="AB184" s="636"/>
      <c r="AC184" s="636"/>
      <c r="AD184" s="7"/>
      <c r="AE184" s="24"/>
      <c r="AF184" s="7"/>
      <c r="AG184" s="618">
        <f t="shared" si="8"/>
        <v>0</v>
      </c>
    </row>
    <row r="185" spans="1:33" ht="18.75" customHeight="1">
      <c r="A185" s="486">
        <v>7.7</v>
      </c>
      <c r="B185" s="487" t="s">
        <v>412</v>
      </c>
      <c r="C185" s="635" t="s">
        <v>413</v>
      </c>
      <c r="D185" s="412" t="s">
        <v>1675</v>
      </c>
      <c r="E185" s="412"/>
      <c r="F185" s="412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21"/>
      <c r="R185" s="213"/>
      <c r="S185" s="215"/>
      <c r="T185" s="214"/>
      <c r="U185" s="630"/>
      <c r="V185" s="631"/>
      <c r="W185" s="632"/>
      <c r="X185" s="632"/>
      <c r="Y185" s="643">
        <v>0</v>
      </c>
      <c r="Z185" s="616">
        <f t="shared" si="1"/>
        <v>0</v>
      </c>
      <c r="AA185" s="633"/>
      <c r="AB185" s="636"/>
      <c r="AC185" s="636"/>
      <c r="AD185" s="7"/>
      <c r="AE185" s="24"/>
      <c r="AF185" s="7"/>
      <c r="AG185" s="618">
        <f t="shared" si="8"/>
        <v>0</v>
      </c>
    </row>
    <row r="186" spans="1:33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491"/>
      <c r="F186" s="491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21"/>
      <c r="R186" s="213"/>
      <c r="S186" s="215"/>
      <c r="T186" s="214"/>
      <c r="U186" s="630"/>
      <c r="V186" s="631"/>
      <c r="W186" s="632"/>
      <c r="X186" s="632"/>
      <c r="Y186" s="643">
        <v>0</v>
      </c>
      <c r="Z186" s="616">
        <f t="shared" si="1"/>
        <v>0</v>
      </c>
      <c r="AA186" s="633"/>
      <c r="AB186" s="636"/>
      <c r="AC186" s="636"/>
      <c r="AD186" s="7"/>
      <c r="AE186" s="24"/>
      <c r="AF186" s="7"/>
      <c r="AG186" s="618">
        <f t="shared" si="8"/>
        <v>0</v>
      </c>
    </row>
    <row r="187" spans="1:33" ht="29.25" customHeight="1">
      <c r="A187" s="489">
        <v>5</v>
      </c>
      <c r="B187" s="490" t="s">
        <v>416</v>
      </c>
      <c r="C187" s="637" t="s">
        <v>417</v>
      </c>
      <c r="D187" s="491"/>
      <c r="E187" s="491"/>
      <c r="F187" s="491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21"/>
      <c r="R187" s="213"/>
      <c r="S187" s="215"/>
      <c r="T187" s="214"/>
      <c r="U187" s="630"/>
      <c r="V187" s="631"/>
      <c r="W187" s="632"/>
      <c r="X187" s="632"/>
      <c r="Y187" s="643">
        <v>0</v>
      </c>
      <c r="Z187" s="616">
        <f t="shared" si="1"/>
        <v>0</v>
      </c>
      <c r="AA187" s="633"/>
      <c r="AB187" s="640"/>
      <c r="AC187" s="640"/>
      <c r="AD187" s="7"/>
      <c r="AE187" s="24"/>
      <c r="AF187" s="7"/>
      <c r="AG187" s="618">
        <f t="shared" si="8"/>
        <v>0</v>
      </c>
    </row>
    <row r="188" spans="1:33" ht="20.25" customHeight="1">
      <c r="A188" s="486"/>
      <c r="B188" s="487" t="s">
        <v>419</v>
      </c>
      <c r="C188" s="635" t="s">
        <v>420</v>
      </c>
      <c r="D188" s="512"/>
      <c r="E188" s="512"/>
      <c r="F188" s="512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21"/>
      <c r="R188" s="213"/>
      <c r="S188" s="215"/>
      <c r="T188" s="214"/>
      <c r="U188" s="630"/>
      <c r="V188" s="631"/>
      <c r="W188" s="632"/>
      <c r="X188" s="632"/>
      <c r="Y188" s="643">
        <v>0</v>
      </c>
      <c r="Z188" s="616">
        <f t="shared" si="1"/>
        <v>0</v>
      </c>
      <c r="AA188" s="633"/>
      <c r="AB188" s="636"/>
      <c r="AC188" s="636"/>
      <c r="AD188" s="7"/>
      <c r="AE188" s="24"/>
      <c r="AF188" s="7"/>
      <c r="AG188" s="618">
        <f t="shared" si="8"/>
        <v>0</v>
      </c>
    </row>
    <row r="189" spans="1:33" ht="35.25" customHeight="1">
      <c r="A189" s="503"/>
      <c r="B189" s="483" t="s">
        <v>422</v>
      </c>
      <c r="C189" s="658" t="s">
        <v>423</v>
      </c>
      <c r="D189" s="504" t="s">
        <v>424</v>
      </c>
      <c r="E189" s="504"/>
      <c r="F189" s="504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21"/>
      <c r="R189" s="213"/>
      <c r="S189" s="215"/>
      <c r="T189" s="214"/>
      <c r="U189" s="630"/>
      <c r="V189" s="631"/>
      <c r="W189" s="632"/>
      <c r="X189" s="632"/>
      <c r="Y189" s="643">
        <v>0</v>
      </c>
      <c r="Z189" s="616">
        <f t="shared" si="1"/>
        <v>0</v>
      </c>
      <c r="AA189" s="633"/>
      <c r="AB189" s="648"/>
      <c r="AC189" s="648"/>
      <c r="AD189" s="7"/>
      <c r="AE189" s="24"/>
      <c r="AF189" s="7"/>
      <c r="AG189" s="618">
        <f t="shared" si="8"/>
        <v>0</v>
      </c>
    </row>
    <row r="190" spans="1:33" ht="20.25" customHeight="1">
      <c r="A190" s="503"/>
      <c r="B190" s="483" t="s">
        <v>426</v>
      </c>
      <c r="C190" s="658" t="s">
        <v>427</v>
      </c>
      <c r="D190" s="504" t="s">
        <v>132</v>
      </c>
      <c r="E190" s="504"/>
      <c r="F190" s="504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21"/>
      <c r="R190" s="213"/>
      <c r="S190" s="215"/>
      <c r="T190" s="214"/>
      <c r="U190" s="630"/>
      <c r="V190" s="631"/>
      <c r="W190" s="632"/>
      <c r="X190" s="632"/>
      <c r="Y190" s="643">
        <v>0</v>
      </c>
      <c r="Z190" s="616">
        <f t="shared" si="1"/>
        <v>0</v>
      </c>
      <c r="AA190" s="633"/>
      <c r="AB190" s="648"/>
      <c r="AC190" s="648"/>
      <c r="AD190" s="7"/>
      <c r="AE190" s="24"/>
      <c r="AF190" s="7"/>
      <c r="AG190" s="618">
        <f t="shared" si="8"/>
        <v>0</v>
      </c>
    </row>
    <row r="191" spans="1:33" ht="20.25" customHeight="1">
      <c r="A191" s="503"/>
      <c r="B191" s="483" t="s">
        <v>428</v>
      </c>
      <c r="C191" s="658" t="s">
        <v>429</v>
      </c>
      <c r="D191" s="504" t="s">
        <v>1676</v>
      </c>
      <c r="E191" s="504"/>
      <c r="F191" s="504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21"/>
      <c r="R191" s="213"/>
      <c r="S191" s="215"/>
      <c r="T191" s="214"/>
      <c r="U191" s="630"/>
      <c r="V191" s="631"/>
      <c r="W191" s="632"/>
      <c r="X191" s="632"/>
      <c r="Y191" s="643">
        <v>0</v>
      </c>
      <c r="Z191" s="616">
        <f t="shared" si="1"/>
        <v>0</v>
      </c>
      <c r="AA191" s="633"/>
      <c r="AB191" s="648"/>
      <c r="AC191" s="648"/>
      <c r="AD191" s="7"/>
      <c r="AE191" s="24"/>
      <c r="AF191" s="7"/>
      <c r="AG191" s="618">
        <f t="shared" si="8"/>
        <v>0</v>
      </c>
    </row>
    <row r="192" spans="1:33" ht="20.25" customHeight="1">
      <c r="A192" s="503"/>
      <c r="B192" s="483" t="s">
        <v>426</v>
      </c>
      <c r="C192" s="658" t="s">
        <v>431</v>
      </c>
      <c r="D192" s="504" t="s">
        <v>1677</v>
      </c>
      <c r="E192" s="504"/>
      <c r="F192" s="504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21"/>
      <c r="R192" s="213"/>
      <c r="S192" s="215"/>
      <c r="T192" s="214"/>
      <c r="U192" s="630"/>
      <c r="V192" s="631"/>
      <c r="W192" s="632"/>
      <c r="X192" s="632"/>
      <c r="Y192" s="643">
        <v>0</v>
      </c>
      <c r="Z192" s="616">
        <f t="shared" si="1"/>
        <v>0</v>
      </c>
      <c r="AA192" s="633"/>
      <c r="AB192" s="636"/>
      <c r="AC192" s="636"/>
      <c r="AD192" s="7"/>
      <c r="AE192" s="24"/>
      <c r="AF192" s="7"/>
      <c r="AG192" s="618">
        <f t="shared" si="8"/>
        <v>0</v>
      </c>
    </row>
    <row r="193" spans="1:33" ht="20.25" customHeight="1">
      <c r="A193" s="503"/>
      <c r="B193" s="483" t="s">
        <v>428</v>
      </c>
      <c r="C193" s="658" t="s">
        <v>433</v>
      </c>
      <c r="D193" s="504" t="s">
        <v>1678</v>
      </c>
      <c r="E193" s="504"/>
      <c r="F193" s="504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21"/>
      <c r="R193" s="213"/>
      <c r="S193" s="215"/>
      <c r="T193" s="214"/>
      <c r="U193" s="630"/>
      <c r="V193" s="631"/>
      <c r="W193" s="632"/>
      <c r="X193" s="632"/>
      <c r="Y193" s="643">
        <v>0</v>
      </c>
      <c r="Z193" s="616">
        <f t="shared" si="1"/>
        <v>0</v>
      </c>
      <c r="AA193" s="633"/>
      <c r="AB193" s="648"/>
      <c r="AC193" s="648"/>
      <c r="AD193" s="7"/>
      <c r="AE193" s="24"/>
      <c r="AF193" s="7"/>
      <c r="AG193" s="618">
        <f t="shared" si="8"/>
        <v>0</v>
      </c>
    </row>
    <row r="194" spans="1:33" ht="15.75" customHeight="1">
      <c r="A194" s="486"/>
      <c r="B194" s="487" t="s">
        <v>435</v>
      </c>
      <c r="C194" s="656" t="s">
        <v>436</v>
      </c>
      <c r="D194" s="412"/>
      <c r="E194" s="412"/>
      <c r="F194" s="412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21"/>
      <c r="R194" s="213"/>
      <c r="S194" s="215"/>
      <c r="T194" s="214"/>
      <c r="U194" s="630"/>
      <c r="V194" s="631"/>
      <c r="W194" s="632"/>
      <c r="X194" s="632"/>
      <c r="Y194" s="643">
        <v>0</v>
      </c>
      <c r="Z194" s="616">
        <f t="shared" si="1"/>
        <v>0</v>
      </c>
      <c r="AA194" s="633"/>
      <c r="AB194" s="654"/>
      <c r="AC194" s="654"/>
      <c r="AD194" s="7"/>
      <c r="AE194" s="24"/>
      <c r="AF194" s="7"/>
      <c r="AG194" s="618">
        <f t="shared" si="8"/>
        <v>0</v>
      </c>
    </row>
    <row r="195" spans="1:33" ht="33.75" customHeight="1">
      <c r="A195" s="503"/>
      <c r="B195" s="483" t="s">
        <v>438</v>
      </c>
      <c r="C195" s="658" t="s">
        <v>423</v>
      </c>
      <c r="D195" s="504" t="s">
        <v>424</v>
      </c>
      <c r="E195" s="504"/>
      <c r="F195" s="504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21"/>
      <c r="R195" s="213"/>
      <c r="S195" s="215"/>
      <c r="T195" s="214"/>
      <c r="U195" s="630"/>
      <c r="V195" s="631"/>
      <c r="W195" s="632"/>
      <c r="X195" s="632"/>
      <c r="Y195" s="643">
        <v>0</v>
      </c>
      <c r="Z195" s="616">
        <f t="shared" si="1"/>
        <v>0</v>
      </c>
      <c r="AA195" s="633"/>
      <c r="AB195" s="648"/>
      <c r="AC195" s="648"/>
      <c r="AD195" s="7"/>
      <c r="AE195" s="24"/>
      <c r="AF195" s="7"/>
      <c r="AG195" s="618">
        <f t="shared" si="8"/>
        <v>0</v>
      </c>
    </row>
    <row r="196" spans="1:33" ht="20.25" customHeight="1">
      <c r="A196" s="503"/>
      <c r="B196" s="483" t="s">
        <v>439</v>
      </c>
      <c r="C196" s="658" t="s">
        <v>427</v>
      </c>
      <c r="D196" s="504" t="s">
        <v>132</v>
      </c>
      <c r="E196" s="504"/>
      <c r="F196" s="504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21"/>
      <c r="R196" s="213"/>
      <c r="S196" s="215"/>
      <c r="T196" s="214"/>
      <c r="U196" s="630"/>
      <c r="V196" s="631"/>
      <c r="W196" s="632"/>
      <c r="X196" s="632"/>
      <c r="Y196" s="643">
        <v>0</v>
      </c>
      <c r="Z196" s="616">
        <f t="shared" si="1"/>
        <v>0</v>
      </c>
      <c r="AA196" s="633"/>
      <c r="AB196" s="636"/>
      <c r="AC196" s="636"/>
      <c r="AD196" s="7"/>
      <c r="AE196" s="24"/>
      <c r="AF196" s="7"/>
      <c r="AG196" s="618">
        <f t="shared" si="8"/>
        <v>0</v>
      </c>
    </row>
    <row r="197" spans="1:33" ht="20.25" customHeight="1">
      <c r="A197" s="503"/>
      <c r="B197" s="483" t="s">
        <v>440</v>
      </c>
      <c r="C197" s="658" t="s">
        <v>429</v>
      </c>
      <c r="D197" s="504" t="s">
        <v>1679</v>
      </c>
      <c r="E197" s="504"/>
      <c r="F197" s="504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21"/>
      <c r="R197" s="213"/>
      <c r="S197" s="215"/>
      <c r="T197" s="214"/>
      <c r="U197" s="630"/>
      <c r="V197" s="631"/>
      <c r="W197" s="632"/>
      <c r="X197" s="632"/>
      <c r="Y197" s="643">
        <v>0</v>
      </c>
      <c r="Z197" s="616">
        <f t="shared" si="1"/>
        <v>0</v>
      </c>
      <c r="AA197" s="633"/>
      <c r="AB197" s="648"/>
      <c r="AC197" s="648"/>
      <c r="AD197" s="7"/>
      <c r="AE197" s="24"/>
      <c r="AF197" s="7"/>
      <c r="AG197" s="618">
        <f t="shared" si="8"/>
        <v>0</v>
      </c>
    </row>
    <row r="198" spans="1:33" ht="20.25" customHeight="1">
      <c r="A198" s="503"/>
      <c r="B198" s="483" t="s">
        <v>439</v>
      </c>
      <c r="C198" s="658" t="s">
        <v>431</v>
      </c>
      <c r="D198" s="504" t="s">
        <v>1680</v>
      </c>
      <c r="E198" s="504"/>
      <c r="F198" s="504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21"/>
      <c r="R198" s="213"/>
      <c r="S198" s="215"/>
      <c r="T198" s="214"/>
      <c r="U198" s="630"/>
      <c r="V198" s="631"/>
      <c r="W198" s="632"/>
      <c r="X198" s="632"/>
      <c r="Y198" s="643">
        <v>0</v>
      </c>
      <c r="Z198" s="616">
        <f t="shared" si="1"/>
        <v>0</v>
      </c>
      <c r="AA198" s="633"/>
      <c r="AB198" s="648"/>
      <c r="AC198" s="648"/>
      <c r="AD198" s="7"/>
      <c r="AE198" s="24"/>
      <c r="AF198" s="7"/>
      <c r="AG198" s="618">
        <f t="shared" si="8"/>
        <v>0</v>
      </c>
    </row>
    <row r="199" spans="1:33" ht="20.25" customHeight="1">
      <c r="A199" s="503"/>
      <c r="B199" s="483" t="s">
        <v>440</v>
      </c>
      <c r="C199" s="658" t="s">
        <v>433</v>
      </c>
      <c r="D199" s="504" t="s">
        <v>1681</v>
      </c>
      <c r="E199" s="504"/>
      <c r="F199" s="504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21"/>
      <c r="R199" s="213"/>
      <c r="S199" s="215"/>
      <c r="T199" s="214"/>
      <c r="U199" s="630"/>
      <c r="V199" s="631"/>
      <c r="W199" s="632"/>
      <c r="X199" s="632"/>
      <c r="Y199" s="643">
        <v>0</v>
      </c>
      <c r="Z199" s="616">
        <f t="shared" si="1"/>
        <v>0</v>
      </c>
      <c r="AA199" s="633"/>
      <c r="AB199" s="648"/>
      <c r="AC199" s="648"/>
      <c r="AD199" s="7"/>
      <c r="AE199" s="24"/>
      <c r="AF199" s="7"/>
      <c r="AG199" s="618">
        <f t="shared" si="8"/>
        <v>0</v>
      </c>
    </row>
    <row r="200" spans="1:33" ht="20.25" customHeight="1">
      <c r="A200" s="486"/>
      <c r="B200" s="487" t="s">
        <v>444</v>
      </c>
      <c r="C200" s="656" t="s">
        <v>445</v>
      </c>
      <c r="D200" s="412"/>
      <c r="E200" s="412"/>
      <c r="F200" s="412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21"/>
      <c r="R200" s="213"/>
      <c r="S200" s="215"/>
      <c r="T200" s="214"/>
      <c r="U200" s="630"/>
      <c r="V200" s="631"/>
      <c r="W200" s="632"/>
      <c r="X200" s="632"/>
      <c r="Y200" s="643">
        <v>0</v>
      </c>
      <c r="Z200" s="616">
        <f t="shared" si="1"/>
        <v>0</v>
      </c>
      <c r="AA200" s="633"/>
      <c r="AB200" s="636"/>
      <c r="AC200" s="636"/>
      <c r="AD200" s="7"/>
      <c r="AE200" s="24"/>
      <c r="AF200" s="7"/>
      <c r="AG200" s="618">
        <f t="shared" si="8"/>
        <v>0</v>
      </c>
    </row>
    <row r="201" spans="1:33" ht="20.25" customHeight="1">
      <c r="A201" s="503"/>
      <c r="B201" s="483" t="s">
        <v>446</v>
      </c>
      <c r="C201" s="658" t="s">
        <v>447</v>
      </c>
      <c r="D201" s="504" t="s">
        <v>424</v>
      </c>
      <c r="E201" s="504"/>
      <c r="F201" s="504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21"/>
      <c r="R201" s="213"/>
      <c r="S201" s="215"/>
      <c r="T201" s="214"/>
      <c r="U201" s="630"/>
      <c r="V201" s="631"/>
      <c r="W201" s="632"/>
      <c r="X201" s="632"/>
      <c r="Y201" s="643">
        <v>0</v>
      </c>
      <c r="Z201" s="616">
        <f t="shared" si="1"/>
        <v>0</v>
      </c>
      <c r="AA201" s="633"/>
      <c r="AB201" s="648"/>
      <c r="AC201" s="648"/>
      <c r="AD201" s="7"/>
      <c r="AE201" s="24"/>
      <c r="AF201" s="7"/>
      <c r="AG201" s="618">
        <f t="shared" si="8"/>
        <v>0</v>
      </c>
    </row>
    <row r="202" spans="1:33" ht="20.25" customHeight="1">
      <c r="A202" s="503"/>
      <c r="B202" s="483" t="s">
        <v>449</v>
      </c>
      <c r="C202" s="658" t="s">
        <v>450</v>
      </c>
      <c r="D202" s="504" t="s">
        <v>1682</v>
      </c>
      <c r="E202" s="504"/>
      <c r="F202" s="504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21"/>
      <c r="R202" s="213"/>
      <c r="S202" s="215"/>
      <c r="T202" s="214"/>
      <c r="U202" s="630"/>
      <c r="V202" s="631"/>
      <c r="W202" s="632"/>
      <c r="X202" s="632"/>
      <c r="Y202" s="643">
        <v>0</v>
      </c>
      <c r="Z202" s="616">
        <f t="shared" si="1"/>
        <v>0</v>
      </c>
      <c r="AA202" s="633"/>
      <c r="AB202" s="648"/>
      <c r="AC202" s="648"/>
      <c r="AD202" s="7"/>
      <c r="AE202" s="24"/>
      <c r="AF202" s="7"/>
      <c r="AG202" s="618">
        <f t="shared" si="8"/>
        <v>0</v>
      </c>
    </row>
    <row r="203" spans="1:33" ht="20.25" customHeight="1">
      <c r="A203" s="503"/>
      <c r="B203" s="483" t="s">
        <v>449</v>
      </c>
      <c r="C203" s="658" t="s">
        <v>431</v>
      </c>
      <c r="D203" s="504" t="s">
        <v>1683</v>
      </c>
      <c r="E203" s="504"/>
      <c r="F203" s="504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21"/>
      <c r="R203" s="213"/>
      <c r="S203" s="215"/>
      <c r="T203" s="214"/>
      <c r="U203" s="630"/>
      <c r="V203" s="631"/>
      <c r="W203" s="632"/>
      <c r="X203" s="632"/>
      <c r="Y203" s="643">
        <v>0</v>
      </c>
      <c r="Z203" s="616">
        <f t="shared" si="1"/>
        <v>0</v>
      </c>
      <c r="AA203" s="633"/>
      <c r="AB203" s="648"/>
      <c r="AC203" s="648"/>
      <c r="AD203" s="7"/>
      <c r="AE203" s="24"/>
      <c r="AF203" s="7"/>
      <c r="AG203" s="618">
        <f t="shared" si="8"/>
        <v>0</v>
      </c>
    </row>
    <row r="204" spans="1:33" ht="20.25" customHeight="1">
      <c r="A204" s="503"/>
      <c r="B204" s="483" t="s">
        <v>453</v>
      </c>
      <c r="C204" s="658" t="s">
        <v>433</v>
      </c>
      <c r="D204" s="504" t="s">
        <v>1684</v>
      </c>
      <c r="E204" s="504"/>
      <c r="F204" s="504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21"/>
      <c r="R204" s="213"/>
      <c r="S204" s="215"/>
      <c r="T204" s="214"/>
      <c r="U204" s="630"/>
      <c r="V204" s="631"/>
      <c r="W204" s="632"/>
      <c r="X204" s="632"/>
      <c r="Y204" s="643">
        <v>0</v>
      </c>
      <c r="Z204" s="616">
        <f t="shared" si="1"/>
        <v>0</v>
      </c>
      <c r="AA204" s="633"/>
      <c r="AB204" s="636"/>
      <c r="AC204" s="636"/>
      <c r="AD204" s="7"/>
      <c r="AE204" s="24"/>
      <c r="AF204" s="7"/>
      <c r="AG204" s="618">
        <f t="shared" si="8"/>
        <v>0</v>
      </c>
    </row>
    <row r="205" spans="1:33" ht="21" customHeight="1">
      <c r="A205" s="486"/>
      <c r="B205" s="487" t="s">
        <v>455</v>
      </c>
      <c r="C205" s="656" t="s">
        <v>456</v>
      </c>
      <c r="D205" s="512"/>
      <c r="E205" s="512"/>
      <c r="F205" s="512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21"/>
      <c r="R205" s="213"/>
      <c r="S205" s="215"/>
      <c r="T205" s="214"/>
      <c r="U205" s="630"/>
      <c r="V205" s="631"/>
      <c r="W205" s="632"/>
      <c r="X205" s="632"/>
      <c r="Y205" s="643">
        <v>0</v>
      </c>
      <c r="Z205" s="616">
        <f t="shared" si="1"/>
        <v>0</v>
      </c>
      <c r="AA205" s="633"/>
      <c r="AB205" s="636"/>
      <c r="AC205" s="636"/>
      <c r="AD205" s="7"/>
      <c r="AE205" s="24"/>
      <c r="AF205" s="7"/>
      <c r="AG205" s="618">
        <f t="shared" si="8"/>
        <v>0</v>
      </c>
    </row>
    <row r="206" spans="1:33" ht="20.25" customHeight="1">
      <c r="A206" s="503"/>
      <c r="B206" s="483" t="s">
        <v>458</v>
      </c>
      <c r="C206" s="658" t="s">
        <v>459</v>
      </c>
      <c r="D206" s="504" t="s">
        <v>424</v>
      </c>
      <c r="E206" s="504"/>
      <c r="F206" s="504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21"/>
      <c r="R206" s="213"/>
      <c r="S206" s="215"/>
      <c r="T206" s="214"/>
      <c r="U206" s="630"/>
      <c r="V206" s="631"/>
      <c r="W206" s="632"/>
      <c r="X206" s="632"/>
      <c r="Y206" s="643">
        <v>0</v>
      </c>
      <c r="Z206" s="616">
        <f t="shared" si="1"/>
        <v>0</v>
      </c>
      <c r="AA206" s="633"/>
      <c r="AB206" s="648"/>
      <c r="AC206" s="648"/>
      <c r="AD206" s="7"/>
      <c r="AE206" s="24"/>
      <c r="AF206" s="7"/>
      <c r="AG206" s="618">
        <f t="shared" si="8"/>
        <v>0</v>
      </c>
    </row>
    <row r="207" spans="1:33" ht="20.25" customHeight="1">
      <c r="A207" s="503"/>
      <c r="B207" s="483" t="s">
        <v>461</v>
      </c>
      <c r="C207" s="658" t="s">
        <v>431</v>
      </c>
      <c r="D207" s="504" t="s">
        <v>1685</v>
      </c>
      <c r="E207" s="504"/>
      <c r="F207" s="504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21"/>
      <c r="R207" s="213"/>
      <c r="S207" s="215"/>
      <c r="T207" s="214"/>
      <c r="U207" s="630"/>
      <c r="V207" s="631"/>
      <c r="W207" s="632"/>
      <c r="X207" s="632"/>
      <c r="Y207" s="643">
        <v>0</v>
      </c>
      <c r="Z207" s="616">
        <f t="shared" si="1"/>
        <v>0</v>
      </c>
      <c r="AA207" s="633"/>
      <c r="AB207" s="648"/>
      <c r="AC207" s="648"/>
      <c r="AD207" s="7"/>
      <c r="AE207" s="24"/>
      <c r="AF207" s="7"/>
      <c r="AG207" s="618">
        <f t="shared" si="8"/>
        <v>0</v>
      </c>
    </row>
    <row r="208" spans="1:33" ht="20.25" customHeight="1">
      <c r="A208" s="503"/>
      <c r="B208" s="483" t="s">
        <v>464</v>
      </c>
      <c r="C208" s="658" t="s">
        <v>433</v>
      </c>
      <c r="D208" s="504" t="s">
        <v>1686</v>
      </c>
      <c r="E208" s="504"/>
      <c r="F208" s="504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21"/>
      <c r="R208" s="213"/>
      <c r="S208" s="215"/>
      <c r="T208" s="214"/>
      <c r="U208" s="630"/>
      <c r="V208" s="631"/>
      <c r="W208" s="632"/>
      <c r="X208" s="632"/>
      <c r="Y208" s="643">
        <v>0</v>
      </c>
      <c r="Z208" s="616">
        <f t="shared" si="1"/>
        <v>0</v>
      </c>
      <c r="AA208" s="633"/>
      <c r="AB208" s="636"/>
      <c r="AC208" s="636"/>
      <c r="AD208" s="7"/>
      <c r="AE208" s="24"/>
      <c r="AF208" s="7"/>
      <c r="AG208" s="618">
        <f t="shared" si="8"/>
        <v>0</v>
      </c>
    </row>
    <row r="209" spans="1:33" ht="20.25" customHeight="1">
      <c r="A209" s="486"/>
      <c r="B209" s="487" t="s">
        <v>455</v>
      </c>
      <c r="C209" s="635" t="s">
        <v>467</v>
      </c>
      <c r="D209" s="412"/>
      <c r="E209" s="412"/>
      <c r="F209" s="412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21"/>
      <c r="R209" s="213"/>
      <c r="S209" s="215"/>
      <c r="T209" s="214"/>
      <c r="U209" s="630"/>
      <c r="V209" s="631"/>
      <c r="W209" s="632"/>
      <c r="X209" s="632"/>
      <c r="Y209" s="643">
        <v>0</v>
      </c>
      <c r="Z209" s="616">
        <f t="shared" si="1"/>
        <v>0</v>
      </c>
      <c r="AA209" s="633"/>
      <c r="AB209" s="648"/>
      <c r="AC209" s="648"/>
      <c r="AD209" s="7"/>
      <c r="AE209" s="24"/>
      <c r="AF209" s="7"/>
      <c r="AG209" s="618">
        <f t="shared" si="8"/>
        <v>0</v>
      </c>
    </row>
    <row r="210" spans="1:33" ht="20.25" customHeight="1">
      <c r="A210" s="503"/>
      <c r="B210" s="483" t="s">
        <v>458</v>
      </c>
      <c r="C210" s="658" t="s">
        <v>469</v>
      </c>
      <c r="D210" s="504" t="s">
        <v>132</v>
      </c>
      <c r="E210" s="504"/>
      <c r="F210" s="504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21"/>
      <c r="R210" s="213"/>
      <c r="S210" s="215"/>
      <c r="T210" s="214"/>
      <c r="U210" s="630"/>
      <c r="V210" s="631"/>
      <c r="W210" s="632"/>
      <c r="X210" s="632"/>
      <c r="Y210" s="643">
        <v>0</v>
      </c>
      <c r="Z210" s="616">
        <f t="shared" si="1"/>
        <v>0</v>
      </c>
      <c r="AA210" s="633"/>
      <c r="AB210" s="648"/>
      <c r="AC210" s="648"/>
      <c r="AD210" s="7"/>
      <c r="AE210" s="24"/>
      <c r="AF210" s="7"/>
      <c r="AG210" s="618">
        <f t="shared" si="8"/>
        <v>0</v>
      </c>
    </row>
    <row r="211" spans="1:33" ht="20.25" customHeight="1">
      <c r="A211" s="503"/>
      <c r="B211" s="483" t="s">
        <v>461</v>
      </c>
      <c r="C211" s="658" t="s">
        <v>471</v>
      </c>
      <c r="D211" s="504" t="s">
        <v>132</v>
      </c>
      <c r="E211" s="504"/>
      <c r="F211" s="504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21"/>
      <c r="R211" s="213"/>
      <c r="S211" s="215"/>
      <c r="T211" s="214"/>
      <c r="U211" s="630"/>
      <c r="V211" s="631"/>
      <c r="W211" s="632"/>
      <c r="X211" s="632"/>
      <c r="Y211" s="643">
        <v>0</v>
      </c>
      <c r="Z211" s="616">
        <f t="shared" si="1"/>
        <v>0</v>
      </c>
      <c r="AA211" s="633"/>
      <c r="AB211" s="636"/>
      <c r="AC211" s="636"/>
      <c r="AD211" s="7"/>
      <c r="AE211" s="24"/>
      <c r="AF211" s="7"/>
      <c r="AG211" s="618">
        <f t="shared" si="8"/>
        <v>0</v>
      </c>
    </row>
    <row r="212" spans="1:33" ht="20.25" customHeight="1">
      <c r="A212" s="503"/>
      <c r="B212" s="483" t="s">
        <v>464</v>
      </c>
      <c r="C212" s="658" t="s">
        <v>473</v>
      </c>
      <c r="D212" s="504" t="s">
        <v>132</v>
      </c>
      <c r="E212" s="504"/>
      <c r="F212" s="504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21"/>
      <c r="R212" s="213"/>
      <c r="S212" s="215"/>
      <c r="T212" s="214"/>
      <c r="U212" s="630"/>
      <c r="V212" s="631"/>
      <c r="W212" s="632"/>
      <c r="X212" s="632"/>
      <c r="Y212" s="643">
        <v>0</v>
      </c>
      <c r="Z212" s="616">
        <f t="shared" si="1"/>
        <v>0</v>
      </c>
      <c r="AA212" s="633"/>
      <c r="AB212" s="636"/>
      <c r="AC212" s="636"/>
      <c r="AD212" s="7"/>
      <c r="AE212" s="24"/>
      <c r="AF212" s="7"/>
      <c r="AG212" s="618">
        <f t="shared" si="8"/>
        <v>0</v>
      </c>
    </row>
    <row r="213" spans="1:33" ht="20.25" customHeight="1">
      <c r="A213" s="486"/>
      <c r="B213" s="487" t="s">
        <v>475</v>
      </c>
      <c r="C213" s="635" t="s">
        <v>476</v>
      </c>
      <c r="D213" s="412"/>
      <c r="E213" s="412"/>
      <c r="F213" s="412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21"/>
      <c r="R213" s="213"/>
      <c r="S213" s="215"/>
      <c r="T213" s="214"/>
      <c r="U213" s="630"/>
      <c r="V213" s="631"/>
      <c r="W213" s="632"/>
      <c r="X213" s="632"/>
      <c r="Y213" s="643">
        <v>0</v>
      </c>
      <c r="Z213" s="616">
        <f t="shared" si="1"/>
        <v>0</v>
      </c>
      <c r="AA213" s="633"/>
      <c r="AB213" s="636"/>
      <c r="AC213" s="636"/>
      <c r="AD213" s="7"/>
      <c r="AE213" s="24">
        <v>0</v>
      </c>
      <c r="AF213" s="7"/>
      <c r="AG213" s="618">
        <f t="shared" si="8"/>
        <v>0</v>
      </c>
    </row>
    <row r="214" spans="1:33" ht="20.25" customHeight="1">
      <c r="A214" s="503"/>
      <c r="B214" s="483" t="s">
        <v>478</v>
      </c>
      <c r="C214" s="658" t="s">
        <v>479</v>
      </c>
      <c r="D214" s="504" t="s">
        <v>132</v>
      </c>
      <c r="E214" s="504"/>
      <c r="F214" s="504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21"/>
      <c r="R214" s="213"/>
      <c r="S214" s="215"/>
      <c r="T214" s="214"/>
      <c r="U214" s="630"/>
      <c r="V214" s="631"/>
      <c r="W214" s="632"/>
      <c r="X214" s="632"/>
      <c r="Y214" s="643">
        <v>0</v>
      </c>
      <c r="Z214" s="616">
        <f t="shared" si="1"/>
        <v>0</v>
      </c>
      <c r="AA214" s="633"/>
      <c r="AB214" s="636"/>
      <c r="AC214" s="636"/>
      <c r="AD214" s="7"/>
      <c r="AE214" s="24"/>
      <c r="AF214" s="7"/>
      <c r="AG214" s="618">
        <f t="shared" si="8"/>
        <v>0</v>
      </c>
    </row>
    <row r="215" spans="1:33" ht="20.25" customHeight="1">
      <c r="A215" s="503"/>
      <c r="B215" s="483" t="s">
        <v>481</v>
      </c>
      <c r="C215" s="658" t="s">
        <v>482</v>
      </c>
      <c r="D215" s="504" t="s">
        <v>132</v>
      </c>
      <c r="E215" s="504"/>
      <c r="F215" s="504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21"/>
      <c r="R215" s="213"/>
      <c r="S215" s="215"/>
      <c r="T215" s="214"/>
      <c r="U215" s="630"/>
      <c r="V215" s="631"/>
      <c r="W215" s="632"/>
      <c r="X215" s="632"/>
      <c r="Y215" s="643">
        <v>0</v>
      </c>
      <c r="Z215" s="616">
        <f t="shared" si="1"/>
        <v>0</v>
      </c>
      <c r="AA215" s="633"/>
      <c r="AB215" s="636"/>
      <c r="AC215" s="636"/>
      <c r="AD215" s="7"/>
      <c r="AE215" s="24"/>
      <c r="AF215" s="7"/>
      <c r="AG215" s="618">
        <f t="shared" si="8"/>
        <v>0</v>
      </c>
    </row>
    <row r="216" spans="1:33" ht="20.25" customHeight="1">
      <c r="A216" s="486"/>
      <c r="B216" s="487" t="s">
        <v>484</v>
      </c>
      <c r="C216" s="656" t="s">
        <v>485</v>
      </c>
      <c r="D216" s="512" t="s">
        <v>132</v>
      </c>
      <c r="E216" s="512"/>
      <c r="F216" s="512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21"/>
      <c r="R216" s="213"/>
      <c r="S216" s="215"/>
      <c r="T216" s="214"/>
      <c r="U216" s="630"/>
      <c r="V216" s="631"/>
      <c r="W216" s="632"/>
      <c r="X216" s="632"/>
      <c r="Y216" s="643">
        <v>0</v>
      </c>
      <c r="Z216" s="616">
        <f t="shared" si="1"/>
        <v>0</v>
      </c>
      <c r="AA216" s="633"/>
      <c r="AB216" s="636"/>
      <c r="AC216" s="636"/>
      <c r="AD216" s="7"/>
      <c r="AE216" s="24"/>
      <c r="AF216" s="7"/>
      <c r="AG216" s="618">
        <f t="shared" si="8"/>
        <v>0</v>
      </c>
    </row>
    <row r="217" spans="1:33" ht="20.25" customHeight="1">
      <c r="A217" s="503"/>
      <c r="B217" s="483" t="s">
        <v>487</v>
      </c>
      <c r="C217" s="658" t="s">
        <v>488</v>
      </c>
      <c r="D217" s="504" t="s">
        <v>132</v>
      </c>
      <c r="E217" s="504"/>
      <c r="F217" s="504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21"/>
      <c r="R217" s="213"/>
      <c r="S217" s="215"/>
      <c r="T217" s="214"/>
      <c r="U217" s="630"/>
      <c r="V217" s="631"/>
      <c r="W217" s="632"/>
      <c r="X217" s="632"/>
      <c r="Y217" s="643">
        <v>0</v>
      </c>
      <c r="Z217" s="616">
        <f t="shared" si="1"/>
        <v>0</v>
      </c>
      <c r="AA217" s="633"/>
      <c r="AB217" s="636"/>
      <c r="AC217" s="636"/>
      <c r="AD217" s="7"/>
      <c r="AE217" s="24"/>
      <c r="AF217" s="7"/>
      <c r="AG217" s="618">
        <f t="shared" si="8"/>
        <v>0</v>
      </c>
    </row>
    <row r="218" spans="1:33" ht="20.25" customHeight="1">
      <c r="A218" s="503"/>
      <c r="B218" s="483" t="s">
        <v>490</v>
      </c>
      <c r="C218" s="658" t="s">
        <v>491</v>
      </c>
      <c r="D218" s="504" t="s">
        <v>132</v>
      </c>
      <c r="E218" s="504"/>
      <c r="F218" s="504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21"/>
      <c r="R218" s="213"/>
      <c r="S218" s="215"/>
      <c r="T218" s="214"/>
      <c r="U218" s="630"/>
      <c r="V218" s="631"/>
      <c r="W218" s="632"/>
      <c r="X218" s="632"/>
      <c r="Y218" s="643">
        <v>0</v>
      </c>
      <c r="Z218" s="616">
        <f t="shared" si="1"/>
        <v>0</v>
      </c>
      <c r="AA218" s="633"/>
      <c r="AB218" s="636"/>
      <c r="AC218" s="636"/>
      <c r="AD218" s="7"/>
      <c r="AE218" s="24"/>
      <c r="AF218" s="7"/>
      <c r="AG218" s="618">
        <f t="shared" si="8"/>
        <v>0</v>
      </c>
    </row>
    <row r="219" spans="1:33" ht="15.75" customHeight="1">
      <c r="A219" s="486"/>
      <c r="B219" s="487" t="s">
        <v>493</v>
      </c>
      <c r="C219" s="656" t="s">
        <v>494</v>
      </c>
      <c r="D219" s="512" t="s">
        <v>132</v>
      </c>
      <c r="E219" s="512"/>
      <c r="F219" s="512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21"/>
      <c r="R219" s="213"/>
      <c r="S219" s="215"/>
      <c r="T219" s="214"/>
      <c r="U219" s="630"/>
      <c r="V219" s="631"/>
      <c r="W219" s="632"/>
      <c r="X219" s="632"/>
      <c r="Y219" s="643">
        <v>0</v>
      </c>
      <c r="Z219" s="616">
        <f t="shared" si="1"/>
        <v>0</v>
      </c>
      <c r="AA219" s="633"/>
      <c r="AB219" s="636"/>
      <c r="AC219" s="636"/>
      <c r="AD219" s="7"/>
      <c r="AE219" s="24"/>
      <c r="AF219" s="7"/>
      <c r="AG219" s="618">
        <f t="shared" si="8"/>
        <v>0</v>
      </c>
    </row>
    <row r="220" spans="1:33" ht="20.25" customHeight="1">
      <c r="A220" s="486"/>
      <c r="B220" s="487" t="s">
        <v>496</v>
      </c>
      <c r="C220" s="635" t="s">
        <v>497</v>
      </c>
      <c r="D220" s="512"/>
      <c r="E220" s="512"/>
      <c r="F220" s="512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21"/>
      <c r="R220" s="213"/>
      <c r="S220" s="215"/>
      <c r="T220" s="214"/>
      <c r="U220" s="630"/>
      <c r="V220" s="631"/>
      <c r="W220" s="632"/>
      <c r="X220" s="632"/>
      <c r="Y220" s="643">
        <v>0</v>
      </c>
      <c r="Z220" s="616">
        <f t="shared" si="1"/>
        <v>0</v>
      </c>
      <c r="AA220" s="633"/>
      <c r="AB220" s="636"/>
      <c r="AC220" s="636"/>
      <c r="AD220" s="7"/>
      <c r="AE220" s="24"/>
      <c r="AF220" s="7"/>
      <c r="AG220" s="618">
        <f t="shared" si="8"/>
        <v>0</v>
      </c>
    </row>
    <row r="221" spans="1:33" ht="20.25" customHeight="1">
      <c r="A221" s="482"/>
      <c r="B221" s="483" t="s">
        <v>499</v>
      </c>
      <c r="C221" s="629" t="s">
        <v>500</v>
      </c>
      <c r="D221" s="485" t="s">
        <v>424</v>
      </c>
      <c r="E221" s="485"/>
      <c r="F221" s="485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21"/>
      <c r="R221" s="213"/>
      <c r="S221" s="215"/>
      <c r="T221" s="214"/>
      <c r="U221" s="630"/>
      <c r="V221" s="631"/>
      <c r="W221" s="632"/>
      <c r="X221" s="632"/>
      <c r="Y221" s="643">
        <v>0</v>
      </c>
      <c r="Z221" s="616">
        <f t="shared" si="1"/>
        <v>0</v>
      </c>
      <c r="AA221" s="633"/>
      <c r="AB221" s="634"/>
      <c r="AC221" s="634"/>
      <c r="AD221" s="7"/>
      <c r="AE221" s="24"/>
      <c r="AF221" s="7"/>
      <c r="AG221" s="618">
        <f t="shared" si="8"/>
        <v>0</v>
      </c>
    </row>
    <row r="222" spans="1:33" ht="20.25" customHeight="1">
      <c r="A222" s="482" t="s">
        <v>1007</v>
      </c>
      <c r="B222" s="483" t="s">
        <v>502</v>
      </c>
      <c r="C222" s="629" t="s">
        <v>503</v>
      </c>
      <c r="D222" s="504" t="s">
        <v>1687</v>
      </c>
      <c r="E222" s="504"/>
      <c r="F222" s="504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21"/>
      <c r="R222" s="213"/>
      <c r="S222" s="215"/>
      <c r="T222" s="214"/>
      <c r="U222" s="630"/>
      <c r="V222" s="631"/>
      <c r="W222" s="632"/>
      <c r="X222" s="632"/>
      <c r="Y222" s="643">
        <v>0</v>
      </c>
      <c r="Z222" s="616">
        <f t="shared" si="1"/>
        <v>0</v>
      </c>
      <c r="AA222" s="633"/>
      <c r="AB222" s="634"/>
      <c r="AC222" s="634"/>
      <c r="AD222" s="7"/>
      <c r="AE222" s="24"/>
      <c r="AF222" s="7"/>
      <c r="AG222" s="618">
        <f t="shared" si="8"/>
        <v>0</v>
      </c>
    </row>
    <row r="223" spans="1:33" ht="20.25" customHeight="1">
      <c r="A223" s="482"/>
      <c r="B223" s="483" t="s">
        <v>506</v>
      </c>
      <c r="C223" s="629" t="s">
        <v>507</v>
      </c>
      <c r="D223" s="485" t="s">
        <v>1688</v>
      </c>
      <c r="E223" s="485"/>
      <c r="F223" s="485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21"/>
      <c r="R223" s="213"/>
      <c r="S223" s="215"/>
      <c r="T223" s="214"/>
      <c r="U223" s="630"/>
      <c r="V223" s="631"/>
      <c r="W223" s="632"/>
      <c r="X223" s="632"/>
      <c r="Y223" s="643">
        <v>0</v>
      </c>
      <c r="Z223" s="616">
        <f t="shared" si="1"/>
        <v>0</v>
      </c>
      <c r="AA223" s="633"/>
      <c r="AB223" s="634"/>
      <c r="AC223" s="634"/>
      <c r="AD223" s="7"/>
      <c r="AE223" s="24"/>
      <c r="AF223" s="7"/>
      <c r="AG223" s="618">
        <f t="shared" si="8"/>
        <v>0</v>
      </c>
    </row>
    <row r="224" spans="1:33" ht="20.25" customHeight="1">
      <c r="A224" s="486"/>
      <c r="B224" s="487" t="s">
        <v>509</v>
      </c>
      <c r="C224" s="635" t="s">
        <v>510</v>
      </c>
      <c r="D224" s="491" t="s">
        <v>183</v>
      </c>
      <c r="E224" s="491"/>
      <c r="F224" s="491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21"/>
      <c r="R224" s="213"/>
      <c r="S224" s="215"/>
      <c r="T224" s="214"/>
      <c r="U224" s="630"/>
      <c r="V224" s="631"/>
      <c r="W224" s="632"/>
      <c r="X224" s="632"/>
      <c r="Y224" s="643">
        <v>0</v>
      </c>
      <c r="Z224" s="616">
        <f t="shared" si="1"/>
        <v>0</v>
      </c>
      <c r="AA224" s="633"/>
      <c r="AB224" s="636"/>
      <c r="AC224" s="636"/>
      <c r="AD224" s="7"/>
      <c r="AE224" s="24"/>
      <c r="AF224" s="7"/>
      <c r="AG224" s="618">
        <f t="shared" si="8"/>
        <v>0</v>
      </c>
    </row>
    <row r="225" spans="1:33" ht="18.75" customHeight="1">
      <c r="A225" s="489">
        <v>6</v>
      </c>
      <c r="B225" s="490" t="s">
        <v>512</v>
      </c>
      <c r="C225" s="637" t="s">
        <v>513</v>
      </c>
      <c r="D225" s="491"/>
      <c r="E225" s="491"/>
      <c r="F225" s="491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21"/>
      <c r="R225" s="213"/>
      <c r="S225" s="215"/>
      <c r="T225" s="214"/>
      <c r="U225" s="630"/>
      <c r="V225" s="631"/>
      <c r="W225" s="632"/>
      <c r="X225" s="632"/>
      <c r="Y225" s="643">
        <v>0</v>
      </c>
      <c r="Z225" s="616">
        <f t="shared" si="1"/>
        <v>0</v>
      </c>
      <c r="AA225" s="660" t="s">
        <v>1594</v>
      </c>
      <c r="AB225" s="640"/>
      <c r="AC225" s="640"/>
      <c r="AD225" s="7"/>
      <c r="AE225" s="24"/>
      <c r="AF225" s="7"/>
      <c r="AG225" s="618">
        <f t="shared" si="8"/>
        <v>0</v>
      </c>
    </row>
    <row r="226" spans="1:33" ht="15.75" customHeight="1">
      <c r="A226" s="486"/>
      <c r="B226" s="487" t="s">
        <v>515</v>
      </c>
      <c r="C226" s="635" t="s">
        <v>516</v>
      </c>
      <c r="D226" s="512"/>
      <c r="E226" s="512"/>
      <c r="F226" s="512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21"/>
      <c r="R226" s="213"/>
      <c r="S226" s="215"/>
      <c r="T226" s="214"/>
      <c r="U226" s="630"/>
      <c r="V226" s="631"/>
      <c r="W226" s="632"/>
      <c r="X226" s="632"/>
      <c r="Y226" s="643">
        <v>0</v>
      </c>
      <c r="Z226" s="616">
        <f t="shared" si="1"/>
        <v>0</v>
      </c>
      <c r="AA226" s="642">
        <f>Z227+Z237</f>
        <v>0</v>
      </c>
      <c r="AB226" s="636"/>
      <c r="AC226" s="636"/>
      <c r="AD226" s="7"/>
      <c r="AE226" s="24"/>
      <c r="AF226" s="7"/>
      <c r="AG226" s="618">
        <f t="shared" si="8"/>
        <v>0</v>
      </c>
    </row>
    <row r="227" spans="1:33" ht="20.25" customHeight="1">
      <c r="A227" s="503"/>
      <c r="B227" s="483" t="s">
        <v>518</v>
      </c>
      <c r="C227" s="629" t="s">
        <v>447</v>
      </c>
      <c r="D227" s="504" t="s">
        <v>424</v>
      </c>
      <c r="E227" s="504"/>
      <c r="F227" s="504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21"/>
      <c r="R227" s="213"/>
      <c r="S227" s="215"/>
      <c r="T227" s="214"/>
      <c r="U227" s="630"/>
      <c r="V227" s="631"/>
      <c r="W227" s="632"/>
      <c r="X227" s="632"/>
      <c r="Y227" s="643">
        <v>0</v>
      </c>
      <c r="Z227" s="616">
        <f t="shared" si="1"/>
        <v>0</v>
      </c>
      <c r="AA227" s="648"/>
      <c r="AB227" s="648"/>
      <c r="AC227" s="648"/>
      <c r="AD227" s="7"/>
      <c r="AE227" s="24"/>
      <c r="AF227" s="7"/>
      <c r="AG227" s="618">
        <f t="shared" si="8"/>
        <v>0</v>
      </c>
    </row>
    <row r="228" spans="1:33" ht="20.25" customHeight="1">
      <c r="A228" s="503"/>
      <c r="B228" s="483" t="s">
        <v>520</v>
      </c>
      <c r="C228" s="629" t="s">
        <v>521</v>
      </c>
      <c r="D228" s="504" t="s">
        <v>424</v>
      </c>
      <c r="E228" s="504"/>
      <c r="F228" s="504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21"/>
      <c r="R228" s="213"/>
      <c r="S228" s="215"/>
      <c r="T228" s="214"/>
      <c r="U228" s="630"/>
      <c r="V228" s="631"/>
      <c r="W228" s="632"/>
      <c r="X228" s="632"/>
      <c r="Y228" s="643">
        <v>0</v>
      </c>
      <c r="Z228" s="616">
        <f t="shared" si="1"/>
        <v>0</v>
      </c>
      <c r="AA228" s="661" t="s">
        <v>1595</v>
      </c>
      <c r="AB228" s="648"/>
      <c r="AC228" s="648"/>
      <c r="AD228" s="7"/>
      <c r="AE228" s="24"/>
      <c r="AF228" s="7"/>
      <c r="AG228" s="618">
        <f t="shared" si="8"/>
        <v>0</v>
      </c>
    </row>
    <row r="229" spans="1:33" ht="19.5" customHeight="1">
      <c r="A229" s="503"/>
      <c r="B229" s="483" t="s">
        <v>523</v>
      </c>
      <c r="C229" s="629" t="s">
        <v>524</v>
      </c>
      <c r="D229" s="504" t="s">
        <v>1689</v>
      </c>
      <c r="E229" s="504"/>
      <c r="F229" s="504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21"/>
      <c r="R229" s="213"/>
      <c r="S229" s="215"/>
      <c r="T229" s="214"/>
      <c r="U229" s="630"/>
      <c r="V229" s="631"/>
      <c r="W229" s="632"/>
      <c r="X229" s="632"/>
      <c r="Y229" s="643">
        <v>0</v>
      </c>
      <c r="Z229" s="616">
        <f t="shared" si="1"/>
        <v>0</v>
      </c>
      <c r="AA229" s="642">
        <f>Z229+Z230+Z239+Z240</f>
        <v>0</v>
      </c>
      <c r="AB229" s="648"/>
      <c r="AC229" s="648"/>
      <c r="AD229" s="7"/>
      <c r="AE229" s="24"/>
      <c r="AF229" s="7"/>
      <c r="AG229" s="618">
        <f t="shared" si="8"/>
        <v>0</v>
      </c>
    </row>
    <row r="230" spans="1:33" ht="20.25" customHeight="1">
      <c r="A230" s="503"/>
      <c r="B230" s="483" t="s">
        <v>526</v>
      </c>
      <c r="C230" s="629" t="s">
        <v>527</v>
      </c>
      <c r="D230" s="504" t="s">
        <v>1690</v>
      </c>
      <c r="E230" s="504"/>
      <c r="F230" s="504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21"/>
      <c r="R230" s="213"/>
      <c r="S230" s="215"/>
      <c r="T230" s="214"/>
      <c r="U230" s="630"/>
      <c r="V230" s="631"/>
      <c r="W230" s="632"/>
      <c r="X230" s="632"/>
      <c r="Y230" s="643">
        <v>0</v>
      </c>
      <c r="Z230" s="616">
        <f t="shared" si="1"/>
        <v>0</v>
      </c>
      <c r="AA230" s="633"/>
      <c r="AB230" s="648"/>
      <c r="AC230" s="648"/>
      <c r="AD230" s="7"/>
      <c r="AE230" s="24"/>
      <c r="AF230" s="7"/>
      <c r="AG230" s="618">
        <f t="shared" si="8"/>
        <v>0</v>
      </c>
    </row>
    <row r="231" spans="1:33" ht="24.75" customHeight="1">
      <c r="A231" s="503"/>
      <c r="B231" s="483" t="s">
        <v>530</v>
      </c>
      <c r="C231" s="629" t="s">
        <v>531</v>
      </c>
      <c r="D231" s="504" t="s">
        <v>132</v>
      </c>
      <c r="E231" s="504"/>
      <c r="F231" s="504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21"/>
      <c r="R231" s="213"/>
      <c r="S231" s="215"/>
      <c r="T231" s="214"/>
      <c r="U231" s="630"/>
      <c r="V231" s="631"/>
      <c r="W231" s="632"/>
      <c r="X231" s="632"/>
      <c r="Y231" s="643">
        <v>0</v>
      </c>
      <c r="Z231" s="616">
        <f t="shared" si="1"/>
        <v>0</v>
      </c>
      <c r="AA231" s="633"/>
      <c r="AB231" s="648"/>
      <c r="AC231" s="648"/>
      <c r="AD231" s="7"/>
      <c r="AE231" s="24"/>
      <c r="AF231" s="7"/>
      <c r="AG231" s="618">
        <f t="shared" si="8"/>
        <v>0</v>
      </c>
    </row>
    <row r="232" spans="1:33" ht="24" customHeight="1">
      <c r="A232" s="503"/>
      <c r="B232" s="483" t="s">
        <v>533</v>
      </c>
      <c r="C232" s="629" t="s">
        <v>534</v>
      </c>
      <c r="D232" s="504" t="s">
        <v>132</v>
      </c>
      <c r="E232" s="504"/>
      <c r="F232" s="504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21"/>
      <c r="R232" s="213"/>
      <c r="S232" s="215"/>
      <c r="T232" s="214"/>
      <c r="U232" s="630"/>
      <c r="V232" s="631"/>
      <c r="W232" s="632"/>
      <c r="X232" s="632"/>
      <c r="Y232" s="643">
        <v>0</v>
      </c>
      <c r="Z232" s="616">
        <f t="shared" si="1"/>
        <v>0</v>
      </c>
      <c r="AA232" s="633"/>
      <c r="AB232" s="648"/>
      <c r="AC232" s="648"/>
      <c r="AD232" s="7"/>
      <c r="AE232" s="24"/>
      <c r="AF232" s="7"/>
      <c r="AG232" s="618">
        <f t="shared" si="8"/>
        <v>0</v>
      </c>
    </row>
    <row r="233" spans="1:33" ht="28.5" customHeight="1">
      <c r="A233" s="503"/>
      <c r="B233" s="483" t="s">
        <v>536</v>
      </c>
      <c r="C233" s="629" t="s">
        <v>537</v>
      </c>
      <c r="D233" s="504" t="s">
        <v>194</v>
      </c>
      <c r="E233" s="504"/>
      <c r="F233" s="504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21"/>
      <c r="R233" s="213"/>
      <c r="S233" s="215"/>
      <c r="T233" s="214"/>
      <c r="U233" s="630"/>
      <c r="V233" s="631"/>
      <c r="W233" s="632"/>
      <c r="X233" s="632"/>
      <c r="Y233" s="643">
        <v>0</v>
      </c>
      <c r="Z233" s="616">
        <f t="shared" si="1"/>
        <v>0</v>
      </c>
      <c r="AA233" s="633"/>
      <c r="AB233" s="648"/>
      <c r="AC233" s="648"/>
      <c r="AD233" s="7"/>
      <c r="AE233" s="24"/>
      <c r="AF233" s="7"/>
      <c r="AG233" s="618">
        <f t="shared" si="8"/>
        <v>0</v>
      </c>
    </row>
    <row r="234" spans="1:33" ht="20.25" customHeight="1">
      <c r="A234" s="503"/>
      <c r="B234" s="483" t="s">
        <v>539</v>
      </c>
      <c r="C234" s="629" t="s">
        <v>540</v>
      </c>
      <c r="D234" s="515" t="s">
        <v>183</v>
      </c>
      <c r="E234" s="515"/>
      <c r="F234" s="515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21"/>
      <c r="R234" s="213"/>
      <c r="S234" s="215"/>
      <c r="T234" s="214"/>
      <c r="U234" s="630"/>
      <c r="V234" s="631"/>
      <c r="W234" s="632"/>
      <c r="X234" s="632"/>
      <c r="Y234" s="643">
        <v>0</v>
      </c>
      <c r="Z234" s="616">
        <f t="shared" si="1"/>
        <v>0</v>
      </c>
      <c r="AA234" s="633"/>
      <c r="AB234" s="648"/>
      <c r="AC234" s="648"/>
      <c r="AD234" s="7"/>
      <c r="AE234" s="24"/>
      <c r="AF234" s="7"/>
      <c r="AG234" s="618">
        <f t="shared" si="8"/>
        <v>0</v>
      </c>
    </row>
    <row r="235" spans="1:33" ht="20.25" customHeight="1">
      <c r="A235" s="503"/>
      <c r="B235" s="483" t="s">
        <v>542</v>
      </c>
      <c r="C235" s="629" t="s">
        <v>543</v>
      </c>
      <c r="D235" s="504" t="s">
        <v>132</v>
      </c>
      <c r="E235" s="504"/>
      <c r="F235" s="504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21"/>
      <c r="R235" s="213"/>
      <c r="S235" s="215"/>
      <c r="T235" s="214"/>
      <c r="U235" s="630"/>
      <c r="V235" s="631"/>
      <c r="W235" s="632"/>
      <c r="X235" s="632"/>
      <c r="Y235" s="643">
        <v>0</v>
      </c>
      <c r="Z235" s="616">
        <f t="shared" si="1"/>
        <v>0</v>
      </c>
      <c r="AA235" s="633"/>
      <c r="AB235" s="648"/>
      <c r="AC235" s="648"/>
      <c r="AD235" s="7"/>
      <c r="AE235" s="24"/>
      <c r="AF235" s="7"/>
      <c r="AG235" s="618">
        <f t="shared" si="8"/>
        <v>0</v>
      </c>
    </row>
    <row r="236" spans="1:33" ht="15.75" customHeight="1">
      <c r="A236" s="486"/>
      <c r="B236" s="487" t="s">
        <v>545</v>
      </c>
      <c r="C236" s="635" t="s">
        <v>546</v>
      </c>
      <c r="D236" s="512"/>
      <c r="E236" s="512"/>
      <c r="F236" s="512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21"/>
      <c r="R236" s="213"/>
      <c r="S236" s="215"/>
      <c r="T236" s="214"/>
      <c r="U236" s="630"/>
      <c r="V236" s="631"/>
      <c r="W236" s="632"/>
      <c r="X236" s="632"/>
      <c r="Y236" s="643">
        <v>0</v>
      </c>
      <c r="Z236" s="616">
        <f t="shared" si="1"/>
        <v>0</v>
      </c>
      <c r="AA236" s="633"/>
      <c r="AB236" s="636"/>
      <c r="AC236" s="636"/>
      <c r="AD236" s="7"/>
      <c r="AE236" s="24"/>
      <c r="AF236" s="7"/>
      <c r="AG236" s="618">
        <f t="shared" si="8"/>
        <v>0</v>
      </c>
    </row>
    <row r="237" spans="1:33" ht="20.25" customHeight="1">
      <c r="A237" s="503"/>
      <c r="B237" s="483" t="s">
        <v>548</v>
      </c>
      <c r="C237" s="629" t="s">
        <v>447</v>
      </c>
      <c r="D237" s="504" t="s">
        <v>424</v>
      </c>
      <c r="E237" s="504"/>
      <c r="F237" s="504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21"/>
      <c r="R237" s="213"/>
      <c r="S237" s="215"/>
      <c r="T237" s="214"/>
      <c r="U237" s="630"/>
      <c r="V237" s="631"/>
      <c r="W237" s="632"/>
      <c r="X237" s="632"/>
      <c r="Y237" s="643">
        <v>0</v>
      </c>
      <c r="Z237" s="616">
        <f t="shared" si="1"/>
        <v>0</v>
      </c>
      <c r="AA237" s="633"/>
      <c r="AB237" s="648"/>
      <c r="AC237" s="648"/>
      <c r="AD237" s="7"/>
      <c r="AE237" s="24"/>
      <c r="AF237" s="7"/>
      <c r="AG237" s="618">
        <f t="shared" si="8"/>
        <v>0</v>
      </c>
    </row>
    <row r="238" spans="1:33" ht="20.25" customHeight="1">
      <c r="A238" s="503"/>
      <c r="B238" s="483" t="s">
        <v>550</v>
      </c>
      <c r="C238" s="629" t="s">
        <v>521</v>
      </c>
      <c r="D238" s="504" t="s">
        <v>424</v>
      </c>
      <c r="E238" s="504"/>
      <c r="F238" s="504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21"/>
      <c r="R238" s="213"/>
      <c r="S238" s="215"/>
      <c r="T238" s="214"/>
      <c r="U238" s="630"/>
      <c r="V238" s="631"/>
      <c r="W238" s="632"/>
      <c r="X238" s="632"/>
      <c r="Y238" s="643">
        <v>0</v>
      </c>
      <c r="Z238" s="616">
        <f t="shared" si="1"/>
        <v>0</v>
      </c>
      <c r="AA238" s="633"/>
      <c r="AB238" s="648"/>
      <c r="AC238" s="648"/>
      <c r="AD238" s="7"/>
      <c r="AE238" s="24"/>
      <c r="AF238" s="7"/>
      <c r="AG238" s="618">
        <f t="shared" si="8"/>
        <v>0</v>
      </c>
    </row>
    <row r="239" spans="1:33" ht="20.25" customHeight="1">
      <c r="A239" s="503"/>
      <c r="B239" s="483" t="s">
        <v>551</v>
      </c>
      <c r="C239" s="629" t="s">
        <v>524</v>
      </c>
      <c r="D239" s="504" t="s">
        <v>1691</v>
      </c>
      <c r="E239" s="504"/>
      <c r="F239" s="504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21"/>
      <c r="R239" s="213"/>
      <c r="S239" s="215"/>
      <c r="T239" s="214"/>
      <c r="U239" s="630"/>
      <c r="V239" s="631"/>
      <c r="W239" s="632"/>
      <c r="X239" s="632"/>
      <c r="Y239" s="643">
        <v>0</v>
      </c>
      <c r="Z239" s="616">
        <f t="shared" si="1"/>
        <v>0</v>
      </c>
      <c r="AA239" s="633"/>
      <c r="AB239" s="648"/>
      <c r="AC239" s="648"/>
      <c r="AD239" s="7"/>
      <c r="AE239" s="24"/>
      <c r="AF239" s="7"/>
      <c r="AG239" s="618">
        <f t="shared" si="8"/>
        <v>0</v>
      </c>
    </row>
    <row r="240" spans="1:33" ht="20.25" customHeight="1">
      <c r="A240" s="503"/>
      <c r="B240" s="483" t="s">
        <v>553</v>
      </c>
      <c r="C240" s="629" t="s">
        <v>527</v>
      </c>
      <c r="D240" s="504" t="s">
        <v>1692</v>
      </c>
      <c r="E240" s="504"/>
      <c r="F240" s="504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21"/>
      <c r="R240" s="213"/>
      <c r="S240" s="215"/>
      <c r="T240" s="214"/>
      <c r="U240" s="630"/>
      <c r="V240" s="631"/>
      <c r="W240" s="632"/>
      <c r="X240" s="632"/>
      <c r="Y240" s="643">
        <v>0</v>
      </c>
      <c r="Z240" s="616">
        <f t="shared" si="1"/>
        <v>0</v>
      </c>
      <c r="AA240" s="633"/>
      <c r="AB240" s="648"/>
      <c r="AC240" s="648"/>
      <c r="AD240" s="7"/>
      <c r="AE240" s="24"/>
      <c r="AF240" s="7"/>
      <c r="AG240" s="618">
        <f t="shared" si="8"/>
        <v>0</v>
      </c>
    </row>
    <row r="241" spans="1:33" ht="20.25" customHeight="1">
      <c r="A241" s="503"/>
      <c r="B241" s="483" t="s">
        <v>555</v>
      </c>
      <c r="C241" s="629" t="s">
        <v>531</v>
      </c>
      <c r="D241" s="504" t="s">
        <v>132</v>
      </c>
      <c r="E241" s="504"/>
      <c r="F241" s="504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21"/>
      <c r="R241" s="213"/>
      <c r="S241" s="215"/>
      <c r="T241" s="214"/>
      <c r="U241" s="630"/>
      <c r="V241" s="631"/>
      <c r="W241" s="632"/>
      <c r="X241" s="632"/>
      <c r="Y241" s="643">
        <v>0</v>
      </c>
      <c r="Z241" s="616">
        <f t="shared" si="1"/>
        <v>0</v>
      </c>
      <c r="AA241" s="633"/>
      <c r="AB241" s="648"/>
      <c r="AC241" s="648"/>
      <c r="AD241" s="7"/>
      <c r="AE241" s="24"/>
      <c r="AF241" s="7"/>
      <c r="AG241" s="618">
        <f t="shared" si="8"/>
        <v>0</v>
      </c>
    </row>
    <row r="242" spans="1:33" ht="20.25" customHeight="1">
      <c r="A242" s="503"/>
      <c r="B242" s="483" t="s">
        <v>556</v>
      </c>
      <c r="C242" s="629" t="s">
        <v>534</v>
      </c>
      <c r="D242" s="504" t="s">
        <v>132</v>
      </c>
      <c r="E242" s="504"/>
      <c r="F242" s="504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21"/>
      <c r="R242" s="213"/>
      <c r="S242" s="215"/>
      <c r="T242" s="214"/>
      <c r="U242" s="630"/>
      <c r="V242" s="631"/>
      <c r="W242" s="632"/>
      <c r="X242" s="632"/>
      <c r="Y242" s="643">
        <v>0</v>
      </c>
      <c r="Z242" s="616">
        <f t="shared" si="1"/>
        <v>0</v>
      </c>
      <c r="AA242" s="633"/>
      <c r="AB242" s="648"/>
      <c r="AC242" s="648"/>
      <c r="AD242" s="7"/>
      <c r="AE242" s="24"/>
      <c r="AF242" s="7"/>
      <c r="AG242" s="618">
        <f t="shared" si="8"/>
        <v>0</v>
      </c>
    </row>
    <row r="243" spans="1:33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504"/>
      <c r="F243" s="504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21"/>
      <c r="R243" s="213"/>
      <c r="S243" s="215"/>
      <c r="T243" s="214"/>
      <c r="U243" s="630"/>
      <c r="V243" s="631"/>
      <c r="W243" s="632"/>
      <c r="X243" s="632"/>
      <c r="Y243" s="643">
        <v>0</v>
      </c>
      <c r="Z243" s="616">
        <f t="shared" si="1"/>
        <v>0</v>
      </c>
      <c r="AA243" s="633"/>
      <c r="AB243" s="648"/>
      <c r="AC243" s="648"/>
      <c r="AD243" s="7"/>
      <c r="AE243" s="24"/>
      <c r="AF243" s="7"/>
      <c r="AG243" s="618">
        <f t="shared" si="8"/>
        <v>0</v>
      </c>
    </row>
    <row r="244" spans="1:33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515"/>
      <c r="F244" s="515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21"/>
      <c r="R244" s="213"/>
      <c r="S244" s="215"/>
      <c r="T244" s="214"/>
      <c r="U244" s="630"/>
      <c r="V244" s="631"/>
      <c r="W244" s="632"/>
      <c r="X244" s="632"/>
      <c r="Y244" s="643">
        <v>0</v>
      </c>
      <c r="Z244" s="616">
        <f t="shared" si="1"/>
        <v>0</v>
      </c>
      <c r="AA244" s="633"/>
      <c r="AB244" s="648"/>
      <c r="AC244" s="648"/>
      <c r="AD244" s="7"/>
      <c r="AE244" s="24"/>
      <c r="AF244" s="7"/>
      <c r="AG244" s="618">
        <f t="shared" si="8"/>
        <v>0</v>
      </c>
    </row>
    <row r="245" spans="1:33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504"/>
      <c r="F245" s="504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21"/>
      <c r="R245" s="213"/>
      <c r="S245" s="215"/>
      <c r="T245" s="214"/>
      <c r="U245" s="630"/>
      <c r="V245" s="631"/>
      <c r="W245" s="632"/>
      <c r="X245" s="632"/>
      <c r="Y245" s="643">
        <v>0</v>
      </c>
      <c r="Z245" s="616">
        <f t="shared" si="1"/>
        <v>0</v>
      </c>
      <c r="AA245" s="633"/>
      <c r="AB245" s="648"/>
      <c r="AC245" s="648"/>
      <c r="AD245" s="7"/>
      <c r="AE245" s="24"/>
      <c r="AF245" s="7"/>
      <c r="AG245" s="618">
        <f t="shared" si="8"/>
        <v>0</v>
      </c>
    </row>
    <row r="246" spans="1:33" ht="19.5" customHeight="1">
      <c r="A246" s="486">
        <v>9.3000000000000007</v>
      </c>
      <c r="B246" s="487" t="s">
        <v>560</v>
      </c>
      <c r="C246" s="635" t="s">
        <v>561</v>
      </c>
      <c r="D246" s="412"/>
      <c r="E246" s="412"/>
      <c r="F246" s="412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21"/>
      <c r="R246" s="213"/>
      <c r="S246" s="215"/>
      <c r="T246" s="214"/>
      <c r="U246" s="630"/>
      <c r="V246" s="631"/>
      <c r="W246" s="632"/>
      <c r="X246" s="632"/>
      <c r="Y246" s="643">
        <v>0</v>
      </c>
      <c r="Z246" s="616">
        <f t="shared" si="1"/>
        <v>0</v>
      </c>
      <c r="AA246" s="633"/>
      <c r="AB246" s="636"/>
      <c r="AC246" s="636"/>
      <c r="AD246" s="7"/>
      <c r="AE246" s="24"/>
      <c r="AF246" s="7"/>
      <c r="AG246" s="618">
        <f t="shared" si="8"/>
        <v>0</v>
      </c>
    </row>
    <row r="247" spans="1:33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485"/>
      <c r="F247" s="485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21"/>
      <c r="R247" s="213"/>
      <c r="S247" s="215"/>
      <c r="T247" s="214"/>
      <c r="U247" s="630"/>
      <c r="V247" s="631"/>
      <c r="W247" s="632"/>
      <c r="X247" s="632"/>
      <c r="Y247" s="643">
        <v>0</v>
      </c>
      <c r="Z247" s="616">
        <f t="shared" si="1"/>
        <v>0</v>
      </c>
      <c r="AA247" s="633"/>
      <c r="AB247" s="636"/>
      <c r="AC247" s="636"/>
      <c r="AD247" s="7"/>
      <c r="AE247" s="24"/>
      <c r="AF247" s="7"/>
      <c r="AG247" s="618">
        <f t="shared" si="8"/>
        <v>0</v>
      </c>
    </row>
    <row r="248" spans="1:33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485"/>
      <c r="F248" s="485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21"/>
      <c r="R248" s="213"/>
      <c r="S248" s="215"/>
      <c r="T248" s="214"/>
      <c r="U248" s="630"/>
      <c r="V248" s="631"/>
      <c r="W248" s="632"/>
      <c r="X248" s="632"/>
      <c r="Y248" s="643">
        <v>0</v>
      </c>
      <c r="Z248" s="616">
        <f t="shared" si="1"/>
        <v>0</v>
      </c>
      <c r="AA248" s="633"/>
      <c r="AB248" s="636"/>
      <c r="AC248" s="636"/>
      <c r="AD248" s="7"/>
      <c r="AE248" s="24"/>
      <c r="AF248" s="7"/>
      <c r="AG248" s="618">
        <f t="shared" si="8"/>
        <v>0</v>
      </c>
    </row>
    <row r="249" spans="1:33" ht="20.25" customHeight="1">
      <c r="A249" s="503" t="s">
        <v>1020</v>
      </c>
      <c r="B249" s="483" t="s">
        <v>566</v>
      </c>
      <c r="C249" s="629" t="s">
        <v>567</v>
      </c>
      <c r="D249" s="485" t="s">
        <v>1693</v>
      </c>
      <c r="E249" s="485"/>
      <c r="F249" s="485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21"/>
      <c r="R249" s="213"/>
      <c r="S249" s="215"/>
      <c r="T249" s="214"/>
      <c r="U249" s="630"/>
      <c r="V249" s="631"/>
      <c r="W249" s="632"/>
      <c r="X249" s="632"/>
      <c r="Y249" s="643">
        <v>0</v>
      </c>
      <c r="Z249" s="616">
        <f t="shared" si="1"/>
        <v>0</v>
      </c>
      <c r="AA249" s="633"/>
      <c r="AB249" s="636"/>
      <c r="AC249" s="636"/>
      <c r="AD249" s="7"/>
      <c r="AE249" s="24"/>
      <c r="AF249" s="7"/>
      <c r="AG249" s="618">
        <f t="shared" si="8"/>
        <v>0</v>
      </c>
    </row>
    <row r="250" spans="1:33" ht="20.25" customHeight="1">
      <c r="A250" s="503" t="s">
        <v>1022</v>
      </c>
      <c r="B250" s="483" t="s">
        <v>569</v>
      </c>
      <c r="C250" s="629" t="s">
        <v>570</v>
      </c>
      <c r="D250" s="485" t="s">
        <v>1694</v>
      </c>
      <c r="E250" s="485"/>
      <c r="F250" s="485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21"/>
      <c r="R250" s="213"/>
      <c r="S250" s="215"/>
      <c r="T250" s="214"/>
      <c r="U250" s="630"/>
      <c r="V250" s="631"/>
      <c r="W250" s="632"/>
      <c r="X250" s="632"/>
      <c r="Y250" s="643">
        <v>0</v>
      </c>
      <c r="Z250" s="616">
        <f t="shared" si="1"/>
        <v>0</v>
      </c>
      <c r="AA250" s="633"/>
      <c r="AB250" s="636"/>
      <c r="AC250" s="636"/>
      <c r="AD250" s="7"/>
      <c r="AE250" s="24"/>
      <c r="AF250" s="7"/>
      <c r="AG250" s="618">
        <f t="shared" si="8"/>
        <v>0</v>
      </c>
    </row>
    <row r="251" spans="1:33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504"/>
      <c r="F251" s="504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21"/>
      <c r="R251" s="213"/>
      <c r="S251" s="215"/>
      <c r="T251" s="214"/>
      <c r="U251" s="630"/>
      <c r="V251" s="631"/>
      <c r="W251" s="632"/>
      <c r="X251" s="632"/>
      <c r="Y251" s="643">
        <v>0</v>
      </c>
      <c r="Z251" s="616">
        <f t="shared" si="1"/>
        <v>0</v>
      </c>
      <c r="AA251" s="633"/>
      <c r="AB251" s="636"/>
      <c r="AC251" s="636"/>
      <c r="AD251" s="7"/>
      <c r="AE251" s="24"/>
      <c r="AF251" s="7"/>
      <c r="AG251" s="618">
        <f t="shared" si="8"/>
        <v>0</v>
      </c>
    </row>
    <row r="252" spans="1:33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504"/>
      <c r="F252" s="504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21"/>
      <c r="R252" s="213"/>
      <c r="S252" s="215"/>
      <c r="T252" s="214"/>
      <c r="U252" s="630"/>
      <c r="V252" s="631"/>
      <c r="W252" s="632"/>
      <c r="X252" s="632"/>
      <c r="Y252" s="643">
        <v>0</v>
      </c>
      <c r="Z252" s="616">
        <f t="shared" si="1"/>
        <v>0</v>
      </c>
      <c r="AA252" s="633"/>
      <c r="AB252" s="636"/>
      <c r="AC252" s="636"/>
      <c r="AD252" s="7"/>
      <c r="AE252" s="24"/>
      <c r="AF252" s="7"/>
      <c r="AG252" s="618">
        <f t="shared" si="8"/>
        <v>0</v>
      </c>
    </row>
    <row r="253" spans="1:33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515"/>
      <c r="F253" s="515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21"/>
      <c r="R253" s="213"/>
      <c r="S253" s="215"/>
      <c r="T253" s="214"/>
      <c r="U253" s="630"/>
      <c r="V253" s="631"/>
      <c r="W253" s="632"/>
      <c r="X253" s="632"/>
      <c r="Y253" s="643">
        <v>0</v>
      </c>
      <c r="Z253" s="616">
        <f t="shared" si="1"/>
        <v>0</v>
      </c>
      <c r="AA253" s="633"/>
      <c r="AB253" s="636"/>
      <c r="AC253" s="636"/>
      <c r="AD253" s="7"/>
      <c r="AE253" s="24"/>
      <c r="AF253" s="7"/>
      <c r="AG253" s="618">
        <f t="shared" si="8"/>
        <v>0</v>
      </c>
    </row>
    <row r="254" spans="1:33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485"/>
      <c r="F254" s="485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21"/>
      <c r="R254" s="213"/>
      <c r="S254" s="215"/>
      <c r="T254" s="214"/>
      <c r="U254" s="630"/>
      <c r="V254" s="631"/>
      <c r="W254" s="632"/>
      <c r="X254" s="632"/>
      <c r="Y254" s="643">
        <v>0</v>
      </c>
      <c r="Z254" s="616">
        <f t="shared" si="1"/>
        <v>0</v>
      </c>
      <c r="AA254" s="633"/>
      <c r="AB254" s="636"/>
      <c r="AC254" s="636"/>
      <c r="AD254" s="7"/>
      <c r="AE254" s="24"/>
      <c r="AF254" s="7"/>
      <c r="AG254" s="618">
        <f t="shared" si="8"/>
        <v>0</v>
      </c>
    </row>
    <row r="255" spans="1:33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504"/>
      <c r="F255" s="504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21"/>
      <c r="R255" s="213"/>
      <c r="S255" s="215"/>
      <c r="T255" s="214"/>
      <c r="U255" s="630"/>
      <c r="V255" s="631"/>
      <c r="W255" s="632"/>
      <c r="X255" s="632"/>
      <c r="Y255" s="643">
        <v>0</v>
      </c>
      <c r="Z255" s="616">
        <f t="shared" si="1"/>
        <v>0</v>
      </c>
      <c r="AA255" s="633"/>
      <c r="AB255" s="636"/>
      <c r="AC255" s="636"/>
      <c r="AD255" s="7"/>
      <c r="AE255" s="24"/>
      <c r="AF255" s="7"/>
      <c r="AG255" s="618">
        <f t="shared" si="8"/>
        <v>0</v>
      </c>
    </row>
    <row r="256" spans="1:33" ht="20.25" customHeight="1">
      <c r="A256" s="486">
        <v>9.4</v>
      </c>
      <c r="B256" s="487" t="s">
        <v>581</v>
      </c>
      <c r="C256" s="635" t="s">
        <v>582</v>
      </c>
      <c r="D256" s="512"/>
      <c r="E256" s="512"/>
      <c r="F256" s="512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21"/>
      <c r="R256" s="213"/>
      <c r="S256" s="215"/>
      <c r="T256" s="214"/>
      <c r="U256" s="630"/>
      <c r="V256" s="631"/>
      <c r="W256" s="632"/>
      <c r="X256" s="632"/>
      <c r="Y256" s="643">
        <v>0</v>
      </c>
      <c r="Z256" s="616">
        <f t="shared" si="1"/>
        <v>0</v>
      </c>
      <c r="AA256" s="633"/>
      <c r="AB256" s="636"/>
      <c r="AC256" s="636"/>
      <c r="AD256" s="7"/>
      <c r="AE256" s="24"/>
      <c r="AF256" s="7"/>
      <c r="AG256" s="618">
        <f t="shared" si="8"/>
        <v>0</v>
      </c>
    </row>
    <row r="257" spans="1:33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504"/>
      <c r="F257" s="504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21"/>
      <c r="R257" s="213"/>
      <c r="S257" s="215"/>
      <c r="T257" s="214"/>
      <c r="U257" s="630"/>
      <c r="V257" s="631"/>
      <c r="W257" s="632"/>
      <c r="X257" s="632"/>
      <c r="Y257" s="643">
        <v>0</v>
      </c>
      <c r="Z257" s="616">
        <f t="shared" si="1"/>
        <v>0</v>
      </c>
      <c r="AA257" s="633"/>
      <c r="AB257" s="648"/>
      <c r="AC257" s="648"/>
      <c r="AD257" s="7"/>
      <c r="AE257" s="24"/>
      <c r="AF257" s="7"/>
      <c r="AG257" s="618">
        <f t="shared" si="8"/>
        <v>0</v>
      </c>
    </row>
    <row r="258" spans="1:33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504"/>
      <c r="F258" s="504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21"/>
      <c r="R258" s="213"/>
      <c r="S258" s="215"/>
      <c r="T258" s="214"/>
      <c r="U258" s="630"/>
      <c r="V258" s="631"/>
      <c r="W258" s="632"/>
      <c r="X258" s="632"/>
      <c r="Y258" s="643">
        <v>0</v>
      </c>
      <c r="Z258" s="616">
        <f t="shared" si="1"/>
        <v>0</v>
      </c>
      <c r="AA258" s="633"/>
      <c r="AB258" s="648"/>
      <c r="AC258" s="648"/>
      <c r="AD258" s="7"/>
      <c r="AE258" s="24"/>
      <c r="AF258" s="7"/>
      <c r="AG258" s="618">
        <f t="shared" si="8"/>
        <v>0</v>
      </c>
    </row>
    <row r="259" spans="1:33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515"/>
      <c r="F259" s="515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21"/>
      <c r="R259" s="213"/>
      <c r="S259" s="215"/>
      <c r="T259" s="214"/>
      <c r="U259" s="630"/>
      <c r="V259" s="631"/>
      <c r="W259" s="632"/>
      <c r="X259" s="632"/>
      <c r="Y259" s="643">
        <v>0</v>
      </c>
      <c r="Z259" s="616">
        <f t="shared" si="1"/>
        <v>0</v>
      </c>
      <c r="AA259" s="633"/>
      <c r="AB259" s="648"/>
      <c r="AC259" s="648"/>
      <c r="AD259" s="7"/>
      <c r="AE259" s="24"/>
      <c r="AF259" s="7"/>
      <c r="AG259" s="618">
        <f t="shared" si="8"/>
        <v>0</v>
      </c>
    </row>
    <row r="260" spans="1:33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504"/>
      <c r="F260" s="504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21"/>
      <c r="R260" s="213"/>
      <c r="S260" s="215"/>
      <c r="T260" s="214"/>
      <c r="U260" s="630"/>
      <c r="V260" s="631"/>
      <c r="W260" s="632"/>
      <c r="X260" s="632"/>
      <c r="Y260" s="643">
        <v>0</v>
      </c>
      <c r="Z260" s="616">
        <f t="shared" si="1"/>
        <v>0</v>
      </c>
      <c r="AA260" s="633"/>
      <c r="AB260" s="648"/>
      <c r="AC260" s="648"/>
      <c r="AD260" s="7"/>
      <c r="AE260" s="24"/>
      <c r="AF260" s="7"/>
      <c r="AG260" s="618">
        <f t="shared" si="8"/>
        <v>0</v>
      </c>
    </row>
    <row r="261" spans="1:33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504"/>
      <c r="F261" s="504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21"/>
      <c r="R261" s="213"/>
      <c r="S261" s="215"/>
      <c r="T261" s="214"/>
      <c r="U261" s="630"/>
      <c r="V261" s="631"/>
      <c r="W261" s="632"/>
      <c r="X261" s="632"/>
      <c r="Y261" s="643">
        <v>0</v>
      </c>
      <c r="Z261" s="616">
        <f t="shared" si="1"/>
        <v>0</v>
      </c>
      <c r="AA261" s="633"/>
      <c r="AB261" s="648"/>
      <c r="AC261" s="648"/>
      <c r="AD261" s="7"/>
      <c r="AE261" s="24"/>
      <c r="AF261" s="7"/>
      <c r="AG261" s="618">
        <f t="shared" si="8"/>
        <v>0</v>
      </c>
    </row>
    <row r="262" spans="1:33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504"/>
      <c r="F262" s="504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21"/>
      <c r="R262" s="213"/>
      <c r="S262" s="215"/>
      <c r="T262" s="214"/>
      <c r="U262" s="630"/>
      <c r="V262" s="631"/>
      <c r="W262" s="632"/>
      <c r="X262" s="632"/>
      <c r="Y262" s="643">
        <v>0</v>
      </c>
      <c r="Z262" s="616">
        <f t="shared" si="1"/>
        <v>0</v>
      </c>
      <c r="AA262" s="633"/>
      <c r="AB262" s="648"/>
      <c r="AC262" s="648"/>
      <c r="AD262" s="7"/>
      <c r="AE262" s="24"/>
      <c r="AF262" s="7"/>
      <c r="AG262" s="618">
        <f t="shared" si="8"/>
        <v>0</v>
      </c>
    </row>
    <row r="263" spans="1:33" ht="20.25" customHeight="1">
      <c r="A263" s="486">
        <v>9.5</v>
      </c>
      <c r="B263" s="487" t="s">
        <v>596</v>
      </c>
      <c r="C263" s="635" t="s">
        <v>597</v>
      </c>
      <c r="D263" s="504"/>
      <c r="E263" s="504"/>
      <c r="F263" s="504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21"/>
      <c r="R263" s="213"/>
      <c r="S263" s="215"/>
      <c r="T263" s="214"/>
      <c r="U263" s="630"/>
      <c r="V263" s="631"/>
      <c r="W263" s="632"/>
      <c r="X263" s="632"/>
      <c r="Y263" s="643">
        <v>0</v>
      </c>
      <c r="Z263" s="616">
        <f t="shared" si="1"/>
        <v>0</v>
      </c>
      <c r="AA263" s="633"/>
      <c r="AB263" s="636"/>
      <c r="AC263" s="636"/>
      <c r="AD263" s="7"/>
      <c r="AE263" s="24"/>
      <c r="AF263" s="7"/>
      <c r="AG263" s="618">
        <f t="shared" si="8"/>
        <v>0</v>
      </c>
    </row>
    <row r="264" spans="1:33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504"/>
      <c r="F264" s="504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21"/>
      <c r="R264" s="213"/>
      <c r="S264" s="215"/>
      <c r="T264" s="214"/>
      <c r="U264" s="630"/>
      <c r="V264" s="631"/>
      <c r="W264" s="632"/>
      <c r="X264" s="632"/>
      <c r="Y264" s="643">
        <v>0</v>
      </c>
      <c r="Z264" s="616">
        <f t="shared" si="1"/>
        <v>0</v>
      </c>
      <c r="AA264" s="633"/>
      <c r="AB264" s="648"/>
      <c r="AC264" s="648"/>
      <c r="AD264" s="7"/>
      <c r="AE264" s="24"/>
      <c r="AF264" s="7"/>
      <c r="AG264" s="618">
        <f t="shared" si="8"/>
        <v>0</v>
      </c>
    </row>
    <row r="265" spans="1:33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515"/>
      <c r="F265" s="515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21"/>
      <c r="R265" s="213"/>
      <c r="S265" s="215"/>
      <c r="T265" s="214"/>
      <c r="U265" s="630"/>
      <c r="V265" s="631"/>
      <c r="W265" s="632"/>
      <c r="X265" s="632"/>
      <c r="Y265" s="643">
        <v>0</v>
      </c>
      <c r="Z265" s="616">
        <f t="shared" si="1"/>
        <v>0</v>
      </c>
      <c r="AA265" s="633"/>
      <c r="AB265" s="648"/>
      <c r="AC265" s="648"/>
      <c r="AD265" s="7"/>
      <c r="AE265" s="24"/>
      <c r="AF265" s="7"/>
      <c r="AG265" s="618">
        <f t="shared" si="8"/>
        <v>0</v>
      </c>
    </row>
    <row r="266" spans="1:33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504"/>
      <c r="F266" s="504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21"/>
      <c r="R266" s="213"/>
      <c r="S266" s="215"/>
      <c r="T266" s="214"/>
      <c r="U266" s="630"/>
      <c r="V266" s="631"/>
      <c r="W266" s="632"/>
      <c r="X266" s="632"/>
      <c r="Y266" s="643">
        <v>0</v>
      </c>
      <c r="Z266" s="616">
        <f t="shared" si="1"/>
        <v>0</v>
      </c>
      <c r="AA266" s="633"/>
      <c r="AB266" s="648"/>
      <c r="AC266" s="648"/>
      <c r="AD266" s="7"/>
      <c r="AE266" s="24"/>
      <c r="AF266" s="7"/>
      <c r="AG266" s="618">
        <f t="shared" si="8"/>
        <v>0</v>
      </c>
    </row>
    <row r="267" spans="1:33" ht="20.25" customHeight="1">
      <c r="A267" s="503" t="s">
        <v>605</v>
      </c>
      <c r="B267" s="483" t="s">
        <v>606</v>
      </c>
      <c r="C267" s="629" t="s">
        <v>593</v>
      </c>
      <c r="D267" s="485" t="s">
        <v>1695</v>
      </c>
      <c r="E267" s="485"/>
      <c r="F267" s="485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21"/>
      <c r="R267" s="213"/>
      <c r="S267" s="215"/>
      <c r="T267" s="214"/>
      <c r="U267" s="630"/>
      <c r="V267" s="631"/>
      <c r="W267" s="632"/>
      <c r="X267" s="632"/>
      <c r="Y267" s="643">
        <v>0</v>
      </c>
      <c r="Z267" s="616">
        <f t="shared" si="1"/>
        <v>0</v>
      </c>
      <c r="AA267" s="633"/>
      <c r="AB267" s="648"/>
      <c r="AC267" s="648"/>
      <c r="AD267" s="7"/>
      <c r="AE267" s="24"/>
      <c r="AF267" s="7"/>
      <c r="AG267" s="618">
        <f t="shared" si="8"/>
        <v>0</v>
      </c>
    </row>
    <row r="268" spans="1:33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504"/>
      <c r="F268" s="504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21"/>
      <c r="R268" s="213"/>
      <c r="S268" s="215"/>
      <c r="T268" s="214"/>
      <c r="U268" s="630"/>
      <c r="V268" s="631"/>
      <c r="W268" s="632"/>
      <c r="X268" s="632"/>
      <c r="Y268" s="643">
        <v>0</v>
      </c>
      <c r="Z268" s="616">
        <f t="shared" si="1"/>
        <v>0</v>
      </c>
      <c r="AA268" s="633"/>
      <c r="AB268" s="648"/>
      <c r="AC268" s="648"/>
      <c r="AD268" s="7"/>
      <c r="AE268" s="24"/>
      <c r="AF268" s="7"/>
      <c r="AG268" s="618">
        <f t="shared" si="8"/>
        <v>0</v>
      </c>
    </row>
    <row r="269" spans="1:33" ht="20.25" customHeight="1">
      <c r="A269" s="486">
        <v>9.6</v>
      </c>
      <c r="B269" s="487" t="s">
        <v>610</v>
      </c>
      <c r="C269" s="635" t="s">
        <v>611</v>
      </c>
      <c r="D269" s="504"/>
      <c r="E269" s="504"/>
      <c r="F269" s="504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21"/>
      <c r="R269" s="213"/>
      <c r="S269" s="215"/>
      <c r="T269" s="214"/>
      <c r="U269" s="630"/>
      <c r="V269" s="631"/>
      <c r="W269" s="632"/>
      <c r="X269" s="632"/>
      <c r="Y269" s="643">
        <v>0</v>
      </c>
      <c r="Z269" s="616">
        <f t="shared" si="1"/>
        <v>0</v>
      </c>
      <c r="AA269" s="633"/>
      <c r="AB269" s="636"/>
      <c r="AC269" s="636"/>
      <c r="AD269" s="7"/>
      <c r="AE269" s="24"/>
      <c r="AF269" s="7"/>
      <c r="AG269" s="618">
        <f t="shared" si="8"/>
        <v>0</v>
      </c>
    </row>
    <row r="270" spans="1:33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504"/>
      <c r="F270" s="504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21"/>
      <c r="R270" s="213"/>
      <c r="S270" s="215"/>
      <c r="T270" s="214"/>
      <c r="U270" s="630"/>
      <c r="V270" s="631"/>
      <c r="W270" s="632"/>
      <c r="X270" s="632"/>
      <c r="Y270" s="643">
        <v>0</v>
      </c>
      <c r="Z270" s="616">
        <f t="shared" si="1"/>
        <v>0</v>
      </c>
      <c r="AA270" s="633"/>
      <c r="AB270" s="648"/>
      <c r="AC270" s="648"/>
      <c r="AD270" s="7"/>
      <c r="AE270" s="24"/>
      <c r="AF270" s="7"/>
      <c r="AG270" s="618">
        <f t="shared" si="8"/>
        <v>0</v>
      </c>
    </row>
    <row r="271" spans="1:33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504"/>
      <c r="F271" s="504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21"/>
      <c r="R271" s="213"/>
      <c r="S271" s="215"/>
      <c r="T271" s="214"/>
      <c r="U271" s="630"/>
      <c r="V271" s="631"/>
      <c r="W271" s="632"/>
      <c r="X271" s="632"/>
      <c r="Y271" s="643">
        <v>0</v>
      </c>
      <c r="Z271" s="616">
        <f t="shared" si="1"/>
        <v>0</v>
      </c>
      <c r="AA271" s="633"/>
      <c r="AB271" s="648"/>
      <c r="AC271" s="648"/>
      <c r="AD271" s="7"/>
      <c r="AE271" s="24"/>
      <c r="AF271" s="7"/>
      <c r="AG271" s="618">
        <f t="shared" si="8"/>
        <v>0</v>
      </c>
    </row>
    <row r="272" spans="1:33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515"/>
      <c r="F272" s="515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21"/>
      <c r="R272" s="213"/>
      <c r="S272" s="215"/>
      <c r="T272" s="214"/>
      <c r="U272" s="630"/>
      <c r="V272" s="631"/>
      <c r="W272" s="632"/>
      <c r="X272" s="632"/>
      <c r="Y272" s="643">
        <v>0</v>
      </c>
      <c r="Z272" s="616">
        <f t="shared" si="1"/>
        <v>0</v>
      </c>
      <c r="AA272" s="633"/>
      <c r="AB272" s="648"/>
      <c r="AC272" s="648"/>
      <c r="AD272" s="7"/>
      <c r="AE272" s="24"/>
      <c r="AF272" s="7"/>
      <c r="AG272" s="618">
        <f t="shared" si="8"/>
        <v>0</v>
      </c>
    </row>
    <row r="273" spans="1:33" ht="20.25" customHeight="1">
      <c r="A273" s="503" t="s">
        <v>620</v>
      </c>
      <c r="B273" s="483" t="s">
        <v>621</v>
      </c>
      <c r="C273" s="629" t="s">
        <v>622</v>
      </c>
      <c r="D273" s="485" t="s">
        <v>1696</v>
      </c>
      <c r="E273" s="485"/>
      <c r="F273" s="485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21"/>
      <c r="R273" s="213"/>
      <c r="S273" s="215"/>
      <c r="T273" s="214"/>
      <c r="U273" s="630"/>
      <c r="V273" s="631"/>
      <c r="W273" s="632"/>
      <c r="X273" s="632"/>
      <c r="Y273" s="643">
        <v>0</v>
      </c>
      <c r="Z273" s="616">
        <f t="shared" si="1"/>
        <v>0</v>
      </c>
      <c r="AA273" s="633"/>
      <c r="AB273" s="648"/>
      <c r="AC273" s="648"/>
      <c r="AD273" s="7"/>
      <c r="AE273" s="24"/>
      <c r="AF273" s="7"/>
      <c r="AG273" s="618">
        <f t="shared" si="8"/>
        <v>0</v>
      </c>
    </row>
    <row r="274" spans="1:33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504"/>
      <c r="F274" s="504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21"/>
      <c r="R274" s="213"/>
      <c r="S274" s="215"/>
      <c r="T274" s="214"/>
      <c r="U274" s="630"/>
      <c r="V274" s="631"/>
      <c r="W274" s="632"/>
      <c r="X274" s="632"/>
      <c r="Y274" s="643">
        <v>0</v>
      </c>
      <c r="Z274" s="616">
        <f t="shared" si="1"/>
        <v>0</v>
      </c>
      <c r="AA274" s="633"/>
      <c r="AB274" s="648"/>
      <c r="AC274" s="648"/>
      <c r="AD274" s="7"/>
      <c r="AE274" s="24"/>
      <c r="AF274" s="7"/>
      <c r="AG274" s="618">
        <f t="shared" si="8"/>
        <v>0</v>
      </c>
    </row>
    <row r="275" spans="1:33" ht="18" customHeight="1">
      <c r="A275" s="486">
        <v>9.6999999999999993</v>
      </c>
      <c r="B275" s="487" t="s">
        <v>626</v>
      </c>
      <c r="C275" s="635" t="s">
        <v>627</v>
      </c>
      <c r="D275" s="412"/>
      <c r="E275" s="412"/>
      <c r="F275" s="412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21"/>
      <c r="R275" s="213"/>
      <c r="S275" s="215"/>
      <c r="T275" s="214"/>
      <c r="U275" s="630"/>
      <c r="V275" s="631"/>
      <c r="W275" s="632"/>
      <c r="X275" s="632"/>
      <c r="Y275" s="643">
        <v>0</v>
      </c>
      <c r="Z275" s="616">
        <f t="shared" ref="Z275:Z447" si="9">+SUM(E275:Y275)</f>
        <v>0</v>
      </c>
      <c r="AA275" s="633"/>
      <c r="AB275" s="636"/>
      <c r="AC275" s="636"/>
      <c r="AD275" s="7"/>
      <c r="AE275" s="24"/>
      <c r="AF275" s="7"/>
      <c r="AG275" s="618">
        <f t="shared" si="8"/>
        <v>0</v>
      </c>
    </row>
    <row r="276" spans="1:33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504"/>
      <c r="F276" s="504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21"/>
      <c r="R276" s="213"/>
      <c r="S276" s="215"/>
      <c r="T276" s="214"/>
      <c r="U276" s="630"/>
      <c r="V276" s="631"/>
      <c r="W276" s="632"/>
      <c r="X276" s="632"/>
      <c r="Y276" s="643">
        <v>0</v>
      </c>
      <c r="Z276" s="616">
        <f t="shared" si="9"/>
        <v>0</v>
      </c>
      <c r="AA276" s="633"/>
      <c r="AB276" s="648"/>
      <c r="AC276" s="648"/>
      <c r="AD276" s="7"/>
      <c r="AE276" s="24"/>
      <c r="AF276" s="7"/>
      <c r="AG276" s="618">
        <f t="shared" si="8"/>
        <v>0</v>
      </c>
    </row>
    <row r="277" spans="1:33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515"/>
      <c r="F277" s="515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21"/>
      <c r="R277" s="213"/>
      <c r="S277" s="215"/>
      <c r="T277" s="214"/>
      <c r="U277" s="630"/>
      <c r="V277" s="631"/>
      <c r="W277" s="632"/>
      <c r="X277" s="632"/>
      <c r="Y277" s="643">
        <v>0</v>
      </c>
      <c r="Z277" s="616">
        <f t="shared" si="9"/>
        <v>0</v>
      </c>
      <c r="AA277" s="633"/>
      <c r="AB277" s="648"/>
      <c r="AC277" s="648"/>
      <c r="AD277" s="7"/>
      <c r="AE277" s="24"/>
      <c r="AF277" s="7"/>
      <c r="AG277" s="618">
        <f t="shared" si="8"/>
        <v>0</v>
      </c>
    </row>
    <row r="278" spans="1:33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504"/>
      <c r="F278" s="504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21"/>
      <c r="R278" s="213"/>
      <c r="S278" s="215"/>
      <c r="T278" s="214"/>
      <c r="U278" s="630"/>
      <c r="V278" s="631"/>
      <c r="W278" s="632"/>
      <c r="X278" s="632"/>
      <c r="Y278" s="643">
        <v>0</v>
      </c>
      <c r="Z278" s="616">
        <f t="shared" si="9"/>
        <v>0</v>
      </c>
      <c r="AA278" s="633"/>
      <c r="AB278" s="648"/>
      <c r="AC278" s="648"/>
      <c r="AD278" s="7"/>
      <c r="AE278" s="24"/>
      <c r="AF278" s="7"/>
      <c r="AG278" s="618">
        <f t="shared" si="8"/>
        <v>0</v>
      </c>
    </row>
    <row r="279" spans="1:33" ht="20.25" customHeight="1">
      <c r="A279" s="503" t="s">
        <v>636</v>
      </c>
      <c r="B279" s="483" t="s">
        <v>637</v>
      </c>
      <c r="C279" s="629" t="s">
        <v>638</v>
      </c>
      <c r="D279" s="485" t="s">
        <v>1697</v>
      </c>
      <c r="E279" s="485"/>
      <c r="F279" s="485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21"/>
      <c r="R279" s="213"/>
      <c r="S279" s="215"/>
      <c r="T279" s="214"/>
      <c r="U279" s="630"/>
      <c r="V279" s="631"/>
      <c r="W279" s="632"/>
      <c r="X279" s="632"/>
      <c r="Y279" s="643">
        <v>0</v>
      </c>
      <c r="Z279" s="616">
        <f t="shared" si="9"/>
        <v>0</v>
      </c>
      <c r="AA279" s="633"/>
      <c r="AB279" s="648"/>
      <c r="AC279" s="648"/>
      <c r="AD279" s="7"/>
      <c r="AE279" s="24"/>
      <c r="AF279" s="7"/>
      <c r="AG279" s="618">
        <f t="shared" si="8"/>
        <v>0</v>
      </c>
    </row>
    <row r="280" spans="1:33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504"/>
      <c r="F280" s="504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21"/>
      <c r="R280" s="213"/>
      <c r="S280" s="215"/>
      <c r="T280" s="214"/>
      <c r="U280" s="630"/>
      <c r="V280" s="631"/>
      <c r="W280" s="632"/>
      <c r="X280" s="632"/>
      <c r="Y280" s="643">
        <v>0</v>
      </c>
      <c r="Z280" s="616">
        <f t="shared" si="9"/>
        <v>0</v>
      </c>
      <c r="AA280" s="633"/>
      <c r="AB280" s="648"/>
      <c r="AC280" s="648"/>
      <c r="AD280" s="7"/>
      <c r="AE280" s="24"/>
      <c r="AF280" s="7"/>
      <c r="AG280" s="618">
        <f t="shared" si="8"/>
        <v>0</v>
      </c>
    </row>
    <row r="281" spans="1:33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515"/>
      <c r="F281" s="515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21"/>
      <c r="R281" s="213"/>
      <c r="S281" s="215"/>
      <c r="T281" s="214"/>
      <c r="U281" s="630"/>
      <c r="V281" s="631"/>
      <c r="W281" s="632"/>
      <c r="X281" s="632"/>
      <c r="Y281" s="643">
        <v>0</v>
      </c>
      <c r="Z281" s="616">
        <f t="shared" si="9"/>
        <v>0</v>
      </c>
      <c r="AA281" s="633"/>
      <c r="AB281" s="648"/>
      <c r="AC281" s="648"/>
      <c r="AD281" s="7"/>
      <c r="AE281" s="24"/>
      <c r="AF281" s="7"/>
      <c r="AG281" s="618">
        <f t="shared" si="8"/>
        <v>0</v>
      </c>
    </row>
    <row r="282" spans="1:33" ht="21" customHeight="1">
      <c r="A282" s="489">
        <v>7</v>
      </c>
      <c r="B282" s="490" t="s">
        <v>643</v>
      </c>
      <c r="C282" s="637" t="s">
        <v>644</v>
      </c>
      <c r="D282" s="516"/>
      <c r="E282" s="516"/>
      <c r="F282" s="516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21"/>
      <c r="R282" s="213"/>
      <c r="S282" s="215"/>
      <c r="T282" s="214"/>
      <c r="U282" s="630"/>
      <c r="V282" s="631"/>
      <c r="W282" s="632"/>
      <c r="X282" s="632"/>
      <c r="Y282" s="643">
        <v>0</v>
      </c>
      <c r="Z282" s="616">
        <f t="shared" si="9"/>
        <v>0</v>
      </c>
      <c r="AA282" s="633"/>
      <c r="AB282" s="640"/>
      <c r="AC282" s="640"/>
      <c r="AD282" s="7"/>
      <c r="AE282" s="24"/>
      <c r="AF282" s="7"/>
      <c r="AG282" s="618">
        <f t="shared" si="8"/>
        <v>0</v>
      </c>
    </row>
    <row r="283" spans="1:33" ht="21" customHeight="1">
      <c r="A283" s="486"/>
      <c r="B283" s="487" t="s">
        <v>646</v>
      </c>
      <c r="C283" s="635" t="s">
        <v>647</v>
      </c>
      <c r="D283" s="412" t="s">
        <v>271</v>
      </c>
      <c r="E283" s="412"/>
      <c r="F283" s="412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21"/>
      <c r="R283" s="213"/>
      <c r="S283" s="215"/>
      <c r="T283" s="214"/>
      <c r="U283" s="630"/>
      <c r="V283" s="631"/>
      <c r="W283" s="632"/>
      <c r="X283" s="632"/>
      <c r="Y283" s="643">
        <v>0</v>
      </c>
      <c r="Z283" s="616">
        <f t="shared" si="9"/>
        <v>0</v>
      </c>
      <c r="AA283" s="633"/>
      <c r="AB283" s="636"/>
      <c r="AC283" s="636"/>
      <c r="AD283" s="7"/>
      <c r="AE283" s="24"/>
      <c r="AF283" s="7"/>
      <c r="AG283" s="618">
        <f t="shared" si="8"/>
        <v>0</v>
      </c>
    </row>
    <row r="284" spans="1:33" ht="21" customHeight="1">
      <c r="A284" s="510"/>
      <c r="B284" s="505" t="s">
        <v>649</v>
      </c>
      <c r="C284" s="655" t="s">
        <v>650</v>
      </c>
      <c r="D284" s="512" t="s">
        <v>271</v>
      </c>
      <c r="E284" s="512"/>
      <c r="F284" s="512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21"/>
      <c r="R284" s="213"/>
      <c r="S284" s="215"/>
      <c r="T284" s="214"/>
      <c r="U284" s="630"/>
      <c r="V284" s="631"/>
      <c r="W284" s="632"/>
      <c r="X284" s="632"/>
      <c r="Y284" s="643">
        <v>0</v>
      </c>
      <c r="Z284" s="616">
        <f t="shared" si="9"/>
        <v>0</v>
      </c>
      <c r="AA284" s="633"/>
      <c r="AB284" s="654"/>
      <c r="AC284" s="654"/>
      <c r="AD284" s="7"/>
      <c r="AE284" s="24"/>
      <c r="AF284" s="7"/>
      <c r="AG284" s="618">
        <f t="shared" si="8"/>
        <v>0</v>
      </c>
    </row>
    <row r="285" spans="1:33" ht="21" customHeight="1">
      <c r="A285" s="503"/>
      <c r="B285" s="483" t="s">
        <v>651</v>
      </c>
      <c r="C285" s="629" t="s">
        <v>131</v>
      </c>
      <c r="D285" s="504" t="s">
        <v>271</v>
      </c>
      <c r="E285" s="504"/>
      <c r="F285" s="504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21"/>
      <c r="R285" s="213"/>
      <c r="S285" s="215"/>
      <c r="T285" s="214"/>
      <c r="U285" s="630"/>
      <c r="V285" s="631"/>
      <c r="W285" s="632"/>
      <c r="X285" s="632"/>
      <c r="Y285" s="643">
        <v>0</v>
      </c>
      <c r="Z285" s="616">
        <f t="shared" si="9"/>
        <v>0</v>
      </c>
      <c r="AA285" s="633"/>
      <c r="AB285" s="654"/>
      <c r="AC285" s="654"/>
      <c r="AD285" s="7"/>
      <c r="AE285" s="24"/>
      <c r="AF285" s="7"/>
      <c r="AG285" s="618">
        <f t="shared" si="8"/>
        <v>0</v>
      </c>
    </row>
    <row r="286" spans="1:33" ht="21" customHeight="1">
      <c r="A286" s="503"/>
      <c r="B286" s="483" t="s">
        <v>652</v>
      </c>
      <c r="C286" s="629" t="s">
        <v>200</v>
      </c>
      <c r="D286" s="504" t="s">
        <v>271</v>
      </c>
      <c r="E286" s="504"/>
      <c r="F286" s="504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21"/>
      <c r="R286" s="213"/>
      <c r="S286" s="215"/>
      <c r="T286" s="214"/>
      <c r="U286" s="630"/>
      <c r="V286" s="631"/>
      <c r="W286" s="632"/>
      <c r="X286" s="632"/>
      <c r="Y286" s="643">
        <v>0</v>
      </c>
      <c r="Z286" s="616">
        <f t="shared" si="9"/>
        <v>0</v>
      </c>
      <c r="AA286" s="633"/>
      <c r="AB286" s="654"/>
      <c r="AC286" s="654"/>
      <c r="AD286" s="7"/>
      <c r="AE286" s="24"/>
      <c r="AF286" s="7"/>
      <c r="AG286" s="618">
        <f t="shared" si="8"/>
        <v>0</v>
      </c>
    </row>
    <row r="287" spans="1:33" ht="21" customHeight="1">
      <c r="A287" s="503"/>
      <c r="B287" s="483" t="s">
        <v>653</v>
      </c>
      <c r="C287" s="629" t="s">
        <v>203</v>
      </c>
      <c r="D287" s="504" t="s">
        <v>271</v>
      </c>
      <c r="E287" s="504"/>
      <c r="F287" s="504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21"/>
      <c r="R287" s="213"/>
      <c r="S287" s="215"/>
      <c r="T287" s="214"/>
      <c r="U287" s="630"/>
      <c r="V287" s="631"/>
      <c r="W287" s="632"/>
      <c r="X287" s="632"/>
      <c r="Y287" s="643">
        <v>0</v>
      </c>
      <c r="Z287" s="616">
        <f t="shared" si="9"/>
        <v>0</v>
      </c>
      <c r="AA287" s="633"/>
      <c r="AB287" s="654"/>
      <c r="AC287" s="654"/>
      <c r="AD287" s="7"/>
      <c r="AE287" s="24"/>
      <c r="AF287" s="7"/>
      <c r="AG287" s="618">
        <f t="shared" si="8"/>
        <v>0</v>
      </c>
    </row>
    <row r="288" spans="1:33" ht="21" customHeight="1">
      <c r="A288" s="503"/>
      <c r="B288" s="483" t="s">
        <v>654</v>
      </c>
      <c r="C288" s="629" t="s">
        <v>159</v>
      </c>
      <c r="D288" s="504" t="s">
        <v>271</v>
      </c>
      <c r="E288" s="504"/>
      <c r="F288" s="504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21"/>
      <c r="R288" s="213"/>
      <c r="S288" s="215"/>
      <c r="T288" s="214"/>
      <c r="U288" s="630"/>
      <c r="V288" s="631"/>
      <c r="W288" s="632"/>
      <c r="X288" s="632"/>
      <c r="Y288" s="643">
        <v>0</v>
      </c>
      <c r="Z288" s="616">
        <f t="shared" si="9"/>
        <v>0</v>
      </c>
      <c r="AA288" s="633"/>
      <c r="AB288" s="654"/>
      <c r="AC288" s="654"/>
      <c r="AD288" s="7"/>
      <c r="AE288" s="24"/>
      <c r="AF288" s="7"/>
      <c r="AG288" s="618">
        <f t="shared" si="8"/>
        <v>0</v>
      </c>
    </row>
    <row r="289" spans="1:33" ht="15.75" customHeight="1">
      <c r="A289" s="510"/>
      <c r="B289" s="505" t="s">
        <v>655</v>
      </c>
      <c r="C289" s="655" t="s">
        <v>656</v>
      </c>
      <c r="D289" s="512" t="s">
        <v>271</v>
      </c>
      <c r="E289" s="512"/>
      <c r="F289" s="512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21"/>
      <c r="R289" s="213"/>
      <c r="S289" s="215"/>
      <c r="T289" s="214"/>
      <c r="U289" s="630"/>
      <c r="V289" s="631"/>
      <c r="W289" s="632"/>
      <c r="X289" s="632"/>
      <c r="Y289" s="643">
        <v>0</v>
      </c>
      <c r="Z289" s="616">
        <f t="shared" si="9"/>
        <v>0</v>
      </c>
      <c r="AA289" s="633"/>
      <c r="AB289" s="654"/>
      <c r="AC289" s="654"/>
      <c r="AD289" s="7"/>
      <c r="AE289" s="24"/>
      <c r="AF289" s="7"/>
      <c r="AG289" s="618">
        <f t="shared" si="8"/>
        <v>0</v>
      </c>
    </row>
    <row r="290" spans="1:33" ht="21" customHeight="1">
      <c r="A290" s="503"/>
      <c r="B290" s="483" t="s">
        <v>657</v>
      </c>
      <c r="C290" s="629" t="s">
        <v>131</v>
      </c>
      <c r="D290" s="504" t="s">
        <v>271</v>
      </c>
      <c r="E290" s="504"/>
      <c r="F290" s="504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21"/>
      <c r="R290" s="213"/>
      <c r="S290" s="215"/>
      <c r="T290" s="214"/>
      <c r="U290" s="630"/>
      <c r="V290" s="631"/>
      <c r="W290" s="632"/>
      <c r="X290" s="632"/>
      <c r="Y290" s="643">
        <v>0</v>
      </c>
      <c r="Z290" s="616">
        <f t="shared" si="9"/>
        <v>0</v>
      </c>
      <c r="AA290" s="633"/>
      <c r="AB290" s="648"/>
      <c r="AC290" s="648"/>
      <c r="AD290" s="7"/>
      <c r="AE290" s="24"/>
      <c r="AF290" s="7"/>
      <c r="AG290" s="618">
        <f t="shared" si="8"/>
        <v>0</v>
      </c>
    </row>
    <row r="291" spans="1:33" ht="21" customHeight="1">
      <c r="A291" s="503"/>
      <c r="B291" s="483" t="s">
        <v>658</v>
      </c>
      <c r="C291" s="629" t="s">
        <v>200</v>
      </c>
      <c r="D291" s="504" t="s">
        <v>271</v>
      </c>
      <c r="E291" s="504"/>
      <c r="F291" s="504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21"/>
      <c r="R291" s="213"/>
      <c r="S291" s="215"/>
      <c r="T291" s="214"/>
      <c r="U291" s="630"/>
      <c r="V291" s="631"/>
      <c r="W291" s="632"/>
      <c r="X291" s="632"/>
      <c r="Y291" s="643">
        <v>0</v>
      </c>
      <c r="Z291" s="616">
        <f t="shared" si="9"/>
        <v>0</v>
      </c>
      <c r="AA291" s="633"/>
      <c r="AB291" s="648"/>
      <c r="AC291" s="648"/>
      <c r="AD291" s="7"/>
      <c r="AE291" s="24"/>
      <c r="AF291" s="7"/>
      <c r="AG291" s="618">
        <f t="shared" si="8"/>
        <v>0</v>
      </c>
    </row>
    <row r="292" spans="1:33" ht="21" customHeight="1">
      <c r="A292" s="503"/>
      <c r="B292" s="483" t="s">
        <v>659</v>
      </c>
      <c r="C292" s="629" t="s">
        <v>203</v>
      </c>
      <c r="D292" s="504" t="s">
        <v>271</v>
      </c>
      <c r="E292" s="504"/>
      <c r="F292" s="504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21"/>
      <c r="R292" s="213"/>
      <c r="S292" s="215"/>
      <c r="T292" s="214"/>
      <c r="U292" s="630"/>
      <c r="V292" s="631"/>
      <c r="W292" s="632"/>
      <c r="X292" s="632"/>
      <c r="Y292" s="643">
        <v>0</v>
      </c>
      <c r="Z292" s="616">
        <f t="shared" si="9"/>
        <v>0</v>
      </c>
      <c r="AA292" s="633"/>
      <c r="AB292" s="648"/>
      <c r="AC292" s="648"/>
      <c r="AD292" s="7"/>
      <c r="AE292" s="24"/>
      <c r="AF292" s="7"/>
      <c r="AG292" s="618">
        <f t="shared" si="8"/>
        <v>0</v>
      </c>
    </row>
    <row r="293" spans="1:33" ht="21" customHeight="1">
      <c r="A293" s="503"/>
      <c r="B293" s="483" t="s">
        <v>660</v>
      </c>
      <c r="C293" s="629" t="s">
        <v>159</v>
      </c>
      <c r="D293" s="504" t="s">
        <v>271</v>
      </c>
      <c r="E293" s="504"/>
      <c r="F293" s="504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21"/>
      <c r="R293" s="213"/>
      <c r="S293" s="215"/>
      <c r="T293" s="214"/>
      <c r="U293" s="630"/>
      <c r="V293" s="631"/>
      <c r="W293" s="632"/>
      <c r="X293" s="632"/>
      <c r="Y293" s="643">
        <v>0</v>
      </c>
      <c r="Z293" s="616">
        <f t="shared" si="9"/>
        <v>0</v>
      </c>
      <c r="AA293" s="633"/>
      <c r="AB293" s="648"/>
      <c r="AC293" s="648"/>
      <c r="AD293" s="7"/>
      <c r="AE293" s="24"/>
      <c r="AF293" s="7"/>
      <c r="AG293" s="618">
        <f t="shared" si="8"/>
        <v>0</v>
      </c>
    </row>
    <row r="294" spans="1:33" ht="21" customHeight="1">
      <c r="A294" s="510"/>
      <c r="B294" s="487" t="s">
        <v>661</v>
      </c>
      <c r="C294" s="635" t="s">
        <v>662</v>
      </c>
      <c r="D294" s="412" t="s">
        <v>271</v>
      </c>
      <c r="E294" s="412"/>
      <c r="F294" s="412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21"/>
      <c r="R294" s="213"/>
      <c r="S294" s="215"/>
      <c r="T294" s="214"/>
      <c r="U294" s="630"/>
      <c r="V294" s="631"/>
      <c r="W294" s="632"/>
      <c r="X294" s="632"/>
      <c r="Y294" s="643">
        <v>0</v>
      </c>
      <c r="Z294" s="616">
        <f t="shared" si="9"/>
        <v>0</v>
      </c>
      <c r="AA294" s="633"/>
      <c r="AB294" s="654"/>
      <c r="AC294" s="654"/>
      <c r="AD294" s="7"/>
      <c r="AE294" s="24"/>
      <c r="AF294" s="7"/>
      <c r="AG294" s="618">
        <f t="shared" si="8"/>
        <v>0</v>
      </c>
    </row>
    <row r="295" spans="1:33" ht="21" customHeight="1">
      <c r="A295" s="503"/>
      <c r="B295" s="483" t="s">
        <v>664</v>
      </c>
      <c r="C295" s="629" t="s">
        <v>131</v>
      </c>
      <c r="D295" s="504" t="s">
        <v>271</v>
      </c>
      <c r="E295" s="504"/>
      <c r="F295" s="504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21"/>
      <c r="R295" s="213"/>
      <c r="S295" s="215"/>
      <c r="T295" s="214"/>
      <c r="U295" s="630"/>
      <c r="V295" s="631"/>
      <c r="W295" s="632"/>
      <c r="X295" s="632"/>
      <c r="Y295" s="643">
        <v>0</v>
      </c>
      <c r="Z295" s="616">
        <f t="shared" si="9"/>
        <v>0</v>
      </c>
      <c r="AA295" s="633"/>
      <c r="AB295" s="648"/>
      <c r="AC295" s="648"/>
      <c r="AD295" s="7"/>
      <c r="AE295" s="24"/>
      <c r="AF295" s="7"/>
      <c r="AG295" s="618">
        <f t="shared" si="8"/>
        <v>0</v>
      </c>
    </row>
    <row r="296" spans="1:33" ht="21" customHeight="1">
      <c r="A296" s="503"/>
      <c r="B296" s="483" t="s">
        <v>665</v>
      </c>
      <c r="C296" s="629" t="s">
        <v>200</v>
      </c>
      <c r="D296" s="504" t="s">
        <v>271</v>
      </c>
      <c r="E296" s="504"/>
      <c r="F296" s="504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21"/>
      <c r="R296" s="213"/>
      <c r="S296" s="215"/>
      <c r="T296" s="214"/>
      <c r="U296" s="630"/>
      <c r="V296" s="631"/>
      <c r="W296" s="632"/>
      <c r="X296" s="632"/>
      <c r="Y296" s="643">
        <v>0</v>
      </c>
      <c r="Z296" s="616">
        <f t="shared" si="9"/>
        <v>0</v>
      </c>
      <c r="AA296" s="633"/>
      <c r="AB296" s="648"/>
      <c r="AC296" s="648"/>
      <c r="AD296" s="7"/>
      <c r="AE296" s="24"/>
      <c r="AF296" s="7"/>
      <c r="AG296" s="618">
        <f t="shared" si="8"/>
        <v>0</v>
      </c>
    </row>
    <row r="297" spans="1:33" ht="21" customHeight="1">
      <c r="A297" s="503"/>
      <c r="B297" s="483" t="s">
        <v>666</v>
      </c>
      <c r="C297" s="629" t="s">
        <v>203</v>
      </c>
      <c r="D297" s="504" t="s">
        <v>271</v>
      </c>
      <c r="E297" s="504"/>
      <c r="F297" s="504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21"/>
      <c r="R297" s="213"/>
      <c r="S297" s="215"/>
      <c r="T297" s="214"/>
      <c r="U297" s="630"/>
      <c r="V297" s="631"/>
      <c r="W297" s="632"/>
      <c r="X297" s="632"/>
      <c r="Y297" s="643">
        <v>0</v>
      </c>
      <c r="Z297" s="616">
        <f t="shared" si="9"/>
        <v>0</v>
      </c>
      <c r="AA297" s="633"/>
      <c r="AB297" s="648"/>
      <c r="AC297" s="648"/>
      <c r="AD297" s="7"/>
      <c r="AE297" s="24"/>
      <c r="AF297" s="7"/>
      <c r="AG297" s="618">
        <f t="shared" si="8"/>
        <v>0</v>
      </c>
    </row>
    <row r="298" spans="1:33" ht="21" customHeight="1">
      <c r="A298" s="503"/>
      <c r="B298" s="483" t="s">
        <v>667</v>
      </c>
      <c r="C298" s="629" t="s">
        <v>159</v>
      </c>
      <c r="D298" s="504" t="s">
        <v>271</v>
      </c>
      <c r="E298" s="504"/>
      <c r="F298" s="504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21"/>
      <c r="R298" s="213"/>
      <c r="S298" s="215"/>
      <c r="T298" s="214"/>
      <c r="U298" s="630"/>
      <c r="V298" s="631"/>
      <c r="W298" s="632"/>
      <c r="X298" s="632"/>
      <c r="Y298" s="643">
        <v>0</v>
      </c>
      <c r="Z298" s="616">
        <f t="shared" si="9"/>
        <v>0</v>
      </c>
      <c r="AA298" s="633"/>
      <c r="AB298" s="648"/>
      <c r="AC298" s="648"/>
      <c r="AD298" s="7"/>
      <c r="AE298" s="24"/>
      <c r="AF298" s="7"/>
      <c r="AG298" s="618">
        <f t="shared" si="8"/>
        <v>0</v>
      </c>
    </row>
    <row r="299" spans="1:33" ht="21" customHeight="1">
      <c r="A299" s="486"/>
      <c r="B299" s="487" t="s">
        <v>668</v>
      </c>
      <c r="C299" s="635" t="s">
        <v>669</v>
      </c>
      <c r="D299" s="412" t="s">
        <v>271</v>
      </c>
      <c r="E299" s="412"/>
      <c r="F299" s="412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21"/>
      <c r="R299" s="213"/>
      <c r="S299" s="215"/>
      <c r="T299" s="214"/>
      <c r="U299" s="630"/>
      <c r="V299" s="631"/>
      <c r="W299" s="632"/>
      <c r="X299" s="632"/>
      <c r="Y299" s="643">
        <v>0</v>
      </c>
      <c r="Z299" s="616">
        <f t="shared" si="9"/>
        <v>0</v>
      </c>
      <c r="AA299" s="633"/>
      <c r="AB299" s="636"/>
      <c r="AC299" s="636"/>
      <c r="AD299" s="7"/>
      <c r="AE299" s="24"/>
      <c r="AF299" s="7"/>
      <c r="AG299" s="618">
        <f t="shared" si="8"/>
        <v>0</v>
      </c>
    </row>
    <row r="300" spans="1:33" ht="18" customHeight="1">
      <c r="A300" s="486"/>
      <c r="B300" s="487" t="s">
        <v>671</v>
      </c>
      <c r="C300" s="655" t="s">
        <v>672</v>
      </c>
      <c r="D300" s="485" t="s">
        <v>271</v>
      </c>
      <c r="E300" s="485"/>
      <c r="F300" s="485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21"/>
      <c r="R300" s="213"/>
      <c r="S300" s="215"/>
      <c r="T300" s="214"/>
      <c r="U300" s="630"/>
      <c r="V300" s="631"/>
      <c r="W300" s="632"/>
      <c r="X300" s="632"/>
      <c r="Y300" s="643">
        <v>0</v>
      </c>
      <c r="Z300" s="616">
        <f t="shared" si="9"/>
        <v>0</v>
      </c>
      <c r="AA300" s="633"/>
      <c r="AB300" s="636"/>
      <c r="AC300" s="636"/>
      <c r="AD300" s="7"/>
      <c r="AE300" s="24"/>
      <c r="AF300" s="7"/>
      <c r="AG300" s="618">
        <f t="shared" si="8"/>
        <v>0</v>
      </c>
    </row>
    <row r="301" spans="1:33" ht="26.25" customHeight="1">
      <c r="A301" s="503"/>
      <c r="B301" s="483" t="s">
        <v>673</v>
      </c>
      <c r="C301" s="629" t="s">
        <v>131</v>
      </c>
      <c r="D301" s="504" t="s">
        <v>271</v>
      </c>
      <c r="E301" s="504"/>
      <c r="F301" s="504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21"/>
      <c r="R301" s="213"/>
      <c r="S301" s="215"/>
      <c r="T301" s="214"/>
      <c r="U301" s="630"/>
      <c r="V301" s="631"/>
      <c r="W301" s="632"/>
      <c r="X301" s="632"/>
      <c r="Y301" s="643">
        <v>0</v>
      </c>
      <c r="Z301" s="616">
        <f t="shared" si="9"/>
        <v>0</v>
      </c>
      <c r="AA301" s="633"/>
      <c r="AB301" s="648"/>
      <c r="AC301" s="648"/>
      <c r="AD301" s="7"/>
      <c r="AE301" s="24"/>
      <c r="AF301" s="7"/>
      <c r="AG301" s="618">
        <f t="shared" si="8"/>
        <v>0</v>
      </c>
    </row>
    <row r="302" spans="1:33" ht="21" customHeight="1">
      <c r="A302" s="503"/>
      <c r="B302" s="483" t="s">
        <v>674</v>
      </c>
      <c r="C302" s="629" t="s">
        <v>200</v>
      </c>
      <c r="D302" s="504" t="s">
        <v>271</v>
      </c>
      <c r="E302" s="504"/>
      <c r="F302" s="504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21"/>
      <c r="R302" s="213"/>
      <c r="S302" s="215"/>
      <c r="T302" s="214"/>
      <c r="U302" s="630"/>
      <c r="V302" s="631"/>
      <c r="W302" s="632"/>
      <c r="X302" s="632"/>
      <c r="Y302" s="643">
        <v>0</v>
      </c>
      <c r="Z302" s="616">
        <f t="shared" si="9"/>
        <v>0</v>
      </c>
      <c r="AA302" s="633"/>
      <c r="AB302" s="648"/>
      <c r="AC302" s="648"/>
      <c r="AD302" s="7"/>
      <c r="AE302" s="24"/>
      <c r="AF302" s="7"/>
      <c r="AG302" s="618">
        <f t="shared" si="8"/>
        <v>0</v>
      </c>
    </row>
    <row r="303" spans="1:33" ht="21" customHeight="1">
      <c r="A303" s="503"/>
      <c r="B303" s="483" t="s">
        <v>675</v>
      </c>
      <c r="C303" s="629" t="s">
        <v>203</v>
      </c>
      <c r="D303" s="504" t="s">
        <v>271</v>
      </c>
      <c r="E303" s="504"/>
      <c r="F303" s="504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21"/>
      <c r="R303" s="213"/>
      <c r="S303" s="215"/>
      <c r="T303" s="214"/>
      <c r="U303" s="630"/>
      <c r="V303" s="631"/>
      <c r="W303" s="632"/>
      <c r="X303" s="632"/>
      <c r="Y303" s="643">
        <v>0</v>
      </c>
      <c r="Z303" s="616">
        <f t="shared" si="9"/>
        <v>0</v>
      </c>
      <c r="AA303" s="633"/>
      <c r="AB303" s="648"/>
      <c r="AC303" s="648"/>
      <c r="AD303" s="7"/>
      <c r="AE303" s="24"/>
      <c r="AF303" s="7"/>
      <c r="AG303" s="618">
        <f t="shared" si="8"/>
        <v>0</v>
      </c>
    </row>
    <row r="304" spans="1:33" ht="21" customHeight="1">
      <c r="A304" s="503"/>
      <c r="B304" s="483" t="s">
        <v>676</v>
      </c>
      <c r="C304" s="629" t="s">
        <v>159</v>
      </c>
      <c r="D304" s="504" t="s">
        <v>271</v>
      </c>
      <c r="E304" s="504"/>
      <c r="F304" s="504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21"/>
      <c r="R304" s="213"/>
      <c r="S304" s="215"/>
      <c r="T304" s="214"/>
      <c r="U304" s="630"/>
      <c r="V304" s="631"/>
      <c r="W304" s="632"/>
      <c r="X304" s="632"/>
      <c r="Y304" s="643">
        <v>0</v>
      </c>
      <c r="Z304" s="616">
        <f t="shared" si="9"/>
        <v>0</v>
      </c>
      <c r="AA304" s="633"/>
      <c r="AB304" s="648"/>
      <c r="AC304" s="648"/>
      <c r="AD304" s="7"/>
      <c r="AE304" s="24"/>
      <c r="AF304" s="7"/>
      <c r="AG304" s="618">
        <f t="shared" si="8"/>
        <v>0</v>
      </c>
    </row>
    <row r="305" spans="1:33" ht="21" customHeight="1">
      <c r="A305" s="486"/>
      <c r="B305" s="487" t="s">
        <v>677</v>
      </c>
      <c r="C305" s="655" t="s">
        <v>678</v>
      </c>
      <c r="D305" s="485" t="s">
        <v>271</v>
      </c>
      <c r="E305" s="485"/>
      <c r="F305" s="485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21"/>
      <c r="R305" s="213"/>
      <c r="S305" s="215"/>
      <c r="T305" s="214"/>
      <c r="U305" s="630"/>
      <c r="V305" s="631"/>
      <c r="W305" s="632"/>
      <c r="X305" s="632"/>
      <c r="Y305" s="643">
        <v>0</v>
      </c>
      <c r="Z305" s="616">
        <f t="shared" si="9"/>
        <v>0</v>
      </c>
      <c r="AA305" s="633"/>
      <c r="AB305" s="636"/>
      <c r="AC305" s="636"/>
      <c r="AD305" s="7"/>
      <c r="AE305" s="24"/>
      <c r="AF305" s="7"/>
      <c r="AG305" s="618">
        <f t="shared" si="8"/>
        <v>0</v>
      </c>
    </row>
    <row r="306" spans="1:33" ht="21" customHeight="1">
      <c r="A306" s="503"/>
      <c r="B306" s="483" t="s">
        <v>679</v>
      </c>
      <c r="C306" s="629" t="s">
        <v>131</v>
      </c>
      <c r="D306" s="504" t="s">
        <v>271</v>
      </c>
      <c r="E306" s="504"/>
      <c r="F306" s="504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21"/>
      <c r="R306" s="213"/>
      <c r="S306" s="215"/>
      <c r="T306" s="214"/>
      <c r="U306" s="630"/>
      <c r="V306" s="631"/>
      <c r="W306" s="632"/>
      <c r="X306" s="632"/>
      <c r="Y306" s="643">
        <v>0</v>
      </c>
      <c r="Z306" s="616">
        <f t="shared" si="9"/>
        <v>0</v>
      </c>
      <c r="AA306" s="633"/>
      <c r="AB306" s="648"/>
      <c r="AC306" s="648"/>
      <c r="AD306" s="7"/>
      <c r="AE306" s="24"/>
      <c r="AF306" s="7"/>
      <c r="AG306" s="618">
        <f t="shared" si="8"/>
        <v>0</v>
      </c>
    </row>
    <row r="307" spans="1:33" ht="21" customHeight="1">
      <c r="A307" s="503"/>
      <c r="B307" s="483" t="s">
        <v>680</v>
      </c>
      <c r="C307" s="629" t="s">
        <v>200</v>
      </c>
      <c r="D307" s="504" t="s">
        <v>271</v>
      </c>
      <c r="E307" s="504"/>
      <c r="F307" s="504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21"/>
      <c r="R307" s="213"/>
      <c r="S307" s="215"/>
      <c r="T307" s="214"/>
      <c r="U307" s="630"/>
      <c r="V307" s="631"/>
      <c r="W307" s="632"/>
      <c r="X307" s="632"/>
      <c r="Y307" s="643">
        <v>0</v>
      </c>
      <c r="Z307" s="616">
        <f t="shared" si="9"/>
        <v>0</v>
      </c>
      <c r="AA307" s="633"/>
      <c r="AB307" s="648"/>
      <c r="AC307" s="648"/>
      <c r="AD307" s="7"/>
      <c r="AE307" s="24"/>
      <c r="AF307" s="7"/>
      <c r="AG307" s="618">
        <f t="shared" si="8"/>
        <v>0</v>
      </c>
    </row>
    <row r="308" spans="1:33" ht="21" customHeight="1">
      <c r="A308" s="503"/>
      <c r="B308" s="483" t="s">
        <v>681</v>
      </c>
      <c r="C308" s="629" t="s">
        <v>203</v>
      </c>
      <c r="D308" s="504" t="s">
        <v>271</v>
      </c>
      <c r="E308" s="504"/>
      <c r="F308" s="504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21"/>
      <c r="R308" s="213"/>
      <c r="S308" s="215"/>
      <c r="T308" s="214"/>
      <c r="U308" s="630"/>
      <c r="V308" s="631"/>
      <c r="W308" s="632"/>
      <c r="X308" s="632"/>
      <c r="Y308" s="643">
        <v>0</v>
      </c>
      <c r="Z308" s="616">
        <f t="shared" si="9"/>
        <v>0</v>
      </c>
      <c r="AA308" s="633"/>
      <c r="AB308" s="648"/>
      <c r="AC308" s="648"/>
      <c r="AD308" s="7"/>
      <c r="AE308" s="24"/>
      <c r="AF308" s="7"/>
      <c r="AG308" s="618">
        <f t="shared" si="8"/>
        <v>0</v>
      </c>
    </row>
    <row r="309" spans="1:33" ht="21" customHeight="1">
      <c r="A309" s="503"/>
      <c r="B309" s="483" t="s">
        <v>682</v>
      </c>
      <c r="C309" s="629" t="s">
        <v>159</v>
      </c>
      <c r="D309" s="504" t="s">
        <v>271</v>
      </c>
      <c r="E309" s="504"/>
      <c r="F309" s="504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21"/>
      <c r="R309" s="213"/>
      <c r="S309" s="215"/>
      <c r="T309" s="214"/>
      <c r="U309" s="630"/>
      <c r="V309" s="631"/>
      <c r="W309" s="632"/>
      <c r="X309" s="632"/>
      <c r="Y309" s="643">
        <v>0</v>
      </c>
      <c r="Z309" s="616">
        <f t="shared" si="9"/>
        <v>0</v>
      </c>
      <c r="AA309" s="633"/>
      <c r="AB309" s="648"/>
      <c r="AC309" s="648"/>
      <c r="AD309" s="7"/>
      <c r="AE309" s="24"/>
      <c r="AF309" s="7"/>
      <c r="AG309" s="618">
        <f t="shared" si="8"/>
        <v>0</v>
      </c>
    </row>
    <row r="310" spans="1:33" ht="21" customHeight="1">
      <c r="A310" s="486"/>
      <c r="B310" s="487" t="s">
        <v>683</v>
      </c>
      <c r="C310" s="655" t="s">
        <v>684</v>
      </c>
      <c r="D310" s="485" t="s">
        <v>271</v>
      </c>
      <c r="E310" s="485"/>
      <c r="F310" s="485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21"/>
      <c r="R310" s="213"/>
      <c r="S310" s="215"/>
      <c r="T310" s="214"/>
      <c r="U310" s="630"/>
      <c r="V310" s="631"/>
      <c r="W310" s="632"/>
      <c r="X310" s="632"/>
      <c r="Y310" s="643">
        <v>0</v>
      </c>
      <c r="Z310" s="616">
        <f t="shared" si="9"/>
        <v>0</v>
      </c>
      <c r="AA310" s="633"/>
      <c r="AB310" s="636"/>
      <c r="AC310" s="636"/>
      <c r="AD310" s="7"/>
      <c r="AE310" s="24"/>
      <c r="AF310" s="7"/>
      <c r="AG310" s="618">
        <f t="shared" si="8"/>
        <v>0</v>
      </c>
    </row>
    <row r="311" spans="1:33" ht="21" customHeight="1">
      <c r="A311" s="503"/>
      <c r="B311" s="483" t="s">
        <v>685</v>
      </c>
      <c r="C311" s="629" t="s">
        <v>131</v>
      </c>
      <c r="D311" s="504" t="s">
        <v>271</v>
      </c>
      <c r="E311" s="504"/>
      <c r="F311" s="504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21"/>
      <c r="R311" s="213"/>
      <c r="S311" s="215"/>
      <c r="T311" s="214"/>
      <c r="U311" s="630"/>
      <c r="V311" s="631"/>
      <c r="W311" s="632"/>
      <c r="X311" s="632"/>
      <c r="Y311" s="643">
        <v>0</v>
      </c>
      <c r="Z311" s="616">
        <f t="shared" si="9"/>
        <v>0</v>
      </c>
      <c r="AA311" s="633"/>
      <c r="AB311" s="648"/>
      <c r="AC311" s="648"/>
      <c r="AD311" s="7"/>
      <c r="AE311" s="24"/>
      <c r="AF311" s="7"/>
      <c r="AG311" s="618">
        <f t="shared" si="8"/>
        <v>0</v>
      </c>
    </row>
    <row r="312" spans="1:33" ht="21" customHeight="1">
      <c r="A312" s="503"/>
      <c r="B312" s="483" t="s">
        <v>686</v>
      </c>
      <c r="C312" s="629" t="s">
        <v>200</v>
      </c>
      <c r="D312" s="504" t="s">
        <v>271</v>
      </c>
      <c r="E312" s="504"/>
      <c r="F312" s="504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21"/>
      <c r="R312" s="213"/>
      <c r="S312" s="215"/>
      <c r="T312" s="214"/>
      <c r="U312" s="630"/>
      <c r="V312" s="631"/>
      <c r="W312" s="632"/>
      <c r="X312" s="632"/>
      <c r="Y312" s="643">
        <v>0</v>
      </c>
      <c r="Z312" s="616">
        <f t="shared" si="9"/>
        <v>0</v>
      </c>
      <c r="AA312" s="633"/>
      <c r="AB312" s="648"/>
      <c r="AC312" s="648"/>
      <c r="AD312" s="7"/>
      <c r="AE312" s="24"/>
      <c r="AF312" s="7"/>
      <c r="AG312" s="618">
        <f t="shared" si="8"/>
        <v>0</v>
      </c>
    </row>
    <row r="313" spans="1:33" ht="21" customHeight="1">
      <c r="A313" s="503"/>
      <c r="B313" s="483" t="s">
        <v>687</v>
      </c>
      <c r="C313" s="629" t="s">
        <v>203</v>
      </c>
      <c r="D313" s="504" t="s">
        <v>271</v>
      </c>
      <c r="E313" s="504"/>
      <c r="F313" s="504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21"/>
      <c r="R313" s="213"/>
      <c r="S313" s="215"/>
      <c r="T313" s="214"/>
      <c r="U313" s="630"/>
      <c r="V313" s="631"/>
      <c r="W313" s="632"/>
      <c r="X313" s="632"/>
      <c r="Y313" s="643">
        <v>0</v>
      </c>
      <c r="Z313" s="616">
        <f t="shared" si="9"/>
        <v>0</v>
      </c>
      <c r="AA313" s="633"/>
      <c r="AB313" s="648"/>
      <c r="AC313" s="648"/>
      <c r="AD313" s="7"/>
      <c r="AE313" s="24"/>
      <c r="AF313" s="7"/>
      <c r="AG313" s="618">
        <f t="shared" si="8"/>
        <v>0</v>
      </c>
    </row>
    <row r="314" spans="1:33" ht="21" customHeight="1">
      <c r="A314" s="503"/>
      <c r="B314" s="483" t="s">
        <v>688</v>
      </c>
      <c r="C314" s="629" t="s">
        <v>159</v>
      </c>
      <c r="D314" s="504" t="s">
        <v>271</v>
      </c>
      <c r="E314" s="504"/>
      <c r="F314" s="504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21"/>
      <c r="R314" s="213"/>
      <c r="S314" s="215"/>
      <c r="T314" s="214"/>
      <c r="U314" s="630"/>
      <c r="V314" s="631"/>
      <c r="W314" s="632"/>
      <c r="X314" s="632"/>
      <c r="Y314" s="643">
        <v>0</v>
      </c>
      <c r="Z314" s="616">
        <f t="shared" si="9"/>
        <v>0</v>
      </c>
      <c r="AA314" s="633"/>
      <c r="AB314" s="648"/>
      <c r="AC314" s="648"/>
      <c r="AD314" s="7"/>
      <c r="AE314" s="24"/>
      <c r="AF314" s="7"/>
      <c r="AG314" s="618">
        <f t="shared" si="8"/>
        <v>0</v>
      </c>
    </row>
    <row r="315" spans="1:33" ht="21" customHeight="1">
      <c r="A315" s="486"/>
      <c r="B315" s="487" t="s">
        <v>689</v>
      </c>
      <c r="C315" s="635" t="s">
        <v>690</v>
      </c>
      <c r="D315" s="512" t="s">
        <v>271</v>
      </c>
      <c r="E315" s="512"/>
      <c r="F315" s="512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21"/>
      <c r="R315" s="213"/>
      <c r="S315" s="215"/>
      <c r="T315" s="214"/>
      <c r="U315" s="630"/>
      <c r="V315" s="631"/>
      <c r="W315" s="632"/>
      <c r="X315" s="632"/>
      <c r="Y315" s="643">
        <v>0</v>
      </c>
      <c r="Z315" s="616">
        <f t="shared" si="9"/>
        <v>0</v>
      </c>
      <c r="AA315" s="633"/>
      <c r="AB315" s="636"/>
      <c r="AC315" s="636"/>
      <c r="AD315" s="7"/>
      <c r="AE315" s="24"/>
      <c r="AF315" s="7"/>
      <c r="AG315" s="618">
        <f t="shared" si="8"/>
        <v>0</v>
      </c>
    </row>
    <row r="316" spans="1:33" ht="21" customHeight="1">
      <c r="A316" s="503"/>
      <c r="B316" s="483" t="s">
        <v>692</v>
      </c>
      <c r="C316" s="629" t="s">
        <v>131</v>
      </c>
      <c r="D316" s="504" t="s">
        <v>271</v>
      </c>
      <c r="E316" s="504"/>
      <c r="F316" s="504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21"/>
      <c r="R316" s="213"/>
      <c r="S316" s="215"/>
      <c r="T316" s="214"/>
      <c r="U316" s="630"/>
      <c r="V316" s="631"/>
      <c r="W316" s="632"/>
      <c r="X316" s="632"/>
      <c r="Y316" s="643">
        <v>0</v>
      </c>
      <c r="Z316" s="616">
        <f t="shared" si="9"/>
        <v>0</v>
      </c>
      <c r="AA316" s="633"/>
      <c r="AB316" s="648"/>
      <c r="AC316" s="648"/>
      <c r="AD316" s="7"/>
      <c r="AE316" s="24"/>
      <c r="AF316" s="7"/>
      <c r="AG316" s="618">
        <f t="shared" si="8"/>
        <v>0</v>
      </c>
    </row>
    <row r="317" spans="1:33" ht="21" customHeight="1">
      <c r="A317" s="503"/>
      <c r="B317" s="483" t="s">
        <v>693</v>
      </c>
      <c r="C317" s="629" t="s">
        <v>200</v>
      </c>
      <c r="D317" s="504" t="s">
        <v>271</v>
      </c>
      <c r="E317" s="504"/>
      <c r="F317" s="504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21"/>
      <c r="R317" s="213"/>
      <c r="S317" s="215"/>
      <c r="T317" s="214"/>
      <c r="U317" s="630"/>
      <c r="V317" s="631"/>
      <c r="W317" s="632"/>
      <c r="X317" s="632"/>
      <c r="Y317" s="643">
        <v>0</v>
      </c>
      <c r="Z317" s="616">
        <f t="shared" si="9"/>
        <v>0</v>
      </c>
      <c r="AA317" s="633"/>
      <c r="AB317" s="648"/>
      <c r="AC317" s="648"/>
      <c r="AD317" s="7"/>
      <c r="AE317" s="24"/>
      <c r="AF317" s="7"/>
      <c r="AG317" s="618">
        <f t="shared" si="8"/>
        <v>0</v>
      </c>
    </row>
    <row r="318" spans="1:33" ht="21" customHeight="1">
      <c r="A318" s="503"/>
      <c r="B318" s="483" t="s">
        <v>694</v>
      </c>
      <c r="C318" s="629" t="s">
        <v>203</v>
      </c>
      <c r="D318" s="504" t="s">
        <v>271</v>
      </c>
      <c r="E318" s="504"/>
      <c r="F318" s="504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21"/>
      <c r="R318" s="213"/>
      <c r="S318" s="215"/>
      <c r="T318" s="214"/>
      <c r="U318" s="630"/>
      <c r="V318" s="631"/>
      <c r="W318" s="632"/>
      <c r="X318" s="632"/>
      <c r="Y318" s="643">
        <v>0</v>
      </c>
      <c r="Z318" s="616">
        <f t="shared" si="9"/>
        <v>0</v>
      </c>
      <c r="AA318" s="633"/>
      <c r="AB318" s="648"/>
      <c r="AC318" s="648"/>
      <c r="AD318" s="7"/>
      <c r="AE318" s="24"/>
      <c r="AF318" s="7"/>
      <c r="AG318" s="618">
        <f t="shared" si="8"/>
        <v>0</v>
      </c>
    </row>
    <row r="319" spans="1:33" ht="21" customHeight="1">
      <c r="A319" s="503"/>
      <c r="B319" s="483" t="s">
        <v>695</v>
      </c>
      <c r="C319" s="629" t="s">
        <v>159</v>
      </c>
      <c r="D319" s="504" t="s">
        <v>271</v>
      </c>
      <c r="E319" s="504"/>
      <c r="F319" s="504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21"/>
      <c r="R319" s="213"/>
      <c r="S319" s="215"/>
      <c r="T319" s="214"/>
      <c r="U319" s="630"/>
      <c r="V319" s="631"/>
      <c r="W319" s="632"/>
      <c r="X319" s="632"/>
      <c r="Y319" s="643">
        <v>0</v>
      </c>
      <c r="Z319" s="616">
        <f t="shared" si="9"/>
        <v>0</v>
      </c>
      <c r="AA319" s="633"/>
      <c r="AB319" s="648"/>
      <c r="AC319" s="648"/>
      <c r="AD319" s="7"/>
      <c r="AE319" s="24"/>
      <c r="AF319" s="7"/>
      <c r="AG319" s="618">
        <f t="shared" si="8"/>
        <v>0</v>
      </c>
    </row>
    <row r="320" spans="1:33" ht="21" customHeight="1">
      <c r="A320" s="486"/>
      <c r="B320" s="487" t="s">
        <v>696</v>
      </c>
      <c r="C320" s="635" t="s">
        <v>697</v>
      </c>
      <c r="D320" s="412" t="s">
        <v>271</v>
      </c>
      <c r="E320" s="412"/>
      <c r="F320" s="412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21"/>
      <c r="R320" s="213"/>
      <c r="S320" s="215"/>
      <c r="T320" s="214"/>
      <c r="U320" s="630"/>
      <c r="V320" s="631"/>
      <c r="W320" s="632"/>
      <c r="X320" s="632"/>
      <c r="Y320" s="643">
        <v>0</v>
      </c>
      <c r="Z320" s="616">
        <f t="shared" si="9"/>
        <v>0</v>
      </c>
      <c r="AA320" s="633"/>
      <c r="AB320" s="636"/>
      <c r="AC320" s="636"/>
      <c r="AD320" s="7"/>
      <c r="AE320" s="24"/>
      <c r="AF320" s="7"/>
      <c r="AG320" s="618">
        <f t="shared" si="8"/>
        <v>0</v>
      </c>
    </row>
    <row r="321" spans="1:33" ht="21" customHeight="1">
      <c r="A321" s="503"/>
      <c r="B321" s="483" t="s">
        <v>699</v>
      </c>
      <c r="C321" s="629" t="s">
        <v>131</v>
      </c>
      <c r="D321" s="504" t="s">
        <v>271</v>
      </c>
      <c r="E321" s="504"/>
      <c r="F321" s="504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21"/>
      <c r="R321" s="213"/>
      <c r="S321" s="215"/>
      <c r="T321" s="214"/>
      <c r="U321" s="630"/>
      <c r="V321" s="631"/>
      <c r="W321" s="632"/>
      <c r="X321" s="632"/>
      <c r="Y321" s="643">
        <v>0</v>
      </c>
      <c r="Z321" s="616">
        <f t="shared" si="9"/>
        <v>0</v>
      </c>
      <c r="AA321" s="633"/>
      <c r="AB321" s="636"/>
      <c r="AC321" s="636"/>
      <c r="AD321" s="7"/>
      <c r="AE321" s="24"/>
      <c r="AF321" s="7"/>
      <c r="AG321" s="618">
        <f t="shared" si="8"/>
        <v>0</v>
      </c>
    </row>
    <row r="322" spans="1:33" ht="21" customHeight="1">
      <c r="A322" s="503"/>
      <c r="B322" s="483" t="s">
        <v>700</v>
      </c>
      <c r="C322" s="629" t="s">
        <v>200</v>
      </c>
      <c r="D322" s="504" t="s">
        <v>271</v>
      </c>
      <c r="E322" s="504"/>
      <c r="F322" s="50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21"/>
      <c r="R322" s="213"/>
      <c r="S322" s="215"/>
      <c r="T322" s="214"/>
      <c r="U322" s="630"/>
      <c r="V322" s="631"/>
      <c r="W322" s="632"/>
      <c r="X322" s="632"/>
      <c r="Y322" s="643">
        <v>0</v>
      </c>
      <c r="Z322" s="616">
        <f t="shared" si="9"/>
        <v>0</v>
      </c>
      <c r="AA322" s="633"/>
      <c r="AB322" s="636"/>
      <c r="AC322" s="636"/>
      <c r="AD322" s="7"/>
      <c r="AE322" s="24"/>
      <c r="AF322" s="7"/>
      <c r="AG322" s="618">
        <f t="shared" si="8"/>
        <v>0</v>
      </c>
    </row>
    <row r="323" spans="1:33" ht="21" customHeight="1">
      <c r="A323" s="503"/>
      <c r="B323" s="483" t="s">
        <v>701</v>
      </c>
      <c r="C323" s="629" t="s">
        <v>203</v>
      </c>
      <c r="D323" s="504" t="s">
        <v>271</v>
      </c>
      <c r="E323" s="504"/>
      <c r="F323" s="504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21"/>
      <c r="R323" s="213"/>
      <c r="S323" s="215"/>
      <c r="T323" s="214"/>
      <c r="U323" s="630"/>
      <c r="V323" s="631"/>
      <c r="W323" s="632"/>
      <c r="X323" s="632"/>
      <c r="Y323" s="643">
        <v>0</v>
      </c>
      <c r="Z323" s="616">
        <f t="shared" si="9"/>
        <v>0</v>
      </c>
      <c r="AA323" s="633"/>
      <c r="AB323" s="636"/>
      <c r="AC323" s="636"/>
      <c r="AD323" s="7"/>
      <c r="AE323" s="24"/>
      <c r="AF323" s="7"/>
      <c r="AG323" s="618">
        <f t="shared" si="8"/>
        <v>0</v>
      </c>
    </row>
    <row r="324" spans="1:33" ht="21" customHeight="1">
      <c r="A324" s="503"/>
      <c r="B324" s="483" t="s">
        <v>702</v>
      </c>
      <c r="C324" s="629" t="s">
        <v>159</v>
      </c>
      <c r="D324" s="504" t="s">
        <v>271</v>
      </c>
      <c r="E324" s="504"/>
      <c r="F324" s="504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21"/>
      <c r="R324" s="213"/>
      <c r="S324" s="215"/>
      <c r="T324" s="214"/>
      <c r="U324" s="630"/>
      <c r="V324" s="631"/>
      <c r="W324" s="632"/>
      <c r="X324" s="632"/>
      <c r="Y324" s="643">
        <v>0</v>
      </c>
      <c r="Z324" s="616">
        <f t="shared" si="9"/>
        <v>0</v>
      </c>
      <c r="AA324" s="633"/>
      <c r="AB324" s="636"/>
      <c r="AC324" s="636"/>
      <c r="AD324" s="7"/>
      <c r="AE324" s="24"/>
      <c r="AF324" s="7"/>
      <c r="AG324" s="618">
        <f t="shared" si="8"/>
        <v>0</v>
      </c>
    </row>
    <row r="325" spans="1:33" ht="33.75" customHeight="1">
      <c r="A325" s="486"/>
      <c r="B325" s="487" t="s">
        <v>703</v>
      </c>
      <c r="C325" s="656" t="s">
        <v>704</v>
      </c>
      <c r="D325" s="519" t="s">
        <v>1698</v>
      </c>
      <c r="E325" s="519"/>
      <c r="F325" s="519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21"/>
      <c r="R325" s="213"/>
      <c r="S325" s="215"/>
      <c r="T325" s="214"/>
      <c r="U325" s="630"/>
      <c r="V325" s="631"/>
      <c r="W325" s="632"/>
      <c r="X325" s="632"/>
      <c r="Y325" s="643">
        <v>0</v>
      </c>
      <c r="Z325" s="616">
        <f t="shared" si="9"/>
        <v>0</v>
      </c>
      <c r="AA325" s="633"/>
      <c r="AB325" s="636"/>
      <c r="AC325" s="636"/>
      <c r="AD325" s="7"/>
      <c r="AE325" s="24"/>
      <c r="AF325" s="7"/>
      <c r="AG325" s="618">
        <f t="shared" si="8"/>
        <v>0</v>
      </c>
    </row>
    <row r="326" spans="1:33" ht="25.5" customHeight="1">
      <c r="A326" s="503"/>
      <c r="B326" s="483" t="s">
        <v>707</v>
      </c>
      <c r="C326" s="629" t="s">
        <v>131</v>
      </c>
      <c r="D326" s="354" t="s">
        <v>1699</v>
      </c>
      <c r="E326" s="354"/>
      <c r="F326" s="354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21"/>
      <c r="R326" s="213"/>
      <c r="S326" s="215"/>
      <c r="T326" s="214"/>
      <c r="U326" s="630"/>
      <c r="V326" s="631"/>
      <c r="W326" s="632"/>
      <c r="X326" s="632"/>
      <c r="Y326" s="643">
        <v>0</v>
      </c>
      <c r="Z326" s="616">
        <f t="shared" si="9"/>
        <v>0</v>
      </c>
      <c r="AA326" s="633"/>
      <c r="AB326" s="634"/>
      <c r="AC326" s="634"/>
      <c r="AD326" s="7"/>
      <c r="AE326" s="24"/>
      <c r="AF326" s="7"/>
      <c r="AG326" s="618">
        <f t="shared" si="8"/>
        <v>0</v>
      </c>
    </row>
    <row r="327" spans="1:33" ht="21" customHeight="1">
      <c r="A327" s="503"/>
      <c r="B327" s="483" t="s">
        <v>709</v>
      </c>
      <c r="C327" s="629" t="s">
        <v>200</v>
      </c>
      <c r="D327" s="354" t="s">
        <v>1700</v>
      </c>
      <c r="E327" s="354"/>
      <c r="F327" s="354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21"/>
      <c r="R327" s="213"/>
      <c r="S327" s="215"/>
      <c r="T327" s="214"/>
      <c r="U327" s="630"/>
      <c r="V327" s="631"/>
      <c r="W327" s="632"/>
      <c r="X327" s="632"/>
      <c r="Y327" s="643">
        <v>0</v>
      </c>
      <c r="Z327" s="616">
        <f t="shared" si="9"/>
        <v>0</v>
      </c>
      <c r="AA327" s="633"/>
      <c r="AB327" s="636"/>
      <c r="AC327" s="636"/>
      <c r="AD327" s="7"/>
      <c r="AE327" s="24"/>
      <c r="AF327" s="7"/>
      <c r="AG327" s="618">
        <f t="shared" si="8"/>
        <v>0</v>
      </c>
    </row>
    <row r="328" spans="1:33" ht="21" customHeight="1">
      <c r="A328" s="503"/>
      <c r="B328" s="483" t="s">
        <v>711</v>
      </c>
      <c r="C328" s="629" t="s">
        <v>203</v>
      </c>
      <c r="D328" s="354" t="s">
        <v>1701</v>
      </c>
      <c r="E328" s="354"/>
      <c r="F328" s="354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21"/>
      <c r="R328" s="213"/>
      <c r="S328" s="215"/>
      <c r="T328" s="214"/>
      <c r="U328" s="630"/>
      <c r="V328" s="631"/>
      <c r="W328" s="632"/>
      <c r="X328" s="632"/>
      <c r="Y328" s="643">
        <v>0</v>
      </c>
      <c r="Z328" s="616">
        <f t="shared" si="9"/>
        <v>0</v>
      </c>
      <c r="AA328" s="633"/>
      <c r="AB328" s="636"/>
      <c r="AC328" s="636"/>
      <c r="AD328" s="7"/>
      <c r="AE328" s="24"/>
      <c r="AF328" s="7"/>
      <c r="AG328" s="618">
        <f t="shared" si="8"/>
        <v>0</v>
      </c>
    </row>
    <row r="329" spans="1:33" ht="21" customHeight="1">
      <c r="A329" s="503"/>
      <c r="B329" s="483" t="s">
        <v>713</v>
      </c>
      <c r="C329" s="629" t="s">
        <v>159</v>
      </c>
      <c r="D329" s="354" t="s">
        <v>1702</v>
      </c>
      <c r="E329" s="354"/>
      <c r="F329" s="354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21"/>
      <c r="R329" s="213"/>
      <c r="S329" s="215"/>
      <c r="T329" s="214"/>
      <c r="U329" s="630"/>
      <c r="V329" s="631"/>
      <c r="W329" s="632"/>
      <c r="X329" s="632"/>
      <c r="Y329" s="643">
        <v>0</v>
      </c>
      <c r="Z329" s="616">
        <f t="shared" si="9"/>
        <v>0</v>
      </c>
      <c r="AA329" s="633"/>
      <c r="AB329" s="636"/>
      <c r="AC329" s="636"/>
      <c r="AD329" s="7"/>
      <c r="AE329" s="24"/>
      <c r="AF329" s="7"/>
      <c r="AG329" s="618">
        <f t="shared" si="8"/>
        <v>0</v>
      </c>
    </row>
    <row r="330" spans="1:33" ht="30.75" customHeight="1">
      <c r="A330" s="486"/>
      <c r="B330" s="487" t="s">
        <v>715</v>
      </c>
      <c r="C330" s="656" t="s">
        <v>716</v>
      </c>
      <c r="D330" s="412" t="s">
        <v>717</v>
      </c>
      <c r="E330" s="412"/>
      <c r="F330" s="412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21"/>
      <c r="R330" s="213"/>
      <c r="S330" s="215"/>
      <c r="T330" s="214"/>
      <c r="U330" s="630"/>
      <c r="V330" s="631"/>
      <c r="W330" s="632"/>
      <c r="X330" s="632"/>
      <c r="Y330" s="643">
        <v>0</v>
      </c>
      <c r="Z330" s="616">
        <f t="shared" si="9"/>
        <v>0</v>
      </c>
      <c r="AA330" s="633"/>
      <c r="AB330" s="636"/>
      <c r="AC330" s="636"/>
      <c r="AD330" s="7"/>
      <c r="AE330" s="24"/>
      <c r="AF330" s="7"/>
      <c r="AG330" s="618">
        <f t="shared" si="8"/>
        <v>0</v>
      </c>
    </row>
    <row r="331" spans="1:33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504"/>
      <c r="F331" s="504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21"/>
      <c r="R331" s="213"/>
      <c r="S331" s="215"/>
      <c r="T331" s="214"/>
      <c r="U331" s="630"/>
      <c r="V331" s="631"/>
      <c r="W331" s="632"/>
      <c r="X331" s="632"/>
      <c r="Y331" s="643">
        <v>0</v>
      </c>
      <c r="Z331" s="616">
        <f t="shared" si="9"/>
        <v>0</v>
      </c>
      <c r="AA331" s="633"/>
      <c r="AB331" s="654"/>
      <c r="AC331" s="654"/>
      <c r="AD331" s="7"/>
      <c r="AE331" s="24"/>
      <c r="AF331" s="7"/>
      <c r="AG331" s="618">
        <f t="shared" si="8"/>
        <v>0</v>
      </c>
    </row>
    <row r="332" spans="1:33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504"/>
      <c r="F332" s="504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21"/>
      <c r="R332" s="213"/>
      <c r="S332" s="215"/>
      <c r="T332" s="214"/>
      <c r="U332" s="630"/>
      <c r="V332" s="631"/>
      <c r="W332" s="632"/>
      <c r="X332" s="632"/>
      <c r="Y332" s="643">
        <v>0</v>
      </c>
      <c r="Z332" s="616">
        <f t="shared" si="9"/>
        <v>0</v>
      </c>
      <c r="AA332" s="633"/>
      <c r="AB332" s="648"/>
      <c r="AC332" s="648"/>
      <c r="AD332" s="7"/>
      <c r="AE332" s="24"/>
      <c r="AF332" s="7"/>
      <c r="AG332" s="618">
        <f t="shared" si="8"/>
        <v>0</v>
      </c>
    </row>
    <row r="333" spans="1:33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504"/>
      <c r="F333" s="50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21"/>
      <c r="R333" s="213"/>
      <c r="S333" s="215"/>
      <c r="T333" s="214"/>
      <c r="U333" s="630"/>
      <c r="V333" s="631"/>
      <c r="W333" s="632"/>
      <c r="X333" s="632"/>
      <c r="Y333" s="643">
        <v>0</v>
      </c>
      <c r="Z333" s="616">
        <f t="shared" si="9"/>
        <v>0</v>
      </c>
      <c r="AA333" s="633"/>
      <c r="AB333" s="648"/>
      <c r="AC333" s="648"/>
      <c r="AD333" s="7"/>
      <c r="AE333" s="24"/>
      <c r="AF333" s="7"/>
      <c r="AG333" s="618">
        <f t="shared" si="8"/>
        <v>0</v>
      </c>
    </row>
    <row r="334" spans="1:33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504"/>
      <c r="F334" s="50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21"/>
      <c r="R334" s="213"/>
      <c r="S334" s="215"/>
      <c r="T334" s="214"/>
      <c r="U334" s="630"/>
      <c r="V334" s="631"/>
      <c r="W334" s="632"/>
      <c r="X334" s="632"/>
      <c r="Y334" s="643">
        <v>0</v>
      </c>
      <c r="Z334" s="616">
        <f t="shared" si="9"/>
        <v>0</v>
      </c>
      <c r="AA334" s="633"/>
      <c r="AB334" s="648"/>
      <c r="AC334" s="648"/>
      <c r="AD334" s="7"/>
      <c r="AE334" s="24"/>
      <c r="AF334" s="7"/>
      <c r="AG334" s="618">
        <f t="shared" si="8"/>
        <v>0</v>
      </c>
    </row>
    <row r="335" spans="1:33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504"/>
      <c r="F335" s="504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21"/>
      <c r="R335" s="213"/>
      <c r="S335" s="215"/>
      <c r="T335" s="214"/>
      <c r="U335" s="630"/>
      <c r="V335" s="631"/>
      <c r="W335" s="632"/>
      <c r="X335" s="632"/>
      <c r="Y335" s="643">
        <v>0</v>
      </c>
      <c r="Z335" s="616">
        <f t="shared" si="9"/>
        <v>0</v>
      </c>
      <c r="AA335" s="633"/>
      <c r="AB335" s="648"/>
      <c r="AC335" s="648"/>
      <c r="AD335" s="7"/>
      <c r="AE335" s="24"/>
      <c r="AF335" s="7"/>
      <c r="AG335" s="618">
        <f t="shared" si="8"/>
        <v>0</v>
      </c>
    </row>
    <row r="336" spans="1:33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512"/>
      <c r="F336" s="512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21"/>
      <c r="R336" s="213"/>
      <c r="S336" s="215"/>
      <c r="T336" s="214"/>
      <c r="U336" s="630"/>
      <c r="V336" s="631"/>
      <c r="W336" s="632"/>
      <c r="X336" s="632"/>
      <c r="Y336" s="643">
        <v>0</v>
      </c>
      <c r="Z336" s="616">
        <f t="shared" si="9"/>
        <v>0</v>
      </c>
      <c r="AA336" s="633"/>
      <c r="AB336" s="654"/>
      <c r="AC336" s="654"/>
      <c r="AD336" s="7"/>
      <c r="AE336" s="24"/>
      <c r="AF336" s="7"/>
      <c r="AG336" s="618">
        <f t="shared" si="8"/>
        <v>0</v>
      </c>
    </row>
    <row r="337" spans="1:33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504"/>
      <c r="F337" s="504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21"/>
      <c r="R337" s="213"/>
      <c r="S337" s="215"/>
      <c r="T337" s="214"/>
      <c r="U337" s="630"/>
      <c r="V337" s="631"/>
      <c r="W337" s="632"/>
      <c r="X337" s="632"/>
      <c r="Y337" s="643">
        <v>0</v>
      </c>
      <c r="Z337" s="616">
        <f t="shared" si="9"/>
        <v>0</v>
      </c>
      <c r="AA337" s="633"/>
      <c r="AB337" s="654"/>
      <c r="AC337" s="654"/>
      <c r="AD337" s="7"/>
      <c r="AE337" s="24"/>
      <c r="AF337" s="7"/>
      <c r="AG337" s="618">
        <f t="shared" si="8"/>
        <v>0</v>
      </c>
    </row>
    <row r="338" spans="1:33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504"/>
      <c r="F338" s="504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21"/>
      <c r="R338" s="213"/>
      <c r="S338" s="215"/>
      <c r="T338" s="214"/>
      <c r="U338" s="630"/>
      <c r="V338" s="631"/>
      <c r="W338" s="632"/>
      <c r="X338" s="632"/>
      <c r="Y338" s="643">
        <v>0</v>
      </c>
      <c r="Z338" s="616">
        <f t="shared" si="9"/>
        <v>0</v>
      </c>
      <c r="AA338" s="633"/>
      <c r="AB338" s="654"/>
      <c r="AC338" s="654"/>
      <c r="AD338" s="7"/>
      <c r="AE338" s="24"/>
      <c r="AF338" s="7"/>
      <c r="AG338" s="618">
        <f t="shared" si="8"/>
        <v>0</v>
      </c>
    </row>
    <row r="339" spans="1:33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504"/>
      <c r="F339" s="504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21"/>
      <c r="R339" s="213"/>
      <c r="S339" s="215"/>
      <c r="T339" s="214"/>
      <c r="U339" s="630"/>
      <c r="V339" s="631"/>
      <c r="W339" s="632"/>
      <c r="X339" s="632"/>
      <c r="Y339" s="643">
        <v>0</v>
      </c>
      <c r="Z339" s="616">
        <f t="shared" si="9"/>
        <v>0</v>
      </c>
      <c r="AA339" s="633"/>
      <c r="AB339" s="654"/>
      <c r="AC339" s="654"/>
      <c r="AD339" s="7"/>
      <c r="AE339" s="24"/>
      <c r="AF339" s="7"/>
      <c r="AG339" s="618">
        <f t="shared" si="8"/>
        <v>0</v>
      </c>
    </row>
    <row r="340" spans="1:33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504"/>
      <c r="F340" s="504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21"/>
      <c r="R340" s="213"/>
      <c r="S340" s="215"/>
      <c r="T340" s="214"/>
      <c r="U340" s="630"/>
      <c r="V340" s="631"/>
      <c r="W340" s="632"/>
      <c r="X340" s="632"/>
      <c r="Y340" s="643">
        <v>0</v>
      </c>
      <c r="Z340" s="616">
        <f t="shared" si="9"/>
        <v>0</v>
      </c>
      <c r="AA340" s="633"/>
      <c r="AB340" s="648"/>
      <c r="AC340" s="648"/>
      <c r="AD340" s="7"/>
      <c r="AE340" s="24"/>
      <c r="AF340" s="7"/>
      <c r="AG340" s="618">
        <f t="shared" si="8"/>
        <v>0</v>
      </c>
    </row>
    <row r="341" spans="1:33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512"/>
      <c r="F341" s="512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21"/>
      <c r="R341" s="213"/>
      <c r="S341" s="215"/>
      <c r="T341" s="214"/>
      <c r="U341" s="630"/>
      <c r="V341" s="631"/>
      <c r="W341" s="632"/>
      <c r="X341" s="632"/>
      <c r="Y341" s="643">
        <v>0</v>
      </c>
      <c r="Z341" s="616">
        <f t="shared" si="9"/>
        <v>0</v>
      </c>
      <c r="AA341" s="633"/>
      <c r="AB341" s="654"/>
      <c r="AC341" s="654"/>
      <c r="AD341" s="7"/>
      <c r="AE341" s="24"/>
      <c r="AF341" s="7"/>
      <c r="AG341" s="618">
        <f t="shared" si="8"/>
        <v>0</v>
      </c>
    </row>
    <row r="342" spans="1:33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504"/>
      <c r="F342" s="504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21"/>
      <c r="R342" s="213"/>
      <c r="S342" s="215"/>
      <c r="T342" s="214"/>
      <c r="U342" s="630"/>
      <c r="V342" s="631"/>
      <c r="W342" s="632"/>
      <c r="X342" s="632"/>
      <c r="Y342" s="643">
        <v>0</v>
      </c>
      <c r="Z342" s="616">
        <f t="shared" si="9"/>
        <v>0</v>
      </c>
      <c r="AA342" s="633"/>
      <c r="AB342" s="654"/>
      <c r="AC342" s="654"/>
      <c r="AD342" s="7"/>
      <c r="AE342" s="24"/>
      <c r="AF342" s="7"/>
      <c r="AG342" s="618">
        <f t="shared" si="8"/>
        <v>0</v>
      </c>
    </row>
    <row r="343" spans="1:33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504"/>
      <c r="F343" s="504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21"/>
      <c r="R343" s="213"/>
      <c r="S343" s="215"/>
      <c r="T343" s="214"/>
      <c r="U343" s="630"/>
      <c r="V343" s="631"/>
      <c r="W343" s="632"/>
      <c r="X343" s="632"/>
      <c r="Y343" s="643">
        <v>0</v>
      </c>
      <c r="Z343" s="616">
        <f t="shared" si="9"/>
        <v>0</v>
      </c>
      <c r="AA343" s="633"/>
      <c r="AB343" s="654"/>
      <c r="AC343" s="654"/>
      <c r="AD343" s="7"/>
      <c r="AE343" s="24"/>
      <c r="AF343" s="7"/>
      <c r="AG343" s="618">
        <f t="shared" si="8"/>
        <v>0</v>
      </c>
    </row>
    <row r="344" spans="1:33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504"/>
      <c r="F344" s="504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21"/>
      <c r="R344" s="213"/>
      <c r="S344" s="215"/>
      <c r="T344" s="214"/>
      <c r="U344" s="630"/>
      <c r="V344" s="631"/>
      <c r="W344" s="632"/>
      <c r="X344" s="632"/>
      <c r="Y344" s="643">
        <v>0</v>
      </c>
      <c r="Z344" s="616">
        <f t="shared" si="9"/>
        <v>0</v>
      </c>
      <c r="AA344" s="633"/>
      <c r="AB344" s="654"/>
      <c r="AC344" s="654"/>
      <c r="AD344" s="7"/>
      <c r="AE344" s="24"/>
      <c r="AF344" s="7"/>
      <c r="AG344" s="618">
        <f t="shared" si="8"/>
        <v>0</v>
      </c>
    </row>
    <row r="345" spans="1:33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504"/>
      <c r="F345" s="504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21"/>
      <c r="R345" s="213"/>
      <c r="S345" s="215"/>
      <c r="T345" s="214"/>
      <c r="U345" s="630"/>
      <c r="V345" s="631"/>
      <c r="W345" s="632"/>
      <c r="X345" s="632"/>
      <c r="Y345" s="643">
        <v>0</v>
      </c>
      <c r="Z345" s="616">
        <f t="shared" si="9"/>
        <v>0</v>
      </c>
      <c r="AA345" s="633"/>
      <c r="AB345" s="654"/>
      <c r="AC345" s="654"/>
      <c r="AD345" s="7"/>
      <c r="AE345" s="24"/>
      <c r="AF345" s="7"/>
      <c r="AG345" s="618">
        <f t="shared" si="8"/>
        <v>0</v>
      </c>
    </row>
    <row r="346" spans="1:33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515"/>
      <c r="F346" s="515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21"/>
      <c r="R346" s="213"/>
      <c r="S346" s="215"/>
      <c r="T346" s="214"/>
      <c r="U346" s="630"/>
      <c r="V346" s="631"/>
      <c r="W346" s="632"/>
      <c r="X346" s="632"/>
      <c r="Y346" s="643">
        <v>0</v>
      </c>
      <c r="Z346" s="616">
        <f t="shared" si="9"/>
        <v>0</v>
      </c>
      <c r="AA346" s="633"/>
      <c r="AB346" s="636"/>
      <c r="AC346" s="636"/>
      <c r="AD346" s="7"/>
      <c r="AE346" s="24"/>
      <c r="AF346" s="7"/>
      <c r="AG346" s="618">
        <f t="shared" si="8"/>
        <v>0</v>
      </c>
    </row>
    <row r="347" spans="1:33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515"/>
      <c r="F347" s="515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21"/>
      <c r="R347" s="213"/>
      <c r="S347" s="215"/>
      <c r="T347" s="214"/>
      <c r="U347" s="630"/>
      <c r="V347" s="631"/>
      <c r="W347" s="632"/>
      <c r="X347" s="632"/>
      <c r="Y347" s="643">
        <v>0</v>
      </c>
      <c r="Z347" s="616">
        <f t="shared" si="9"/>
        <v>0</v>
      </c>
      <c r="AA347" s="633"/>
      <c r="AB347" s="636"/>
      <c r="AC347" s="636"/>
      <c r="AD347" s="7"/>
      <c r="AE347" s="24"/>
      <c r="AF347" s="7"/>
      <c r="AG347" s="618">
        <f t="shared" si="8"/>
        <v>0</v>
      </c>
    </row>
    <row r="348" spans="1:33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515"/>
      <c r="F348" s="515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21"/>
      <c r="R348" s="213"/>
      <c r="S348" s="215"/>
      <c r="T348" s="214"/>
      <c r="U348" s="630"/>
      <c r="V348" s="631"/>
      <c r="W348" s="632"/>
      <c r="X348" s="632"/>
      <c r="Y348" s="643">
        <v>0</v>
      </c>
      <c r="Z348" s="616">
        <f t="shared" si="9"/>
        <v>0</v>
      </c>
      <c r="AA348" s="633"/>
      <c r="AB348" s="636"/>
      <c r="AC348" s="636"/>
      <c r="AD348" s="7"/>
      <c r="AE348" s="24"/>
      <c r="AF348" s="7"/>
      <c r="AG348" s="618">
        <f t="shared" si="8"/>
        <v>0</v>
      </c>
    </row>
    <row r="349" spans="1:33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515"/>
      <c r="F349" s="515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21"/>
      <c r="R349" s="213"/>
      <c r="S349" s="215"/>
      <c r="T349" s="214"/>
      <c r="U349" s="630"/>
      <c r="V349" s="631"/>
      <c r="W349" s="632"/>
      <c r="X349" s="632"/>
      <c r="Y349" s="643">
        <v>0</v>
      </c>
      <c r="Z349" s="616">
        <f t="shared" si="9"/>
        <v>0</v>
      </c>
      <c r="AA349" s="633"/>
      <c r="AB349" s="636"/>
      <c r="AC349" s="636"/>
      <c r="AD349" s="7"/>
      <c r="AE349" s="24"/>
      <c r="AF349" s="7"/>
      <c r="AG349" s="618">
        <f t="shared" si="8"/>
        <v>0</v>
      </c>
    </row>
    <row r="350" spans="1:33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515"/>
      <c r="F350" s="515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21"/>
      <c r="R350" s="213"/>
      <c r="S350" s="215"/>
      <c r="T350" s="214"/>
      <c r="U350" s="630"/>
      <c r="V350" s="631"/>
      <c r="W350" s="632"/>
      <c r="X350" s="632"/>
      <c r="Y350" s="643">
        <v>0</v>
      </c>
      <c r="Z350" s="616">
        <f t="shared" si="9"/>
        <v>0</v>
      </c>
      <c r="AA350" s="633"/>
      <c r="AB350" s="636"/>
      <c r="AC350" s="636"/>
      <c r="AD350" s="7"/>
      <c r="AE350" s="24"/>
      <c r="AF350" s="7"/>
      <c r="AG350" s="618">
        <f t="shared" si="8"/>
        <v>0</v>
      </c>
    </row>
    <row r="351" spans="1:33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513"/>
      <c r="F351" s="5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21"/>
      <c r="R351" s="213"/>
      <c r="S351" s="215"/>
      <c r="T351" s="214"/>
      <c r="U351" s="630"/>
      <c r="V351" s="631"/>
      <c r="W351" s="632"/>
      <c r="X351" s="632"/>
      <c r="Y351" s="643">
        <v>0</v>
      </c>
      <c r="Z351" s="616">
        <f t="shared" si="9"/>
        <v>0</v>
      </c>
      <c r="AA351" s="633"/>
      <c r="AB351" s="636"/>
      <c r="AC351" s="636"/>
      <c r="AD351" s="7"/>
      <c r="AE351" s="24"/>
      <c r="AF351" s="7"/>
      <c r="AG351" s="618">
        <f t="shared" si="8"/>
        <v>0</v>
      </c>
    </row>
    <row r="352" spans="1:33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515"/>
      <c r="F352" s="515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21"/>
      <c r="R352" s="213"/>
      <c r="S352" s="215"/>
      <c r="T352" s="214"/>
      <c r="U352" s="630"/>
      <c r="V352" s="631"/>
      <c r="W352" s="632"/>
      <c r="X352" s="632"/>
      <c r="Y352" s="643">
        <v>0</v>
      </c>
      <c r="Z352" s="616">
        <f t="shared" si="9"/>
        <v>0</v>
      </c>
      <c r="AA352" s="633"/>
      <c r="AB352" s="636"/>
      <c r="AC352" s="636"/>
      <c r="AD352" s="7"/>
      <c r="AE352" s="24"/>
      <c r="AF352" s="7"/>
      <c r="AG352" s="618">
        <f t="shared" si="8"/>
        <v>0</v>
      </c>
    </row>
    <row r="353" spans="1:33" ht="18.75" customHeight="1">
      <c r="A353" s="489">
        <v>8</v>
      </c>
      <c r="B353" s="490" t="s">
        <v>5</v>
      </c>
      <c r="C353" s="637" t="s">
        <v>764</v>
      </c>
      <c r="D353" s="516"/>
      <c r="E353" s="516"/>
      <c r="F353" s="516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21"/>
      <c r="R353" s="213"/>
      <c r="S353" s="215"/>
      <c r="T353" s="214"/>
      <c r="U353" s="630"/>
      <c r="V353" s="631"/>
      <c r="W353" s="632"/>
      <c r="X353" s="632"/>
      <c r="Y353" s="643">
        <v>0</v>
      </c>
      <c r="Z353" s="616">
        <f t="shared" si="9"/>
        <v>0</v>
      </c>
      <c r="AA353" s="633"/>
      <c r="AB353" s="640"/>
      <c r="AC353" s="640"/>
      <c r="AD353" s="7"/>
      <c r="AE353" s="24"/>
      <c r="AF353" s="7"/>
      <c r="AG353" s="618">
        <f t="shared" si="8"/>
        <v>0</v>
      </c>
    </row>
    <row r="354" spans="1:33" ht="21.75" customHeight="1">
      <c r="A354" s="522"/>
      <c r="B354" s="488" t="s">
        <v>766</v>
      </c>
      <c r="C354" s="635" t="s">
        <v>1082</v>
      </c>
      <c r="D354" s="507" t="s">
        <v>132</v>
      </c>
      <c r="E354" s="507"/>
      <c r="F354" s="507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21"/>
      <c r="R354" s="213"/>
      <c r="S354" s="215"/>
      <c r="T354" s="214"/>
      <c r="U354" s="630"/>
      <c r="V354" s="631"/>
      <c r="W354" s="632"/>
      <c r="X354" s="632"/>
      <c r="Y354" s="643">
        <v>0</v>
      </c>
      <c r="Z354" s="616">
        <f t="shared" si="9"/>
        <v>0</v>
      </c>
      <c r="AA354" s="633"/>
      <c r="AB354" s="547"/>
      <c r="AC354" s="547"/>
      <c r="AD354" s="7"/>
      <c r="AE354" s="24"/>
      <c r="AF354" s="7"/>
      <c r="AG354" s="618">
        <f t="shared" si="8"/>
        <v>0</v>
      </c>
    </row>
    <row r="355" spans="1:33" ht="21.75" customHeight="1">
      <c r="A355" s="523"/>
      <c r="B355" s="488" t="s">
        <v>769</v>
      </c>
      <c r="C355" s="635" t="s">
        <v>770</v>
      </c>
      <c r="D355" s="507" t="s">
        <v>132</v>
      </c>
      <c r="E355" s="507"/>
      <c r="F355" s="507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21"/>
      <c r="R355" s="213"/>
      <c r="S355" s="215"/>
      <c r="T355" s="214"/>
      <c r="U355" s="630"/>
      <c r="V355" s="631"/>
      <c r="W355" s="632"/>
      <c r="X355" s="632"/>
      <c r="Y355" s="643">
        <v>0</v>
      </c>
      <c r="Z355" s="616">
        <f t="shared" si="9"/>
        <v>0</v>
      </c>
      <c r="AA355" s="633"/>
      <c r="AB355" s="666"/>
      <c r="AC355" s="666"/>
      <c r="AD355" s="7"/>
      <c r="AE355" s="24"/>
      <c r="AF355" s="7"/>
      <c r="AG355" s="618">
        <f t="shared" si="8"/>
        <v>0</v>
      </c>
    </row>
    <row r="356" spans="1:33" ht="21.75" customHeight="1">
      <c r="A356" s="522"/>
      <c r="B356" s="488" t="s">
        <v>772</v>
      </c>
      <c r="C356" s="635" t="s">
        <v>773</v>
      </c>
      <c r="D356" s="507" t="s">
        <v>132</v>
      </c>
      <c r="E356" s="507"/>
      <c r="F356" s="507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21"/>
      <c r="R356" s="213"/>
      <c r="S356" s="215"/>
      <c r="T356" s="214"/>
      <c r="U356" s="630"/>
      <c r="V356" s="631"/>
      <c r="W356" s="632"/>
      <c r="X356" s="632"/>
      <c r="Y356" s="643">
        <v>0</v>
      </c>
      <c r="Z356" s="616">
        <f t="shared" si="9"/>
        <v>0</v>
      </c>
      <c r="AA356" s="633"/>
      <c r="AB356" s="666"/>
      <c r="AC356" s="666"/>
      <c r="AD356" s="7"/>
      <c r="AE356" s="24"/>
      <c r="AF356" s="7"/>
      <c r="AG356" s="618">
        <f t="shared" si="8"/>
        <v>0</v>
      </c>
    </row>
    <row r="357" spans="1:33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525"/>
      <c r="F357" s="525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21"/>
      <c r="R357" s="213"/>
      <c r="S357" s="215"/>
      <c r="T357" s="214"/>
      <c r="U357" s="630"/>
      <c r="V357" s="631"/>
      <c r="W357" s="632"/>
      <c r="X357" s="632"/>
      <c r="Y357" s="643">
        <v>0</v>
      </c>
      <c r="Z357" s="616">
        <f t="shared" si="9"/>
        <v>0</v>
      </c>
      <c r="AA357" s="633"/>
      <c r="AB357" s="542"/>
      <c r="AC357" s="542"/>
      <c r="AD357" s="7"/>
      <c r="AE357" s="24"/>
      <c r="AF357" s="7"/>
      <c r="AG357" s="618">
        <f t="shared" si="8"/>
        <v>0</v>
      </c>
    </row>
    <row r="358" spans="1:33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525"/>
      <c r="F358" s="525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21"/>
      <c r="R358" s="213"/>
      <c r="S358" s="215"/>
      <c r="T358" s="214"/>
      <c r="U358" s="630"/>
      <c r="V358" s="631"/>
      <c r="W358" s="632"/>
      <c r="X358" s="632"/>
      <c r="Y358" s="643">
        <v>0</v>
      </c>
      <c r="Z358" s="616">
        <f t="shared" si="9"/>
        <v>0</v>
      </c>
      <c r="AA358" s="633"/>
      <c r="AB358" s="542"/>
      <c r="AC358" s="542"/>
      <c r="AD358" s="7"/>
      <c r="AE358" s="24"/>
      <c r="AF358" s="7"/>
      <c r="AG358" s="618">
        <f t="shared" si="8"/>
        <v>0</v>
      </c>
    </row>
    <row r="359" spans="1:33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525"/>
      <c r="F359" s="525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21"/>
      <c r="R359" s="213"/>
      <c r="S359" s="215"/>
      <c r="T359" s="214"/>
      <c r="U359" s="630"/>
      <c r="V359" s="631"/>
      <c r="W359" s="632"/>
      <c r="X359" s="632"/>
      <c r="Y359" s="643">
        <v>0</v>
      </c>
      <c r="Z359" s="616">
        <f t="shared" si="9"/>
        <v>0</v>
      </c>
      <c r="AA359" s="633"/>
      <c r="AB359" s="542"/>
      <c r="AC359" s="542"/>
      <c r="AD359" s="7"/>
      <c r="AE359" s="24"/>
      <c r="AF359" s="7"/>
      <c r="AG359" s="618">
        <f t="shared" si="8"/>
        <v>0</v>
      </c>
    </row>
    <row r="360" spans="1:33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525"/>
      <c r="F360" s="525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21"/>
      <c r="R360" s="213"/>
      <c r="S360" s="215"/>
      <c r="T360" s="214"/>
      <c r="U360" s="630"/>
      <c r="V360" s="631"/>
      <c r="W360" s="632"/>
      <c r="X360" s="632"/>
      <c r="Y360" s="643">
        <v>0</v>
      </c>
      <c r="Z360" s="616">
        <f t="shared" si="9"/>
        <v>0</v>
      </c>
      <c r="AA360" s="633"/>
      <c r="AB360" s="542"/>
      <c r="AC360" s="542"/>
      <c r="AD360" s="7"/>
      <c r="AE360" s="24"/>
      <c r="AF360" s="7"/>
      <c r="AG360" s="618">
        <f t="shared" si="8"/>
        <v>0</v>
      </c>
    </row>
    <row r="361" spans="1:33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515"/>
      <c r="F361" s="515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21"/>
      <c r="R361" s="213"/>
      <c r="S361" s="215"/>
      <c r="T361" s="214"/>
      <c r="U361" s="630"/>
      <c r="V361" s="631"/>
      <c r="W361" s="632"/>
      <c r="X361" s="632"/>
      <c r="Y361" s="643">
        <v>0</v>
      </c>
      <c r="Z361" s="616">
        <f t="shared" si="9"/>
        <v>0</v>
      </c>
      <c r="AA361" s="633"/>
      <c r="AB361" s="547"/>
      <c r="AC361" s="547"/>
      <c r="AD361" s="7"/>
      <c r="AE361" s="24"/>
      <c r="AF361" s="7"/>
      <c r="AG361" s="618">
        <f t="shared" si="8"/>
        <v>0</v>
      </c>
    </row>
    <row r="362" spans="1:33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515"/>
      <c r="F362" s="515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21"/>
      <c r="R362" s="213"/>
      <c r="S362" s="215"/>
      <c r="T362" s="214"/>
      <c r="U362" s="630"/>
      <c r="V362" s="631"/>
      <c r="W362" s="632"/>
      <c r="X362" s="632"/>
      <c r="Y362" s="643">
        <v>0</v>
      </c>
      <c r="Z362" s="616">
        <f t="shared" si="9"/>
        <v>0</v>
      </c>
      <c r="AA362" s="633"/>
      <c r="AB362" s="241"/>
      <c r="AC362" s="241"/>
      <c r="AD362" s="7"/>
      <c r="AE362" s="24"/>
      <c r="AF362" s="7"/>
      <c r="AG362" s="618">
        <f t="shared" si="8"/>
        <v>0</v>
      </c>
    </row>
    <row r="363" spans="1:33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515"/>
      <c r="F363" s="515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21"/>
      <c r="R363" s="213"/>
      <c r="S363" s="215"/>
      <c r="T363" s="214"/>
      <c r="U363" s="630"/>
      <c r="V363" s="631"/>
      <c r="W363" s="632"/>
      <c r="X363" s="632"/>
      <c r="Y363" s="643">
        <v>0</v>
      </c>
      <c r="Z363" s="616">
        <f t="shared" si="9"/>
        <v>0</v>
      </c>
      <c r="AA363" s="633"/>
      <c r="AB363" s="241"/>
      <c r="AC363" s="241"/>
      <c r="AD363" s="7"/>
      <c r="AE363" s="24"/>
      <c r="AF363" s="7"/>
      <c r="AG363" s="618">
        <f t="shared" si="8"/>
        <v>0</v>
      </c>
    </row>
    <row r="364" spans="1:33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515"/>
      <c r="F364" s="515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21"/>
      <c r="R364" s="213"/>
      <c r="S364" s="215"/>
      <c r="T364" s="214"/>
      <c r="U364" s="630"/>
      <c r="V364" s="631"/>
      <c r="W364" s="632"/>
      <c r="X364" s="632"/>
      <c r="Y364" s="643">
        <v>0</v>
      </c>
      <c r="Z364" s="616">
        <f t="shared" si="9"/>
        <v>0</v>
      </c>
      <c r="AA364" s="633"/>
      <c r="AB364" s="241"/>
      <c r="AC364" s="241"/>
      <c r="AD364" s="7"/>
      <c r="AE364" s="24"/>
      <c r="AF364" s="7"/>
      <c r="AG364" s="618">
        <f t="shared" si="8"/>
        <v>0</v>
      </c>
    </row>
    <row r="365" spans="1:33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515"/>
      <c r="F365" s="515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21"/>
      <c r="R365" s="213"/>
      <c r="S365" s="215"/>
      <c r="T365" s="214"/>
      <c r="U365" s="630"/>
      <c r="V365" s="631"/>
      <c r="W365" s="632"/>
      <c r="X365" s="632"/>
      <c r="Y365" s="643">
        <v>0</v>
      </c>
      <c r="Z365" s="616">
        <f t="shared" si="9"/>
        <v>0</v>
      </c>
      <c r="AA365" s="633"/>
      <c r="AB365" s="241"/>
      <c r="AC365" s="241"/>
      <c r="AD365" s="7"/>
      <c r="AE365" s="24"/>
      <c r="AF365" s="7"/>
      <c r="AG365" s="618">
        <f t="shared" si="8"/>
        <v>0</v>
      </c>
    </row>
    <row r="366" spans="1:33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515"/>
      <c r="F366" s="515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21"/>
      <c r="R366" s="213"/>
      <c r="S366" s="215"/>
      <c r="T366" s="214"/>
      <c r="U366" s="630"/>
      <c r="V366" s="631"/>
      <c r="W366" s="632"/>
      <c r="X366" s="632"/>
      <c r="Y366" s="643">
        <v>0</v>
      </c>
      <c r="Z366" s="616">
        <f t="shared" si="9"/>
        <v>0</v>
      </c>
      <c r="AA366" s="633"/>
      <c r="AB366" s="547"/>
      <c r="AC366" s="547"/>
      <c r="AD366" s="7"/>
      <c r="AE366" s="24"/>
      <c r="AF366" s="7"/>
      <c r="AG366" s="618">
        <f t="shared" si="8"/>
        <v>0</v>
      </c>
    </row>
    <row r="367" spans="1:33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515"/>
      <c r="F367" s="515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21"/>
      <c r="R367" s="213"/>
      <c r="S367" s="215"/>
      <c r="T367" s="214"/>
      <c r="U367" s="630"/>
      <c r="V367" s="631"/>
      <c r="W367" s="632"/>
      <c r="X367" s="632"/>
      <c r="Y367" s="643">
        <v>0</v>
      </c>
      <c r="Z367" s="616">
        <f t="shared" si="9"/>
        <v>0</v>
      </c>
      <c r="AA367" s="633"/>
      <c r="AB367" s="547"/>
      <c r="AC367" s="547"/>
      <c r="AD367" s="7"/>
      <c r="AE367" s="24"/>
      <c r="AF367" s="7"/>
      <c r="AG367" s="618">
        <f t="shared" si="8"/>
        <v>0</v>
      </c>
    </row>
    <row r="368" spans="1:33" ht="18.75" customHeight="1">
      <c r="A368" s="489">
        <v>9</v>
      </c>
      <c r="B368" s="490" t="s">
        <v>800</v>
      </c>
      <c r="C368" s="637" t="s">
        <v>801</v>
      </c>
      <c r="D368" s="516"/>
      <c r="E368" s="516"/>
      <c r="F368" s="516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21"/>
      <c r="R368" s="213"/>
      <c r="S368" s="215"/>
      <c r="T368" s="214"/>
      <c r="U368" s="630"/>
      <c r="V368" s="631"/>
      <c r="W368" s="632"/>
      <c r="X368" s="632"/>
      <c r="Y368" s="643">
        <v>0</v>
      </c>
      <c r="Z368" s="616">
        <f t="shared" si="9"/>
        <v>0</v>
      </c>
      <c r="AA368" s="633"/>
      <c r="AB368" s="640"/>
      <c r="AC368" s="640"/>
      <c r="AD368" s="7"/>
      <c r="AE368" s="24"/>
      <c r="AF368" s="7"/>
      <c r="AG368" s="618">
        <f t="shared" si="8"/>
        <v>0</v>
      </c>
    </row>
    <row r="369" spans="1:33" ht="21.75" customHeight="1">
      <c r="A369" s="486"/>
      <c r="B369" s="487" t="s">
        <v>803</v>
      </c>
      <c r="C369" s="635" t="s">
        <v>1083</v>
      </c>
      <c r="D369" s="412" t="s">
        <v>805</v>
      </c>
      <c r="E369" s="412"/>
      <c r="F369" s="412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21"/>
      <c r="R369" s="213"/>
      <c r="S369" s="215"/>
      <c r="T369" s="214"/>
      <c r="U369" s="630"/>
      <c r="V369" s="631"/>
      <c r="W369" s="632"/>
      <c r="X369" s="632"/>
      <c r="Y369" s="657">
        <v>5</v>
      </c>
      <c r="Z369" s="616">
        <f t="shared" si="9"/>
        <v>5</v>
      </c>
      <c r="AA369" s="633"/>
      <c r="AB369" s="636"/>
      <c r="AC369" s="636"/>
      <c r="AD369" s="7"/>
      <c r="AE369" s="24">
        <v>5</v>
      </c>
      <c r="AF369" s="7"/>
      <c r="AG369" s="618">
        <f t="shared" si="8"/>
        <v>0</v>
      </c>
    </row>
    <row r="370" spans="1:33" ht="21.75" customHeight="1">
      <c r="A370" s="503"/>
      <c r="B370" s="483" t="s">
        <v>807</v>
      </c>
      <c r="C370" s="629" t="s">
        <v>808</v>
      </c>
      <c r="D370" s="504" t="s">
        <v>132</v>
      </c>
      <c r="E370" s="504"/>
      <c r="F370" s="504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21"/>
      <c r="R370" s="213"/>
      <c r="S370" s="215"/>
      <c r="T370" s="214"/>
      <c r="U370" s="630"/>
      <c r="V370" s="667"/>
      <c r="W370" s="668"/>
      <c r="X370" s="668"/>
      <c r="Y370" s="643">
        <v>0</v>
      </c>
      <c r="Z370" s="616">
        <f t="shared" si="9"/>
        <v>0</v>
      </c>
      <c r="AA370" s="633"/>
      <c r="AB370" s="648"/>
      <c r="AC370" s="648"/>
      <c r="AD370" s="7"/>
      <c r="AE370" s="24"/>
      <c r="AF370" s="7"/>
      <c r="AG370" s="618">
        <f t="shared" si="8"/>
        <v>0</v>
      </c>
    </row>
    <row r="371" spans="1:33" ht="21.75" customHeight="1">
      <c r="A371" s="503"/>
      <c r="B371" s="483" t="s">
        <v>810</v>
      </c>
      <c r="C371" s="629" t="s">
        <v>811</v>
      </c>
      <c r="D371" s="504" t="s">
        <v>132</v>
      </c>
      <c r="E371" s="504"/>
      <c r="F371" s="504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21"/>
      <c r="R371" s="213"/>
      <c r="S371" s="215"/>
      <c r="T371" s="214"/>
      <c r="U371" s="630"/>
      <c r="V371" s="667"/>
      <c r="W371" s="668"/>
      <c r="X371" s="668"/>
      <c r="Y371" s="643">
        <v>0</v>
      </c>
      <c r="Z371" s="616">
        <f t="shared" si="9"/>
        <v>0</v>
      </c>
      <c r="AA371" s="633"/>
      <c r="AB371" s="648"/>
      <c r="AC371" s="648"/>
      <c r="AD371" s="7"/>
      <c r="AE371" s="24"/>
      <c r="AF371" s="7"/>
      <c r="AG371" s="618">
        <f t="shared" si="8"/>
        <v>0</v>
      </c>
    </row>
    <row r="372" spans="1:33" ht="21.75" customHeight="1">
      <c r="A372" s="486"/>
      <c r="B372" s="487" t="s">
        <v>813</v>
      </c>
      <c r="C372" s="635" t="s">
        <v>814</v>
      </c>
      <c r="D372" s="412" t="s">
        <v>424</v>
      </c>
      <c r="E372" s="412"/>
      <c r="F372" s="412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21"/>
      <c r="R372" s="213"/>
      <c r="S372" s="215"/>
      <c r="T372" s="214"/>
      <c r="U372" s="630"/>
      <c r="V372" s="667"/>
      <c r="W372" s="668"/>
      <c r="X372" s="668"/>
      <c r="Y372" s="657">
        <v>0</v>
      </c>
      <c r="Z372" s="616">
        <f t="shared" si="9"/>
        <v>0</v>
      </c>
      <c r="AA372" s="633"/>
      <c r="AB372" s="636"/>
      <c r="AC372" s="636"/>
      <c r="AD372" s="7"/>
      <c r="AE372" s="24"/>
      <c r="AF372" s="7"/>
      <c r="AG372" s="618">
        <f t="shared" si="8"/>
        <v>0</v>
      </c>
    </row>
    <row r="373" spans="1:33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504"/>
      <c r="F373" s="504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21"/>
      <c r="R373" s="213"/>
      <c r="S373" s="215"/>
      <c r="T373" s="214"/>
      <c r="U373" s="630"/>
      <c r="V373" s="667"/>
      <c r="W373" s="668"/>
      <c r="X373" s="668"/>
      <c r="Y373" s="643">
        <v>0</v>
      </c>
      <c r="Z373" s="616">
        <f t="shared" si="9"/>
        <v>0</v>
      </c>
      <c r="AA373" s="633"/>
      <c r="AB373" s="648"/>
      <c r="AC373" s="648"/>
      <c r="AD373" s="7"/>
      <c r="AE373" s="24"/>
      <c r="AF373" s="7"/>
      <c r="AG373" s="618">
        <f t="shared" si="8"/>
        <v>0</v>
      </c>
    </row>
    <row r="374" spans="1:33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504"/>
      <c r="F374" s="504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21"/>
      <c r="R374" s="213"/>
      <c r="S374" s="215"/>
      <c r="T374" s="214"/>
      <c r="U374" s="630"/>
      <c r="V374" s="667"/>
      <c r="W374" s="668"/>
      <c r="X374" s="668"/>
      <c r="Y374" s="643">
        <v>0</v>
      </c>
      <c r="Z374" s="616">
        <f t="shared" si="9"/>
        <v>0</v>
      </c>
      <c r="AA374" s="633"/>
      <c r="AB374" s="648"/>
      <c r="AC374" s="648"/>
      <c r="AD374" s="7"/>
      <c r="AE374" s="24"/>
      <c r="AF374" s="7"/>
      <c r="AG374" s="618">
        <f t="shared" si="8"/>
        <v>0</v>
      </c>
    </row>
    <row r="375" spans="1:33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412"/>
      <c r="F375" s="412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21"/>
      <c r="R375" s="213"/>
      <c r="S375" s="215"/>
      <c r="T375" s="214"/>
      <c r="U375" s="630"/>
      <c r="V375" s="667"/>
      <c r="W375" s="668"/>
      <c r="X375" s="668"/>
      <c r="Y375" s="643">
        <v>0</v>
      </c>
      <c r="Z375" s="616">
        <f t="shared" si="9"/>
        <v>0</v>
      </c>
      <c r="AA375" s="633"/>
      <c r="AB375" s="636"/>
      <c r="AC375" s="636"/>
      <c r="AD375" s="7"/>
      <c r="AE375" s="24"/>
      <c r="AF375" s="7"/>
      <c r="AG375" s="618">
        <f t="shared" si="8"/>
        <v>0</v>
      </c>
    </row>
    <row r="376" spans="1:33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504"/>
      <c r="F376" s="504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21"/>
      <c r="R376" s="213"/>
      <c r="S376" s="215"/>
      <c r="T376" s="214"/>
      <c r="U376" s="630"/>
      <c r="V376" s="667"/>
      <c r="W376" s="668"/>
      <c r="X376" s="668"/>
      <c r="Y376" s="643">
        <v>0</v>
      </c>
      <c r="Z376" s="616">
        <f t="shared" si="9"/>
        <v>0</v>
      </c>
      <c r="AA376" s="633"/>
      <c r="AB376" s="648"/>
      <c r="AC376" s="648"/>
      <c r="AD376" s="7"/>
      <c r="AE376" s="24"/>
      <c r="AF376" s="7"/>
      <c r="AG376" s="618">
        <f t="shared" si="8"/>
        <v>0</v>
      </c>
    </row>
    <row r="377" spans="1:33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504"/>
      <c r="F377" s="504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21"/>
      <c r="R377" s="213"/>
      <c r="S377" s="215"/>
      <c r="T377" s="214"/>
      <c r="U377" s="630"/>
      <c r="V377" s="667"/>
      <c r="W377" s="668"/>
      <c r="X377" s="668"/>
      <c r="Y377" s="643">
        <v>0</v>
      </c>
      <c r="Z377" s="616">
        <f t="shared" si="9"/>
        <v>0</v>
      </c>
      <c r="AA377" s="633"/>
      <c r="AB377" s="648"/>
      <c r="AC377" s="648"/>
      <c r="AD377" s="7"/>
      <c r="AE377" s="24"/>
      <c r="AF377" s="7"/>
      <c r="AG377" s="618">
        <f t="shared" si="8"/>
        <v>0</v>
      </c>
    </row>
    <row r="378" spans="1:33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412"/>
      <c r="F378" s="412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21"/>
      <c r="R378" s="213"/>
      <c r="S378" s="215"/>
      <c r="T378" s="214"/>
      <c r="U378" s="630"/>
      <c r="V378" s="667"/>
      <c r="W378" s="668"/>
      <c r="X378" s="668"/>
      <c r="Y378" s="643">
        <v>0</v>
      </c>
      <c r="Z378" s="616">
        <f t="shared" si="9"/>
        <v>0</v>
      </c>
      <c r="AA378" s="633"/>
      <c r="AB378" s="636"/>
      <c r="AC378" s="636"/>
      <c r="AD378" s="7"/>
      <c r="AE378" s="24"/>
      <c r="AF378" s="7"/>
      <c r="AG378" s="618">
        <f t="shared" si="8"/>
        <v>0</v>
      </c>
    </row>
    <row r="379" spans="1:33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504"/>
      <c r="F379" s="504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21"/>
      <c r="R379" s="213"/>
      <c r="S379" s="215"/>
      <c r="T379" s="214"/>
      <c r="U379" s="630"/>
      <c r="V379" s="667"/>
      <c r="W379" s="668"/>
      <c r="X379" s="668"/>
      <c r="Y379" s="643">
        <v>0</v>
      </c>
      <c r="Z379" s="616">
        <f t="shared" si="9"/>
        <v>0</v>
      </c>
      <c r="AA379" s="633"/>
      <c r="AB379" s="648"/>
      <c r="AC379" s="648"/>
      <c r="AD379" s="7"/>
      <c r="AE379" s="24"/>
      <c r="AF379" s="7"/>
      <c r="AG379" s="618">
        <f t="shared" si="8"/>
        <v>0</v>
      </c>
    </row>
    <row r="380" spans="1:33" ht="21.75" customHeight="1">
      <c r="A380" s="503" t="s">
        <v>1499</v>
      </c>
      <c r="B380" s="483" t="s">
        <v>828</v>
      </c>
      <c r="C380" s="658" t="s">
        <v>829</v>
      </c>
      <c r="D380" s="504" t="s">
        <v>1703</v>
      </c>
      <c r="E380" s="504"/>
      <c r="F380" s="504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21"/>
      <c r="R380" s="213"/>
      <c r="S380" s="215"/>
      <c r="T380" s="214"/>
      <c r="U380" s="630"/>
      <c r="V380" s="667"/>
      <c r="W380" s="668"/>
      <c r="X380" s="668"/>
      <c r="Y380" s="643">
        <v>0</v>
      </c>
      <c r="Z380" s="616">
        <f t="shared" si="9"/>
        <v>0</v>
      </c>
      <c r="AA380" s="633"/>
      <c r="AB380" s="648"/>
      <c r="AC380" s="648"/>
      <c r="AD380" s="7"/>
      <c r="AE380" s="24"/>
      <c r="AF380" s="7"/>
      <c r="AG380" s="618">
        <f t="shared" si="8"/>
        <v>0</v>
      </c>
    </row>
    <row r="381" spans="1:33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504"/>
      <c r="F381" s="504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21"/>
      <c r="R381" s="213"/>
      <c r="S381" s="215"/>
      <c r="T381" s="214"/>
      <c r="U381" s="630"/>
      <c r="V381" s="667"/>
      <c r="W381" s="668"/>
      <c r="X381" s="668"/>
      <c r="Y381" s="643">
        <v>0</v>
      </c>
      <c r="Z381" s="616">
        <f t="shared" si="9"/>
        <v>0</v>
      </c>
      <c r="AA381" s="633"/>
      <c r="AB381" s="648"/>
      <c r="AC381" s="648"/>
      <c r="AD381" s="7"/>
      <c r="AE381" s="24"/>
      <c r="AF381" s="7"/>
      <c r="AG381" s="618">
        <f t="shared" si="8"/>
        <v>0</v>
      </c>
    </row>
    <row r="382" spans="1:33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412"/>
      <c r="F382" s="412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21"/>
      <c r="R382" s="213"/>
      <c r="S382" s="215"/>
      <c r="T382" s="214"/>
      <c r="U382" s="630"/>
      <c r="V382" s="667"/>
      <c r="W382" s="668"/>
      <c r="X382" s="668"/>
      <c r="Y382" s="643">
        <v>0</v>
      </c>
      <c r="Z382" s="616">
        <f t="shared" si="9"/>
        <v>0</v>
      </c>
      <c r="AA382" s="633"/>
      <c r="AB382" s="636"/>
      <c r="AC382" s="636"/>
      <c r="AD382" s="7"/>
      <c r="AE382" s="24"/>
      <c r="AF382" s="7"/>
      <c r="AG382" s="618">
        <f t="shared" si="8"/>
        <v>0</v>
      </c>
    </row>
    <row r="383" spans="1:33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412"/>
      <c r="F383" s="412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21"/>
      <c r="R383" s="213"/>
      <c r="S383" s="215"/>
      <c r="T383" s="214"/>
      <c r="U383" s="630"/>
      <c r="V383" s="667"/>
      <c r="W383" s="668"/>
      <c r="X383" s="668"/>
      <c r="Y383" s="643">
        <v>0</v>
      </c>
      <c r="Z383" s="616">
        <f t="shared" si="9"/>
        <v>0</v>
      </c>
      <c r="AA383" s="633"/>
      <c r="AB383" s="636"/>
      <c r="AC383" s="636"/>
      <c r="AD383" s="7"/>
      <c r="AE383" s="24"/>
      <c r="AF383" s="7"/>
      <c r="AG383" s="618">
        <f t="shared" si="8"/>
        <v>0</v>
      </c>
    </row>
    <row r="384" spans="1:33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485"/>
      <c r="F384" s="485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21"/>
      <c r="R384" s="213"/>
      <c r="S384" s="215"/>
      <c r="T384" s="214"/>
      <c r="U384" s="630"/>
      <c r="V384" s="667"/>
      <c r="W384" s="668"/>
      <c r="X384" s="668"/>
      <c r="Y384" s="643">
        <v>0</v>
      </c>
      <c r="Z384" s="616">
        <f t="shared" si="9"/>
        <v>0</v>
      </c>
      <c r="AA384" s="633"/>
      <c r="AB384" s="648"/>
      <c r="AC384" s="648"/>
      <c r="AD384" s="7"/>
      <c r="AE384" s="24"/>
      <c r="AF384" s="7"/>
      <c r="AG384" s="618">
        <f t="shared" si="8"/>
        <v>0</v>
      </c>
    </row>
    <row r="385" spans="1:33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485"/>
      <c r="F385" s="485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21"/>
      <c r="R385" s="213"/>
      <c r="S385" s="215"/>
      <c r="T385" s="214"/>
      <c r="U385" s="630"/>
      <c r="V385" s="667"/>
      <c r="W385" s="668"/>
      <c r="X385" s="668"/>
      <c r="Y385" s="643">
        <v>0</v>
      </c>
      <c r="Z385" s="616">
        <f t="shared" si="9"/>
        <v>0</v>
      </c>
      <c r="AA385" s="633"/>
      <c r="AB385" s="648"/>
      <c r="AC385" s="648"/>
      <c r="AD385" s="7"/>
      <c r="AE385" s="24"/>
      <c r="AF385" s="7"/>
      <c r="AG385" s="618">
        <f t="shared" si="8"/>
        <v>0</v>
      </c>
    </row>
    <row r="386" spans="1:33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485"/>
      <c r="F386" s="485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21"/>
      <c r="R386" s="213"/>
      <c r="S386" s="215"/>
      <c r="T386" s="214"/>
      <c r="U386" s="630"/>
      <c r="V386" s="667"/>
      <c r="W386" s="668"/>
      <c r="X386" s="668"/>
      <c r="Y386" s="643">
        <v>0</v>
      </c>
      <c r="Z386" s="616">
        <f t="shared" si="9"/>
        <v>0</v>
      </c>
      <c r="AA386" s="633"/>
      <c r="AB386" s="648"/>
      <c r="AC386" s="648"/>
      <c r="AD386" s="7"/>
      <c r="AE386" s="24"/>
      <c r="AF386" s="7"/>
      <c r="AG386" s="618">
        <f t="shared" si="8"/>
        <v>0</v>
      </c>
    </row>
    <row r="387" spans="1:33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485"/>
      <c r="F387" s="485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21"/>
      <c r="R387" s="213"/>
      <c r="S387" s="215"/>
      <c r="T387" s="214"/>
      <c r="U387" s="630"/>
      <c r="V387" s="667"/>
      <c r="W387" s="668"/>
      <c r="X387" s="668"/>
      <c r="Y387" s="643">
        <v>0</v>
      </c>
      <c r="Z387" s="616">
        <f t="shared" si="9"/>
        <v>0</v>
      </c>
      <c r="AA387" s="633"/>
      <c r="AB387" s="648"/>
      <c r="AC387" s="648"/>
      <c r="AD387" s="7"/>
      <c r="AE387" s="24"/>
      <c r="AF387" s="7"/>
      <c r="AG387" s="618">
        <f t="shared" si="8"/>
        <v>0</v>
      </c>
    </row>
    <row r="388" spans="1:33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412"/>
      <c r="F388" s="412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21"/>
      <c r="R388" s="213"/>
      <c r="S388" s="215"/>
      <c r="T388" s="214"/>
      <c r="U388" s="630"/>
      <c r="V388" s="667"/>
      <c r="W388" s="668"/>
      <c r="X388" s="668"/>
      <c r="Y388" s="643">
        <v>0</v>
      </c>
      <c r="Z388" s="616">
        <f t="shared" si="9"/>
        <v>0</v>
      </c>
      <c r="AA388" s="633"/>
      <c r="AB388" s="636"/>
      <c r="AC388" s="636"/>
      <c r="AD388" s="7"/>
      <c r="AE388" s="24"/>
      <c r="AF388" s="7"/>
      <c r="AG388" s="618">
        <f t="shared" si="8"/>
        <v>0</v>
      </c>
    </row>
    <row r="389" spans="1:33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412"/>
      <c r="F389" s="412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21"/>
      <c r="R389" s="213"/>
      <c r="S389" s="215"/>
      <c r="T389" s="214"/>
      <c r="U389" s="630"/>
      <c r="V389" s="667"/>
      <c r="W389" s="668"/>
      <c r="X389" s="668"/>
      <c r="Y389" s="643">
        <v>0</v>
      </c>
      <c r="Z389" s="616">
        <f t="shared" si="9"/>
        <v>0</v>
      </c>
      <c r="AA389" s="633"/>
      <c r="AB389" s="636"/>
      <c r="AC389" s="636"/>
      <c r="AD389" s="7"/>
      <c r="AE389" s="24"/>
      <c r="AF389" s="7"/>
      <c r="AG389" s="618">
        <f t="shared" si="8"/>
        <v>0</v>
      </c>
    </row>
    <row r="390" spans="1:33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515"/>
      <c r="F390" s="515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21"/>
      <c r="R390" s="213"/>
      <c r="S390" s="215"/>
      <c r="T390" s="214"/>
      <c r="U390" s="630"/>
      <c r="V390" s="670"/>
      <c r="W390" s="671"/>
      <c r="X390" s="671"/>
      <c r="Y390" s="643">
        <v>0</v>
      </c>
      <c r="Z390" s="616">
        <f t="shared" si="9"/>
        <v>0</v>
      </c>
      <c r="AA390" s="633"/>
      <c r="AB390" s="636"/>
      <c r="AC390" s="636"/>
      <c r="AD390" s="7"/>
      <c r="AE390" s="24"/>
      <c r="AF390" s="7"/>
      <c r="AG390" s="618">
        <f t="shared" si="8"/>
        <v>0</v>
      </c>
    </row>
    <row r="391" spans="1:33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515"/>
      <c r="F391" s="515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21"/>
      <c r="R391" s="213"/>
      <c r="S391" s="215"/>
      <c r="T391" s="214"/>
      <c r="U391" s="630"/>
      <c r="V391" s="670"/>
      <c r="W391" s="671"/>
      <c r="X391" s="671"/>
      <c r="Y391" s="643">
        <v>0</v>
      </c>
      <c r="Z391" s="616">
        <f t="shared" si="9"/>
        <v>0</v>
      </c>
      <c r="AA391" s="633"/>
      <c r="AB391" s="636"/>
      <c r="AC391" s="636"/>
      <c r="AD391" s="7"/>
      <c r="AE391" s="24"/>
      <c r="AF391" s="7"/>
      <c r="AG391" s="618">
        <f t="shared" si="8"/>
        <v>0</v>
      </c>
    </row>
    <row r="392" spans="1:33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515"/>
      <c r="F392" s="515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21"/>
      <c r="R392" s="213"/>
      <c r="S392" s="215"/>
      <c r="T392" s="214"/>
      <c r="U392" s="630"/>
      <c r="V392" s="670"/>
      <c r="W392" s="671"/>
      <c r="X392" s="671"/>
      <c r="Y392" s="643">
        <v>0</v>
      </c>
      <c r="Z392" s="616">
        <f t="shared" si="9"/>
        <v>0</v>
      </c>
      <c r="AA392" s="633"/>
      <c r="AB392" s="636"/>
      <c r="AC392" s="636"/>
      <c r="AD392" s="7"/>
      <c r="AE392" s="24"/>
      <c r="AF392" s="7"/>
      <c r="AG392" s="618">
        <f t="shared" si="8"/>
        <v>0</v>
      </c>
    </row>
    <row r="393" spans="1:33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515"/>
      <c r="F393" s="515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21"/>
      <c r="R393" s="213"/>
      <c r="S393" s="215"/>
      <c r="T393" s="214"/>
      <c r="U393" s="630"/>
      <c r="V393" s="670"/>
      <c r="W393" s="671"/>
      <c r="X393" s="671"/>
      <c r="Y393" s="643">
        <v>0</v>
      </c>
      <c r="Z393" s="616">
        <f t="shared" si="9"/>
        <v>0</v>
      </c>
      <c r="AA393" s="633"/>
      <c r="AB393" s="636"/>
      <c r="AC393" s="636"/>
      <c r="AD393" s="7"/>
      <c r="AE393" s="24"/>
      <c r="AF393" s="7"/>
      <c r="AG393" s="618">
        <f t="shared" si="8"/>
        <v>0</v>
      </c>
    </row>
    <row r="394" spans="1:33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485"/>
      <c r="F394" s="485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21"/>
      <c r="R394" s="213"/>
      <c r="S394" s="215"/>
      <c r="T394" s="214"/>
      <c r="U394" s="630"/>
      <c r="V394" s="667"/>
      <c r="W394" s="668"/>
      <c r="X394" s="668"/>
      <c r="Y394" s="643">
        <v>0</v>
      </c>
      <c r="Z394" s="616">
        <f t="shared" si="9"/>
        <v>0</v>
      </c>
      <c r="AA394" s="633"/>
      <c r="AB394" s="634"/>
      <c r="AC394" s="634"/>
      <c r="AD394" s="7"/>
      <c r="AE394" s="24"/>
      <c r="AF394" s="7"/>
      <c r="AG394" s="618">
        <f t="shared" si="8"/>
        <v>0</v>
      </c>
    </row>
    <row r="395" spans="1:33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485"/>
      <c r="F395" s="485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21"/>
      <c r="R395" s="213"/>
      <c r="S395" s="215"/>
      <c r="T395" s="214"/>
      <c r="U395" s="630"/>
      <c r="V395" s="667"/>
      <c r="W395" s="668"/>
      <c r="X395" s="668"/>
      <c r="Y395" s="643">
        <v>0</v>
      </c>
      <c r="Z395" s="616">
        <f t="shared" si="9"/>
        <v>0</v>
      </c>
      <c r="AA395" s="633"/>
      <c r="AB395" s="634"/>
      <c r="AC395" s="634"/>
      <c r="AD395" s="7"/>
      <c r="AE395" s="24"/>
      <c r="AF395" s="7"/>
      <c r="AG395" s="618">
        <f t="shared" si="8"/>
        <v>0</v>
      </c>
    </row>
    <row r="396" spans="1:33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485"/>
      <c r="F396" s="485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21"/>
      <c r="R396" s="213"/>
      <c r="S396" s="215"/>
      <c r="T396" s="214"/>
      <c r="U396" s="630"/>
      <c r="V396" s="667"/>
      <c r="W396" s="668"/>
      <c r="X396" s="668"/>
      <c r="Y396" s="643">
        <v>0</v>
      </c>
      <c r="Z396" s="616">
        <f t="shared" si="9"/>
        <v>0</v>
      </c>
      <c r="AA396" s="633"/>
      <c r="AB396" s="634"/>
      <c r="AC396" s="634"/>
      <c r="AD396" s="7"/>
      <c r="AE396" s="24"/>
      <c r="AF396" s="7"/>
      <c r="AG396" s="618">
        <f t="shared" si="8"/>
        <v>0</v>
      </c>
    </row>
    <row r="397" spans="1:33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412"/>
      <c r="F397" s="412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21"/>
      <c r="R397" s="213"/>
      <c r="S397" s="215"/>
      <c r="T397" s="214"/>
      <c r="U397" s="630"/>
      <c r="V397" s="667"/>
      <c r="W397" s="668"/>
      <c r="X397" s="668"/>
      <c r="Y397" s="643">
        <v>0</v>
      </c>
      <c r="Z397" s="616">
        <f t="shared" si="9"/>
        <v>0</v>
      </c>
      <c r="AA397" s="633"/>
      <c r="AB397" s="636"/>
      <c r="AC397" s="636"/>
      <c r="AD397" s="7"/>
      <c r="AE397" s="24"/>
      <c r="AF397" s="7"/>
      <c r="AG397" s="618">
        <f t="shared" si="8"/>
        <v>0</v>
      </c>
    </row>
    <row r="398" spans="1:33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485"/>
      <c r="F398" s="485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21"/>
      <c r="R398" s="213"/>
      <c r="S398" s="215"/>
      <c r="T398" s="214"/>
      <c r="U398" s="630"/>
      <c r="V398" s="667"/>
      <c r="W398" s="668"/>
      <c r="X398" s="668"/>
      <c r="Y398" s="643">
        <v>0</v>
      </c>
      <c r="Z398" s="616">
        <f t="shared" si="9"/>
        <v>0</v>
      </c>
      <c r="AA398" s="633"/>
      <c r="AB398" s="634"/>
      <c r="AC398" s="634"/>
      <c r="AD398" s="7"/>
      <c r="AE398" s="24"/>
      <c r="AF398" s="7"/>
      <c r="AG398" s="618">
        <f t="shared" si="8"/>
        <v>0</v>
      </c>
    </row>
    <row r="399" spans="1:33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485"/>
      <c r="F399" s="485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21"/>
      <c r="R399" s="213"/>
      <c r="S399" s="215"/>
      <c r="T399" s="214"/>
      <c r="U399" s="630"/>
      <c r="V399" s="667"/>
      <c r="W399" s="668"/>
      <c r="X399" s="668"/>
      <c r="Y399" s="643">
        <v>0</v>
      </c>
      <c r="Z399" s="616">
        <f t="shared" si="9"/>
        <v>0</v>
      </c>
      <c r="AA399" s="633"/>
      <c r="AB399" s="634"/>
      <c r="AC399" s="634"/>
      <c r="AD399" s="7"/>
      <c r="AE399" s="24"/>
      <c r="AF399" s="7"/>
      <c r="AG399" s="618">
        <f t="shared" si="8"/>
        <v>0</v>
      </c>
    </row>
    <row r="400" spans="1:33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412"/>
      <c r="F400" s="412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21"/>
      <c r="R400" s="213"/>
      <c r="S400" s="215"/>
      <c r="T400" s="214"/>
      <c r="U400" s="630"/>
      <c r="V400" s="667"/>
      <c r="W400" s="668"/>
      <c r="X400" s="668"/>
      <c r="Y400" s="643">
        <v>0</v>
      </c>
      <c r="Z400" s="616">
        <f t="shared" si="9"/>
        <v>0</v>
      </c>
      <c r="AA400" s="633"/>
      <c r="AB400" s="636"/>
      <c r="AC400" s="636"/>
      <c r="AD400" s="7"/>
      <c r="AE400" s="24"/>
      <c r="AF400" s="7"/>
      <c r="AG400" s="618">
        <f t="shared" si="8"/>
        <v>0</v>
      </c>
    </row>
    <row r="401" spans="1:33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485"/>
      <c r="F401" s="485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21"/>
      <c r="R401" s="213"/>
      <c r="S401" s="215"/>
      <c r="T401" s="214"/>
      <c r="U401" s="630"/>
      <c r="V401" s="667"/>
      <c r="W401" s="668"/>
      <c r="X401" s="668"/>
      <c r="Y401" s="643">
        <v>0</v>
      </c>
      <c r="Z401" s="616">
        <f t="shared" si="9"/>
        <v>0</v>
      </c>
      <c r="AA401" s="633"/>
      <c r="AB401" s="634"/>
      <c r="AC401" s="634"/>
      <c r="AD401" s="7"/>
      <c r="AE401" s="24"/>
      <c r="AF401" s="7"/>
      <c r="AG401" s="618">
        <f t="shared" si="8"/>
        <v>0</v>
      </c>
    </row>
    <row r="402" spans="1:33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485"/>
      <c r="F402" s="485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21"/>
      <c r="R402" s="213"/>
      <c r="S402" s="215"/>
      <c r="T402" s="214"/>
      <c r="U402" s="630"/>
      <c r="V402" s="667"/>
      <c r="W402" s="668"/>
      <c r="X402" s="668"/>
      <c r="Y402" s="643">
        <v>0</v>
      </c>
      <c r="Z402" s="616">
        <f t="shared" si="9"/>
        <v>0</v>
      </c>
      <c r="AA402" s="633"/>
      <c r="AB402" s="634"/>
      <c r="AC402" s="634"/>
      <c r="AD402" s="7"/>
      <c r="AE402" s="24"/>
      <c r="AF402" s="7"/>
      <c r="AG402" s="618">
        <f t="shared" si="8"/>
        <v>0</v>
      </c>
    </row>
    <row r="403" spans="1:33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515"/>
      <c r="F403" s="515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21"/>
      <c r="R403" s="213"/>
      <c r="S403" s="215"/>
      <c r="T403" s="214"/>
      <c r="U403" s="630"/>
      <c r="V403" s="670"/>
      <c r="W403" s="671"/>
      <c r="X403" s="671"/>
      <c r="Y403" s="643">
        <v>0</v>
      </c>
      <c r="Z403" s="616">
        <f t="shared" si="9"/>
        <v>0</v>
      </c>
      <c r="AA403" s="633"/>
      <c r="AB403" s="634"/>
      <c r="AC403" s="634"/>
      <c r="AD403" s="7"/>
      <c r="AE403" s="24"/>
      <c r="AF403" s="7"/>
      <c r="AG403" s="618">
        <f t="shared" si="8"/>
        <v>0</v>
      </c>
    </row>
    <row r="404" spans="1:33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515"/>
      <c r="F404" s="515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21"/>
      <c r="R404" s="213"/>
      <c r="S404" s="215"/>
      <c r="T404" s="214"/>
      <c r="U404" s="630"/>
      <c r="V404" s="670"/>
      <c r="W404" s="671"/>
      <c r="X404" s="671"/>
      <c r="Y404" s="643">
        <v>0</v>
      </c>
      <c r="Z404" s="616">
        <f t="shared" si="9"/>
        <v>0</v>
      </c>
      <c r="AA404" s="633"/>
      <c r="AB404" s="640"/>
      <c r="AC404" s="640"/>
      <c r="AD404" s="7"/>
      <c r="AE404" s="24"/>
      <c r="AF404" s="7"/>
      <c r="AG404" s="618">
        <f t="shared" ref="AG404:AG447" si="10">AE404-Z404</f>
        <v>0</v>
      </c>
    </row>
    <row r="405" spans="1:33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515"/>
      <c r="F405" s="515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21"/>
      <c r="R405" s="213"/>
      <c r="S405" s="215"/>
      <c r="T405" s="214"/>
      <c r="U405" s="630"/>
      <c r="V405" s="670"/>
      <c r="W405" s="671"/>
      <c r="X405" s="671"/>
      <c r="Y405" s="643">
        <v>0</v>
      </c>
      <c r="Z405" s="616">
        <f t="shared" si="9"/>
        <v>0</v>
      </c>
      <c r="AA405" s="633"/>
      <c r="AB405" s="636"/>
      <c r="AC405" s="636"/>
      <c r="AD405" s="7"/>
      <c r="AE405" s="24"/>
      <c r="AF405" s="7"/>
      <c r="AG405" s="618">
        <f t="shared" si="10"/>
        <v>0</v>
      </c>
    </row>
    <row r="406" spans="1:33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515"/>
      <c r="F406" s="515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21"/>
      <c r="R406" s="213"/>
      <c r="S406" s="215"/>
      <c r="T406" s="214"/>
      <c r="U406" s="630"/>
      <c r="V406" s="670"/>
      <c r="W406" s="671"/>
      <c r="X406" s="671"/>
      <c r="Y406" s="643">
        <v>0</v>
      </c>
      <c r="Z406" s="616">
        <f t="shared" si="9"/>
        <v>0</v>
      </c>
      <c r="AA406" s="633"/>
      <c r="AB406" s="636"/>
      <c r="AC406" s="636"/>
      <c r="AD406" s="7"/>
      <c r="AE406" s="24"/>
      <c r="AF406" s="7"/>
      <c r="AG406" s="618">
        <f t="shared" si="10"/>
        <v>0</v>
      </c>
    </row>
    <row r="407" spans="1:33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515"/>
      <c r="F407" s="515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21"/>
      <c r="R407" s="213"/>
      <c r="S407" s="215"/>
      <c r="T407" s="214"/>
      <c r="U407" s="630"/>
      <c r="V407" s="670"/>
      <c r="W407" s="671"/>
      <c r="X407" s="671"/>
      <c r="Y407" s="643">
        <v>0</v>
      </c>
      <c r="Z407" s="616">
        <f t="shared" si="9"/>
        <v>0</v>
      </c>
      <c r="AA407" s="633"/>
      <c r="AB407" s="636"/>
      <c r="AC407" s="636"/>
      <c r="AD407" s="7"/>
      <c r="AE407" s="24"/>
      <c r="AF407" s="7"/>
      <c r="AG407" s="618">
        <f t="shared" si="10"/>
        <v>0</v>
      </c>
    </row>
    <row r="408" spans="1:33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515"/>
      <c r="F408" s="515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21"/>
      <c r="R408" s="213"/>
      <c r="S408" s="215"/>
      <c r="T408" s="214"/>
      <c r="U408" s="630"/>
      <c r="V408" s="670"/>
      <c r="W408" s="671"/>
      <c r="X408" s="671"/>
      <c r="Y408" s="643">
        <v>0</v>
      </c>
      <c r="Z408" s="616">
        <f t="shared" si="9"/>
        <v>0</v>
      </c>
      <c r="AA408" s="633"/>
      <c r="AB408" s="636"/>
      <c r="AC408" s="636"/>
      <c r="AD408" s="7"/>
      <c r="AE408" s="24"/>
      <c r="AF408" s="7"/>
      <c r="AG408" s="618">
        <f t="shared" si="10"/>
        <v>0</v>
      </c>
    </row>
    <row r="409" spans="1:33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515"/>
      <c r="F409" s="515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21"/>
      <c r="R409" s="213"/>
      <c r="S409" s="215"/>
      <c r="T409" s="214"/>
      <c r="U409" s="630"/>
      <c r="V409" s="670"/>
      <c r="W409" s="671"/>
      <c r="X409" s="671"/>
      <c r="Y409" s="643">
        <v>0</v>
      </c>
      <c r="Z409" s="616">
        <f t="shared" si="9"/>
        <v>0</v>
      </c>
      <c r="AA409" s="633"/>
      <c r="AB409" s="636"/>
      <c r="AC409" s="636"/>
      <c r="AD409" s="7"/>
      <c r="AE409" s="24"/>
      <c r="AF409" s="7"/>
      <c r="AG409" s="618">
        <f t="shared" si="10"/>
        <v>0</v>
      </c>
    </row>
    <row r="410" spans="1:33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515"/>
      <c r="F410" s="515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21"/>
      <c r="R410" s="213"/>
      <c r="S410" s="215"/>
      <c r="T410" s="214"/>
      <c r="U410" s="630"/>
      <c r="V410" s="670"/>
      <c r="W410" s="671"/>
      <c r="X410" s="671"/>
      <c r="Y410" s="643">
        <v>0</v>
      </c>
      <c r="Z410" s="616">
        <f t="shared" si="9"/>
        <v>0</v>
      </c>
      <c r="AA410" s="633"/>
      <c r="AB410" s="636"/>
      <c r="AC410" s="636"/>
      <c r="AD410" s="7"/>
      <c r="AE410" s="24"/>
      <c r="AF410" s="7"/>
      <c r="AG410" s="618">
        <f t="shared" si="10"/>
        <v>0</v>
      </c>
    </row>
    <row r="411" spans="1:33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515"/>
      <c r="F411" s="515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21"/>
      <c r="R411" s="213"/>
      <c r="S411" s="215"/>
      <c r="T411" s="214"/>
      <c r="U411" s="630"/>
      <c r="V411" s="670"/>
      <c r="W411" s="671"/>
      <c r="X411" s="671"/>
      <c r="Y411" s="643">
        <v>0</v>
      </c>
      <c r="Z411" s="616">
        <f t="shared" si="9"/>
        <v>0</v>
      </c>
      <c r="AA411" s="633"/>
      <c r="AB411" s="636"/>
      <c r="AC411" s="636"/>
      <c r="AD411" s="7"/>
      <c r="AE411" s="24"/>
      <c r="AF411" s="7"/>
      <c r="AG411" s="618">
        <f t="shared" si="10"/>
        <v>0</v>
      </c>
    </row>
    <row r="412" spans="1:33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515"/>
      <c r="F412" s="515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21"/>
      <c r="R412" s="213"/>
      <c r="S412" s="215"/>
      <c r="T412" s="214"/>
      <c r="U412" s="630"/>
      <c r="V412" s="670"/>
      <c r="W412" s="671"/>
      <c r="X412" s="671"/>
      <c r="Y412" s="643">
        <v>0</v>
      </c>
      <c r="Z412" s="616">
        <f t="shared" si="9"/>
        <v>0</v>
      </c>
      <c r="AA412" s="633"/>
      <c r="AB412" s="636"/>
      <c r="AC412" s="636"/>
      <c r="AD412" s="7"/>
      <c r="AE412" s="24"/>
      <c r="AF412" s="7"/>
      <c r="AG412" s="618">
        <f t="shared" si="10"/>
        <v>0</v>
      </c>
    </row>
    <row r="413" spans="1:33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515"/>
      <c r="F413" s="515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21"/>
      <c r="R413" s="213"/>
      <c r="S413" s="215"/>
      <c r="T413" s="214"/>
      <c r="U413" s="630"/>
      <c r="V413" s="670"/>
      <c r="W413" s="671"/>
      <c r="X413" s="671"/>
      <c r="Y413" s="643">
        <v>0</v>
      </c>
      <c r="Z413" s="616">
        <f t="shared" si="9"/>
        <v>0</v>
      </c>
      <c r="AA413" s="633"/>
      <c r="AB413" s="636"/>
      <c r="AC413" s="636"/>
      <c r="AD413" s="7"/>
      <c r="AE413" s="24"/>
      <c r="AF413" s="7"/>
      <c r="AG413" s="618">
        <f t="shared" si="10"/>
        <v>0</v>
      </c>
    </row>
    <row r="414" spans="1:33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515"/>
      <c r="F414" s="515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21"/>
      <c r="R414" s="213"/>
      <c r="S414" s="215"/>
      <c r="T414" s="214"/>
      <c r="U414" s="630"/>
      <c r="V414" s="670"/>
      <c r="W414" s="671"/>
      <c r="X414" s="671"/>
      <c r="Y414" s="643">
        <v>0</v>
      </c>
      <c r="Z414" s="616">
        <f t="shared" si="9"/>
        <v>0</v>
      </c>
      <c r="AA414" s="633"/>
      <c r="AB414" s="636"/>
      <c r="AC414" s="636"/>
      <c r="AD414" s="7"/>
      <c r="AE414" s="24"/>
      <c r="AF414" s="7"/>
      <c r="AG414" s="618">
        <f t="shared" si="10"/>
        <v>0</v>
      </c>
    </row>
    <row r="415" spans="1:33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515"/>
      <c r="F415" s="515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21"/>
      <c r="R415" s="213"/>
      <c r="S415" s="215"/>
      <c r="T415" s="214"/>
      <c r="U415" s="630"/>
      <c r="V415" s="670"/>
      <c r="W415" s="671"/>
      <c r="X415" s="671"/>
      <c r="Y415" s="643">
        <v>0</v>
      </c>
      <c r="Z415" s="616">
        <f t="shared" si="9"/>
        <v>0</v>
      </c>
      <c r="AA415" s="633"/>
      <c r="AB415" s="636"/>
      <c r="AC415" s="636"/>
      <c r="AD415" s="7"/>
      <c r="AE415" s="24"/>
      <c r="AF415" s="7"/>
      <c r="AG415" s="618">
        <f t="shared" si="10"/>
        <v>0</v>
      </c>
    </row>
    <row r="416" spans="1:33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515"/>
      <c r="F416" s="515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21"/>
      <c r="R416" s="213"/>
      <c r="S416" s="215"/>
      <c r="T416" s="214"/>
      <c r="U416" s="630"/>
      <c r="V416" s="670"/>
      <c r="W416" s="671"/>
      <c r="X416" s="671"/>
      <c r="Y416" s="643">
        <v>0</v>
      </c>
      <c r="Z416" s="616">
        <f t="shared" si="9"/>
        <v>0</v>
      </c>
      <c r="AA416" s="633"/>
      <c r="AB416" s="636"/>
      <c r="AC416" s="636"/>
      <c r="AD416" s="7"/>
      <c r="AE416" s="24"/>
      <c r="AF416" s="7"/>
      <c r="AG416" s="618">
        <f t="shared" si="10"/>
        <v>0</v>
      </c>
    </row>
    <row r="417" spans="1:33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515"/>
      <c r="F417" s="515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21"/>
      <c r="R417" s="213"/>
      <c r="S417" s="215"/>
      <c r="T417" s="214"/>
      <c r="U417" s="630"/>
      <c r="V417" s="670"/>
      <c r="W417" s="671"/>
      <c r="X417" s="671"/>
      <c r="Y417" s="643">
        <v>0</v>
      </c>
      <c r="Z417" s="616">
        <f t="shared" si="9"/>
        <v>0</v>
      </c>
      <c r="AA417" s="633"/>
      <c r="AB417" s="636"/>
      <c r="AC417" s="636"/>
      <c r="AD417" s="7"/>
      <c r="AE417" s="24"/>
      <c r="AF417" s="7"/>
      <c r="AG417" s="618">
        <f t="shared" si="10"/>
        <v>0</v>
      </c>
    </row>
    <row r="418" spans="1:33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515"/>
      <c r="F418" s="515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21"/>
      <c r="R418" s="213"/>
      <c r="S418" s="215"/>
      <c r="T418" s="214"/>
      <c r="U418" s="630"/>
      <c r="V418" s="670"/>
      <c r="W418" s="671"/>
      <c r="X418" s="671"/>
      <c r="Y418" s="643">
        <v>0</v>
      </c>
      <c r="Z418" s="616">
        <f t="shared" si="9"/>
        <v>0</v>
      </c>
      <c r="AA418" s="633"/>
      <c r="AB418" s="636"/>
      <c r="AC418" s="636"/>
      <c r="AD418" s="7"/>
      <c r="AE418" s="24"/>
      <c r="AF418" s="7"/>
      <c r="AG418" s="618">
        <f t="shared" si="10"/>
        <v>0</v>
      </c>
    </row>
    <row r="419" spans="1:33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515"/>
      <c r="F419" s="515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21"/>
      <c r="R419" s="213"/>
      <c r="S419" s="215"/>
      <c r="T419" s="214"/>
      <c r="U419" s="630"/>
      <c r="V419" s="670"/>
      <c r="W419" s="671"/>
      <c r="X419" s="671"/>
      <c r="Y419" s="643">
        <v>0</v>
      </c>
      <c r="Z419" s="616">
        <f t="shared" si="9"/>
        <v>0</v>
      </c>
      <c r="AA419" s="633"/>
      <c r="AB419" s="636"/>
      <c r="AC419" s="636"/>
      <c r="AD419" s="7"/>
      <c r="AE419" s="24"/>
      <c r="AF419" s="7"/>
      <c r="AG419" s="618">
        <f t="shared" si="10"/>
        <v>0</v>
      </c>
    </row>
    <row r="420" spans="1:33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515"/>
      <c r="F420" s="515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21"/>
      <c r="R420" s="213"/>
      <c r="S420" s="215"/>
      <c r="T420" s="214"/>
      <c r="U420" s="630"/>
      <c r="V420" s="670"/>
      <c r="W420" s="671"/>
      <c r="X420" s="671"/>
      <c r="Y420" s="643">
        <v>0</v>
      </c>
      <c r="Z420" s="616">
        <f t="shared" si="9"/>
        <v>0</v>
      </c>
      <c r="AA420" s="633"/>
      <c r="AB420" s="636"/>
      <c r="AC420" s="636"/>
      <c r="AD420" s="7"/>
      <c r="AE420" s="24"/>
      <c r="AF420" s="7"/>
      <c r="AG420" s="618">
        <f t="shared" si="10"/>
        <v>0</v>
      </c>
    </row>
    <row r="421" spans="1:33" ht="39" customHeight="1">
      <c r="A421" s="489">
        <v>10</v>
      </c>
      <c r="B421" s="490" t="s">
        <v>915</v>
      </c>
      <c r="C421" s="637" t="s">
        <v>916</v>
      </c>
      <c r="D421" s="516"/>
      <c r="E421" s="516"/>
      <c r="F421" s="516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21"/>
      <c r="R421" s="213"/>
      <c r="S421" s="215"/>
      <c r="T421" s="214"/>
      <c r="U421" s="630"/>
      <c r="V421" s="670"/>
      <c r="W421" s="671"/>
      <c r="X421" s="671"/>
      <c r="Y421" s="643">
        <v>0</v>
      </c>
      <c r="Z421" s="616">
        <f t="shared" si="9"/>
        <v>0</v>
      </c>
      <c r="AA421" s="633"/>
      <c r="AB421" s="640"/>
      <c r="AC421" s="640"/>
      <c r="AD421" s="7"/>
      <c r="AE421" s="24"/>
      <c r="AF421" s="7"/>
      <c r="AG421" s="618">
        <f t="shared" si="10"/>
        <v>0</v>
      </c>
    </row>
    <row r="422" spans="1:33" ht="15.75" customHeight="1">
      <c r="A422" s="482"/>
      <c r="B422" s="496" t="s">
        <v>918</v>
      </c>
      <c r="C422" s="555" t="s">
        <v>919</v>
      </c>
      <c r="D422" s="527" t="s">
        <v>271</v>
      </c>
      <c r="E422" s="527"/>
      <c r="F422" s="527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21"/>
      <c r="R422" s="213"/>
      <c r="S422" s="215"/>
      <c r="T422" s="214"/>
      <c r="U422" s="630"/>
      <c r="V422" s="673"/>
      <c r="W422" s="674"/>
      <c r="X422" s="674"/>
      <c r="Y422" s="643">
        <v>0</v>
      </c>
      <c r="Z422" s="616">
        <f t="shared" si="9"/>
        <v>0</v>
      </c>
      <c r="AA422" s="633"/>
      <c r="AB422" s="634"/>
      <c r="AC422" s="634"/>
      <c r="AD422" s="7"/>
      <c r="AE422" s="24"/>
      <c r="AF422" s="7"/>
      <c r="AG422" s="618">
        <f t="shared" si="10"/>
        <v>0</v>
      </c>
    </row>
    <row r="423" spans="1:33" ht="21" customHeight="1">
      <c r="A423" s="482"/>
      <c r="B423" s="496" t="s">
        <v>920</v>
      </c>
      <c r="C423" s="555" t="s">
        <v>921</v>
      </c>
      <c r="D423" s="527" t="s">
        <v>271</v>
      </c>
      <c r="E423" s="527"/>
      <c r="F423" s="527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21"/>
      <c r="R423" s="213"/>
      <c r="S423" s="215"/>
      <c r="T423" s="214"/>
      <c r="U423" s="630"/>
      <c r="V423" s="673"/>
      <c r="W423" s="674"/>
      <c r="X423" s="674"/>
      <c r="Y423" s="643">
        <v>0</v>
      </c>
      <c r="Z423" s="616">
        <f t="shared" si="9"/>
        <v>0</v>
      </c>
      <c r="AA423" s="633"/>
      <c r="AB423" s="634"/>
      <c r="AC423" s="634"/>
      <c r="AD423" s="7"/>
      <c r="AE423" s="24"/>
      <c r="AF423" s="7"/>
      <c r="AG423" s="618">
        <f t="shared" si="10"/>
        <v>0</v>
      </c>
    </row>
    <row r="424" spans="1:33" ht="21" customHeight="1">
      <c r="A424" s="482"/>
      <c r="B424" s="496" t="s">
        <v>922</v>
      </c>
      <c r="C424" s="555" t="s">
        <v>923</v>
      </c>
      <c r="D424" s="527" t="s">
        <v>122</v>
      </c>
      <c r="E424" s="527"/>
      <c r="F424" s="527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21"/>
      <c r="R424" s="213"/>
      <c r="S424" s="215"/>
      <c r="T424" s="214"/>
      <c r="U424" s="630"/>
      <c r="V424" s="673"/>
      <c r="W424" s="674"/>
      <c r="X424" s="674"/>
      <c r="Y424" s="643">
        <v>0</v>
      </c>
      <c r="Z424" s="616">
        <f t="shared" si="9"/>
        <v>0</v>
      </c>
      <c r="AA424" s="633"/>
      <c r="AB424" s="634"/>
      <c r="AC424" s="634"/>
      <c r="AD424" s="7"/>
      <c r="AE424" s="24"/>
      <c r="AF424" s="7"/>
      <c r="AG424" s="618">
        <f t="shared" si="10"/>
        <v>0</v>
      </c>
    </row>
    <row r="425" spans="1:33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528"/>
      <c r="F425" s="528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21"/>
      <c r="R425" s="213"/>
      <c r="S425" s="215"/>
      <c r="T425" s="214"/>
      <c r="U425" s="630"/>
      <c r="V425" s="673"/>
      <c r="W425" s="674"/>
      <c r="X425" s="674"/>
      <c r="Y425" s="643">
        <v>0</v>
      </c>
      <c r="Z425" s="616">
        <f t="shared" si="9"/>
        <v>0</v>
      </c>
      <c r="AA425" s="633"/>
      <c r="AB425" s="636"/>
      <c r="AC425" s="636"/>
      <c r="AD425" s="7"/>
      <c r="AE425" s="24"/>
      <c r="AF425" s="7"/>
      <c r="AG425" s="618">
        <f t="shared" si="10"/>
        <v>0</v>
      </c>
    </row>
    <row r="426" spans="1:33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515"/>
      <c r="F426" s="515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21"/>
      <c r="R426" s="213"/>
      <c r="S426" s="215"/>
      <c r="T426" s="214"/>
      <c r="U426" s="630"/>
      <c r="V426" s="670"/>
      <c r="W426" s="671"/>
      <c r="X426" s="671"/>
      <c r="Y426" s="643">
        <v>0</v>
      </c>
      <c r="Z426" s="616">
        <f t="shared" si="9"/>
        <v>0</v>
      </c>
      <c r="AA426" s="633"/>
      <c r="AB426" s="634"/>
      <c r="AC426" s="634"/>
      <c r="AD426" s="7"/>
      <c r="AE426" s="24"/>
      <c r="AF426" s="7"/>
      <c r="AG426" s="618">
        <f t="shared" si="10"/>
        <v>0</v>
      </c>
    </row>
    <row r="427" spans="1:33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515"/>
      <c r="F427" s="515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21"/>
      <c r="R427" s="213"/>
      <c r="S427" s="215"/>
      <c r="T427" s="214"/>
      <c r="U427" s="630"/>
      <c r="V427" s="670"/>
      <c r="W427" s="671"/>
      <c r="X427" s="671"/>
      <c r="Y427" s="643">
        <v>0</v>
      </c>
      <c r="Z427" s="616">
        <f t="shared" si="9"/>
        <v>0</v>
      </c>
      <c r="AA427" s="633"/>
      <c r="AB427" s="640"/>
      <c r="AC427" s="640"/>
      <c r="AD427" s="7"/>
      <c r="AE427" s="24"/>
      <c r="AF427" s="7"/>
      <c r="AG427" s="618">
        <f t="shared" si="10"/>
        <v>0</v>
      </c>
    </row>
    <row r="428" spans="1:33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412"/>
      <c r="F428" s="412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21"/>
      <c r="R428" s="213"/>
      <c r="S428" s="215"/>
      <c r="T428" s="214"/>
      <c r="U428" s="630"/>
      <c r="V428" s="667"/>
      <c r="W428" s="668"/>
      <c r="X428" s="668"/>
      <c r="Y428" s="643">
        <v>0</v>
      </c>
      <c r="Z428" s="616">
        <f t="shared" si="9"/>
        <v>0</v>
      </c>
      <c r="AA428" s="633"/>
      <c r="AB428" s="636"/>
      <c r="AC428" s="636"/>
      <c r="AD428" s="7"/>
      <c r="AE428" s="24"/>
      <c r="AF428" s="7"/>
      <c r="AG428" s="618">
        <f t="shared" si="10"/>
        <v>0</v>
      </c>
    </row>
    <row r="429" spans="1:33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485"/>
      <c r="F429" s="485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21"/>
      <c r="R429" s="213"/>
      <c r="S429" s="215"/>
      <c r="T429" s="214"/>
      <c r="U429" s="630"/>
      <c r="V429" s="667"/>
      <c r="W429" s="668"/>
      <c r="X429" s="668"/>
      <c r="Y429" s="643">
        <v>0</v>
      </c>
      <c r="Z429" s="616">
        <f t="shared" si="9"/>
        <v>0</v>
      </c>
      <c r="AA429" s="633"/>
      <c r="AB429" s="636"/>
      <c r="AC429" s="636"/>
      <c r="AD429" s="7"/>
      <c r="AE429" s="24"/>
      <c r="AF429" s="7"/>
      <c r="AG429" s="618">
        <f t="shared" si="10"/>
        <v>0</v>
      </c>
    </row>
    <row r="430" spans="1:33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485"/>
      <c r="F430" s="485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21"/>
      <c r="R430" s="213"/>
      <c r="S430" s="215"/>
      <c r="T430" s="214"/>
      <c r="U430" s="630"/>
      <c r="V430" s="667"/>
      <c r="W430" s="668"/>
      <c r="X430" s="668"/>
      <c r="Y430" s="643">
        <v>0</v>
      </c>
      <c r="Z430" s="616">
        <f t="shared" si="9"/>
        <v>0</v>
      </c>
      <c r="AA430" s="633"/>
      <c r="AB430" s="636"/>
      <c r="AC430" s="636"/>
      <c r="AD430" s="7"/>
      <c r="AE430" s="24"/>
      <c r="AF430" s="7"/>
      <c r="AG430" s="618">
        <f t="shared" si="10"/>
        <v>0</v>
      </c>
    </row>
    <row r="431" spans="1:33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485"/>
      <c r="F431" s="485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21"/>
      <c r="R431" s="213"/>
      <c r="S431" s="215"/>
      <c r="T431" s="214"/>
      <c r="U431" s="630"/>
      <c r="V431" s="667"/>
      <c r="W431" s="668"/>
      <c r="X431" s="668"/>
      <c r="Y431" s="643">
        <v>0</v>
      </c>
      <c r="Z431" s="616">
        <f t="shared" si="9"/>
        <v>0</v>
      </c>
      <c r="AA431" s="633"/>
      <c r="AB431" s="636"/>
      <c r="AC431" s="636"/>
      <c r="AD431" s="7"/>
      <c r="AE431" s="24"/>
      <c r="AF431" s="7"/>
      <c r="AG431" s="618">
        <f t="shared" si="10"/>
        <v>0</v>
      </c>
    </row>
    <row r="432" spans="1:33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485"/>
      <c r="F432" s="485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21"/>
      <c r="R432" s="213"/>
      <c r="S432" s="215"/>
      <c r="T432" s="214"/>
      <c r="U432" s="630"/>
      <c r="V432" s="667"/>
      <c r="W432" s="668"/>
      <c r="X432" s="668"/>
      <c r="Y432" s="643">
        <v>0</v>
      </c>
      <c r="Z432" s="616">
        <f t="shared" si="9"/>
        <v>0</v>
      </c>
      <c r="AA432" s="633"/>
      <c r="AB432" s="636"/>
      <c r="AC432" s="636"/>
      <c r="AD432" s="7"/>
      <c r="AE432" s="24"/>
      <c r="AF432" s="7"/>
      <c r="AG432" s="618">
        <f t="shared" si="10"/>
        <v>0</v>
      </c>
    </row>
    <row r="433" spans="1:33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412"/>
      <c r="F433" s="412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21"/>
      <c r="R433" s="213"/>
      <c r="S433" s="215"/>
      <c r="T433" s="214"/>
      <c r="U433" s="630"/>
      <c r="V433" s="667"/>
      <c r="W433" s="668"/>
      <c r="X433" s="668"/>
      <c r="Y433" s="643">
        <v>0</v>
      </c>
      <c r="Z433" s="616">
        <f t="shared" si="9"/>
        <v>0</v>
      </c>
      <c r="AA433" s="633"/>
      <c r="AB433" s="636"/>
      <c r="AC433" s="636"/>
      <c r="AD433" s="7"/>
      <c r="AE433" s="24"/>
      <c r="AF433" s="7"/>
      <c r="AG433" s="618">
        <f t="shared" si="10"/>
        <v>0</v>
      </c>
    </row>
    <row r="434" spans="1:33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485"/>
      <c r="F434" s="485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21"/>
      <c r="R434" s="213"/>
      <c r="S434" s="215"/>
      <c r="T434" s="214"/>
      <c r="U434" s="630"/>
      <c r="V434" s="667"/>
      <c r="W434" s="668"/>
      <c r="X434" s="668"/>
      <c r="Y434" s="643">
        <v>0</v>
      </c>
      <c r="Z434" s="616">
        <f t="shared" si="9"/>
        <v>0</v>
      </c>
      <c r="AA434" s="633"/>
      <c r="AB434" s="636"/>
      <c r="AC434" s="636"/>
      <c r="AD434" s="7"/>
      <c r="AE434" s="24"/>
      <c r="AF434" s="7"/>
      <c r="AG434" s="618">
        <f t="shared" si="10"/>
        <v>0</v>
      </c>
    </row>
    <row r="435" spans="1:33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485"/>
      <c r="F435" s="485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21"/>
      <c r="R435" s="213"/>
      <c r="S435" s="215"/>
      <c r="T435" s="214"/>
      <c r="U435" s="630"/>
      <c r="V435" s="667"/>
      <c r="W435" s="668"/>
      <c r="X435" s="668"/>
      <c r="Y435" s="643">
        <v>0</v>
      </c>
      <c r="Z435" s="616">
        <f t="shared" si="9"/>
        <v>0</v>
      </c>
      <c r="AA435" s="633"/>
      <c r="AB435" s="636"/>
      <c r="AC435" s="636"/>
      <c r="AD435" s="7"/>
      <c r="AE435" s="24"/>
      <c r="AF435" s="7"/>
      <c r="AG435" s="618">
        <f t="shared" si="10"/>
        <v>0</v>
      </c>
    </row>
    <row r="436" spans="1:33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485"/>
      <c r="F436" s="485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21"/>
      <c r="R436" s="213"/>
      <c r="S436" s="215"/>
      <c r="T436" s="214"/>
      <c r="U436" s="630"/>
      <c r="V436" s="667"/>
      <c r="W436" s="668"/>
      <c r="X436" s="668"/>
      <c r="Y436" s="643">
        <v>0</v>
      </c>
      <c r="Z436" s="616">
        <f t="shared" si="9"/>
        <v>0</v>
      </c>
      <c r="AA436" s="633"/>
      <c r="AB436" s="636"/>
      <c r="AC436" s="636"/>
      <c r="AD436" s="7"/>
      <c r="AE436" s="24"/>
      <c r="AF436" s="7"/>
      <c r="AG436" s="618">
        <f t="shared" si="10"/>
        <v>0</v>
      </c>
    </row>
    <row r="437" spans="1:33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485"/>
      <c r="F437" s="485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21"/>
      <c r="R437" s="213"/>
      <c r="S437" s="215"/>
      <c r="T437" s="214"/>
      <c r="U437" s="630"/>
      <c r="V437" s="667"/>
      <c r="W437" s="668"/>
      <c r="X437" s="668"/>
      <c r="Y437" s="643">
        <v>0</v>
      </c>
      <c r="Z437" s="616">
        <f t="shared" si="9"/>
        <v>0</v>
      </c>
      <c r="AA437" s="633"/>
      <c r="AB437" s="636"/>
      <c r="AC437" s="636"/>
      <c r="AD437" s="7"/>
      <c r="AE437" s="24"/>
      <c r="AF437" s="7"/>
      <c r="AG437" s="618">
        <f t="shared" si="10"/>
        <v>0</v>
      </c>
    </row>
    <row r="438" spans="1:33" ht="21.75" customHeight="1">
      <c r="A438" s="486">
        <v>15.3</v>
      </c>
      <c r="B438" s="487" t="s">
        <v>947</v>
      </c>
      <c r="C438" s="635" t="s">
        <v>948</v>
      </c>
      <c r="D438" s="412" t="s">
        <v>1704</v>
      </c>
      <c r="E438" s="412"/>
      <c r="F438" s="412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21"/>
      <c r="R438" s="213"/>
      <c r="S438" s="215"/>
      <c r="T438" s="214"/>
      <c r="U438" s="630"/>
      <c r="V438" s="667"/>
      <c r="W438" s="668"/>
      <c r="X438" s="668"/>
      <c r="Y438" s="643">
        <v>0</v>
      </c>
      <c r="Z438" s="616">
        <f t="shared" si="9"/>
        <v>0</v>
      </c>
      <c r="AA438" s="633"/>
      <c r="AB438" s="636"/>
      <c r="AC438" s="636"/>
      <c r="AD438" s="7"/>
      <c r="AE438" s="24"/>
      <c r="AF438" s="7"/>
      <c r="AG438" s="618">
        <f t="shared" si="10"/>
        <v>0</v>
      </c>
    </row>
    <row r="439" spans="1:33" ht="21.75" customHeight="1">
      <c r="A439" s="503" t="s">
        <v>1515</v>
      </c>
      <c r="B439" s="483" t="s">
        <v>951</v>
      </c>
      <c r="C439" s="629" t="s">
        <v>131</v>
      </c>
      <c r="D439" s="485" t="s">
        <v>1705</v>
      </c>
      <c r="E439" s="485"/>
      <c r="F439" s="485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21"/>
      <c r="R439" s="213"/>
      <c r="S439" s="215"/>
      <c r="T439" s="214"/>
      <c r="U439" s="630"/>
      <c r="V439" s="667"/>
      <c r="W439" s="668"/>
      <c r="X439" s="668"/>
      <c r="Y439" s="643">
        <v>0</v>
      </c>
      <c r="Z439" s="616">
        <f t="shared" si="9"/>
        <v>0</v>
      </c>
      <c r="AA439" s="633"/>
      <c r="AB439" s="636"/>
      <c r="AC439" s="636"/>
      <c r="AD439" s="7"/>
      <c r="AE439" s="24"/>
      <c r="AF439" s="7"/>
      <c r="AG439" s="618">
        <f t="shared" si="10"/>
        <v>0</v>
      </c>
    </row>
    <row r="440" spans="1:33" ht="21.75" customHeight="1">
      <c r="A440" s="503" t="s">
        <v>1517</v>
      </c>
      <c r="B440" s="483" t="s">
        <v>953</v>
      </c>
      <c r="C440" s="629" t="s">
        <v>200</v>
      </c>
      <c r="D440" s="485" t="s">
        <v>1706</v>
      </c>
      <c r="E440" s="485"/>
      <c r="F440" s="485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21"/>
      <c r="R440" s="213"/>
      <c r="S440" s="215"/>
      <c r="T440" s="214"/>
      <c r="U440" s="630"/>
      <c r="V440" s="667"/>
      <c r="W440" s="668"/>
      <c r="X440" s="668"/>
      <c r="Y440" s="643">
        <v>0</v>
      </c>
      <c r="Z440" s="616">
        <f t="shared" si="9"/>
        <v>0</v>
      </c>
      <c r="AA440" s="633"/>
      <c r="AB440" s="636"/>
      <c r="AC440" s="636"/>
      <c r="AD440" s="7"/>
      <c r="AE440" s="24"/>
      <c r="AF440" s="7"/>
      <c r="AG440" s="618">
        <f t="shared" si="10"/>
        <v>0</v>
      </c>
    </row>
    <row r="441" spans="1:33" ht="21.75" customHeight="1">
      <c r="A441" s="503" t="s">
        <v>1519</v>
      </c>
      <c r="B441" s="483" t="s">
        <v>955</v>
      </c>
      <c r="C441" s="629" t="s">
        <v>203</v>
      </c>
      <c r="D441" s="485" t="s">
        <v>1707</v>
      </c>
      <c r="E441" s="485"/>
      <c r="F441" s="485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21"/>
      <c r="R441" s="213"/>
      <c r="S441" s="215"/>
      <c r="T441" s="214"/>
      <c r="U441" s="630"/>
      <c r="V441" s="667"/>
      <c r="W441" s="668"/>
      <c r="X441" s="668"/>
      <c r="Y441" s="643">
        <v>0</v>
      </c>
      <c r="Z441" s="616">
        <f t="shared" si="9"/>
        <v>0</v>
      </c>
      <c r="AA441" s="633"/>
      <c r="AB441" s="636"/>
      <c r="AC441" s="636"/>
      <c r="AD441" s="7"/>
      <c r="AE441" s="24"/>
      <c r="AF441" s="7"/>
      <c r="AG441" s="618">
        <f t="shared" si="10"/>
        <v>0</v>
      </c>
    </row>
    <row r="442" spans="1:33" ht="21.75" customHeight="1">
      <c r="A442" s="503" t="s">
        <v>1521</v>
      </c>
      <c r="B442" s="483" t="s">
        <v>957</v>
      </c>
      <c r="C442" s="629" t="s">
        <v>159</v>
      </c>
      <c r="D442" s="485" t="s">
        <v>1708</v>
      </c>
      <c r="E442" s="485"/>
      <c r="F442" s="485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21"/>
      <c r="R442" s="213"/>
      <c r="S442" s="215"/>
      <c r="T442" s="214"/>
      <c r="U442" s="630"/>
      <c r="V442" s="667"/>
      <c r="W442" s="668"/>
      <c r="X442" s="668"/>
      <c r="Y442" s="643">
        <v>0</v>
      </c>
      <c r="Z442" s="616">
        <f t="shared" si="9"/>
        <v>0</v>
      </c>
      <c r="AA442" s="633"/>
      <c r="AB442" s="636"/>
      <c r="AC442" s="636"/>
      <c r="AD442" s="7"/>
      <c r="AE442" s="24"/>
      <c r="AF442" s="7"/>
      <c r="AG442" s="618">
        <f t="shared" si="10"/>
        <v>0</v>
      </c>
    </row>
    <row r="443" spans="1:33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412"/>
      <c r="F443" s="412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21"/>
      <c r="R443" s="213"/>
      <c r="S443" s="215"/>
      <c r="T443" s="214"/>
      <c r="U443" s="630"/>
      <c r="V443" s="667"/>
      <c r="W443" s="668"/>
      <c r="X443" s="668"/>
      <c r="Y443" s="643">
        <v>0</v>
      </c>
      <c r="Z443" s="616">
        <f t="shared" si="9"/>
        <v>0</v>
      </c>
      <c r="AA443" s="633"/>
      <c r="AB443" s="636"/>
      <c r="AC443" s="636"/>
      <c r="AD443" s="7"/>
      <c r="AE443" s="24"/>
      <c r="AF443" s="7"/>
      <c r="AG443" s="618">
        <f t="shared" si="10"/>
        <v>0</v>
      </c>
    </row>
    <row r="444" spans="1:33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515"/>
      <c r="F444" s="515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21"/>
      <c r="R444" s="213"/>
      <c r="S444" s="215"/>
      <c r="T444" s="214"/>
      <c r="U444" s="630"/>
      <c r="V444" s="670"/>
      <c r="W444" s="671"/>
      <c r="X444" s="671"/>
      <c r="Y444" s="643">
        <v>0</v>
      </c>
      <c r="Z444" s="616">
        <f t="shared" si="9"/>
        <v>0</v>
      </c>
      <c r="AA444" s="633"/>
      <c r="AB444" s="636"/>
      <c r="AC444" s="636"/>
      <c r="AD444" s="7"/>
      <c r="AE444" s="24"/>
      <c r="AF444" s="7"/>
      <c r="AG444" s="618">
        <f t="shared" si="10"/>
        <v>0</v>
      </c>
    </row>
    <row r="445" spans="1:33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515"/>
      <c r="F445" s="515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21"/>
      <c r="R445" s="213"/>
      <c r="S445" s="215"/>
      <c r="T445" s="214"/>
      <c r="U445" s="630"/>
      <c r="V445" s="670"/>
      <c r="W445" s="671"/>
      <c r="X445" s="671"/>
      <c r="Y445" s="643">
        <v>0</v>
      </c>
      <c r="Z445" s="616">
        <f t="shared" si="9"/>
        <v>0</v>
      </c>
      <c r="AA445" s="633"/>
      <c r="AB445" s="636"/>
      <c r="AC445" s="636"/>
      <c r="AD445" s="7"/>
      <c r="AE445" s="24"/>
      <c r="AF445" s="7"/>
      <c r="AG445" s="618">
        <f t="shared" si="10"/>
        <v>0</v>
      </c>
    </row>
    <row r="446" spans="1:33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515"/>
      <c r="F446" s="515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21"/>
      <c r="R446" s="213"/>
      <c r="S446" s="215"/>
      <c r="T446" s="214"/>
      <c r="U446" s="630"/>
      <c r="V446" s="670"/>
      <c r="W446" s="671"/>
      <c r="X446" s="671"/>
      <c r="Y446" s="643">
        <v>0</v>
      </c>
      <c r="Z446" s="616">
        <f t="shared" si="9"/>
        <v>0</v>
      </c>
      <c r="AA446" s="633"/>
      <c r="AB446" s="636"/>
      <c r="AC446" s="636"/>
      <c r="AD446" s="7"/>
      <c r="AE446" s="24"/>
      <c r="AF446" s="7"/>
      <c r="AG446" s="618">
        <f t="shared" si="10"/>
        <v>0</v>
      </c>
    </row>
    <row r="447" spans="1:33" ht="42" customHeight="1">
      <c r="A447" s="519"/>
      <c r="B447" s="801" t="s">
        <v>969</v>
      </c>
      <c r="C447" s="771"/>
      <c r="D447" s="491" t="s">
        <v>970</v>
      </c>
      <c r="E447" s="698"/>
      <c r="F447" s="698"/>
      <c r="G447" s="231">
        <v>558</v>
      </c>
      <c r="H447" s="231">
        <v>578</v>
      </c>
      <c r="I447" s="231">
        <v>171.25</v>
      </c>
      <c r="J447" s="231">
        <v>20</v>
      </c>
      <c r="K447" s="231">
        <v>140.5</v>
      </c>
      <c r="L447" s="231">
        <v>200</v>
      </c>
      <c r="M447" s="231">
        <v>710</v>
      </c>
      <c r="N447" s="231">
        <v>95</v>
      </c>
      <c r="O447" s="231">
        <v>10</v>
      </c>
      <c r="P447" s="231">
        <v>352</v>
      </c>
      <c r="Q447" s="310">
        <v>12242</v>
      </c>
      <c r="R447" s="231">
        <v>16106</v>
      </c>
      <c r="S447" s="219">
        <f>100+10+600</f>
        <v>710</v>
      </c>
      <c r="T447" s="374"/>
      <c r="U447" s="646"/>
      <c r="V447" s="676"/>
      <c r="W447" s="677"/>
      <c r="X447" s="677">
        <v>390</v>
      </c>
      <c r="Y447" s="678">
        <v>21611.25</v>
      </c>
      <c r="Z447" s="616">
        <f t="shared" si="9"/>
        <v>53894</v>
      </c>
      <c r="AA447" s="633"/>
      <c r="AB447" s="537"/>
      <c r="AC447" s="537"/>
      <c r="AD447" s="7"/>
      <c r="AE447" s="24">
        <v>53894</v>
      </c>
      <c r="AF447" s="7"/>
      <c r="AG447" s="618">
        <f t="shared" si="10"/>
        <v>0</v>
      </c>
    </row>
    <row r="448" spans="1:33" ht="21.75" customHeight="1">
      <c r="A448" s="534"/>
      <c r="B448" s="535"/>
      <c r="C448" s="680"/>
      <c r="D448" s="536"/>
      <c r="E448" s="539"/>
      <c r="F448" s="539"/>
      <c r="G448" s="539"/>
      <c r="H448" s="539"/>
      <c r="I448" s="539"/>
      <c r="J448" s="539"/>
      <c r="K448" s="539"/>
      <c r="L448" s="538"/>
      <c r="M448" s="538"/>
      <c r="N448" s="538"/>
      <c r="O448" s="538"/>
      <c r="P448" s="538"/>
      <c r="Q448" s="538"/>
      <c r="R448" s="538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5.75" customHeight="1">
      <c r="A449" s="541"/>
      <c r="B449" s="542" t="s">
        <v>1523</v>
      </c>
      <c r="C449" s="542"/>
      <c r="D449" s="541"/>
      <c r="E449" s="539"/>
      <c r="F449" s="539"/>
      <c r="G449" s="539"/>
      <c r="H449" s="539"/>
      <c r="I449" s="539"/>
      <c r="J449" s="539"/>
      <c r="K449" s="539"/>
      <c r="L449" s="543"/>
      <c r="M449" s="543"/>
      <c r="N449" s="543"/>
      <c r="O449" s="543"/>
      <c r="P449" s="543"/>
      <c r="Q449" s="543"/>
      <c r="R449" s="54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5.75" customHeight="1">
      <c r="A450" s="541"/>
      <c r="B450" s="545" t="s">
        <v>1524</v>
      </c>
      <c r="C450" s="542" t="s">
        <v>1525</v>
      </c>
      <c r="D450" s="541"/>
      <c r="E450" s="539"/>
      <c r="F450" s="539"/>
      <c r="G450" s="539"/>
      <c r="H450" s="539"/>
      <c r="I450" s="539"/>
      <c r="J450" s="539"/>
      <c r="K450" s="539"/>
      <c r="L450" s="543"/>
      <c r="M450" s="543"/>
      <c r="N450" s="543"/>
      <c r="O450" s="543"/>
      <c r="P450" s="543"/>
      <c r="Q450" s="543"/>
      <c r="R450" s="54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5.75" customHeight="1">
      <c r="A451" s="541"/>
      <c r="B451" s="545" t="s">
        <v>1526</v>
      </c>
      <c r="C451" s="542" t="s">
        <v>1527</v>
      </c>
      <c r="D451" s="541"/>
      <c r="E451" s="681"/>
      <c r="F451" s="681"/>
      <c r="G451" s="681"/>
      <c r="H451" s="681"/>
      <c r="I451" s="681"/>
      <c r="J451" s="681"/>
      <c r="K451" s="681"/>
      <c r="L451" s="543"/>
      <c r="M451" s="543"/>
      <c r="N451" s="543"/>
      <c r="O451" s="543"/>
      <c r="P451" s="543"/>
      <c r="Q451" s="543"/>
      <c r="R451" s="54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5.75" customHeight="1">
      <c r="A452" s="541"/>
      <c r="B452" s="545"/>
      <c r="C452" s="542"/>
      <c r="D452" s="541"/>
      <c r="E452" s="681"/>
      <c r="F452" s="681"/>
      <c r="G452" s="681"/>
      <c r="H452" s="681"/>
      <c r="I452" s="681"/>
      <c r="J452" s="681"/>
      <c r="K452" s="681"/>
      <c r="L452" s="543"/>
      <c r="M452" s="543"/>
      <c r="N452" s="543"/>
      <c r="O452" s="543"/>
      <c r="P452" s="543"/>
      <c r="Q452" s="543"/>
      <c r="R452" s="54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15.75" customHeight="1">
      <c r="A453" s="541"/>
      <c r="B453" s="802" t="s">
        <v>1528</v>
      </c>
      <c r="C453" s="791"/>
      <c r="D453" s="541"/>
      <c r="E453" s="681"/>
      <c r="F453" s="681"/>
      <c r="G453" s="681"/>
      <c r="H453" s="681"/>
      <c r="I453" s="681"/>
      <c r="J453" s="681"/>
      <c r="K453" s="681"/>
      <c r="L453" s="543"/>
      <c r="M453" s="543"/>
      <c r="N453" s="543"/>
      <c r="O453" s="543"/>
      <c r="P453" s="543"/>
      <c r="Q453" s="543"/>
      <c r="R453" s="54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15.75" customHeight="1">
      <c r="A454" s="541"/>
      <c r="B454" s="790" t="s">
        <v>1529</v>
      </c>
      <c r="C454" s="791"/>
      <c r="D454" s="541" t="s">
        <v>1530</v>
      </c>
      <c r="E454" s="681"/>
      <c r="F454" s="681"/>
      <c r="G454" s="681"/>
      <c r="H454" s="681"/>
      <c r="I454" s="681"/>
      <c r="J454" s="681"/>
      <c r="K454" s="681"/>
      <c r="L454" s="543"/>
      <c r="M454" s="543"/>
      <c r="N454" s="543"/>
      <c r="O454" s="543"/>
      <c r="P454" s="543"/>
      <c r="Q454" s="543"/>
      <c r="R454" s="54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15.75" customHeight="1">
      <c r="A455" s="541"/>
      <c r="B455" s="545"/>
      <c r="C455" s="542"/>
      <c r="D455" s="541"/>
      <c r="E455" s="681"/>
      <c r="F455" s="681"/>
      <c r="G455" s="681"/>
      <c r="H455" s="681"/>
      <c r="I455" s="681"/>
      <c r="J455" s="681"/>
      <c r="K455" s="681"/>
      <c r="L455" s="543"/>
      <c r="M455" s="543"/>
      <c r="N455" s="543"/>
      <c r="O455" s="543"/>
      <c r="P455" s="543"/>
      <c r="Q455" s="543"/>
      <c r="R455" s="54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5.75" customHeight="1">
      <c r="A456" s="546" t="s">
        <v>971</v>
      </c>
      <c r="B456" s="547"/>
      <c r="C456" s="547"/>
      <c r="D456" s="547"/>
      <c r="E456" s="682"/>
      <c r="F456" s="682"/>
      <c r="G456" s="682"/>
      <c r="H456" s="682"/>
      <c r="I456" s="682"/>
      <c r="J456" s="682"/>
      <c r="K456" s="682"/>
      <c r="L456" s="683"/>
      <c r="M456" s="683"/>
      <c r="N456" s="683"/>
      <c r="O456" s="683"/>
      <c r="P456" s="683"/>
      <c r="Q456" s="683"/>
      <c r="R456" s="68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15.75" customHeight="1">
      <c r="A457" s="549" t="s">
        <v>972</v>
      </c>
      <c r="B457" s="550"/>
      <c r="C457" s="550"/>
      <c r="D457" s="550"/>
      <c r="E457" s="684"/>
      <c r="F457" s="684"/>
      <c r="G457" s="684"/>
      <c r="H457" s="684"/>
      <c r="I457" s="684"/>
      <c r="J457" s="684"/>
      <c r="K457" s="684"/>
      <c r="L457" s="685"/>
      <c r="M457" s="685"/>
      <c r="N457" s="685"/>
      <c r="O457" s="685"/>
      <c r="P457" s="685"/>
      <c r="Q457" s="685"/>
      <c r="R457" s="68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15.75" customHeight="1">
      <c r="A458" s="546"/>
      <c r="B458" s="547"/>
      <c r="C458" s="241" t="s">
        <v>12</v>
      </c>
      <c r="D458" s="242">
        <f>COUNTIF($D$11:$Z$11,"Hà Giang")</f>
        <v>0</v>
      </c>
      <c r="E458" s="539"/>
      <c r="F458" s="539"/>
      <c r="G458" s="539"/>
      <c r="H458" s="539"/>
      <c r="I458" s="539"/>
      <c r="J458" s="539"/>
      <c r="K458" s="539"/>
      <c r="L458" s="683"/>
      <c r="M458" s="683"/>
      <c r="N458" s="683"/>
      <c r="O458" s="683"/>
      <c r="P458" s="683"/>
      <c r="Q458" s="683"/>
      <c r="R458" s="68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5.75" customHeight="1">
      <c r="A459" s="546"/>
      <c r="B459" s="547"/>
      <c r="C459" s="241" t="s">
        <v>14</v>
      </c>
      <c r="D459" s="242">
        <f>COUNTIF($D$11:$Z$11,"Lào Cai")</f>
        <v>0</v>
      </c>
      <c r="E459" s="539"/>
      <c r="F459" s="539"/>
      <c r="G459" s="539"/>
      <c r="H459" s="539"/>
      <c r="I459" s="539"/>
      <c r="J459" s="539"/>
      <c r="K459" s="539"/>
      <c r="L459" s="683"/>
      <c r="M459" s="683"/>
      <c r="N459" s="683"/>
      <c r="O459" s="683"/>
      <c r="P459" s="683"/>
      <c r="Q459" s="683"/>
      <c r="R459" s="68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15.75" customHeight="1">
      <c r="A460" s="546"/>
      <c r="B460" s="552"/>
      <c r="C460" s="241" t="s">
        <v>23</v>
      </c>
      <c r="D460" s="242">
        <f>COUNTIF($D$11:$Z$11,"Lai Châu")</f>
        <v>0</v>
      </c>
      <c r="E460" s="539"/>
      <c r="F460" s="539"/>
      <c r="G460" s="539"/>
      <c r="H460" s="539"/>
      <c r="I460" s="539"/>
      <c r="J460" s="539"/>
      <c r="K460" s="539"/>
      <c r="L460" s="683"/>
      <c r="M460" s="683"/>
      <c r="N460" s="683"/>
      <c r="O460" s="683"/>
      <c r="P460" s="683"/>
      <c r="Q460" s="683"/>
      <c r="R460" s="68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5.75" customHeight="1">
      <c r="A461" s="686"/>
      <c r="B461" s="687"/>
      <c r="C461" s="243" t="s">
        <v>17</v>
      </c>
      <c r="D461" s="242">
        <f>COUNTIF($D$11:$Z$11,"Điện Biên")</f>
        <v>0</v>
      </c>
      <c r="E461" s="688"/>
      <c r="F461" s="688"/>
      <c r="G461" s="688"/>
      <c r="H461" s="688"/>
      <c r="I461" s="688"/>
      <c r="J461" s="688"/>
      <c r="K461" s="688"/>
      <c r="L461" s="689"/>
      <c r="M461" s="689"/>
      <c r="N461" s="689"/>
      <c r="O461" s="689"/>
      <c r="P461" s="689"/>
      <c r="Q461" s="689"/>
      <c r="R461" s="689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5.75" customHeight="1">
      <c r="A462" s="686"/>
      <c r="B462" s="687"/>
      <c r="C462" s="243" t="s">
        <v>16</v>
      </c>
      <c r="D462" s="242">
        <f>COUNTIF($D$11:$Z$11,"Lạng Sơn")</f>
        <v>0</v>
      </c>
      <c r="E462" s="688"/>
      <c r="F462" s="688"/>
      <c r="G462" s="688"/>
      <c r="H462" s="688"/>
      <c r="I462" s="688"/>
      <c r="J462" s="688"/>
      <c r="K462" s="688"/>
      <c r="L462" s="689"/>
      <c r="M462" s="689"/>
      <c r="N462" s="689"/>
      <c r="O462" s="689"/>
      <c r="P462" s="689"/>
      <c r="Q462" s="689"/>
      <c r="R462" s="689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5.75" customHeight="1">
      <c r="A463" s="686"/>
      <c r="B463" s="687"/>
      <c r="C463" s="243" t="s">
        <v>13</v>
      </c>
      <c r="D463" s="242">
        <f>COUNTIF($D$11:$Z$11,"Cao Bằng")</f>
        <v>0</v>
      </c>
      <c r="E463" s="688"/>
      <c r="F463" s="688"/>
      <c r="G463" s="688"/>
      <c r="H463" s="688"/>
      <c r="I463" s="688"/>
      <c r="J463" s="688"/>
      <c r="K463" s="688"/>
      <c r="L463" s="689"/>
      <c r="M463" s="689"/>
      <c r="N463" s="689"/>
      <c r="O463" s="689"/>
      <c r="P463" s="689"/>
      <c r="Q463" s="689"/>
      <c r="R463" s="68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5.75" customHeight="1">
      <c r="A464" s="686"/>
      <c r="B464" s="687"/>
      <c r="C464" s="243" t="s">
        <v>1090</v>
      </c>
      <c r="D464" s="242">
        <f>COUNTIF($D$11:$Z$11,"Sơn La")</f>
        <v>0</v>
      </c>
      <c r="E464" s="688"/>
      <c r="F464" s="688"/>
      <c r="G464" s="688"/>
      <c r="H464" s="688"/>
      <c r="I464" s="688"/>
      <c r="J464" s="688"/>
      <c r="K464" s="688"/>
      <c r="L464" s="689"/>
      <c r="M464" s="689"/>
      <c r="N464" s="689"/>
      <c r="O464" s="689"/>
      <c r="P464" s="689"/>
      <c r="Q464" s="689"/>
      <c r="R464" s="689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5.75" customHeight="1">
      <c r="A465" s="686"/>
      <c r="B465" s="687"/>
      <c r="C465" s="243" t="s">
        <v>19</v>
      </c>
      <c r="D465" s="242">
        <f>COUNTIF($D$11:$Z$11,"Yên Bái")</f>
        <v>0</v>
      </c>
      <c r="E465" s="688"/>
      <c r="F465" s="688"/>
      <c r="G465" s="688"/>
      <c r="H465" s="688"/>
      <c r="I465" s="688"/>
      <c r="J465" s="688"/>
      <c r="K465" s="688"/>
      <c r="L465" s="689"/>
      <c r="M465" s="689"/>
      <c r="N465" s="689"/>
      <c r="O465" s="689"/>
      <c r="P465" s="689"/>
      <c r="Q465" s="689"/>
      <c r="R465" s="689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5.75" customHeight="1">
      <c r="A466" s="686"/>
      <c r="B466" s="687"/>
      <c r="C466" s="243" t="s">
        <v>18</v>
      </c>
      <c r="D466" s="242">
        <f>COUNTIF($D$11:$Z$11,"Tuyên Quang")</f>
        <v>0</v>
      </c>
      <c r="E466" s="688"/>
      <c r="F466" s="688"/>
      <c r="G466" s="688"/>
      <c r="H466" s="688"/>
      <c r="I466" s="688"/>
      <c r="J466" s="688"/>
      <c r="K466" s="688"/>
      <c r="L466" s="689"/>
      <c r="M466" s="689"/>
      <c r="N466" s="689"/>
      <c r="O466" s="689"/>
      <c r="P466" s="689"/>
      <c r="Q466" s="689"/>
      <c r="R466" s="689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5.75" customHeight="1">
      <c r="A467" s="686"/>
      <c r="B467" s="687"/>
      <c r="C467" s="243" t="s">
        <v>1091</v>
      </c>
      <c r="D467" s="242">
        <f>COUNTIF($D$11:$Z$11,"Thái Nguyên")</f>
        <v>0</v>
      </c>
      <c r="E467" s="688"/>
      <c r="F467" s="688"/>
      <c r="G467" s="688"/>
      <c r="H467" s="688"/>
      <c r="I467" s="688"/>
      <c r="J467" s="688"/>
      <c r="K467" s="688"/>
      <c r="L467" s="689"/>
      <c r="M467" s="689"/>
      <c r="N467" s="689"/>
      <c r="O467" s="689"/>
      <c r="P467" s="689"/>
      <c r="Q467" s="689"/>
      <c r="R467" s="689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5.75" customHeight="1">
      <c r="A468" s="686"/>
      <c r="B468" s="687"/>
      <c r="C468" s="243" t="s">
        <v>15</v>
      </c>
      <c r="D468" s="242">
        <f>COUNTIF($D$11:$Z$11,"Bắc Kạn")</f>
        <v>0</v>
      </c>
      <c r="E468" s="688"/>
      <c r="F468" s="688"/>
      <c r="G468" s="688"/>
      <c r="H468" s="688"/>
      <c r="I468" s="688"/>
      <c r="J468" s="688"/>
      <c r="K468" s="688"/>
      <c r="L468" s="689"/>
      <c r="M468" s="689"/>
      <c r="N468" s="689"/>
      <c r="O468" s="689"/>
      <c r="P468" s="689"/>
      <c r="Q468" s="689"/>
      <c r="R468" s="689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5.75" customHeight="1">
      <c r="A469" s="686"/>
      <c r="B469" s="687"/>
      <c r="C469" s="243" t="s">
        <v>25</v>
      </c>
      <c r="D469" s="242">
        <f>COUNTIF($D$11:$Z$11,"Hoà Bình")</f>
        <v>0</v>
      </c>
      <c r="E469" s="688"/>
      <c r="F469" s="688"/>
      <c r="G469" s="688"/>
      <c r="H469" s="688"/>
      <c r="I469" s="688"/>
      <c r="J469" s="688"/>
      <c r="K469" s="688"/>
      <c r="L469" s="689"/>
      <c r="M469" s="689"/>
      <c r="N469" s="689"/>
      <c r="O469" s="689"/>
      <c r="P469" s="689"/>
      <c r="Q469" s="689"/>
      <c r="R469" s="689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15.75" customHeight="1">
      <c r="A470" s="686"/>
      <c r="B470" s="687"/>
      <c r="C470" s="243" t="s">
        <v>1092</v>
      </c>
      <c r="D470" s="242">
        <f>COUNTIF($D$11:$Z$11,"Bắc Giang")</f>
        <v>0</v>
      </c>
      <c r="E470" s="688"/>
      <c r="F470" s="688"/>
      <c r="G470" s="688"/>
      <c r="H470" s="688"/>
      <c r="I470" s="688"/>
      <c r="J470" s="688"/>
      <c r="K470" s="688"/>
      <c r="L470" s="689"/>
      <c r="M470" s="689"/>
      <c r="N470" s="689"/>
      <c r="O470" s="689"/>
      <c r="P470" s="689"/>
      <c r="Q470" s="689"/>
      <c r="R470" s="689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15.75" customHeight="1">
      <c r="A471" s="686"/>
      <c r="B471" s="687"/>
      <c r="C471" s="243" t="s">
        <v>28</v>
      </c>
      <c r="D471" s="242">
        <f>COUNTIF($D$11:$Z$11,"Quảng Ninh")</f>
        <v>0</v>
      </c>
      <c r="E471" s="688"/>
      <c r="F471" s="688"/>
      <c r="G471" s="688"/>
      <c r="H471" s="688"/>
      <c r="I471" s="688"/>
      <c r="J471" s="688"/>
      <c r="K471" s="688"/>
      <c r="L471" s="689"/>
      <c r="M471" s="689"/>
      <c r="N471" s="689"/>
      <c r="O471" s="689"/>
      <c r="P471" s="689"/>
      <c r="Q471" s="689"/>
      <c r="R471" s="689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15.75" customHeight="1">
      <c r="A472" s="686"/>
      <c r="B472" s="687"/>
      <c r="C472" s="243" t="s">
        <v>26</v>
      </c>
      <c r="D472" s="242">
        <f>COUNTIF($D$11:$Z$11,"Hà Nội")</f>
        <v>0</v>
      </c>
      <c r="E472" s="688"/>
      <c r="F472" s="688"/>
      <c r="G472" s="688"/>
      <c r="H472" s="688"/>
      <c r="I472" s="688"/>
      <c r="J472" s="688"/>
      <c r="K472" s="688"/>
      <c r="L472" s="689"/>
      <c r="M472" s="689"/>
      <c r="N472" s="689"/>
      <c r="O472" s="689"/>
      <c r="P472" s="689"/>
      <c r="Q472" s="689"/>
      <c r="R472" s="689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5.75" customHeight="1">
      <c r="A473" s="686"/>
      <c r="B473" s="687"/>
      <c r="C473" s="243" t="s">
        <v>21</v>
      </c>
      <c r="D473" s="242">
        <f>COUNTIF($D$11:$Z$11,"Phú Thọ")</f>
        <v>0</v>
      </c>
      <c r="E473" s="688"/>
      <c r="F473" s="688"/>
      <c r="G473" s="688"/>
      <c r="H473" s="688"/>
      <c r="I473" s="688"/>
      <c r="J473" s="688"/>
      <c r="K473" s="688"/>
      <c r="L473" s="689"/>
      <c r="M473" s="689"/>
      <c r="N473" s="689"/>
      <c r="O473" s="689"/>
      <c r="P473" s="689"/>
      <c r="Q473" s="689"/>
      <c r="R473" s="689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5.75" customHeight="1">
      <c r="A474" s="686"/>
      <c r="B474" s="687"/>
      <c r="C474" s="243" t="s">
        <v>1093</v>
      </c>
      <c r="D474" s="242">
        <f>COUNTIF($D$11:$Z$11,"Vĩnh Phúc")</f>
        <v>0</v>
      </c>
      <c r="E474" s="688"/>
      <c r="F474" s="688"/>
      <c r="G474" s="688"/>
      <c r="H474" s="688"/>
      <c r="I474" s="688"/>
      <c r="J474" s="688"/>
      <c r="K474" s="688"/>
      <c r="L474" s="689"/>
      <c r="M474" s="689"/>
      <c r="N474" s="689"/>
      <c r="O474" s="689"/>
      <c r="P474" s="689"/>
      <c r="Q474" s="689"/>
      <c r="R474" s="689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5.75" customHeight="1">
      <c r="A475" s="686"/>
      <c r="B475" s="687"/>
      <c r="C475" s="243" t="s">
        <v>32</v>
      </c>
      <c r="D475" s="242">
        <f>COUNTIF($D$11:$Z$11,"Bắc Ninh")</f>
        <v>0</v>
      </c>
      <c r="E475" s="688"/>
      <c r="F475" s="688"/>
      <c r="G475" s="688"/>
      <c r="H475" s="688"/>
      <c r="I475" s="688"/>
      <c r="J475" s="688"/>
      <c r="K475" s="688"/>
      <c r="L475" s="689"/>
      <c r="M475" s="689"/>
      <c r="N475" s="689"/>
      <c r="O475" s="689"/>
      <c r="P475" s="689"/>
      <c r="Q475" s="689"/>
      <c r="R475" s="689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5.75" customHeight="1">
      <c r="A476" s="686"/>
      <c r="B476" s="687"/>
      <c r="C476" s="243" t="s">
        <v>29</v>
      </c>
      <c r="D476" s="242">
        <f>COUNTIF($D$11:$Z$11,"Hải Dương")</f>
        <v>0</v>
      </c>
      <c r="E476" s="688"/>
      <c r="F476" s="688"/>
      <c r="G476" s="688"/>
      <c r="H476" s="688"/>
      <c r="I476" s="688"/>
      <c r="J476" s="688"/>
      <c r="K476" s="688"/>
      <c r="L476" s="689"/>
      <c r="M476" s="689"/>
      <c r="N476" s="689"/>
      <c r="O476" s="689"/>
      <c r="P476" s="689"/>
      <c r="Q476" s="689"/>
      <c r="R476" s="689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5.75" customHeight="1">
      <c r="A477" s="686"/>
      <c r="B477" s="687"/>
      <c r="C477" s="243" t="s">
        <v>30</v>
      </c>
      <c r="D477" s="242">
        <f>COUNTIF($D$11:$Z$11,"Hưng Yên")</f>
        <v>0</v>
      </c>
      <c r="E477" s="688"/>
      <c r="F477" s="688"/>
      <c r="G477" s="688"/>
      <c r="H477" s="688"/>
      <c r="I477" s="688"/>
      <c r="J477" s="688"/>
      <c r="K477" s="688"/>
      <c r="L477" s="689"/>
      <c r="M477" s="689"/>
      <c r="N477" s="689"/>
      <c r="O477" s="689"/>
      <c r="P477" s="689"/>
      <c r="Q477" s="689"/>
      <c r="R477" s="689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5.75" customHeight="1">
      <c r="A478" s="686"/>
      <c r="B478" s="687"/>
      <c r="C478" s="243" t="s">
        <v>27</v>
      </c>
      <c r="D478" s="242">
        <f>COUNTIF($D$11:$Z$11,"Hải Phòng")</f>
        <v>0</v>
      </c>
      <c r="E478" s="688"/>
      <c r="F478" s="688"/>
      <c r="G478" s="688"/>
      <c r="H478" s="688"/>
      <c r="I478" s="688"/>
      <c r="J478" s="688"/>
      <c r="K478" s="688"/>
      <c r="L478" s="689"/>
      <c r="M478" s="689"/>
      <c r="N478" s="689"/>
      <c r="O478" s="689"/>
      <c r="P478" s="689"/>
      <c r="Q478" s="689"/>
      <c r="R478" s="689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5.75" customHeight="1">
      <c r="A479" s="686"/>
      <c r="B479" s="687"/>
      <c r="C479" s="243" t="s">
        <v>33</v>
      </c>
      <c r="D479" s="242">
        <f>COUNTIF($D$11:$Z$11,"Hà Nam")</f>
        <v>0</v>
      </c>
      <c r="E479" s="688"/>
      <c r="F479" s="688"/>
      <c r="G479" s="688"/>
      <c r="H479" s="688"/>
      <c r="I479" s="688"/>
      <c r="J479" s="688"/>
      <c r="K479" s="688"/>
      <c r="L479" s="689"/>
      <c r="M479" s="689"/>
      <c r="N479" s="689"/>
      <c r="O479" s="689"/>
      <c r="P479" s="689"/>
      <c r="Q479" s="689"/>
      <c r="R479" s="68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5.75" customHeight="1">
      <c r="A480" s="686"/>
      <c r="B480" s="687"/>
      <c r="C480" s="243" t="s">
        <v>36</v>
      </c>
      <c r="D480" s="242">
        <f>COUNTIF($D$11:$Z$11,"Nam Định")</f>
        <v>0</v>
      </c>
      <c r="E480" s="688"/>
      <c r="F480" s="688"/>
      <c r="G480" s="688"/>
      <c r="H480" s="688"/>
      <c r="I480" s="688"/>
      <c r="J480" s="688"/>
      <c r="K480" s="688"/>
      <c r="L480" s="689"/>
      <c r="M480" s="689"/>
      <c r="N480" s="689"/>
      <c r="O480" s="689"/>
      <c r="P480" s="689"/>
      <c r="Q480" s="689"/>
      <c r="R480" s="68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5.75" customHeight="1">
      <c r="A481" s="686"/>
      <c r="B481" s="687"/>
      <c r="C481" s="243" t="s">
        <v>1094</v>
      </c>
      <c r="D481" s="242">
        <f>COUNTIF($D$11:$Z$11,"Thái Bình")</f>
        <v>0</v>
      </c>
      <c r="E481" s="688"/>
      <c r="F481" s="688"/>
      <c r="G481" s="688"/>
      <c r="H481" s="688"/>
      <c r="I481" s="688"/>
      <c r="J481" s="688"/>
      <c r="K481" s="688"/>
      <c r="L481" s="689"/>
      <c r="M481" s="689"/>
      <c r="N481" s="689"/>
      <c r="O481" s="689"/>
      <c r="P481" s="689"/>
      <c r="Q481" s="689"/>
      <c r="R481" s="689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5.75" customHeight="1">
      <c r="A482" s="686"/>
      <c r="B482" s="687"/>
      <c r="C482" s="243" t="s">
        <v>34</v>
      </c>
      <c r="D482" s="242">
        <f>COUNTIF($D$11:$Z$11,"Ninh Bình")</f>
        <v>0</v>
      </c>
      <c r="E482" s="688"/>
      <c r="F482" s="688"/>
      <c r="G482" s="688"/>
      <c r="H482" s="688"/>
      <c r="I482" s="688"/>
      <c r="J482" s="688"/>
      <c r="K482" s="688"/>
      <c r="L482" s="689"/>
      <c r="M482" s="689"/>
      <c r="N482" s="689"/>
      <c r="O482" s="689"/>
      <c r="P482" s="689"/>
      <c r="Q482" s="689"/>
      <c r="R482" s="689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5.75" customHeight="1">
      <c r="A483" s="686"/>
      <c r="B483" s="687"/>
      <c r="C483" s="243" t="s">
        <v>37</v>
      </c>
      <c r="D483" s="242">
        <f>COUNTIF($D$11:$Z$11,"Thanh Hoá")</f>
        <v>0</v>
      </c>
      <c r="E483" s="688"/>
      <c r="F483" s="688"/>
      <c r="G483" s="688"/>
      <c r="H483" s="688"/>
      <c r="I483" s="688"/>
      <c r="J483" s="688"/>
      <c r="K483" s="688"/>
      <c r="L483" s="689"/>
      <c r="M483" s="689"/>
      <c r="N483" s="689"/>
      <c r="O483" s="689"/>
      <c r="P483" s="689"/>
      <c r="Q483" s="689"/>
      <c r="R483" s="689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5.75" customHeight="1">
      <c r="A484" s="686"/>
      <c r="B484" s="687"/>
      <c r="C484" s="243" t="s">
        <v>1095</v>
      </c>
      <c r="D484" s="242">
        <f>COUNTIF($D$11:$Z$11,"Nghệ An")</f>
        <v>0</v>
      </c>
      <c r="E484" s="688"/>
      <c r="F484" s="688"/>
      <c r="G484" s="688"/>
      <c r="H484" s="688"/>
      <c r="I484" s="688"/>
      <c r="J484" s="688"/>
      <c r="K484" s="688"/>
      <c r="L484" s="689"/>
      <c r="M484" s="689"/>
      <c r="N484" s="689"/>
      <c r="O484" s="689"/>
      <c r="P484" s="689"/>
      <c r="Q484" s="689"/>
      <c r="R484" s="689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15.75" customHeight="1">
      <c r="A485" s="686"/>
      <c r="B485" s="687"/>
      <c r="C485" s="243" t="s">
        <v>1096</v>
      </c>
      <c r="D485" s="242">
        <f>COUNTIF($D$11:$Z$11,"Hà Tĩnh")</f>
        <v>0</v>
      </c>
      <c r="E485" s="688"/>
      <c r="F485" s="688"/>
      <c r="G485" s="688"/>
      <c r="H485" s="688"/>
      <c r="I485" s="688"/>
      <c r="J485" s="688"/>
      <c r="K485" s="688"/>
      <c r="L485" s="689"/>
      <c r="M485" s="689"/>
      <c r="N485" s="689"/>
      <c r="O485" s="689"/>
      <c r="P485" s="689"/>
      <c r="Q485" s="689"/>
      <c r="R485" s="689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15.75" customHeight="1">
      <c r="A486" s="686"/>
      <c r="B486" s="687"/>
      <c r="C486" s="243" t="s">
        <v>1097</v>
      </c>
      <c r="D486" s="242">
        <f>COUNTIF($D$11:$Z$11,"Quảng Bình")</f>
        <v>0</v>
      </c>
      <c r="E486" s="688"/>
      <c r="F486" s="688"/>
      <c r="G486" s="688"/>
      <c r="H486" s="688"/>
      <c r="I486" s="688"/>
      <c r="J486" s="688"/>
      <c r="K486" s="688"/>
      <c r="L486" s="689"/>
      <c r="M486" s="689"/>
      <c r="N486" s="689"/>
      <c r="O486" s="689"/>
      <c r="P486" s="689"/>
      <c r="Q486" s="689"/>
      <c r="R486" s="689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15.75" customHeight="1">
      <c r="A487" s="686"/>
      <c r="B487" s="687"/>
      <c r="C487" s="243" t="s">
        <v>1098</v>
      </c>
      <c r="D487" s="242">
        <f>COUNTIF($D$11:$Z$11,"Quảng Trị")</f>
        <v>0</v>
      </c>
      <c r="E487" s="688"/>
      <c r="F487" s="688"/>
      <c r="G487" s="688"/>
      <c r="H487" s="688"/>
      <c r="I487" s="688"/>
      <c r="J487" s="688"/>
      <c r="K487" s="688"/>
      <c r="L487" s="689"/>
      <c r="M487" s="689"/>
      <c r="N487" s="689"/>
      <c r="O487" s="689"/>
      <c r="P487" s="689"/>
      <c r="Q487" s="689"/>
      <c r="R487" s="689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5.75" customHeight="1">
      <c r="A488" s="686"/>
      <c r="B488" s="687"/>
      <c r="C488" s="243" t="s">
        <v>1099</v>
      </c>
      <c r="D488" s="242">
        <f>COUNTIF($D$11:$Z$11,"Thừa Thiên Huế")</f>
        <v>0</v>
      </c>
      <c r="E488" s="688"/>
      <c r="F488" s="688"/>
      <c r="G488" s="688"/>
      <c r="H488" s="688"/>
      <c r="I488" s="688"/>
      <c r="J488" s="688"/>
      <c r="K488" s="688"/>
      <c r="L488" s="689"/>
      <c r="M488" s="689"/>
      <c r="N488" s="689"/>
      <c r="O488" s="689"/>
      <c r="P488" s="689"/>
      <c r="Q488" s="689"/>
      <c r="R488" s="689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5.75" customHeight="1">
      <c r="A489" s="686"/>
      <c r="B489" s="687"/>
      <c r="C489" s="243" t="s">
        <v>1100</v>
      </c>
      <c r="D489" s="242">
        <f>COUNTIF($D$11:$Z$11,"Đà Nẵng")</f>
        <v>0</v>
      </c>
      <c r="E489" s="688"/>
      <c r="F489" s="688"/>
      <c r="G489" s="688"/>
      <c r="H489" s="688"/>
      <c r="I489" s="688"/>
      <c r="J489" s="688"/>
      <c r="K489" s="688"/>
      <c r="L489" s="689"/>
      <c r="M489" s="689"/>
      <c r="N489" s="689"/>
      <c r="O489" s="689"/>
      <c r="P489" s="689"/>
      <c r="Q489" s="689"/>
      <c r="R489" s="689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5.75" customHeight="1">
      <c r="A490" s="686"/>
      <c r="B490" s="687"/>
      <c r="C490" s="243" t="s">
        <v>1101</v>
      </c>
      <c r="D490" s="242">
        <f>COUNTIF($D$11:$Z$11,"Quảng Nam")</f>
        <v>0</v>
      </c>
      <c r="E490" s="688"/>
      <c r="F490" s="688"/>
      <c r="G490" s="688"/>
      <c r="H490" s="688"/>
      <c r="I490" s="688"/>
      <c r="J490" s="688"/>
      <c r="K490" s="688"/>
      <c r="L490" s="689"/>
      <c r="M490" s="689"/>
      <c r="N490" s="689"/>
      <c r="O490" s="689"/>
      <c r="P490" s="689"/>
      <c r="Q490" s="689"/>
      <c r="R490" s="68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5.75" customHeight="1">
      <c r="A491" s="686"/>
      <c r="B491" s="687"/>
      <c r="C491" s="243" t="s">
        <v>1102</v>
      </c>
      <c r="D491" s="242">
        <f>COUNTIF($D$11:$Z$11,"Quảng Ngãi")</f>
        <v>0</v>
      </c>
      <c r="E491" s="688"/>
      <c r="F491" s="688"/>
      <c r="G491" s="688"/>
      <c r="H491" s="688"/>
      <c r="I491" s="688"/>
      <c r="J491" s="688"/>
      <c r="K491" s="688"/>
      <c r="L491" s="689"/>
      <c r="M491" s="689"/>
      <c r="N491" s="689"/>
      <c r="O491" s="689"/>
      <c r="P491" s="689"/>
      <c r="Q491" s="689"/>
      <c r="R491" s="689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5.75" customHeight="1">
      <c r="A492" s="686"/>
      <c r="B492" s="687"/>
      <c r="C492" s="243" t="s">
        <v>1103</v>
      </c>
      <c r="D492" s="242">
        <f>COUNTIF($D$11:$Z$11,"Bình Định")</f>
        <v>0</v>
      </c>
      <c r="E492" s="688"/>
      <c r="F492" s="688"/>
      <c r="G492" s="688"/>
      <c r="H492" s="688"/>
      <c r="I492" s="688"/>
      <c r="J492" s="688"/>
      <c r="K492" s="688"/>
      <c r="L492" s="689"/>
      <c r="M492" s="689"/>
      <c r="N492" s="689"/>
      <c r="O492" s="689"/>
      <c r="P492" s="689"/>
      <c r="Q492" s="689"/>
      <c r="R492" s="68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5.75" customHeight="1">
      <c r="A493" s="686"/>
      <c r="B493" s="687"/>
      <c r="C493" s="243" t="s">
        <v>1104</v>
      </c>
      <c r="D493" s="242">
        <f>COUNTIF($D$11:$Z$11,"Phú Yên")</f>
        <v>0</v>
      </c>
      <c r="E493" s="688"/>
      <c r="F493" s="688"/>
      <c r="G493" s="688"/>
      <c r="H493" s="688"/>
      <c r="I493" s="688"/>
      <c r="J493" s="688"/>
      <c r="K493" s="688"/>
      <c r="L493" s="689"/>
      <c r="M493" s="689"/>
      <c r="N493" s="689"/>
      <c r="O493" s="689"/>
      <c r="P493" s="689"/>
      <c r="Q493" s="689"/>
      <c r="R493" s="689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5.75" customHeight="1">
      <c r="A494" s="686"/>
      <c r="B494" s="687"/>
      <c r="C494" s="243" t="s">
        <v>1105</v>
      </c>
      <c r="D494" s="242">
        <f>COUNTIF($D$11:$Z$11,"Khánh Hoà")</f>
        <v>0</v>
      </c>
      <c r="E494" s="688"/>
      <c r="F494" s="688"/>
      <c r="G494" s="688"/>
      <c r="H494" s="688"/>
      <c r="I494" s="688"/>
      <c r="J494" s="688"/>
      <c r="K494" s="688"/>
      <c r="L494" s="689"/>
      <c r="M494" s="689"/>
      <c r="N494" s="689"/>
      <c r="O494" s="689"/>
      <c r="P494" s="689"/>
      <c r="Q494" s="689"/>
      <c r="R494" s="689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5.75" customHeight="1">
      <c r="A495" s="686"/>
      <c r="B495" s="687"/>
      <c r="C495" s="243" t="s">
        <v>1106</v>
      </c>
      <c r="D495" s="242">
        <f>COUNTIF($D$11:$Z$11,"Ninh Thuận")</f>
        <v>0</v>
      </c>
      <c r="E495" s="688"/>
      <c r="F495" s="688"/>
      <c r="G495" s="688"/>
      <c r="H495" s="688"/>
      <c r="I495" s="688"/>
      <c r="J495" s="688"/>
      <c r="K495" s="688"/>
      <c r="L495" s="689"/>
      <c r="M495" s="689"/>
      <c r="N495" s="689"/>
      <c r="O495" s="689"/>
      <c r="P495" s="689"/>
      <c r="Q495" s="689"/>
      <c r="R495" s="689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5.75" customHeight="1">
      <c r="A496" s="686"/>
      <c r="B496" s="687"/>
      <c r="C496" s="243" t="s">
        <v>1107</v>
      </c>
      <c r="D496" s="242">
        <f>COUNTIF($D$11:$Z$11,"Bình Thuận")</f>
        <v>0</v>
      </c>
      <c r="E496" s="688"/>
      <c r="F496" s="688"/>
      <c r="G496" s="688"/>
      <c r="H496" s="688"/>
      <c r="I496" s="688"/>
      <c r="J496" s="688"/>
      <c r="K496" s="688"/>
      <c r="L496" s="689"/>
      <c r="M496" s="689"/>
      <c r="N496" s="689"/>
      <c r="O496" s="689"/>
      <c r="P496" s="689"/>
      <c r="Q496" s="689"/>
      <c r="R496" s="689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5.75" customHeight="1">
      <c r="A497" s="686"/>
      <c r="B497" s="687"/>
      <c r="C497" s="243" t="s">
        <v>1108</v>
      </c>
      <c r="D497" s="242">
        <f>COUNTIF($D$11:$Z$11,"Kon Tum")</f>
        <v>0</v>
      </c>
      <c r="E497" s="688"/>
      <c r="F497" s="688"/>
      <c r="G497" s="688"/>
      <c r="H497" s="688"/>
      <c r="I497" s="688"/>
      <c r="J497" s="688"/>
      <c r="K497" s="688"/>
      <c r="L497" s="689"/>
      <c r="M497" s="689"/>
      <c r="N497" s="689"/>
      <c r="O497" s="689"/>
      <c r="P497" s="689"/>
      <c r="Q497" s="689"/>
      <c r="R497" s="689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5.75" customHeight="1">
      <c r="A498" s="686"/>
      <c r="B498" s="687"/>
      <c r="C498" s="243" t="s">
        <v>1109</v>
      </c>
      <c r="D498" s="242">
        <f>COUNTIF($D$11:$Z$11,"Gia Lai")</f>
        <v>0</v>
      </c>
      <c r="E498" s="688"/>
      <c r="F498" s="688"/>
      <c r="G498" s="688"/>
      <c r="H498" s="688"/>
      <c r="I498" s="688"/>
      <c r="J498" s="688"/>
      <c r="K498" s="688"/>
      <c r="L498" s="689"/>
      <c r="M498" s="689"/>
      <c r="N498" s="689"/>
      <c r="O498" s="689"/>
      <c r="P498" s="689"/>
      <c r="Q498" s="689"/>
      <c r="R498" s="68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5.75" customHeight="1">
      <c r="A499" s="686"/>
      <c r="B499" s="687"/>
      <c r="C499" s="243" t="s">
        <v>1110</v>
      </c>
      <c r="D499" s="242">
        <f>COUNTIF($D$11:$Z$11,"Đắk Lắk")</f>
        <v>0</v>
      </c>
      <c r="E499" s="688"/>
      <c r="F499" s="688"/>
      <c r="G499" s="688"/>
      <c r="H499" s="688"/>
      <c r="I499" s="688"/>
      <c r="J499" s="688"/>
      <c r="K499" s="688"/>
      <c r="L499" s="689"/>
      <c r="M499" s="689"/>
      <c r="N499" s="689"/>
      <c r="O499" s="689"/>
      <c r="P499" s="689"/>
      <c r="Q499" s="689"/>
      <c r="R499" s="689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5.75" customHeight="1">
      <c r="A500" s="686"/>
      <c r="B500" s="687"/>
      <c r="C500" s="243" t="s">
        <v>1111</v>
      </c>
      <c r="D500" s="242">
        <f>COUNTIF($D$11:$Z$11,"Đắk Nông")</f>
        <v>0</v>
      </c>
      <c r="E500" s="688"/>
      <c r="F500" s="688"/>
      <c r="G500" s="688"/>
      <c r="H500" s="688"/>
      <c r="I500" s="688"/>
      <c r="J500" s="688"/>
      <c r="K500" s="688"/>
      <c r="L500" s="689"/>
      <c r="M500" s="689"/>
      <c r="N500" s="689"/>
      <c r="O500" s="689"/>
      <c r="P500" s="689"/>
      <c r="Q500" s="689"/>
      <c r="R500" s="689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5.75" customHeight="1">
      <c r="A501" s="686"/>
      <c r="B501" s="687"/>
      <c r="C501" s="243" t="s">
        <v>1112</v>
      </c>
      <c r="D501" s="242">
        <f>COUNTIF($D$11:$Z$11,"Lâm Đồng")</f>
        <v>0</v>
      </c>
      <c r="E501" s="688"/>
      <c r="F501" s="688"/>
      <c r="G501" s="688"/>
      <c r="H501" s="688"/>
      <c r="I501" s="688"/>
      <c r="J501" s="688"/>
      <c r="K501" s="688"/>
      <c r="L501" s="689"/>
      <c r="M501" s="689"/>
      <c r="N501" s="689"/>
      <c r="O501" s="689"/>
      <c r="P501" s="689"/>
      <c r="Q501" s="689"/>
      <c r="R501" s="689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15.75" customHeight="1">
      <c r="A502" s="686"/>
      <c r="B502" s="687"/>
      <c r="C502" s="243" t="s">
        <v>1113</v>
      </c>
      <c r="D502" s="242">
        <f>COUNTIF($D$11:$Z$11,"Tây Ninh")</f>
        <v>20</v>
      </c>
      <c r="E502" s="688"/>
      <c r="F502" s="688"/>
      <c r="G502" s="688"/>
      <c r="H502" s="688"/>
      <c r="I502" s="688"/>
      <c r="J502" s="688"/>
      <c r="K502" s="688"/>
      <c r="L502" s="689"/>
      <c r="M502" s="689"/>
      <c r="N502" s="689"/>
      <c r="O502" s="689"/>
      <c r="P502" s="689"/>
      <c r="Q502" s="689"/>
      <c r="R502" s="68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15.75" customHeight="1">
      <c r="A503" s="686"/>
      <c r="B503" s="687"/>
      <c r="C503" s="243" t="s">
        <v>1114</v>
      </c>
      <c r="D503" s="242">
        <f>COUNTIF($D$11:$Z$11,"Bình Phước")</f>
        <v>0</v>
      </c>
      <c r="E503" s="688"/>
      <c r="F503" s="688"/>
      <c r="G503" s="688"/>
      <c r="H503" s="688"/>
      <c r="I503" s="688"/>
      <c r="J503" s="688"/>
      <c r="K503" s="688"/>
      <c r="L503" s="689"/>
      <c r="M503" s="689"/>
      <c r="N503" s="689"/>
      <c r="O503" s="689"/>
      <c r="P503" s="689"/>
      <c r="Q503" s="689"/>
      <c r="R503" s="689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15.75" customHeight="1">
      <c r="A504" s="686"/>
      <c r="B504" s="687"/>
      <c r="C504" s="243" t="s">
        <v>1115</v>
      </c>
      <c r="D504" s="242">
        <f>COUNTIF($D$11:$Z$11,"Bình Dương")</f>
        <v>0</v>
      </c>
      <c r="E504" s="688"/>
      <c r="F504" s="688"/>
      <c r="G504" s="688"/>
      <c r="H504" s="688"/>
      <c r="I504" s="688"/>
      <c r="J504" s="688"/>
      <c r="K504" s="688"/>
      <c r="L504" s="689"/>
      <c r="M504" s="689"/>
      <c r="N504" s="689"/>
      <c r="O504" s="689"/>
      <c r="P504" s="689"/>
      <c r="Q504" s="689"/>
      <c r="R504" s="689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15.75" customHeight="1">
      <c r="A505" s="686"/>
      <c r="B505" s="687"/>
      <c r="C505" s="243" t="s">
        <v>1116</v>
      </c>
      <c r="D505" s="242">
        <f>COUNTIF($D$11:$Z$11,"Bà Rịa - Vũng Tàu")</f>
        <v>0</v>
      </c>
      <c r="E505" s="688"/>
      <c r="F505" s="688"/>
      <c r="G505" s="688"/>
      <c r="H505" s="688"/>
      <c r="I505" s="688"/>
      <c r="J505" s="688"/>
      <c r="K505" s="688"/>
      <c r="L505" s="689"/>
      <c r="M505" s="689"/>
      <c r="N505" s="689"/>
      <c r="O505" s="689"/>
      <c r="P505" s="689"/>
      <c r="Q505" s="689"/>
      <c r="R505" s="689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15.75" customHeight="1">
      <c r="A506" s="686"/>
      <c r="B506" s="687"/>
      <c r="C506" s="243" t="s">
        <v>1117</v>
      </c>
      <c r="D506" s="242">
        <f>COUNTIF($D$11:$Z$11,"Bến Tre")</f>
        <v>0</v>
      </c>
      <c r="E506" s="688"/>
      <c r="F506" s="688"/>
      <c r="G506" s="688"/>
      <c r="H506" s="688"/>
      <c r="I506" s="688"/>
      <c r="J506" s="688"/>
      <c r="K506" s="688"/>
      <c r="L506" s="689"/>
      <c r="M506" s="689"/>
      <c r="N506" s="689"/>
      <c r="O506" s="689"/>
      <c r="P506" s="689"/>
      <c r="Q506" s="689"/>
      <c r="R506" s="689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15.75" customHeight="1">
      <c r="A507" s="686"/>
      <c r="B507" s="687"/>
      <c r="C507" s="243" t="s">
        <v>1118</v>
      </c>
      <c r="D507" s="242">
        <f>COUNTIF($D$11:$Z$11,"An Giang")</f>
        <v>0</v>
      </c>
      <c r="E507" s="688"/>
      <c r="F507" s="688"/>
      <c r="G507" s="688"/>
      <c r="H507" s="688"/>
      <c r="I507" s="688"/>
      <c r="J507" s="688"/>
      <c r="K507" s="688"/>
      <c r="L507" s="689"/>
      <c r="M507" s="689"/>
      <c r="N507" s="689"/>
      <c r="O507" s="689"/>
      <c r="P507" s="689"/>
      <c r="Q507" s="689"/>
      <c r="R507" s="68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15.75" customHeight="1">
      <c r="A508" s="686"/>
      <c r="B508" s="687"/>
      <c r="C508" s="243" t="s">
        <v>1119</v>
      </c>
      <c r="D508" s="242">
        <f>COUNTIF($D$11:$Z$11,"Vĩnh Long")</f>
        <v>0</v>
      </c>
      <c r="E508" s="688"/>
      <c r="F508" s="688"/>
      <c r="G508" s="688"/>
      <c r="H508" s="688"/>
      <c r="I508" s="688"/>
      <c r="J508" s="688"/>
      <c r="K508" s="688"/>
      <c r="L508" s="689"/>
      <c r="M508" s="689"/>
      <c r="N508" s="689"/>
      <c r="O508" s="689"/>
      <c r="P508" s="689"/>
      <c r="Q508" s="689"/>
      <c r="R508" s="689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5.75" customHeight="1">
      <c r="A509" s="686"/>
      <c r="B509" s="687"/>
      <c r="C509" s="243" t="s">
        <v>1120</v>
      </c>
      <c r="D509" s="242">
        <f>COUNTIF($D$11:$Z$11,"Cần Thơ")</f>
        <v>0</v>
      </c>
      <c r="E509" s="688"/>
      <c r="F509" s="688"/>
      <c r="G509" s="688"/>
      <c r="H509" s="688"/>
      <c r="I509" s="688"/>
      <c r="J509" s="688"/>
      <c r="K509" s="688"/>
      <c r="L509" s="689"/>
      <c r="M509" s="689"/>
      <c r="N509" s="689"/>
      <c r="O509" s="689"/>
      <c r="P509" s="689"/>
      <c r="Q509" s="689"/>
      <c r="R509" s="689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5.75" customHeight="1">
      <c r="A510" s="686"/>
      <c r="B510" s="687"/>
      <c r="C510" s="243" t="s">
        <v>1121</v>
      </c>
      <c r="D510" s="242">
        <f>COUNTIF($D$11:$Z$11,"Hậu Giang")</f>
        <v>0</v>
      </c>
      <c r="E510" s="688"/>
      <c r="F510" s="688"/>
      <c r="G510" s="688"/>
      <c r="H510" s="688"/>
      <c r="I510" s="688"/>
      <c r="J510" s="688"/>
      <c r="K510" s="688"/>
      <c r="L510" s="689"/>
      <c r="M510" s="689"/>
      <c r="N510" s="689"/>
      <c r="O510" s="689"/>
      <c r="P510" s="689"/>
      <c r="Q510" s="689"/>
      <c r="R510" s="689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5.75" customHeight="1">
      <c r="A511" s="686"/>
      <c r="B511" s="687"/>
      <c r="C511" s="243" t="s">
        <v>1122</v>
      </c>
      <c r="D511" s="242">
        <f>COUNTIF($D$11:$Z$11,"Sóc Trăng")</f>
        <v>0</v>
      </c>
      <c r="E511" s="688"/>
      <c r="F511" s="688"/>
      <c r="G511" s="688"/>
      <c r="H511" s="688"/>
      <c r="I511" s="688"/>
      <c r="J511" s="688"/>
      <c r="K511" s="688"/>
      <c r="L511" s="689"/>
      <c r="M511" s="689"/>
      <c r="N511" s="689"/>
      <c r="O511" s="689"/>
      <c r="P511" s="689"/>
      <c r="Q511" s="689"/>
      <c r="R511" s="689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15.75" customHeight="1">
      <c r="A512" s="686"/>
      <c r="B512" s="687"/>
      <c r="C512" s="243" t="s">
        <v>1123</v>
      </c>
      <c r="D512" s="242">
        <f>COUNTIF($D$11:$Z$11,"Bạc Liêu")</f>
        <v>0</v>
      </c>
      <c r="E512" s="688"/>
      <c r="F512" s="688"/>
      <c r="G512" s="688"/>
      <c r="H512" s="688"/>
      <c r="I512" s="688"/>
      <c r="J512" s="688"/>
      <c r="K512" s="688"/>
      <c r="L512" s="689"/>
      <c r="M512" s="689"/>
      <c r="N512" s="689"/>
      <c r="O512" s="689"/>
      <c r="P512" s="689"/>
      <c r="Q512" s="689"/>
      <c r="R512" s="689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15.75" customHeight="1">
      <c r="A513" s="686"/>
      <c r="B513" s="687"/>
      <c r="C513" s="243" t="s">
        <v>1124</v>
      </c>
      <c r="D513" s="242">
        <f>COUNTIF($D$11:$Z$11,"Cà Mau")</f>
        <v>0</v>
      </c>
      <c r="E513" s="688"/>
      <c r="F513" s="688"/>
      <c r="G513" s="688"/>
      <c r="H513" s="688"/>
      <c r="I513" s="688"/>
      <c r="J513" s="688"/>
      <c r="K513" s="688"/>
      <c r="L513" s="689"/>
      <c r="M513" s="689"/>
      <c r="N513" s="689"/>
      <c r="O513" s="689"/>
      <c r="P513" s="689"/>
      <c r="Q513" s="689"/>
      <c r="R513" s="689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5.75" customHeight="1">
      <c r="A514" s="686"/>
      <c r="B514" s="687"/>
      <c r="C514" s="243" t="s">
        <v>1125</v>
      </c>
      <c r="D514" s="242">
        <f>COUNTIF($D$11:$Z$11,"Kiên Giang")</f>
        <v>0</v>
      </c>
      <c r="E514" s="688"/>
      <c r="F514" s="688"/>
      <c r="G514" s="688"/>
      <c r="H514" s="688"/>
      <c r="I514" s="688"/>
      <c r="J514" s="688"/>
      <c r="K514" s="688"/>
      <c r="L514" s="689"/>
      <c r="M514" s="689"/>
      <c r="N514" s="689"/>
      <c r="O514" s="689"/>
      <c r="P514" s="689"/>
      <c r="Q514" s="689"/>
      <c r="R514" s="689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15.75" customHeight="1">
      <c r="A515" s="686"/>
      <c r="B515" s="687"/>
      <c r="C515" s="243" t="s">
        <v>1126</v>
      </c>
      <c r="D515" s="242">
        <f>COUNTIF($D$11:$Z$11,"Đồng Tháp")</f>
        <v>0</v>
      </c>
      <c r="E515" s="688"/>
      <c r="F515" s="688"/>
      <c r="G515" s="688"/>
      <c r="H515" s="688"/>
      <c r="I515" s="688"/>
      <c r="J515" s="688"/>
      <c r="K515" s="688"/>
      <c r="L515" s="689"/>
      <c r="M515" s="689"/>
      <c r="N515" s="689"/>
      <c r="O515" s="689"/>
      <c r="P515" s="689"/>
      <c r="Q515" s="689"/>
      <c r="R515" s="689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15.75" customHeight="1">
      <c r="A516" s="686"/>
      <c r="B516" s="687"/>
      <c r="C516" s="243" t="s">
        <v>1127</v>
      </c>
      <c r="D516" s="242">
        <f>COUNTIF($D$11:$Z$11,"Trà Vinh")</f>
        <v>0</v>
      </c>
      <c r="E516" s="688"/>
      <c r="F516" s="688"/>
      <c r="G516" s="688"/>
      <c r="H516" s="688"/>
      <c r="I516" s="688"/>
      <c r="J516" s="688"/>
      <c r="K516" s="688"/>
      <c r="L516" s="689"/>
      <c r="M516" s="689"/>
      <c r="N516" s="689"/>
      <c r="O516" s="689"/>
      <c r="P516" s="689"/>
      <c r="Q516" s="689"/>
      <c r="R516" s="689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5.75" customHeight="1">
      <c r="A517" s="686"/>
      <c r="B517" s="687"/>
      <c r="C517" s="243" t="s">
        <v>1128</v>
      </c>
      <c r="D517" s="242">
        <f>COUNTIF($D$11:$Z$11,"Tiền Giang")</f>
        <v>0</v>
      </c>
      <c r="E517" s="688"/>
      <c r="F517" s="688"/>
      <c r="G517" s="688"/>
      <c r="H517" s="688"/>
      <c r="I517" s="688"/>
      <c r="J517" s="688"/>
      <c r="K517" s="688"/>
      <c r="L517" s="689"/>
      <c r="M517" s="689"/>
      <c r="N517" s="689"/>
      <c r="O517" s="689"/>
      <c r="P517" s="689"/>
      <c r="Q517" s="689"/>
      <c r="R517" s="689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5.75" customHeight="1">
      <c r="A518" s="686"/>
      <c r="B518" s="687"/>
      <c r="C518" s="243" t="s">
        <v>1129</v>
      </c>
      <c r="D518" s="242">
        <f>COUNTIF($D$11:$Z$11,"Long An")</f>
        <v>0</v>
      </c>
      <c r="E518" s="688"/>
      <c r="F518" s="688"/>
      <c r="G518" s="688"/>
      <c r="H518" s="688"/>
      <c r="I518" s="688"/>
      <c r="J518" s="688"/>
      <c r="K518" s="688"/>
      <c r="L518" s="689"/>
      <c r="M518" s="689"/>
      <c r="N518" s="689"/>
      <c r="O518" s="689"/>
      <c r="P518" s="689"/>
      <c r="Q518" s="689"/>
      <c r="R518" s="689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15.75" customHeight="1">
      <c r="A519" s="686"/>
      <c r="B519" s="687"/>
      <c r="C519" s="243" t="s">
        <v>1130</v>
      </c>
      <c r="D519" s="242">
        <f>COUNTIF($D$11:$Z$11,"Đồng Nai")</f>
        <v>0</v>
      </c>
      <c r="E519" s="688"/>
      <c r="F519" s="688"/>
      <c r="G519" s="688"/>
      <c r="H519" s="688"/>
      <c r="I519" s="688"/>
      <c r="J519" s="688"/>
      <c r="K519" s="688"/>
      <c r="L519" s="689"/>
      <c r="M519" s="689"/>
      <c r="N519" s="689"/>
      <c r="O519" s="689"/>
      <c r="P519" s="689"/>
      <c r="Q519" s="689"/>
      <c r="R519" s="689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15.75" customHeight="1">
      <c r="A520" s="686"/>
      <c r="B520" s="687"/>
      <c r="C520" s="243" t="s">
        <v>1131</v>
      </c>
      <c r="D520" s="242">
        <f>COUNTIF($D$11:$Z$11,"TP Hồ Chí Minh")</f>
        <v>0</v>
      </c>
      <c r="E520" s="688"/>
      <c r="F520" s="688"/>
      <c r="G520" s="688"/>
      <c r="H520" s="688"/>
      <c r="I520" s="688"/>
      <c r="J520" s="688"/>
      <c r="K520" s="688"/>
      <c r="L520" s="689"/>
      <c r="M520" s="689"/>
      <c r="N520" s="689"/>
      <c r="O520" s="689"/>
      <c r="P520" s="689"/>
      <c r="Q520" s="689"/>
      <c r="R520" s="689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15.75" customHeight="1">
      <c r="A521" s="686"/>
      <c r="B521" s="687"/>
      <c r="C521" s="243"/>
      <c r="D521" s="244"/>
      <c r="E521" s="688"/>
      <c r="F521" s="688"/>
      <c r="G521" s="688"/>
      <c r="H521" s="688"/>
      <c r="I521" s="688"/>
      <c r="J521" s="688"/>
      <c r="K521" s="688"/>
      <c r="L521" s="689"/>
      <c r="M521" s="689"/>
      <c r="N521" s="689"/>
      <c r="O521" s="689"/>
      <c r="P521" s="689"/>
      <c r="Q521" s="689"/>
      <c r="R521" s="689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15.75" customHeight="1">
      <c r="A522" s="686"/>
      <c r="B522" s="687"/>
      <c r="C522" s="243"/>
      <c r="D522" s="245">
        <f>SUM(D458:D520)</f>
        <v>20</v>
      </c>
      <c r="E522" s="688"/>
      <c r="F522" s="688"/>
      <c r="G522" s="688"/>
      <c r="H522" s="688"/>
      <c r="I522" s="688"/>
      <c r="J522" s="688"/>
      <c r="K522" s="688"/>
      <c r="L522" s="689"/>
      <c r="M522" s="689"/>
      <c r="N522" s="689"/>
      <c r="O522" s="689"/>
      <c r="P522" s="689"/>
      <c r="Q522" s="689"/>
      <c r="R522" s="689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15.75" customHeight="1">
      <c r="A523" s="686"/>
      <c r="B523" s="687"/>
      <c r="C523" s="243"/>
      <c r="D523" s="244"/>
      <c r="E523" s="688"/>
      <c r="F523" s="688"/>
      <c r="G523" s="688"/>
      <c r="H523" s="688"/>
      <c r="I523" s="688"/>
      <c r="J523" s="688"/>
      <c r="K523" s="688"/>
      <c r="L523" s="689"/>
      <c r="M523" s="689"/>
      <c r="N523" s="689"/>
      <c r="O523" s="689"/>
      <c r="P523" s="689"/>
      <c r="Q523" s="689"/>
      <c r="R523" s="689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15.75" customHeight="1">
      <c r="A524" s="686"/>
      <c r="B524" s="687"/>
      <c r="C524" s="243"/>
      <c r="D524" s="244"/>
      <c r="E524" s="688"/>
      <c r="F524" s="688"/>
      <c r="G524" s="688"/>
      <c r="H524" s="688"/>
      <c r="I524" s="688"/>
      <c r="J524" s="688"/>
      <c r="K524" s="688"/>
      <c r="L524" s="689"/>
      <c r="M524" s="689"/>
      <c r="N524" s="689"/>
      <c r="O524" s="689"/>
      <c r="P524" s="689"/>
      <c r="Q524" s="689"/>
      <c r="R524" s="689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15.75" customHeight="1">
      <c r="A525" s="686"/>
      <c r="B525" s="687"/>
      <c r="C525" s="243"/>
      <c r="D525" s="244"/>
      <c r="E525" s="688"/>
      <c r="F525" s="688"/>
      <c r="G525" s="688"/>
      <c r="H525" s="688"/>
      <c r="I525" s="688"/>
      <c r="J525" s="688"/>
      <c r="K525" s="688"/>
      <c r="L525" s="689"/>
      <c r="M525" s="689"/>
      <c r="N525" s="689"/>
      <c r="O525" s="689"/>
      <c r="P525" s="689"/>
      <c r="Q525" s="689"/>
      <c r="R525" s="689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15.75" customHeight="1">
      <c r="A526" s="686"/>
      <c r="B526" s="687"/>
      <c r="C526" s="243"/>
      <c r="D526" s="244"/>
      <c r="E526" s="688"/>
      <c r="F526" s="688"/>
      <c r="G526" s="688"/>
      <c r="H526" s="688"/>
      <c r="I526" s="688"/>
      <c r="J526" s="688"/>
      <c r="K526" s="688"/>
      <c r="L526" s="689"/>
      <c r="M526" s="689"/>
      <c r="N526" s="689"/>
      <c r="O526" s="689"/>
      <c r="P526" s="689"/>
      <c r="Q526" s="689"/>
      <c r="R526" s="689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5.75" customHeight="1">
      <c r="A527" s="686"/>
      <c r="B527" s="687"/>
      <c r="C527" s="243"/>
      <c r="D527" s="244"/>
      <c r="E527" s="688"/>
      <c r="F527" s="688"/>
      <c r="G527" s="688"/>
      <c r="H527" s="688"/>
      <c r="I527" s="688"/>
      <c r="J527" s="688"/>
      <c r="K527" s="688"/>
      <c r="L527" s="689"/>
      <c r="M527" s="689"/>
      <c r="N527" s="689"/>
      <c r="O527" s="689"/>
      <c r="P527" s="689"/>
      <c r="Q527" s="689"/>
      <c r="R527" s="689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5.75" customHeight="1">
      <c r="A528" s="686"/>
      <c r="B528" s="687"/>
      <c r="C528" s="243"/>
      <c r="D528" s="244"/>
      <c r="E528" s="688"/>
      <c r="F528" s="688"/>
      <c r="G528" s="688"/>
      <c r="H528" s="688"/>
      <c r="I528" s="688"/>
      <c r="J528" s="688"/>
      <c r="K528" s="688"/>
      <c r="L528" s="689"/>
      <c r="M528" s="689"/>
      <c r="N528" s="689"/>
      <c r="O528" s="689"/>
      <c r="P528" s="689"/>
      <c r="Q528" s="689"/>
      <c r="R528" s="689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5.75" customHeight="1">
      <c r="A529" s="686"/>
      <c r="B529" s="687"/>
      <c r="C529" s="243"/>
      <c r="D529" s="244"/>
      <c r="E529" s="688"/>
      <c r="F529" s="688"/>
      <c r="G529" s="688"/>
      <c r="H529" s="688"/>
      <c r="I529" s="688"/>
      <c r="J529" s="688"/>
      <c r="K529" s="688"/>
      <c r="L529" s="689"/>
      <c r="M529" s="689"/>
      <c r="N529" s="689"/>
      <c r="O529" s="689"/>
      <c r="P529" s="689"/>
      <c r="Q529" s="689"/>
      <c r="R529" s="689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5.75" customHeight="1">
      <c r="A530" s="686"/>
      <c r="B530" s="687"/>
      <c r="C530" s="243"/>
      <c r="D530" s="244"/>
      <c r="E530" s="688"/>
      <c r="F530" s="688"/>
      <c r="G530" s="688"/>
      <c r="H530" s="688"/>
      <c r="I530" s="688"/>
      <c r="J530" s="688"/>
      <c r="K530" s="688"/>
      <c r="L530" s="689"/>
      <c r="M530" s="689"/>
      <c r="N530" s="689"/>
      <c r="O530" s="689"/>
      <c r="P530" s="689"/>
      <c r="Q530" s="689"/>
      <c r="R530" s="689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5.75" customHeight="1">
      <c r="A531" s="686"/>
      <c r="B531" s="687"/>
      <c r="C531" s="243"/>
      <c r="D531" s="244"/>
      <c r="E531" s="688"/>
      <c r="F531" s="688"/>
      <c r="G531" s="688"/>
      <c r="H531" s="688"/>
      <c r="I531" s="688"/>
      <c r="J531" s="688"/>
      <c r="K531" s="688"/>
      <c r="L531" s="689"/>
      <c r="M531" s="689"/>
      <c r="N531" s="689"/>
      <c r="O531" s="689"/>
      <c r="P531" s="689"/>
      <c r="Q531" s="689"/>
      <c r="R531" s="689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5.75" customHeight="1">
      <c r="A532" s="686"/>
      <c r="B532" s="687"/>
      <c r="C532" s="243"/>
      <c r="D532" s="244"/>
      <c r="E532" s="688"/>
      <c r="F532" s="688"/>
      <c r="G532" s="688"/>
      <c r="H532" s="688"/>
      <c r="I532" s="688"/>
      <c r="J532" s="688"/>
      <c r="K532" s="688"/>
      <c r="L532" s="689"/>
      <c r="M532" s="689"/>
      <c r="N532" s="689"/>
      <c r="O532" s="689"/>
      <c r="P532" s="689"/>
      <c r="Q532" s="689"/>
      <c r="R532" s="68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5.75" customHeight="1">
      <c r="A533" s="686"/>
      <c r="B533" s="687"/>
      <c r="C533" s="243"/>
      <c r="D533" s="244"/>
      <c r="E533" s="688"/>
      <c r="F533" s="688"/>
      <c r="G533" s="688"/>
      <c r="H533" s="688"/>
      <c r="I533" s="688"/>
      <c r="J533" s="688"/>
      <c r="K533" s="688"/>
      <c r="L533" s="689"/>
      <c r="M533" s="689"/>
      <c r="N533" s="689"/>
      <c r="O533" s="689"/>
      <c r="P533" s="689"/>
      <c r="Q533" s="689"/>
      <c r="R533" s="68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5.75" customHeight="1">
      <c r="A534" s="686"/>
      <c r="B534" s="687"/>
      <c r="C534" s="243"/>
      <c r="D534" s="244"/>
      <c r="E534" s="688"/>
      <c r="F534" s="688"/>
      <c r="G534" s="688"/>
      <c r="H534" s="688"/>
      <c r="I534" s="688"/>
      <c r="J534" s="688"/>
      <c r="K534" s="688"/>
      <c r="L534" s="689"/>
      <c r="M534" s="689"/>
      <c r="N534" s="689"/>
      <c r="O534" s="689"/>
      <c r="P534" s="689"/>
      <c r="Q534" s="689"/>
      <c r="R534" s="689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5.75" customHeight="1">
      <c r="A535" s="686"/>
      <c r="B535" s="687"/>
      <c r="C535" s="243"/>
      <c r="D535" s="244"/>
      <c r="E535" s="688"/>
      <c r="F535" s="688"/>
      <c r="G535" s="688"/>
      <c r="H535" s="688"/>
      <c r="I535" s="688"/>
      <c r="J535" s="688"/>
      <c r="K535" s="688"/>
      <c r="L535" s="689"/>
      <c r="M535" s="689"/>
      <c r="N535" s="689"/>
      <c r="O535" s="689"/>
      <c r="P535" s="689"/>
      <c r="Q535" s="689"/>
      <c r="R535" s="689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5.75" customHeight="1">
      <c r="A536" s="686"/>
      <c r="B536" s="687"/>
      <c r="C536" s="243"/>
      <c r="D536" s="244"/>
      <c r="E536" s="688"/>
      <c r="F536" s="688"/>
      <c r="G536" s="688"/>
      <c r="H536" s="688"/>
      <c r="I536" s="688"/>
      <c r="J536" s="688"/>
      <c r="K536" s="688"/>
      <c r="L536" s="689"/>
      <c r="M536" s="689"/>
      <c r="N536" s="689"/>
      <c r="O536" s="689"/>
      <c r="P536" s="689"/>
      <c r="Q536" s="689"/>
      <c r="R536" s="68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15.75" customHeight="1">
      <c r="A537" s="686"/>
      <c r="B537" s="687"/>
      <c r="C537" s="243"/>
      <c r="D537" s="244"/>
      <c r="E537" s="688"/>
      <c r="F537" s="688"/>
      <c r="G537" s="688"/>
      <c r="H537" s="688"/>
      <c r="I537" s="688"/>
      <c r="J537" s="688"/>
      <c r="K537" s="688"/>
      <c r="L537" s="689"/>
      <c r="M537" s="689"/>
      <c r="N537" s="689"/>
      <c r="O537" s="689"/>
      <c r="P537" s="689"/>
      <c r="Q537" s="689"/>
      <c r="R537" s="689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5.75" customHeight="1">
      <c r="A538" s="686"/>
      <c r="B538" s="687"/>
      <c r="C538" s="243"/>
      <c r="D538" s="244"/>
      <c r="E538" s="688"/>
      <c r="F538" s="688"/>
      <c r="G538" s="688"/>
      <c r="H538" s="688"/>
      <c r="I538" s="688"/>
      <c r="J538" s="688"/>
      <c r="K538" s="688"/>
      <c r="L538" s="689"/>
      <c r="M538" s="689"/>
      <c r="N538" s="689"/>
      <c r="O538" s="689"/>
      <c r="P538" s="689"/>
      <c r="Q538" s="689"/>
      <c r="R538" s="68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5.75" customHeight="1">
      <c r="A539" s="686"/>
      <c r="B539" s="687"/>
      <c r="C539" s="243"/>
      <c r="D539" s="244"/>
      <c r="E539" s="688"/>
      <c r="F539" s="688"/>
      <c r="G539" s="688"/>
      <c r="H539" s="688"/>
      <c r="I539" s="688"/>
      <c r="J539" s="688"/>
      <c r="K539" s="688"/>
      <c r="L539" s="689"/>
      <c r="M539" s="689"/>
      <c r="N539" s="689"/>
      <c r="O539" s="689"/>
      <c r="P539" s="689"/>
      <c r="Q539" s="689"/>
      <c r="R539" s="689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5.75" customHeight="1">
      <c r="A540" s="686"/>
      <c r="B540" s="687"/>
      <c r="C540" s="243"/>
      <c r="D540" s="244"/>
      <c r="E540" s="688"/>
      <c r="F540" s="688"/>
      <c r="G540" s="688"/>
      <c r="H540" s="688"/>
      <c r="I540" s="688"/>
      <c r="J540" s="688"/>
      <c r="K540" s="688"/>
      <c r="L540" s="689"/>
      <c r="M540" s="689"/>
      <c r="N540" s="689"/>
      <c r="O540" s="689"/>
      <c r="P540" s="689"/>
      <c r="Q540" s="689"/>
      <c r="R540" s="689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5.75" customHeight="1">
      <c r="A541" s="686"/>
      <c r="B541" s="687"/>
      <c r="C541" s="243"/>
      <c r="D541" s="244"/>
      <c r="E541" s="688"/>
      <c r="F541" s="688"/>
      <c r="G541" s="688"/>
      <c r="H541" s="688"/>
      <c r="I541" s="688"/>
      <c r="J541" s="688"/>
      <c r="K541" s="688"/>
      <c r="L541" s="689"/>
      <c r="M541" s="689"/>
      <c r="N541" s="689"/>
      <c r="O541" s="689"/>
      <c r="P541" s="689"/>
      <c r="Q541" s="689"/>
      <c r="R541" s="689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5.75" customHeight="1">
      <c r="A542" s="686"/>
      <c r="B542" s="687"/>
      <c r="C542" s="243"/>
      <c r="D542" s="244"/>
      <c r="E542" s="688"/>
      <c r="F542" s="688"/>
      <c r="G542" s="688"/>
      <c r="H542" s="688"/>
      <c r="I542" s="688"/>
      <c r="J542" s="688"/>
      <c r="K542" s="688"/>
      <c r="L542" s="689"/>
      <c r="M542" s="689"/>
      <c r="N542" s="689"/>
      <c r="O542" s="689"/>
      <c r="P542" s="689"/>
      <c r="Q542" s="689"/>
      <c r="R542" s="689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15.75" customHeight="1">
      <c r="A543" s="686"/>
      <c r="B543" s="687"/>
      <c r="C543" s="243"/>
      <c r="D543" s="244"/>
      <c r="E543" s="688"/>
      <c r="F543" s="688"/>
      <c r="G543" s="688"/>
      <c r="H543" s="688"/>
      <c r="I543" s="688"/>
      <c r="J543" s="688"/>
      <c r="K543" s="688"/>
      <c r="L543" s="689"/>
      <c r="M543" s="689"/>
      <c r="N543" s="689"/>
      <c r="O543" s="689"/>
      <c r="P543" s="689"/>
      <c r="Q543" s="689"/>
      <c r="R543" s="689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15.75" customHeight="1">
      <c r="A544" s="686"/>
      <c r="B544" s="687"/>
      <c r="C544" s="243"/>
      <c r="D544" s="244"/>
      <c r="E544" s="688"/>
      <c r="F544" s="688"/>
      <c r="G544" s="688"/>
      <c r="H544" s="688"/>
      <c r="I544" s="688"/>
      <c r="J544" s="688"/>
      <c r="K544" s="688"/>
      <c r="L544" s="689"/>
      <c r="M544" s="689"/>
      <c r="N544" s="689"/>
      <c r="O544" s="689"/>
      <c r="P544" s="689"/>
      <c r="Q544" s="689"/>
      <c r="R544" s="689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5.75" customHeight="1">
      <c r="A545" s="686"/>
      <c r="B545" s="687"/>
      <c r="C545" s="243"/>
      <c r="D545" s="244"/>
      <c r="E545" s="688"/>
      <c r="F545" s="688"/>
      <c r="G545" s="688"/>
      <c r="H545" s="688"/>
      <c r="I545" s="688"/>
      <c r="J545" s="688"/>
      <c r="K545" s="688"/>
      <c r="L545" s="689"/>
      <c r="M545" s="689"/>
      <c r="N545" s="689"/>
      <c r="O545" s="689"/>
      <c r="P545" s="689"/>
      <c r="Q545" s="689"/>
      <c r="R545" s="689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5.75" customHeight="1">
      <c r="A546" s="686"/>
      <c r="B546" s="687"/>
      <c r="C546" s="243"/>
      <c r="D546" s="244"/>
      <c r="E546" s="688"/>
      <c r="F546" s="688"/>
      <c r="G546" s="688"/>
      <c r="H546" s="688"/>
      <c r="I546" s="688"/>
      <c r="J546" s="688"/>
      <c r="K546" s="688"/>
      <c r="L546" s="689"/>
      <c r="M546" s="689"/>
      <c r="N546" s="689"/>
      <c r="O546" s="689"/>
      <c r="P546" s="689"/>
      <c r="Q546" s="689"/>
      <c r="R546" s="689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5.75" customHeight="1">
      <c r="A547" s="686"/>
      <c r="B547" s="687"/>
      <c r="C547" s="243"/>
      <c r="D547" s="244"/>
      <c r="E547" s="688"/>
      <c r="F547" s="688"/>
      <c r="G547" s="688"/>
      <c r="H547" s="688"/>
      <c r="I547" s="688"/>
      <c r="J547" s="688"/>
      <c r="K547" s="688"/>
      <c r="L547" s="689"/>
      <c r="M547" s="689"/>
      <c r="N547" s="689"/>
      <c r="O547" s="689"/>
      <c r="P547" s="689"/>
      <c r="Q547" s="689"/>
      <c r="R547" s="689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5.75" customHeight="1">
      <c r="A548" s="686"/>
      <c r="B548" s="687"/>
      <c r="C548" s="243"/>
      <c r="D548" s="244"/>
      <c r="E548" s="688"/>
      <c r="F548" s="688"/>
      <c r="G548" s="688"/>
      <c r="H548" s="688"/>
      <c r="I548" s="688"/>
      <c r="J548" s="688"/>
      <c r="K548" s="688"/>
      <c r="L548" s="689"/>
      <c r="M548" s="689"/>
      <c r="N548" s="689"/>
      <c r="O548" s="689"/>
      <c r="P548" s="689"/>
      <c r="Q548" s="689"/>
      <c r="R548" s="689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5.75" customHeight="1">
      <c r="A549" s="686"/>
      <c r="B549" s="687"/>
      <c r="C549" s="243"/>
      <c r="D549" s="244"/>
      <c r="E549" s="688"/>
      <c r="F549" s="688"/>
      <c r="G549" s="688"/>
      <c r="H549" s="688"/>
      <c r="I549" s="688"/>
      <c r="J549" s="688"/>
      <c r="K549" s="688"/>
      <c r="L549" s="689"/>
      <c r="M549" s="689"/>
      <c r="N549" s="689"/>
      <c r="O549" s="689"/>
      <c r="P549" s="689"/>
      <c r="Q549" s="689"/>
      <c r="R549" s="689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5.75" customHeight="1">
      <c r="A550" s="686"/>
      <c r="B550" s="687"/>
      <c r="C550" s="243"/>
      <c r="D550" s="244"/>
      <c r="E550" s="688"/>
      <c r="F550" s="688"/>
      <c r="G550" s="688"/>
      <c r="H550" s="688"/>
      <c r="I550" s="688"/>
      <c r="J550" s="688"/>
      <c r="K550" s="688"/>
      <c r="L550" s="689"/>
      <c r="M550" s="689"/>
      <c r="N550" s="689"/>
      <c r="O550" s="689"/>
      <c r="P550" s="689"/>
      <c r="Q550" s="689"/>
      <c r="R550" s="689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5.75" customHeight="1">
      <c r="A551" s="686"/>
      <c r="B551" s="687"/>
      <c r="C551" s="243"/>
      <c r="D551" s="244"/>
      <c r="E551" s="688"/>
      <c r="F551" s="688"/>
      <c r="G551" s="688"/>
      <c r="H551" s="688"/>
      <c r="I551" s="688"/>
      <c r="J551" s="688"/>
      <c r="K551" s="688"/>
      <c r="L551" s="689"/>
      <c r="M551" s="689"/>
      <c r="N551" s="689"/>
      <c r="O551" s="689"/>
      <c r="P551" s="689"/>
      <c r="Q551" s="689"/>
      <c r="R551" s="689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15.75" customHeight="1">
      <c r="A552" s="686"/>
      <c r="B552" s="687"/>
      <c r="C552" s="243"/>
      <c r="D552" s="244"/>
      <c r="E552" s="688"/>
      <c r="F552" s="688"/>
      <c r="G552" s="688"/>
      <c r="H552" s="688"/>
      <c r="I552" s="688"/>
      <c r="J552" s="688"/>
      <c r="K552" s="688"/>
      <c r="L552" s="689"/>
      <c r="M552" s="689"/>
      <c r="N552" s="689"/>
      <c r="O552" s="689"/>
      <c r="P552" s="689"/>
      <c r="Q552" s="689"/>
      <c r="R552" s="689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15.75" customHeight="1">
      <c r="A553" s="686"/>
      <c r="B553" s="687"/>
      <c r="C553" s="243"/>
      <c r="D553" s="244"/>
      <c r="E553" s="688"/>
      <c r="F553" s="688"/>
      <c r="G553" s="688"/>
      <c r="H553" s="688"/>
      <c r="I553" s="688"/>
      <c r="J553" s="688"/>
      <c r="K553" s="688"/>
      <c r="L553" s="689"/>
      <c r="M553" s="689"/>
      <c r="N553" s="689"/>
      <c r="O553" s="689"/>
      <c r="P553" s="689"/>
      <c r="Q553" s="689"/>
      <c r="R553" s="689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15.75" customHeight="1">
      <c r="A554" s="686"/>
      <c r="B554" s="687"/>
      <c r="C554" s="243"/>
      <c r="D554" s="244"/>
      <c r="E554" s="688"/>
      <c r="F554" s="688"/>
      <c r="G554" s="688"/>
      <c r="H554" s="688"/>
      <c r="I554" s="688"/>
      <c r="J554" s="688"/>
      <c r="K554" s="688"/>
      <c r="L554" s="689"/>
      <c r="M554" s="689"/>
      <c r="N554" s="689"/>
      <c r="O554" s="689"/>
      <c r="P554" s="689"/>
      <c r="Q554" s="689"/>
      <c r="R554" s="68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15.75" customHeight="1">
      <c r="A555" s="686"/>
      <c r="B555" s="687"/>
      <c r="C555" s="243"/>
      <c r="D555" s="244"/>
      <c r="E555" s="688"/>
      <c r="F555" s="688"/>
      <c r="G555" s="688"/>
      <c r="H555" s="688"/>
      <c r="I555" s="688"/>
      <c r="J555" s="688"/>
      <c r="K555" s="688"/>
      <c r="L555" s="689"/>
      <c r="M555" s="689"/>
      <c r="N555" s="689"/>
      <c r="O555" s="689"/>
      <c r="P555" s="689"/>
      <c r="Q555" s="689"/>
      <c r="R555" s="689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15.75" customHeight="1">
      <c r="A556" s="686"/>
      <c r="B556" s="687"/>
      <c r="C556" s="243"/>
      <c r="D556" s="244"/>
      <c r="E556" s="688"/>
      <c r="F556" s="688"/>
      <c r="G556" s="688"/>
      <c r="H556" s="688"/>
      <c r="I556" s="688"/>
      <c r="J556" s="688"/>
      <c r="K556" s="688"/>
      <c r="L556" s="689"/>
      <c r="M556" s="689"/>
      <c r="N556" s="689"/>
      <c r="O556" s="689"/>
      <c r="P556" s="689"/>
      <c r="Q556" s="689"/>
      <c r="R556" s="689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5.75" customHeight="1">
      <c r="A557" s="686"/>
      <c r="B557" s="687"/>
      <c r="C557" s="243"/>
      <c r="D557" s="244"/>
      <c r="E557" s="688"/>
      <c r="F557" s="688"/>
      <c r="G557" s="688"/>
      <c r="H557" s="688"/>
      <c r="I557" s="688"/>
      <c r="J557" s="688"/>
      <c r="K557" s="688"/>
      <c r="L557" s="689"/>
      <c r="M557" s="689"/>
      <c r="N557" s="689"/>
      <c r="O557" s="689"/>
      <c r="P557" s="689"/>
      <c r="Q557" s="689"/>
      <c r="R557" s="689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15.75" customHeight="1">
      <c r="A558" s="686"/>
      <c r="B558" s="687"/>
      <c r="C558" s="243"/>
      <c r="D558" s="244"/>
      <c r="E558" s="688"/>
      <c r="F558" s="688"/>
      <c r="G558" s="688"/>
      <c r="H558" s="688"/>
      <c r="I558" s="688"/>
      <c r="J558" s="688"/>
      <c r="K558" s="688"/>
      <c r="L558" s="689"/>
      <c r="M558" s="689"/>
      <c r="N558" s="689"/>
      <c r="O558" s="689"/>
      <c r="P558" s="689"/>
      <c r="Q558" s="689"/>
      <c r="R558" s="689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15.75" customHeight="1">
      <c r="A559" s="686"/>
      <c r="B559" s="687"/>
      <c r="C559" s="243"/>
      <c r="D559" s="244"/>
      <c r="E559" s="688"/>
      <c r="F559" s="688"/>
      <c r="G559" s="688"/>
      <c r="H559" s="688"/>
      <c r="I559" s="688"/>
      <c r="J559" s="688"/>
      <c r="K559" s="688"/>
      <c r="L559" s="689"/>
      <c r="M559" s="689"/>
      <c r="N559" s="689"/>
      <c r="O559" s="689"/>
      <c r="P559" s="689"/>
      <c r="Q559" s="689"/>
      <c r="R559" s="689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15.75" customHeight="1">
      <c r="A560" s="686"/>
      <c r="B560" s="687"/>
      <c r="C560" s="243"/>
      <c r="D560" s="244"/>
      <c r="E560" s="688"/>
      <c r="F560" s="688"/>
      <c r="G560" s="688"/>
      <c r="H560" s="688"/>
      <c r="I560" s="688"/>
      <c r="J560" s="688"/>
      <c r="K560" s="688"/>
      <c r="L560" s="689"/>
      <c r="M560" s="689"/>
      <c r="N560" s="689"/>
      <c r="O560" s="689"/>
      <c r="P560" s="689"/>
      <c r="Q560" s="689"/>
      <c r="R560" s="689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5.75" customHeight="1">
      <c r="A561" s="686"/>
      <c r="B561" s="687"/>
      <c r="C561" s="243"/>
      <c r="D561" s="244"/>
      <c r="E561" s="688"/>
      <c r="F561" s="688"/>
      <c r="G561" s="688"/>
      <c r="H561" s="688"/>
      <c r="I561" s="688"/>
      <c r="J561" s="688"/>
      <c r="K561" s="688"/>
      <c r="L561" s="689"/>
      <c r="M561" s="689"/>
      <c r="N561" s="689"/>
      <c r="O561" s="689"/>
      <c r="P561" s="689"/>
      <c r="Q561" s="689"/>
      <c r="R561" s="689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5.75" customHeight="1">
      <c r="A562" s="686"/>
      <c r="B562" s="687"/>
      <c r="C562" s="243"/>
      <c r="D562" s="244"/>
      <c r="E562" s="688"/>
      <c r="F562" s="688"/>
      <c r="G562" s="688"/>
      <c r="H562" s="688"/>
      <c r="I562" s="688"/>
      <c r="J562" s="688"/>
      <c r="K562" s="688"/>
      <c r="L562" s="689"/>
      <c r="M562" s="689"/>
      <c r="N562" s="689"/>
      <c r="O562" s="689"/>
      <c r="P562" s="689"/>
      <c r="Q562" s="689"/>
      <c r="R562" s="689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5.75" customHeight="1">
      <c r="A563" s="686"/>
      <c r="B563" s="687"/>
      <c r="C563" s="243"/>
      <c r="D563" s="244"/>
      <c r="E563" s="688"/>
      <c r="F563" s="688"/>
      <c r="G563" s="688"/>
      <c r="H563" s="688"/>
      <c r="I563" s="688"/>
      <c r="J563" s="688"/>
      <c r="K563" s="688"/>
      <c r="L563" s="689"/>
      <c r="M563" s="689"/>
      <c r="N563" s="689"/>
      <c r="O563" s="689"/>
      <c r="P563" s="689"/>
      <c r="Q563" s="689"/>
      <c r="R563" s="689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5.75" customHeight="1">
      <c r="A564" s="686"/>
      <c r="B564" s="687"/>
      <c r="C564" s="243"/>
      <c r="D564" s="244"/>
      <c r="E564" s="688"/>
      <c r="F564" s="688"/>
      <c r="G564" s="688"/>
      <c r="H564" s="688"/>
      <c r="I564" s="688"/>
      <c r="J564" s="688"/>
      <c r="K564" s="688"/>
      <c r="L564" s="689"/>
      <c r="M564" s="689"/>
      <c r="N564" s="689"/>
      <c r="O564" s="689"/>
      <c r="P564" s="689"/>
      <c r="Q564" s="689"/>
      <c r="R564" s="689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15.75" customHeight="1">
      <c r="A565" s="686"/>
      <c r="B565" s="687"/>
      <c r="C565" s="243"/>
      <c r="D565" s="244"/>
      <c r="E565" s="688"/>
      <c r="F565" s="688"/>
      <c r="G565" s="688"/>
      <c r="H565" s="688"/>
      <c r="I565" s="688"/>
      <c r="J565" s="688"/>
      <c r="K565" s="688"/>
      <c r="L565" s="689"/>
      <c r="M565" s="689"/>
      <c r="N565" s="689"/>
      <c r="O565" s="689"/>
      <c r="P565" s="689"/>
      <c r="Q565" s="689"/>
      <c r="R565" s="689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15.75" customHeight="1">
      <c r="A566" s="686"/>
      <c r="B566" s="687"/>
      <c r="C566" s="243"/>
      <c r="D566" s="244"/>
      <c r="E566" s="688"/>
      <c r="F566" s="688"/>
      <c r="G566" s="688"/>
      <c r="H566" s="688"/>
      <c r="I566" s="688"/>
      <c r="J566" s="688"/>
      <c r="K566" s="688"/>
      <c r="L566" s="689"/>
      <c r="M566" s="689"/>
      <c r="N566" s="689"/>
      <c r="O566" s="689"/>
      <c r="P566" s="689"/>
      <c r="Q566" s="689"/>
      <c r="R566" s="689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15.75" customHeight="1">
      <c r="A567" s="686"/>
      <c r="B567" s="687"/>
      <c r="C567" s="243"/>
      <c r="D567" s="244"/>
      <c r="E567" s="688"/>
      <c r="F567" s="688"/>
      <c r="G567" s="688"/>
      <c r="H567" s="688"/>
      <c r="I567" s="688"/>
      <c r="J567" s="688"/>
      <c r="K567" s="688"/>
      <c r="L567" s="689"/>
      <c r="M567" s="689"/>
      <c r="N567" s="689"/>
      <c r="O567" s="689"/>
      <c r="P567" s="689"/>
      <c r="Q567" s="689"/>
      <c r="R567" s="689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5.75" customHeight="1">
      <c r="A568" s="686"/>
      <c r="B568" s="687"/>
      <c r="C568" s="243"/>
      <c r="D568" s="244"/>
      <c r="E568" s="688"/>
      <c r="F568" s="688"/>
      <c r="G568" s="688"/>
      <c r="H568" s="688"/>
      <c r="I568" s="688"/>
      <c r="J568" s="688"/>
      <c r="K568" s="688"/>
      <c r="L568" s="689"/>
      <c r="M568" s="689"/>
      <c r="N568" s="689"/>
      <c r="O568" s="689"/>
      <c r="P568" s="689"/>
      <c r="Q568" s="689"/>
      <c r="R568" s="689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5.75" customHeight="1">
      <c r="A569" s="686"/>
      <c r="B569" s="687"/>
      <c r="C569" s="243"/>
      <c r="D569" s="244"/>
      <c r="E569" s="688"/>
      <c r="F569" s="688"/>
      <c r="G569" s="688"/>
      <c r="H569" s="688"/>
      <c r="I569" s="688"/>
      <c r="J569" s="688"/>
      <c r="K569" s="688"/>
      <c r="L569" s="689"/>
      <c r="M569" s="689"/>
      <c r="N569" s="689"/>
      <c r="O569" s="689"/>
      <c r="P569" s="689"/>
      <c r="Q569" s="689"/>
      <c r="R569" s="689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5.75" customHeight="1">
      <c r="A570" s="686"/>
      <c r="B570" s="687"/>
      <c r="C570" s="243"/>
      <c r="D570" s="244"/>
      <c r="E570" s="688"/>
      <c r="F570" s="688"/>
      <c r="G570" s="688"/>
      <c r="H570" s="688"/>
      <c r="I570" s="688"/>
      <c r="J570" s="688"/>
      <c r="K570" s="688"/>
      <c r="L570" s="689"/>
      <c r="M570" s="689"/>
      <c r="N570" s="689"/>
      <c r="O570" s="689"/>
      <c r="P570" s="689"/>
      <c r="Q570" s="689"/>
      <c r="R570" s="689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5.75" customHeight="1">
      <c r="A571" s="686"/>
      <c r="B571" s="687"/>
      <c r="C571" s="243"/>
      <c r="D571" s="244"/>
      <c r="E571" s="688"/>
      <c r="F571" s="688"/>
      <c r="G571" s="688"/>
      <c r="H571" s="688"/>
      <c r="I571" s="688"/>
      <c r="J571" s="688"/>
      <c r="K571" s="688"/>
      <c r="L571" s="689"/>
      <c r="M571" s="689"/>
      <c r="N571" s="689"/>
      <c r="O571" s="689"/>
      <c r="P571" s="689"/>
      <c r="Q571" s="689"/>
      <c r="R571" s="689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5.75" customHeight="1">
      <c r="A572" s="686"/>
      <c r="B572" s="687"/>
      <c r="C572" s="243"/>
      <c r="D572" s="244"/>
      <c r="E572" s="688"/>
      <c r="F572" s="688"/>
      <c r="G572" s="688"/>
      <c r="H572" s="688"/>
      <c r="I572" s="688"/>
      <c r="J572" s="688"/>
      <c r="K572" s="688"/>
      <c r="L572" s="689"/>
      <c r="M572" s="689"/>
      <c r="N572" s="689"/>
      <c r="O572" s="689"/>
      <c r="P572" s="689"/>
      <c r="Q572" s="689"/>
      <c r="R572" s="689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15.75" customHeight="1">
      <c r="A573" s="686"/>
      <c r="B573" s="687"/>
      <c r="C573" s="243"/>
      <c r="D573" s="244"/>
      <c r="E573" s="688"/>
      <c r="F573" s="688"/>
      <c r="G573" s="688"/>
      <c r="H573" s="688"/>
      <c r="I573" s="688"/>
      <c r="J573" s="688"/>
      <c r="K573" s="688"/>
      <c r="L573" s="689"/>
      <c r="M573" s="689"/>
      <c r="N573" s="689"/>
      <c r="O573" s="689"/>
      <c r="P573" s="689"/>
      <c r="Q573" s="689"/>
      <c r="R573" s="689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15.75" customHeight="1">
      <c r="A574" s="686"/>
      <c r="B574" s="687"/>
      <c r="C574" s="243"/>
      <c r="D574" s="244"/>
      <c r="E574" s="688"/>
      <c r="F574" s="688"/>
      <c r="G574" s="688"/>
      <c r="H574" s="688"/>
      <c r="I574" s="688"/>
      <c r="J574" s="688"/>
      <c r="K574" s="688"/>
      <c r="L574" s="689"/>
      <c r="M574" s="689"/>
      <c r="N574" s="689"/>
      <c r="O574" s="689"/>
      <c r="P574" s="689"/>
      <c r="Q574" s="689"/>
      <c r="R574" s="689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5.75" customHeight="1">
      <c r="A575" s="686"/>
      <c r="B575" s="687"/>
      <c r="C575" s="243"/>
      <c r="D575" s="244"/>
      <c r="E575" s="688"/>
      <c r="F575" s="688"/>
      <c r="G575" s="688"/>
      <c r="H575" s="688"/>
      <c r="I575" s="688"/>
      <c r="J575" s="688"/>
      <c r="K575" s="688"/>
      <c r="L575" s="689"/>
      <c r="M575" s="689"/>
      <c r="N575" s="689"/>
      <c r="O575" s="689"/>
      <c r="P575" s="689"/>
      <c r="Q575" s="689"/>
      <c r="R575" s="689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5.75" customHeight="1">
      <c r="A576" s="686"/>
      <c r="B576" s="687"/>
      <c r="C576" s="243"/>
      <c r="D576" s="244"/>
      <c r="E576" s="688"/>
      <c r="F576" s="688"/>
      <c r="G576" s="688"/>
      <c r="H576" s="688"/>
      <c r="I576" s="688"/>
      <c r="J576" s="688"/>
      <c r="K576" s="688"/>
      <c r="L576" s="689"/>
      <c r="M576" s="689"/>
      <c r="N576" s="689"/>
      <c r="O576" s="689"/>
      <c r="P576" s="689"/>
      <c r="Q576" s="689"/>
      <c r="R576" s="689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5.75" customHeight="1">
      <c r="A577" s="686"/>
      <c r="B577" s="687"/>
      <c r="C577" s="243"/>
      <c r="D577" s="244"/>
      <c r="E577" s="688"/>
      <c r="F577" s="688"/>
      <c r="G577" s="688"/>
      <c r="H577" s="688"/>
      <c r="I577" s="688"/>
      <c r="J577" s="688"/>
      <c r="K577" s="688"/>
      <c r="L577" s="689"/>
      <c r="M577" s="689"/>
      <c r="N577" s="689"/>
      <c r="O577" s="689"/>
      <c r="P577" s="689"/>
      <c r="Q577" s="689"/>
      <c r="R577" s="689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5.75" customHeight="1">
      <c r="A578" s="686"/>
      <c r="B578" s="687"/>
      <c r="C578" s="243"/>
      <c r="D578" s="244"/>
      <c r="E578" s="688"/>
      <c r="F578" s="688"/>
      <c r="G578" s="688"/>
      <c r="H578" s="688"/>
      <c r="I578" s="688"/>
      <c r="J578" s="688"/>
      <c r="K578" s="688"/>
      <c r="L578" s="689"/>
      <c r="M578" s="689"/>
      <c r="N578" s="689"/>
      <c r="O578" s="689"/>
      <c r="P578" s="689"/>
      <c r="Q578" s="689"/>
      <c r="R578" s="689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5.75" customHeight="1">
      <c r="A579" s="686"/>
      <c r="B579" s="687"/>
      <c r="C579" s="243"/>
      <c r="D579" s="244"/>
      <c r="E579" s="688"/>
      <c r="F579" s="688"/>
      <c r="G579" s="688"/>
      <c r="H579" s="688"/>
      <c r="I579" s="688"/>
      <c r="J579" s="688"/>
      <c r="K579" s="688"/>
      <c r="L579" s="689"/>
      <c r="M579" s="689"/>
      <c r="N579" s="689"/>
      <c r="O579" s="689"/>
      <c r="P579" s="689"/>
      <c r="Q579" s="689"/>
      <c r="R579" s="689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5.75" customHeight="1">
      <c r="A580" s="686"/>
      <c r="B580" s="687"/>
      <c r="C580" s="243"/>
      <c r="D580" s="244"/>
      <c r="E580" s="688"/>
      <c r="F580" s="688"/>
      <c r="G580" s="688"/>
      <c r="H580" s="688"/>
      <c r="I580" s="688"/>
      <c r="J580" s="688"/>
      <c r="K580" s="688"/>
      <c r="L580" s="689"/>
      <c r="M580" s="689"/>
      <c r="N580" s="689"/>
      <c r="O580" s="689"/>
      <c r="P580" s="689"/>
      <c r="Q580" s="689"/>
      <c r="R580" s="689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15.75" customHeight="1">
      <c r="A581" s="686"/>
      <c r="B581" s="687"/>
      <c r="C581" s="243"/>
      <c r="D581" s="244"/>
      <c r="E581" s="688"/>
      <c r="F581" s="688"/>
      <c r="G581" s="688"/>
      <c r="H581" s="688"/>
      <c r="I581" s="688"/>
      <c r="J581" s="688"/>
      <c r="K581" s="688"/>
      <c r="L581" s="689"/>
      <c r="M581" s="689"/>
      <c r="N581" s="689"/>
      <c r="O581" s="689"/>
      <c r="P581" s="689"/>
      <c r="Q581" s="689"/>
      <c r="R581" s="689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5.75" customHeight="1">
      <c r="A582" s="686"/>
      <c r="B582" s="687"/>
      <c r="C582" s="243"/>
      <c r="D582" s="244"/>
      <c r="E582" s="688"/>
      <c r="F582" s="688"/>
      <c r="G582" s="688"/>
      <c r="H582" s="688"/>
      <c r="I582" s="688"/>
      <c r="J582" s="688"/>
      <c r="K582" s="688"/>
      <c r="L582" s="689"/>
      <c r="M582" s="689"/>
      <c r="N582" s="689"/>
      <c r="O582" s="689"/>
      <c r="P582" s="689"/>
      <c r="Q582" s="689"/>
      <c r="R582" s="689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5.75" customHeight="1">
      <c r="A583" s="686"/>
      <c r="B583" s="687"/>
      <c r="C583" s="243"/>
      <c r="D583" s="244"/>
      <c r="E583" s="688"/>
      <c r="F583" s="688"/>
      <c r="G583" s="688"/>
      <c r="H583" s="688"/>
      <c r="I583" s="688"/>
      <c r="J583" s="688"/>
      <c r="K583" s="688"/>
      <c r="L583" s="689"/>
      <c r="M583" s="689"/>
      <c r="N583" s="689"/>
      <c r="O583" s="689"/>
      <c r="P583" s="689"/>
      <c r="Q583" s="689"/>
      <c r="R583" s="689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5.75" customHeight="1">
      <c r="A584" s="686"/>
      <c r="B584" s="687"/>
      <c r="C584" s="243"/>
      <c r="D584" s="244"/>
      <c r="E584" s="688"/>
      <c r="F584" s="688"/>
      <c r="G584" s="688"/>
      <c r="H584" s="688"/>
      <c r="I584" s="688"/>
      <c r="J584" s="688"/>
      <c r="K584" s="688"/>
      <c r="L584" s="689"/>
      <c r="M584" s="689"/>
      <c r="N584" s="689"/>
      <c r="O584" s="689"/>
      <c r="P584" s="689"/>
      <c r="Q584" s="689"/>
      <c r="R584" s="689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5.75" customHeight="1">
      <c r="A585" s="686"/>
      <c r="B585" s="687"/>
      <c r="C585" s="243"/>
      <c r="D585" s="244"/>
      <c r="E585" s="688"/>
      <c r="F585" s="688"/>
      <c r="G585" s="688"/>
      <c r="H585" s="688"/>
      <c r="I585" s="688"/>
      <c r="J585" s="688"/>
      <c r="K585" s="688"/>
      <c r="L585" s="689"/>
      <c r="M585" s="689"/>
      <c r="N585" s="689"/>
      <c r="O585" s="689"/>
      <c r="P585" s="689"/>
      <c r="Q585" s="689"/>
      <c r="R585" s="689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5.75" customHeight="1">
      <c r="A586" s="686"/>
      <c r="B586" s="687"/>
      <c r="C586" s="243"/>
      <c r="D586" s="244"/>
      <c r="E586" s="688"/>
      <c r="F586" s="688"/>
      <c r="G586" s="688"/>
      <c r="H586" s="688"/>
      <c r="I586" s="688"/>
      <c r="J586" s="688"/>
      <c r="K586" s="688"/>
      <c r="L586" s="689"/>
      <c r="M586" s="689"/>
      <c r="N586" s="689"/>
      <c r="O586" s="689"/>
      <c r="P586" s="689"/>
      <c r="Q586" s="689"/>
      <c r="R586" s="689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5.75" customHeight="1">
      <c r="A587" s="686"/>
      <c r="B587" s="687"/>
      <c r="C587" s="243"/>
      <c r="D587" s="244"/>
      <c r="E587" s="688"/>
      <c r="F587" s="688"/>
      <c r="G587" s="688"/>
      <c r="H587" s="688"/>
      <c r="I587" s="688"/>
      <c r="J587" s="688"/>
      <c r="K587" s="688"/>
      <c r="L587" s="689"/>
      <c r="M587" s="689"/>
      <c r="N587" s="689"/>
      <c r="O587" s="689"/>
      <c r="P587" s="689"/>
      <c r="Q587" s="689"/>
      <c r="R587" s="689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5.75" customHeight="1">
      <c r="A588" s="686"/>
      <c r="B588" s="687"/>
      <c r="C588" s="243"/>
      <c r="D588" s="244"/>
      <c r="E588" s="688"/>
      <c r="F588" s="688"/>
      <c r="G588" s="688"/>
      <c r="H588" s="688"/>
      <c r="I588" s="688"/>
      <c r="J588" s="688"/>
      <c r="K588" s="688"/>
      <c r="L588" s="689"/>
      <c r="M588" s="689"/>
      <c r="N588" s="689"/>
      <c r="O588" s="689"/>
      <c r="P588" s="689"/>
      <c r="Q588" s="689"/>
      <c r="R588" s="689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5.75" customHeight="1">
      <c r="A589" s="686"/>
      <c r="B589" s="687"/>
      <c r="C589" s="243"/>
      <c r="D589" s="244"/>
      <c r="E589" s="688"/>
      <c r="F589" s="688"/>
      <c r="G589" s="688"/>
      <c r="H589" s="688"/>
      <c r="I589" s="688"/>
      <c r="J589" s="688"/>
      <c r="K589" s="688"/>
      <c r="L589" s="689"/>
      <c r="M589" s="689"/>
      <c r="N589" s="689"/>
      <c r="O589" s="689"/>
      <c r="P589" s="689"/>
      <c r="Q589" s="689"/>
      <c r="R589" s="689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5.75" customHeight="1">
      <c r="A590" s="686"/>
      <c r="B590" s="687"/>
      <c r="C590" s="243"/>
      <c r="D590" s="244"/>
      <c r="E590" s="688"/>
      <c r="F590" s="688"/>
      <c r="G590" s="688"/>
      <c r="H590" s="688"/>
      <c r="I590" s="688"/>
      <c r="J590" s="688"/>
      <c r="K590" s="688"/>
      <c r="L590" s="689"/>
      <c r="M590" s="689"/>
      <c r="N590" s="689"/>
      <c r="O590" s="689"/>
      <c r="P590" s="689"/>
      <c r="Q590" s="689"/>
      <c r="R590" s="689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5.75" customHeight="1">
      <c r="A591" s="686"/>
      <c r="B591" s="687"/>
      <c r="C591" s="243"/>
      <c r="D591" s="244"/>
      <c r="E591" s="688"/>
      <c r="F591" s="688"/>
      <c r="G591" s="688"/>
      <c r="H591" s="688"/>
      <c r="I591" s="688"/>
      <c r="J591" s="688"/>
      <c r="K591" s="688"/>
      <c r="L591" s="689"/>
      <c r="M591" s="689"/>
      <c r="N591" s="689"/>
      <c r="O591" s="689"/>
      <c r="P591" s="689"/>
      <c r="Q591" s="689"/>
      <c r="R591" s="689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5.75" customHeight="1">
      <c r="A592" s="686"/>
      <c r="B592" s="687"/>
      <c r="C592" s="243"/>
      <c r="D592" s="244"/>
      <c r="E592" s="688"/>
      <c r="F592" s="688"/>
      <c r="G592" s="688"/>
      <c r="H592" s="688"/>
      <c r="I592" s="688"/>
      <c r="J592" s="688"/>
      <c r="K592" s="688"/>
      <c r="L592" s="689"/>
      <c r="M592" s="689"/>
      <c r="N592" s="689"/>
      <c r="O592" s="689"/>
      <c r="P592" s="689"/>
      <c r="Q592" s="689"/>
      <c r="R592" s="689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5.75" customHeight="1">
      <c r="A593" s="686"/>
      <c r="B593" s="687"/>
      <c r="C593" s="243"/>
      <c r="D593" s="244"/>
      <c r="E593" s="688"/>
      <c r="F593" s="688"/>
      <c r="G593" s="688"/>
      <c r="H593" s="688"/>
      <c r="I593" s="688"/>
      <c r="J593" s="688"/>
      <c r="K593" s="688"/>
      <c r="L593" s="689"/>
      <c r="M593" s="689"/>
      <c r="N593" s="689"/>
      <c r="O593" s="689"/>
      <c r="P593" s="689"/>
      <c r="Q593" s="689"/>
      <c r="R593" s="689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5.75" customHeight="1">
      <c r="A594" s="686"/>
      <c r="B594" s="687"/>
      <c r="C594" s="243"/>
      <c r="D594" s="244"/>
      <c r="E594" s="688"/>
      <c r="F594" s="688"/>
      <c r="G594" s="688"/>
      <c r="H594" s="688"/>
      <c r="I594" s="688"/>
      <c r="J594" s="688"/>
      <c r="K594" s="688"/>
      <c r="L594" s="689"/>
      <c r="M594" s="689"/>
      <c r="N594" s="689"/>
      <c r="O594" s="689"/>
      <c r="P594" s="689"/>
      <c r="Q594" s="689"/>
      <c r="R594" s="689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5.75" customHeight="1">
      <c r="A595" s="686"/>
      <c r="B595" s="687"/>
      <c r="C595" s="243"/>
      <c r="D595" s="244"/>
      <c r="E595" s="688"/>
      <c r="F595" s="688"/>
      <c r="G595" s="688"/>
      <c r="H595" s="688"/>
      <c r="I595" s="688"/>
      <c r="J595" s="688"/>
      <c r="K595" s="688"/>
      <c r="L595" s="689"/>
      <c r="M595" s="689"/>
      <c r="N595" s="689"/>
      <c r="O595" s="689"/>
      <c r="P595" s="689"/>
      <c r="Q595" s="689"/>
      <c r="R595" s="689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5.75" customHeight="1">
      <c r="A596" s="686"/>
      <c r="B596" s="687"/>
      <c r="C596" s="243"/>
      <c r="D596" s="244"/>
      <c r="E596" s="688"/>
      <c r="F596" s="688"/>
      <c r="G596" s="688"/>
      <c r="H596" s="688"/>
      <c r="I596" s="688"/>
      <c r="J596" s="688"/>
      <c r="K596" s="688"/>
      <c r="L596" s="689"/>
      <c r="M596" s="689"/>
      <c r="N596" s="689"/>
      <c r="O596" s="689"/>
      <c r="P596" s="689"/>
      <c r="Q596" s="689"/>
      <c r="R596" s="689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5.75" customHeight="1">
      <c r="A597" s="686"/>
      <c r="B597" s="687"/>
      <c r="C597" s="243"/>
      <c r="D597" s="244"/>
      <c r="E597" s="688"/>
      <c r="F597" s="688"/>
      <c r="G597" s="688"/>
      <c r="H597" s="688"/>
      <c r="I597" s="688"/>
      <c r="J597" s="688"/>
      <c r="K597" s="688"/>
      <c r="L597" s="689"/>
      <c r="M597" s="689"/>
      <c r="N597" s="689"/>
      <c r="O597" s="689"/>
      <c r="P597" s="689"/>
      <c r="Q597" s="689"/>
      <c r="R597" s="689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5.75" customHeight="1">
      <c r="A598" s="686"/>
      <c r="B598" s="687"/>
      <c r="C598" s="243"/>
      <c r="D598" s="244"/>
      <c r="E598" s="688"/>
      <c r="F598" s="688"/>
      <c r="G598" s="688"/>
      <c r="H598" s="688"/>
      <c r="I598" s="688"/>
      <c r="J598" s="688"/>
      <c r="K598" s="688"/>
      <c r="L598" s="689"/>
      <c r="M598" s="689"/>
      <c r="N598" s="689"/>
      <c r="O598" s="689"/>
      <c r="P598" s="689"/>
      <c r="Q598" s="689"/>
      <c r="R598" s="689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5.75" customHeight="1">
      <c r="A599" s="686"/>
      <c r="B599" s="687"/>
      <c r="C599" s="243"/>
      <c r="D599" s="244"/>
      <c r="E599" s="688"/>
      <c r="F599" s="688"/>
      <c r="G599" s="688"/>
      <c r="H599" s="688"/>
      <c r="I599" s="688"/>
      <c r="J599" s="688"/>
      <c r="K599" s="688"/>
      <c r="L599" s="689"/>
      <c r="M599" s="689"/>
      <c r="N599" s="689"/>
      <c r="O599" s="689"/>
      <c r="P599" s="689"/>
      <c r="Q599" s="689"/>
      <c r="R599" s="689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15.75" customHeight="1">
      <c r="A600" s="686"/>
      <c r="B600" s="687"/>
      <c r="C600" s="243"/>
      <c r="D600" s="244"/>
      <c r="E600" s="688"/>
      <c r="F600" s="688"/>
      <c r="G600" s="688"/>
      <c r="H600" s="688"/>
      <c r="I600" s="688"/>
      <c r="J600" s="688"/>
      <c r="K600" s="688"/>
      <c r="L600" s="689"/>
      <c r="M600" s="689"/>
      <c r="N600" s="689"/>
      <c r="O600" s="689"/>
      <c r="P600" s="689"/>
      <c r="Q600" s="689"/>
      <c r="R600" s="689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5.75" customHeight="1">
      <c r="A601" s="686"/>
      <c r="B601" s="687"/>
      <c r="C601" s="243"/>
      <c r="D601" s="244"/>
      <c r="E601" s="688"/>
      <c r="F601" s="688"/>
      <c r="G601" s="688"/>
      <c r="H601" s="688"/>
      <c r="I601" s="688"/>
      <c r="J601" s="688"/>
      <c r="K601" s="688"/>
      <c r="L601" s="689"/>
      <c r="M601" s="689"/>
      <c r="N601" s="689"/>
      <c r="O601" s="689"/>
      <c r="P601" s="689"/>
      <c r="Q601" s="689"/>
      <c r="R601" s="689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15.75" customHeight="1">
      <c r="A602" s="686"/>
      <c r="B602" s="687"/>
      <c r="C602" s="243"/>
      <c r="D602" s="244"/>
      <c r="E602" s="688"/>
      <c r="F602" s="688"/>
      <c r="G602" s="688"/>
      <c r="H602" s="688"/>
      <c r="I602" s="688"/>
      <c r="J602" s="688"/>
      <c r="K602" s="688"/>
      <c r="L602" s="689"/>
      <c r="M602" s="689"/>
      <c r="N602" s="689"/>
      <c r="O602" s="689"/>
      <c r="P602" s="689"/>
      <c r="Q602" s="689"/>
      <c r="R602" s="689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5.75" customHeight="1">
      <c r="A603" s="686"/>
      <c r="B603" s="687"/>
      <c r="C603" s="243"/>
      <c r="D603" s="244"/>
      <c r="E603" s="688"/>
      <c r="F603" s="688"/>
      <c r="G603" s="688"/>
      <c r="H603" s="688"/>
      <c r="I603" s="688"/>
      <c r="J603" s="688"/>
      <c r="K603" s="688"/>
      <c r="L603" s="689"/>
      <c r="M603" s="689"/>
      <c r="N603" s="689"/>
      <c r="O603" s="689"/>
      <c r="P603" s="689"/>
      <c r="Q603" s="689"/>
      <c r="R603" s="689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5.75" customHeight="1">
      <c r="A604" s="686"/>
      <c r="B604" s="687"/>
      <c r="C604" s="243"/>
      <c r="D604" s="244"/>
      <c r="E604" s="688"/>
      <c r="F604" s="688"/>
      <c r="G604" s="688"/>
      <c r="H604" s="688"/>
      <c r="I604" s="688"/>
      <c r="J604" s="688"/>
      <c r="K604" s="688"/>
      <c r="L604" s="689"/>
      <c r="M604" s="689"/>
      <c r="N604" s="689"/>
      <c r="O604" s="689"/>
      <c r="P604" s="689"/>
      <c r="Q604" s="689"/>
      <c r="R604" s="689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5.75" customHeight="1">
      <c r="A605" s="686"/>
      <c r="B605" s="687"/>
      <c r="C605" s="243"/>
      <c r="D605" s="244"/>
      <c r="E605" s="688"/>
      <c r="F605" s="688"/>
      <c r="G605" s="688"/>
      <c r="H605" s="688"/>
      <c r="I605" s="688"/>
      <c r="J605" s="688"/>
      <c r="K605" s="688"/>
      <c r="L605" s="689"/>
      <c r="M605" s="689"/>
      <c r="N605" s="689"/>
      <c r="O605" s="689"/>
      <c r="P605" s="689"/>
      <c r="Q605" s="689"/>
      <c r="R605" s="689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15.75" customHeight="1">
      <c r="A606" s="686"/>
      <c r="B606" s="687"/>
      <c r="C606" s="243"/>
      <c r="D606" s="244"/>
      <c r="E606" s="688"/>
      <c r="F606" s="688"/>
      <c r="G606" s="688"/>
      <c r="H606" s="688"/>
      <c r="I606" s="688"/>
      <c r="J606" s="688"/>
      <c r="K606" s="688"/>
      <c r="L606" s="689"/>
      <c r="M606" s="689"/>
      <c r="N606" s="689"/>
      <c r="O606" s="689"/>
      <c r="P606" s="689"/>
      <c r="Q606" s="689"/>
      <c r="R606" s="689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5.75" customHeight="1">
      <c r="A607" s="686"/>
      <c r="B607" s="687"/>
      <c r="C607" s="243"/>
      <c r="D607" s="244"/>
      <c r="E607" s="688"/>
      <c r="F607" s="688"/>
      <c r="G607" s="688"/>
      <c r="H607" s="688"/>
      <c r="I607" s="688"/>
      <c r="J607" s="688"/>
      <c r="K607" s="688"/>
      <c r="L607" s="689"/>
      <c r="M607" s="689"/>
      <c r="N607" s="689"/>
      <c r="O607" s="689"/>
      <c r="P607" s="689"/>
      <c r="Q607" s="689"/>
      <c r="R607" s="689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5.75" customHeight="1">
      <c r="A608" s="686"/>
      <c r="B608" s="687"/>
      <c r="C608" s="243"/>
      <c r="D608" s="244"/>
      <c r="E608" s="688"/>
      <c r="F608" s="688"/>
      <c r="G608" s="688"/>
      <c r="H608" s="688"/>
      <c r="I608" s="688"/>
      <c r="J608" s="688"/>
      <c r="K608" s="688"/>
      <c r="L608" s="689"/>
      <c r="M608" s="689"/>
      <c r="N608" s="689"/>
      <c r="O608" s="689"/>
      <c r="P608" s="689"/>
      <c r="Q608" s="689"/>
      <c r="R608" s="689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5.75" customHeight="1">
      <c r="A609" s="686"/>
      <c r="B609" s="687"/>
      <c r="C609" s="243"/>
      <c r="D609" s="244"/>
      <c r="E609" s="688"/>
      <c r="F609" s="688"/>
      <c r="G609" s="688"/>
      <c r="H609" s="688"/>
      <c r="I609" s="688"/>
      <c r="J609" s="688"/>
      <c r="K609" s="688"/>
      <c r="L609" s="689"/>
      <c r="M609" s="689"/>
      <c r="N609" s="689"/>
      <c r="O609" s="689"/>
      <c r="P609" s="689"/>
      <c r="Q609" s="689"/>
      <c r="R609" s="689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5.75" customHeight="1">
      <c r="A610" s="686"/>
      <c r="B610" s="687"/>
      <c r="C610" s="243"/>
      <c r="D610" s="244"/>
      <c r="E610" s="688"/>
      <c r="F610" s="688"/>
      <c r="G610" s="688"/>
      <c r="H610" s="688"/>
      <c r="I610" s="688"/>
      <c r="J610" s="688"/>
      <c r="K610" s="688"/>
      <c r="L610" s="689"/>
      <c r="M610" s="689"/>
      <c r="N610" s="689"/>
      <c r="O610" s="689"/>
      <c r="P610" s="689"/>
      <c r="Q610" s="689"/>
      <c r="R610" s="689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5.75" customHeight="1">
      <c r="A611" s="686"/>
      <c r="B611" s="687"/>
      <c r="C611" s="243"/>
      <c r="D611" s="244"/>
      <c r="E611" s="688"/>
      <c r="F611" s="688"/>
      <c r="G611" s="688"/>
      <c r="H611" s="688"/>
      <c r="I611" s="688"/>
      <c r="J611" s="688"/>
      <c r="K611" s="688"/>
      <c r="L611" s="689"/>
      <c r="M611" s="689"/>
      <c r="N611" s="689"/>
      <c r="O611" s="689"/>
      <c r="P611" s="689"/>
      <c r="Q611" s="689"/>
      <c r="R611" s="689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15.75" customHeight="1">
      <c r="A612" s="686"/>
      <c r="B612" s="687"/>
      <c r="C612" s="243"/>
      <c r="D612" s="244"/>
      <c r="E612" s="688"/>
      <c r="F612" s="688"/>
      <c r="G612" s="688"/>
      <c r="H612" s="688"/>
      <c r="I612" s="688"/>
      <c r="J612" s="688"/>
      <c r="K612" s="688"/>
      <c r="L612" s="689"/>
      <c r="M612" s="689"/>
      <c r="N612" s="689"/>
      <c r="O612" s="689"/>
      <c r="P612" s="689"/>
      <c r="Q612" s="689"/>
      <c r="R612" s="689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5.75" customHeight="1">
      <c r="A613" s="686"/>
      <c r="B613" s="687"/>
      <c r="C613" s="243"/>
      <c r="D613" s="244"/>
      <c r="E613" s="688"/>
      <c r="F613" s="688"/>
      <c r="G613" s="688"/>
      <c r="H613" s="688"/>
      <c r="I613" s="688"/>
      <c r="J613" s="688"/>
      <c r="K613" s="688"/>
      <c r="L613" s="689"/>
      <c r="M613" s="689"/>
      <c r="N613" s="689"/>
      <c r="O613" s="689"/>
      <c r="P613" s="689"/>
      <c r="Q613" s="689"/>
      <c r="R613" s="689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15.75" customHeight="1">
      <c r="A614" s="686"/>
      <c r="B614" s="687"/>
      <c r="C614" s="243"/>
      <c r="D614" s="244"/>
      <c r="E614" s="688"/>
      <c r="F614" s="688"/>
      <c r="G614" s="688"/>
      <c r="H614" s="688"/>
      <c r="I614" s="688"/>
      <c r="J614" s="688"/>
      <c r="K614" s="688"/>
      <c r="L614" s="689"/>
      <c r="M614" s="689"/>
      <c r="N614" s="689"/>
      <c r="O614" s="689"/>
      <c r="P614" s="689"/>
      <c r="Q614" s="689"/>
      <c r="R614" s="689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5.75" customHeight="1">
      <c r="A615" s="686"/>
      <c r="B615" s="687"/>
      <c r="C615" s="243"/>
      <c r="D615" s="244"/>
      <c r="E615" s="688"/>
      <c r="F615" s="688"/>
      <c r="G615" s="688"/>
      <c r="H615" s="688"/>
      <c r="I615" s="688"/>
      <c r="J615" s="688"/>
      <c r="K615" s="688"/>
      <c r="L615" s="689"/>
      <c r="M615" s="689"/>
      <c r="N615" s="689"/>
      <c r="O615" s="689"/>
      <c r="P615" s="689"/>
      <c r="Q615" s="689"/>
      <c r="R615" s="689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15.75" customHeight="1">
      <c r="A616" s="686"/>
      <c r="B616" s="687"/>
      <c r="C616" s="243"/>
      <c r="D616" s="244"/>
      <c r="E616" s="688"/>
      <c r="F616" s="688"/>
      <c r="G616" s="688"/>
      <c r="H616" s="688"/>
      <c r="I616" s="688"/>
      <c r="J616" s="688"/>
      <c r="K616" s="688"/>
      <c r="L616" s="689"/>
      <c r="M616" s="689"/>
      <c r="N616" s="689"/>
      <c r="O616" s="689"/>
      <c r="P616" s="689"/>
      <c r="Q616" s="689"/>
      <c r="R616" s="689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15.75" customHeight="1">
      <c r="A617" s="686"/>
      <c r="B617" s="687"/>
      <c r="C617" s="243"/>
      <c r="D617" s="244"/>
      <c r="E617" s="688"/>
      <c r="F617" s="688"/>
      <c r="G617" s="688"/>
      <c r="H617" s="688"/>
      <c r="I617" s="688"/>
      <c r="J617" s="688"/>
      <c r="K617" s="688"/>
      <c r="L617" s="689"/>
      <c r="M617" s="689"/>
      <c r="N617" s="689"/>
      <c r="O617" s="689"/>
      <c r="P617" s="689"/>
      <c r="Q617" s="689"/>
      <c r="R617" s="689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15.75" customHeight="1">
      <c r="A618" s="686"/>
      <c r="B618" s="687"/>
      <c r="C618" s="243"/>
      <c r="D618" s="244"/>
      <c r="E618" s="688"/>
      <c r="F618" s="688"/>
      <c r="G618" s="688"/>
      <c r="H618" s="688"/>
      <c r="I618" s="688"/>
      <c r="J618" s="688"/>
      <c r="K618" s="688"/>
      <c r="L618" s="689"/>
      <c r="M618" s="689"/>
      <c r="N618" s="689"/>
      <c r="O618" s="689"/>
      <c r="P618" s="689"/>
      <c r="Q618" s="689"/>
      <c r="R618" s="689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15.75" customHeight="1">
      <c r="A619" s="686"/>
      <c r="B619" s="687"/>
      <c r="C619" s="243"/>
      <c r="D619" s="244"/>
      <c r="E619" s="688"/>
      <c r="F619" s="688"/>
      <c r="G619" s="688"/>
      <c r="H619" s="688"/>
      <c r="I619" s="688"/>
      <c r="J619" s="688"/>
      <c r="K619" s="688"/>
      <c r="L619" s="689"/>
      <c r="M619" s="689"/>
      <c r="N619" s="689"/>
      <c r="O619" s="689"/>
      <c r="P619" s="689"/>
      <c r="Q619" s="689"/>
      <c r="R619" s="689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15.75" customHeight="1">
      <c r="A620" s="686"/>
      <c r="B620" s="687"/>
      <c r="C620" s="243"/>
      <c r="D620" s="244"/>
      <c r="E620" s="688"/>
      <c r="F620" s="688"/>
      <c r="G620" s="688"/>
      <c r="H620" s="688"/>
      <c r="I620" s="688"/>
      <c r="J620" s="688"/>
      <c r="K620" s="688"/>
      <c r="L620" s="689"/>
      <c r="M620" s="689"/>
      <c r="N620" s="689"/>
      <c r="O620" s="689"/>
      <c r="P620" s="689"/>
      <c r="Q620" s="689"/>
      <c r="R620" s="689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15.75" customHeight="1">
      <c r="A621" s="686"/>
      <c r="B621" s="687"/>
      <c r="C621" s="243"/>
      <c r="D621" s="244"/>
      <c r="E621" s="688"/>
      <c r="F621" s="688"/>
      <c r="G621" s="688"/>
      <c r="H621" s="688"/>
      <c r="I621" s="688"/>
      <c r="J621" s="688"/>
      <c r="K621" s="688"/>
      <c r="L621" s="689"/>
      <c r="M621" s="689"/>
      <c r="N621" s="689"/>
      <c r="O621" s="689"/>
      <c r="P621" s="689"/>
      <c r="Q621" s="689"/>
      <c r="R621" s="689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15.75" customHeight="1">
      <c r="A622" s="686"/>
      <c r="B622" s="687"/>
      <c r="C622" s="243"/>
      <c r="D622" s="244"/>
      <c r="E622" s="688"/>
      <c r="F622" s="688"/>
      <c r="G622" s="688"/>
      <c r="H622" s="688"/>
      <c r="I622" s="688"/>
      <c r="J622" s="688"/>
      <c r="K622" s="688"/>
      <c r="L622" s="689"/>
      <c r="M622" s="689"/>
      <c r="N622" s="689"/>
      <c r="O622" s="689"/>
      <c r="P622" s="689"/>
      <c r="Q622" s="689"/>
      <c r="R622" s="689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15.75" customHeight="1">
      <c r="A623" s="686"/>
      <c r="B623" s="687"/>
      <c r="C623" s="243"/>
      <c r="D623" s="244"/>
      <c r="E623" s="688"/>
      <c r="F623" s="688"/>
      <c r="G623" s="688"/>
      <c r="H623" s="688"/>
      <c r="I623" s="688"/>
      <c r="J623" s="688"/>
      <c r="K623" s="688"/>
      <c r="L623" s="689"/>
      <c r="M623" s="689"/>
      <c r="N623" s="689"/>
      <c r="O623" s="689"/>
      <c r="P623" s="689"/>
      <c r="Q623" s="689"/>
      <c r="R623" s="689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5.75" customHeight="1">
      <c r="A624" s="686"/>
      <c r="B624" s="687"/>
      <c r="C624" s="243"/>
      <c r="D624" s="244"/>
      <c r="E624" s="688"/>
      <c r="F624" s="688"/>
      <c r="G624" s="688"/>
      <c r="H624" s="688"/>
      <c r="I624" s="688"/>
      <c r="J624" s="688"/>
      <c r="K624" s="688"/>
      <c r="L624" s="689"/>
      <c r="M624" s="689"/>
      <c r="N624" s="689"/>
      <c r="O624" s="689"/>
      <c r="P624" s="689"/>
      <c r="Q624" s="689"/>
      <c r="R624" s="689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15.75" customHeight="1">
      <c r="A625" s="686"/>
      <c r="B625" s="687"/>
      <c r="C625" s="243"/>
      <c r="D625" s="244"/>
      <c r="E625" s="688"/>
      <c r="F625" s="688"/>
      <c r="G625" s="688"/>
      <c r="H625" s="688"/>
      <c r="I625" s="688"/>
      <c r="J625" s="688"/>
      <c r="K625" s="688"/>
      <c r="L625" s="689"/>
      <c r="M625" s="689"/>
      <c r="N625" s="689"/>
      <c r="O625" s="689"/>
      <c r="P625" s="689"/>
      <c r="Q625" s="689"/>
      <c r="R625" s="689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5.75" customHeight="1">
      <c r="A626" s="686"/>
      <c r="B626" s="687"/>
      <c r="C626" s="243"/>
      <c r="D626" s="244"/>
      <c r="E626" s="688"/>
      <c r="F626" s="688"/>
      <c r="G626" s="688"/>
      <c r="H626" s="688"/>
      <c r="I626" s="688"/>
      <c r="J626" s="688"/>
      <c r="K626" s="688"/>
      <c r="L626" s="689"/>
      <c r="M626" s="689"/>
      <c r="N626" s="689"/>
      <c r="O626" s="689"/>
      <c r="P626" s="689"/>
      <c r="Q626" s="689"/>
      <c r="R626" s="689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5.75" customHeight="1">
      <c r="A627" s="686"/>
      <c r="B627" s="687"/>
      <c r="C627" s="243"/>
      <c r="D627" s="244"/>
      <c r="E627" s="688"/>
      <c r="F627" s="688"/>
      <c r="G627" s="688"/>
      <c r="H627" s="688"/>
      <c r="I627" s="688"/>
      <c r="J627" s="688"/>
      <c r="K627" s="688"/>
      <c r="L627" s="689"/>
      <c r="M627" s="689"/>
      <c r="N627" s="689"/>
      <c r="O627" s="689"/>
      <c r="P627" s="689"/>
      <c r="Q627" s="689"/>
      <c r="R627" s="689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15.75" customHeight="1">
      <c r="A628" s="686"/>
      <c r="B628" s="687"/>
      <c r="C628" s="243"/>
      <c r="D628" s="244"/>
      <c r="E628" s="688"/>
      <c r="F628" s="688"/>
      <c r="G628" s="688"/>
      <c r="H628" s="688"/>
      <c r="I628" s="688"/>
      <c r="J628" s="688"/>
      <c r="K628" s="688"/>
      <c r="L628" s="689"/>
      <c r="M628" s="689"/>
      <c r="N628" s="689"/>
      <c r="O628" s="689"/>
      <c r="P628" s="689"/>
      <c r="Q628" s="689"/>
      <c r="R628" s="689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5.75" customHeight="1">
      <c r="A629" s="686"/>
      <c r="B629" s="687"/>
      <c r="C629" s="243"/>
      <c r="D629" s="244"/>
      <c r="E629" s="688"/>
      <c r="F629" s="688"/>
      <c r="G629" s="688"/>
      <c r="H629" s="688"/>
      <c r="I629" s="688"/>
      <c r="J629" s="688"/>
      <c r="K629" s="688"/>
      <c r="L629" s="689"/>
      <c r="M629" s="689"/>
      <c r="N629" s="689"/>
      <c r="O629" s="689"/>
      <c r="P629" s="689"/>
      <c r="Q629" s="689"/>
      <c r="R629" s="689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5.75" customHeight="1">
      <c r="A630" s="686"/>
      <c r="B630" s="687"/>
      <c r="C630" s="243"/>
      <c r="D630" s="244"/>
      <c r="E630" s="688"/>
      <c r="F630" s="688"/>
      <c r="G630" s="688"/>
      <c r="H630" s="688"/>
      <c r="I630" s="688"/>
      <c r="J630" s="688"/>
      <c r="K630" s="688"/>
      <c r="L630" s="689"/>
      <c r="M630" s="689"/>
      <c r="N630" s="689"/>
      <c r="O630" s="689"/>
      <c r="P630" s="689"/>
      <c r="Q630" s="689"/>
      <c r="R630" s="689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5.75" customHeight="1">
      <c r="A631" s="686"/>
      <c r="B631" s="687"/>
      <c r="C631" s="243"/>
      <c r="D631" s="244"/>
      <c r="E631" s="688"/>
      <c r="F631" s="688"/>
      <c r="G631" s="688"/>
      <c r="H631" s="688"/>
      <c r="I631" s="688"/>
      <c r="J631" s="688"/>
      <c r="K631" s="688"/>
      <c r="L631" s="689"/>
      <c r="M631" s="689"/>
      <c r="N631" s="689"/>
      <c r="O631" s="689"/>
      <c r="P631" s="689"/>
      <c r="Q631" s="689"/>
      <c r="R631" s="689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5.75" customHeight="1">
      <c r="A632" s="686"/>
      <c r="B632" s="687"/>
      <c r="C632" s="243"/>
      <c r="D632" s="244"/>
      <c r="E632" s="688"/>
      <c r="F632" s="688"/>
      <c r="G632" s="688"/>
      <c r="H632" s="688"/>
      <c r="I632" s="688"/>
      <c r="J632" s="688"/>
      <c r="K632" s="688"/>
      <c r="L632" s="689"/>
      <c r="M632" s="689"/>
      <c r="N632" s="689"/>
      <c r="O632" s="689"/>
      <c r="P632" s="689"/>
      <c r="Q632" s="689"/>
      <c r="R632" s="689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15.75" customHeight="1">
      <c r="A633" s="686"/>
      <c r="B633" s="687"/>
      <c r="C633" s="243"/>
      <c r="D633" s="244"/>
      <c r="E633" s="688"/>
      <c r="F633" s="688"/>
      <c r="G633" s="688"/>
      <c r="H633" s="688"/>
      <c r="I633" s="688"/>
      <c r="J633" s="688"/>
      <c r="K633" s="688"/>
      <c r="L633" s="689"/>
      <c r="M633" s="689"/>
      <c r="N633" s="689"/>
      <c r="O633" s="689"/>
      <c r="P633" s="689"/>
      <c r="Q633" s="689"/>
      <c r="R633" s="689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5.75" customHeight="1">
      <c r="A634" s="686"/>
      <c r="B634" s="687"/>
      <c r="C634" s="243"/>
      <c r="D634" s="244"/>
      <c r="E634" s="688"/>
      <c r="F634" s="688"/>
      <c r="G634" s="688"/>
      <c r="H634" s="688"/>
      <c r="I634" s="688"/>
      <c r="J634" s="688"/>
      <c r="K634" s="688"/>
      <c r="L634" s="689"/>
      <c r="M634" s="689"/>
      <c r="N634" s="689"/>
      <c r="O634" s="689"/>
      <c r="P634" s="689"/>
      <c r="Q634" s="689"/>
      <c r="R634" s="689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15.75" customHeight="1">
      <c r="A635" s="686"/>
      <c r="B635" s="687"/>
      <c r="C635" s="243"/>
      <c r="D635" s="244"/>
      <c r="E635" s="688"/>
      <c r="F635" s="688"/>
      <c r="G635" s="688"/>
      <c r="H635" s="688"/>
      <c r="I635" s="688"/>
      <c r="J635" s="688"/>
      <c r="K635" s="688"/>
      <c r="L635" s="689"/>
      <c r="M635" s="689"/>
      <c r="N635" s="689"/>
      <c r="O635" s="689"/>
      <c r="P635" s="689"/>
      <c r="Q635" s="689"/>
      <c r="R635" s="689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15.75" customHeight="1">
      <c r="A636" s="686"/>
      <c r="B636" s="687"/>
      <c r="C636" s="243"/>
      <c r="D636" s="244"/>
      <c r="E636" s="688"/>
      <c r="F636" s="688"/>
      <c r="G636" s="688"/>
      <c r="H636" s="688"/>
      <c r="I636" s="688"/>
      <c r="J636" s="688"/>
      <c r="K636" s="688"/>
      <c r="L636" s="689"/>
      <c r="M636" s="689"/>
      <c r="N636" s="689"/>
      <c r="O636" s="689"/>
      <c r="P636" s="689"/>
      <c r="Q636" s="689"/>
      <c r="R636" s="689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15.75" customHeight="1">
      <c r="A637" s="686"/>
      <c r="B637" s="687"/>
      <c r="C637" s="243"/>
      <c r="D637" s="244"/>
      <c r="E637" s="688"/>
      <c r="F637" s="688"/>
      <c r="G637" s="688"/>
      <c r="H637" s="688"/>
      <c r="I637" s="688"/>
      <c r="J637" s="688"/>
      <c r="K637" s="688"/>
      <c r="L637" s="689"/>
      <c r="M637" s="689"/>
      <c r="N637" s="689"/>
      <c r="O637" s="689"/>
      <c r="P637" s="689"/>
      <c r="Q637" s="689"/>
      <c r="R637" s="689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15.75" customHeight="1">
      <c r="A638" s="686"/>
      <c r="B638" s="687"/>
      <c r="C638" s="243"/>
      <c r="D638" s="244"/>
      <c r="E638" s="688"/>
      <c r="F638" s="688"/>
      <c r="G638" s="688"/>
      <c r="H638" s="688"/>
      <c r="I638" s="688"/>
      <c r="J638" s="688"/>
      <c r="K638" s="688"/>
      <c r="L638" s="689"/>
      <c r="M638" s="689"/>
      <c r="N638" s="689"/>
      <c r="O638" s="689"/>
      <c r="P638" s="689"/>
      <c r="Q638" s="689"/>
      <c r="R638" s="689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15.75" customHeight="1">
      <c r="A639" s="686"/>
      <c r="B639" s="687"/>
      <c r="C639" s="243"/>
      <c r="D639" s="244"/>
      <c r="E639" s="688"/>
      <c r="F639" s="688"/>
      <c r="G639" s="688"/>
      <c r="H639" s="688"/>
      <c r="I639" s="688"/>
      <c r="J639" s="688"/>
      <c r="K639" s="688"/>
      <c r="L639" s="689"/>
      <c r="M639" s="689"/>
      <c r="N639" s="689"/>
      <c r="O639" s="689"/>
      <c r="P639" s="689"/>
      <c r="Q639" s="689"/>
      <c r="R639" s="689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15.75" customHeight="1">
      <c r="A640" s="686"/>
      <c r="B640" s="687"/>
      <c r="C640" s="243"/>
      <c r="D640" s="244"/>
      <c r="E640" s="688"/>
      <c r="F640" s="688"/>
      <c r="G640" s="688"/>
      <c r="H640" s="688"/>
      <c r="I640" s="688"/>
      <c r="J640" s="688"/>
      <c r="K640" s="688"/>
      <c r="L640" s="689"/>
      <c r="M640" s="689"/>
      <c r="N640" s="689"/>
      <c r="O640" s="689"/>
      <c r="P640" s="689"/>
      <c r="Q640" s="689"/>
      <c r="R640" s="689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5.75" customHeight="1">
      <c r="A641" s="686"/>
      <c r="B641" s="687"/>
      <c r="C641" s="243"/>
      <c r="D641" s="244"/>
      <c r="E641" s="688"/>
      <c r="F641" s="688"/>
      <c r="G641" s="688"/>
      <c r="H641" s="688"/>
      <c r="I641" s="688"/>
      <c r="J641" s="688"/>
      <c r="K641" s="688"/>
      <c r="L641" s="689"/>
      <c r="M641" s="689"/>
      <c r="N641" s="689"/>
      <c r="O641" s="689"/>
      <c r="P641" s="689"/>
      <c r="Q641" s="689"/>
      <c r="R641" s="689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5.75" customHeight="1">
      <c r="A642" s="686"/>
      <c r="B642" s="687"/>
      <c r="C642" s="243"/>
      <c r="D642" s="244"/>
      <c r="E642" s="688"/>
      <c r="F642" s="688"/>
      <c r="G642" s="688"/>
      <c r="H642" s="688"/>
      <c r="I642" s="688"/>
      <c r="J642" s="688"/>
      <c r="K642" s="688"/>
      <c r="L642" s="689"/>
      <c r="M642" s="689"/>
      <c r="N642" s="689"/>
      <c r="O642" s="689"/>
      <c r="P642" s="689"/>
      <c r="Q642" s="689"/>
      <c r="R642" s="689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5.75" customHeight="1">
      <c r="A643" s="686"/>
      <c r="B643" s="687"/>
      <c r="C643" s="243"/>
      <c r="D643" s="244"/>
      <c r="E643" s="688"/>
      <c r="F643" s="688"/>
      <c r="G643" s="688"/>
      <c r="H643" s="688"/>
      <c r="I643" s="688"/>
      <c r="J643" s="688"/>
      <c r="K643" s="688"/>
      <c r="L643" s="689"/>
      <c r="M643" s="689"/>
      <c r="N643" s="689"/>
      <c r="O643" s="689"/>
      <c r="P643" s="689"/>
      <c r="Q643" s="689"/>
      <c r="R643" s="689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5.75" customHeight="1">
      <c r="A644" s="686"/>
      <c r="B644" s="687"/>
      <c r="C644" s="243"/>
      <c r="D644" s="244"/>
      <c r="E644" s="688"/>
      <c r="F644" s="688"/>
      <c r="G644" s="688"/>
      <c r="H644" s="688"/>
      <c r="I644" s="688"/>
      <c r="J644" s="688"/>
      <c r="K644" s="688"/>
      <c r="L644" s="689"/>
      <c r="M644" s="689"/>
      <c r="N644" s="689"/>
      <c r="O644" s="689"/>
      <c r="P644" s="689"/>
      <c r="Q644" s="689"/>
      <c r="R644" s="689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5.75" customHeight="1">
      <c r="A645" s="686"/>
      <c r="B645" s="687"/>
      <c r="C645" s="243"/>
      <c r="D645" s="244"/>
      <c r="E645" s="688"/>
      <c r="F645" s="688"/>
      <c r="G645" s="688"/>
      <c r="H645" s="688"/>
      <c r="I645" s="688"/>
      <c r="J645" s="688"/>
      <c r="K645" s="688"/>
      <c r="L645" s="689"/>
      <c r="M645" s="689"/>
      <c r="N645" s="689"/>
      <c r="O645" s="689"/>
      <c r="P645" s="689"/>
      <c r="Q645" s="689"/>
      <c r="R645" s="689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15.75" customHeight="1">
      <c r="A646" s="686"/>
      <c r="B646" s="687"/>
      <c r="C646" s="243"/>
      <c r="D646" s="244"/>
      <c r="E646" s="688"/>
      <c r="F646" s="688"/>
      <c r="G646" s="688"/>
      <c r="H646" s="688"/>
      <c r="I646" s="688"/>
      <c r="J646" s="688"/>
      <c r="K646" s="688"/>
      <c r="L646" s="689"/>
      <c r="M646" s="689"/>
      <c r="N646" s="689"/>
      <c r="O646" s="689"/>
      <c r="P646" s="689"/>
      <c r="Q646" s="689"/>
      <c r="R646" s="689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15.75" customHeight="1">
      <c r="A647" s="686"/>
      <c r="B647" s="687"/>
      <c r="C647" s="243"/>
      <c r="D647" s="244"/>
      <c r="E647" s="688"/>
      <c r="F647" s="688"/>
      <c r="G647" s="688"/>
      <c r="H647" s="688"/>
      <c r="I647" s="688"/>
      <c r="J647" s="688"/>
      <c r="K647" s="688"/>
      <c r="L647" s="689"/>
      <c r="M647" s="689"/>
      <c r="N647" s="689"/>
      <c r="O647" s="689"/>
      <c r="P647" s="689"/>
      <c r="Q647" s="689"/>
      <c r="R647" s="689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15.75" customHeight="1">
      <c r="A648" s="686"/>
      <c r="B648" s="687"/>
      <c r="C648" s="243"/>
      <c r="D648" s="244"/>
      <c r="E648" s="688"/>
      <c r="F648" s="688"/>
      <c r="G648" s="688"/>
      <c r="H648" s="688"/>
      <c r="I648" s="688"/>
      <c r="J648" s="688"/>
      <c r="K648" s="688"/>
      <c r="L648" s="689"/>
      <c r="M648" s="689"/>
      <c r="N648" s="689"/>
      <c r="O648" s="689"/>
      <c r="P648" s="689"/>
      <c r="Q648" s="689"/>
      <c r="R648" s="689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15.75" customHeight="1">
      <c r="A649" s="686"/>
      <c r="B649" s="687"/>
      <c r="C649" s="243"/>
      <c r="D649" s="244"/>
      <c r="E649" s="688"/>
      <c r="F649" s="688"/>
      <c r="G649" s="688"/>
      <c r="H649" s="688"/>
      <c r="I649" s="688"/>
      <c r="J649" s="688"/>
      <c r="K649" s="688"/>
      <c r="L649" s="689"/>
      <c r="M649" s="689"/>
      <c r="N649" s="689"/>
      <c r="O649" s="689"/>
      <c r="P649" s="689"/>
      <c r="Q649" s="689"/>
      <c r="R649" s="689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15.75" customHeight="1">
      <c r="A650" s="686"/>
      <c r="B650" s="687"/>
      <c r="C650" s="243"/>
      <c r="D650" s="244"/>
      <c r="E650" s="688"/>
      <c r="F650" s="688"/>
      <c r="G650" s="688"/>
      <c r="H650" s="688"/>
      <c r="I650" s="688"/>
      <c r="J650" s="688"/>
      <c r="K650" s="688"/>
      <c r="L650" s="689"/>
      <c r="M650" s="689"/>
      <c r="N650" s="689"/>
      <c r="O650" s="689"/>
      <c r="P650" s="689"/>
      <c r="Q650" s="689"/>
      <c r="R650" s="689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15.75" customHeight="1">
      <c r="A651" s="686"/>
      <c r="B651" s="687"/>
      <c r="C651" s="243"/>
      <c r="D651" s="244"/>
      <c r="E651" s="688"/>
      <c r="F651" s="688"/>
      <c r="G651" s="688"/>
      <c r="H651" s="688"/>
      <c r="I651" s="688"/>
      <c r="J651" s="688"/>
      <c r="K651" s="688"/>
      <c r="L651" s="689"/>
      <c r="M651" s="689"/>
      <c r="N651" s="689"/>
      <c r="O651" s="689"/>
      <c r="P651" s="689"/>
      <c r="Q651" s="689"/>
      <c r="R651" s="689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15.75" customHeight="1">
      <c r="A652" s="686"/>
      <c r="B652" s="687"/>
      <c r="C652" s="243"/>
      <c r="D652" s="244"/>
      <c r="E652" s="688"/>
      <c r="F652" s="688"/>
      <c r="G652" s="688"/>
      <c r="H652" s="688"/>
      <c r="I652" s="688"/>
      <c r="J652" s="688"/>
      <c r="K652" s="688"/>
      <c r="L652" s="689"/>
      <c r="M652" s="689"/>
      <c r="N652" s="689"/>
      <c r="O652" s="689"/>
      <c r="P652" s="689"/>
      <c r="Q652" s="689"/>
      <c r="R652" s="689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15.75" customHeight="1">
      <c r="A653" s="686"/>
      <c r="B653" s="687"/>
      <c r="C653" s="243"/>
      <c r="D653" s="244"/>
      <c r="E653" s="688"/>
      <c r="F653" s="688"/>
      <c r="G653" s="688"/>
      <c r="H653" s="688"/>
      <c r="I653" s="688"/>
      <c r="J653" s="688"/>
      <c r="K653" s="688"/>
      <c r="L653" s="689"/>
      <c r="M653" s="689"/>
      <c r="N653" s="689"/>
      <c r="O653" s="689"/>
      <c r="P653" s="689"/>
      <c r="Q653" s="689"/>
      <c r="R653" s="689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5.75" customHeight="1">
      <c r="A654" s="686"/>
      <c r="B654" s="687"/>
      <c r="C654" s="243"/>
      <c r="D654" s="244"/>
      <c r="E654" s="688"/>
      <c r="F654" s="688"/>
      <c r="G654" s="688"/>
      <c r="H654" s="688"/>
      <c r="I654" s="688"/>
      <c r="J654" s="688"/>
      <c r="K654" s="688"/>
      <c r="L654" s="689"/>
      <c r="M654" s="689"/>
      <c r="N654" s="689"/>
      <c r="O654" s="689"/>
      <c r="P654" s="689"/>
      <c r="Q654" s="689"/>
      <c r="R654" s="689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15.75" customHeight="1">
      <c r="A655" s="686"/>
      <c r="B655" s="687"/>
      <c r="C655" s="243"/>
      <c r="D655" s="244"/>
      <c r="E655" s="688"/>
      <c r="F655" s="688"/>
      <c r="G655" s="688"/>
      <c r="H655" s="688"/>
      <c r="I655" s="688"/>
      <c r="J655" s="688"/>
      <c r="K655" s="688"/>
      <c r="L655" s="689"/>
      <c r="M655" s="689"/>
      <c r="N655" s="689"/>
      <c r="O655" s="689"/>
      <c r="P655" s="689"/>
      <c r="Q655" s="689"/>
      <c r="R655" s="689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5.75" customHeight="1">
      <c r="A656" s="686"/>
      <c r="B656" s="687"/>
      <c r="C656" s="243"/>
      <c r="D656" s="244"/>
      <c r="E656" s="688"/>
      <c r="F656" s="688"/>
      <c r="G656" s="688"/>
      <c r="H656" s="688"/>
      <c r="I656" s="688"/>
      <c r="J656" s="688"/>
      <c r="K656" s="688"/>
      <c r="L656" s="689"/>
      <c r="M656" s="689"/>
      <c r="N656" s="689"/>
      <c r="O656" s="689"/>
      <c r="P656" s="689"/>
      <c r="Q656" s="689"/>
      <c r="R656" s="689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5.75" customHeight="1">
      <c r="A657" s="686"/>
      <c r="B657" s="687"/>
      <c r="C657" s="243"/>
      <c r="D657" s="244"/>
      <c r="E657" s="688"/>
      <c r="F657" s="688"/>
      <c r="G657" s="688"/>
      <c r="H657" s="688"/>
      <c r="I657" s="688"/>
      <c r="J657" s="688"/>
      <c r="K657" s="688"/>
      <c r="L657" s="689"/>
      <c r="M657" s="689"/>
      <c r="N657" s="689"/>
      <c r="O657" s="689"/>
      <c r="P657" s="689"/>
      <c r="Q657" s="689"/>
      <c r="R657" s="689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14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14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14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14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14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14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14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14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14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14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4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4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4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4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14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14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14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14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4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14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14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14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14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14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14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4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4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4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4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4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4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4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4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4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4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4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14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14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4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4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4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4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4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4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14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4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4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4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14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4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4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4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4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14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14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4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14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14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14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14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4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14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4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4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4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/>
    <row r="728" spans="1:33" ht="15.75" customHeight="1"/>
    <row r="729" spans="1:33" ht="15.75" customHeight="1"/>
    <row r="730" spans="1:33" ht="15.75" customHeight="1"/>
    <row r="731" spans="1:33" ht="15.75" customHeight="1"/>
    <row r="732" spans="1:33" ht="15.75" customHeight="1"/>
    <row r="733" spans="1:33" ht="15.75" customHeight="1"/>
    <row r="734" spans="1:33" ht="15.75" customHeight="1"/>
    <row r="735" spans="1:33" ht="15.75" customHeight="1"/>
    <row r="736" spans="1:33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K4"/>
    <mergeCell ref="A5:D5"/>
    <mergeCell ref="A6:K6"/>
    <mergeCell ref="C9:D9"/>
    <mergeCell ref="B447:C447"/>
  </mergeCells>
  <conditionalFormatting sqref="A11:AG11">
    <cfRule type="containsText" dxfId="53" priority="1" operator="containsText" text="tây ninh">
      <formula>NOT(ISERROR(SEARCH(("tây ninh"),(A11))))</formula>
    </cfRule>
  </conditionalFormatting>
  <conditionalFormatting sqref="I11:J11 L11:P11 Y11 Q10:R10">
    <cfRule type="containsText" dxfId="52" priority="2" operator="containsText" text="&quot;quảng ngãi&quot;">
      <formula>NOT(ISERROR(SEARCH(("""quảng ngãi"""),(I11))))</formula>
    </cfRule>
  </conditionalFormatting>
  <conditionalFormatting sqref="K11">
    <cfRule type="containsText" dxfId="51" priority="3" operator="containsText" text="&quot;quảng ngãi&quot;">
      <formula>NOT(ISERROR(SEARCH(("""quảng ngãi"""),(K11))))</formula>
    </cfRule>
  </conditionalFormatting>
  <conditionalFormatting sqref="Y11">
    <cfRule type="containsText" dxfId="50" priority="4" operator="containsText" text="&quot;quảng ngãi&quot;">
      <formula>NOT(ISERROR(SEARCH(("""quảng ngãi"""),(Y11))))</formula>
    </cfRule>
  </conditionalFormatting>
  <conditionalFormatting sqref="AG17:AG447">
    <cfRule type="cellIs" dxfId="49" priority="5" operator="lessThan">
      <formula>0</formula>
    </cfRule>
  </conditionalFormatting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A4" workbookViewId="0"/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11" width="12.453125" customWidth="1"/>
  </cols>
  <sheetData>
    <row r="1" spans="1:26" ht="24.75" hidden="1" customHeight="1">
      <c r="A1" s="397" t="s">
        <v>0</v>
      </c>
      <c r="B1" s="398"/>
      <c r="C1" s="398"/>
      <c r="D1" s="399"/>
      <c r="E1" s="562"/>
      <c r="F1" s="562"/>
      <c r="G1" s="562"/>
      <c r="H1" s="562"/>
      <c r="I1" s="562"/>
      <c r="J1" s="562"/>
      <c r="K1" s="56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33" hidden="1" customHeight="1">
      <c r="A2" s="792" t="s">
        <v>1</v>
      </c>
      <c r="B2" s="793"/>
      <c r="C2" s="791"/>
      <c r="D2" s="399"/>
      <c r="E2" s="562"/>
      <c r="F2" s="562"/>
      <c r="G2" s="562"/>
      <c r="H2" s="562"/>
      <c r="I2" s="562"/>
      <c r="J2" s="562"/>
      <c r="K2" s="56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23.25" hidden="1" customHeight="1">
      <c r="A3" s="794" t="s">
        <v>2</v>
      </c>
      <c r="B3" s="793"/>
      <c r="C3" s="791"/>
      <c r="D3" s="399"/>
      <c r="E3" s="562"/>
      <c r="F3" s="562"/>
      <c r="G3" s="562"/>
      <c r="H3" s="562"/>
      <c r="I3" s="562"/>
      <c r="J3" s="562"/>
      <c r="K3" s="56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39.75" customHeight="1">
      <c r="A4" s="803" t="s">
        <v>1537</v>
      </c>
      <c r="B4" s="793"/>
      <c r="C4" s="793"/>
      <c r="D4" s="793"/>
      <c r="E4" s="793"/>
      <c r="F4" s="793"/>
      <c r="G4" s="793"/>
      <c r="H4" s="793"/>
      <c r="I4" s="793"/>
      <c r="J4" s="793"/>
      <c r="K4" s="791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563"/>
      <c r="I5" s="563"/>
      <c r="J5" s="563"/>
      <c r="K5" s="563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21" hidden="1" customHeight="1">
      <c r="A6" s="804" t="s">
        <v>1338</v>
      </c>
      <c r="B6" s="793"/>
      <c r="C6" s="793"/>
      <c r="D6" s="793"/>
      <c r="E6" s="793"/>
      <c r="F6" s="793"/>
      <c r="G6" s="793"/>
      <c r="H6" s="793"/>
      <c r="I6" s="793"/>
      <c r="J6" s="793"/>
      <c r="K6" s="791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8.75" hidden="1" customHeight="1">
      <c r="A7" s="244"/>
      <c r="B7" s="401"/>
      <c r="C7" s="564" t="s">
        <v>1339</v>
      </c>
      <c r="D7" s="403"/>
      <c r="E7" s="565"/>
      <c r="F7" s="565"/>
      <c r="G7" s="565"/>
      <c r="H7" s="565"/>
      <c r="I7" s="565"/>
      <c r="J7" s="565"/>
      <c r="K7" s="565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4.25" hidden="1" customHeight="1">
      <c r="A8" s="244"/>
      <c r="B8" s="404"/>
      <c r="C8" s="564" t="s">
        <v>1340</v>
      </c>
      <c r="D8" s="405"/>
      <c r="E8" s="566"/>
      <c r="F8" s="566"/>
      <c r="G8" s="566"/>
      <c r="H8" s="566"/>
      <c r="I8" s="566"/>
      <c r="J8" s="566"/>
      <c r="K8" s="56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4.25" hidden="1" customHeight="1">
      <c r="A9" s="244"/>
      <c r="B9" s="404"/>
      <c r="C9" s="798" t="s">
        <v>1341</v>
      </c>
      <c r="D9" s="791"/>
      <c r="E9" s="567"/>
      <c r="F9" s="567"/>
      <c r="G9" s="567"/>
      <c r="H9" s="567"/>
      <c r="I9" s="567"/>
      <c r="J9" s="567"/>
      <c r="K9" s="56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5.5" customHeight="1">
      <c r="A10" s="568"/>
      <c r="B10" s="569"/>
      <c r="C10" s="570"/>
      <c r="D10" s="571"/>
      <c r="E10" s="572"/>
      <c r="F10" s="572"/>
      <c r="G10" s="572"/>
      <c r="H10" s="572"/>
      <c r="I10" s="572"/>
      <c r="J10" s="572"/>
      <c r="K10" s="57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21</v>
      </c>
      <c r="F11" s="414" t="s">
        <v>21</v>
      </c>
      <c r="G11" s="22" t="s">
        <v>21</v>
      </c>
      <c r="H11" s="180" t="s">
        <v>21</v>
      </c>
      <c r="I11" s="22" t="s">
        <v>21</v>
      </c>
      <c r="J11" s="280" t="s">
        <v>21</v>
      </c>
      <c r="K11" s="414"/>
      <c r="L11" s="201"/>
      <c r="M11" s="576" t="s">
        <v>38</v>
      </c>
      <c r="N11" s="577"/>
      <c r="O11" s="535"/>
      <c r="P11" s="535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9.25" customHeight="1">
      <c r="A12" s="578"/>
      <c r="B12" s="430"/>
      <c r="C12" s="579" t="s">
        <v>39</v>
      </c>
      <c r="D12" s="186"/>
      <c r="E12" s="29">
        <v>1</v>
      </c>
      <c r="F12" s="580">
        <v>1</v>
      </c>
      <c r="G12" s="29">
        <v>1</v>
      </c>
      <c r="H12" s="185">
        <v>1</v>
      </c>
      <c r="I12" s="247">
        <v>1</v>
      </c>
      <c r="J12" s="248">
        <v>1</v>
      </c>
      <c r="K12" s="293"/>
      <c r="L12" s="352"/>
      <c r="M12" s="581">
        <f>SUM(E12:L12)</f>
        <v>6</v>
      </c>
      <c r="N12" s="582"/>
      <c r="O12" s="582"/>
      <c r="P12" s="582"/>
      <c r="Q12" s="7"/>
      <c r="R12" s="7"/>
      <c r="S12" s="7"/>
      <c r="T12" s="7">
        <v>6</v>
      </c>
      <c r="U12" s="7"/>
      <c r="V12" s="7"/>
      <c r="W12" s="7"/>
      <c r="X12" s="7"/>
      <c r="Y12" s="7"/>
      <c r="Z12" s="7"/>
    </row>
    <row r="13" spans="1:26" ht="37.5" customHeight="1">
      <c r="A13" s="583"/>
      <c r="B13" s="584"/>
      <c r="C13" s="585" t="s">
        <v>40</v>
      </c>
      <c r="D13" s="584"/>
      <c r="E13" s="32">
        <v>44715</v>
      </c>
      <c r="F13" s="586" t="s">
        <v>1709</v>
      </c>
      <c r="G13" s="189" t="s">
        <v>1710</v>
      </c>
      <c r="H13" s="40" t="s">
        <v>1544</v>
      </c>
      <c r="I13" s="192" t="s">
        <v>1711</v>
      </c>
      <c r="J13" s="251"/>
      <c r="K13" s="189"/>
      <c r="L13" s="32"/>
      <c r="M13" s="581"/>
      <c r="N13" s="591"/>
      <c r="O13" s="582"/>
      <c r="P13" s="591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53.25" customHeight="1">
      <c r="A14" s="578"/>
      <c r="B14" s="430"/>
      <c r="C14" s="579" t="s">
        <v>41</v>
      </c>
      <c r="D14" s="430"/>
      <c r="E14" s="30"/>
      <c r="F14" s="186"/>
      <c r="G14" s="30"/>
      <c r="H14" s="185"/>
      <c r="I14" s="247"/>
      <c r="J14" s="248"/>
      <c r="K14" s="185"/>
      <c r="L14" s="593"/>
      <c r="M14" s="581"/>
      <c r="N14" s="582"/>
      <c r="O14" s="582"/>
      <c r="P14" s="582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51" customHeight="1">
      <c r="A15" s="578"/>
      <c r="B15" s="430"/>
      <c r="C15" s="579" t="s">
        <v>42</v>
      </c>
      <c r="D15" s="430"/>
      <c r="E15" s="30" t="s">
        <v>1552</v>
      </c>
      <c r="F15" s="186" t="s">
        <v>1394</v>
      </c>
      <c r="G15" s="30" t="s">
        <v>1394</v>
      </c>
      <c r="H15" s="191" t="s">
        <v>1712</v>
      </c>
      <c r="I15" s="247"/>
      <c r="J15" s="248"/>
      <c r="K15" s="191"/>
      <c r="L15" s="353"/>
      <c r="M15" s="576"/>
      <c r="N15" s="582"/>
      <c r="O15" s="582"/>
      <c r="P15" s="582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0.75" customHeight="1">
      <c r="A16" s="579"/>
      <c r="B16" s="186"/>
      <c r="C16" s="579" t="s">
        <v>43</v>
      </c>
      <c r="D16" s="186"/>
      <c r="E16" s="34" t="s">
        <v>1713</v>
      </c>
      <c r="F16" s="586" t="s">
        <v>1714</v>
      </c>
      <c r="G16" s="34" t="s">
        <v>1715</v>
      </c>
      <c r="H16" s="193" t="s">
        <v>1646</v>
      </c>
      <c r="I16" s="247"/>
      <c r="J16" s="248"/>
      <c r="K16" s="193"/>
      <c r="L16" s="597"/>
      <c r="M16" s="598"/>
      <c r="N16" s="599"/>
      <c r="O16" s="599"/>
      <c r="P16" s="599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3.75" customHeight="1">
      <c r="A17" s="583"/>
      <c r="B17" s="584"/>
      <c r="C17" s="585" t="s">
        <v>70</v>
      </c>
      <c r="D17" s="584"/>
      <c r="E17" s="32">
        <v>44745</v>
      </c>
      <c r="F17" s="586" t="s">
        <v>1716</v>
      </c>
      <c r="G17" s="32" t="s">
        <v>1717</v>
      </c>
      <c r="H17" s="40" t="s">
        <v>1573</v>
      </c>
      <c r="I17" s="40" t="s">
        <v>1574</v>
      </c>
      <c r="J17" s="600" t="s">
        <v>1718</v>
      </c>
      <c r="K17" s="32"/>
      <c r="L17" s="32"/>
      <c r="M17" s="581"/>
      <c r="N17" s="591"/>
      <c r="O17" s="591"/>
      <c r="P17" s="591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196"/>
      <c r="G18" s="43"/>
      <c r="H18" s="43"/>
      <c r="I18" s="462"/>
      <c r="J18" s="256"/>
      <c r="K18" s="43"/>
      <c r="L18" s="606"/>
      <c r="M18" s="607"/>
      <c r="N18" s="608"/>
      <c r="O18" s="609"/>
      <c r="P18" s="609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2"/>
      <c r="G19" s="201"/>
      <c r="H19" s="201"/>
      <c r="I19" s="363"/>
      <c r="J19" s="259"/>
      <c r="K19" s="201"/>
      <c r="L19" s="615"/>
      <c r="M19" s="616"/>
      <c r="N19" s="617"/>
      <c r="O19" s="577"/>
      <c r="P19" s="577"/>
      <c r="Q19" s="7"/>
      <c r="R19" s="363"/>
      <c r="S19" s="7"/>
      <c r="T19" s="618">
        <f t="shared" ref="T19:T42" si="0">R19-M19</f>
        <v>0</v>
      </c>
      <c r="U19" s="7"/>
      <c r="V19" s="7"/>
      <c r="W19" s="7"/>
      <c r="X19" s="7"/>
      <c r="Y19" s="7"/>
      <c r="Z19" s="7"/>
    </row>
    <row r="20" spans="1:26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10"/>
      <c r="G20" s="209"/>
      <c r="H20" s="209">
        <v>1</v>
      </c>
      <c r="I20" s="372"/>
      <c r="J20" s="283"/>
      <c r="K20" s="209"/>
      <c r="L20" s="624"/>
      <c r="M20" s="625">
        <f t="shared" ref="M20:M274" si="1">+SUM(E20:L20)</f>
        <v>1</v>
      </c>
      <c r="N20" s="626"/>
      <c r="O20" s="627"/>
      <c r="P20" s="627"/>
      <c r="Q20" s="7"/>
      <c r="R20" s="699">
        <v>1</v>
      </c>
      <c r="S20" s="7"/>
      <c r="T20" s="618">
        <f t="shared" si="0"/>
        <v>0</v>
      </c>
      <c r="U20" s="7"/>
      <c r="V20" s="7"/>
      <c r="W20" s="7"/>
      <c r="X20" s="7"/>
      <c r="Y20" s="7"/>
      <c r="Z20" s="7"/>
    </row>
    <row r="21" spans="1:26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4"/>
      <c r="G21" s="213"/>
      <c r="H21" s="213"/>
      <c r="I21" s="370"/>
      <c r="J21" s="259"/>
      <c r="K21" s="213"/>
      <c r="L21" s="615"/>
      <c r="M21" s="616">
        <f t="shared" si="1"/>
        <v>0</v>
      </c>
      <c r="N21" s="633"/>
      <c r="O21" s="634"/>
      <c r="P21" s="634"/>
      <c r="Q21" s="7"/>
      <c r="R21" s="699"/>
      <c r="S21" s="7"/>
      <c r="T21" s="618">
        <f t="shared" si="0"/>
        <v>0</v>
      </c>
      <c r="U21" s="7"/>
      <c r="V21" s="7"/>
      <c r="W21" s="7"/>
      <c r="X21" s="7"/>
      <c r="Y21" s="7"/>
      <c r="Z21" s="7"/>
    </row>
    <row r="22" spans="1:26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4"/>
      <c r="G22" s="213"/>
      <c r="H22" s="213"/>
      <c r="I22" s="370"/>
      <c r="J22" s="259"/>
      <c r="K22" s="213"/>
      <c r="L22" s="615"/>
      <c r="M22" s="616">
        <f t="shared" si="1"/>
        <v>0</v>
      </c>
      <c r="N22" s="633"/>
      <c r="O22" s="634"/>
      <c r="P22" s="634"/>
      <c r="Q22" s="7"/>
      <c r="R22" s="699"/>
      <c r="S22" s="7"/>
      <c r="T22" s="618">
        <f t="shared" si="0"/>
        <v>0</v>
      </c>
      <c r="U22" s="7"/>
      <c r="V22" s="7"/>
      <c r="W22" s="7"/>
      <c r="X22" s="7"/>
      <c r="Y22" s="7"/>
      <c r="Z22" s="7"/>
    </row>
    <row r="23" spans="1:26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4"/>
      <c r="G23" s="213"/>
      <c r="H23" s="213"/>
      <c r="I23" s="370"/>
      <c r="J23" s="259"/>
      <c r="K23" s="213"/>
      <c r="L23" s="615"/>
      <c r="M23" s="616">
        <f t="shared" si="1"/>
        <v>0</v>
      </c>
      <c r="N23" s="633"/>
      <c r="O23" s="634"/>
      <c r="P23" s="634"/>
      <c r="Q23" s="7"/>
      <c r="R23" s="699"/>
      <c r="S23" s="7"/>
      <c r="T23" s="618">
        <f t="shared" si="0"/>
        <v>0</v>
      </c>
      <c r="U23" s="7"/>
      <c r="V23" s="7"/>
      <c r="W23" s="7"/>
      <c r="X23" s="7"/>
      <c r="Y23" s="7"/>
      <c r="Z23" s="7"/>
    </row>
    <row r="24" spans="1:26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4"/>
      <c r="G24" s="213"/>
      <c r="H24" s="213"/>
      <c r="I24" s="370"/>
      <c r="J24" s="259"/>
      <c r="K24" s="213"/>
      <c r="L24" s="615"/>
      <c r="M24" s="616">
        <f t="shared" si="1"/>
        <v>0</v>
      </c>
      <c r="N24" s="633"/>
      <c r="O24" s="634"/>
      <c r="P24" s="634"/>
      <c r="Q24" s="7"/>
      <c r="R24" s="699"/>
      <c r="S24" s="7"/>
      <c r="T24" s="618">
        <f t="shared" si="0"/>
        <v>0</v>
      </c>
      <c r="U24" s="7"/>
      <c r="V24" s="7"/>
      <c r="W24" s="7"/>
      <c r="X24" s="7"/>
      <c r="Y24" s="7"/>
      <c r="Z24" s="7"/>
    </row>
    <row r="25" spans="1:26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10"/>
      <c r="G25" s="209"/>
      <c r="H25" s="209"/>
      <c r="I25" s="370"/>
      <c r="J25" s="283"/>
      <c r="K25" s="209"/>
      <c r="L25" s="624"/>
      <c r="M25" s="625">
        <f t="shared" si="1"/>
        <v>0</v>
      </c>
      <c r="N25" s="626"/>
      <c r="O25" s="627"/>
      <c r="P25" s="627"/>
      <c r="Q25" s="7"/>
      <c r="R25" s="699"/>
      <c r="S25" s="7"/>
      <c r="T25" s="618">
        <f t="shared" si="0"/>
        <v>0</v>
      </c>
      <c r="U25" s="7"/>
      <c r="V25" s="7"/>
      <c r="W25" s="7"/>
      <c r="X25" s="7"/>
      <c r="Y25" s="7"/>
      <c r="Z25" s="7"/>
    </row>
    <row r="26" spans="1:26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4"/>
      <c r="G26" s="213"/>
      <c r="H26" s="213"/>
      <c r="I26" s="370"/>
      <c r="J26" s="259"/>
      <c r="K26" s="213"/>
      <c r="L26" s="615"/>
      <c r="M26" s="616">
        <f t="shared" si="1"/>
        <v>0</v>
      </c>
      <c r="N26" s="633"/>
      <c r="O26" s="634"/>
      <c r="P26" s="634"/>
      <c r="Q26" s="7"/>
      <c r="R26" s="699"/>
      <c r="S26" s="7"/>
      <c r="T26" s="618">
        <f t="shared" si="0"/>
        <v>0</v>
      </c>
      <c r="U26" s="7"/>
      <c r="V26" s="7"/>
      <c r="W26" s="7"/>
      <c r="X26" s="7"/>
      <c r="Y26" s="7"/>
      <c r="Z26" s="7"/>
    </row>
    <row r="27" spans="1:26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4"/>
      <c r="G27" s="213"/>
      <c r="H27" s="213"/>
      <c r="I27" s="370"/>
      <c r="J27" s="259"/>
      <c r="K27" s="213"/>
      <c r="L27" s="615"/>
      <c r="M27" s="616">
        <f t="shared" si="1"/>
        <v>0</v>
      </c>
      <c r="N27" s="633"/>
      <c r="O27" s="634"/>
      <c r="P27" s="634"/>
      <c r="Q27" s="7"/>
      <c r="R27" s="699"/>
      <c r="S27" s="7"/>
      <c r="T27" s="618">
        <f t="shared" si="0"/>
        <v>0</v>
      </c>
      <c r="U27" s="7"/>
      <c r="V27" s="7"/>
      <c r="W27" s="7"/>
      <c r="X27" s="7"/>
      <c r="Y27" s="7"/>
      <c r="Z27" s="7"/>
    </row>
    <row r="28" spans="1:26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4"/>
      <c r="G28" s="213"/>
      <c r="H28" s="213"/>
      <c r="I28" s="370"/>
      <c r="J28" s="259"/>
      <c r="K28" s="213"/>
      <c r="L28" s="615"/>
      <c r="M28" s="616">
        <f t="shared" si="1"/>
        <v>0</v>
      </c>
      <c r="N28" s="633"/>
      <c r="O28" s="634"/>
      <c r="P28" s="634"/>
      <c r="Q28" s="7"/>
      <c r="R28" s="699"/>
      <c r="S28" s="7"/>
      <c r="T28" s="618">
        <f t="shared" si="0"/>
        <v>0</v>
      </c>
      <c r="U28" s="7"/>
      <c r="V28" s="7"/>
      <c r="W28" s="7"/>
      <c r="X28" s="7"/>
      <c r="Y28" s="7"/>
      <c r="Z28" s="7"/>
    </row>
    <row r="29" spans="1:26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4"/>
      <c r="G29" s="213"/>
      <c r="H29" s="213"/>
      <c r="I29" s="370"/>
      <c r="J29" s="259"/>
      <c r="K29" s="213"/>
      <c r="L29" s="615"/>
      <c r="M29" s="616">
        <f t="shared" si="1"/>
        <v>0</v>
      </c>
      <c r="N29" s="633"/>
      <c r="O29" s="634"/>
      <c r="P29" s="634"/>
      <c r="Q29" s="7"/>
      <c r="R29" s="699"/>
      <c r="S29" s="7"/>
      <c r="T29" s="618">
        <f t="shared" si="0"/>
        <v>0</v>
      </c>
      <c r="U29" s="7"/>
      <c r="V29" s="7"/>
      <c r="W29" s="7"/>
      <c r="X29" s="7"/>
      <c r="Y29" s="7"/>
      <c r="Z29" s="7"/>
    </row>
    <row r="30" spans="1:26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10"/>
      <c r="G30" s="209"/>
      <c r="H30" s="209"/>
      <c r="I30" s="370"/>
      <c r="J30" s="283"/>
      <c r="K30" s="209"/>
      <c r="L30" s="624"/>
      <c r="M30" s="625">
        <f t="shared" si="1"/>
        <v>0</v>
      </c>
      <c r="N30" s="626"/>
      <c r="O30" s="627"/>
      <c r="P30" s="627"/>
      <c r="Q30" s="7"/>
      <c r="R30" s="699">
        <v>1</v>
      </c>
      <c r="S30" s="7"/>
      <c r="T30" s="618">
        <f t="shared" si="0"/>
        <v>1</v>
      </c>
      <c r="U30" s="7"/>
      <c r="V30" s="7"/>
      <c r="W30" s="7"/>
      <c r="X30" s="7"/>
      <c r="Y30" s="7"/>
      <c r="Z30" s="7"/>
    </row>
    <row r="31" spans="1:26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4"/>
      <c r="G31" s="213"/>
      <c r="H31" s="213"/>
      <c r="I31" s="370"/>
      <c r="J31" s="259"/>
      <c r="K31" s="213"/>
      <c r="L31" s="615"/>
      <c r="M31" s="616">
        <f t="shared" si="1"/>
        <v>0</v>
      </c>
      <c r="N31" s="633"/>
      <c r="O31" s="634"/>
      <c r="P31" s="634"/>
      <c r="Q31" s="7"/>
      <c r="R31" s="699"/>
      <c r="S31" s="7"/>
      <c r="T31" s="618">
        <f t="shared" si="0"/>
        <v>0</v>
      </c>
      <c r="U31" s="7"/>
      <c r="V31" s="7"/>
      <c r="W31" s="7"/>
      <c r="X31" s="7"/>
      <c r="Y31" s="7"/>
      <c r="Z31" s="7"/>
    </row>
    <row r="32" spans="1:26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4"/>
      <c r="G32" s="213"/>
      <c r="H32" s="213"/>
      <c r="I32" s="370"/>
      <c r="J32" s="259"/>
      <c r="K32" s="213"/>
      <c r="L32" s="615"/>
      <c r="M32" s="616">
        <f t="shared" si="1"/>
        <v>0</v>
      </c>
      <c r="N32" s="633"/>
      <c r="O32" s="634"/>
      <c r="P32" s="634"/>
      <c r="Q32" s="7"/>
      <c r="R32" s="699"/>
      <c r="S32" s="7"/>
      <c r="T32" s="618">
        <f t="shared" si="0"/>
        <v>0</v>
      </c>
      <c r="U32" s="7"/>
      <c r="V32" s="7"/>
      <c r="W32" s="7"/>
      <c r="X32" s="7"/>
      <c r="Y32" s="7"/>
      <c r="Z32" s="7"/>
    </row>
    <row r="33" spans="1:26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4"/>
      <c r="G33" s="213"/>
      <c r="H33" s="213"/>
      <c r="I33" s="370"/>
      <c r="J33" s="259"/>
      <c r="K33" s="213"/>
      <c r="L33" s="615"/>
      <c r="M33" s="616">
        <f t="shared" si="1"/>
        <v>0</v>
      </c>
      <c r="N33" s="633"/>
      <c r="O33" s="634"/>
      <c r="P33" s="634"/>
      <c r="Q33" s="7"/>
      <c r="R33" s="699"/>
      <c r="S33" s="7"/>
      <c r="T33" s="618">
        <f t="shared" si="0"/>
        <v>0</v>
      </c>
      <c r="U33" s="7"/>
      <c r="V33" s="7"/>
      <c r="W33" s="7"/>
      <c r="X33" s="7"/>
      <c r="Y33" s="7"/>
      <c r="Z33" s="7"/>
    </row>
    <row r="34" spans="1:26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4"/>
      <c r="G34" s="213"/>
      <c r="H34" s="213"/>
      <c r="I34" s="370"/>
      <c r="J34" s="259"/>
      <c r="K34" s="213"/>
      <c r="L34" s="615"/>
      <c r="M34" s="616">
        <f t="shared" si="1"/>
        <v>0</v>
      </c>
      <c r="N34" s="633"/>
      <c r="O34" s="634"/>
      <c r="P34" s="634"/>
      <c r="Q34" s="7"/>
      <c r="R34" s="699"/>
      <c r="S34" s="7"/>
      <c r="T34" s="618">
        <f t="shared" si="0"/>
        <v>0</v>
      </c>
      <c r="U34" s="7"/>
      <c r="V34" s="7"/>
      <c r="W34" s="7"/>
      <c r="X34" s="7"/>
      <c r="Y34" s="7"/>
      <c r="Z34" s="7"/>
    </row>
    <row r="35" spans="1:26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4"/>
      <c r="G35" s="213"/>
      <c r="H35" s="213"/>
      <c r="I35" s="370"/>
      <c r="J35" s="259"/>
      <c r="K35" s="213"/>
      <c r="L35" s="615"/>
      <c r="M35" s="616">
        <f t="shared" si="1"/>
        <v>0</v>
      </c>
      <c r="N35" s="633"/>
      <c r="O35" s="636"/>
      <c r="P35" s="636"/>
      <c r="Q35" s="7"/>
      <c r="R35" s="699"/>
      <c r="S35" s="7"/>
      <c r="T35" s="618">
        <f t="shared" si="0"/>
        <v>0</v>
      </c>
      <c r="U35" s="7"/>
      <c r="V35" s="7"/>
      <c r="W35" s="7"/>
      <c r="X35" s="7"/>
      <c r="Y35" s="7"/>
      <c r="Z35" s="7"/>
    </row>
    <row r="36" spans="1:26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4"/>
      <c r="G36" s="213"/>
      <c r="H36" s="213"/>
      <c r="I36" s="370"/>
      <c r="J36" s="259"/>
      <c r="K36" s="213"/>
      <c r="L36" s="615"/>
      <c r="M36" s="616">
        <f t="shared" si="1"/>
        <v>0</v>
      </c>
      <c r="N36" s="633"/>
      <c r="O36" s="547" t="s">
        <v>1576</v>
      </c>
      <c r="P36" s="636"/>
      <c r="Q36" s="7"/>
      <c r="R36" s="699"/>
      <c r="S36" s="7"/>
      <c r="T36" s="618">
        <f t="shared" si="0"/>
        <v>0</v>
      </c>
      <c r="U36" s="7"/>
      <c r="V36" s="7"/>
      <c r="W36" s="7"/>
      <c r="X36" s="7"/>
      <c r="Y36" s="7"/>
      <c r="Z36" s="7"/>
    </row>
    <row r="37" spans="1:26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4"/>
      <c r="G37" s="677">
        <f>SUM(G38:G53)+G62</f>
        <v>0</v>
      </c>
      <c r="H37" s="213"/>
      <c r="I37" s="372"/>
      <c r="J37" s="259"/>
      <c r="K37" s="213"/>
      <c r="L37" s="639"/>
      <c r="M37" s="616">
        <f t="shared" si="1"/>
        <v>0</v>
      </c>
      <c r="N37" s="633"/>
      <c r="O37" s="640"/>
      <c r="P37" s="640"/>
      <c r="Q37" s="7"/>
      <c r="R37" s="700"/>
      <c r="S37" s="7"/>
      <c r="T37" s="618">
        <f t="shared" si="0"/>
        <v>0</v>
      </c>
      <c r="U37" s="7"/>
      <c r="V37" s="7"/>
      <c r="W37" s="7"/>
      <c r="X37" s="7"/>
      <c r="Y37" s="7"/>
      <c r="Z37" s="7"/>
    </row>
    <row r="38" spans="1:26" ht="20.25" customHeight="1">
      <c r="A38" s="492"/>
      <c r="B38" s="493" t="s">
        <v>130</v>
      </c>
      <c r="C38" s="641" t="s">
        <v>131</v>
      </c>
      <c r="D38" s="495" t="s">
        <v>132</v>
      </c>
      <c r="E38" s="209"/>
      <c r="F38" s="210"/>
      <c r="G38" s="209"/>
      <c r="H38" s="209"/>
      <c r="I38" s="372">
        <v>1</v>
      </c>
      <c r="J38" s="283"/>
      <c r="K38" s="209"/>
      <c r="L38" s="624"/>
      <c r="M38" s="625">
        <f t="shared" si="1"/>
        <v>1</v>
      </c>
      <c r="N38" s="626"/>
      <c r="O38" s="627" t="s">
        <v>1577</v>
      </c>
      <c r="P38" s="642">
        <f>M38</f>
        <v>1</v>
      </c>
      <c r="Q38" s="7"/>
      <c r="R38" s="699">
        <v>11</v>
      </c>
      <c r="S38" s="7"/>
      <c r="T38" s="618">
        <f t="shared" si="0"/>
        <v>10</v>
      </c>
      <c r="U38" s="7"/>
      <c r="V38" s="7"/>
      <c r="W38" s="7"/>
      <c r="X38" s="7"/>
      <c r="Y38" s="7"/>
      <c r="Z38" s="7"/>
    </row>
    <row r="39" spans="1:26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4"/>
      <c r="G39" s="213"/>
      <c r="H39" s="213"/>
      <c r="I39" s="370"/>
      <c r="J39" s="259"/>
      <c r="K39" s="213"/>
      <c r="L39" s="643"/>
      <c r="M39" s="616">
        <f t="shared" si="1"/>
        <v>0</v>
      </c>
      <c r="N39" s="633"/>
      <c r="O39" s="644" t="s">
        <v>1578</v>
      </c>
      <c r="P39" s="645">
        <f>N43</f>
        <v>56</v>
      </c>
      <c r="Q39" s="7"/>
      <c r="R39" s="699"/>
      <c r="S39" s="7"/>
      <c r="T39" s="618">
        <f t="shared" si="0"/>
        <v>0</v>
      </c>
      <c r="U39" s="7"/>
      <c r="V39" s="7"/>
      <c r="W39" s="7"/>
      <c r="X39" s="7"/>
      <c r="Y39" s="7"/>
      <c r="Z39" s="7"/>
    </row>
    <row r="40" spans="1:26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4"/>
      <c r="G40" s="213"/>
      <c r="H40" s="213"/>
      <c r="I40" s="370"/>
      <c r="J40" s="259"/>
      <c r="K40" s="213"/>
      <c r="L40" s="643"/>
      <c r="M40" s="616">
        <f t="shared" si="1"/>
        <v>0</v>
      </c>
      <c r="N40" s="633"/>
      <c r="O40" s="636"/>
      <c r="P40" s="636"/>
      <c r="Q40" s="7"/>
      <c r="R40" s="699"/>
      <c r="S40" s="7"/>
      <c r="T40" s="618">
        <f t="shared" si="0"/>
        <v>0</v>
      </c>
      <c r="U40" s="7"/>
      <c r="V40" s="7"/>
      <c r="W40" s="7"/>
      <c r="X40" s="7"/>
      <c r="Y40" s="7"/>
      <c r="Z40" s="7"/>
    </row>
    <row r="41" spans="1:26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4"/>
      <c r="G41" s="213"/>
      <c r="H41" s="213"/>
      <c r="I41" s="370"/>
      <c r="J41" s="259"/>
      <c r="K41" s="213"/>
      <c r="L41" s="643"/>
      <c r="M41" s="616">
        <f t="shared" si="1"/>
        <v>0</v>
      </c>
      <c r="N41" s="633"/>
      <c r="O41" s="636"/>
      <c r="P41" s="636"/>
      <c r="Q41" s="7"/>
      <c r="R41" s="699"/>
      <c r="S41" s="7"/>
      <c r="T41" s="618">
        <f t="shared" si="0"/>
        <v>0</v>
      </c>
      <c r="U41" s="7"/>
      <c r="V41" s="7"/>
      <c r="W41" s="7"/>
      <c r="X41" s="7"/>
      <c r="Y41" s="7"/>
      <c r="Z41" s="7"/>
    </row>
    <row r="42" spans="1:26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4"/>
      <c r="G42" s="213"/>
      <c r="H42" s="213"/>
      <c r="I42" s="370"/>
      <c r="J42" s="259"/>
      <c r="K42" s="213"/>
      <c r="L42" s="643"/>
      <c r="M42" s="616">
        <f t="shared" si="1"/>
        <v>0</v>
      </c>
      <c r="N42" s="633"/>
      <c r="O42" s="636"/>
      <c r="P42" s="636"/>
      <c r="Q42" s="7"/>
      <c r="R42" s="699"/>
      <c r="S42" s="7"/>
      <c r="T42" s="618">
        <f t="shared" si="0"/>
        <v>0</v>
      </c>
      <c r="U42" s="7"/>
      <c r="V42" s="7"/>
      <c r="W42" s="7"/>
      <c r="X42" s="7"/>
      <c r="Y42" s="7"/>
      <c r="Z42" s="7"/>
    </row>
    <row r="43" spans="1:26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4"/>
      <c r="G43" s="213"/>
      <c r="H43" s="213"/>
      <c r="I43" s="372"/>
      <c r="J43" s="259"/>
      <c r="K43" s="213"/>
      <c r="L43" s="643"/>
      <c r="M43" s="616">
        <f t="shared" si="1"/>
        <v>0</v>
      </c>
      <c r="N43" s="633">
        <f>M43+M48+M53+M62</f>
        <v>56</v>
      </c>
      <c r="O43" s="634"/>
      <c r="P43" s="634"/>
      <c r="Q43" s="7"/>
      <c r="R43" s="699">
        <v>20</v>
      </c>
      <c r="S43" s="7"/>
      <c r="T43" s="618"/>
      <c r="U43" s="7"/>
      <c r="V43" s="7"/>
      <c r="W43" s="7"/>
      <c r="X43" s="7"/>
      <c r="Y43" s="7"/>
      <c r="Z43" s="7"/>
    </row>
    <row r="44" spans="1:26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4"/>
      <c r="G44" s="213"/>
      <c r="H44" s="213"/>
      <c r="I44" s="370"/>
      <c r="J44" s="259"/>
      <c r="K44" s="213"/>
      <c r="L44" s="643"/>
      <c r="M44" s="616">
        <f t="shared" si="1"/>
        <v>0</v>
      </c>
      <c r="N44" s="633"/>
      <c r="O44" s="634"/>
      <c r="P44" s="634"/>
      <c r="Q44" s="7"/>
      <c r="R44" s="699"/>
      <c r="S44" s="7"/>
      <c r="T44" s="618"/>
      <c r="U44" s="7"/>
      <c r="V44" s="7"/>
      <c r="W44" s="7"/>
      <c r="X44" s="7"/>
      <c r="Y44" s="7"/>
      <c r="Z44" s="7"/>
    </row>
    <row r="45" spans="1:26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4"/>
      <c r="G45" s="213"/>
      <c r="H45" s="213"/>
      <c r="I45" s="370"/>
      <c r="J45" s="259"/>
      <c r="K45" s="213"/>
      <c r="L45" s="643"/>
      <c r="M45" s="616">
        <f t="shared" si="1"/>
        <v>0</v>
      </c>
      <c r="N45" s="633"/>
      <c r="O45" s="634"/>
      <c r="P45" s="634"/>
      <c r="Q45" s="7"/>
      <c r="R45" s="699"/>
      <c r="S45" s="7"/>
      <c r="T45" s="618"/>
      <c r="U45" s="7"/>
      <c r="V45" s="7"/>
      <c r="W45" s="7"/>
      <c r="X45" s="7"/>
      <c r="Y45" s="7"/>
      <c r="Z45" s="7"/>
    </row>
    <row r="46" spans="1:26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4"/>
      <c r="G46" s="213"/>
      <c r="H46" s="213"/>
      <c r="I46" s="370"/>
      <c r="J46" s="259"/>
      <c r="K46" s="213"/>
      <c r="L46" s="643"/>
      <c r="M46" s="616">
        <f t="shared" si="1"/>
        <v>0</v>
      </c>
      <c r="N46" s="633"/>
      <c r="O46" s="634"/>
      <c r="P46" s="634"/>
      <c r="Q46" s="7"/>
      <c r="R46" s="699"/>
      <c r="S46" s="7"/>
      <c r="T46" s="618"/>
      <c r="U46" s="7"/>
      <c r="V46" s="7"/>
      <c r="W46" s="7"/>
      <c r="X46" s="7"/>
      <c r="Y46" s="7"/>
      <c r="Z46" s="7"/>
    </row>
    <row r="47" spans="1:26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4"/>
      <c r="G47" s="213"/>
      <c r="H47" s="213"/>
      <c r="I47" s="370"/>
      <c r="J47" s="259"/>
      <c r="K47" s="213"/>
      <c r="L47" s="643"/>
      <c r="M47" s="616">
        <f t="shared" si="1"/>
        <v>0</v>
      </c>
      <c r="N47" s="633"/>
      <c r="O47" s="634"/>
      <c r="P47" s="634"/>
      <c r="Q47" s="7"/>
      <c r="R47" s="699"/>
      <c r="S47" s="7"/>
      <c r="T47" s="618"/>
      <c r="U47" s="7"/>
      <c r="V47" s="7"/>
      <c r="W47" s="7"/>
      <c r="X47" s="7"/>
      <c r="Y47" s="7"/>
      <c r="Z47" s="7"/>
    </row>
    <row r="48" spans="1:26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8</v>
      </c>
      <c r="F48" s="214"/>
      <c r="G48" s="213"/>
      <c r="H48" s="213"/>
      <c r="I48" s="372"/>
      <c r="J48" s="265"/>
      <c r="K48" s="213"/>
      <c r="L48" s="643"/>
      <c r="M48" s="616">
        <f t="shared" si="1"/>
        <v>8</v>
      </c>
      <c r="N48" s="633"/>
      <c r="O48" s="634"/>
      <c r="P48" s="634"/>
      <c r="Q48" s="7"/>
      <c r="R48" s="699">
        <v>2</v>
      </c>
      <c r="S48" s="7"/>
      <c r="T48" s="618"/>
      <c r="U48" s="7"/>
      <c r="V48" s="7"/>
      <c r="W48" s="7"/>
      <c r="X48" s="7"/>
      <c r="Y48" s="7"/>
      <c r="Z48" s="7"/>
    </row>
    <row r="49" spans="1:26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4"/>
      <c r="G49" s="213"/>
      <c r="H49" s="213"/>
      <c r="I49" s="370"/>
      <c r="J49" s="259"/>
      <c r="K49" s="213"/>
      <c r="L49" s="643"/>
      <c r="M49" s="616">
        <f t="shared" si="1"/>
        <v>0</v>
      </c>
      <c r="N49" s="633"/>
      <c r="O49" s="634"/>
      <c r="P49" s="634"/>
      <c r="Q49" s="7"/>
      <c r="R49" s="699"/>
      <c r="S49" s="7"/>
      <c r="T49" s="618"/>
      <c r="U49" s="7"/>
      <c r="V49" s="7"/>
      <c r="W49" s="7"/>
      <c r="X49" s="7"/>
      <c r="Y49" s="7"/>
      <c r="Z49" s="7"/>
    </row>
    <row r="50" spans="1:26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4"/>
      <c r="G50" s="213"/>
      <c r="H50" s="213"/>
      <c r="I50" s="370"/>
      <c r="J50" s="259"/>
      <c r="K50" s="213"/>
      <c r="L50" s="643"/>
      <c r="M50" s="616">
        <f t="shared" si="1"/>
        <v>0</v>
      </c>
      <c r="N50" s="633"/>
      <c r="O50" s="634"/>
      <c r="P50" s="634"/>
      <c r="Q50" s="7"/>
      <c r="R50" s="699"/>
      <c r="S50" s="7"/>
      <c r="T50" s="618"/>
      <c r="U50" s="7"/>
      <c r="V50" s="7"/>
      <c r="W50" s="7"/>
      <c r="X50" s="7"/>
      <c r="Y50" s="7"/>
      <c r="Z50" s="7"/>
    </row>
    <row r="51" spans="1:26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4"/>
      <c r="G51" s="213"/>
      <c r="H51" s="213"/>
      <c r="I51" s="370"/>
      <c r="J51" s="259"/>
      <c r="K51" s="213"/>
      <c r="L51" s="643"/>
      <c r="M51" s="616">
        <f t="shared" si="1"/>
        <v>0</v>
      </c>
      <c r="N51" s="633"/>
      <c r="O51" s="634"/>
      <c r="P51" s="634"/>
      <c r="Q51" s="7"/>
      <c r="R51" s="699"/>
      <c r="S51" s="7"/>
      <c r="T51" s="618"/>
      <c r="U51" s="7"/>
      <c r="V51" s="7"/>
      <c r="W51" s="7"/>
      <c r="X51" s="7"/>
      <c r="Y51" s="7"/>
      <c r="Z51" s="7"/>
    </row>
    <row r="52" spans="1:26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4"/>
      <c r="G52" s="213"/>
      <c r="H52" s="213"/>
      <c r="I52" s="370"/>
      <c r="J52" s="259"/>
      <c r="K52" s="213"/>
      <c r="L52" s="643"/>
      <c r="M52" s="616">
        <f t="shared" si="1"/>
        <v>0</v>
      </c>
      <c r="N52" s="633"/>
      <c r="O52" s="634"/>
      <c r="P52" s="634"/>
      <c r="Q52" s="7"/>
      <c r="R52" s="699"/>
      <c r="S52" s="7"/>
      <c r="T52" s="618"/>
      <c r="U52" s="7"/>
      <c r="V52" s="7"/>
      <c r="W52" s="7"/>
      <c r="X52" s="7"/>
      <c r="Y52" s="7"/>
      <c r="Z52" s="7"/>
    </row>
    <row r="53" spans="1:26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4"/>
      <c r="G53" s="213"/>
      <c r="H53" s="213"/>
      <c r="I53" s="499">
        <v>1</v>
      </c>
      <c r="J53" s="259">
        <v>47</v>
      </c>
      <c r="K53" s="213"/>
      <c r="L53" s="643"/>
      <c r="M53" s="616">
        <f t="shared" si="1"/>
        <v>48</v>
      </c>
      <c r="N53" s="633"/>
      <c r="O53" s="634"/>
      <c r="P53" s="634"/>
      <c r="Q53" s="7"/>
      <c r="R53" s="699">
        <v>84</v>
      </c>
      <c r="S53" s="7"/>
      <c r="T53" s="618">
        <v>1</v>
      </c>
      <c r="U53" s="7"/>
      <c r="V53" s="7"/>
      <c r="W53" s="7"/>
      <c r="X53" s="7"/>
      <c r="Y53" s="7"/>
      <c r="Z53" s="7"/>
    </row>
    <row r="54" spans="1:26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4"/>
      <c r="G54" s="213"/>
      <c r="H54" s="213"/>
      <c r="I54" s="370"/>
      <c r="J54" s="259"/>
      <c r="K54" s="213"/>
      <c r="L54" s="643"/>
      <c r="M54" s="616">
        <f t="shared" si="1"/>
        <v>0</v>
      </c>
      <c r="N54" s="633"/>
      <c r="O54" s="634"/>
      <c r="P54" s="634"/>
      <c r="Q54" s="7"/>
      <c r="R54" s="699"/>
      <c r="S54" s="7"/>
      <c r="T54" s="618">
        <f t="shared" ref="T54:T57" si="2">R54-M54</f>
        <v>0</v>
      </c>
      <c r="U54" s="7"/>
      <c r="V54" s="7"/>
      <c r="W54" s="7"/>
      <c r="X54" s="7"/>
      <c r="Y54" s="7"/>
      <c r="Z54" s="7"/>
    </row>
    <row r="55" spans="1:26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4"/>
      <c r="G55" s="213"/>
      <c r="H55" s="213"/>
      <c r="I55" s="370"/>
      <c r="J55" s="259"/>
      <c r="K55" s="213"/>
      <c r="L55" s="643"/>
      <c r="M55" s="616">
        <f t="shared" si="1"/>
        <v>0</v>
      </c>
      <c r="N55" s="633"/>
      <c r="O55" s="634"/>
      <c r="P55" s="634"/>
      <c r="Q55" s="7"/>
      <c r="R55" s="699"/>
      <c r="S55" s="7"/>
      <c r="T55" s="618">
        <f t="shared" si="2"/>
        <v>0</v>
      </c>
      <c r="U55" s="7"/>
      <c r="V55" s="7"/>
      <c r="W55" s="7"/>
      <c r="X55" s="7"/>
      <c r="Y55" s="7"/>
      <c r="Z55" s="7"/>
    </row>
    <row r="56" spans="1:26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4"/>
      <c r="G56" s="213"/>
      <c r="H56" s="213"/>
      <c r="I56" s="370"/>
      <c r="J56" s="259"/>
      <c r="K56" s="213"/>
      <c r="L56" s="643"/>
      <c r="M56" s="616">
        <f t="shared" si="1"/>
        <v>0</v>
      </c>
      <c r="N56" s="633"/>
      <c r="O56" s="634"/>
      <c r="P56" s="634"/>
      <c r="Q56" s="7"/>
      <c r="R56" s="699"/>
      <c r="S56" s="7"/>
      <c r="T56" s="618">
        <f t="shared" si="2"/>
        <v>0</v>
      </c>
      <c r="U56" s="7"/>
      <c r="V56" s="7"/>
      <c r="W56" s="7"/>
      <c r="X56" s="7"/>
      <c r="Y56" s="7"/>
      <c r="Z56" s="7"/>
    </row>
    <row r="57" spans="1:26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4"/>
      <c r="G57" s="213"/>
      <c r="H57" s="213"/>
      <c r="I57" s="370"/>
      <c r="J57" s="259"/>
      <c r="K57" s="213"/>
      <c r="L57" s="643"/>
      <c r="M57" s="616">
        <f t="shared" si="1"/>
        <v>0</v>
      </c>
      <c r="N57" s="633"/>
      <c r="O57" s="634"/>
      <c r="P57" s="634"/>
      <c r="Q57" s="7"/>
      <c r="R57" s="699"/>
      <c r="S57" s="7"/>
      <c r="T57" s="618">
        <f t="shared" si="2"/>
        <v>0</v>
      </c>
      <c r="U57" s="7"/>
      <c r="V57" s="7"/>
      <c r="W57" s="7"/>
      <c r="X57" s="7"/>
      <c r="Y57" s="7"/>
      <c r="Z57" s="7"/>
    </row>
    <row r="58" spans="1:26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374"/>
      <c r="G58" s="209"/>
      <c r="H58" s="213"/>
      <c r="I58" s="372"/>
      <c r="J58" s="259"/>
      <c r="K58" s="219"/>
      <c r="L58" s="643"/>
      <c r="M58" s="616">
        <f t="shared" si="1"/>
        <v>0</v>
      </c>
      <c r="N58" s="633"/>
      <c r="O58" s="634"/>
      <c r="P58" s="634"/>
      <c r="Q58" s="7"/>
      <c r="R58" s="699">
        <v>91</v>
      </c>
      <c r="S58" s="7"/>
      <c r="T58" s="618"/>
      <c r="U58" s="7"/>
      <c r="V58" s="7"/>
      <c r="W58" s="7"/>
      <c r="X58" s="7"/>
      <c r="Y58" s="7"/>
      <c r="Z58" s="7"/>
    </row>
    <row r="59" spans="1:26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4"/>
      <c r="G59" s="213"/>
      <c r="H59" s="213"/>
      <c r="I59" s="370"/>
      <c r="J59" s="259"/>
      <c r="K59" s="213"/>
      <c r="L59" s="643"/>
      <c r="M59" s="616">
        <f t="shared" si="1"/>
        <v>0</v>
      </c>
      <c r="N59" s="633"/>
      <c r="O59" s="648"/>
      <c r="P59" s="648"/>
      <c r="Q59" s="7"/>
      <c r="R59" s="699"/>
      <c r="S59" s="7"/>
      <c r="T59" s="618">
        <f t="shared" ref="T59:T62" si="3">R59-M59</f>
        <v>0</v>
      </c>
      <c r="U59" s="7"/>
      <c r="V59" s="7"/>
      <c r="W59" s="7"/>
      <c r="X59" s="7"/>
      <c r="Y59" s="7"/>
      <c r="Z59" s="7"/>
    </row>
    <row r="60" spans="1:26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4"/>
      <c r="G60" s="213"/>
      <c r="H60" s="213"/>
      <c r="I60" s="370"/>
      <c r="J60" s="259"/>
      <c r="K60" s="213"/>
      <c r="L60" s="643"/>
      <c r="M60" s="616">
        <f t="shared" si="1"/>
        <v>0</v>
      </c>
      <c r="N60" s="633"/>
      <c r="O60" s="648"/>
      <c r="P60" s="648"/>
      <c r="Q60" s="7"/>
      <c r="R60" s="699"/>
      <c r="S60" s="7"/>
      <c r="T60" s="618">
        <f t="shared" si="3"/>
        <v>0</v>
      </c>
      <c r="U60" s="7"/>
      <c r="V60" s="7"/>
      <c r="W60" s="7"/>
      <c r="X60" s="7"/>
      <c r="Y60" s="7"/>
      <c r="Z60" s="7"/>
    </row>
    <row r="61" spans="1:26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4"/>
      <c r="G61" s="213"/>
      <c r="H61" s="213"/>
      <c r="I61" s="370"/>
      <c r="J61" s="259"/>
      <c r="K61" s="213"/>
      <c r="L61" s="643"/>
      <c r="M61" s="616">
        <f t="shared" si="1"/>
        <v>0</v>
      </c>
      <c r="N61" s="633"/>
      <c r="O61" s="648"/>
      <c r="P61" s="648"/>
      <c r="Q61" s="7"/>
      <c r="R61" s="699"/>
      <c r="S61" s="7"/>
      <c r="T61" s="618">
        <f t="shared" si="3"/>
        <v>0</v>
      </c>
      <c r="U61" s="7"/>
      <c r="V61" s="7"/>
      <c r="W61" s="7"/>
      <c r="X61" s="7"/>
      <c r="Y61" s="7"/>
      <c r="Z61" s="7"/>
    </row>
    <row r="62" spans="1:26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4"/>
      <c r="G62" s="213"/>
      <c r="H62" s="213"/>
      <c r="I62" s="372"/>
      <c r="J62" s="259"/>
      <c r="K62" s="213"/>
      <c r="L62" s="643"/>
      <c r="M62" s="616">
        <f t="shared" si="1"/>
        <v>0</v>
      </c>
      <c r="N62" s="633"/>
      <c r="O62" s="636"/>
      <c r="P62" s="636"/>
      <c r="Q62" s="7"/>
      <c r="R62" s="699">
        <v>61</v>
      </c>
      <c r="S62" s="7"/>
      <c r="T62" s="618">
        <f t="shared" si="3"/>
        <v>61</v>
      </c>
      <c r="U62" s="7"/>
      <c r="V62" s="7"/>
      <c r="W62" s="7"/>
      <c r="X62" s="7"/>
      <c r="Y62" s="7"/>
      <c r="Z62" s="7"/>
    </row>
    <row r="63" spans="1:26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4"/>
      <c r="G63" s="213"/>
      <c r="H63" s="213"/>
      <c r="I63" s="372"/>
      <c r="J63" s="259"/>
      <c r="K63" s="213"/>
      <c r="L63" s="643"/>
      <c r="M63" s="616">
        <f t="shared" si="1"/>
        <v>0</v>
      </c>
      <c r="N63" s="633"/>
      <c r="O63" s="636"/>
      <c r="P63" s="636"/>
      <c r="Q63" s="7"/>
      <c r="R63" s="699"/>
      <c r="S63" s="7"/>
      <c r="T63" s="618"/>
      <c r="U63" s="7"/>
      <c r="V63" s="7"/>
      <c r="W63" s="7"/>
      <c r="X63" s="7"/>
      <c r="Y63" s="7"/>
      <c r="Z63" s="7"/>
    </row>
    <row r="64" spans="1:26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4"/>
      <c r="G64" s="213"/>
      <c r="H64" s="213"/>
      <c r="I64" s="372"/>
      <c r="J64" s="259"/>
      <c r="K64" s="213"/>
      <c r="L64" s="643"/>
      <c r="M64" s="616">
        <f t="shared" si="1"/>
        <v>0</v>
      </c>
      <c r="N64" s="633"/>
      <c r="O64" s="640"/>
      <c r="P64" s="640"/>
      <c r="Q64" s="7"/>
      <c r="R64" s="699"/>
      <c r="S64" s="7"/>
      <c r="T64" s="618">
        <f t="shared" ref="T64:T93" si="4">R64-M64</f>
        <v>0</v>
      </c>
      <c r="U64" s="7"/>
      <c r="V64" s="7"/>
      <c r="W64" s="7"/>
      <c r="X64" s="7"/>
      <c r="Y64" s="7"/>
      <c r="Z64" s="7"/>
    </row>
    <row r="65" spans="1:26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4"/>
      <c r="G65" s="213"/>
      <c r="H65" s="213"/>
      <c r="I65" s="372"/>
      <c r="J65" s="259"/>
      <c r="K65" s="213"/>
      <c r="L65" s="643"/>
      <c r="M65" s="616">
        <f t="shared" si="1"/>
        <v>0</v>
      </c>
      <c r="N65" s="633"/>
      <c r="O65" s="636"/>
      <c r="P65" s="636"/>
      <c r="Q65" s="7"/>
      <c r="R65" s="699">
        <v>10</v>
      </c>
      <c r="S65" s="7"/>
      <c r="T65" s="618">
        <f t="shared" si="4"/>
        <v>10</v>
      </c>
      <c r="U65" s="7"/>
      <c r="V65" s="7"/>
      <c r="W65" s="7"/>
      <c r="X65" s="7"/>
      <c r="Y65" s="7"/>
      <c r="Z65" s="7"/>
    </row>
    <row r="66" spans="1:26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4"/>
      <c r="G66" s="213"/>
      <c r="H66" s="213"/>
      <c r="I66" s="372"/>
      <c r="J66" s="259"/>
      <c r="K66" s="213"/>
      <c r="L66" s="643"/>
      <c r="M66" s="616">
        <f t="shared" si="1"/>
        <v>0</v>
      </c>
      <c r="N66" s="633"/>
      <c r="O66" s="636"/>
      <c r="P66" s="636"/>
      <c r="Q66" s="7"/>
      <c r="R66" s="699">
        <v>5</v>
      </c>
      <c r="S66" s="7"/>
      <c r="T66" s="618">
        <f t="shared" si="4"/>
        <v>5</v>
      </c>
      <c r="U66" s="7"/>
      <c r="V66" s="7"/>
      <c r="W66" s="7"/>
      <c r="X66" s="7"/>
      <c r="Y66" s="7"/>
      <c r="Z66" s="7"/>
    </row>
    <row r="67" spans="1:26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4"/>
      <c r="G67" s="213"/>
      <c r="H67" s="213"/>
      <c r="I67" s="370"/>
      <c r="J67" s="259"/>
      <c r="K67" s="213"/>
      <c r="L67" s="643"/>
      <c r="M67" s="616">
        <f t="shared" si="1"/>
        <v>0</v>
      </c>
      <c r="N67" s="633"/>
      <c r="O67" s="634"/>
      <c r="P67" s="634"/>
      <c r="Q67" s="7"/>
      <c r="R67" s="699"/>
      <c r="S67" s="7"/>
      <c r="T67" s="618">
        <f t="shared" si="4"/>
        <v>0</v>
      </c>
      <c r="U67" s="7"/>
      <c r="V67" s="7"/>
      <c r="W67" s="7"/>
      <c r="X67" s="7"/>
      <c r="Y67" s="7"/>
      <c r="Z67" s="7"/>
    </row>
    <row r="68" spans="1:26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4"/>
      <c r="G68" s="213"/>
      <c r="H68" s="213"/>
      <c r="I68" s="370"/>
      <c r="J68" s="259"/>
      <c r="K68" s="213"/>
      <c r="L68" s="643"/>
      <c r="M68" s="616">
        <f t="shared" si="1"/>
        <v>0</v>
      </c>
      <c r="N68" s="633"/>
      <c r="O68" s="634"/>
      <c r="P68" s="634"/>
      <c r="Q68" s="7"/>
      <c r="R68" s="699"/>
      <c r="S68" s="7"/>
      <c r="T68" s="618">
        <f t="shared" si="4"/>
        <v>0</v>
      </c>
      <c r="U68" s="7"/>
      <c r="V68" s="7"/>
      <c r="W68" s="7"/>
      <c r="X68" s="7"/>
      <c r="Y68" s="7"/>
      <c r="Z68" s="7"/>
    </row>
    <row r="69" spans="1:26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4"/>
      <c r="G69" s="213"/>
      <c r="H69" s="213"/>
      <c r="I69" s="370"/>
      <c r="J69" s="259"/>
      <c r="K69" s="213"/>
      <c r="L69" s="643"/>
      <c r="M69" s="616">
        <f t="shared" si="1"/>
        <v>0</v>
      </c>
      <c r="N69" s="633"/>
      <c r="O69" s="634"/>
      <c r="P69" s="634"/>
      <c r="Q69" s="7"/>
      <c r="R69" s="699"/>
      <c r="S69" s="7"/>
      <c r="T69" s="618">
        <f t="shared" si="4"/>
        <v>0</v>
      </c>
      <c r="U69" s="7"/>
      <c r="V69" s="7"/>
      <c r="W69" s="7"/>
      <c r="X69" s="7"/>
      <c r="Y69" s="7"/>
      <c r="Z69" s="7"/>
    </row>
    <row r="70" spans="1:26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4"/>
      <c r="G70" s="213"/>
      <c r="H70" s="213"/>
      <c r="I70" s="370"/>
      <c r="J70" s="259"/>
      <c r="K70" s="213"/>
      <c r="L70" s="643"/>
      <c r="M70" s="616">
        <f t="shared" si="1"/>
        <v>0</v>
      </c>
      <c r="N70" s="633"/>
      <c r="O70" s="634"/>
      <c r="P70" s="634"/>
      <c r="Q70" s="7"/>
      <c r="R70" s="699"/>
      <c r="S70" s="7"/>
      <c r="T70" s="618">
        <f t="shared" si="4"/>
        <v>0</v>
      </c>
      <c r="U70" s="7"/>
      <c r="V70" s="7"/>
      <c r="W70" s="7"/>
      <c r="X70" s="7"/>
      <c r="Y70" s="7"/>
      <c r="Z70" s="7"/>
    </row>
    <row r="71" spans="1:26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4"/>
      <c r="G71" s="213"/>
      <c r="H71" s="213"/>
      <c r="I71" s="370"/>
      <c r="J71" s="259"/>
      <c r="K71" s="213"/>
      <c r="L71" s="643"/>
      <c r="M71" s="616">
        <f t="shared" si="1"/>
        <v>0</v>
      </c>
      <c r="N71" s="633"/>
      <c r="O71" s="636"/>
      <c r="P71" s="636"/>
      <c r="Q71" s="7"/>
      <c r="R71" s="699"/>
      <c r="S71" s="7"/>
      <c r="T71" s="618">
        <f t="shared" si="4"/>
        <v>0</v>
      </c>
      <c r="U71" s="7"/>
      <c r="V71" s="7"/>
      <c r="W71" s="7"/>
      <c r="X71" s="7"/>
      <c r="Y71" s="7"/>
      <c r="Z71" s="7"/>
    </row>
    <row r="72" spans="1:26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4"/>
      <c r="G72" s="213"/>
      <c r="H72" s="213"/>
      <c r="I72" s="370"/>
      <c r="J72" s="259"/>
      <c r="K72" s="213"/>
      <c r="L72" s="643"/>
      <c r="M72" s="616">
        <f t="shared" si="1"/>
        <v>0</v>
      </c>
      <c r="N72" s="633"/>
      <c r="O72" s="648"/>
      <c r="P72" s="648"/>
      <c r="Q72" s="7"/>
      <c r="R72" s="699"/>
      <c r="S72" s="7"/>
      <c r="T72" s="618">
        <f t="shared" si="4"/>
        <v>0</v>
      </c>
      <c r="U72" s="7"/>
      <c r="V72" s="7"/>
      <c r="W72" s="7"/>
      <c r="X72" s="7"/>
      <c r="Y72" s="7"/>
      <c r="Z72" s="7"/>
    </row>
    <row r="73" spans="1:26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4"/>
      <c r="G73" s="213"/>
      <c r="H73" s="213"/>
      <c r="I73" s="370"/>
      <c r="J73" s="259"/>
      <c r="K73" s="213"/>
      <c r="L73" s="643"/>
      <c r="M73" s="616">
        <f t="shared" si="1"/>
        <v>0</v>
      </c>
      <c r="N73" s="633"/>
      <c r="O73" s="648"/>
      <c r="P73" s="648"/>
      <c r="Q73" s="7"/>
      <c r="R73" s="699"/>
      <c r="S73" s="7"/>
      <c r="T73" s="618">
        <f t="shared" si="4"/>
        <v>0</v>
      </c>
      <c r="U73" s="7"/>
      <c r="V73" s="7"/>
      <c r="W73" s="7"/>
      <c r="X73" s="7"/>
      <c r="Y73" s="7"/>
      <c r="Z73" s="7"/>
    </row>
    <row r="74" spans="1:26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4"/>
      <c r="G74" s="213"/>
      <c r="H74" s="213"/>
      <c r="I74" s="370"/>
      <c r="J74" s="259"/>
      <c r="K74" s="213"/>
      <c r="L74" s="643"/>
      <c r="M74" s="616">
        <f t="shared" si="1"/>
        <v>0</v>
      </c>
      <c r="N74" s="633"/>
      <c r="O74" s="648"/>
      <c r="P74" s="648"/>
      <c r="Q74" s="7"/>
      <c r="R74" s="699"/>
      <c r="S74" s="7"/>
      <c r="T74" s="618">
        <f t="shared" si="4"/>
        <v>0</v>
      </c>
      <c r="U74" s="7"/>
      <c r="V74" s="7"/>
      <c r="W74" s="7"/>
      <c r="X74" s="7"/>
      <c r="Y74" s="7"/>
      <c r="Z74" s="7"/>
    </row>
    <row r="75" spans="1:26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4"/>
      <c r="G75" s="213"/>
      <c r="H75" s="213"/>
      <c r="I75" s="370"/>
      <c r="J75" s="259"/>
      <c r="K75" s="213"/>
      <c r="L75" s="643"/>
      <c r="M75" s="616">
        <f t="shared" si="1"/>
        <v>0</v>
      </c>
      <c r="N75" s="633"/>
      <c r="O75" s="636"/>
      <c r="P75" s="636"/>
      <c r="Q75" s="7"/>
      <c r="R75" s="699"/>
      <c r="S75" s="7"/>
      <c r="T75" s="618">
        <f t="shared" si="4"/>
        <v>0</v>
      </c>
      <c r="U75" s="7"/>
      <c r="V75" s="7"/>
      <c r="W75" s="7"/>
      <c r="X75" s="7"/>
      <c r="Y75" s="7"/>
      <c r="Z75" s="7"/>
    </row>
    <row r="76" spans="1:26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4"/>
      <c r="G76" s="213"/>
      <c r="H76" s="213"/>
      <c r="I76" s="372"/>
      <c r="J76" s="259"/>
      <c r="K76" s="213"/>
      <c r="L76" s="643"/>
      <c r="M76" s="616">
        <f t="shared" si="1"/>
        <v>0</v>
      </c>
      <c r="N76" s="633"/>
      <c r="O76" s="636"/>
      <c r="P76" s="636"/>
      <c r="Q76" s="7"/>
      <c r="R76" s="699"/>
      <c r="S76" s="7"/>
      <c r="T76" s="618">
        <f t="shared" si="4"/>
        <v>0</v>
      </c>
      <c r="U76" s="7"/>
      <c r="V76" s="7"/>
      <c r="W76" s="7"/>
      <c r="X76" s="7"/>
      <c r="Y76" s="7"/>
      <c r="Z76" s="7"/>
    </row>
    <row r="77" spans="1:26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4"/>
      <c r="G77" s="213"/>
      <c r="H77" s="213"/>
      <c r="I77" s="372"/>
      <c r="J77" s="259"/>
      <c r="K77" s="213"/>
      <c r="L77" s="643"/>
      <c r="M77" s="616">
        <f t="shared" si="1"/>
        <v>0</v>
      </c>
      <c r="N77" s="633"/>
      <c r="O77" s="640"/>
      <c r="P77" s="640"/>
      <c r="Q77" s="7"/>
      <c r="R77" s="699"/>
      <c r="S77" s="7"/>
      <c r="T77" s="618">
        <f t="shared" si="4"/>
        <v>0</v>
      </c>
      <c r="U77" s="7"/>
      <c r="V77" s="7"/>
      <c r="W77" s="7"/>
      <c r="X77" s="7"/>
      <c r="Y77" s="7"/>
      <c r="Z77" s="7"/>
    </row>
    <row r="78" spans="1:26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4"/>
      <c r="G78" s="213"/>
      <c r="H78" s="213"/>
      <c r="I78" s="372"/>
      <c r="J78" s="259"/>
      <c r="K78" s="213"/>
      <c r="L78" s="643"/>
      <c r="M78" s="616">
        <f t="shared" si="1"/>
        <v>0</v>
      </c>
      <c r="N78" s="633"/>
      <c r="O78" s="636"/>
      <c r="P78" s="636"/>
      <c r="Q78" s="7"/>
      <c r="R78" s="699"/>
      <c r="S78" s="7"/>
      <c r="T78" s="618">
        <f t="shared" si="4"/>
        <v>0</v>
      </c>
      <c r="U78" s="7"/>
      <c r="V78" s="7"/>
      <c r="W78" s="7"/>
      <c r="X78" s="7"/>
      <c r="Y78" s="7"/>
      <c r="Z78" s="7"/>
    </row>
    <row r="79" spans="1:26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4"/>
      <c r="G79" s="213"/>
      <c r="H79" s="213"/>
      <c r="I79" s="372"/>
      <c r="J79" s="259"/>
      <c r="K79" s="213"/>
      <c r="L79" s="643"/>
      <c r="M79" s="616">
        <f t="shared" si="1"/>
        <v>0</v>
      </c>
      <c r="N79" s="633"/>
      <c r="O79" s="634"/>
      <c r="P79" s="634"/>
      <c r="Q79" s="7"/>
      <c r="R79" s="699"/>
      <c r="S79" s="7"/>
      <c r="T79" s="618">
        <f t="shared" si="4"/>
        <v>0</v>
      </c>
      <c r="U79" s="7"/>
      <c r="V79" s="7"/>
      <c r="W79" s="7"/>
      <c r="X79" s="7"/>
      <c r="Y79" s="7"/>
      <c r="Z79" s="7"/>
    </row>
    <row r="80" spans="1:26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4"/>
      <c r="G80" s="213"/>
      <c r="H80" s="213"/>
      <c r="I80" s="372"/>
      <c r="J80" s="259"/>
      <c r="K80" s="213"/>
      <c r="L80" s="643"/>
      <c r="M80" s="616">
        <f t="shared" si="1"/>
        <v>0</v>
      </c>
      <c r="N80" s="633"/>
      <c r="O80" s="634"/>
      <c r="P80" s="634"/>
      <c r="Q80" s="7"/>
      <c r="R80" s="699"/>
      <c r="S80" s="7"/>
      <c r="T80" s="618">
        <f t="shared" si="4"/>
        <v>0</v>
      </c>
      <c r="U80" s="7"/>
      <c r="V80" s="7"/>
      <c r="W80" s="7"/>
      <c r="X80" s="7"/>
      <c r="Y80" s="7"/>
      <c r="Z80" s="7"/>
    </row>
    <row r="81" spans="1:26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4"/>
      <c r="G81" s="213"/>
      <c r="H81" s="213"/>
      <c r="I81" s="372"/>
      <c r="J81" s="259"/>
      <c r="K81" s="213"/>
      <c r="L81" s="643"/>
      <c r="M81" s="616">
        <f t="shared" si="1"/>
        <v>0</v>
      </c>
      <c r="N81" s="633"/>
      <c r="O81" s="634"/>
      <c r="P81" s="634"/>
      <c r="Q81" s="7"/>
      <c r="R81" s="699"/>
      <c r="S81" s="7"/>
      <c r="T81" s="618">
        <f t="shared" si="4"/>
        <v>0</v>
      </c>
      <c r="U81" s="7"/>
      <c r="V81" s="7"/>
      <c r="W81" s="7"/>
      <c r="X81" s="7"/>
      <c r="Y81" s="7"/>
      <c r="Z81" s="7"/>
    </row>
    <row r="82" spans="1:26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4"/>
      <c r="G82" s="213"/>
      <c r="H82" s="213"/>
      <c r="I82" s="372"/>
      <c r="J82" s="259"/>
      <c r="K82" s="213"/>
      <c r="L82" s="643"/>
      <c r="M82" s="616">
        <f t="shared" si="1"/>
        <v>0</v>
      </c>
      <c r="N82" s="633"/>
      <c r="O82" s="634"/>
      <c r="P82" s="634"/>
      <c r="Q82" s="7"/>
      <c r="R82" s="699"/>
      <c r="S82" s="7"/>
      <c r="T82" s="618">
        <f t="shared" si="4"/>
        <v>0</v>
      </c>
      <c r="U82" s="7"/>
      <c r="V82" s="7"/>
      <c r="W82" s="7"/>
      <c r="X82" s="7"/>
      <c r="Y82" s="7"/>
      <c r="Z82" s="7"/>
    </row>
    <row r="83" spans="1:26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4"/>
      <c r="G83" s="213"/>
      <c r="H83" s="213"/>
      <c r="I83" s="372"/>
      <c r="J83" s="259"/>
      <c r="K83" s="213"/>
      <c r="L83" s="643"/>
      <c r="M83" s="616">
        <f t="shared" si="1"/>
        <v>0</v>
      </c>
      <c r="N83" s="633"/>
      <c r="O83" s="636"/>
      <c r="P83" s="636"/>
      <c r="Q83" s="7"/>
      <c r="R83" s="699"/>
      <c r="S83" s="7"/>
      <c r="T83" s="618">
        <f t="shared" si="4"/>
        <v>0</v>
      </c>
      <c r="U83" s="7"/>
      <c r="V83" s="7"/>
      <c r="W83" s="7"/>
      <c r="X83" s="7"/>
      <c r="Y83" s="7"/>
      <c r="Z83" s="7"/>
    </row>
    <row r="84" spans="1:26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4"/>
      <c r="G84" s="213"/>
      <c r="H84" s="213"/>
      <c r="I84" s="372"/>
      <c r="J84" s="259"/>
      <c r="K84" s="213"/>
      <c r="L84" s="643"/>
      <c r="M84" s="616">
        <f t="shared" si="1"/>
        <v>0</v>
      </c>
      <c r="N84" s="633"/>
      <c r="O84" s="648"/>
      <c r="P84" s="648"/>
      <c r="Q84" s="7"/>
      <c r="R84" s="699"/>
      <c r="S84" s="7"/>
      <c r="T84" s="618">
        <f t="shared" si="4"/>
        <v>0</v>
      </c>
      <c r="U84" s="7"/>
      <c r="V84" s="7"/>
      <c r="W84" s="7"/>
      <c r="X84" s="7"/>
      <c r="Y84" s="7"/>
      <c r="Z84" s="7"/>
    </row>
    <row r="85" spans="1:26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4"/>
      <c r="G85" s="213"/>
      <c r="H85" s="213"/>
      <c r="I85" s="372"/>
      <c r="J85" s="259"/>
      <c r="K85" s="213"/>
      <c r="L85" s="643"/>
      <c r="M85" s="616">
        <f t="shared" si="1"/>
        <v>0</v>
      </c>
      <c r="N85" s="633"/>
      <c r="O85" s="648"/>
      <c r="P85" s="648"/>
      <c r="Q85" s="7"/>
      <c r="R85" s="699"/>
      <c r="S85" s="7"/>
      <c r="T85" s="618">
        <f t="shared" si="4"/>
        <v>0</v>
      </c>
      <c r="U85" s="7"/>
      <c r="V85" s="7"/>
      <c r="W85" s="7"/>
      <c r="X85" s="7"/>
      <c r="Y85" s="7"/>
      <c r="Z85" s="7"/>
    </row>
    <row r="86" spans="1:26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4"/>
      <c r="G86" s="213"/>
      <c r="H86" s="213"/>
      <c r="I86" s="372"/>
      <c r="J86" s="259"/>
      <c r="K86" s="213"/>
      <c r="L86" s="643"/>
      <c r="M86" s="616">
        <f t="shared" si="1"/>
        <v>0</v>
      </c>
      <c r="N86" s="633"/>
      <c r="O86" s="648"/>
      <c r="P86" s="648"/>
      <c r="Q86" s="7"/>
      <c r="R86" s="699"/>
      <c r="S86" s="7"/>
      <c r="T86" s="618">
        <f t="shared" si="4"/>
        <v>0</v>
      </c>
      <c r="U86" s="7"/>
      <c r="V86" s="7"/>
      <c r="W86" s="7"/>
      <c r="X86" s="7"/>
      <c r="Y86" s="7"/>
      <c r="Z86" s="7"/>
    </row>
    <row r="87" spans="1:26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4"/>
      <c r="G87" s="213"/>
      <c r="H87" s="213"/>
      <c r="I87" s="370"/>
      <c r="J87" s="259"/>
      <c r="K87" s="213"/>
      <c r="L87" s="643"/>
      <c r="M87" s="616">
        <f t="shared" si="1"/>
        <v>0</v>
      </c>
      <c r="N87" s="633"/>
      <c r="O87" s="636"/>
      <c r="P87" s="636"/>
      <c r="Q87" s="7"/>
      <c r="R87" s="699"/>
      <c r="S87" s="7"/>
      <c r="T87" s="618">
        <f t="shared" si="4"/>
        <v>0</v>
      </c>
      <c r="U87" s="7"/>
      <c r="V87" s="7"/>
      <c r="W87" s="7"/>
      <c r="X87" s="7"/>
      <c r="Y87" s="7"/>
      <c r="Z87" s="7"/>
    </row>
    <row r="88" spans="1:26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4"/>
      <c r="G88" s="213"/>
      <c r="H88" s="213"/>
      <c r="I88" s="370"/>
      <c r="J88" s="259"/>
      <c r="K88" s="213"/>
      <c r="L88" s="643"/>
      <c r="M88" s="616">
        <f t="shared" si="1"/>
        <v>0</v>
      </c>
      <c r="N88" s="633"/>
      <c r="O88" s="636"/>
      <c r="P88" s="636"/>
      <c r="Q88" s="7"/>
      <c r="R88" s="699"/>
      <c r="S88" s="7"/>
      <c r="T88" s="618">
        <f t="shared" si="4"/>
        <v>0</v>
      </c>
      <c r="U88" s="7"/>
      <c r="V88" s="7"/>
      <c r="W88" s="7"/>
      <c r="X88" s="7"/>
      <c r="Y88" s="7"/>
      <c r="Z88" s="7"/>
    </row>
    <row r="89" spans="1:26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4"/>
      <c r="G89" s="213"/>
      <c r="H89" s="213"/>
      <c r="I89" s="372"/>
      <c r="J89" s="259"/>
      <c r="K89" s="213"/>
      <c r="L89" s="643"/>
      <c r="M89" s="616">
        <f t="shared" si="1"/>
        <v>0</v>
      </c>
      <c r="N89" s="633"/>
      <c r="O89" s="636"/>
      <c r="P89" s="636"/>
      <c r="Q89" s="7"/>
      <c r="R89" s="699"/>
      <c r="S89" s="7"/>
      <c r="T89" s="618">
        <f t="shared" si="4"/>
        <v>0</v>
      </c>
      <c r="U89" s="7"/>
      <c r="V89" s="7"/>
      <c r="W89" s="7"/>
      <c r="X89" s="7"/>
      <c r="Y89" s="7"/>
      <c r="Z89" s="7"/>
    </row>
    <row r="90" spans="1:26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4"/>
      <c r="G90" s="213"/>
      <c r="H90" s="213"/>
      <c r="I90" s="372"/>
      <c r="J90" s="259"/>
      <c r="K90" s="213"/>
      <c r="L90" s="643"/>
      <c r="M90" s="616">
        <f t="shared" si="1"/>
        <v>0</v>
      </c>
      <c r="N90" s="633"/>
      <c r="O90" s="640"/>
      <c r="P90" s="640"/>
      <c r="Q90" s="7"/>
      <c r="R90" s="699"/>
      <c r="S90" s="7"/>
      <c r="T90" s="618">
        <f t="shared" si="4"/>
        <v>0</v>
      </c>
      <c r="U90" s="7"/>
      <c r="V90" s="7"/>
      <c r="W90" s="7"/>
      <c r="X90" s="7"/>
      <c r="Y90" s="7"/>
      <c r="Z90" s="7"/>
    </row>
    <row r="91" spans="1:26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>
        <v>1</v>
      </c>
      <c r="F91" s="214"/>
      <c r="G91" s="213"/>
      <c r="H91" s="213"/>
      <c r="I91" s="372"/>
      <c r="J91" s="259"/>
      <c r="K91" s="213"/>
      <c r="L91" s="643"/>
      <c r="M91" s="616">
        <f t="shared" si="1"/>
        <v>1</v>
      </c>
      <c r="N91" s="633"/>
      <c r="O91" s="636"/>
      <c r="P91" s="636"/>
      <c r="Q91" s="7"/>
      <c r="R91" s="699">
        <v>4</v>
      </c>
      <c r="S91" s="7"/>
      <c r="T91" s="618">
        <f t="shared" si="4"/>
        <v>3</v>
      </c>
      <c r="U91" s="7"/>
      <c r="V91" s="7"/>
      <c r="W91" s="7"/>
      <c r="X91" s="7"/>
      <c r="Y91" s="7"/>
      <c r="Z91" s="7"/>
    </row>
    <row r="92" spans="1:26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4"/>
      <c r="G92" s="213"/>
      <c r="H92" s="213"/>
      <c r="I92" s="372"/>
      <c r="J92" s="259"/>
      <c r="K92" s="213"/>
      <c r="L92" s="643"/>
      <c r="M92" s="616">
        <f t="shared" si="1"/>
        <v>0</v>
      </c>
      <c r="N92" s="633"/>
      <c r="O92" s="636"/>
      <c r="P92" s="636"/>
      <c r="Q92" s="7"/>
      <c r="R92" s="699"/>
      <c r="S92" s="7"/>
      <c r="T92" s="618">
        <f t="shared" si="4"/>
        <v>0</v>
      </c>
      <c r="U92" s="7"/>
      <c r="V92" s="7"/>
      <c r="W92" s="7"/>
      <c r="X92" s="7"/>
      <c r="Y92" s="7"/>
      <c r="Z92" s="7"/>
    </row>
    <row r="93" spans="1:26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4"/>
      <c r="G93" s="213"/>
      <c r="H93" s="213"/>
      <c r="I93" s="372"/>
      <c r="J93" s="259"/>
      <c r="K93" s="213"/>
      <c r="L93" s="643"/>
      <c r="M93" s="616">
        <f t="shared" si="1"/>
        <v>0</v>
      </c>
      <c r="N93" s="633"/>
      <c r="O93" s="636"/>
      <c r="P93" s="636"/>
      <c r="Q93" s="7"/>
      <c r="R93" s="699"/>
      <c r="S93" s="7"/>
      <c r="T93" s="618">
        <f t="shared" si="4"/>
        <v>0</v>
      </c>
      <c r="U93" s="7"/>
      <c r="V93" s="7"/>
      <c r="W93" s="7"/>
      <c r="X93" s="7"/>
      <c r="Y93" s="7"/>
      <c r="Z93" s="7"/>
    </row>
    <row r="94" spans="1:26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>
        <v>1</v>
      </c>
      <c r="F94" s="214"/>
      <c r="G94" s="213"/>
      <c r="H94" s="213"/>
      <c r="I94" s="372"/>
      <c r="J94" s="259"/>
      <c r="K94" s="213"/>
      <c r="L94" s="643"/>
      <c r="M94" s="616">
        <f t="shared" si="1"/>
        <v>1</v>
      </c>
      <c r="N94" s="633"/>
      <c r="O94" s="636"/>
      <c r="P94" s="636"/>
      <c r="Q94" s="7"/>
      <c r="R94" s="699"/>
      <c r="S94" s="7"/>
      <c r="T94" s="618"/>
      <c r="U94" s="7"/>
      <c r="V94" s="7"/>
      <c r="W94" s="7"/>
      <c r="X94" s="7"/>
      <c r="Y94" s="7"/>
      <c r="Z94" s="7"/>
    </row>
    <row r="95" spans="1:26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4"/>
      <c r="G95" s="213"/>
      <c r="H95" s="213"/>
      <c r="I95" s="372"/>
      <c r="J95" s="259"/>
      <c r="K95" s="213"/>
      <c r="L95" s="643"/>
      <c r="M95" s="616">
        <f t="shared" si="1"/>
        <v>0</v>
      </c>
      <c r="N95" s="633"/>
      <c r="O95" s="636"/>
      <c r="P95" s="636"/>
      <c r="Q95" s="7"/>
      <c r="R95" s="699"/>
      <c r="S95" s="7"/>
      <c r="T95" s="618">
        <f t="shared" ref="T95:T103" si="5">R95-M95</f>
        <v>0</v>
      </c>
      <c r="U95" s="7"/>
      <c r="V95" s="7"/>
      <c r="W95" s="7"/>
      <c r="X95" s="7"/>
      <c r="Y95" s="7"/>
      <c r="Z95" s="7"/>
    </row>
    <row r="96" spans="1:26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4"/>
      <c r="G96" s="213"/>
      <c r="H96" s="213"/>
      <c r="I96" s="372"/>
      <c r="J96" s="259"/>
      <c r="K96" s="213"/>
      <c r="L96" s="643"/>
      <c r="M96" s="616">
        <f t="shared" si="1"/>
        <v>0</v>
      </c>
      <c r="N96" s="633"/>
      <c r="O96" s="636"/>
      <c r="P96" s="636"/>
      <c r="Q96" s="7"/>
      <c r="R96" s="699"/>
      <c r="S96" s="7"/>
      <c r="T96" s="618">
        <f t="shared" si="5"/>
        <v>0</v>
      </c>
      <c r="U96" s="7"/>
      <c r="V96" s="7"/>
      <c r="W96" s="7"/>
      <c r="X96" s="7"/>
      <c r="Y96" s="7"/>
      <c r="Z96" s="7"/>
    </row>
    <row r="97" spans="1:26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4"/>
      <c r="G97" s="213"/>
      <c r="H97" s="213"/>
      <c r="I97" s="372"/>
      <c r="J97" s="259"/>
      <c r="K97" s="213"/>
      <c r="L97" s="643"/>
      <c r="M97" s="616">
        <f t="shared" si="1"/>
        <v>0</v>
      </c>
      <c r="N97" s="633"/>
      <c r="O97" s="636"/>
      <c r="P97" s="636"/>
      <c r="Q97" s="7"/>
      <c r="R97" s="699"/>
      <c r="S97" s="7"/>
      <c r="T97" s="618">
        <f t="shared" si="5"/>
        <v>0</v>
      </c>
      <c r="U97" s="7"/>
      <c r="V97" s="7"/>
      <c r="W97" s="7"/>
      <c r="X97" s="7"/>
      <c r="Y97" s="7"/>
      <c r="Z97" s="7"/>
    </row>
    <row r="98" spans="1:26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4"/>
      <c r="G98" s="213"/>
      <c r="H98" s="213"/>
      <c r="I98" s="372"/>
      <c r="J98" s="259"/>
      <c r="K98" s="213"/>
      <c r="L98" s="643"/>
      <c r="M98" s="616">
        <f t="shared" si="1"/>
        <v>0</v>
      </c>
      <c r="N98" s="633"/>
      <c r="O98" s="636"/>
      <c r="P98" s="636"/>
      <c r="Q98" s="7"/>
      <c r="R98" s="699"/>
      <c r="S98" s="7"/>
      <c r="T98" s="618">
        <f t="shared" si="5"/>
        <v>0</v>
      </c>
      <c r="U98" s="7"/>
      <c r="V98" s="7"/>
      <c r="W98" s="7"/>
      <c r="X98" s="7"/>
      <c r="Y98" s="7"/>
      <c r="Z98" s="7"/>
    </row>
    <row r="99" spans="1:26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4"/>
      <c r="G99" s="213"/>
      <c r="H99" s="213"/>
      <c r="I99" s="372"/>
      <c r="J99" s="259"/>
      <c r="K99" s="213"/>
      <c r="L99" s="643"/>
      <c r="M99" s="616">
        <f t="shared" si="1"/>
        <v>0</v>
      </c>
      <c r="N99" s="633"/>
      <c r="O99" s="636"/>
      <c r="P99" s="636"/>
      <c r="Q99" s="7"/>
      <c r="R99" s="699"/>
      <c r="S99" s="7"/>
      <c r="T99" s="618">
        <f t="shared" si="5"/>
        <v>0</v>
      </c>
      <c r="U99" s="7"/>
      <c r="V99" s="7"/>
      <c r="W99" s="7"/>
      <c r="X99" s="7"/>
      <c r="Y99" s="7"/>
      <c r="Z99" s="7"/>
    </row>
    <row r="100" spans="1:26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4"/>
      <c r="G100" s="213"/>
      <c r="H100" s="213"/>
      <c r="I100" s="372"/>
      <c r="J100" s="259"/>
      <c r="K100" s="213"/>
      <c r="L100" s="643"/>
      <c r="M100" s="616">
        <f t="shared" si="1"/>
        <v>0</v>
      </c>
      <c r="N100" s="633"/>
      <c r="O100" s="636"/>
      <c r="P100" s="636"/>
      <c r="Q100" s="7"/>
      <c r="R100" s="699"/>
      <c r="S100" s="7"/>
      <c r="T100" s="618">
        <f t="shared" si="5"/>
        <v>0</v>
      </c>
      <c r="U100" s="7"/>
      <c r="V100" s="7"/>
      <c r="W100" s="7"/>
      <c r="X100" s="7"/>
      <c r="Y100" s="7"/>
      <c r="Z100" s="7"/>
    </row>
    <row r="101" spans="1:26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4"/>
      <c r="G101" s="213"/>
      <c r="H101" s="213"/>
      <c r="I101" s="372"/>
      <c r="J101" s="259"/>
      <c r="K101" s="213"/>
      <c r="L101" s="643"/>
      <c r="M101" s="616">
        <f t="shared" si="1"/>
        <v>0</v>
      </c>
      <c r="N101" s="633"/>
      <c r="O101" s="636"/>
      <c r="P101" s="636"/>
      <c r="Q101" s="7"/>
      <c r="R101" s="699"/>
      <c r="S101" s="7"/>
      <c r="T101" s="618">
        <f t="shared" si="5"/>
        <v>0</v>
      </c>
      <c r="U101" s="7"/>
      <c r="V101" s="7"/>
      <c r="W101" s="7"/>
      <c r="X101" s="7"/>
      <c r="Y101" s="7"/>
      <c r="Z101" s="7"/>
    </row>
    <row r="102" spans="1:26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4"/>
      <c r="G102" s="213"/>
      <c r="H102" s="213"/>
      <c r="I102" s="372"/>
      <c r="J102" s="259"/>
      <c r="K102" s="213"/>
      <c r="L102" s="643"/>
      <c r="M102" s="616">
        <f t="shared" si="1"/>
        <v>0</v>
      </c>
      <c r="N102" s="633"/>
      <c r="O102" s="636"/>
      <c r="P102" s="636"/>
      <c r="Q102" s="7"/>
      <c r="R102" s="699"/>
      <c r="S102" s="7"/>
      <c r="T102" s="618">
        <f t="shared" si="5"/>
        <v>0</v>
      </c>
      <c r="U102" s="7"/>
      <c r="V102" s="7"/>
      <c r="W102" s="7"/>
      <c r="X102" s="7"/>
      <c r="Y102" s="7"/>
      <c r="Z102" s="7"/>
    </row>
    <row r="103" spans="1:26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4"/>
      <c r="G103" s="213"/>
      <c r="H103" s="213"/>
      <c r="I103" s="372"/>
      <c r="J103" s="259"/>
      <c r="K103" s="213"/>
      <c r="L103" s="643"/>
      <c r="M103" s="616">
        <f t="shared" si="1"/>
        <v>0</v>
      </c>
      <c r="N103" s="650" t="s">
        <v>1579</v>
      </c>
      <c r="O103" s="640"/>
      <c r="P103" s="640"/>
      <c r="Q103" s="7"/>
      <c r="R103" s="699"/>
      <c r="S103" s="7"/>
      <c r="T103" s="618">
        <f t="shared" si="5"/>
        <v>0</v>
      </c>
      <c r="U103" s="7"/>
      <c r="V103" s="7"/>
      <c r="W103" s="7"/>
      <c r="X103" s="7"/>
      <c r="Y103" s="7"/>
      <c r="Z103" s="7"/>
    </row>
    <row r="104" spans="1:26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0.12</v>
      </c>
      <c r="F104" s="214">
        <v>63.1</v>
      </c>
      <c r="G104" s="213">
        <v>1458.72</v>
      </c>
      <c r="H104" s="213">
        <v>12</v>
      </c>
      <c r="I104" s="651">
        <v>76.900000000000006</v>
      </c>
      <c r="J104" s="261">
        <v>140.9</v>
      </c>
      <c r="K104" s="213"/>
      <c r="L104" s="643"/>
      <c r="M104" s="616">
        <f t="shared" si="1"/>
        <v>1751.7400000000002</v>
      </c>
      <c r="N104" s="633">
        <f>M104+M126+M115</f>
        <v>3043.04</v>
      </c>
      <c r="O104" s="636"/>
      <c r="P104" s="636"/>
      <c r="Q104" s="7"/>
      <c r="R104" s="701">
        <v>1151.9000000000001</v>
      </c>
      <c r="S104" s="7"/>
      <c r="T104" s="618"/>
      <c r="U104" s="7"/>
      <c r="V104" s="7"/>
      <c r="W104" s="7"/>
      <c r="X104" s="7"/>
      <c r="Y104" s="7"/>
      <c r="Z104" s="7"/>
    </row>
    <row r="105" spans="1:26" ht="20.25" customHeight="1">
      <c r="A105" s="510"/>
      <c r="B105" s="505" t="s">
        <v>273</v>
      </c>
      <c r="C105" s="653" t="s">
        <v>274</v>
      </c>
      <c r="D105" s="512" t="s">
        <v>271</v>
      </c>
      <c r="E105" s="213">
        <v>0.12</v>
      </c>
      <c r="F105" s="214">
        <v>63.1</v>
      </c>
      <c r="G105" s="213"/>
      <c r="H105" s="213"/>
      <c r="I105" s="663"/>
      <c r="J105" s="259"/>
      <c r="K105" s="213"/>
      <c r="L105" s="643"/>
      <c r="M105" s="616">
        <f t="shared" si="1"/>
        <v>63.22</v>
      </c>
      <c r="N105" s="633"/>
      <c r="O105" s="654"/>
      <c r="P105" s="654"/>
      <c r="Q105" s="7"/>
      <c r="R105" s="701">
        <v>522</v>
      </c>
      <c r="S105" s="7"/>
      <c r="T105" s="618"/>
      <c r="U105" s="7"/>
      <c r="V105" s="7"/>
      <c r="W105" s="7"/>
      <c r="X105" s="7"/>
      <c r="Y105" s="7"/>
      <c r="Z105" s="7"/>
    </row>
    <row r="106" spans="1:26" ht="20.25" customHeight="1">
      <c r="A106" s="503"/>
      <c r="B106" s="483" t="s">
        <v>275</v>
      </c>
      <c r="C106" s="629" t="s">
        <v>131</v>
      </c>
      <c r="D106" s="504" t="s">
        <v>271</v>
      </c>
      <c r="E106" s="213">
        <v>0.12</v>
      </c>
      <c r="F106" s="214"/>
      <c r="G106" s="213"/>
      <c r="H106" s="213"/>
      <c r="I106" s="663"/>
      <c r="J106" s="259"/>
      <c r="K106" s="213"/>
      <c r="L106" s="643"/>
      <c r="M106" s="616">
        <f t="shared" si="1"/>
        <v>0.12</v>
      </c>
      <c r="N106" s="633"/>
      <c r="O106" s="648"/>
      <c r="P106" s="648"/>
      <c r="Q106" s="7"/>
      <c r="R106" s="701">
        <v>251</v>
      </c>
      <c r="S106" s="7"/>
      <c r="T106" s="618"/>
      <c r="U106" s="7"/>
      <c r="V106" s="7"/>
      <c r="W106" s="7"/>
      <c r="X106" s="7"/>
      <c r="Y106" s="7"/>
      <c r="Z106" s="7"/>
    </row>
    <row r="107" spans="1:26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4"/>
      <c r="G107" s="213"/>
      <c r="H107" s="213"/>
      <c r="I107" s="663"/>
      <c r="J107" s="259"/>
      <c r="K107" s="213"/>
      <c r="L107" s="643"/>
      <c r="M107" s="616">
        <f t="shared" si="1"/>
        <v>0</v>
      </c>
      <c r="N107" s="633"/>
      <c r="O107" s="648"/>
      <c r="P107" s="648"/>
      <c r="Q107" s="7"/>
      <c r="R107" s="701">
        <v>17</v>
      </c>
      <c r="S107" s="7"/>
      <c r="T107" s="618"/>
      <c r="U107" s="7"/>
      <c r="V107" s="7"/>
      <c r="W107" s="7"/>
      <c r="X107" s="7"/>
      <c r="Y107" s="7"/>
      <c r="Z107" s="7"/>
    </row>
    <row r="108" spans="1:26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4"/>
      <c r="G108" s="213"/>
      <c r="H108" s="213"/>
      <c r="I108" s="663"/>
      <c r="J108" s="259"/>
      <c r="K108" s="213"/>
      <c r="L108" s="643"/>
      <c r="M108" s="616">
        <f t="shared" si="1"/>
        <v>0</v>
      </c>
      <c r="N108" s="633"/>
      <c r="O108" s="648"/>
      <c r="P108" s="648"/>
      <c r="Q108" s="7"/>
      <c r="R108" s="701">
        <v>26</v>
      </c>
      <c r="S108" s="7"/>
      <c r="T108" s="618"/>
      <c r="U108" s="7"/>
      <c r="V108" s="7"/>
      <c r="W108" s="7"/>
      <c r="X108" s="7"/>
      <c r="Y108" s="7"/>
      <c r="Z108" s="7"/>
    </row>
    <row r="109" spans="1:26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4">
        <v>63.1</v>
      </c>
      <c r="G109" s="213"/>
      <c r="H109" s="213"/>
      <c r="I109" s="663"/>
      <c r="J109" s="259"/>
      <c r="K109" s="213"/>
      <c r="L109" s="643"/>
      <c r="M109" s="616">
        <f t="shared" si="1"/>
        <v>63.1</v>
      </c>
      <c r="N109" s="633"/>
      <c r="O109" s="648"/>
      <c r="P109" s="648"/>
      <c r="Q109" s="7"/>
      <c r="R109" s="701">
        <v>229</v>
      </c>
      <c r="S109" s="7"/>
      <c r="T109" s="618"/>
      <c r="U109" s="7"/>
      <c r="V109" s="7"/>
      <c r="W109" s="7"/>
      <c r="X109" s="7"/>
      <c r="Y109" s="7"/>
      <c r="Z109" s="7"/>
    </row>
    <row r="110" spans="1:26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4"/>
      <c r="G110" s="213"/>
      <c r="H110" s="213"/>
      <c r="I110" s="663"/>
      <c r="J110" s="259"/>
      <c r="K110" s="213"/>
      <c r="L110" s="643"/>
      <c r="M110" s="616">
        <f t="shared" si="1"/>
        <v>0</v>
      </c>
      <c r="N110" s="633"/>
      <c r="O110" s="654"/>
      <c r="P110" s="654"/>
      <c r="Q110" s="7"/>
      <c r="R110" s="701">
        <v>496</v>
      </c>
      <c r="S110" s="7"/>
      <c r="T110" s="618">
        <f t="shared" ref="T110:T114" si="6">R110-M110</f>
        <v>496</v>
      </c>
      <c r="U110" s="7"/>
      <c r="V110" s="7"/>
      <c r="W110" s="7"/>
      <c r="X110" s="7"/>
      <c r="Y110" s="7"/>
      <c r="Z110" s="7"/>
    </row>
    <row r="111" spans="1:26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4"/>
      <c r="G111" s="213"/>
      <c r="H111" s="213"/>
      <c r="I111" s="663"/>
      <c r="J111" s="259"/>
      <c r="K111" s="213"/>
      <c r="L111" s="643"/>
      <c r="M111" s="616">
        <f t="shared" si="1"/>
        <v>0</v>
      </c>
      <c r="N111" s="633"/>
      <c r="O111" s="634"/>
      <c r="P111" s="634"/>
      <c r="Q111" s="7"/>
      <c r="R111" s="701">
        <v>173</v>
      </c>
      <c r="S111" s="7"/>
      <c r="T111" s="618">
        <f t="shared" si="6"/>
        <v>173</v>
      </c>
      <c r="U111" s="7"/>
      <c r="V111" s="7"/>
      <c r="W111" s="7"/>
      <c r="X111" s="7"/>
      <c r="Y111" s="7"/>
      <c r="Z111" s="7"/>
    </row>
    <row r="112" spans="1:26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4"/>
      <c r="G112" s="213"/>
      <c r="H112" s="213"/>
      <c r="I112" s="663"/>
      <c r="J112" s="259"/>
      <c r="K112" s="213"/>
      <c r="L112" s="643"/>
      <c r="M112" s="616">
        <f t="shared" si="1"/>
        <v>0</v>
      </c>
      <c r="N112" s="633"/>
      <c r="O112" s="634"/>
      <c r="P112" s="634"/>
      <c r="Q112" s="7"/>
      <c r="R112" s="701">
        <v>179</v>
      </c>
      <c r="S112" s="7"/>
      <c r="T112" s="618">
        <f t="shared" si="6"/>
        <v>179</v>
      </c>
      <c r="U112" s="7"/>
      <c r="V112" s="7"/>
      <c r="W112" s="7"/>
      <c r="X112" s="7"/>
      <c r="Y112" s="7"/>
      <c r="Z112" s="7"/>
    </row>
    <row r="113" spans="1:26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4"/>
      <c r="G113" s="213"/>
      <c r="H113" s="213"/>
      <c r="I113" s="663"/>
      <c r="J113" s="259"/>
      <c r="K113" s="213"/>
      <c r="L113" s="643"/>
      <c r="M113" s="616">
        <f t="shared" si="1"/>
        <v>0</v>
      </c>
      <c r="N113" s="633"/>
      <c r="O113" s="634"/>
      <c r="P113" s="634"/>
      <c r="Q113" s="7"/>
      <c r="R113" s="701">
        <v>40</v>
      </c>
      <c r="S113" s="7"/>
      <c r="T113" s="618">
        <f t="shared" si="6"/>
        <v>40</v>
      </c>
      <c r="U113" s="7"/>
      <c r="V113" s="7"/>
      <c r="W113" s="7"/>
      <c r="X113" s="7"/>
      <c r="Y113" s="7"/>
      <c r="Z113" s="7"/>
    </row>
    <row r="114" spans="1:26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4"/>
      <c r="G114" s="213"/>
      <c r="H114" s="213"/>
      <c r="I114" s="663"/>
      <c r="J114" s="259"/>
      <c r="K114" s="213"/>
      <c r="L114" s="643"/>
      <c r="M114" s="616">
        <f t="shared" si="1"/>
        <v>0</v>
      </c>
      <c r="N114" s="633"/>
      <c r="O114" s="634"/>
      <c r="P114" s="634"/>
      <c r="Q114" s="7"/>
      <c r="R114" s="701">
        <v>104</v>
      </c>
      <c r="S114" s="7"/>
      <c r="T114" s="618">
        <f t="shared" si="6"/>
        <v>104</v>
      </c>
      <c r="U114" s="7"/>
      <c r="V114" s="7"/>
      <c r="W114" s="7"/>
      <c r="X114" s="7"/>
      <c r="Y114" s="7"/>
      <c r="Z114" s="7"/>
    </row>
    <row r="115" spans="1:26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4">
        <f t="shared" ref="F115:F116" si="7">281+37+451+65+6+13+175</f>
        <v>1028</v>
      </c>
      <c r="G115" s="213"/>
      <c r="H115" s="213"/>
      <c r="I115" s="663"/>
      <c r="J115" s="259"/>
      <c r="K115" s="213"/>
      <c r="L115" s="643"/>
      <c r="M115" s="616">
        <f t="shared" si="1"/>
        <v>1028</v>
      </c>
      <c r="N115" s="633"/>
      <c r="O115" s="636"/>
      <c r="P115" s="636"/>
      <c r="Q115" s="7"/>
      <c r="R115" s="701">
        <v>36.5</v>
      </c>
      <c r="S115" s="7"/>
      <c r="T115" s="618"/>
      <c r="U115" s="7"/>
      <c r="V115" s="7"/>
      <c r="W115" s="7"/>
      <c r="X115" s="7"/>
      <c r="Y115" s="7"/>
      <c r="Z115" s="7"/>
    </row>
    <row r="116" spans="1:26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4">
        <f t="shared" si="7"/>
        <v>1028</v>
      </c>
      <c r="G116" s="213"/>
      <c r="H116" s="213"/>
      <c r="I116" s="663"/>
      <c r="J116" s="259"/>
      <c r="K116" s="213"/>
      <c r="L116" s="643"/>
      <c r="M116" s="616">
        <f t="shared" si="1"/>
        <v>1028</v>
      </c>
      <c r="N116" s="633"/>
      <c r="O116" s="654"/>
      <c r="P116" s="654"/>
      <c r="Q116" s="7"/>
      <c r="R116" s="701">
        <v>37</v>
      </c>
      <c r="S116" s="7"/>
      <c r="T116" s="618">
        <f t="shared" ref="T116:T125" si="8">R116-M116</f>
        <v>-991</v>
      </c>
      <c r="U116" s="7"/>
      <c r="V116" s="7"/>
      <c r="W116" s="7"/>
      <c r="X116" s="7"/>
      <c r="Y116" s="7"/>
      <c r="Z116" s="7"/>
    </row>
    <row r="117" spans="1:26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4"/>
      <c r="G117" s="213"/>
      <c r="H117" s="213"/>
      <c r="I117" s="663"/>
      <c r="J117" s="259"/>
      <c r="K117" s="213"/>
      <c r="L117" s="643"/>
      <c r="M117" s="616">
        <f t="shared" si="1"/>
        <v>0</v>
      </c>
      <c r="N117" s="633"/>
      <c r="O117" s="648"/>
      <c r="P117" s="648"/>
      <c r="Q117" s="7"/>
      <c r="R117" s="699"/>
      <c r="S117" s="7"/>
      <c r="T117" s="618">
        <f t="shared" si="8"/>
        <v>0</v>
      </c>
      <c r="U117" s="7"/>
      <c r="V117" s="7"/>
      <c r="W117" s="7"/>
      <c r="X117" s="7"/>
      <c r="Y117" s="7"/>
      <c r="Z117" s="7"/>
    </row>
    <row r="118" spans="1:26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4"/>
      <c r="G118" s="213"/>
      <c r="H118" s="213"/>
      <c r="I118" s="663"/>
      <c r="J118" s="259"/>
      <c r="K118" s="213"/>
      <c r="L118" s="643"/>
      <c r="M118" s="616">
        <f t="shared" si="1"/>
        <v>0</v>
      </c>
      <c r="N118" s="633"/>
      <c r="O118" s="648"/>
      <c r="P118" s="648"/>
      <c r="Q118" s="7"/>
      <c r="R118" s="701">
        <v>37</v>
      </c>
      <c r="S118" s="7"/>
      <c r="T118" s="618">
        <f t="shared" si="8"/>
        <v>37</v>
      </c>
      <c r="U118" s="7"/>
      <c r="V118" s="7"/>
      <c r="W118" s="7"/>
      <c r="X118" s="7"/>
      <c r="Y118" s="7"/>
      <c r="Z118" s="7"/>
    </row>
    <row r="119" spans="1:26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4"/>
      <c r="G119" s="213"/>
      <c r="H119" s="213"/>
      <c r="I119" s="663"/>
      <c r="J119" s="259"/>
      <c r="K119" s="213"/>
      <c r="L119" s="643"/>
      <c r="M119" s="616">
        <f t="shared" si="1"/>
        <v>0</v>
      </c>
      <c r="N119" s="633"/>
      <c r="O119" s="648"/>
      <c r="P119" s="648"/>
      <c r="Q119" s="7"/>
      <c r="R119" s="699"/>
      <c r="S119" s="7"/>
      <c r="T119" s="618">
        <f t="shared" si="8"/>
        <v>0</v>
      </c>
      <c r="U119" s="7"/>
      <c r="V119" s="7"/>
      <c r="W119" s="7"/>
      <c r="X119" s="7"/>
      <c r="Y119" s="7"/>
      <c r="Z119" s="7"/>
    </row>
    <row r="120" spans="1:26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4">
        <f>281+37+451+65+6+13+175</f>
        <v>1028</v>
      </c>
      <c r="G120" s="213"/>
      <c r="H120" s="213"/>
      <c r="I120" s="663"/>
      <c r="J120" s="259"/>
      <c r="K120" s="213"/>
      <c r="L120" s="643"/>
      <c r="M120" s="616">
        <f t="shared" si="1"/>
        <v>1028</v>
      </c>
      <c r="N120" s="633"/>
      <c r="O120" s="648"/>
      <c r="P120" s="648"/>
      <c r="Q120" s="7"/>
      <c r="R120" s="699"/>
      <c r="S120" s="7"/>
      <c r="T120" s="618">
        <f t="shared" si="8"/>
        <v>-1028</v>
      </c>
      <c r="U120" s="7"/>
      <c r="V120" s="7"/>
      <c r="W120" s="7"/>
      <c r="X120" s="7"/>
      <c r="Y120" s="7"/>
      <c r="Z120" s="7"/>
    </row>
    <row r="121" spans="1:26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4"/>
      <c r="G121" s="213"/>
      <c r="H121" s="213"/>
      <c r="I121" s="663"/>
      <c r="J121" s="259"/>
      <c r="K121" s="213"/>
      <c r="L121" s="643"/>
      <c r="M121" s="616">
        <f t="shared" si="1"/>
        <v>0</v>
      </c>
      <c r="N121" s="633"/>
      <c r="O121" s="654"/>
      <c r="P121" s="654"/>
      <c r="Q121" s="7"/>
      <c r="R121" s="701"/>
      <c r="S121" s="7"/>
      <c r="T121" s="618">
        <f t="shared" si="8"/>
        <v>0</v>
      </c>
      <c r="U121" s="7"/>
      <c r="V121" s="7"/>
      <c r="W121" s="7"/>
      <c r="X121" s="7"/>
      <c r="Y121" s="7"/>
      <c r="Z121" s="7"/>
    </row>
    <row r="122" spans="1:26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4"/>
      <c r="G122" s="213"/>
      <c r="H122" s="213"/>
      <c r="I122" s="663"/>
      <c r="J122" s="259"/>
      <c r="K122" s="213"/>
      <c r="L122" s="643"/>
      <c r="M122" s="616">
        <f t="shared" si="1"/>
        <v>0</v>
      </c>
      <c r="N122" s="633"/>
      <c r="O122" s="648"/>
      <c r="P122" s="648"/>
      <c r="Q122" s="7"/>
      <c r="R122" s="701"/>
      <c r="S122" s="7"/>
      <c r="T122" s="618">
        <f t="shared" si="8"/>
        <v>0</v>
      </c>
      <c r="U122" s="7"/>
      <c r="V122" s="7"/>
      <c r="W122" s="7"/>
      <c r="X122" s="7"/>
      <c r="Y122" s="7"/>
      <c r="Z122" s="7"/>
    </row>
    <row r="123" spans="1:26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4"/>
      <c r="G123" s="213"/>
      <c r="H123" s="213"/>
      <c r="I123" s="663"/>
      <c r="J123" s="259"/>
      <c r="K123" s="213"/>
      <c r="L123" s="643"/>
      <c r="M123" s="616">
        <f t="shared" si="1"/>
        <v>0</v>
      </c>
      <c r="N123" s="633"/>
      <c r="O123" s="648"/>
      <c r="P123" s="648"/>
      <c r="Q123" s="7"/>
      <c r="R123" s="699"/>
      <c r="S123" s="7"/>
      <c r="T123" s="618">
        <f t="shared" si="8"/>
        <v>0</v>
      </c>
      <c r="U123" s="7"/>
      <c r="V123" s="7"/>
      <c r="W123" s="7"/>
      <c r="X123" s="7"/>
      <c r="Y123" s="7"/>
      <c r="Z123" s="7"/>
    </row>
    <row r="124" spans="1:26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4"/>
      <c r="G124" s="213"/>
      <c r="H124" s="213"/>
      <c r="I124" s="663"/>
      <c r="J124" s="259"/>
      <c r="K124" s="213"/>
      <c r="L124" s="643"/>
      <c r="M124" s="616">
        <f t="shared" si="1"/>
        <v>0</v>
      </c>
      <c r="N124" s="633"/>
      <c r="O124" s="648"/>
      <c r="P124" s="648"/>
      <c r="Q124" s="7"/>
      <c r="R124" s="699"/>
      <c r="S124" s="7"/>
      <c r="T124" s="618">
        <f t="shared" si="8"/>
        <v>0</v>
      </c>
      <c r="U124" s="7"/>
      <c r="V124" s="7"/>
      <c r="W124" s="7"/>
      <c r="X124" s="7"/>
      <c r="Y124" s="7"/>
      <c r="Z124" s="7"/>
    </row>
    <row r="125" spans="1:26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4"/>
      <c r="G125" s="213"/>
      <c r="H125" s="213"/>
      <c r="I125" s="663"/>
      <c r="J125" s="259"/>
      <c r="K125" s="213"/>
      <c r="L125" s="643"/>
      <c r="M125" s="616">
        <f t="shared" si="1"/>
        <v>0</v>
      </c>
      <c r="N125" s="633"/>
      <c r="O125" s="648"/>
      <c r="P125" s="648"/>
      <c r="Q125" s="7"/>
      <c r="R125" s="699"/>
      <c r="S125" s="7"/>
      <c r="T125" s="618">
        <f t="shared" si="8"/>
        <v>0</v>
      </c>
      <c r="U125" s="7"/>
      <c r="V125" s="7"/>
      <c r="W125" s="7"/>
      <c r="X125" s="7"/>
      <c r="Y125" s="7"/>
      <c r="Z125" s="7"/>
    </row>
    <row r="126" spans="1:26" ht="20.25" customHeight="1">
      <c r="A126" s="486"/>
      <c r="B126" s="487" t="s">
        <v>299</v>
      </c>
      <c r="C126" s="635" t="s">
        <v>300</v>
      </c>
      <c r="D126" s="412" t="s">
        <v>271</v>
      </c>
      <c r="E126" s="213"/>
      <c r="F126" s="214"/>
      <c r="G126" s="213">
        <v>46.2</v>
      </c>
      <c r="H126" s="213">
        <v>10</v>
      </c>
      <c r="I126" s="663"/>
      <c r="J126" s="216">
        <v>207.1</v>
      </c>
      <c r="K126" s="213"/>
      <c r="L126" s="643"/>
      <c r="M126" s="616">
        <f t="shared" si="1"/>
        <v>263.3</v>
      </c>
      <c r="N126" s="633"/>
      <c r="O126" s="636"/>
      <c r="P126" s="636"/>
      <c r="Q126" s="7"/>
      <c r="R126" s="702">
        <v>466.1</v>
      </c>
      <c r="S126" s="7"/>
      <c r="T126" s="618"/>
      <c r="U126" s="7"/>
      <c r="V126" s="7"/>
      <c r="W126" s="7"/>
      <c r="X126" s="7"/>
      <c r="Y126" s="7"/>
      <c r="Z126" s="7"/>
    </row>
    <row r="127" spans="1:26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4"/>
      <c r="G127" s="213"/>
      <c r="H127" s="213"/>
      <c r="I127" s="663"/>
      <c r="J127" s="259"/>
      <c r="K127" s="213"/>
      <c r="L127" s="643"/>
      <c r="M127" s="616">
        <f t="shared" si="1"/>
        <v>0</v>
      </c>
      <c r="N127" s="633"/>
      <c r="O127" s="634"/>
      <c r="P127" s="634"/>
      <c r="Q127" s="7"/>
      <c r="R127" s="701">
        <v>51</v>
      </c>
      <c r="S127" s="7"/>
      <c r="T127" s="618"/>
      <c r="U127" s="7"/>
      <c r="V127" s="7"/>
      <c r="W127" s="7"/>
      <c r="X127" s="7"/>
      <c r="Y127" s="7"/>
      <c r="Z127" s="7"/>
    </row>
    <row r="128" spans="1:26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4"/>
      <c r="G128" s="213"/>
      <c r="H128" s="213"/>
      <c r="I128" s="663"/>
      <c r="J128" s="259"/>
      <c r="K128" s="213"/>
      <c r="L128" s="643"/>
      <c r="M128" s="616">
        <f t="shared" si="1"/>
        <v>0</v>
      </c>
      <c r="N128" s="633"/>
      <c r="O128" s="634"/>
      <c r="P128" s="634"/>
      <c r="Q128" s="7"/>
      <c r="R128" s="701">
        <v>40</v>
      </c>
      <c r="S128" s="7"/>
      <c r="T128" s="618">
        <f>R128-M128</f>
        <v>40</v>
      </c>
      <c r="U128" s="7"/>
      <c r="V128" s="7"/>
      <c r="W128" s="7"/>
      <c r="X128" s="7"/>
      <c r="Y128" s="7"/>
      <c r="Z128" s="7"/>
    </row>
    <row r="129" spans="1:26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4"/>
      <c r="G129" s="213"/>
      <c r="H129" s="213"/>
      <c r="I129" s="663"/>
      <c r="J129" s="259"/>
      <c r="K129" s="213"/>
      <c r="L129" s="643"/>
      <c r="M129" s="616">
        <f t="shared" si="1"/>
        <v>0</v>
      </c>
      <c r="N129" s="633"/>
      <c r="O129" s="634"/>
      <c r="P129" s="634"/>
      <c r="Q129" s="7"/>
      <c r="R129" s="701">
        <v>47</v>
      </c>
      <c r="S129" s="7"/>
      <c r="T129" s="618"/>
      <c r="U129" s="7"/>
      <c r="V129" s="7"/>
      <c r="W129" s="7"/>
      <c r="X129" s="7"/>
      <c r="Y129" s="7"/>
      <c r="Z129" s="7"/>
    </row>
    <row r="130" spans="1:26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4"/>
      <c r="G130" s="213"/>
      <c r="H130" s="213"/>
      <c r="I130" s="663"/>
      <c r="J130" s="259"/>
      <c r="K130" s="213"/>
      <c r="L130" s="643"/>
      <c r="M130" s="616">
        <f t="shared" si="1"/>
        <v>0</v>
      </c>
      <c r="N130" s="633"/>
      <c r="O130" s="634"/>
      <c r="P130" s="634"/>
      <c r="Q130" s="7"/>
      <c r="R130" s="701">
        <v>81</v>
      </c>
      <c r="S130" s="7"/>
      <c r="T130" s="618"/>
      <c r="U130" s="7"/>
      <c r="V130" s="7"/>
      <c r="W130" s="7"/>
      <c r="X130" s="7"/>
      <c r="Y130" s="7"/>
      <c r="Z130" s="7"/>
    </row>
    <row r="131" spans="1:26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4"/>
      <c r="G131" s="213"/>
      <c r="H131" s="213"/>
      <c r="I131" s="663"/>
      <c r="J131" s="259"/>
      <c r="K131" s="213"/>
      <c r="L131" s="643"/>
      <c r="M131" s="616">
        <f t="shared" si="1"/>
        <v>0</v>
      </c>
      <c r="N131" s="633"/>
      <c r="O131" s="636"/>
      <c r="P131" s="636"/>
      <c r="Q131" s="7"/>
      <c r="R131" s="699"/>
      <c r="S131" s="7"/>
      <c r="T131" s="618">
        <f t="shared" ref="T131:T135" si="9">R131-M131</f>
        <v>0</v>
      </c>
      <c r="U131" s="7"/>
      <c r="V131" s="7"/>
      <c r="W131" s="7"/>
      <c r="X131" s="7"/>
      <c r="Y131" s="7"/>
      <c r="Z131" s="7"/>
    </row>
    <row r="132" spans="1:26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4"/>
      <c r="G132" s="213"/>
      <c r="H132" s="213"/>
      <c r="I132" s="663"/>
      <c r="J132" s="259"/>
      <c r="K132" s="213"/>
      <c r="L132" s="643"/>
      <c r="M132" s="616">
        <f t="shared" si="1"/>
        <v>0</v>
      </c>
      <c r="N132" s="633"/>
      <c r="O132" s="634"/>
      <c r="P132" s="634"/>
      <c r="Q132" s="7"/>
      <c r="R132" s="699"/>
      <c r="S132" s="7"/>
      <c r="T132" s="618">
        <f t="shared" si="9"/>
        <v>0</v>
      </c>
      <c r="U132" s="7"/>
      <c r="V132" s="7"/>
      <c r="W132" s="7"/>
      <c r="X132" s="7"/>
      <c r="Y132" s="7"/>
      <c r="Z132" s="7"/>
    </row>
    <row r="133" spans="1:26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4"/>
      <c r="G133" s="213"/>
      <c r="H133" s="213"/>
      <c r="I133" s="663"/>
      <c r="J133" s="259"/>
      <c r="K133" s="213"/>
      <c r="L133" s="643"/>
      <c r="M133" s="616">
        <f t="shared" si="1"/>
        <v>0</v>
      </c>
      <c r="N133" s="633"/>
      <c r="O133" s="634"/>
      <c r="P133" s="634"/>
      <c r="Q133" s="7"/>
      <c r="R133" s="699"/>
      <c r="S133" s="7"/>
      <c r="T133" s="618">
        <f t="shared" si="9"/>
        <v>0</v>
      </c>
      <c r="U133" s="7"/>
      <c r="V133" s="7"/>
      <c r="W133" s="7"/>
      <c r="X133" s="7"/>
      <c r="Y133" s="7"/>
      <c r="Z133" s="7"/>
    </row>
    <row r="134" spans="1:26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4"/>
      <c r="G134" s="213"/>
      <c r="H134" s="213"/>
      <c r="I134" s="663"/>
      <c r="J134" s="259"/>
      <c r="K134" s="213"/>
      <c r="L134" s="643"/>
      <c r="M134" s="616">
        <f t="shared" si="1"/>
        <v>0</v>
      </c>
      <c r="N134" s="633"/>
      <c r="O134" s="634"/>
      <c r="P134" s="634"/>
      <c r="Q134" s="7"/>
      <c r="R134" s="699"/>
      <c r="S134" s="7"/>
      <c r="T134" s="618">
        <f t="shared" si="9"/>
        <v>0</v>
      </c>
      <c r="U134" s="7"/>
      <c r="V134" s="7"/>
      <c r="W134" s="7"/>
      <c r="X134" s="7"/>
      <c r="Y134" s="7"/>
      <c r="Z134" s="7"/>
    </row>
    <row r="135" spans="1:26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4"/>
      <c r="G135" s="213"/>
      <c r="H135" s="213"/>
      <c r="I135" s="663"/>
      <c r="J135" s="259"/>
      <c r="K135" s="213"/>
      <c r="L135" s="643"/>
      <c r="M135" s="616">
        <f t="shared" si="1"/>
        <v>0</v>
      </c>
      <c r="N135" s="633"/>
      <c r="O135" s="634"/>
      <c r="P135" s="634"/>
      <c r="Q135" s="7"/>
      <c r="R135" s="699"/>
      <c r="S135" s="7"/>
      <c r="T135" s="618">
        <f t="shared" si="9"/>
        <v>0</v>
      </c>
      <c r="U135" s="7"/>
      <c r="V135" s="7"/>
      <c r="W135" s="7"/>
      <c r="X135" s="7"/>
      <c r="Y135" s="7"/>
      <c r="Z135" s="7"/>
    </row>
    <row r="136" spans="1:26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4"/>
      <c r="G136" s="213"/>
      <c r="H136" s="213"/>
      <c r="I136" s="651"/>
      <c r="J136" s="259"/>
      <c r="K136" s="213"/>
      <c r="L136" s="643"/>
      <c r="M136" s="616">
        <f t="shared" si="1"/>
        <v>0</v>
      </c>
      <c r="N136" s="633"/>
      <c r="O136" s="636"/>
      <c r="P136" s="636"/>
      <c r="Q136" s="7"/>
      <c r="R136" s="702"/>
      <c r="S136" s="7"/>
      <c r="T136" s="618"/>
      <c r="U136" s="7"/>
      <c r="V136" s="7"/>
      <c r="W136" s="7"/>
      <c r="X136" s="7"/>
      <c r="Y136" s="7"/>
      <c r="Z136" s="7"/>
    </row>
    <row r="137" spans="1:26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4"/>
      <c r="G137" s="213"/>
      <c r="H137" s="213"/>
      <c r="I137" s="663"/>
      <c r="J137" s="259"/>
      <c r="K137" s="213"/>
      <c r="L137" s="643"/>
      <c r="M137" s="616">
        <f t="shared" si="1"/>
        <v>0</v>
      </c>
      <c r="N137" s="633"/>
      <c r="O137" s="648"/>
      <c r="P137" s="648"/>
      <c r="Q137" s="7"/>
      <c r="R137" s="701"/>
      <c r="S137" s="7"/>
      <c r="T137" s="618"/>
      <c r="U137" s="7"/>
      <c r="V137" s="7"/>
      <c r="W137" s="7"/>
      <c r="X137" s="7"/>
      <c r="Y137" s="7"/>
      <c r="Z137" s="7"/>
    </row>
    <row r="138" spans="1:26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4"/>
      <c r="G138" s="213"/>
      <c r="H138" s="213"/>
      <c r="I138" s="663"/>
      <c r="J138" s="259"/>
      <c r="K138" s="213"/>
      <c r="L138" s="643"/>
      <c r="M138" s="616">
        <f t="shared" si="1"/>
        <v>0</v>
      </c>
      <c r="N138" s="633"/>
      <c r="O138" s="648"/>
      <c r="P138" s="648"/>
      <c r="Q138" s="7"/>
      <c r="R138" s="699"/>
      <c r="S138" s="7"/>
      <c r="T138" s="618"/>
      <c r="U138" s="7"/>
      <c r="V138" s="7"/>
      <c r="W138" s="7"/>
      <c r="X138" s="7"/>
      <c r="Y138" s="7"/>
      <c r="Z138" s="7"/>
    </row>
    <row r="139" spans="1:26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4"/>
      <c r="G139" s="213"/>
      <c r="H139" s="213"/>
      <c r="I139" s="663"/>
      <c r="J139" s="259"/>
      <c r="K139" s="213"/>
      <c r="L139" s="643"/>
      <c r="M139" s="616">
        <f t="shared" si="1"/>
        <v>0</v>
      </c>
      <c r="N139" s="633"/>
      <c r="O139" s="648"/>
      <c r="P139" s="648"/>
      <c r="Q139" s="7"/>
      <c r="R139" s="699"/>
      <c r="S139" s="7"/>
      <c r="T139" s="618"/>
      <c r="U139" s="7"/>
      <c r="V139" s="7"/>
      <c r="W139" s="7"/>
      <c r="X139" s="7"/>
      <c r="Y139" s="7"/>
      <c r="Z139" s="7"/>
    </row>
    <row r="140" spans="1:26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4"/>
      <c r="G140" s="213"/>
      <c r="H140" s="213"/>
      <c r="I140" s="663"/>
      <c r="J140" s="259"/>
      <c r="K140" s="213"/>
      <c r="L140" s="643"/>
      <c r="M140" s="616">
        <f t="shared" si="1"/>
        <v>0</v>
      </c>
      <c r="N140" s="633"/>
      <c r="O140" s="648"/>
      <c r="P140" s="648"/>
      <c r="Q140" s="7"/>
      <c r="R140" s="699"/>
      <c r="S140" s="7"/>
      <c r="T140" s="618"/>
      <c r="U140" s="7"/>
      <c r="V140" s="7"/>
      <c r="W140" s="7"/>
      <c r="X140" s="7"/>
      <c r="Y140" s="7"/>
      <c r="Z140" s="7"/>
    </row>
    <row r="141" spans="1:26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4"/>
      <c r="G141" s="213"/>
      <c r="H141" s="213"/>
      <c r="I141" s="663">
        <v>33</v>
      </c>
      <c r="J141" s="259"/>
      <c r="K141" s="213"/>
      <c r="L141" s="643"/>
      <c r="M141" s="616">
        <f t="shared" si="1"/>
        <v>33</v>
      </c>
      <c r="N141" s="633"/>
      <c r="O141" s="636"/>
      <c r="P141" s="636"/>
      <c r="Q141" s="7"/>
      <c r="R141" s="702">
        <v>80</v>
      </c>
      <c r="S141" s="7"/>
      <c r="T141" s="618"/>
      <c r="U141" s="7"/>
      <c r="V141" s="7"/>
      <c r="W141" s="7"/>
      <c r="X141" s="7"/>
      <c r="Y141" s="7"/>
      <c r="Z141" s="7"/>
    </row>
    <row r="142" spans="1:26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4"/>
      <c r="G142" s="213"/>
      <c r="H142" s="213"/>
      <c r="I142" s="370"/>
      <c r="J142" s="259"/>
      <c r="K142" s="213"/>
      <c r="L142" s="643"/>
      <c r="M142" s="616">
        <f t="shared" si="1"/>
        <v>0</v>
      </c>
      <c r="N142" s="633"/>
      <c r="O142" s="648"/>
      <c r="P142" s="648"/>
      <c r="Q142" s="7"/>
      <c r="R142" s="701">
        <v>42</v>
      </c>
      <c r="S142" s="7"/>
      <c r="T142" s="618">
        <f t="shared" ref="T142:T144" si="10">R142-M142</f>
        <v>42</v>
      </c>
      <c r="U142" s="7"/>
      <c r="V142" s="7"/>
      <c r="W142" s="7"/>
      <c r="X142" s="7"/>
      <c r="Y142" s="7"/>
      <c r="Z142" s="7"/>
    </row>
    <row r="143" spans="1:26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4"/>
      <c r="G143" s="213"/>
      <c r="H143" s="213"/>
      <c r="I143" s="370"/>
      <c r="J143" s="259"/>
      <c r="K143" s="213"/>
      <c r="L143" s="643"/>
      <c r="M143" s="616">
        <f t="shared" si="1"/>
        <v>0</v>
      </c>
      <c r="N143" s="633"/>
      <c r="O143" s="648"/>
      <c r="P143" s="648"/>
      <c r="Q143" s="7"/>
      <c r="R143" s="701">
        <v>5</v>
      </c>
      <c r="S143" s="7"/>
      <c r="T143" s="618">
        <f t="shared" si="10"/>
        <v>5</v>
      </c>
      <c r="U143" s="7"/>
      <c r="V143" s="7"/>
      <c r="W143" s="7"/>
      <c r="X143" s="7"/>
      <c r="Y143" s="7"/>
      <c r="Z143" s="7"/>
    </row>
    <row r="144" spans="1:26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4"/>
      <c r="G144" s="213"/>
      <c r="H144" s="213"/>
      <c r="I144" s="370"/>
      <c r="J144" s="259"/>
      <c r="K144" s="213"/>
      <c r="L144" s="643"/>
      <c r="M144" s="616">
        <f t="shared" si="1"/>
        <v>0</v>
      </c>
      <c r="N144" s="633"/>
      <c r="O144" s="648"/>
      <c r="P144" s="648"/>
      <c r="Q144" s="7"/>
      <c r="R144" s="701">
        <v>33</v>
      </c>
      <c r="S144" s="7"/>
      <c r="T144" s="618">
        <f t="shared" si="10"/>
        <v>33</v>
      </c>
      <c r="U144" s="7"/>
      <c r="V144" s="7"/>
      <c r="W144" s="7"/>
      <c r="X144" s="7"/>
      <c r="Y144" s="7"/>
      <c r="Z144" s="7"/>
    </row>
    <row r="145" spans="1:26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4"/>
      <c r="G145" s="213"/>
      <c r="H145" s="213"/>
      <c r="I145" s="370"/>
      <c r="J145" s="259"/>
      <c r="K145" s="213"/>
      <c r="L145" s="643"/>
      <c r="M145" s="616">
        <f t="shared" si="1"/>
        <v>0</v>
      </c>
      <c r="N145" s="633"/>
      <c r="O145" s="648"/>
      <c r="P145" s="648"/>
      <c r="Q145" s="7"/>
      <c r="R145" s="701"/>
      <c r="S145" s="7"/>
      <c r="T145" s="618"/>
      <c r="U145" s="7"/>
      <c r="V145" s="7"/>
      <c r="W145" s="7"/>
      <c r="X145" s="7"/>
      <c r="Y145" s="7"/>
      <c r="Z145" s="7"/>
    </row>
    <row r="146" spans="1:26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4"/>
      <c r="G146" s="213"/>
      <c r="H146" s="213"/>
      <c r="I146" s="372"/>
      <c r="J146" s="259"/>
      <c r="K146" s="213"/>
      <c r="L146" s="643"/>
      <c r="M146" s="616">
        <f t="shared" si="1"/>
        <v>0</v>
      </c>
      <c r="N146" s="633"/>
      <c r="O146" s="636"/>
      <c r="P146" s="636"/>
      <c r="Q146" s="7"/>
      <c r="R146" s="701"/>
      <c r="S146" s="7"/>
      <c r="T146" s="618"/>
      <c r="U146" s="7"/>
      <c r="V146" s="7"/>
      <c r="W146" s="7"/>
      <c r="X146" s="7"/>
      <c r="Y146" s="7"/>
      <c r="Z146" s="7"/>
    </row>
    <row r="147" spans="1:26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4"/>
      <c r="G147" s="213"/>
      <c r="H147" s="213"/>
      <c r="I147" s="372"/>
      <c r="J147" s="259"/>
      <c r="K147" s="213"/>
      <c r="L147" s="643"/>
      <c r="M147" s="616">
        <f t="shared" si="1"/>
        <v>0</v>
      </c>
      <c r="N147" s="633"/>
      <c r="O147" s="634"/>
      <c r="P147" s="634"/>
      <c r="Q147" s="7"/>
      <c r="R147" s="701"/>
      <c r="S147" s="7"/>
      <c r="T147" s="618"/>
      <c r="U147" s="7"/>
      <c r="V147" s="7"/>
      <c r="W147" s="7"/>
      <c r="X147" s="7"/>
      <c r="Y147" s="7"/>
      <c r="Z147" s="7"/>
    </row>
    <row r="148" spans="1:26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4"/>
      <c r="G148" s="213"/>
      <c r="H148" s="213"/>
      <c r="I148" s="372"/>
      <c r="J148" s="259"/>
      <c r="K148" s="213"/>
      <c r="L148" s="643"/>
      <c r="M148" s="616">
        <f t="shared" si="1"/>
        <v>0</v>
      </c>
      <c r="N148" s="633"/>
      <c r="O148" s="634"/>
      <c r="P148" s="634"/>
      <c r="Q148" s="7"/>
      <c r="R148" s="701"/>
      <c r="S148" s="7"/>
      <c r="T148" s="618"/>
      <c r="U148" s="7"/>
      <c r="V148" s="7"/>
      <c r="W148" s="7"/>
      <c r="X148" s="7"/>
      <c r="Y148" s="7"/>
      <c r="Z148" s="7"/>
    </row>
    <row r="149" spans="1:26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4"/>
      <c r="G149" s="213"/>
      <c r="H149" s="213"/>
      <c r="I149" s="372"/>
      <c r="J149" s="259"/>
      <c r="K149" s="213"/>
      <c r="L149" s="643"/>
      <c r="M149" s="616">
        <f t="shared" si="1"/>
        <v>0</v>
      </c>
      <c r="N149" s="633"/>
      <c r="O149" s="634"/>
      <c r="P149" s="634"/>
      <c r="Q149" s="7"/>
      <c r="R149" s="699"/>
      <c r="S149" s="7"/>
      <c r="T149" s="618">
        <f t="shared" ref="T149:T205" si="11">R149-M149</f>
        <v>0</v>
      </c>
      <c r="U149" s="7"/>
      <c r="V149" s="7"/>
      <c r="W149" s="7"/>
      <c r="X149" s="7"/>
      <c r="Y149" s="7"/>
      <c r="Z149" s="7"/>
    </row>
    <row r="150" spans="1:26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4"/>
      <c r="G150" s="213"/>
      <c r="H150" s="213"/>
      <c r="I150" s="372"/>
      <c r="J150" s="259"/>
      <c r="K150" s="213"/>
      <c r="L150" s="643"/>
      <c r="M150" s="616">
        <f t="shared" si="1"/>
        <v>0</v>
      </c>
      <c r="N150" s="633"/>
      <c r="O150" s="634"/>
      <c r="P150" s="634"/>
      <c r="Q150" s="7"/>
      <c r="R150" s="699"/>
      <c r="S150" s="7"/>
      <c r="T150" s="618">
        <f t="shared" si="11"/>
        <v>0</v>
      </c>
      <c r="U150" s="7"/>
      <c r="V150" s="7"/>
      <c r="W150" s="7"/>
      <c r="X150" s="7"/>
      <c r="Y150" s="7"/>
      <c r="Z150" s="7"/>
    </row>
    <row r="151" spans="1:26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4"/>
      <c r="G151" s="213"/>
      <c r="H151" s="213"/>
      <c r="I151" s="372"/>
      <c r="J151" s="259"/>
      <c r="K151" s="213"/>
      <c r="L151" s="643"/>
      <c r="M151" s="616">
        <f t="shared" si="1"/>
        <v>0</v>
      </c>
      <c r="N151" s="633"/>
      <c r="O151" s="636"/>
      <c r="P151" s="636"/>
      <c r="Q151" s="7"/>
      <c r="R151" s="699">
        <v>13</v>
      </c>
      <c r="S151" s="7"/>
      <c r="T151" s="618">
        <f t="shared" si="11"/>
        <v>13</v>
      </c>
      <c r="U151" s="7"/>
      <c r="V151" s="7"/>
      <c r="W151" s="7"/>
      <c r="X151" s="7"/>
      <c r="Y151" s="7"/>
      <c r="Z151" s="7"/>
    </row>
    <row r="152" spans="1:26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4"/>
      <c r="G152" s="213"/>
      <c r="H152" s="213"/>
      <c r="I152" s="372"/>
      <c r="J152" s="259"/>
      <c r="K152" s="213"/>
      <c r="L152" s="643"/>
      <c r="M152" s="616">
        <f t="shared" si="1"/>
        <v>0</v>
      </c>
      <c r="N152" s="633"/>
      <c r="O152" s="634"/>
      <c r="P152" s="634"/>
      <c r="Q152" s="7"/>
      <c r="R152" s="699">
        <v>4</v>
      </c>
      <c r="S152" s="7"/>
      <c r="T152" s="618">
        <f t="shared" si="11"/>
        <v>4</v>
      </c>
      <c r="U152" s="7"/>
      <c r="V152" s="7"/>
      <c r="W152" s="7"/>
      <c r="X152" s="7"/>
      <c r="Y152" s="7"/>
      <c r="Z152" s="7"/>
    </row>
    <row r="153" spans="1:26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4"/>
      <c r="G153" s="213"/>
      <c r="H153" s="213"/>
      <c r="I153" s="372"/>
      <c r="J153" s="259"/>
      <c r="K153" s="213"/>
      <c r="L153" s="643"/>
      <c r="M153" s="616">
        <f t="shared" si="1"/>
        <v>0</v>
      </c>
      <c r="N153" s="633"/>
      <c r="O153" s="634"/>
      <c r="P153" s="634"/>
      <c r="Q153" s="7"/>
      <c r="R153" s="699"/>
      <c r="S153" s="7"/>
      <c r="T153" s="618">
        <f t="shared" si="11"/>
        <v>0</v>
      </c>
      <c r="U153" s="7"/>
      <c r="V153" s="7"/>
      <c r="W153" s="7"/>
      <c r="X153" s="7"/>
      <c r="Y153" s="7"/>
      <c r="Z153" s="7"/>
    </row>
    <row r="154" spans="1:26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4"/>
      <c r="G154" s="213"/>
      <c r="H154" s="213"/>
      <c r="I154" s="372"/>
      <c r="J154" s="259"/>
      <c r="K154" s="213"/>
      <c r="L154" s="643"/>
      <c r="M154" s="616">
        <f t="shared" si="1"/>
        <v>0</v>
      </c>
      <c r="N154" s="633"/>
      <c r="O154" s="634"/>
      <c r="P154" s="634"/>
      <c r="Q154" s="7"/>
      <c r="R154" s="699">
        <v>5</v>
      </c>
      <c r="S154" s="7"/>
      <c r="T154" s="618">
        <f t="shared" si="11"/>
        <v>5</v>
      </c>
      <c r="U154" s="7"/>
      <c r="V154" s="7"/>
      <c r="W154" s="7"/>
      <c r="X154" s="7"/>
      <c r="Y154" s="7"/>
      <c r="Z154" s="7"/>
    </row>
    <row r="155" spans="1:26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4"/>
      <c r="G155" s="213"/>
      <c r="H155" s="213"/>
      <c r="I155" s="372"/>
      <c r="J155" s="259"/>
      <c r="K155" s="213"/>
      <c r="L155" s="643"/>
      <c r="M155" s="616">
        <f t="shared" si="1"/>
        <v>0</v>
      </c>
      <c r="N155" s="633"/>
      <c r="O155" s="634"/>
      <c r="P155" s="634"/>
      <c r="Q155" s="7"/>
      <c r="R155" s="699">
        <v>4</v>
      </c>
      <c r="S155" s="7"/>
      <c r="T155" s="618">
        <f t="shared" si="11"/>
        <v>4</v>
      </c>
      <c r="U155" s="7"/>
      <c r="V155" s="7"/>
      <c r="W155" s="7"/>
      <c r="X155" s="7"/>
      <c r="Y155" s="7"/>
      <c r="Z155" s="7"/>
    </row>
    <row r="156" spans="1:26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4"/>
      <c r="G156" s="213"/>
      <c r="H156" s="213"/>
      <c r="I156" s="372"/>
      <c r="J156" s="259"/>
      <c r="K156" s="213"/>
      <c r="L156" s="643"/>
      <c r="M156" s="616">
        <f t="shared" si="1"/>
        <v>0</v>
      </c>
      <c r="N156" s="633"/>
      <c r="O156" s="636"/>
      <c r="P156" s="636"/>
      <c r="Q156" s="7"/>
      <c r="R156" s="699"/>
      <c r="S156" s="7"/>
      <c r="T156" s="618">
        <f t="shared" si="11"/>
        <v>0</v>
      </c>
      <c r="U156" s="7"/>
      <c r="V156" s="7"/>
      <c r="W156" s="7"/>
      <c r="X156" s="7"/>
      <c r="Y156" s="7"/>
      <c r="Z156" s="7"/>
    </row>
    <row r="157" spans="1:26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4"/>
      <c r="G157" s="213"/>
      <c r="H157" s="213"/>
      <c r="I157" s="372"/>
      <c r="J157" s="259"/>
      <c r="K157" s="213"/>
      <c r="L157" s="643"/>
      <c r="M157" s="616">
        <f t="shared" si="1"/>
        <v>0</v>
      </c>
      <c r="N157" s="633"/>
      <c r="O157" s="648"/>
      <c r="P157" s="648"/>
      <c r="Q157" s="7"/>
      <c r="R157" s="699"/>
      <c r="S157" s="7"/>
      <c r="T157" s="618">
        <f t="shared" si="11"/>
        <v>0</v>
      </c>
      <c r="U157" s="7"/>
      <c r="V157" s="7"/>
      <c r="W157" s="7"/>
      <c r="X157" s="7"/>
      <c r="Y157" s="7"/>
      <c r="Z157" s="7"/>
    </row>
    <row r="158" spans="1:26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4"/>
      <c r="G158" s="213"/>
      <c r="H158" s="213"/>
      <c r="I158" s="372"/>
      <c r="J158" s="259"/>
      <c r="K158" s="213"/>
      <c r="L158" s="643"/>
      <c r="M158" s="616">
        <f t="shared" si="1"/>
        <v>0</v>
      </c>
      <c r="N158" s="633"/>
      <c r="O158" s="648"/>
      <c r="P158" s="648"/>
      <c r="Q158" s="7"/>
      <c r="R158" s="699"/>
      <c r="S158" s="7"/>
      <c r="T158" s="618">
        <f t="shared" si="11"/>
        <v>0</v>
      </c>
      <c r="U158" s="7"/>
      <c r="V158" s="7"/>
      <c r="W158" s="7"/>
      <c r="X158" s="7"/>
      <c r="Y158" s="7"/>
      <c r="Z158" s="7"/>
    </row>
    <row r="159" spans="1:26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4"/>
      <c r="G159" s="213"/>
      <c r="H159" s="213"/>
      <c r="I159" s="372"/>
      <c r="J159" s="259"/>
      <c r="K159" s="213"/>
      <c r="L159" s="643"/>
      <c r="M159" s="616">
        <f t="shared" si="1"/>
        <v>0</v>
      </c>
      <c r="N159" s="633"/>
      <c r="O159" s="648"/>
      <c r="P159" s="648"/>
      <c r="Q159" s="7"/>
      <c r="R159" s="699"/>
      <c r="S159" s="7"/>
      <c r="T159" s="618">
        <f t="shared" si="11"/>
        <v>0</v>
      </c>
      <c r="U159" s="7"/>
      <c r="V159" s="7"/>
      <c r="W159" s="7"/>
      <c r="X159" s="7"/>
      <c r="Y159" s="7"/>
      <c r="Z159" s="7"/>
    </row>
    <row r="160" spans="1:26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4"/>
      <c r="G160" s="213"/>
      <c r="H160" s="213"/>
      <c r="I160" s="372"/>
      <c r="J160" s="259"/>
      <c r="K160" s="213"/>
      <c r="L160" s="643"/>
      <c r="M160" s="616">
        <f t="shared" si="1"/>
        <v>0</v>
      </c>
      <c r="N160" s="633"/>
      <c r="O160" s="648"/>
      <c r="P160" s="648"/>
      <c r="Q160" s="7"/>
      <c r="R160" s="699"/>
      <c r="S160" s="7"/>
      <c r="T160" s="618">
        <f t="shared" si="11"/>
        <v>0</v>
      </c>
      <c r="U160" s="7"/>
      <c r="V160" s="7"/>
      <c r="W160" s="7"/>
      <c r="X160" s="7"/>
      <c r="Y160" s="7"/>
      <c r="Z160" s="7"/>
    </row>
    <row r="161" spans="1:26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4"/>
      <c r="G161" s="213"/>
      <c r="H161" s="213"/>
      <c r="I161" s="372"/>
      <c r="J161" s="259"/>
      <c r="K161" s="213"/>
      <c r="L161" s="643"/>
      <c r="M161" s="616">
        <f t="shared" si="1"/>
        <v>0</v>
      </c>
      <c r="N161" s="633"/>
      <c r="O161" s="636"/>
      <c r="P161" s="636"/>
      <c r="Q161" s="7"/>
      <c r="R161" s="699"/>
      <c r="S161" s="7"/>
      <c r="T161" s="618">
        <f t="shared" si="11"/>
        <v>0</v>
      </c>
      <c r="U161" s="7"/>
      <c r="V161" s="7"/>
      <c r="W161" s="7"/>
      <c r="X161" s="7"/>
      <c r="Y161" s="7"/>
      <c r="Z161" s="7"/>
    </row>
    <row r="162" spans="1:26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4"/>
      <c r="G162" s="213"/>
      <c r="H162" s="213"/>
      <c r="I162" s="370"/>
      <c r="J162" s="259"/>
      <c r="K162" s="213"/>
      <c r="L162" s="643"/>
      <c r="M162" s="616">
        <f t="shared" si="1"/>
        <v>0</v>
      </c>
      <c r="N162" s="633"/>
      <c r="O162" s="636"/>
      <c r="P162" s="636"/>
      <c r="Q162" s="7"/>
      <c r="R162" s="699"/>
      <c r="S162" s="7"/>
      <c r="T162" s="618">
        <f t="shared" si="11"/>
        <v>0</v>
      </c>
      <c r="U162" s="7"/>
      <c r="V162" s="7"/>
      <c r="W162" s="7"/>
      <c r="X162" s="7"/>
      <c r="Y162" s="7"/>
      <c r="Z162" s="7"/>
    </row>
    <row r="163" spans="1:26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4"/>
      <c r="G163" s="213"/>
      <c r="H163" s="213"/>
      <c r="I163" s="370"/>
      <c r="J163" s="259"/>
      <c r="K163" s="213"/>
      <c r="L163" s="643"/>
      <c r="M163" s="616">
        <f t="shared" si="1"/>
        <v>0</v>
      </c>
      <c r="N163" s="633"/>
      <c r="O163" s="636"/>
      <c r="P163" s="636"/>
      <c r="Q163" s="7"/>
      <c r="R163" s="699"/>
      <c r="S163" s="7"/>
      <c r="T163" s="618">
        <f t="shared" si="11"/>
        <v>0</v>
      </c>
      <c r="U163" s="7"/>
      <c r="V163" s="7"/>
      <c r="W163" s="7"/>
      <c r="X163" s="7"/>
      <c r="Y163" s="7"/>
      <c r="Z163" s="7"/>
    </row>
    <row r="164" spans="1:26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4"/>
      <c r="G164" s="213"/>
      <c r="H164" s="213"/>
      <c r="I164" s="370"/>
      <c r="J164" s="259"/>
      <c r="K164" s="213"/>
      <c r="L164" s="643"/>
      <c r="M164" s="616">
        <f t="shared" si="1"/>
        <v>0</v>
      </c>
      <c r="N164" s="633"/>
      <c r="O164" s="636"/>
      <c r="P164" s="636"/>
      <c r="Q164" s="7"/>
      <c r="R164" s="699"/>
      <c r="S164" s="7"/>
      <c r="T164" s="618">
        <f t="shared" si="11"/>
        <v>0</v>
      </c>
      <c r="U164" s="7"/>
      <c r="V164" s="7"/>
      <c r="W164" s="7"/>
      <c r="X164" s="7"/>
      <c r="Y164" s="7"/>
      <c r="Z164" s="7"/>
    </row>
    <row r="165" spans="1:26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4"/>
      <c r="G165" s="213"/>
      <c r="H165" s="213"/>
      <c r="I165" s="370"/>
      <c r="J165" s="259"/>
      <c r="K165" s="213"/>
      <c r="L165" s="643"/>
      <c r="M165" s="616">
        <f t="shared" si="1"/>
        <v>0</v>
      </c>
      <c r="N165" s="633"/>
      <c r="O165" s="636"/>
      <c r="P165" s="636"/>
      <c r="Q165" s="7"/>
      <c r="R165" s="699"/>
      <c r="S165" s="7"/>
      <c r="T165" s="618">
        <f t="shared" si="11"/>
        <v>0</v>
      </c>
      <c r="U165" s="7"/>
      <c r="V165" s="7"/>
      <c r="W165" s="7"/>
      <c r="X165" s="7"/>
      <c r="Y165" s="7"/>
      <c r="Z165" s="7"/>
    </row>
    <row r="166" spans="1:26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4"/>
      <c r="G166" s="213"/>
      <c r="H166" s="213"/>
      <c r="I166" s="370"/>
      <c r="J166" s="259"/>
      <c r="K166" s="213"/>
      <c r="L166" s="643"/>
      <c r="M166" s="616">
        <f t="shared" si="1"/>
        <v>0</v>
      </c>
      <c r="N166" s="633"/>
      <c r="O166" s="636"/>
      <c r="P166" s="636"/>
      <c r="Q166" s="7"/>
      <c r="R166" s="699"/>
      <c r="S166" s="7"/>
      <c r="T166" s="618">
        <f t="shared" si="11"/>
        <v>0</v>
      </c>
      <c r="U166" s="7"/>
      <c r="V166" s="7"/>
      <c r="W166" s="7"/>
      <c r="X166" s="7"/>
      <c r="Y166" s="7"/>
      <c r="Z166" s="7"/>
    </row>
    <row r="167" spans="1:26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4"/>
      <c r="G167" s="213"/>
      <c r="H167" s="213"/>
      <c r="I167" s="370"/>
      <c r="J167" s="259"/>
      <c r="K167" s="213"/>
      <c r="L167" s="643"/>
      <c r="M167" s="616">
        <f t="shared" si="1"/>
        <v>0</v>
      </c>
      <c r="N167" s="633"/>
      <c r="O167" s="636"/>
      <c r="P167" s="636"/>
      <c r="Q167" s="7"/>
      <c r="R167" s="699"/>
      <c r="S167" s="7"/>
      <c r="T167" s="618">
        <f t="shared" si="11"/>
        <v>0</v>
      </c>
      <c r="U167" s="7"/>
      <c r="V167" s="7"/>
      <c r="W167" s="7"/>
      <c r="X167" s="7"/>
      <c r="Y167" s="7"/>
      <c r="Z167" s="7"/>
    </row>
    <row r="168" spans="1:26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4"/>
      <c r="G168" s="213"/>
      <c r="H168" s="213"/>
      <c r="I168" s="370"/>
      <c r="J168" s="259"/>
      <c r="K168" s="213"/>
      <c r="L168" s="643"/>
      <c r="M168" s="616">
        <f t="shared" si="1"/>
        <v>0</v>
      </c>
      <c r="N168" s="633"/>
      <c r="O168" s="636"/>
      <c r="P168" s="636"/>
      <c r="Q168" s="7"/>
      <c r="R168" s="699"/>
      <c r="S168" s="7"/>
      <c r="T168" s="618">
        <f t="shared" si="11"/>
        <v>0</v>
      </c>
      <c r="U168" s="7"/>
      <c r="V168" s="7"/>
      <c r="W168" s="7"/>
      <c r="X168" s="7"/>
      <c r="Y168" s="7"/>
      <c r="Z168" s="7"/>
    </row>
    <row r="169" spans="1:26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4"/>
      <c r="G169" s="213"/>
      <c r="H169" s="213"/>
      <c r="I169" s="370"/>
      <c r="J169" s="259"/>
      <c r="K169" s="213"/>
      <c r="L169" s="643"/>
      <c r="M169" s="616">
        <f t="shared" si="1"/>
        <v>0</v>
      </c>
      <c r="N169" s="633"/>
      <c r="O169" s="636"/>
      <c r="P169" s="636"/>
      <c r="Q169" s="7"/>
      <c r="R169" s="699"/>
      <c r="S169" s="7"/>
      <c r="T169" s="618">
        <f t="shared" si="11"/>
        <v>0</v>
      </c>
      <c r="U169" s="7"/>
      <c r="V169" s="7"/>
      <c r="W169" s="7"/>
      <c r="X169" s="7"/>
      <c r="Y169" s="7"/>
      <c r="Z169" s="7"/>
    </row>
    <row r="170" spans="1:26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4"/>
      <c r="G170" s="213"/>
      <c r="H170" s="213"/>
      <c r="I170" s="370"/>
      <c r="J170" s="259"/>
      <c r="K170" s="213"/>
      <c r="L170" s="643"/>
      <c r="M170" s="616">
        <f t="shared" si="1"/>
        <v>0</v>
      </c>
      <c r="N170" s="633"/>
      <c r="O170" s="636"/>
      <c r="P170" s="636"/>
      <c r="Q170" s="7"/>
      <c r="R170" s="699"/>
      <c r="S170" s="7"/>
      <c r="T170" s="618">
        <f t="shared" si="11"/>
        <v>0</v>
      </c>
      <c r="U170" s="7"/>
      <c r="V170" s="7"/>
      <c r="W170" s="7"/>
      <c r="X170" s="7"/>
      <c r="Y170" s="7"/>
      <c r="Z170" s="7"/>
    </row>
    <row r="171" spans="1:26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4"/>
      <c r="G171" s="213"/>
      <c r="H171" s="213"/>
      <c r="I171" s="370"/>
      <c r="J171" s="259"/>
      <c r="K171" s="213"/>
      <c r="L171" s="643"/>
      <c r="M171" s="616">
        <f t="shared" si="1"/>
        <v>0</v>
      </c>
      <c r="N171" s="633"/>
      <c r="O171" s="636"/>
      <c r="P171" s="636"/>
      <c r="Q171" s="7"/>
      <c r="R171" s="699"/>
      <c r="S171" s="7"/>
      <c r="T171" s="618">
        <f t="shared" si="11"/>
        <v>0</v>
      </c>
      <c r="U171" s="7"/>
      <c r="V171" s="7"/>
      <c r="W171" s="7"/>
      <c r="X171" s="7"/>
      <c r="Y171" s="7"/>
      <c r="Z171" s="7"/>
    </row>
    <row r="172" spans="1:26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4"/>
      <c r="G172" s="213"/>
      <c r="H172" s="213"/>
      <c r="I172" s="372"/>
      <c r="J172" s="259"/>
      <c r="K172" s="213"/>
      <c r="L172" s="643"/>
      <c r="M172" s="616">
        <f t="shared" si="1"/>
        <v>0</v>
      </c>
      <c r="N172" s="633"/>
      <c r="O172" s="640"/>
      <c r="P172" s="640"/>
      <c r="Q172" s="7"/>
      <c r="R172" s="699"/>
      <c r="S172" s="7"/>
      <c r="T172" s="618">
        <f t="shared" si="11"/>
        <v>0</v>
      </c>
      <c r="U172" s="7"/>
      <c r="V172" s="7"/>
      <c r="W172" s="7"/>
      <c r="X172" s="7"/>
      <c r="Y172" s="7"/>
      <c r="Z172" s="7"/>
    </row>
    <row r="173" spans="1:26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4"/>
      <c r="G173" s="213"/>
      <c r="H173" s="213"/>
      <c r="I173" s="372"/>
      <c r="J173" s="259"/>
      <c r="K173" s="213"/>
      <c r="L173" s="643"/>
      <c r="M173" s="616">
        <f t="shared" si="1"/>
        <v>0</v>
      </c>
      <c r="N173" s="633"/>
      <c r="O173" s="636"/>
      <c r="P173" s="636"/>
      <c r="Q173" s="7"/>
      <c r="R173" s="699">
        <v>78</v>
      </c>
      <c r="S173" s="7"/>
      <c r="T173" s="618">
        <f t="shared" si="11"/>
        <v>78</v>
      </c>
      <c r="U173" s="7"/>
      <c r="V173" s="7"/>
      <c r="W173" s="7"/>
      <c r="X173" s="7"/>
      <c r="Y173" s="7"/>
      <c r="Z173" s="7"/>
    </row>
    <row r="174" spans="1:26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4"/>
      <c r="G174" s="213"/>
      <c r="H174" s="213"/>
      <c r="I174" s="372"/>
      <c r="J174" s="259"/>
      <c r="K174" s="213"/>
      <c r="L174" s="643"/>
      <c r="M174" s="616">
        <f t="shared" si="1"/>
        <v>0</v>
      </c>
      <c r="N174" s="633"/>
      <c r="O174" s="648"/>
      <c r="P174" s="648"/>
      <c r="Q174" s="7"/>
      <c r="R174" s="699">
        <v>57</v>
      </c>
      <c r="S174" s="7"/>
      <c r="T174" s="618">
        <f t="shared" si="11"/>
        <v>57</v>
      </c>
      <c r="U174" s="7"/>
      <c r="V174" s="7"/>
      <c r="W174" s="7"/>
      <c r="X174" s="7"/>
      <c r="Y174" s="7"/>
      <c r="Z174" s="7"/>
    </row>
    <row r="175" spans="1:26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4"/>
      <c r="G175" s="213"/>
      <c r="H175" s="213"/>
      <c r="I175" s="372"/>
      <c r="J175" s="259"/>
      <c r="K175" s="213"/>
      <c r="L175" s="643"/>
      <c r="M175" s="616">
        <f t="shared" si="1"/>
        <v>0</v>
      </c>
      <c r="N175" s="633"/>
      <c r="O175" s="648"/>
      <c r="P175" s="648"/>
      <c r="Q175" s="7"/>
      <c r="R175" s="699"/>
      <c r="S175" s="7"/>
      <c r="T175" s="618">
        <f t="shared" si="11"/>
        <v>0</v>
      </c>
      <c r="U175" s="7"/>
      <c r="V175" s="7"/>
      <c r="W175" s="7"/>
      <c r="X175" s="7"/>
      <c r="Y175" s="7"/>
      <c r="Z175" s="7"/>
    </row>
    <row r="176" spans="1:26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4"/>
      <c r="G176" s="213"/>
      <c r="H176" s="213"/>
      <c r="I176" s="372"/>
      <c r="J176" s="259"/>
      <c r="K176" s="213"/>
      <c r="L176" s="643"/>
      <c r="M176" s="616">
        <f t="shared" si="1"/>
        <v>0</v>
      </c>
      <c r="N176" s="633"/>
      <c r="O176" s="648"/>
      <c r="P176" s="648"/>
      <c r="Q176" s="7"/>
      <c r="R176" s="699">
        <v>15</v>
      </c>
      <c r="S176" s="7"/>
      <c r="T176" s="618">
        <f t="shared" si="11"/>
        <v>15</v>
      </c>
      <c r="U176" s="7"/>
      <c r="V176" s="7"/>
      <c r="W176" s="7"/>
      <c r="X176" s="7"/>
      <c r="Y176" s="7"/>
      <c r="Z176" s="7"/>
    </row>
    <row r="177" spans="1:26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4"/>
      <c r="G177" s="213"/>
      <c r="H177" s="213"/>
      <c r="I177" s="372"/>
      <c r="J177" s="259"/>
      <c r="K177" s="213"/>
      <c r="L177" s="643"/>
      <c r="M177" s="616">
        <f t="shared" si="1"/>
        <v>0</v>
      </c>
      <c r="N177" s="633"/>
      <c r="O177" s="648"/>
      <c r="P177" s="648"/>
      <c r="Q177" s="7"/>
      <c r="R177" s="699"/>
      <c r="S177" s="7"/>
      <c r="T177" s="618">
        <f t="shared" si="11"/>
        <v>0</v>
      </c>
      <c r="U177" s="7"/>
      <c r="V177" s="7"/>
      <c r="W177" s="7"/>
      <c r="X177" s="7"/>
      <c r="Y177" s="7"/>
      <c r="Z177" s="7"/>
    </row>
    <row r="178" spans="1:26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4"/>
      <c r="G178" s="213"/>
      <c r="H178" s="213"/>
      <c r="I178" s="372">
        <f>SUM(I179:I180)</f>
        <v>0</v>
      </c>
      <c r="J178" s="259"/>
      <c r="K178" s="213"/>
      <c r="L178" s="657"/>
      <c r="M178" s="616">
        <f t="shared" si="1"/>
        <v>0</v>
      </c>
      <c r="N178" s="633"/>
      <c r="O178" s="636"/>
      <c r="P178" s="636"/>
      <c r="Q178" s="7"/>
      <c r="R178" s="699">
        <v>1000</v>
      </c>
      <c r="S178" s="7"/>
      <c r="T178" s="618">
        <f t="shared" si="11"/>
        <v>1000</v>
      </c>
      <c r="U178" s="7"/>
      <c r="V178" s="7"/>
      <c r="W178" s="7"/>
      <c r="X178" s="7"/>
      <c r="Y178" s="7"/>
      <c r="Z178" s="7"/>
    </row>
    <row r="179" spans="1:26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4"/>
      <c r="G179" s="213"/>
      <c r="H179" s="213"/>
      <c r="I179" s="372"/>
      <c r="J179" s="259"/>
      <c r="K179" s="213"/>
      <c r="L179" s="643"/>
      <c r="M179" s="616">
        <f t="shared" si="1"/>
        <v>0</v>
      </c>
      <c r="N179" s="633"/>
      <c r="O179" s="648"/>
      <c r="P179" s="648"/>
      <c r="Q179" s="7"/>
      <c r="R179" s="699">
        <v>1000</v>
      </c>
      <c r="S179" s="7"/>
      <c r="T179" s="618">
        <f t="shared" si="11"/>
        <v>1000</v>
      </c>
      <c r="U179" s="7"/>
      <c r="V179" s="7"/>
      <c r="W179" s="7"/>
      <c r="X179" s="7"/>
      <c r="Y179" s="7"/>
      <c r="Z179" s="7"/>
    </row>
    <row r="180" spans="1:26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4"/>
      <c r="G180" s="213"/>
      <c r="H180" s="213"/>
      <c r="I180" s="372"/>
      <c r="J180" s="259"/>
      <c r="K180" s="213"/>
      <c r="L180" s="643"/>
      <c r="M180" s="616">
        <f t="shared" si="1"/>
        <v>0</v>
      </c>
      <c r="N180" s="633"/>
      <c r="O180" s="648"/>
      <c r="P180" s="648"/>
      <c r="Q180" s="7"/>
      <c r="R180" s="699"/>
      <c r="S180" s="7"/>
      <c r="T180" s="618">
        <f t="shared" si="11"/>
        <v>0</v>
      </c>
      <c r="U180" s="7"/>
      <c r="V180" s="7"/>
      <c r="W180" s="7"/>
      <c r="X180" s="7"/>
      <c r="Y180" s="7"/>
      <c r="Z180" s="7"/>
    </row>
    <row r="181" spans="1:26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4"/>
      <c r="G181" s="213"/>
      <c r="H181" s="213"/>
      <c r="I181" s="372"/>
      <c r="J181" s="259"/>
      <c r="K181" s="213"/>
      <c r="L181" s="643"/>
      <c r="M181" s="616">
        <f t="shared" si="1"/>
        <v>0</v>
      </c>
      <c r="N181" s="633"/>
      <c r="O181" s="636"/>
      <c r="P181" s="636"/>
      <c r="Q181" s="7"/>
      <c r="R181" s="699"/>
      <c r="S181" s="7"/>
      <c r="T181" s="618">
        <f t="shared" si="11"/>
        <v>0</v>
      </c>
      <c r="U181" s="7"/>
      <c r="V181" s="7"/>
      <c r="W181" s="7"/>
      <c r="X181" s="7"/>
      <c r="Y181" s="7"/>
      <c r="Z181" s="7"/>
    </row>
    <row r="182" spans="1:26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4"/>
      <c r="G182" s="213"/>
      <c r="H182" s="213"/>
      <c r="I182" s="372"/>
      <c r="J182" s="259"/>
      <c r="K182" s="213"/>
      <c r="L182" s="643"/>
      <c r="M182" s="616">
        <f t="shared" si="1"/>
        <v>0</v>
      </c>
      <c r="N182" s="633"/>
      <c r="O182" s="636"/>
      <c r="P182" s="636"/>
      <c r="Q182" s="7"/>
      <c r="R182" s="699"/>
      <c r="S182" s="7"/>
      <c r="T182" s="618">
        <f t="shared" si="11"/>
        <v>0</v>
      </c>
      <c r="U182" s="7"/>
      <c r="V182" s="7"/>
      <c r="W182" s="7"/>
      <c r="X182" s="7"/>
      <c r="Y182" s="7"/>
      <c r="Z182" s="7"/>
    </row>
    <row r="183" spans="1:26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4"/>
      <c r="G183" s="213"/>
      <c r="H183" s="213"/>
      <c r="I183" s="372"/>
      <c r="J183" s="259"/>
      <c r="K183" s="213"/>
      <c r="L183" s="643"/>
      <c r="M183" s="616">
        <f t="shared" si="1"/>
        <v>0</v>
      </c>
      <c r="N183" s="633"/>
      <c r="O183" s="636"/>
      <c r="P183" s="636"/>
      <c r="Q183" s="7"/>
      <c r="R183" s="699"/>
      <c r="S183" s="7"/>
      <c r="T183" s="618">
        <f t="shared" si="11"/>
        <v>0</v>
      </c>
      <c r="U183" s="7"/>
      <c r="V183" s="7"/>
      <c r="W183" s="7"/>
      <c r="X183" s="7"/>
      <c r="Y183" s="7"/>
      <c r="Z183" s="7"/>
    </row>
    <row r="184" spans="1:26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4"/>
      <c r="G184" s="213"/>
      <c r="H184" s="213"/>
      <c r="I184" s="372"/>
      <c r="J184" s="259"/>
      <c r="K184" s="213"/>
      <c r="L184" s="643"/>
      <c r="M184" s="616">
        <f t="shared" si="1"/>
        <v>0</v>
      </c>
      <c r="N184" s="633"/>
      <c r="O184" s="636"/>
      <c r="P184" s="636"/>
      <c r="Q184" s="7"/>
      <c r="R184" s="699"/>
      <c r="S184" s="7"/>
      <c r="T184" s="618">
        <f t="shared" si="11"/>
        <v>0</v>
      </c>
      <c r="U184" s="7"/>
      <c r="V184" s="7"/>
      <c r="W184" s="7"/>
      <c r="X184" s="7"/>
      <c r="Y184" s="7"/>
      <c r="Z184" s="7"/>
    </row>
    <row r="185" spans="1:26" ht="18.75" customHeight="1">
      <c r="A185" s="486">
        <v>7.7</v>
      </c>
      <c r="B185" s="487" t="s">
        <v>412</v>
      </c>
      <c r="C185" s="635" t="s">
        <v>413</v>
      </c>
      <c r="D185" s="412" t="s">
        <v>1719</v>
      </c>
      <c r="E185" s="213"/>
      <c r="F185" s="214"/>
      <c r="G185" s="213"/>
      <c r="H185" s="213"/>
      <c r="I185" s="372"/>
      <c r="J185" s="259"/>
      <c r="K185" s="213"/>
      <c r="L185" s="643"/>
      <c r="M185" s="616">
        <f t="shared" si="1"/>
        <v>0</v>
      </c>
      <c r="N185" s="633"/>
      <c r="O185" s="636"/>
      <c r="P185" s="636"/>
      <c r="Q185" s="7"/>
      <c r="R185" s="699"/>
      <c r="S185" s="7"/>
      <c r="T185" s="618">
        <f t="shared" si="11"/>
        <v>0</v>
      </c>
      <c r="U185" s="7"/>
      <c r="V185" s="7"/>
      <c r="W185" s="7"/>
      <c r="X185" s="7"/>
      <c r="Y185" s="7"/>
      <c r="Z185" s="7"/>
    </row>
    <row r="186" spans="1:26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4"/>
      <c r="G186" s="213"/>
      <c r="H186" s="213"/>
      <c r="I186" s="372"/>
      <c r="J186" s="259"/>
      <c r="K186" s="213"/>
      <c r="L186" s="643"/>
      <c r="M186" s="616">
        <f t="shared" si="1"/>
        <v>0</v>
      </c>
      <c r="N186" s="633"/>
      <c r="O186" s="636"/>
      <c r="P186" s="636"/>
      <c r="Q186" s="7"/>
      <c r="R186" s="699"/>
      <c r="S186" s="7"/>
      <c r="T186" s="618">
        <f t="shared" si="11"/>
        <v>0</v>
      </c>
      <c r="U186" s="7"/>
      <c r="V186" s="7"/>
      <c r="W186" s="7"/>
      <c r="X186" s="7"/>
      <c r="Y186" s="7"/>
      <c r="Z186" s="7"/>
    </row>
    <row r="187" spans="1:26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4"/>
      <c r="G187" s="213"/>
      <c r="H187" s="213"/>
      <c r="I187" s="372"/>
      <c r="J187" s="259"/>
      <c r="K187" s="213"/>
      <c r="L187" s="643"/>
      <c r="M187" s="616">
        <f t="shared" si="1"/>
        <v>0</v>
      </c>
      <c r="N187" s="633"/>
      <c r="O187" s="640"/>
      <c r="P187" s="640"/>
      <c r="Q187" s="7"/>
      <c r="R187" s="699"/>
      <c r="S187" s="7"/>
      <c r="T187" s="618">
        <f t="shared" si="11"/>
        <v>0</v>
      </c>
      <c r="U187" s="7"/>
      <c r="V187" s="7"/>
      <c r="W187" s="7"/>
      <c r="X187" s="7"/>
      <c r="Y187" s="7"/>
      <c r="Z187" s="7"/>
    </row>
    <row r="188" spans="1:26" ht="20.25" customHeight="1">
      <c r="A188" s="486"/>
      <c r="B188" s="487" t="s">
        <v>419</v>
      </c>
      <c r="C188" s="635" t="s">
        <v>420</v>
      </c>
      <c r="D188" s="512"/>
      <c r="E188" s="213"/>
      <c r="F188" s="214"/>
      <c r="G188" s="213"/>
      <c r="H188" s="213"/>
      <c r="I188" s="372"/>
      <c r="J188" s="259"/>
      <c r="K188" s="213"/>
      <c r="L188" s="643"/>
      <c r="M188" s="616">
        <f t="shared" si="1"/>
        <v>0</v>
      </c>
      <c r="N188" s="633"/>
      <c r="O188" s="636"/>
      <c r="P188" s="636"/>
      <c r="Q188" s="7"/>
      <c r="R188" s="699"/>
      <c r="S188" s="7"/>
      <c r="T188" s="618">
        <f t="shared" si="11"/>
        <v>0</v>
      </c>
      <c r="U188" s="7"/>
      <c r="V188" s="7"/>
      <c r="W188" s="7"/>
      <c r="X188" s="7"/>
      <c r="Y188" s="7"/>
      <c r="Z188" s="7"/>
    </row>
    <row r="189" spans="1:26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4"/>
      <c r="G189" s="213"/>
      <c r="H189" s="213"/>
      <c r="I189" s="372"/>
      <c r="J189" s="259"/>
      <c r="K189" s="213"/>
      <c r="L189" s="643"/>
      <c r="M189" s="616">
        <f t="shared" si="1"/>
        <v>0</v>
      </c>
      <c r="N189" s="633"/>
      <c r="O189" s="648"/>
      <c r="P189" s="648"/>
      <c r="Q189" s="7"/>
      <c r="R189" s="699">
        <v>50</v>
      </c>
      <c r="S189" s="7"/>
      <c r="T189" s="618">
        <f t="shared" si="11"/>
        <v>50</v>
      </c>
      <c r="U189" s="7"/>
      <c r="V189" s="7"/>
      <c r="W189" s="7"/>
      <c r="X189" s="7"/>
      <c r="Y189" s="7"/>
      <c r="Z189" s="7"/>
    </row>
    <row r="190" spans="1:26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4"/>
      <c r="G190" s="213"/>
      <c r="H190" s="213"/>
      <c r="I190" s="372"/>
      <c r="J190" s="259"/>
      <c r="K190" s="213"/>
      <c r="L190" s="643"/>
      <c r="M190" s="616">
        <f t="shared" si="1"/>
        <v>0</v>
      </c>
      <c r="N190" s="633"/>
      <c r="O190" s="648"/>
      <c r="P190" s="648"/>
      <c r="Q190" s="7"/>
      <c r="R190" s="699"/>
      <c r="S190" s="7"/>
      <c r="T190" s="618">
        <f t="shared" si="11"/>
        <v>0</v>
      </c>
      <c r="U190" s="7"/>
      <c r="V190" s="7"/>
      <c r="W190" s="7"/>
      <c r="X190" s="7"/>
      <c r="Y190" s="7"/>
      <c r="Z190" s="7"/>
    </row>
    <row r="191" spans="1:26" ht="20.25" customHeight="1">
      <c r="A191" s="503"/>
      <c r="B191" s="483" t="s">
        <v>428</v>
      </c>
      <c r="C191" s="658" t="s">
        <v>429</v>
      </c>
      <c r="D191" s="504" t="s">
        <v>1720</v>
      </c>
      <c r="E191" s="213"/>
      <c r="F191" s="214"/>
      <c r="G191" s="213"/>
      <c r="H191" s="213"/>
      <c r="I191" s="372"/>
      <c r="J191" s="259"/>
      <c r="K191" s="213"/>
      <c r="L191" s="643"/>
      <c r="M191" s="616">
        <f t="shared" si="1"/>
        <v>0</v>
      </c>
      <c r="N191" s="633"/>
      <c r="O191" s="648"/>
      <c r="P191" s="648"/>
      <c r="Q191" s="7"/>
      <c r="R191" s="699"/>
      <c r="S191" s="7"/>
      <c r="T191" s="618">
        <f t="shared" si="11"/>
        <v>0</v>
      </c>
      <c r="U191" s="7"/>
      <c r="V191" s="7"/>
      <c r="W191" s="7"/>
      <c r="X191" s="7"/>
      <c r="Y191" s="7"/>
      <c r="Z191" s="7"/>
    </row>
    <row r="192" spans="1:26" ht="20.25" customHeight="1">
      <c r="A192" s="503"/>
      <c r="B192" s="483" t="s">
        <v>426</v>
      </c>
      <c r="C192" s="658" t="s">
        <v>431</v>
      </c>
      <c r="D192" s="504" t="s">
        <v>1721</v>
      </c>
      <c r="E192" s="213"/>
      <c r="F192" s="214"/>
      <c r="G192" s="213"/>
      <c r="H192" s="213"/>
      <c r="I192" s="372"/>
      <c r="J192" s="259"/>
      <c r="K192" s="213"/>
      <c r="L192" s="643"/>
      <c r="M192" s="616">
        <f t="shared" si="1"/>
        <v>0</v>
      </c>
      <c r="N192" s="633"/>
      <c r="O192" s="636"/>
      <c r="P192" s="636"/>
      <c r="Q192" s="7"/>
      <c r="R192" s="699"/>
      <c r="S192" s="7"/>
      <c r="T192" s="618">
        <f t="shared" si="11"/>
        <v>0</v>
      </c>
      <c r="U192" s="7"/>
      <c r="V192" s="7"/>
      <c r="W192" s="7"/>
      <c r="X192" s="7"/>
      <c r="Y192" s="7"/>
      <c r="Z192" s="7"/>
    </row>
    <row r="193" spans="1:26" ht="20.25" customHeight="1">
      <c r="A193" s="503"/>
      <c r="B193" s="483" t="s">
        <v>428</v>
      </c>
      <c r="C193" s="658" t="s">
        <v>433</v>
      </c>
      <c r="D193" s="504" t="s">
        <v>1722</v>
      </c>
      <c r="E193" s="213"/>
      <c r="F193" s="214"/>
      <c r="G193" s="213"/>
      <c r="H193" s="213"/>
      <c r="I193" s="372"/>
      <c r="J193" s="259"/>
      <c r="K193" s="213"/>
      <c r="L193" s="643"/>
      <c r="M193" s="616">
        <f t="shared" si="1"/>
        <v>0</v>
      </c>
      <c r="N193" s="633"/>
      <c r="O193" s="648"/>
      <c r="P193" s="648"/>
      <c r="Q193" s="7"/>
      <c r="R193" s="699"/>
      <c r="S193" s="7"/>
      <c r="T193" s="618">
        <f t="shared" si="11"/>
        <v>0</v>
      </c>
      <c r="U193" s="7"/>
      <c r="V193" s="7"/>
      <c r="W193" s="7"/>
      <c r="X193" s="7"/>
      <c r="Y193" s="7"/>
      <c r="Z193" s="7"/>
    </row>
    <row r="194" spans="1:26" ht="15.75" customHeight="1">
      <c r="A194" s="486"/>
      <c r="B194" s="487" t="s">
        <v>435</v>
      </c>
      <c r="C194" s="656" t="s">
        <v>436</v>
      </c>
      <c r="D194" s="412"/>
      <c r="E194" s="213"/>
      <c r="F194" s="214"/>
      <c r="G194" s="213"/>
      <c r="H194" s="213"/>
      <c r="I194" s="372"/>
      <c r="J194" s="259"/>
      <c r="K194" s="213"/>
      <c r="L194" s="643"/>
      <c r="M194" s="616">
        <f t="shared" si="1"/>
        <v>0</v>
      </c>
      <c r="N194" s="633"/>
      <c r="O194" s="654"/>
      <c r="P194" s="654"/>
      <c r="Q194" s="7"/>
      <c r="R194" s="699"/>
      <c r="S194" s="7"/>
      <c r="T194" s="618">
        <f t="shared" si="11"/>
        <v>0</v>
      </c>
      <c r="U194" s="7"/>
      <c r="V194" s="7"/>
      <c r="W194" s="7"/>
      <c r="X194" s="7"/>
      <c r="Y194" s="7"/>
      <c r="Z194" s="7"/>
    </row>
    <row r="195" spans="1:26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4"/>
      <c r="G195" s="213"/>
      <c r="H195" s="213"/>
      <c r="I195" s="372"/>
      <c r="J195" s="259"/>
      <c r="K195" s="213"/>
      <c r="L195" s="643"/>
      <c r="M195" s="616">
        <f t="shared" si="1"/>
        <v>0</v>
      </c>
      <c r="N195" s="633"/>
      <c r="O195" s="648"/>
      <c r="P195" s="648"/>
      <c r="Q195" s="7"/>
      <c r="R195" s="699">
        <v>50</v>
      </c>
      <c r="S195" s="7"/>
      <c r="T195" s="618">
        <f t="shared" si="11"/>
        <v>50</v>
      </c>
      <c r="U195" s="7"/>
      <c r="V195" s="7"/>
      <c r="W195" s="7"/>
      <c r="X195" s="7"/>
      <c r="Y195" s="7"/>
      <c r="Z195" s="7"/>
    </row>
    <row r="196" spans="1:26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4"/>
      <c r="G196" s="213"/>
      <c r="H196" s="213"/>
      <c r="I196" s="372"/>
      <c r="J196" s="259"/>
      <c r="K196" s="213"/>
      <c r="L196" s="643"/>
      <c r="M196" s="616">
        <f t="shared" si="1"/>
        <v>0</v>
      </c>
      <c r="N196" s="633"/>
      <c r="O196" s="636"/>
      <c r="P196" s="636"/>
      <c r="Q196" s="7"/>
      <c r="R196" s="699"/>
      <c r="S196" s="7"/>
      <c r="T196" s="618">
        <f t="shared" si="11"/>
        <v>0</v>
      </c>
      <c r="U196" s="7"/>
      <c r="V196" s="7"/>
      <c r="W196" s="7"/>
      <c r="X196" s="7"/>
      <c r="Y196" s="7"/>
      <c r="Z196" s="7"/>
    </row>
    <row r="197" spans="1:26" ht="20.25" customHeight="1">
      <c r="A197" s="503"/>
      <c r="B197" s="483" t="s">
        <v>440</v>
      </c>
      <c r="C197" s="658" t="s">
        <v>429</v>
      </c>
      <c r="D197" s="504" t="s">
        <v>1723</v>
      </c>
      <c r="E197" s="213"/>
      <c r="F197" s="214"/>
      <c r="G197" s="213"/>
      <c r="H197" s="213"/>
      <c r="I197" s="372"/>
      <c r="J197" s="259"/>
      <c r="K197" s="213"/>
      <c r="L197" s="643"/>
      <c r="M197" s="616">
        <f t="shared" si="1"/>
        <v>0</v>
      </c>
      <c r="N197" s="633"/>
      <c r="O197" s="648"/>
      <c r="P197" s="648"/>
      <c r="Q197" s="7"/>
      <c r="R197" s="699"/>
      <c r="S197" s="7"/>
      <c r="T197" s="618">
        <f t="shared" si="11"/>
        <v>0</v>
      </c>
      <c r="U197" s="7"/>
      <c r="V197" s="7"/>
      <c r="W197" s="7"/>
      <c r="X197" s="7"/>
      <c r="Y197" s="7"/>
      <c r="Z197" s="7"/>
    </row>
    <row r="198" spans="1:26" ht="20.25" customHeight="1">
      <c r="A198" s="503"/>
      <c r="B198" s="483" t="s">
        <v>439</v>
      </c>
      <c r="C198" s="658" t="s">
        <v>431</v>
      </c>
      <c r="D198" s="504" t="s">
        <v>1724</v>
      </c>
      <c r="E198" s="213"/>
      <c r="F198" s="214"/>
      <c r="G198" s="213"/>
      <c r="H198" s="213"/>
      <c r="I198" s="372"/>
      <c r="J198" s="259"/>
      <c r="K198" s="213"/>
      <c r="L198" s="643"/>
      <c r="M198" s="616">
        <f t="shared" si="1"/>
        <v>0</v>
      </c>
      <c r="N198" s="633"/>
      <c r="O198" s="648"/>
      <c r="P198" s="648"/>
      <c r="Q198" s="7"/>
      <c r="R198" s="699"/>
      <c r="S198" s="7"/>
      <c r="T198" s="618">
        <f t="shared" si="11"/>
        <v>0</v>
      </c>
      <c r="U198" s="7"/>
      <c r="V198" s="7"/>
      <c r="W198" s="7"/>
      <c r="X198" s="7"/>
      <c r="Y198" s="7"/>
      <c r="Z198" s="7"/>
    </row>
    <row r="199" spans="1:26" ht="20.25" customHeight="1">
      <c r="A199" s="503"/>
      <c r="B199" s="483" t="s">
        <v>440</v>
      </c>
      <c r="C199" s="658" t="s">
        <v>433</v>
      </c>
      <c r="D199" s="504" t="s">
        <v>1725</v>
      </c>
      <c r="E199" s="213"/>
      <c r="F199" s="214"/>
      <c r="G199" s="213"/>
      <c r="H199" s="213"/>
      <c r="I199" s="372"/>
      <c r="J199" s="259"/>
      <c r="K199" s="213"/>
      <c r="L199" s="643"/>
      <c r="M199" s="616">
        <f t="shared" si="1"/>
        <v>0</v>
      </c>
      <c r="N199" s="633"/>
      <c r="O199" s="648"/>
      <c r="P199" s="648"/>
      <c r="Q199" s="7"/>
      <c r="R199" s="699"/>
      <c r="S199" s="7"/>
      <c r="T199" s="618">
        <f t="shared" si="11"/>
        <v>0</v>
      </c>
      <c r="U199" s="7"/>
      <c r="V199" s="7"/>
      <c r="W199" s="7"/>
      <c r="X199" s="7"/>
      <c r="Y199" s="7"/>
      <c r="Z199" s="7"/>
    </row>
    <row r="200" spans="1:26" ht="20.25" customHeight="1">
      <c r="A200" s="486"/>
      <c r="B200" s="487" t="s">
        <v>444</v>
      </c>
      <c r="C200" s="656" t="s">
        <v>445</v>
      </c>
      <c r="D200" s="412"/>
      <c r="E200" s="213"/>
      <c r="F200" s="214"/>
      <c r="G200" s="213"/>
      <c r="H200" s="213"/>
      <c r="I200" s="372"/>
      <c r="J200" s="259"/>
      <c r="K200" s="213"/>
      <c r="L200" s="643"/>
      <c r="M200" s="616">
        <f t="shared" si="1"/>
        <v>0</v>
      </c>
      <c r="N200" s="633"/>
      <c r="O200" s="636"/>
      <c r="P200" s="636"/>
      <c r="Q200" s="7"/>
      <c r="R200" s="699"/>
      <c r="S200" s="7"/>
      <c r="T200" s="618">
        <f t="shared" si="11"/>
        <v>0</v>
      </c>
      <c r="U200" s="7"/>
      <c r="V200" s="7"/>
      <c r="W200" s="7"/>
      <c r="X200" s="7"/>
      <c r="Y200" s="7"/>
      <c r="Z200" s="7"/>
    </row>
    <row r="201" spans="1:26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4"/>
      <c r="G201" s="213"/>
      <c r="H201" s="213"/>
      <c r="I201" s="372"/>
      <c r="J201" s="259"/>
      <c r="K201" s="213"/>
      <c r="L201" s="643"/>
      <c r="M201" s="616">
        <f t="shared" si="1"/>
        <v>0</v>
      </c>
      <c r="N201" s="633"/>
      <c r="O201" s="648"/>
      <c r="P201" s="648"/>
      <c r="Q201" s="7"/>
      <c r="R201" s="699"/>
      <c r="S201" s="7"/>
      <c r="T201" s="618">
        <f t="shared" si="11"/>
        <v>0</v>
      </c>
      <c r="U201" s="7"/>
      <c r="V201" s="7"/>
      <c r="W201" s="7"/>
      <c r="X201" s="7"/>
      <c r="Y201" s="7"/>
      <c r="Z201" s="7"/>
    </row>
    <row r="202" spans="1:26" ht="20.25" customHeight="1">
      <c r="A202" s="503"/>
      <c r="B202" s="483" t="s">
        <v>449</v>
      </c>
      <c r="C202" s="658" t="s">
        <v>450</v>
      </c>
      <c r="D202" s="504" t="s">
        <v>1726</v>
      </c>
      <c r="E202" s="213"/>
      <c r="F202" s="214"/>
      <c r="G202" s="213"/>
      <c r="H202" s="213"/>
      <c r="I202" s="372"/>
      <c r="J202" s="259"/>
      <c r="K202" s="213"/>
      <c r="L202" s="643"/>
      <c r="M202" s="616">
        <f t="shared" si="1"/>
        <v>0</v>
      </c>
      <c r="N202" s="633"/>
      <c r="O202" s="648"/>
      <c r="P202" s="648"/>
      <c r="Q202" s="7"/>
      <c r="R202" s="699"/>
      <c r="S202" s="7"/>
      <c r="T202" s="618">
        <f t="shared" si="11"/>
        <v>0</v>
      </c>
      <c r="U202" s="7"/>
      <c r="V202" s="7"/>
      <c r="W202" s="7"/>
      <c r="X202" s="7"/>
      <c r="Y202" s="7"/>
      <c r="Z202" s="7"/>
    </row>
    <row r="203" spans="1:26" ht="20.25" customHeight="1">
      <c r="A203" s="503"/>
      <c r="B203" s="483" t="s">
        <v>449</v>
      </c>
      <c r="C203" s="658" t="s">
        <v>431</v>
      </c>
      <c r="D203" s="504" t="s">
        <v>1727</v>
      </c>
      <c r="E203" s="213"/>
      <c r="F203" s="214"/>
      <c r="G203" s="213"/>
      <c r="H203" s="213"/>
      <c r="I203" s="372"/>
      <c r="J203" s="259"/>
      <c r="K203" s="213"/>
      <c r="L203" s="643"/>
      <c r="M203" s="616">
        <f t="shared" si="1"/>
        <v>0</v>
      </c>
      <c r="N203" s="633"/>
      <c r="O203" s="648"/>
      <c r="P203" s="648"/>
      <c r="Q203" s="7"/>
      <c r="R203" s="699"/>
      <c r="S203" s="7"/>
      <c r="T203" s="618">
        <f t="shared" si="11"/>
        <v>0</v>
      </c>
      <c r="U203" s="7"/>
      <c r="V203" s="7"/>
      <c r="W203" s="7"/>
      <c r="X203" s="7"/>
      <c r="Y203" s="7"/>
      <c r="Z203" s="7"/>
    </row>
    <row r="204" spans="1:26" ht="20.25" customHeight="1">
      <c r="A204" s="503"/>
      <c r="B204" s="483" t="s">
        <v>453</v>
      </c>
      <c r="C204" s="658" t="s">
        <v>433</v>
      </c>
      <c r="D204" s="504" t="s">
        <v>1728</v>
      </c>
      <c r="E204" s="213"/>
      <c r="F204" s="214"/>
      <c r="G204" s="213"/>
      <c r="H204" s="213"/>
      <c r="I204" s="372"/>
      <c r="J204" s="259"/>
      <c r="K204" s="213"/>
      <c r="L204" s="643"/>
      <c r="M204" s="616">
        <f t="shared" si="1"/>
        <v>0</v>
      </c>
      <c r="N204" s="633"/>
      <c r="O204" s="636"/>
      <c r="P204" s="636"/>
      <c r="Q204" s="7"/>
      <c r="R204" s="699"/>
      <c r="S204" s="7"/>
      <c r="T204" s="618">
        <f t="shared" si="11"/>
        <v>0</v>
      </c>
      <c r="U204" s="7"/>
      <c r="V204" s="7"/>
      <c r="W204" s="7"/>
      <c r="X204" s="7"/>
      <c r="Y204" s="7"/>
      <c r="Z204" s="7"/>
    </row>
    <row r="205" spans="1:26" ht="21" customHeight="1">
      <c r="A205" s="486"/>
      <c r="B205" s="487" t="s">
        <v>455</v>
      </c>
      <c r="C205" s="656" t="s">
        <v>456</v>
      </c>
      <c r="D205" s="512"/>
      <c r="E205" s="213"/>
      <c r="F205" s="214"/>
      <c r="G205" s="213"/>
      <c r="H205" s="213"/>
      <c r="I205" s="372"/>
      <c r="J205" s="259"/>
      <c r="K205" s="213"/>
      <c r="L205" s="643"/>
      <c r="M205" s="616">
        <f t="shared" si="1"/>
        <v>0</v>
      </c>
      <c r="N205" s="633"/>
      <c r="O205" s="636"/>
      <c r="P205" s="636"/>
      <c r="Q205" s="7"/>
      <c r="R205" s="699"/>
      <c r="S205" s="7"/>
      <c r="T205" s="618">
        <f t="shared" si="11"/>
        <v>0</v>
      </c>
      <c r="U205" s="7"/>
      <c r="V205" s="7"/>
      <c r="W205" s="7"/>
      <c r="X205" s="7"/>
      <c r="Y205" s="7"/>
      <c r="Z205" s="7"/>
    </row>
    <row r="206" spans="1:26" ht="20.25" customHeight="1">
      <c r="A206" s="503"/>
      <c r="B206" s="483" t="s">
        <v>458</v>
      </c>
      <c r="C206" s="658" t="s">
        <v>459</v>
      </c>
      <c r="D206" s="504" t="s">
        <v>424</v>
      </c>
      <c r="E206" s="213">
        <v>10</v>
      </c>
      <c r="F206" s="214"/>
      <c r="G206" s="213">
        <f>30+155</f>
        <v>185</v>
      </c>
      <c r="H206" s="213"/>
      <c r="I206" s="372">
        <v>64</v>
      </c>
      <c r="J206" s="259">
        <v>770</v>
      </c>
      <c r="K206" s="213"/>
      <c r="L206" s="643"/>
      <c r="M206" s="616">
        <f t="shared" si="1"/>
        <v>1029</v>
      </c>
      <c r="N206" s="633"/>
      <c r="O206" s="648"/>
      <c r="P206" s="648"/>
      <c r="Q206" s="7"/>
      <c r="R206" s="702">
        <v>411</v>
      </c>
      <c r="S206" s="7"/>
      <c r="T206" s="618"/>
      <c r="U206" s="7"/>
      <c r="V206" s="7"/>
      <c r="W206" s="7"/>
      <c r="X206" s="7"/>
      <c r="Y206" s="7"/>
      <c r="Z206" s="7"/>
    </row>
    <row r="207" spans="1:26" ht="20.25" customHeight="1">
      <c r="A207" s="503"/>
      <c r="B207" s="483" t="s">
        <v>461</v>
      </c>
      <c r="C207" s="658" t="s">
        <v>431</v>
      </c>
      <c r="D207" s="504" t="s">
        <v>1729</v>
      </c>
      <c r="E207" s="213"/>
      <c r="F207" s="214"/>
      <c r="G207" s="213"/>
      <c r="H207" s="213"/>
      <c r="I207" s="372"/>
      <c r="J207" s="259"/>
      <c r="K207" s="213"/>
      <c r="L207" s="643"/>
      <c r="M207" s="616">
        <f t="shared" si="1"/>
        <v>0</v>
      </c>
      <c r="N207" s="633"/>
      <c r="O207" s="648"/>
      <c r="P207" s="648"/>
      <c r="Q207" s="7"/>
      <c r="R207" s="702">
        <v>20</v>
      </c>
      <c r="S207" s="7"/>
      <c r="T207" s="618"/>
      <c r="U207" s="7"/>
      <c r="V207" s="7"/>
      <c r="W207" s="7"/>
      <c r="X207" s="7"/>
      <c r="Y207" s="7"/>
      <c r="Z207" s="7"/>
    </row>
    <row r="208" spans="1:26" ht="20.25" customHeight="1">
      <c r="A208" s="503"/>
      <c r="B208" s="483" t="s">
        <v>464</v>
      </c>
      <c r="C208" s="658" t="s">
        <v>433</v>
      </c>
      <c r="D208" s="504" t="s">
        <v>1730</v>
      </c>
      <c r="E208" s="213"/>
      <c r="F208" s="214"/>
      <c r="G208" s="213"/>
      <c r="H208" s="213"/>
      <c r="I208" s="372"/>
      <c r="J208" s="259"/>
      <c r="K208" s="213"/>
      <c r="L208" s="643"/>
      <c r="M208" s="616">
        <f t="shared" si="1"/>
        <v>0</v>
      </c>
      <c r="N208" s="633"/>
      <c r="O208" s="636"/>
      <c r="P208" s="636"/>
      <c r="Q208" s="7"/>
      <c r="R208" s="702"/>
      <c r="S208" s="7"/>
      <c r="T208" s="618">
        <f t="shared" ref="T208:T447" si="12">R208-M208</f>
        <v>0</v>
      </c>
      <c r="U208" s="7"/>
      <c r="V208" s="7"/>
      <c r="W208" s="7"/>
      <c r="X208" s="7"/>
      <c r="Y208" s="7"/>
      <c r="Z208" s="7"/>
    </row>
    <row r="209" spans="1:26" ht="20.25" customHeight="1">
      <c r="A209" s="486"/>
      <c r="B209" s="487" t="s">
        <v>455</v>
      </c>
      <c r="C209" s="635" t="s">
        <v>467</v>
      </c>
      <c r="D209" s="412"/>
      <c r="E209" s="213"/>
      <c r="F209" s="214"/>
      <c r="G209" s="213"/>
      <c r="H209" s="213"/>
      <c r="I209" s="372"/>
      <c r="J209" s="259"/>
      <c r="K209" s="213"/>
      <c r="L209" s="643"/>
      <c r="M209" s="616">
        <f t="shared" si="1"/>
        <v>0</v>
      </c>
      <c r="N209" s="633"/>
      <c r="O209" s="648"/>
      <c r="P209" s="648"/>
      <c r="Q209" s="7"/>
      <c r="R209" s="699"/>
      <c r="S209" s="7"/>
      <c r="T209" s="618">
        <f t="shared" si="12"/>
        <v>0</v>
      </c>
      <c r="U209" s="7"/>
      <c r="V209" s="7"/>
      <c r="W209" s="7"/>
      <c r="X209" s="7"/>
      <c r="Y209" s="7"/>
      <c r="Z209" s="7"/>
    </row>
    <row r="210" spans="1:26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4"/>
      <c r="G210" s="213"/>
      <c r="H210" s="213"/>
      <c r="I210" s="372"/>
      <c r="J210" s="259"/>
      <c r="K210" s="213"/>
      <c r="L210" s="643"/>
      <c r="M210" s="616">
        <f t="shared" si="1"/>
        <v>0</v>
      </c>
      <c r="N210" s="633"/>
      <c r="O210" s="648"/>
      <c r="P210" s="648"/>
      <c r="Q210" s="7"/>
      <c r="R210" s="699">
        <v>3</v>
      </c>
      <c r="S210" s="7"/>
      <c r="T210" s="618">
        <f t="shared" si="12"/>
        <v>3</v>
      </c>
      <c r="U210" s="7"/>
      <c r="V210" s="7"/>
      <c r="W210" s="7"/>
      <c r="X210" s="7"/>
      <c r="Y210" s="7"/>
      <c r="Z210" s="7"/>
    </row>
    <row r="211" spans="1:26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4"/>
      <c r="G211" s="213"/>
      <c r="H211" s="213"/>
      <c r="I211" s="372"/>
      <c r="J211" s="259"/>
      <c r="K211" s="213"/>
      <c r="L211" s="643"/>
      <c r="M211" s="616">
        <f t="shared" si="1"/>
        <v>0</v>
      </c>
      <c r="N211" s="633"/>
      <c r="O211" s="636"/>
      <c r="P211" s="636"/>
      <c r="Q211" s="7"/>
      <c r="R211" s="699"/>
      <c r="S211" s="7"/>
      <c r="T211" s="618">
        <f t="shared" si="12"/>
        <v>0</v>
      </c>
      <c r="U211" s="7"/>
      <c r="V211" s="7"/>
      <c r="W211" s="7"/>
      <c r="X211" s="7"/>
      <c r="Y211" s="7"/>
      <c r="Z211" s="7"/>
    </row>
    <row r="212" spans="1:26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4"/>
      <c r="G212" s="213"/>
      <c r="H212" s="213"/>
      <c r="I212" s="372"/>
      <c r="J212" s="259"/>
      <c r="K212" s="213"/>
      <c r="L212" s="643"/>
      <c r="M212" s="616">
        <f t="shared" si="1"/>
        <v>0</v>
      </c>
      <c r="N212" s="633"/>
      <c r="O212" s="636"/>
      <c r="P212" s="636"/>
      <c r="Q212" s="7"/>
      <c r="R212" s="699"/>
      <c r="S212" s="7"/>
      <c r="T212" s="618">
        <f t="shared" si="12"/>
        <v>0</v>
      </c>
      <c r="U212" s="7"/>
      <c r="V212" s="7"/>
      <c r="W212" s="7"/>
      <c r="X212" s="7"/>
      <c r="Y212" s="7"/>
      <c r="Z212" s="7"/>
    </row>
    <row r="213" spans="1:26" ht="20.25" customHeight="1">
      <c r="A213" s="486"/>
      <c r="B213" s="487" t="s">
        <v>475</v>
      </c>
      <c r="C213" s="635" t="s">
        <v>476</v>
      </c>
      <c r="D213" s="412"/>
      <c r="E213" s="213"/>
      <c r="F213" s="214"/>
      <c r="G213" s="213"/>
      <c r="H213" s="213"/>
      <c r="I213" s="372"/>
      <c r="J213" s="259"/>
      <c r="K213" s="213"/>
      <c r="L213" s="643"/>
      <c r="M213" s="616">
        <f t="shared" si="1"/>
        <v>0</v>
      </c>
      <c r="N213" s="633"/>
      <c r="O213" s="636"/>
      <c r="P213" s="636"/>
      <c r="Q213" s="7"/>
      <c r="R213" s="703">
        <f>R214+R215</f>
        <v>10</v>
      </c>
      <c r="S213" s="7"/>
      <c r="T213" s="618">
        <f t="shared" si="12"/>
        <v>10</v>
      </c>
      <c r="U213" s="7"/>
      <c r="V213" s="7"/>
      <c r="W213" s="7"/>
      <c r="X213" s="7"/>
      <c r="Y213" s="7"/>
      <c r="Z213" s="7"/>
    </row>
    <row r="214" spans="1:26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4"/>
      <c r="G214" s="213"/>
      <c r="H214" s="213"/>
      <c r="I214" s="372"/>
      <c r="J214" s="259"/>
      <c r="K214" s="213"/>
      <c r="L214" s="643"/>
      <c r="M214" s="616">
        <f t="shared" si="1"/>
        <v>0</v>
      </c>
      <c r="N214" s="633"/>
      <c r="O214" s="636"/>
      <c r="P214" s="636"/>
      <c r="Q214" s="7"/>
      <c r="R214" s="699">
        <v>1</v>
      </c>
      <c r="S214" s="7"/>
      <c r="T214" s="618">
        <f t="shared" si="12"/>
        <v>1</v>
      </c>
      <c r="U214" s="7"/>
      <c r="V214" s="7"/>
      <c r="W214" s="7"/>
      <c r="X214" s="7"/>
      <c r="Y214" s="7"/>
      <c r="Z214" s="7"/>
    </row>
    <row r="215" spans="1:26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4"/>
      <c r="G215" s="213"/>
      <c r="H215" s="213"/>
      <c r="I215" s="372"/>
      <c r="J215" s="259"/>
      <c r="K215" s="213"/>
      <c r="L215" s="643"/>
      <c r="M215" s="616">
        <f t="shared" si="1"/>
        <v>0</v>
      </c>
      <c r="N215" s="633"/>
      <c r="O215" s="636"/>
      <c r="P215" s="636"/>
      <c r="Q215" s="7"/>
      <c r="R215" s="699">
        <v>9</v>
      </c>
      <c r="S215" s="7"/>
      <c r="T215" s="618">
        <f t="shared" si="12"/>
        <v>9</v>
      </c>
      <c r="U215" s="7"/>
      <c r="V215" s="7"/>
      <c r="W215" s="7"/>
      <c r="X215" s="7"/>
      <c r="Y215" s="7"/>
      <c r="Z215" s="7"/>
    </row>
    <row r="216" spans="1:26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4"/>
      <c r="G216" s="213"/>
      <c r="H216" s="213"/>
      <c r="I216" s="372"/>
      <c r="J216" s="259"/>
      <c r="K216" s="213"/>
      <c r="L216" s="643"/>
      <c r="M216" s="616">
        <f t="shared" si="1"/>
        <v>0</v>
      </c>
      <c r="N216" s="633"/>
      <c r="O216" s="636"/>
      <c r="P216" s="636"/>
      <c r="Q216" s="7"/>
      <c r="R216" s="699">
        <v>8</v>
      </c>
      <c r="S216" s="7"/>
      <c r="T216" s="618">
        <f t="shared" si="12"/>
        <v>8</v>
      </c>
      <c r="U216" s="7"/>
      <c r="V216" s="7"/>
      <c r="W216" s="7"/>
      <c r="X216" s="7"/>
      <c r="Y216" s="7"/>
      <c r="Z216" s="7"/>
    </row>
    <row r="217" spans="1:26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4"/>
      <c r="G217" s="213"/>
      <c r="H217" s="213"/>
      <c r="I217" s="372"/>
      <c r="J217" s="259"/>
      <c r="K217" s="213"/>
      <c r="L217" s="643"/>
      <c r="M217" s="616">
        <f t="shared" si="1"/>
        <v>0</v>
      </c>
      <c r="N217" s="633"/>
      <c r="O217" s="636"/>
      <c r="P217" s="636"/>
      <c r="Q217" s="7"/>
      <c r="R217" s="699">
        <v>1</v>
      </c>
      <c r="S217" s="7"/>
      <c r="T217" s="618">
        <f t="shared" si="12"/>
        <v>1</v>
      </c>
      <c r="U217" s="7"/>
      <c r="V217" s="7"/>
      <c r="W217" s="7"/>
      <c r="X217" s="7"/>
      <c r="Y217" s="7"/>
      <c r="Z217" s="7"/>
    </row>
    <row r="218" spans="1:26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4"/>
      <c r="G218" s="213"/>
      <c r="H218" s="213"/>
      <c r="I218" s="372"/>
      <c r="J218" s="259"/>
      <c r="K218" s="213"/>
      <c r="L218" s="643"/>
      <c r="M218" s="616">
        <f t="shared" si="1"/>
        <v>0</v>
      </c>
      <c r="N218" s="633"/>
      <c r="O218" s="636"/>
      <c r="P218" s="636"/>
      <c r="Q218" s="7"/>
      <c r="R218" s="699">
        <v>7</v>
      </c>
      <c r="S218" s="7"/>
      <c r="T218" s="618">
        <f t="shared" si="12"/>
        <v>7</v>
      </c>
      <c r="U218" s="7"/>
      <c r="V218" s="7"/>
      <c r="W218" s="7"/>
      <c r="X218" s="7"/>
      <c r="Y218" s="7"/>
      <c r="Z218" s="7"/>
    </row>
    <row r="219" spans="1:26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4"/>
      <c r="G219" s="213"/>
      <c r="H219" s="213"/>
      <c r="I219" s="372"/>
      <c r="J219" s="259"/>
      <c r="K219" s="213"/>
      <c r="L219" s="643"/>
      <c r="M219" s="616">
        <f t="shared" si="1"/>
        <v>0</v>
      </c>
      <c r="N219" s="633"/>
      <c r="O219" s="636"/>
      <c r="P219" s="636"/>
      <c r="Q219" s="7"/>
      <c r="R219" s="699">
        <v>25</v>
      </c>
      <c r="S219" s="7"/>
      <c r="T219" s="618">
        <f t="shared" si="12"/>
        <v>25</v>
      </c>
      <c r="U219" s="7"/>
      <c r="V219" s="7"/>
      <c r="W219" s="7"/>
      <c r="X219" s="7"/>
      <c r="Y219" s="7"/>
      <c r="Z219" s="7"/>
    </row>
    <row r="220" spans="1:26" ht="20.25" customHeight="1">
      <c r="A220" s="486"/>
      <c r="B220" s="487" t="s">
        <v>496</v>
      </c>
      <c r="C220" s="635" t="s">
        <v>497</v>
      </c>
      <c r="D220" s="512"/>
      <c r="E220" s="213"/>
      <c r="F220" s="214"/>
      <c r="G220" s="213"/>
      <c r="H220" s="213"/>
      <c r="I220" s="372"/>
      <c r="J220" s="259"/>
      <c r="K220" s="213"/>
      <c r="L220" s="643"/>
      <c r="M220" s="616">
        <f t="shared" si="1"/>
        <v>0</v>
      </c>
      <c r="N220" s="633"/>
      <c r="O220" s="636"/>
      <c r="P220" s="636"/>
      <c r="Q220" s="7"/>
      <c r="R220" s="699"/>
      <c r="S220" s="7"/>
      <c r="T220" s="618">
        <f t="shared" si="12"/>
        <v>0</v>
      </c>
      <c r="U220" s="7"/>
      <c r="V220" s="7"/>
      <c r="W220" s="7"/>
      <c r="X220" s="7"/>
      <c r="Y220" s="7"/>
      <c r="Z220" s="7"/>
    </row>
    <row r="221" spans="1:26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4"/>
      <c r="G221" s="213">
        <v>400</v>
      </c>
      <c r="H221" s="213">
        <v>50</v>
      </c>
      <c r="I221" s="372"/>
      <c r="J221" s="259"/>
      <c r="K221" s="213"/>
      <c r="L221" s="643"/>
      <c r="M221" s="616">
        <f t="shared" si="1"/>
        <v>450</v>
      </c>
      <c r="N221" s="633"/>
      <c r="O221" s="634"/>
      <c r="P221" s="634"/>
      <c r="Q221" s="7"/>
      <c r="R221" s="699">
        <v>11280</v>
      </c>
      <c r="S221" s="7"/>
      <c r="T221" s="618">
        <f t="shared" si="12"/>
        <v>10830</v>
      </c>
      <c r="U221" s="7"/>
      <c r="V221" s="7"/>
      <c r="W221" s="7"/>
      <c r="X221" s="7"/>
      <c r="Y221" s="7"/>
      <c r="Z221" s="7"/>
    </row>
    <row r="222" spans="1:26" ht="20.25" customHeight="1">
      <c r="A222" s="482" t="s">
        <v>1007</v>
      </c>
      <c r="B222" s="483" t="s">
        <v>502</v>
      </c>
      <c r="C222" s="629" t="s">
        <v>503</v>
      </c>
      <c r="D222" s="504" t="s">
        <v>1731</v>
      </c>
      <c r="E222" s="213"/>
      <c r="F222" s="214"/>
      <c r="G222" s="213"/>
      <c r="H222" s="213"/>
      <c r="I222" s="372"/>
      <c r="J222" s="259"/>
      <c r="K222" s="213"/>
      <c r="L222" s="643"/>
      <c r="M222" s="616">
        <f t="shared" si="1"/>
        <v>0</v>
      </c>
      <c r="N222" s="633"/>
      <c r="O222" s="634"/>
      <c r="P222" s="634"/>
      <c r="Q222" s="7"/>
      <c r="R222" s="699">
        <v>4200</v>
      </c>
      <c r="S222" s="7"/>
      <c r="T222" s="618">
        <f t="shared" si="12"/>
        <v>4200</v>
      </c>
      <c r="U222" s="7"/>
      <c r="V222" s="7"/>
      <c r="W222" s="7"/>
      <c r="X222" s="7"/>
      <c r="Y222" s="7"/>
      <c r="Z222" s="7"/>
    </row>
    <row r="223" spans="1:26" ht="20.25" customHeight="1">
      <c r="A223" s="482"/>
      <c r="B223" s="483" t="s">
        <v>506</v>
      </c>
      <c r="C223" s="629" t="s">
        <v>507</v>
      </c>
      <c r="D223" s="485" t="s">
        <v>1732</v>
      </c>
      <c r="E223" s="213"/>
      <c r="F223" s="214"/>
      <c r="G223" s="213"/>
      <c r="H223" s="213"/>
      <c r="I223" s="372"/>
      <c r="J223" s="259"/>
      <c r="K223" s="213"/>
      <c r="L223" s="643"/>
      <c r="M223" s="616">
        <f t="shared" si="1"/>
        <v>0</v>
      </c>
      <c r="N223" s="633"/>
      <c r="O223" s="634"/>
      <c r="P223" s="634"/>
      <c r="Q223" s="7"/>
      <c r="R223" s="699"/>
      <c r="S223" s="7"/>
      <c r="T223" s="618">
        <f t="shared" si="12"/>
        <v>0</v>
      </c>
      <c r="U223" s="7"/>
      <c r="V223" s="7"/>
      <c r="W223" s="7"/>
      <c r="X223" s="7"/>
      <c r="Y223" s="7"/>
      <c r="Z223" s="7"/>
    </row>
    <row r="224" spans="1:26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4"/>
      <c r="G224" s="213"/>
      <c r="H224" s="213"/>
      <c r="I224" s="372"/>
      <c r="J224" s="259"/>
      <c r="K224" s="213"/>
      <c r="L224" s="643"/>
      <c r="M224" s="616">
        <f t="shared" si="1"/>
        <v>0</v>
      </c>
      <c r="N224" s="633"/>
      <c r="O224" s="636"/>
      <c r="P224" s="636"/>
      <c r="Q224" s="7"/>
      <c r="R224" s="699"/>
      <c r="S224" s="7"/>
      <c r="T224" s="618">
        <f t="shared" si="12"/>
        <v>0</v>
      </c>
      <c r="U224" s="7"/>
      <c r="V224" s="7"/>
      <c r="W224" s="7"/>
      <c r="X224" s="7"/>
      <c r="Y224" s="7"/>
      <c r="Z224" s="7"/>
    </row>
    <row r="225" spans="1:26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4"/>
      <c r="G225" s="213"/>
      <c r="H225" s="213"/>
      <c r="I225" s="372"/>
      <c r="J225" s="259"/>
      <c r="K225" s="213"/>
      <c r="L225" s="643"/>
      <c r="M225" s="616">
        <f t="shared" si="1"/>
        <v>0</v>
      </c>
      <c r="N225" s="660" t="s">
        <v>1594</v>
      </c>
      <c r="O225" s="640"/>
      <c r="P225" s="640"/>
      <c r="Q225" s="7"/>
      <c r="R225" s="699"/>
      <c r="S225" s="7"/>
      <c r="T225" s="618">
        <f t="shared" si="12"/>
        <v>0</v>
      </c>
      <c r="U225" s="7"/>
      <c r="V225" s="7"/>
      <c r="W225" s="7"/>
      <c r="X225" s="7"/>
      <c r="Y225" s="7"/>
      <c r="Z225" s="7"/>
    </row>
    <row r="226" spans="1:26" ht="15.75" customHeight="1">
      <c r="A226" s="486"/>
      <c r="B226" s="487" t="s">
        <v>515</v>
      </c>
      <c r="C226" s="635" t="s">
        <v>516</v>
      </c>
      <c r="D226" s="512"/>
      <c r="E226" s="213"/>
      <c r="F226" s="214"/>
      <c r="G226" s="213"/>
      <c r="H226" s="213"/>
      <c r="I226" s="372"/>
      <c r="J226" s="259"/>
      <c r="K226" s="213"/>
      <c r="L226" s="643"/>
      <c r="M226" s="616">
        <f t="shared" si="1"/>
        <v>0</v>
      </c>
      <c r="N226" s="642">
        <f>M227+M237</f>
        <v>346</v>
      </c>
      <c r="O226" s="636"/>
      <c r="P226" s="636"/>
      <c r="Q226" s="7"/>
      <c r="R226" s="699"/>
      <c r="S226" s="7"/>
      <c r="T226" s="618">
        <f t="shared" si="12"/>
        <v>0</v>
      </c>
      <c r="U226" s="7"/>
      <c r="V226" s="7"/>
      <c r="W226" s="7"/>
      <c r="X226" s="7"/>
      <c r="Y226" s="7"/>
      <c r="Z226" s="7"/>
    </row>
    <row r="227" spans="1:26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4"/>
      <c r="G227" s="213"/>
      <c r="H227" s="213"/>
      <c r="I227" s="372"/>
      <c r="J227" s="259"/>
      <c r="K227" s="213"/>
      <c r="L227" s="643"/>
      <c r="M227" s="616">
        <f t="shared" si="1"/>
        <v>0</v>
      </c>
      <c r="N227" s="648"/>
      <c r="O227" s="648"/>
      <c r="P227" s="648"/>
      <c r="Q227" s="7"/>
      <c r="R227" s="699">
        <v>552</v>
      </c>
      <c r="S227" s="7"/>
      <c r="T227" s="618">
        <f t="shared" si="12"/>
        <v>552</v>
      </c>
      <c r="U227" s="7"/>
      <c r="V227" s="7"/>
      <c r="W227" s="7"/>
      <c r="X227" s="7"/>
      <c r="Y227" s="7"/>
      <c r="Z227" s="7"/>
    </row>
    <row r="228" spans="1:26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4"/>
      <c r="G228" s="213"/>
      <c r="H228" s="213"/>
      <c r="I228" s="372"/>
      <c r="J228" s="259"/>
      <c r="K228" s="213"/>
      <c r="L228" s="643"/>
      <c r="M228" s="616">
        <f t="shared" si="1"/>
        <v>0</v>
      </c>
      <c r="N228" s="661" t="s">
        <v>1595</v>
      </c>
      <c r="O228" s="648"/>
      <c r="P228" s="648"/>
      <c r="Q228" s="7"/>
      <c r="R228" s="699">
        <v>1200</v>
      </c>
      <c r="S228" s="7"/>
      <c r="T228" s="618">
        <f t="shared" si="12"/>
        <v>1200</v>
      </c>
      <c r="U228" s="7"/>
      <c r="V228" s="7"/>
      <c r="W228" s="7"/>
      <c r="X228" s="7"/>
      <c r="Y228" s="7"/>
      <c r="Z228" s="7"/>
    </row>
    <row r="229" spans="1:26" ht="19.5" customHeight="1">
      <c r="A229" s="503"/>
      <c r="B229" s="483" t="s">
        <v>523</v>
      </c>
      <c r="C229" s="629" t="s">
        <v>524</v>
      </c>
      <c r="D229" s="504" t="s">
        <v>1733</v>
      </c>
      <c r="E229" s="213"/>
      <c r="F229" s="214"/>
      <c r="G229" s="213"/>
      <c r="H229" s="213"/>
      <c r="I229" s="372"/>
      <c r="J229" s="259"/>
      <c r="K229" s="213"/>
      <c r="L229" s="643"/>
      <c r="M229" s="616">
        <f t="shared" si="1"/>
        <v>0</v>
      </c>
      <c r="N229" s="642">
        <f>M229+M230+M239+M240</f>
        <v>7550</v>
      </c>
      <c r="O229" s="648"/>
      <c r="P229" s="648"/>
      <c r="Q229" s="7"/>
      <c r="R229" s="699">
        <v>4040</v>
      </c>
      <c r="S229" s="7"/>
      <c r="T229" s="618">
        <f t="shared" si="12"/>
        <v>4040</v>
      </c>
      <c r="U229" s="7"/>
      <c r="V229" s="7"/>
      <c r="W229" s="7"/>
      <c r="X229" s="7"/>
      <c r="Y229" s="7"/>
      <c r="Z229" s="7"/>
    </row>
    <row r="230" spans="1:26" ht="20.25" customHeight="1">
      <c r="A230" s="503"/>
      <c r="B230" s="483" t="s">
        <v>526</v>
      </c>
      <c r="C230" s="629" t="s">
        <v>527</v>
      </c>
      <c r="D230" s="504" t="s">
        <v>1734</v>
      </c>
      <c r="E230" s="213"/>
      <c r="F230" s="214"/>
      <c r="G230" s="213"/>
      <c r="H230" s="213"/>
      <c r="I230" s="372"/>
      <c r="J230" s="259"/>
      <c r="K230" s="213"/>
      <c r="L230" s="643"/>
      <c r="M230" s="616">
        <f t="shared" si="1"/>
        <v>0</v>
      </c>
      <c r="N230" s="633"/>
      <c r="O230" s="648"/>
      <c r="P230" s="648"/>
      <c r="Q230" s="7"/>
      <c r="R230" s="699"/>
      <c r="S230" s="7"/>
      <c r="T230" s="618">
        <f t="shared" si="12"/>
        <v>0</v>
      </c>
      <c r="U230" s="7"/>
      <c r="V230" s="7"/>
      <c r="W230" s="7"/>
      <c r="X230" s="7"/>
      <c r="Y230" s="7"/>
      <c r="Z230" s="7"/>
    </row>
    <row r="231" spans="1:26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4"/>
      <c r="G231" s="213"/>
      <c r="H231" s="213"/>
      <c r="I231" s="372"/>
      <c r="J231" s="259"/>
      <c r="K231" s="213"/>
      <c r="L231" s="643"/>
      <c r="M231" s="616">
        <f t="shared" si="1"/>
        <v>0</v>
      </c>
      <c r="N231" s="633"/>
      <c r="O231" s="648"/>
      <c r="P231" s="648"/>
      <c r="Q231" s="7"/>
      <c r="R231" s="699"/>
      <c r="S231" s="7"/>
      <c r="T231" s="618">
        <f t="shared" si="12"/>
        <v>0</v>
      </c>
      <c r="U231" s="7"/>
      <c r="V231" s="7"/>
      <c r="W231" s="7"/>
      <c r="X231" s="7"/>
      <c r="Y231" s="7"/>
      <c r="Z231" s="7"/>
    </row>
    <row r="232" spans="1:26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4"/>
      <c r="G232" s="213"/>
      <c r="H232" s="213"/>
      <c r="I232" s="372"/>
      <c r="J232" s="259"/>
      <c r="K232" s="213"/>
      <c r="L232" s="643"/>
      <c r="M232" s="616">
        <f t="shared" si="1"/>
        <v>0</v>
      </c>
      <c r="N232" s="633"/>
      <c r="O232" s="648"/>
      <c r="P232" s="648"/>
      <c r="Q232" s="7"/>
      <c r="R232" s="699"/>
      <c r="S232" s="7"/>
      <c r="T232" s="618">
        <f t="shared" si="12"/>
        <v>0</v>
      </c>
      <c r="U232" s="7"/>
      <c r="V232" s="7"/>
      <c r="W232" s="7"/>
      <c r="X232" s="7"/>
      <c r="Y232" s="7"/>
      <c r="Z232" s="7"/>
    </row>
    <row r="233" spans="1:26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4"/>
      <c r="G233" s="213"/>
      <c r="H233" s="213"/>
      <c r="I233" s="372"/>
      <c r="J233" s="259"/>
      <c r="K233" s="213"/>
      <c r="L233" s="643"/>
      <c r="M233" s="616">
        <f t="shared" si="1"/>
        <v>0</v>
      </c>
      <c r="N233" s="633"/>
      <c r="O233" s="648"/>
      <c r="P233" s="648"/>
      <c r="Q233" s="7"/>
      <c r="R233" s="699"/>
      <c r="S233" s="7"/>
      <c r="T233" s="618">
        <f t="shared" si="12"/>
        <v>0</v>
      </c>
      <c r="U233" s="7"/>
      <c r="V233" s="7"/>
      <c r="W233" s="7"/>
      <c r="X233" s="7"/>
      <c r="Y233" s="7"/>
      <c r="Z233" s="7"/>
    </row>
    <row r="234" spans="1:26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4"/>
      <c r="G234" s="213"/>
      <c r="H234" s="213"/>
      <c r="I234" s="372"/>
      <c r="J234" s="259"/>
      <c r="K234" s="213"/>
      <c r="L234" s="643"/>
      <c r="M234" s="616">
        <f t="shared" si="1"/>
        <v>0</v>
      </c>
      <c r="N234" s="633"/>
      <c r="O234" s="648"/>
      <c r="P234" s="648"/>
      <c r="Q234" s="7"/>
      <c r="R234" s="699"/>
      <c r="S234" s="7"/>
      <c r="T234" s="618">
        <f t="shared" si="12"/>
        <v>0</v>
      </c>
      <c r="U234" s="7"/>
      <c r="V234" s="7"/>
      <c r="W234" s="7"/>
      <c r="X234" s="7"/>
      <c r="Y234" s="7"/>
      <c r="Z234" s="7"/>
    </row>
    <row r="235" spans="1:26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4"/>
      <c r="G235" s="213"/>
      <c r="H235" s="213"/>
      <c r="I235" s="372"/>
      <c r="J235" s="259"/>
      <c r="K235" s="213"/>
      <c r="L235" s="643"/>
      <c r="M235" s="616">
        <f t="shared" si="1"/>
        <v>0</v>
      </c>
      <c r="N235" s="633"/>
      <c r="O235" s="648"/>
      <c r="P235" s="648"/>
      <c r="Q235" s="7"/>
      <c r="R235" s="699"/>
      <c r="S235" s="7"/>
      <c r="T235" s="618">
        <f t="shared" si="12"/>
        <v>0</v>
      </c>
      <c r="U235" s="7"/>
      <c r="V235" s="7"/>
      <c r="W235" s="7"/>
      <c r="X235" s="7"/>
      <c r="Y235" s="7"/>
      <c r="Z235" s="7"/>
    </row>
    <row r="236" spans="1:26" ht="15.75" customHeight="1">
      <c r="A236" s="486"/>
      <c r="B236" s="487" t="s">
        <v>545</v>
      </c>
      <c r="C236" s="635" t="s">
        <v>546</v>
      </c>
      <c r="D236" s="512"/>
      <c r="E236" s="213"/>
      <c r="F236" s="214"/>
      <c r="G236" s="213"/>
      <c r="H236" s="213"/>
      <c r="I236" s="372"/>
      <c r="J236" s="259"/>
      <c r="K236" s="213"/>
      <c r="L236" s="643"/>
      <c r="M236" s="616">
        <f t="shared" si="1"/>
        <v>0</v>
      </c>
      <c r="N236" s="633"/>
      <c r="O236" s="636"/>
      <c r="P236" s="636"/>
      <c r="Q236" s="7"/>
      <c r="R236" s="699"/>
      <c r="S236" s="7"/>
      <c r="T236" s="618">
        <f t="shared" si="12"/>
        <v>0</v>
      </c>
      <c r="U236" s="7"/>
      <c r="V236" s="7"/>
      <c r="W236" s="7"/>
      <c r="X236" s="7"/>
      <c r="Y236" s="7"/>
      <c r="Z236" s="7"/>
    </row>
    <row r="237" spans="1:26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4"/>
      <c r="G237" s="213">
        <f>30+30+176</f>
        <v>236</v>
      </c>
      <c r="H237" s="213"/>
      <c r="I237" s="372">
        <f>110</f>
        <v>110</v>
      </c>
      <c r="J237" s="259"/>
      <c r="K237" s="213"/>
      <c r="L237" s="643"/>
      <c r="M237" s="616">
        <f t="shared" si="1"/>
        <v>346</v>
      </c>
      <c r="N237" s="633"/>
      <c r="O237" s="648"/>
      <c r="P237" s="648"/>
      <c r="Q237" s="7"/>
      <c r="R237" s="702">
        <v>1722</v>
      </c>
      <c r="S237" s="7"/>
      <c r="T237" s="618">
        <f t="shared" si="12"/>
        <v>1376</v>
      </c>
      <c r="U237" s="7"/>
      <c r="V237" s="7"/>
      <c r="W237" s="7"/>
      <c r="X237" s="7"/>
      <c r="Y237" s="7"/>
      <c r="Z237" s="7"/>
    </row>
    <row r="238" spans="1:26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4"/>
      <c r="G238" s="213"/>
      <c r="H238" s="213"/>
      <c r="I238" s="372"/>
      <c r="J238" s="259"/>
      <c r="K238" s="213"/>
      <c r="L238" s="643"/>
      <c r="M238" s="616">
        <f t="shared" si="1"/>
        <v>0</v>
      </c>
      <c r="N238" s="633"/>
      <c r="O238" s="648"/>
      <c r="P238" s="648"/>
      <c r="Q238" s="7"/>
      <c r="R238" s="702"/>
      <c r="S238" s="7"/>
      <c r="T238" s="618">
        <f t="shared" si="12"/>
        <v>0</v>
      </c>
      <c r="U238" s="7"/>
      <c r="V238" s="7"/>
      <c r="W238" s="7"/>
      <c r="X238" s="7"/>
      <c r="Y238" s="7"/>
      <c r="Z238" s="7"/>
    </row>
    <row r="239" spans="1:26" ht="20.25" customHeight="1">
      <c r="A239" s="503"/>
      <c r="B239" s="483" t="s">
        <v>551</v>
      </c>
      <c r="C239" s="629" t="s">
        <v>524</v>
      </c>
      <c r="D239" s="504" t="s">
        <v>1735</v>
      </c>
      <c r="E239" s="213"/>
      <c r="F239" s="214"/>
      <c r="G239" s="213"/>
      <c r="H239" s="213"/>
      <c r="I239" s="372">
        <f>7500+50</f>
        <v>7550</v>
      </c>
      <c r="J239" s="259"/>
      <c r="K239" s="213"/>
      <c r="L239" s="643"/>
      <c r="M239" s="616">
        <f t="shared" si="1"/>
        <v>7550</v>
      </c>
      <c r="N239" s="633"/>
      <c r="O239" s="648"/>
      <c r="P239" s="648"/>
      <c r="Q239" s="7"/>
      <c r="R239" s="702">
        <v>18984</v>
      </c>
      <c r="S239" s="7"/>
      <c r="T239" s="618">
        <f t="shared" si="12"/>
        <v>11434</v>
      </c>
      <c r="U239" s="7"/>
      <c r="V239" s="7"/>
      <c r="W239" s="7"/>
      <c r="X239" s="7"/>
      <c r="Y239" s="7"/>
      <c r="Z239" s="7"/>
    </row>
    <row r="240" spans="1:26" ht="20.25" customHeight="1">
      <c r="A240" s="503"/>
      <c r="B240" s="483" t="s">
        <v>553</v>
      </c>
      <c r="C240" s="629" t="s">
        <v>527</v>
      </c>
      <c r="D240" s="504" t="s">
        <v>1736</v>
      </c>
      <c r="E240" s="213"/>
      <c r="F240" s="214"/>
      <c r="G240" s="213"/>
      <c r="H240" s="213"/>
      <c r="I240" s="372"/>
      <c r="J240" s="259"/>
      <c r="K240" s="213"/>
      <c r="L240" s="643"/>
      <c r="M240" s="616">
        <f t="shared" si="1"/>
        <v>0</v>
      </c>
      <c r="N240" s="633"/>
      <c r="O240" s="648"/>
      <c r="P240" s="648"/>
      <c r="Q240" s="7"/>
      <c r="R240" s="699"/>
      <c r="S240" s="7"/>
      <c r="T240" s="618">
        <f t="shared" si="12"/>
        <v>0</v>
      </c>
      <c r="U240" s="7"/>
      <c r="V240" s="7"/>
      <c r="W240" s="7"/>
      <c r="X240" s="7"/>
      <c r="Y240" s="7"/>
      <c r="Z240" s="7"/>
    </row>
    <row r="241" spans="1:26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4"/>
      <c r="G241" s="213"/>
      <c r="H241" s="213"/>
      <c r="I241" s="372"/>
      <c r="J241" s="259"/>
      <c r="K241" s="213"/>
      <c r="L241" s="643"/>
      <c r="M241" s="616">
        <f t="shared" si="1"/>
        <v>0</v>
      </c>
      <c r="N241" s="633"/>
      <c r="O241" s="648"/>
      <c r="P241" s="648"/>
      <c r="Q241" s="7"/>
      <c r="R241" s="702">
        <v>1</v>
      </c>
      <c r="S241" s="7"/>
      <c r="T241" s="618">
        <f t="shared" si="12"/>
        <v>1</v>
      </c>
      <c r="U241" s="7"/>
      <c r="V241" s="7"/>
      <c r="W241" s="7"/>
      <c r="X241" s="7"/>
      <c r="Y241" s="7"/>
      <c r="Z241" s="7"/>
    </row>
    <row r="242" spans="1:26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4"/>
      <c r="G242" s="213"/>
      <c r="H242" s="213"/>
      <c r="I242" s="372"/>
      <c r="J242" s="259"/>
      <c r="K242" s="213"/>
      <c r="L242" s="643"/>
      <c r="M242" s="616">
        <f t="shared" si="1"/>
        <v>0</v>
      </c>
      <c r="N242" s="633"/>
      <c r="O242" s="648"/>
      <c r="P242" s="648"/>
      <c r="Q242" s="7"/>
      <c r="R242" s="702"/>
      <c r="S242" s="7"/>
      <c r="T242" s="618">
        <f t="shared" si="12"/>
        <v>0</v>
      </c>
      <c r="U242" s="7"/>
      <c r="V242" s="7"/>
      <c r="W242" s="7"/>
      <c r="X242" s="7"/>
      <c r="Y242" s="7"/>
      <c r="Z242" s="7"/>
    </row>
    <row r="243" spans="1:26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4"/>
      <c r="G243" s="213"/>
      <c r="H243" s="213"/>
      <c r="I243" s="372">
        <v>10</v>
      </c>
      <c r="J243" s="259">
        <v>12</v>
      </c>
      <c r="K243" s="213"/>
      <c r="L243" s="643"/>
      <c r="M243" s="616">
        <f t="shared" si="1"/>
        <v>22</v>
      </c>
      <c r="N243" s="633"/>
      <c r="O243" s="648"/>
      <c r="P243" s="648"/>
      <c r="Q243" s="7"/>
      <c r="R243" s="699">
        <v>81</v>
      </c>
      <c r="S243" s="7"/>
      <c r="T243" s="618">
        <f t="shared" si="12"/>
        <v>59</v>
      </c>
      <c r="U243" s="7"/>
      <c r="V243" s="7"/>
      <c r="W243" s="7"/>
      <c r="X243" s="7"/>
      <c r="Y243" s="7"/>
      <c r="Z243" s="7"/>
    </row>
    <row r="244" spans="1:26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4"/>
      <c r="G244" s="213"/>
      <c r="H244" s="213"/>
      <c r="I244" s="372"/>
      <c r="J244" s="259"/>
      <c r="K244" s="213"/>
      <c r="L244" s="643"/>
      <c r="M244" s="616">
        <f t="shared" si="1"/>
        <v>0</v>
      </c>
      <c r="N244" s="633"/>
      <c r="O244" s="648"/>
      <c r="P244" s="648"/>
      <c r="Q244" s="7"/>
      <c r="R244" s="699"/>
      <c r="S244" s="7"/>
      <c r="T244" s="618">
        <f t="shared" si="12"/>
        <v>0</v>
      </c>
      <c r="U244" s="7"/>
      <c r="V244" s="7"/>
      <c r="W244" s="7"/>
      <c r="X244" s="7"/>
      <c r="Y244" s="7"/>
      <c r="Z244" s="7"/>
    </row>
    <row r="245" spans="1:26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4"/>
      <c r="G245" s="213"/>
      <c r="H245" s="213"/>
      <c r="I245" s="372"/>
      <c r="J245" s="259"/>
      <c r="K245" s="213"/>
      <c r="L245" s="643"/>
      <c r="M245" s="616">
        <f t="shared" si="1"/>
        <v>0</v>
      </c>
      <c r="N245" s="633"/>
      <c r="O245" s="648"/>
      <c r="P245" s="648"/>
      <c r="Q245" s="7"/>
      <c r="R245" s="699"/>
      <c r="S245" s="7"/>
      <c r="T245" s="618">
        <f t="shared" si="12"/>
        <v>0</v>
      </c>
      <c r="U245" s="7"/>
      <c r="V245" s="7"/>
      <c r="W245" s="7"/>
      <c r="X245" s="7"/>
      <c r="Y245" s="7"/>
      <c r="Z245" s="7"/>
    </row>
    <row r="246" spans="1:26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4"/>
      <c r="G246" s="213"/>
      <c r="H246" s="213"/>
      <c r="I246" s="372"/>
      <c r="J246" s="259"/>
      <c r="K246" s="213"/>
      <c r="L246" s="643"/>
      <c r="M246" s="616">
        <f t="shared" si="1"/>
        <v>0</v>
      </c>
      <c r="N246" s="633"/>
      <c r="O246" s="636"/>
      <c r="P246" s="636"/>
      <c r="Q246" s="7"/>
      <c r="R246" s="699"/>
      <c r="S246" s="7"/>
      <c r="T246" s="618">
        <f t="shared" si="12"/>
        <v>0</v>
      </c>
      <c r="U246" s="7"/>
      <c r="V246" s="7"/>
      <c r="W246" s="7"/>
      <c r="X246" s="7"/>
      <c r="Y246" s="7"/>
      <c r="Z246" s="7"/>
    </row>
    <row r="247" spans="1:26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4"/>
      <c r="G247" s="213"/>
      <c r="H247" s="213"/>
      <c r="I247" s="372"/>
      <c r="J247" s="259"/>
      <c r="K247" s="213"/>
      <c r="L247" s="643"/>
      <c r="M247" s="616">
        <f t="shared" si="1"/>
        <v>0</v>
      </c>
      <c r="N247" s="633"/>
      <c r="O247" s="636"/>
      <c r="P247" s="636"/>
      <c r="Q247" s="7"/>
      <c r="R247" s="699"/>
      <c r="S247" s="7"/>
      <c r="T247" s="618">
        <f t="shared" si="12"/>
        <v>0</v>
      </c>
      <c r="U247" s="7"/>
      <c r="V247" s="7"/>
      <c r="W247" s="7"/>
      <c r="X247" s="7"/>
      <c r="Y247" s="7"/>
      <c r="Z247" s="7"/>
    </row>
    <row r="248" spans="1:26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4"/>
      <c r="G248" s="213"/>
      <c r="H248" s="213"/>
      <c r="I248" s="372"/>
      <c r="J248" s="259"/>
      <c r="K248" s="213"/>
      <c r="L248" s="643"/>
      <c r="M248" s="616">
        <f t="shared" si="1"/>
        <v>0</v>
      </c>
      <c r="N248" s="633"/>
      <c r="O248" s="636"/>
      <c r="P248" s="636"/>
      <c r="Q248" s="7"/>
      <c r="R248" s="699"/>
      <c r="S248" s="7"/>
      <c r="T248" s="618">
        <f t="shared" si="12"/>
        <v>0</v>
      </c>
      <c r="U248" s="7"/>
      <c r="V248" s="7"/>
      <c r="W248" s="7"/>
      <c r="X248" s="7"/>
      <c r="Y248" s="7"/>
      <c r="Z248" s="7"/>
    </row>
    <row r="249" spans="1:26" ht="20.25" customHeight="1">
      <c r="A249" s="503" t="s">
        <v>1020</v>
      </c>
      <c r="B249" s="483" t="s">
        <v>566</v>
      </c>
      <c r="C249" s="629" t="s">
        <v>567</v>
      </c>
      <c r="D249" s="485" t="s">
        <v>1737</v>
      </c>
      <c r="E249" s="213"/>
      <c r="F249" s="214"/>
      <c r="G249" s="213"/>
      <c r="H249" s="213"/>
      <c r="I249" s="372"/>
      <c r="J249" s="259"/>
      <c r="K249" s="213"/>
      <c r="L249" s="643"/>
      <c r="M249" s="616">
        <f t="shared" si="1"/>
        <v>0</v>
      </c>
      <c r="N249" s="633"/>
      <c r="O249" s="636"/>
      <c r="P249" s="636"/>
      <c r="Q249" s="7"/>
      <c r="R249" s="699"/>
      <c r="S249" s="7"/>
      <c r="T249" s="618">
        <f t="shared" si="12"/>
        <v>0</v>
      </c>
      <c r="U249" s="7"/>
      <c r="V249" s="7"/>
      <c r="W249" s="7"/>
      <c r="X249" s="7"/>
      <c r="Y249" s="7"/>
      <c r="Z249" s="7"/>
    </row>
    <row r="250" spans="1:26" ht="20.25" customHeight="1">
      <c r="A250" s="503" t="s">
        <v>1022</v>
      </c>
      <c r="B250" s="483" t="s">
        <v>569</v>
      </c>
      <c r="C250" s="629" t="s">
        <v>570</v>
      </c>
      <c r="D250" s="485" t="s">
        <v>1738</v>
      </c>
      <c r="E250" s="213"/>
      <c r="F250" s="214"/>
      <c r="G250" s="213"/>
      <c r="H250" s="213"/>
      <c r="I250" s="372"/>
      <c r="J250" s="259"/>
      <c r="K250" s="213"/>
      <c r="L250" s="643"/>
      <c r="M250" s="616">
        <f t="shared" si="1"/>
        <v>0</v>
      </c>
      <c r="N250" s="633"/>
      <c r="O250" s="636"/>
      <c r="P250" s="636"/>
      <c r="Q250" s="7"/>
      <c r="R250" s="699"/>
      <c r="S250" s="7"/>
      <c r="T250" s="618">
        <f t="shared" si="12"/>
        <v>0</v>
      </c>
      <c r="U250" s="7"/>
      <c r="V250" s="7"/>
      <c r="W250" s="7"/>
      <c r="X250" s="7"/>
      <c r="Y250" s="7"/>
      <c r="Z250" s="7"/>
    </row>
    <row r="251" spans="1:26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4"/>
      <c r="G251" s="213"/>
      <c r="H251" s="213"/>
      <c r="I251" s="372"/>
      <c r="J251" s="259"/>
      <c r="K251" s="213"/>
      <c r="L251" s="643"/>
      <c r="M251" s="616">
        <f t="shared" si="1"/>
        <v>0</v>
      </c>
      <c r="N251" s="633"/>
      <c r="O251" s="636"/>
      <c r="P251" s="636"/>
      <c r="Q251" s="7"/>
      <c r="R251" s="699"/>
      <c r="S251" s="7"/>
      <c r="T251" s="618">
        <f t="shared" si="12"/>
        <v>0</v>
      </c>
      <c r="U251" s="7"/>
      <c r="V251" s="7"/>
      <c r="W251" s="7"/>
      <c r="X251" s="7"/>
      <c r="Y251" s="7"/>
      <c r="Z251" s="7"/>
    </row>
    <row r="252" spans="1:26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4"/>
      <c r="G252" s="213"/>
      <c r="H252" s="213"/>
      <c r="I252" s="372"/>
      <c r="J252" s="259"/>
      <c r="K252" s="213"/>
      <c r="L252" s="643"/>
      <c r="M252" s="616">
        <f t="shared" si="1"/>
        <v>0</v>
      </c>
      <c r="N252" s="633"/>
      <c r="O252" s="636"/>
      <c r="P252" s="636"/>
      <c r="Q252" s="7"/>
      <c r="R252" s="699"/>
      <c r="S252" s="7"/>
      <c r="T252" s="618">
        <f t="shared" si="12"/>
        <v>0</v>
      </c>
      <c r="U252" s="7"/>
      <c r="V252" s="7"/>
      <c r="W252" s="7"/>
      <c r="X252" s="7"/>
      <c r="Y252" s="7"/>
      <c r="Z252" s="7"/>
    </row>
    <row r="253" spans="1:26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4"/>
      <c r="G253" s="213"/>
      <c r="H253" s="213"/>
      <c r="I253" s="372"/>
      <c r="J253" s="259"/>
      <c r="K253" s="213"/>
      <c r="L253" s="643"/>
      <c r="M253" s="616">
        <f t="shared" si="1"/>
        <v>0</v>
      </c>
      <c r="N253" s="633"/>
      <c r="O253" s="636"/>
      <c r="P253" s="636"/>
      <c r="Q253" s="7"/>
      <c r="R253" s="699"/>
      <c r="S253" s="7"/>
      <c r="T253" s="618">
        <f t="shared" si="12"/>
        <v>0</v>
      </c>
      <c r="U253" s="7"/>
      <c r="V253" s="7"/>
      <c r="W253" s="7"/>
      <c r="X253" s="7"/>
      <c r="Y253" s="7"/>
      <c r="Z253" s="7"/>
    </row>
    <row r="254" spans="1:26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4"/>
      <c r="G254" s="213"/>
      <c r="H254" s="213"/>
      <c r="I254" s="372"/>
      <c r="J254" s="259"/>
      <c r="K254" s="213"/>
      <c r="L254" s="643"/>
      <c r="M254" s="616">
        <f t="shared" si="1"/>
        <v>0</v>
      </c>
      <c r="N254" s="633"/>
      <c r="O254" s="636"/>
      <c r="P254" s="636"/>
      <c r="Q254" s="7"/>
      <c r="R254" s="699"/>
      <c r="S254" s="7"/>
      <c r="T254" s="618">
        <f t="shared" si="12"/>
        <v>0</v>
      </c>
      <c r="U254" s="7"/>
      <c r="V254" s="7"/>
      <c r="W254" s="7"/>
      <c r="X254" s="7"/>
      <c r="Y254" s="7"/>
      <c r="Z254" s="7"/>
    </row>
    <row r="255" spans="1:26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4"/>
      <c r="G255" s="213"/>
      <c r="H255" s="213"/>
      <c r="I255" s="372"/>
      <c r="J255" s="259"/>
      <c r="K255" s="213"/>
      <c r="L255" s="643"/>
      <c r="M255" s="616">
        <f t="shared" si="1"/>
        <v>0</v>
      </c>
      <c r="N255" s="633"/>
      <c r="O255" s="636"/>
      <c r="P255" s="636"/>
      <c r="Q255" s="7"/>
      <c r="R255" s="699"/>
      <c r="S255" s="7"/>
      <c r="T255" s="618">
        <f t="shared" si="12"/>
        <v>0</v>
      </c>
      <c r="U255" s="7"/>
      <c r="V255" s="7"/>
      <c r="W255" s="7"/>
      <c r="X255" s="7"/>
      <c r="Y255" s="7"/>
      <c r="Z255" s="7"/>
    </row>
    <row r="256" spans="1:26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4"/>
      <c r="G256" s="213"/>
      <c r="H256" s="213"/>
      <c r="I256" s="372"/>
      <c r="J256" s="259"/>
      <c r="K256" s="213"/>
      <c r="L256" s="643"/>
      <c r="M256" s="616">
        <f t="shared" si="1"/>
        <v>0</v>
      </c>
      <c r="N256" s="633"/>
      <c r="O256" s="636"/>
      <c r="P256" s="636"/>
      <c r="Q256" s="7"/>
      <c r="R256" s="699"/>
      <c r="S256" s="7"/>
      <c r="T256" s="618">
        <f t="shared" si="12"/>
        <v>0</v>
      </c>
      <c r="U256" s="7"/>
      <c r="V256" s="7"/>
      <c r="W256" s="7"/>
      <c r="X256" s="7"/>
      <c r="Y256" s="7"/>
      <c r="Z256" s="7"/>
    </row>
    <row r="257" spans="1:26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4"/>
      <c r="G257" s="213"/>
      <c r="H257" s="213"/>
      <c r="I257" s="372"/>
      <c r="J257" s="259"/>
      <c r="K257" s="213"/>
      <c r="L257" s="643"/>
      <c r="M257" s="616">
        <f t="shared" si="1"/>
        <v>0</v>
      </c>
      <c r="N257" s="633"/>
      <c r="O257" s="648"/>
      <c r="P257" s="648"/>
      <c r="Q257" s="7"/>
      <c r="R257" s="699"/>
      <c r="S257" s="7"/>
      <c r="T257" s="618">
        <f t="shared" si="12"/>
        <v>0</v>
      </c>
      <c r="U257" s="7"/>
      <c r="V257" s="7"/>
      <c r="W257" s="7"/>
      <c r="X257" s="7"/>
      <c r="Y257" s="7"/>
      <c r="Z257" s="7"/>
    </row>
    <row r="258" spans="1:26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4"/>
      <c r="G258" s="213"/>
      <c r="H258" s="213"/>
      <c r="I258" s="372"/>
      <c r="J258" s="259"/>
      <c r="K258" s="213"/>
      <c r="L258" s="643"/>
      <c r="M258" s="616">
        <f t="shared" si="1"/>
        <v>0</v>
      </c>
      <c r="N258" s="633"/>
      <c r="O258" s="648"/>
      <c r="P258" s="648"/>
      <c r="Q258" s="7"/>
      <c r="R258" s="699"/>
      <c r="S258" s="7"/>
      <c r="T258" s="618">
        <f t="shared" si="12"/>
        <v>0</v>
      </c>
      <c r="U258" s="7"/>
      <c r="V258" s="7"/>
      <c r="W258" s="7"/>
      <c r="X258" s="7"/>
      <c r="Y258" s="7"/>
      <c r="Z258" s="7"/>
    </row>
    <row r="259" spans="1:26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4"/>
      <c r="G259" s="213"/>
      <c r="H259" s="213"/>
      <c r="I259" s="372"/>
      <c r="J259" s="259"/>
      <c r="K259" s="213"/>
      <c r="L259" s="643"/>
      <c r="M259" s="616">
        <f t="shared" si="1"/>
        <v>0</v>
      </c>
      <c r="N259" s="633"/>
      <c r="O259" s="648"/>
      <c r="P259" s="648"/>
      <c r="Q259" s="7"/>
      <c r="R259" s="699"/>
      <c r="S259" s="7"/>
      <c r="T259" s="618">
        <f t="shared" si="12"/>
        <v>0</v>
      </c>
      <c r="U259" s="7"/>
      <c r="V259" s="7"/>
      <c r="W259" s="7"/>
      <c r="X259" s="7"/>
      <c r="Y259" s="7"/>
      <c r="Z259" s="7"/>
    </row>
    <row r="260" spans="1:26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4"/>
      <c r="G260" s="213"/>
      <c r="H260" s="213"/>
      <c r="I260" s="372"/>
      <c r="J260" s="259"/>
      <c r="K260" s="213"/>
      <c r="L260" s="643"/>
      <c r="M260" s="616">
        <f t="shared" si="1"/>
        <v>0</v>
      </c>
      <c r="N260" s="633"/>
      <c r="O260" s="648"/>
      <c r="P260" s="648"/>
      <c r="Q260" s="7"/>
      <c r="R260" s="699"/>
      <c r="S260" s="7"/>
      <c r="T260" s="618">
        <f t="shared" si="12"/>
        <v>0</v>
      </c>
      <c r="U260" s="7"/>
      <c r="V260" s="7"/>
      <c r="W260" s="7"/>
      <c r="X260" s="7"/>
      <c r="Y260" s="7"/>
      <c r="Z260" s="7"/>
    </row>
    <row r="261" spans="1:26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4"/>
      <c r="G261" s="213"/>
      <c r="H261" s="213"/>
      <c r="I261" s="372"/>
      <c r="J261" s="259"/>
      <c r="K261" s="213"/>
      <c r="L261" s="643"/>
      <c r="M261" s="616">
        <f t="shared" si="1"/>
        <v>0</v>
      </c>
      <c r="N261" s="633"/>
      <c r="O261" s="648"/>
      <c r="P261" s="648"/>
      <c r="Q261" s="7"/>
      <c r="R261" s="699"/>
      <c r="S261" s="7"/>
      <c r="T261" s="618">
        <f t="shared" si="12"/>
        <v>0</v>
      </c>
      <c r="U261" s="7"/>
      <c r="V261" s="7"/>
      <c r="W261" s="7"/>
      <c r="X261" s="7"/>
      <c r="Y261" s="7"/>
      <c r="Z261" s="7"/>
    </row>
    <row r="262" spans="1:26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4"/>
      <c r="G262" s="213"/>
      <c r="H262" s="213"/>
      <c r="I262" s="372"/>
      <c r="J262" s="259"/>
      <c r="K262" s="213"/>
      <c r="L262" s="643"/>
      <c r="M262" s="616">
        <f t="shared" si="1"/>
        <v>0</v>
      </c>
      <c r="N262" s="633"/>
      <c r="O262" s="648"/>
      <c r="P262" s="648"/>
      <c r="Q262" s="7"/>
      <c r="R262" s="699"/>
      <c r="S262" s="7"/>
      <c r="T262" s="618">
        <f t="shared" si="12"/>
        <v>0</v>
      </c>
      <c r="U262" s="7"/>
      <c r="V262" s="7"/>
      <c r="W262" s="7"/>
      <c r="X262" s="7"/>
      <c r="Y262" s="7"/>
      <c r="Z262" s="7"/>
    </row>
    <row r="263" spans="1:26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4"/>
      <c r="G263" s="213"/>
      <c r="H263" s="213"/>
      <c r="I263" s="372"/>
      <c r="J263" s="259"/>
      <c r="K263" s="213"/>
      <c r="L263" s="643"/>
      <c r="M263" s="616">
        <f t="shared" si="1"/>
        <v>0</v>
      </c>
      <c r="N263" s="633"/>
      <c r="O263" s="636"/>
      <c r="P263" s="636"/>
      <c r="Q263" s="7"/>
      <c r="R263" s="699"/>
      <c r="S263" s="7"/>
      <c r="T263" s="618">
        <f t="shared" si="12"/>
        <v>0</v>
      </c>
      <c r="U263" s="7"/>
      <c r="V263" s="7"/>
      <c r="W263" s="7"/>
      <c r="X263" s="7"/>
      <c r="Y263" s="7"/>
      <c r="Z263" s="7"/>
    </row>
    <row r="264" spans="1:26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4"/>
      <c r="G264" s="213"/>
      <c r="H264" s="213"/>
      <c r="I264" s="372"/>
      <c r="J264" s="259"/>
      <c r="K264" s="213"/>
      <c r="L264" s="643"/>
      <c r="M264" s="616">
        <f t="shared" si="1"/>
        <v>0</v>
      </c>
      <c r="N264" s="633"/>
      <c r="O264" s="648"/>
      <c r="P264" s="648"/>
      <c r="Q264" s="7"/>
      <c r="R264" s="699"/>
      <c r="S264" s="7"/>
      <c r="T264" s="618">
        <f t="shared" si="12"/>
        <v>0</v>
      </c>
      <c r="U264" s="7"/>
      <c r="V264" s="7"/>
      <c r="W264" s="7"/>
      <c r="X264" s="7"/>
      <c r="Y264" s="7"/>
      <c r="Z264" s="7"/>
    </row>
    <row r="265" spans="1:26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4"/>
      <c r="G265" s="213"/>
      <c r="H265" s="213"/>
      <c r="I265" s="372"/>
      <c r="J265" s="259"/>
      <c r="K265" s="213"/>
      <c r="L265" s="643"/>
      <c r="M265" s="616">
        <f t="shared" si="1"/>
        <v>0</v>
      </c>
      <c r="N265" s="633"/>
      <c r="O265" s="648"/>
      <c r="P265" s="648"/>
      <c r="Q265" s="7"/>
      <c r="R265" s="699"/>
      <c r="S265" s="7"/>
      <c r="T265" s="618">
        <f t="shared" si="12"/>
        <v>0</v>
      </c>
      <c r="U265" s="7"/>
      <c r="V265" s="7"/>
      <c r="W265" s="7"/>
      <c r="X265" s="7"/>
      <c r="Y265" s="7"/>
      <c r="Z265" s="7"/>
    </row>
    <row r="266" spans="1:26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4"/>
      <c r="G266" s="213"/>
      <c r="H266" s="213"/>
      <c r="I266" s="372"/>
      <c r="J266" s="259"/>
      <c r="K266" s="213"/>
      <c r="L266" s="643"/>
      <c r="M266" s="616">
        <f t="shared" si="1"/>
        <v>0</v>
      </c>
      <c r="N266" s="633"/>
      <c r="O266" s="648"/>
      <c r="P266" s="648"/>
      <c r="Q266" s="7"/>
      <c r="R266" s="699"/>
      <c r="S266" s="7"/>
      <c r="T266" s="618">
        <f t="shared" si="12"/>
        <v>0</v>
      </c>
      <c r="U266" s="7"/>
      <c r="V266" s="7"/>
      <c r="W266" s="7"/>
      <c r="X266" s="7"/>
      <c r="Y266" s="7"/>
      <c r="Z266" s="7"/>
    </row>
    <row r="267" spans="1:26" ht="20.25" customHeight="1">
      <c r="A267" s="503" t="s">
        <v>605</v>
      </c>
      <c r="B267" s="483" t="s">
        <v>606</v>
      </c>
      <c r="C267" s="629" t="s">
        <v>593</v>
      </c>
      <c r="D267" s="485" t="s">
        <v>1739</v>
      </c>
      <c r="E267" s="213"/>
      <c r="F267" s="214"/>
      <c r="G267" s="213"/>
      <c r="H267" s="213"/>
      <c r="I267" s="372"/>
      <c r="J267" s="259"/>
      <c r="K267" s="213"/>
      <c r="L267" s="643"/>
      <c r="M267" s="616">
        <f t="shared" si="1"/>
        <v>0</v>
      </c>
      <c r="N267" s="633"/>
      <c r="O267" s="648"/>
      <c r="P267" s="648"/>
      <c r="Q267" s="7"/>
      <c r="R267" s="699"/>
      <c r="S267" s="7"/>
      <c r="T267" s="618">
        <f t="shared" si="12"/>
        <v>0</v>
      </c>
      <c r="U267" s="7"/>
      <c r="V267" s="7"/>
      <c r="W267" s="7"/>
      <c r="X267" s="7"/>
      <c r="Y267" s="7"/>
      <c r="Z267" s="7"/>
    </row>
    <row r="268" spans="1:26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4"/>
      <c r="G268" s="213"/>
      <c r="H268" s="213"/>
      <c r="I268" s="372"/>
      <c r="J268" s="259"/>
      <c r="K268" s="213"/>
      <c r="L268" s="643"/>
      <c r="M268" s="616">
        <f t="shared" si="1"/>
        <v>0</v>
      </c>
      <c r="N268" s="633"/>
      <c r="O268" s="648"/>
      <c r="P268" s="648"/>
      <c r="Q268" s="7"/>
      <c r="R268" s="699"/>
      <c r="S268" s="7"/>
      <c r="T268" s="618">
        <f t="shared" si="12"/>
        <v>0</v>
      </c>
      <c r="U268" s="7"/>
      <c r="V268" s="7"/>
      <c r="W268" s="7"/>
      <c r="X268" s="7"/>
      <c r="Y268" s="7"/>
      <c r="Z268" s="7"/>
    </row>
    <row r="269" spans="1:26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4"/>
      <c r="G269" s="213"/>
      <c r="H269" s="213"/>
      <c r="I269" s="372"/>
      <c r="J269" s="259"/>
      <c r="K269" s="213"/>
      <c r="L269" s="643"/>
      <c r="M269" s="616">
        <f t="shared" si="1"/>
        <v>0</v>
      </c>
      <c r="N269" s="633"/>
      <c r="O269" s="636"/>
      <c r="P269" s="636"/>
      <c r="Q269" s="7"/>
      <c r="R269" s="699"/>
      <c r="S269" s="7"/>
      <c r="T269" s="618">
        <f t="shared" si="12"/>
        <v>0</v>
      </c>
      <c r="U269" s="7"/>
      <c r="V269" s="7"/>
      <c r="W269" s="7"/>
      <c r="X269" s="7"/>
      <c r="Y269" s="7"/>
      <c r="Z269" s="7"/>
    </row>
    <row r="270" spans="1:26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4"/>
      <c r="G270" s="213"/>
      <c r="H270" s="213"/>
      <c r="I270" s="372"/>
      <c r="J270" s="259"/>
      <c r="K270" s="213"/>
      <c r="L270" s="643"/>
      <c r="M270" s="616">
        <f t="shared" si="1"/>
        <v>0</v>
      </c>
      <c r="N270" s="633"/>
      <c r="O270" s="648"/>
      <c r="P270" s="648"/>
      <c r="Q270" s="7"/>
      <c r="R270" s="699"/>
      <c r="S270" s="7"/>
      <c r="T270" s="618">
        <f t="shared" si="12"/>
        <v>0</v>
      </c>
      <c r="U270" s="7"/>
      <c r="V270" s="7"/>
      <c r="W270" s="7"/>
      <c r="X270" s="7"/>
      <c r="Y270" s="7"/>
      <c r="Z270" s="7"/>
    </row>
    <row r="271" spans="1:26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4"/>
      <c r="G271" s="213"/>
      <c r="H271" s="213"/>
      <c r="I271" s="372"/>
      <c r="J271" s="259"/>
      <c r="K271" s="213"/>
      <c r="L271" s="643"/>
      <c r="M271" s="616">
        <f t="shared" si="1"/>
        <v>0</v>
      </c>
      <c r="N271" s="633"/>
      <c r="O271" s="648"/>
      <c r="P271" s="648"/>
      <c r="Q271" s="7"/>
      <c r="R271" s="699"/>
      <c r="S271" s="7"/>
      <c r="T271" s="618">
        <f t="shared" si="12"/>
        <v>0</v>
      </c>
      <c r="U271" s="7"/>
      <c r="V271" s="7"/>
      <c r="W271" s="7"/>
      <c r="X271" s="7"/>
      <c r="Y271" s="7"/>
      <c r="Z271" s="7"/>
    </row>
    <row r="272" spans="1:26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4"/>
      <c r="G272" s="213"/>
      <c r="H272" s="213"/>
      <c r="I272" s="372"/>
      <c r="J272" s="259"/>
      <c r="K272" s="213"/>
      <c r="L272" s="643"/>
      <c r="M272" s="616">
        <f t="shared" si="1"/>
        <v>0</v>
      </c>
      <c r="N272" s="633"/>
      <c r="O272" s="648"/>
      <c r="P272" s="648"/>
      <c r="Q272" s="7"/>
      <c r="R272" s="699"/>
      <c r="S272" s="7"/>
      <c r="T272" s="618">
        <f t="shared" si="12"/>
        <v>0</v>
      </c>
      <c r="U272" s="7"/>
      <c r="V272" s="7"/>
      <c r="W272" s="7"/>
      <c r="X272" s="7"/>
      <c r="Y272" s="7"/>
      <c r="Z272" s="7"/>
    </row>
    <row r="273" spans="1:26" ht="20.25" customHeight="1">
      <c r="A273" s="503" t="s">
        <v>620</v>
      </c>
      <c r="B273" s="483" t="s">
        <v>621</v>
      </c>
      <c r="C273" s="629" t="s">
        <v>622</v>
      </c>
      <c r="D273" s="485" t="s">
        <v>1740</v>
      </c>
      <c r="E273" s="213"/>
      <c r="F273" s="214"/>
      <c r="G273" s="213"/>
      <c r="H273" s="213"/>
      <c r="I273" s="372"/>
      <c r="J273" s="259"/>
      <c r="K273" s="213"/>
      <c r="L273" s="643"/>
      <c r="M273" s="616">
        <f t="shared" si="1"/>
        <v>0</v>
      </c>
      <c r="N273" s="633"/>
      <c r="O273" s="648"/>
      <c r="P273" s="648"/>
      <c r="Q273" s="7"/>
      <c r="R273" s="699"/>
      <c r="S273" s="7"/>
      <c r="T273" s="618">
        <f t="shared" si="12"/>
        <v>0</v>
      </c>
      <c r="U273" s="7"/>
      <c r="V273" s="7"/>
      <c r="W273" s="7"/>
      <c r="X273" s="7"/>
      <c r="Y273" s="7"/>
      <c r="Z273" s="7"/>
    </row>
    <row r="274" spans="1:26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4"/>
      <c r="G274" s="213"/>
      <c r="H274" s="213"/>
      <c r="I274" s="372"/>
      <c r="J274" s="259"/>
      <c r="K274" s="213"/>
      <c r="L274" s="643"/>
      <c r="M274" s="616">
        <f t="shared" si="1"/>
        <v>0</v>
      </c>
      <c r="N274" s="633"/>
      <c r="O274" s="648"/>
      <c r="P274" s="648"/>
      <c r="Q274" s="7"/>
      <c r="R274" s="699"/>
      <c r="S274" s="7"/>
      <c r="T274" s="618">
        <f t="shared" si="12"/>
        <v>0</v>
      </c>
      <c r="U274" s="7"/>
      <c r="V274" s="7"/>
      <c r="W274" s="7"/>
      <c r="X274" s="7"/>
      <c r="Y274" s="7"/>
      <c r="Z274" s="7"/>
    </row>
    <row r="275" spans="1:26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4"/>
      <c r="G275" s="213"/>
      <c r="H275" s="213"/>
      <c r="I275" s="372"/>
      <c r="J275" s="259"/>
      <c r="K275" s="213"/>
      <c r="L275" s="643"/>
      <c r="M275" s="616">
        <f t="shared" ref="M275:M447" si="13">+SUM(E275:L275)</f>
        <v>0</v>
      </c>
      <c r="N275" s="633"/>
      <c r="O275" s="636"/>
      <c r="P275" s="636"/>
      <c r="Q275" s="7"/>
      <c r="R275" s="699"/>
      <c r="S275" s="7"/>
      <c r="T275" s="618">
        <f t="shared" si="12"/>
        <v>0</v>
      </c>
      <c r="U275" s="7"/>
      <c r="V275" s="7"/>
      <c r="W275" s="7"/>
      <c r="X275" s="7"/>
      <c r="Y275" s="7"/>
      <c r="Z275" s="7"/>
    </row>
    <row r="276" spans="1:26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4"/>
      <c r="G276" s="213"/>
      <c r="H276" s="213"/>
      <c r="I276" s="372"/>
      <c r="J276" s="259"/>
      <c r="K276" s="213"/>
      <c r="L276" s="643"/>
      <c r="M276" s="616">
        <f t="shared" si="13"/>
        <v>0</v>
      </c>
      <c r="N276" s="633"/>
      <c r="O276" s="648"/>
      <c r="P276" s="648"/>
      <c r="Q276" s="7"/>
      <c r="R276" s="699"/>
      <c r="S276" s="7"/>
      <c r="T276" s="618">
        <f t="shared" si="12"/>
        <v>0</v>
      </c>
      <c r="U276" s="7"/>
      <c r="V276" s="7"/>
      <c r="W276" s="7"/>
      <c r="X276" s="7"/>
      <c r="Y276" s="7"/>
      <c r="Z276" s="7"/>
    </row>
    <row r="277" spans="1:26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4"/>
      <c r="G277" s="213"/>
      <c r="H277" s="213"/>
      <c r="I277" s="372"/>
      <c r="J277" s="259"/>
      <c r="K277" s="213"/>
      <c r="L277" s="643"/>
      <c r="M277" s="616">
        <f t="shared" si="13"/>
        <v>0</v>
      </c>
      <c r="N277" s="633"/>
      <c r="O277" s="648"/>
      <c r="P277" s="648"/>
      <c r="Q277" s="7"/>
      <c r="R277" s="699"/>
      <c r="S277" s="7"/>
      <c r="T277" s="618">
        <f t="shared" si="12"/>
        <v>0</v>
      </c>
      <c r="U277" s="7"/>
      <c r="V277" s="7"/>
      <c r="W277" s="7"/>
      <c r="X277" s="7"/>
      <c r="Y277" s="7"/>
      <c r="Z277" s="7"/>
    </row>
    <row r="278" spans="1:26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4"/>
      <c r="G278" s="213"/>
      <c r="H278" s="213"/>
      <c r="I278" s="372"/>
      <c r="J278" s="259"/>
      <c r="K278" s="213"/>
      <c r="L278" s="643"/>
      <c r="M278" s="616">
        <f t="shared" si="13"/>
        <v>0</v>
      </c>
      <c r="N278" s="633"/>
      <c r="O278" s="648"/>
      <c r="P278" s="648"/>
      <c r="Q278" s="7"/>
      <c r="R278" s="699"/>
      <c r="S278" s="7"/>
      <c r="T278" s="618">
        <f t="shared" si="12"/>
        <v>0</v>
      </c>
      <c r="U278" s="7"/>
      <c r="V278" s="7"/>
      <c r="W278" s="7"/>
      <c r="X278" s="7"/>
      <c r="Y278" s="7"/>
      <c r="Z278" s="7"/>
    </row>
    <row r="279" spans="1:26" ht="20.25" customHeight="1">
      <c r="A279" s="503" t="s">
        <v>636</v>
      </c>
      <c r="B279" s="483" t="s">
        <v>637</v>
      </c>
      <c r="C279" s="629" t="s">
        <v>638</v>
      </c>
      <c r="D279" s="485" t="s">
        <v>1741</v>
      </c>
      <c r="E279" s="213"/>
      <c r="F279" s="214"/>
      <c r="G279" s="213"/>
      <c r="H279" s="213"/>
      <c r="I279" s="372"/>
      <c r="J279" s="259"/>
      <c r="K279" s="213"/>
      <c r="L279" s="643"/>
      <c r="M279" s="616">
        <f t="shared" si="13"/>
        <v>0</v>
      </c>
      <c r="N279" s="633"/>
      <c r="O279" s="648"/>
      <c r="P279" s="648"/>
      <c r="Q279" s="7"/>
      <c r="R279" s="699"/>
      <c r="S279" s="7"/>
      <c r="T279" s="618">
        <f t="shared" si="12"/>
        <v>0</v>
      </c>
      <c r="U279" s="7"/>
      <c r="V279" s="7"/>
      <c r="W279" s="7"/>
      <c r="X279" s="7"/>
      <c r="Y279" s="7"/>
      <c r="Z279" s="7"/>
    </row>
    <row r="280" spans="1:26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4"/>
      <c r="G280" s="213"/>
      <c r="H280" s="213"/>
      <c r="I280" s="372"/>
      <c r="J280" s="259"/>
      <c r="K280" s="213"/>
      <c r="L280" s="643"/>
      <c r="M280" s="616">
        <f t="shared" si="13"/>
        <v>0</v>
      </c>
      <c r="N280" s="633"/>
      <c r="O280" s="648"/>
      <c r="P280" s="648"/>
      <c r="Q280" s="7"/>
      <c r="R280" s="699"/>
      <c r="S280" s="7"/>
      <c r="T280" s="618">
        <f t="shared" si="12"/>
        <v>0</v>
      </c>
      <c r="U280" s="7"/>
      <c r="V280" s="7"/>
      <c r="W280" s="7"/>
      <c r="X280" s="7"/>
      <c r="Y280" s="7"/>
      <c r="Z280" s="7"/>
    </row>
    <row r="281" spans="1:26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4"/>
      <c r="G281" s="213"/>
      <c r="H281" s="213"/>
      <c r="I281" s="372"/>
      <c r="J281" s="259"/>
      <c r="K281" s="213"/>
      <c r="L281" s="643"/>
      <c r="M281" s="616">
        <f t="shared" si="13"/>
        <v>0</v>
      </c>
      <c r="N281" s="633"/>
      <c r="O281" s="648"/>
      <c r="P281" s="648"/>
      <c r="Q281" s="7"/>
      <c r="R281" s="699"/>
      <c r="S281" s="7"/>
      <c r="T281" s="618">
        <f t="shared" si="12"/>
        <v>0</v>
      </c>
      <c r="U281" s="7"/>
      <c r="V281" s="7"/>
      <c r="W281" s="7"/>
      <c r="X281" s="7"/>
      <c r="Y281" s="7"/>
      <c r="Z281" s="7"/>
    </row>
    <row r="282" spans="1:26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4"/>
      <c r="G282" s="213"/>
      <c r="H282" s="213"/>
      <c r="I282" s="372"/>
      <c r="J282" s="259"/>
      <c r="K282" s="213"/>
      <c r="L282" s="643"/>
      <c r="M282" s="616">
        <f t="shared" si="13"/>
        <v>0</v>
      </c>
      <c r="N282" s="633"/>
      <c r="O282" s="640"/>
      <c r="P282" s="640"/>
      <c r="Q282" s="7"/>
      <c r="R282" s="699"/>
      <c r="S282" s="7"/>
      <c r="T282" s="618">
        <f t="shared" si="12"/>
        <v>0</v>
      </c>
      <c r="U282" s="7"/>
      <c r="V282" s="7"/>
      <c r="W282" s="7"/>
      <c r="X282" s="7"/>
      <c r="Y282" s="7"/>
      <c r="Z282" s="7"/>
    </row>
    <row r="283" spans="1:26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4"/>
      <c r="G283" s="213">
        <v>10.5</v>
      </c>
      <c r="H283" s="213">
        <v>0.14000000000000001</v>
      </c>
      <c r="I283" s="663"/>
      <c r="J283" s="259"/>
      <c r="K283" s="213"/>
      <c r="L283" s="643"/>
      <c r="M283" s="616">
        <f t="shared" si="13"/>
        <v>10.64</v>
      </c>
      <c r="N283" s="633"/>
      <c r="O283" s="636"/>
      <c r="P283" s="636"/>
      <c r="Q283" s="7"/>
      <c r="R283" s="702">
        <v>29.3</v>
      </c>
      <c r="S283" s="7"/>
      <c r="T283" s="618">
        <f t="shared" si="12"/>
        <v>18.66</v>
      </c>
      <c r="U283" s="7"/>
      <c r="V283" s="7"/>
      <c r="W283" s="7"/>
      <c r="X283" s="7"/>
      <c r="Y283" s="7"/>
      <c r="Z283" s="7"/>
    </row>
    <row r="284" spans="1:26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4"/>
      <c r="G284" s="213"/>
      <c r="H284" s="213"/>
      <c r="I284" s="372"/>
      <c r="J284" s="259"/>
      <c r="K284" s="213"/>
      <c r="L284" s="643"/>
      <c r="M284" s="616">
        <f t="shared" si="13"/>
        <v>0</v>
      </c>
      <c r="N284" s="633"/>
      <c r="O284" s="654"/>
      <c r="P284" s="654"/>
      <c r="Q284" s="7"/>
      <c r="R284" s="702">
        <v>29</v>
      </c>
      <c r="S284" s="7"/>
      <c r="T284" s="618">
        <f t="shared" si="12"/>
        <v>29</v>
      </c>
      <c r="U284" s="7"/>
      <c r="V284" s="7"/>
      <c r="W284" s="7"/>
      <c r="X284" s="7"/>
      <c r="Y284" s="7"/>
      <c r="Z284" s="7"/>
    </row>
    <row r="285" spans="1:26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4"/>
      <c r="G285" s="213"/>
      <c r="H285" s="213"/>
      <c r="I285" s="372"/>
      <c r="J285" s="259"/>
      <c r="K285" s="213"/>
      <c r="L285" s="643"/>
      <c r="M285" s="616">
        <f t="shared" si="13"/>
        <v>0</v>
      </c>
      <c r="N285" s="633"/>
      <c r="O285" s="654"/>
      <c r="P285" s="654"/>
      <c r="Q285" s="7"/>
      <c r="R285" s="702">
        <v>2</v>
      </c>
      <c r="S285" s="7"/>
      <c r="T285" s="618">
        <f t="shared" si="12"/>
        <v>2</v>
      </c>
      <c r="U285" s="7"/>
      <c r="V285" s="7"/>
      <c r="W285" s="7"/>
      <c r="X285" s="7"/>
      <c r="Y285" s="7"/>
      <c r="Z285" s="7"/>
    </row>
    <row r="286" spans="1:26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4"/>
      <c r="G286" s="213"/>
      <c r="H286" s="213"/>
      <c r="I286" s="372"/>
      <c r="J286" s="259"/>
      <c r="K286" s="213"/>
      <c r="L286" s="643"/>
      <c r="M286" s="616">
        <f t="shared" si="13"/>
        <v>0</v>
      </c>
      <c r="N286" s="633"/>
      <c r="O286" s="654"/>
      <c r="P286" s="654"/>
      <c r="Q286" s="7"/>
      <c r="R286" s="702"/>
      <c r="S286" s="7"/>
      <c r="T286" s="618">
        <f t="shared" si="12"/>
        <v>0</v>
      </c>
      <c r="U286" s="7"/>
      <c r="V286" s="7"/>
      <c r="W286" s="7"/>
      <c r="X286" s="7"/>
      <c r="Y286" s="7"/>
      <c r="Z286" s="7"/>
    </row>
    <row r="287" spans="1:26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4"/>
      <c r="G287" s="213"/>
      <c r="H287" s="213"/>
      <c r="I287" s="372"/>
      <c r="J287" s="259"/>
      <c r="K287" s="213"/>
      <c r="L287" s="643"/>
      <c r="M287" s="616">
        <f t="shared" si="13"/>
        <v>0</v>
      </c>
      <c r="N287" s="633"/>
      <c r="O287" s="654"/>
      <c r="P287" s="654"/>
      <c r="Q287" s="7"/>
      <c r="R287" s="702">
        <v>20</v>
      </c>
      <c r="S287" s="7"/>
      <c r="T287" s="618">
        <f t="shared" si="12"/>
        <v>20</v>
      </c>
      <c r="U287" s="7"/>
      <c r="V287" s="7"/>
      <c r="W287" s="7"/>
      <c r="X287" s="7"/>
      <c r="Y287" s="7"/>
      <c r="Z287" s="7"/>
    </row>
    <row r="288" spans="1:26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4"/>
      <c r="G288" s="213"/>
      <c r="H288" s="213"/>
      <c r="I288" s="372"/>
      <c r="J288" s="259"/>
      <c r="K288" s="213"/>
      <c r="L288" s="643"/>
      <c r="M288" s="616">
        <f t="shared" si="13"/>
        <v>0</v>
      </c>
      <c r="N288" s="633"/>
      <c r="O288" s="654"/>
      <c r="P288" s="654"/>
      <c r="Q288" s="7"/>
      <c r="R288" s="702">
        <v>7</v>
      </c>
      <c r="S288" s="7"/>
      <c r="T288" s="618">
        <f t="shared" si="12"/>
        <v>7</v>
      </c>
      <c r="U288" s="7"/>
      <c r="V288" s="7"/>
      <c r="W288" s="7"/>
      <c r="X288" s="7"/>
      <c r="Y288" s="7"/>
      <c r="Z288" s="7"/>
    </row>
    <row r="289" spans="1:26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4"/>
      <c r="G289" s="213"/>
      <c r="H289" s="213"/>
      <c r="I289" s="372"/>
      <c r="J289" s="259"/>
      <c r="K289" s="213"/>
      <c r="L289" s="643"/>
      <c r="M289" s="616">
        <f t="shared" si="13"/>
        <v>0</v>
      </c>
      <c r="N289" s="633"/>
      <c r="O289" s="654"/>
      <c r="P289" s="654"/>
      <c r="Q289" s="7"/>
      <c r="R289" s="699"/>
      <c r="S289" s="7"/>
      <c r="T289" s="618">
        <f t="shared" si="12"/>
        <v>0</v>
      </c>
      <c r="U289" s="7"/>
      <c r="V289" s="7"/>
      <c r="W289" s="7"/>
      <c r="X289" s="7"/>
      <c r="Y289" s="7"/>
      <c r="Z289" s="7"/>
    </row>
    <row r="290" spans="1:26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4"/>
      <c r="G290" s="213"/>
      <c r="H290" s="213"/>
      <c r="I290" s="372"/>
      <c r="J290" s="259"/>
      <c r="K290" s="213"/>
      <c r="L290" s="643"/>
      <c r="M290" s="616">
        <f t="shared" si="13"/>
        <v>0</v>
      </c>
      <c r="N290" s="633"/>
      <c r="O290" s="648"/>
      <c r="P290" s="648"/>
      <c r="Q290" s="7"/>
      <c r="R290" s="699"/>
      <c r="S290" s="7"/>
      <c r="T290" s="618">
        <f t="shared" si="12"/>
        <v>0</v>
      </c>
      <c r="U290" s="7"/>
      <c r="V290" s="7"/>
      <c r="W290" s="7"/>
      <c r="X290" s="7"/>
      <c r="Y290" s="7"/>
      <c r="Z290" s="7"/>
    </row>
    <row r="291" spans="1:26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4"/>
      <c r="G291" s="213"/>
      <c r="H291" s="213"/>
      <c r="I291" s="372"/>
      <c r="J291" s="259"/>
      <c r="K291" s="213"/>
      <c r="L291" s="643"/>
      <c r="M291" s="616">
        <f t="shared" si="13"/>
        <v>0</v>
      </c>
      <c r="N291" s="633"/>
      <c r="O291" s="648"/>
      <c r="P291" s="648"/>
      <c r="Q291" s="7"/>
      <c r="R291" s="699"/>
      <c r="S291" s="7"/>
      <c r="T291" s="618">
        <f t="shared" si="12"/>
        <v>0</v>
      </c>
      <c r="U291" s="7"/>
      <c r="V291" s="7"/>
      <c r="W291" s="7"/>
      <c r="X291" s="7"/>
      <c r="Y291" s="7"/>
      <c r="Z291" s="7"/>
    </row>
    <row r="292" spans="1:26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4"/>
      <c r="G292" s="213"/>
      <c r="H292" s="213"/>
      <c r="I292" s="372"/>
      <c r="J292" s="259"/>
      <c r="K292" s="213"/>
      <c r="L292" s="643"/>
      <c r="M292" s="616">
        <f t="shared" si="13"/>
        <v>0</v>
      </c>
      <c r="N292" s="633"/>
      <c r="O292" s="648"/>
      <c r="P292" s="648"/>
      <c r="Q292" s="7"/>
      <c r="R292" s="699"/>
      <c r="S292" s="7"/>
      <c r="T292" s="618">
        <f t="shared" si="12"/>
        <v>0</v>
      </c>
      <c r="U292" s="7"/>
      <c r="V292" s="7"/>
      <c r="W292" s="7"/>
      <c r="X292" s="7"/>
      <c r="Y292" s="7"/>
      <c r="Z292" s="7"/>
    </row>
    <row r="293" spans="1:26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4"/>
      <c r="G293" s="213"/>
      <c r="H293" s="213"/>
      <c r="I293" s="372"/>
      <c r="J293" s="259"/>
      <c r="K293" s="213"/>
      <c r="L293" s="643"/>
      <c r="M293" s="616">
        <f t="shared" si="13"/>
        <v>0</v>
      </c>
      <c r="N293" s="633"/>
      <c r="O293" s="648"/>
      <c r="P293" s="648"/>
      <c r="Q293" s="7"/>
      <c r="R293" s="699"/>
      <c r="S293" s="7"/>
      <c r="T293" s="618">
        <f t="shared" si="12"/>
        <v>0</v>
      </c>
      <c r="U293" s="7"/>
      <c r="V293" s="7"/>
      <c r="W293" s="7"/>
      <c r="X293" s="7"/>
      <c r="Y293" s="7"/>
      <c r="Z293" s="7"/>
    </row>
    <row r="294" spans="1:26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4"/>
      <c r="G294" s="213"/>
      <c r="H294" s="213"/>
      <c r="I294" s="372"/>
      <c r="J294" s="259"/>
      <c r="K294" s="213"/>
      <c r="L294" s="643"/>
      <c r="M294" s="616">
        <f t="shared" si="13"/>
        <v>0</v>
      </c>
      <c r="N294" s="633"/>
      <c r="O294" s="654"/>
      <c r="P294" s="654"/>
      <c r="Q294" s="7"/>
      <c r="R294" s="699"/>
      <c r="S294" s="7"/>
      <c r="T294" s="618">
        <f t="shared" si="12"/>
        <v>0</v>
      </c>
      <c r="U294" s="7"/>
      <c r="V294" s="7"/>
      <c r="W294" s="7"/>
      <c r="X294" s="7"/>
      <c r="Y294" s="7"/>
      <c r="Z294" s="7"/>
    </row>
    <row r="295" spans="1:26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4"/>
      <c r="G295" s="213"/>
      <c r="H295" s="213"/>
      <c r="I295" s="372"/>
      <c r="J295" s="259"/>
      <c r="K295" s="213"/>
      <c r="L295" s="643"/>
      <c r="M295" s="616">
        <f t="shared" si="13"/>
        <v>0</v>
      </c>
      <c r="N295" s="633"/>
      <c r="O295" s="648"/>
      <c r="P295" s="648"/>
      <c r="Q295" s="7"/>
      <c r="R295" s="699"/>
      <c r="S295" s="7"/>
      <c r="T295" s="618">
        <f t="shared" si="12"/>
        <v>0</v>
      </c>
      <c r="U295" s="7"/>
      <c r="V295" s="7"/>
      <c r="W295" s="7"/>
      <c r="X295" s="7"/>
      <c r="Y295" s="7"/>
      <c r="Z295" s="7"/>
    </row>
    <row r="296" spans="1:26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4"/>
      <c r="G296" s="213"/>
      <c r="H296" s="213"/>
      <c r="I296" s="372"/>
      <c r="J296" s="259"/>
      <c r="K296" s="213"/>
      <c r="L296" s="643"/>
      <c r="M296" s="616">
        <f t="shared" si="13"/>
        <v>0</v>
      </c>
      <c r="N296" s="633"/>
      <c r="O296" s="648"/>
      <c r="P296" s="648"/>
      <c r="Q296" s="7"/>
      <c r="R296" s="699"/>
      <c r="S296" s="7"/>
      <c r="T296" s="618">
        <f t="shared" si="12"/>
        <v>0</v>
      </c>
      <c r="U296" s="7"/>
      <c r="V296" s="7"/>
      <c r="W296" s="7"/>
      <c r="X296" s="7"/>
      <c r="Y296" s="7"/>
      <c r="Z296" s="7"/>
    </row>
    <row r="297" spans="1:26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4"/>
      <c r="G297" s="213"/>
      <c r="H297" s="213"/>
      <c r="I297" s="372"/>
      <c r="J297" s="259"/>
      <c r="K297" s="213"/>
      <c r="L297" s="643"/>
      <c r="M297" s="616">
        <f t="shared" si="13"/>
        <v>0</v>
      </c>
      <c r="N297" s="633"/>
      <c r="O297" s="648"/>
      <c r="P297" s="648"/>
      <c r="Q297" s="7"/>
      <c r="R297" s="699"/>
      <c r="S297" s="7"/>
      <c r="T297" s="618">
        <f t="shared" si="12"/>
        <v>0</v>
      </c>
      <c r="U297" s="7"/>
      <c r="V297" s="7"/>
      <c r="W297" s="7"/>
      <c r="X297" s="7"/>
      <c r="Y297" s="7"/>
      <c r="Z297" s="7"/>
    </row>
    <row r="298" spans="1:26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4"/>
      <c r="G298" s="213"/>
      <c r="H298" s="213"/>
      <c r="I298" s="372"/>
      <c r="J298" s="259"/>
      <c r="K298" s="213"/>
      <c r="L298" s="643"/>
      <c r="M298" s="616">
        <f t="shared" si="13"/>
        <v>0</v>
      </c>
      <c r="N298" s="633"/>
      <c r="O298" s="648"/>
      <c r="P298" s="648"/>
      <c r="Q298" s="7"/>
      <c r="R298" s="699"/>
      <c r="S298" s="7"/>
      <c r="T298" s="618">
        <f t="shared" si="12"/>
        <v>0</v>
      </c>
      <c r="U298" s="7"/>
      <c r="V298" s="7"/>
      <c r="W298" s="7"/>
      <c r="X298" s="7"/>
      <c r="Y298" s="7"/>
      <c r="Z298" s="7"/>
    </row>
    <row r="299" spans="1:26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4"/>
      <c r="G299" s="213"/>
      <c r="H299" s="213"/>
      <c r="I299" s="372"/>
      <c r="J299" s="259"/>
      <c r="K299" s="213"/>
      <c r="L299" s="643"/>
      <c r="M299" s="616">
        <f t="shared" si="13"/>
        <v>0</v>
      </c>
      <c r="N299" s="633"/>
      <c r="O299" s="636"/>
      <c r="P299" s="636"/>
      <c r="Q299" s="7"/>
      <c r="R299" s="699"/>
      <c r="S299" s="7"/>
      <c r="T299" s="618">
        <f t="shared" si="12"/>
        <v>0</v>
      </c>
      <c r="U299" s="7"/>
      <c r="V299" s="7"/>
      <c r="W299" s="7"/>
      <c r="X299" s="7"/>
      <c r="Y299" s="7"/>
      <c r="Z299" s="7"/>
    </row>
    <row r="300" spans="1:26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4"/>
      <c r="G300" s="213"/>
      <c r="H300" s="213"/>
      <c r="I300" s="372"/>
      <c r="J300" s="259"/>
      <c r="K300" s="213"/>
      <c r="L300" s="643"/>
      <c r="M300" s="616">
        <f t="shared" si="13"/>
        <v>0</v>
      </c>
      <c r="N300" s="633"/>
      <c r="O300" s="636"/>
      <c r="P300" s="636"/>
      <c r="Q300" s="7"/>
      <c r="R300" s="699"/>
      <c r="S300" s="7"/>
      <c r="T300" s="618">
        <f t="shared" si="12"/>
        <v>0</v>
      </c>
      <c r="U300" s="7"/>
      <c r="V300" s="7"/>
      <c r="W300" s="7"/>
      <c r="X300" s="7"/>
      <c r="Y300" s="7"/>
      <c r="Z300" s="7"/>
    </row>
    <row r="301" spans="1:26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4"/>
      <c r="G301" s="213"/>
      <c r="H301" s="213"/>
      <c r="I301" s="372"/>
      <c r="J301" s="259"/>
      <c r="K301" s="213"/>
      <c r="L301" s="643"/>
      <c r="M301" s="616">
        <f t="shared" si="13"/>
        <v>0</v>
      </c>
      <c r="N301" s="633"/>
      <c r="O301" s="648"/>
      <c r="P301" s="648"/>
      <c r="Q301" s="7"/>
      <c r="R301" s="699"/>
      <c r="S301" s="7"/>
      <c r="T301" s="618">
        <f t="shared" si="12"/>
        <v>0</v>
      </c>
      <c r="U301" s="7"/>
      <c r="V301" s="7"/>
      <c r="W301" s="7"/>
      <c r="X301" s="7"/>
      <c r="Y301" s="7"/>
      <c r="Z301" s="7"/>
    </row>
    <row r="302" spans="1:26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4"/>
      <c r="G302" s="213"/>
      <c r="H302" s="213"/>
      <c r="I302" s="372"/>
      <c r="J302" s="259"/>
      <c r="K302" s="213"/>
      <c r="L302" s="643"/>
      <c r="M302" s="616">
        <f t="shared" si="13"/>
        <v>0</v>
      </c>
      <c r="N302" s="633"/>
      <c r="O302" s="648"/>
      <c r="P302" s="648"/>
      <c r="Q302" s="7"/>
      <c r="R302" s="699"/>
      <c r="S302" s="7"/>
      <c r="T302" s="618">
        <f t="shared" si="12"/>
        <v>0</v>
      </c>
      <c r="U302" s="7"/>
      <c r="V302" s="7"/>
      <c r="W302" s="7"/>
      <c r="X302" s="7"/>
      <c r="Y302" s="7"/>
      <c r="Z302" s="7"/>
    </row>
    <row r="303" spans="1:26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4"/>
      <c r="G303" s="213"/>
      <c r="H303" s="213"/>
      <c r="I303" s="372"/>
      <c r="J303" s="259"/>
      <c r="K303" s="213"/>
      <c r="L303" s="643"/>
      <c r="M303" s="616">
        <f t="shared" si="13"/>
        <v>0</v>
      </c>
      <c r="N303" s="633"/>
      <c r="O303" s="648"/>
      <c r="P303" s="648"/>
      <c r="Q303" s="7"/>
      <c r="R303" s="699"/>
      <c r="S303" s="7"/>
      <c r="T303" s="618">
        <f t="shared" si="12"/>
        <v>0</v>
      </c>
      <c r="U303" s="7"/>
      <c r="V303" s="7"/>
      <c r="W303" s="7"/>
      <c r="X303" s="7"/>
      <c r="Y303" s="7"/>
      <c r="Z303" s="7"/>
    </row>
    <row r="304" spans="1:26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4"/>
      <c r="G304" s="213"/>
      <c r="H304" s="213"/>
      <c r="I304" s="372"/>
      <c r="J304" s="259"/>
      <c r="K304" s="213"/>
      <c r="L304" s="643"/>
      <c r="M304" s="616">
        <f t="shared" si="13"/>
        <v>0</v>
      </c>
      <c r="N304" s="633"/>
      <c r="O304" s="648"/>
      <c r="P304" s="648"/>
      <c r="Q304" s="7"/>
      <c r="R304" s="699"/>
      <c r="S304" s="7"/>
      <c r="T304" s="618">
        <f t="shared" si="12"/>
        <v>0</v>
      </c>
      <c r="U304" s="7"/>
      <c r="V304" s="7"/>
      <c r="W304" s="7"/>
      <c r="X304" s="7"/>
      <c r="Y304" s="7"/>
      <c r="Z304" s="7"/>
    </row>
    <row r="305" spans="1:26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4"/>
      <c r="G305" s="213"/>
      <c r="H305" s="213"/>
      <c r="I305" s="372"/>
      <c r="J305" s="259"/>
      <c r="K305" s="213"/>
      <c r="L305" s="643"/>
      <c r="M305" s="616">
        <f t="shared" si="13"/>
        <v>0</v>
      </c>
      <c r="N305" s="633"/>
      <c r="O305" s="636"/>
      <c r="P305" s="636"/>
      <c r="Q305" s="7"/>
      <c r="R305" s="699"/>
      <c r="S305" s="7"/>
      <c r="T305" s="618">
        <f t="shared" si="12"/>
        <v>0</v>
      </c>
      <c r="U305" s="7"/>
      <c r="V305" s="7"/>
      <c r="W305" s="7"/>
      <c r="X305" s="7"/>
      <c r="Y305" s="7"/>
      <c r="Z305" s="7"/>
    </row>
    <row r="306" spans="1:26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4"/>
      <c r="G306" s="213"/>
      <c r="H306" s="213"/>
      <c r="I306" s="372"/>
      <c r="J306" s="259"/>
      <c r="K306" s="213"/>
      <c r="L306" s="643"/>
      <c r="M306" s="616">
        <f t="shared" si="13"/>
        <v>0</v>
      </c>
      <c r="N306" s="633"/>
      <c r="O306" s="648"/>
      <c r="P306" s="648"/>
      <c r="Q306" s="7"/>
      <c r="R306" s="699"/>
      <c r="S306" s="7"/>
      <c r="T306" s="618">
        <f t="shared" si="12"/>
        <v>0</v>
      </c>
      <c r="U306" s="7"/>
      <c r="V306" s="7"/>
      <c r="W306" s="7"/>
      <c r="X306" s="7"/>
      <c r="Y306" s="7"/>
      <c r="Z306" s="7"/>
    </row>
    <row r="307" spans="1:26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4"/>
      <c r="G307" s="213"/>
      <c r="H307" s="213"/>
      <c r="I307" s="372"/>
      <c r="J307" s="259"/>
      <c r="K307" s="213"/>
      <c r="L307" s="643"/>
      <c r="M307" s="616">
        <f t="shared" si="13"/>
        <v>0</v>
      </c>
      <c r="N307" s="633"/>
      <c r="O307" s="648"/>
      <c r="P307" s="648"/>
      <c r="Q307" s="7"/>
      <c r="R307" s="699"/>
      <c r="S307" s="7"/>
      <c r="T307" s="618">
        <f t="shared" si="12"/>
        <v>0</v>
      </c>
      <c r="U307" s="7"/>
      <c r="V307" s="7"/>
      <c r="W307" s="7"/>
      <c r="X307" s="7"/>
      <c r="Y307" s="7"/>
      <c r="Z307" s="7"/>
    </row>
    <row r="308" spans="1:26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4"/>
      <c r="G308" s="213"/>
      <c r="H308" s="213"/>
      <c r="I308" s="372"/>
      <c r="J308" s="259"/>
      <c r="K308" s="213"/>
      <c r="L308" s="643"/>
      <c r="M308" s="616">
        <f t="shared" si="13"/>
        <v>0</v>
      </c>
      <c r="N308" s="633"/>
      <c r="O308" s="648"/>
      <c r="P308" s="648"/>
      <c r="Q308" s="7"/>
      <c r="R308" s="699"/>
      <c r="S308" s="7"/>
      <c r="T308" s="618">
        <f t="shared" si="12"/>
        <v>0</v>
      </c>
      <c r="U308" s="7"/>
      <c r="V308" s="7"/>
      <c r="W308" s="7"/>
      <c r="X308" s="7"/>
      <c r="Y308" s="7"/>
      <c r="Z308" s="7"/>
    </row>
    <row r="309" spans="1:26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4"/>
      <c r="G309" s="213"/>
      <c r="H309" s="213"/>
      <c r="I309" s="372"/>
      <c r="J309" s="259"/>
      <c r="K309" s="213"/>
      <c r="L309" s="643"/>
      <c r="M309" s="616">
        <f t="shared" si="13"/>
        <v>0</v>
      </c>
      <c r="N309" s="633"/>
      <c r="O309" s="648"/>
      <c r="P309" s="648"/>
      <c r="Q309" s="7"/>
      <c r="R309" s="699"/>
      <c r="S309" s="7"/>
      <c r="T309" s="618">
        <f t="shared" si="12"/>
        <v>0</v>
      </c>
      <c r="U309" s="7"/>
      <c r="V309" s="7"/>
      <c r="W309" s="7"/>
      <c r="X309" s="7"/>
      <c r="Y309" s="7"/>
      <c r="Z309" s="7"/>
    </row>
    <row r="310" spans="1:26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4"/>
      <c r="G310" s="213"/>
      <c r="H310" s="213"/>
      <c r="I310" s="372"/>
      <c r="J310" s="259"/>
      <c r="K310" s="213"/>
      <c r="L310" s="643"/>
      <c r="M310" s="616">
        <f t="shared" si="13"/>
        <v>0</v>
      </c>
      <c r="N310" s="633"/>
      <c r="O310" s="636"/>
      <c r="P310" s="636"/>
      <c r="Q310" s="7"/>
      <c r="R310" s="699"/>
      <c r="S310" s="7"/>
      <c r="T310" s="618">
        <f t="shared" si="12"/>
        <v>0</v>
      </c>
      <c r="U310" s="7"/>
      <c r="V310" s="7"/>
      <c r="W310" s="7"/>
      <c r="X310" s="7"/>
      <c r="Y310" s="7"/>
      <c r="Z310" s="7"/>
    </row>
    <row r="311" spans="1:26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4"/>
      <c r="G311" s="213"/>
      <c r="H311" s="213"/>
      <c r="I311" s="372"/>
      <c r="J311" s="259"/>
      <c r="K311" s="213"/>
      <c r="L311" s="643"/>
      <c r="M311" s="616">
        <f t="shared" si="13"/>
        <v>0</v>
      </c>
      <c r="N311" s="633"/>
      <c r="O311" s="648"/>
      <c r="P311" s="648"/>
      <c r="Q311" s="7"/>
      <c r="R311" s="699"/>
      <c r="S311" s="7"/>
      <c r="T311" s="618">
        <f t="shared" si="12"/>
        <v>0</v>
      </c>
      <c r="U311" s="7"/>
      <c r="V311" s="7"/>
      <c r="W311" s="7"/>
      <c r="X311" s="7"/>
      <c r="Y311" s="7"/>
      <c r="Z311" s="7"/>
    </row>
    <row r="312" spans="1:26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4"/>
      <c r="G312" s="213"/>
      <c r="H312" s="213"/>
      <c r="I312" s="372"/>
      <c r="J312" s="259"/>
      <c r="K312" s="213"/>
      <c r="L312" s="643"/>
      <c r="M312" s="616">
        <f t="shared" si="13"/>
        <v>0</v>
      </c>
      <c r="N312" s="633"/>
      <c r="O312" s="648"/>
      <c r="P312" s="648"/>
      <c r="Q312" s="7"/>
      <c r="R312" s="699"/>
      <c r="S312" s="7"/>
      <c r="T312" s="618">
        <f t="shared" si="12"/>
        <v>0</v>
      </c>
      <c r="U312" s="7"/>
      <c r="V312" s="7"/>
      <c r="W312" s="7"/>
      <c r="X312" s="7"/>
      <c r="Y312" s="7"/>
      <c r="Z312" s="7"/>
    </row>
    <row r="313" spans="1:26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4"/>
      <c r="G313" s="213"/>
      <c r="H313" s="213"/>
      <c r="I313" s="372"/>
      <c r="J313" s="259"/>
      <c r="K313" s="213"/>
      <c r="L313" s="643"/>
      <c r="M313" s="616">
        <f t="shared" si="13"/>
        <v>0</v>
      </c>
      <c r="N313" s="633"/>
      <c r="O313" s="648"/>
      <c r="P313" s="648"/>
      <c r="Q313" s="7"/>
      <c r="R313" s="699"/>
      <c r="S313" s="7"/>
      <c r="T313" s="618">
        <f t="shared" si="12"/>
        <v>0</v>
      </c>
      <c r="U313" s="7"/>
      <c r="V313" s="7"/>
      <c r="W313" s="7"/>
      <c r="X313" s="7"/>
      <c r="Y313" s="7"/>
      <c r="Z313" s="7"/>
    </row>
    <row r="314" spans="1:26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4"/>
      <c r="G314" s="213"/>
      <c r="H314" s="213"/>
      <c r="I314" s="372"/>
      <c r="J314" s="259"/>
      <c r="K314" s="213"/>
      <c r="L314" s="643"/>
      <c r="M314" s="616">
        <f t="shared" si="13"/>
        <v>0</v>
      </c>
      <c r="N314" s="633"/>
      <c r="O314" s="648"/>
      <c r="P314" s="648"/>
      <c r="Q314" s="7"/>
      <c r="R314" s="699"/>
      <c r="S314" s="7"/>
      <c r="T314" s="618">
        <f t="shared" si="12"/>
        <v>0</v>
      </c>
      <c r="U314" s="7"/>
      <c r="V314" s="7"/>
      <c r="W314" s="7"/>
      <c r="X314" s="7"/>
      <c r="Y314" s="7"/>
      <c r="Z314" s="7"/>
    </row>
    <row r="315" spans="1:26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4"/>
      <c r="G315" s="213"/>
      <c r="H315" s="213"/>
      <c r="I315" s="372"/>
      <c r="J315" s="259"/>
      <c r="K315" s="213"/>
      <c r="L315" s="643"/>
      <c r="M315" s="616">
        <f t="shared" si="13"/>
        <v>0</v>
      </c>
      <c r="N315" s="633"/>
      <c r="O315" s="636"/>
      <c r="P315" s="636"/>
      <c r="Q315" s="7"/>
      <c r="R315" s="699"/>
      <c r="S315" s="7"/>
      <c r="T315" s="618">
        <f t="shared" si="12"/>
        <v>0</v>
      </c>
      <c r="U315" s="7"/>
      <c r="V315" s="7"/>
      <c r="W315" s="7"/>
      <c r="X315" s="7"/>
      <c r="Y315" s="7"/>
      <c r="Z315" s="7"/>
    </row>
    <row r="316" spans="1:26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4"/>
      <c r="G316" s="213"/>
      <c r="H316" s="213"/>
      <c r="I316" s="372"/>
      <c r="J316" s="259"/>
      <c r="K316" s="213"/>
      <c r="L316" s="643"/>
      <c r="M316" s="616">
        <f t="shared" si="13"/>
        <v>0</v>
      </c>
      <c r="N316" s="633"/>
      <c r="O316" s="648"/>
      <c r="P316" s="648"/>
      <c r="Q316" s="7"/>
      <c r="R316" s="699"/>
      <c r="S316" s="7"/>
      <c r="T316" s="618">
        <f t="shared" si="12"/>
        <v>0</v>
      </c>
      <c r="U316" s="7"/>
      <c r="V316" s="7"/>
      <c r="W316" s="7"/>
      <c r="X316" s="7"/>
      <c r="Y316" s="7"/>
      <c r="Z316" s="7"/>
    </row>
    <row r="317" spans="1:26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4"/>
      <c r="G317" s="213"/>
      <c r="H317" s="213"/>
      <c r="I317" s="372"/>
      <c r="J317" s="259"/>
      <c r="K317" s="213"/>
      <c r="L317" s="643"/>
      <c r="M317" s="616">
        <f t="shared" si="13"/>
        <v>0</v>
      </c>
      <c r="N317" s="633"/>
      <c r="O317" s="648"/>
      <c r="P317" s="648"/>
      <c r="Q317" s="7"/>
      <c r="R317" s="699"/>
      <c r="S317" s="7"/>
      <c r="T317" s="618">
        <f t="shared" si="12"/>
        <v>0</v>
      </c>
      <c r="U317" s="7"/>
      <c r="V317" s="7"/>
      <c r="W317" s="7"/>
      <c r="X317" s="7"/>
      <c r="Y317" s="7"/>
      <c r="Z317" s="7"/>
    </row>
    <row r="318" spans="1:26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4"/>
      <c r="G318" s="213"/>
      <c r="H318" s="213"/>
      <c r="I318" s="372"/>
      <c r="J318" s="259"/>
      <c r="K318" s="213"/>
      <c r="L318" s="643"/>
      <c r="M318" s="616">
        <f t="shared" si="13"/>
        <v>0</v>
      </c>
      <c r="N318" s="633"/>
      <c r="O318" s="648"/>
      <c r="P318" s="648"/>
      <c r="Q318" s="7"/>
      <c r="R318" s="699"/>
      <c r="S318" s="7"/>
      <c r="T318" s="618">
        <f t="shared" si="12"/>
        <v>0</v>
      </c>
      <c r="U318" s="7"/>
      <c r="V318" s="7"/>
      <c r="W318" s="7"/>
      <c r="X318" s="7"/>
      <c r="Y318" s="7"/>
      <c r="Z318" s="7"/>
    </row>
    <row r="319" spans="1:26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4"/>
      <c r="G319" s="213"/>
      <c r="H319" s="213"/>
      <c r="I319" s="372"/>
      <c r="J319" s="259"/>
      <c r="K319" s="213"/>
      <c r="L319" s="643"/>
      <c r="M319" s="616">
        <f t="shared" si="13"/>
        <v>0</v>
      </c>
      <c r="N319" s="633"/>
      <c r="O319" s="648"/>
      <c r="P319" s="648"/>
      <c r="Q319" s="7"/>
      <c r="R319" s="699"/>
      <c r="S319" s="7"/>
      <c r="T319" s="618">
        <f t="shared" si="12"/>
        <v>0</v>
      </c>
      <c r="U319" s="7"/>
      <c r="V319" s="7"/>
      <c r="W319" s="7"/>
      <c r="X319" s="7"/>
      <c r="Y319" s="7"/>
      <c r="Z319" s="7"/>
    </row>
    <row r="320" spans="1:26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4"/>
      <c r="G320" s="213"/>
      <c r="H320" s="213"/>
      <c r="I320" s="372"/>
      <c r="J320" s="259"/>
      <c r="K320" s="213"/>
      <c r="L320" s="643"/>
      <c r="M320" s="616">
        <f t="shared" si="13"/>
        <v>0</v>
      </c>
      <c r="N320" s="633"/>
      <c r="O320" s="636"/>
      <c r="P320" s="636"/>
      <c r="Q320" s="7"/>
      <c r="R320" s="699"/>
      <c r="S320" s="7"/>
      <c r="T320" s="618">
        <f t="shared" si="12"/>
        <v>0</v>
      </c>
      <c r="U320" s="7"/>
      <c r="V320" s="7"/>
      <c r="W320" s="7"/>
      <c r="X320" s="7"/>
      <c r="Y320" s="7"/>
      <c r="Z320" s="7"/>
    </row>
    <row r="321" spans="1:26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4"/>
      <c r="G321" s="213"/>
      <c r="H321" s="213"/>
      <c r="I321" s="372"/>
      <c r="J321" s="259"/>
      <c r="K321" s="213"/>
      <c r="L321" s="643"/>
      <c r="M321" s="616">
        <f t="shared" si="13"/>
        <v>0</v>
      </c>
      <c r="N321" s="633"/>
      <c r="O321" s="636"/>
      <c r="P321" s="636"/>
      <c r="Q321" s="7"/>
      <c r="R321" s="699"/>
      <c r="S321" s="7"/>
      <c r="T321" s="618">
        <f t="shared" si="12"/>
        <v>0</v>
      </c>
      <c r="U321" s="7"/>
      <c r="V321" s="7"/>
      <c r="W321" s="7"/>
      <c r="X321" s="7"/>
      <c r="Y321" s="7"/>
      <c r="Z321" s="7"/>
    </row>
    <row r="322" spans="1:26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4"/>
      <c r="G322" s="213"/>
      <c r="H322" s="213"/>
      <c r="I322" s="372"/>
      <c r="J322" s="259"/>
      <c r="K322" s="213"/>
      <c r="L322" s="643"/>
      <c r="M322" s="616">
        <f t="shared" si="13"/>
        <v>0</v>
      </c>
      <c r="N322" s="633"/>
      <c r="O322" s="636"/>
      <c r="P322" s="636"/>
      <c r="Q322" s="7"/>
      <c r="R322" s="699"/>
      <c r="S322" s="7"/>
      <c r="T322" s="618">
        <f t="shared" si="12"/>
        <v>0</v>
      </c>
      <c r="U322" s="7"/>
      <c r="V322" s="7"/>
      <c r="W322" s="7"/>
      <c r="X322" s="7"/>
      <c r="Y322" s="7"/>
      <c r="Z322" s="7"/>
    </row>
    <row r="323" spans="1:26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4"/>
      <c r="G323" s="213"/>
      <c r="H323" s="213"/>
      <c r="I323" s="372"/>
      <c r="J323" s="259"/>
      <c r="K323" s="213"/>
      <c r="L323" s="643"/>
      <c r="M323" s="616">
        <f t="shared" si="13"/>
        <v>0</v>
      </c>
      <c r="N323" s="633"/>
      <c r="O323" s="636"/>
      <c r="P323" s="636"/>
      <c r="Q323" s="7"/>
      <c r="R323" s="699"/>
      <c r="S323" s="7"/>
      <c r="T323" s="618">
        <f t="shared" si="12"/>
        <v>0</v>
      </c>
      <c r="U323" s="7"/>
      <c r="V323" s="7"/>
      <c r="W323" s="7"/>
      <c r="X323" s="7"/>
      <c r="Y323" s="7"/>
      <c r="Z323" s="7"/>
    </row>
    <row r="324" spans="1:26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4"/>
      <c r="G324" s="213"/>
      <c r="H324" s="213"/>
      <c r="I324" s="372"/>
      <c r="J324" s="259"/>
      <c r="K324" s="213"/>
      <c r="L324" s="643"/>
      <c r="M324" s="616">
        <f t="shared" si="13"/>
        <v>0</v>
      </c>
      <c r="N324" s="633"/>
      <c r="O324" s="636"/>
      <c r="P324" s="636"/>
      <c r="Q324" s="7"/>
      <c r="R324" s="699"/>
      <c r="S324" s="7"/>
      <c r="T324" s="618">
        <f t="shared" si="12"/>
        <v>0</v>
      </c>
      <c r="U324" s="7"/>
      <c r="V324" s="7"/>
      <c r="W324" s="7"/>
      <c r="X324" s="7"/>
      <c r="Y324" s="7"/>
      <c r="Z324" s="7"/>
    </row>
    <row r="325" spans="1:26" ht="33.75" customHeight="1">
      <c r="A325" s="486"/>
      <c r="B325" s="487" t="s">
        <v>703</v>
      </c>
      <c r="C325" s="656" t="s">
        <v>704</v>
      </c>
      <c r="D325" s="519" t="s">
        <v>1742</v>
      </c>
      <c r="E325" s="213"/>
      <c r="F325" s="214"/>
      <c r="G325" s="213"/>
      <c r="H325" s="213"/>
      <c r="I325" s="372"/>
      <c r="J325" s="259"/>
      <c r="K325" s="213"/>
      <c r="L325" s="643"/>
      <c r="M325" s="616">
        <f t="shared" si="13"/>
        <v>0</v>
      </c>
      <c r="N325" s="633"/>
      <c r="O325" s="636"/>
      <c r="P325" s="636"/>
      <c r="Q325" s="7"/>
      <c r="R325" s="699">
        <v>325</v>
      </c>
      <c r="S325" s="7"/>
      <c r="T325" s="618">
        <f t="shared" si="12"/>
        <v>325</v>
      </c>
      <c r="U325" s="7"/>
      <c r="V325" s="7"/>
      <c r="W325" s="7"/>
      <c r="X325" s="7"/>
      <c r="Y325" s="7"/>
      <c r="Z325" s="7"/>
    </row>
    <row r="326" spans="1:26" ht="25.5" customHeight="1">
      <c r="A326" s="503"/>
      <c r="B326" s="483" t="s">
        <v>707</v>
      </c>
      <c r="C326" s="629" t="s">
        <v>131</v>
      </c>
      <c r="D326" s="354" t="s">
        <v>1743</v>
      </c>
      <c r="E326" s="213"/>
      <c r="F326" s="214"/>
      <c r="G326" s="213"/>
      <c r="H326" s="213"/>
      <c r="I326" s="372"/>
      <c r="J326" s="259"/>
      <c r="K326" s="213"/>
      <c r="L326" s="643"/>
      <c r="M326" s="616">
        <f t="shared" si="13"/>
        <v>0</v>
      </c>
      <c r="N326" s="633"/>
      <c r="O326" s="634"/>
      <c r="P326" s="634"/>
      <c r="Q326" s="7"/>
      <c r="R326" s="699">
        <v>150</v>
      </c>
      <c r="S326" s="7"/>
      <c r="T326" s="618">
        <f t="shared" si="12"/>
        <v>150</v>
      </c>
      <c r="U326" s="7"/>
      <c r="V326" s="7"/>
      <c r="W326" s="7"/>
      <c r="X326" s="7"/>
      <c r="Y326" s="7"/>
      <c r="Z326" s="7"/>
    </row>
    <row r="327" spans="1:26" ht="21" customHeight="1">
      <c r="A327" s="503"/>
      <c r="B327" s="483" t="s">
        <v>709</v>
      </c>
      <c r="C327" s="629" t="s">
        <v>200</v>
      </c>
      <c r="D327" s="354" t="s">
        <v>1744</v>
      </c>
      <c r="E327" s="213"/>
      <c r="F327" s="214"/>
      <c r="G327" s="213"/>
      <c r="H327" s="213"/>
      <c r="I327" s="372"/>
      <c r="J327" s="259"/>
      <c r="K327" s="213"/>
      <c r="L327" s="643"/>
      <c r="M327" s="616">
        <f t="shared" si="13"/>
        <v>0</v>
      </c>
      <c r="N327" s="633"/>
      <c r="O327" s="636"/>
      <c r="P327" s="636"/>
      <c r="Q327" s="7"/>
      <c r="R327" s="699">
        <v>125</v>
      </c>
      <c r="S327" s="7"/>
      <c r="T327" s="618">
        <f t="shared" si="12"/>
        <v>125</v>
      </c>
      <c r="U327" s="7"/>
      <c r="V327" s="7"/>
      <c r="W327" s="7"/>
      <c r="X327" s="7"/>
      <c r="Y327" s="7"/>
      <c r="Z327" s="7"/>
    </row>
    <row r="328" spans="1:26" ht="21" customHeight="1">
      <c r="A328" s="503"/>
      <c r="B328" s="483" t="s">
        <v>711</v>
      </c>
      <c r="C328" s="629" t="s">
        <v>203</v>
      </c>
      <c r="D328" s="354" t="s">
        <v>1745</v>
      </c>
      <c r="E328" s="213"/>
      <c r="F328" s="214"/>
      <c r="G328" s="213"/>
      <c r="H328" s="213"/>
      <c r="I328" s="372"/>
      <c r="J328" s="259"/>
      <c r="K328" s="213"/>
      <c r="L328" s="643"/>
      <c r="M328" s="616">
        <f t="shared" si="13"/>
        <v>0</v>
      </c>
      <c r="N328" s="633"/>
      <c r="O328" s="636"/>
      <c r="P328" s="636"/>
      <c r="Q328" s="7"/>
      <c r="R328" s="699">
        <v>15</v>
      </c>
      <c r="S328" s="7"/>
      <c r="T328" s="618">
        <f t="shared" si="12"/>
        <v>15</v>
      </c>
      <c r="U328" s="7"/>
      <c r="V328" s="7"/>
      <c r="W328" s="7"/>
      <c r="X328" s="7"/>
      <c r="Y328" s="7"/>
      <c r="Z328" s="7"/>
    </row>
    <row r="329" spans="1:26" ht="21" customHeight="1">
      <c r="A329" s="503"/>
      <c r="B329" s="483" t="s">
        <v>713</v>
      </c>
      <c r="C329" s="629" t="s">
        <v>159</v>
      </c>
      <c r="D329" s="354" t="s">
        <v>1746</v>
      </c>
      <c r="E329" s="213"/>
      <c r="F329" s="214"/>
      <c r="G329" s="213"/>
      <c r="H329" s="213"/>
      <c r="I329" s="372"/>
      <c r="J329" s="259"/>
      <c r="K329" s="213"/>
      <c r="L329" s="643"/>
      <c r="M329" s="616">
        <f t="shared" si="13"/>
        <v>0</v>
      </c>
      <c r="N329" s="633"/>
      <c r="O329" s="636"/>
      <c r="P329" s="636"/>
      <c r="Q329" s="7"/>
      <c r="R329" s="699">
        <v>35</v>
      </c>
      <c r="S329" s="7"/>
      <c r="T329" s="618">
        <f t="shared" si="12"/>
        <v>35</v>
      </c>
      <c r="U329" s="7"/>
      <c r="V329" s="7"/>
      <c r="W329" s="7"/>
      <c r="X329" s="7"/>
      <c r="Y329" s="7"/>
      <c r="Z329" s="7"/>
    </row>
    <row r="330" spans="1:26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4"/>
      <c r="G330" s="213"/>
      <c r="H330" s="213"/>
      <c r="I330" s="372"/>
      <c r="J330" s="259"/>
      <c r="K330" s="213"/>
      <c r="L330" s="643"/>
      <c r="M330" s="616">
        <f t="shared" si="13"/>
        <v>0</v>
      </c>
      <c r="N330" s="633"/>
      <c r="O330" s="636"/>
      <c r="P330" s="636"/>
      <c r="Q330" s="7"/>
      <c r="R330" s="699"/>
      <c r="S330" s="7"/>
      <c r="T330" s="618">
        <f t="shared" si="12"/>
        <v>0</v>
      </c>
      <c r="U330" s="7"/>
      <c r="V330" s="7"/>
      <c r="W330" s="7"/>
      <c r="X330" s="7"/>
      <c r="Y330" s="7"/>
      <c r="Z330" s="7"/>
    </row>
    <row r="331" spans="1:26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4"/>
      <c r="G331" s="213"/>
      <c r="H331" s="213"/>
      <c r="I331" s="372"/>
      <c r="J331" s="259"/>
      <c r="K331" s="213"/>
      <c r="L331" s="643"/>
      <c r="M331" s="616">
        <f t="shared" si="13"/>
        <v>0</v>
      </c>
      <c r="N331" s="633"/>
      <c r="O331" s="654"/>
      <c r="P331" s="654"/>
      <c r="Q331" s="7"/>
      <c r="R331" s="699"/>
      <c r="S331" s="7"/>
      <c r="T331" s="618">
        <f t="shared" si="12"/>
        <v>0</v>
      </c>
      <c r="U331" s="7"/>
      <c r="V331" s="7"/>
      <c r="W331" s="7"/>
      <c r="X331" s="7"/>
      <c r="Y331" s="7"/>
      <c r="Z331" s="7"/>
    </row>
    <row r="332" spans="1:26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4"/>
      <c r="G332" s="213"/>
      <c r="H332" s="213"/>
      <c r="I332" s="372"/>
      <c r="J332" s="259"/>
      <c r="K332" s="213"/>
      <c r="L332" s="643"/>
      <c r="M332" s="616">
        <f t="shared" si="13"/>
        <v>0</v>
      </c>
      <c r="N332" s="633"/>
      <c r="O332" s="648"/>
      <c r="P332" s="648"/>
      <c r="Q332" s="7"/>
      <c r="R332" s="699"/>
      <c r="S332" s="7"/>
      <c r="T332" s="618">
        <f t="shared" si="12"/>
        <v>0</v>
      </c>
      <c r="U332" s="7"/>
      <c r="V332" s="7"/>
      <c r="W332" s="7"/>
      <c r="X332" s="7"/>
      <c r="Y332" s="7"/>
      <c r="Z332" s="7"/>
    </row>
    <row r="333" spans="1:26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4"/>
      <c r="G333" s="213"/>
      <c r="H333" s="213"/>
      <c r="I333" s="372"/>
      <c r="J333" s="259"/>
      <c r="K333" s="213"/>
      <c r="L333" s="643"/>
      <c r="M333" s="616">
        <f t="shared" si="13"/>
        <v>0</v>
      </c>
      <c r="N333" s="633"/>
      <c r="O333" s="648"/>
      <c r="P333" s="648"/>
      <c r="Q333" s="7"/>
      <c r="R333" s="699"/>
      <c r="S333" s="7"/>
      <c r="T333" s="618">
        <f t="shared" si="12"/>
        <v>0</v>
      </c>
      <c r="U333" s="7"/>
      <c r="V333" s="7"/>
      <c r="W333" s="7"/>
      <c r="X333" s="7"/>
      <c r="Y333" s="7"/>
      <c r="Z333" s="7"/>
    </row>
    <row r="334" spans="1:26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4"/>
      <c r="G334" s="213"/>
      <c r="H334" s="213"/>
      <c r="I334" s="372"/>
      <c r="J334" s="259"/>
      <c r="K334" s="213"/>
      <c r="L334" s="643"/>
      <c r="M334" s="616">
        <f t="shared" si="13"/>
        <v>0</v>
      </c>
      <c r="N334" s="633"/>
      <c r="O334" s="648"/>
      <c r="P334" s="648"/>
      <c r="Q334" s="7"/>
      <c r="R334" s="699"/>
      <c r="S334" s="7"/>
      <c r="T334" s="618">
        <f t="shared" si="12"/>
        <v>0</v>
      </c>
      <c r="U334" s="7"/>
      <c r="V334" s="7"/>
      <c r="W334" s="7"/>
      <c r="X334" s="7"/>
      <c r="Y334" s="7"/>
      <c r="Z334" s="7"/>
    </row>
    <row r="335" spans="1:26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4"/>
      <c r="G335" s="213"/>
      <c r="H335" s="213"/>
      <c r="I335" s="372"/>
      <c r="J335" s="259"/>
      <c r="K335" s="213"/>
      <c r="L335" s="643"/>
      <c r="M335" s="616">
        <f t="shared" si="13"/>
        <v>0</v>
      </c>
      <c r="N335" s="633"/>
      <c r="O335" s="648"/>
      <c r="P335" s="648"/>
      <c r="Q335" s="7"/>
      <c r="R335" s="699"/>
      <c r="S335" s="7"/>
      <c r="T335" s="618">
        <f t="shared" si="12"/>
        <v>0</v>
      </c>
      <c r="U335" s="7"/>
      <c r="V335" s="7"/>
      <c r="W335" s="7"/>
      <c r="X335" s="7"/>
      <c r="Y335" s="7"/>
      <c r="Z335" s="7"/>
    </row>
    <row r="336" spans="1:26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4"/>
      <c r="G336" s="213"/>
      <c r="H336" s="213"/>
      <c r="I336" s="372"/>
      <c r="J336" s="259"/>
      <c r="K336" s="213"/>
      <c r="L336" s="643"/>
      <c r="M336" s="616">
        <f t="shared" si="13"/>
        <v>0</v>
      </c>
      <c r="N336" s="633"/>
      <c r="O336" s="654"/>
      <c r="P336" s="654"/>
      <c r="Q336" s="7"/>
      <c r="R336" s="699"/>
      <c r="S336" s="7"/>
      <c r="T336" s="618">
        <f t="shared" si="12"/>
        <v>0</v>
      </c>
      <c r="U336" s="7"/>
      <c r="V336" s="7"/>
      <c r="W336" s="7"/>
      <c r="X336" s="7"/>
      <c r="Y336" s="7"/>
      <c r="Z336" s="7"/>
    </row>
    <row r="337" spans="1:26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4"/>
      <c r="G337" s="213"/>
      <c r="H337" s="213"/>
      <c r="I337" s="372"/>
      <c r="J337" s="259"/>
      <c r="K337" s="213"/>
      <c r="L337" s="643"/>
      <c r="M337" s="616">
        <f t="shared" si="13"/>
        <v>0</v>
      </c>
      <c r="N337" s="633"/>
      <c r="O337" s="654"/>
      <c r="P337" s="654"/>
      <c r="Q337" s="7"/>
      <c r="R337" s="699"/>
      <c r="S337" s="7"/>
      <c r="T337" s="618">
        <f t="shared" si="12"/>
        <v>0</v>
      </c>
      <c r="U337" s="7"/>
      <c r="V337" s="7"/>
      <c r="W337" s="7"/>
      <c r="X337" s="7"/>
      <c r="Y337" s="7"/>
      <c r="Z337" s="7"/>
    </row>
    <row r="338" spans="1:26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4"/>
      <c r="G338" s="213"/>
      <c r="H338" s="213"/>
      <c r="I338" s="372"/>
      <c r="J338" s="259"/>
      <c r="K338" s="213"/>
      <c r="L338" s="643"/>
      <c r="M338" s="616">
        <f t="shared" si="13"/>
        <v>0</v>
      </c>
      <c r="N338" s="633"/>
      <c r="O338" s="654"/>
      <c r="P338" s="654"/>
      <c r="Q338" s="7"/>
      <c r="R338" s="699"/>
      <c r="S338" s="7"/>
      <c r="T338" s="618">
        <f t="shared" si="12"/>
        <v>0</v>
      </c>
      <c r="U338" s="7"/>
      <c r="V338" s="7"/>
      <c r="W338" s="7"/>
      <c r="X338" s="7"/>
      <c r="Y338" s="7"/>
      <c r="Z338" s="7"/>
    </row>
    <row r="339" spans="1:26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4"/>
      <c r="G339" s="213"/>
      <c r="H339" s="213"/>
      <c r="I339" s="372"/>
      <c r="J339" s="259"/>
      <c r="K339" s="213"/>
      <c r="L339" s="643"/>
      <c r="M339" s="616">
        <f t="shared" si="13"/>
        <v>0</v>
      </c>
      <c r="N339" s="633"/>
      <c r="O339" s="654"/>
      <c r="P339" s="654"/>
      <c r="Q339" s="7"/>
      <c r="R339" s="699"/>
      <c r="S339" s="7"/>
      <c r="T339" s="618">
        <f t="shared" si="12"/>
        <v>0</v>
      </c>
      <c r="U339" s="7"/>
      <c r="V339" s="7"/>
      <c r="W339" s="7"/>
      <c r="X339" s="7"/>
      <c r="Y339" s="7"/>
      <c r="Z339" s="7"/>
    </row>
    <row r="340" spans="1:26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4"/>
      <c r="G340" s="213"/>
      <c r="H340" s="213"/>
      <c r="I340" s="372"/>
      <c r="J340" s="259"/>
      <c r="K340" s="213"/>
      <c r="L340" s="643"/>
      <c r="M340" s="616">
        <f t="shared" si="13"/>
        <v>0</v>
      </c>
      <c r="N340" s="633"/>
      <c r="O340" s="648"/>
      <c r="P340" s="648"/>
      <c r="Q340" s="7"/>
      <c r="R340" s="699"/>
      <c r="S340" s="7"/>
      <c r="T340" s="618">
        <f t="shared" si="12"/>
        <v>0</v>
      </c>
      <c r="U340" s="7"/>
      <c r="V340" s="7"/>
      <c r="W340" s="7"/>
      <c r="X340" s="7"/>
      <c r="Y340" s="7"/>
      <c r="Z340" s="7"/>
    </row>
    <row r="341" spans="1:26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4"/>
      <c r="G341" s="213"/>
      <c r="H341" s="213"/>
      <c r="I341" s="372"/>
      <c r="J341" s="259"/>
      <c r="K341" s="213"/>
      <c r="L341" s="643"/>
      <c r="M341" s="616">
        <f t="shared" si="13"/>
        <v>0</v>
      </c>
      <c r="N341" s="633"/>
      <c r="O341" s="654"/>
      <c r="P341" s="654"/>
      <c r="Q341" s="7"/>
      <c r="R341" s="699"/>
      <c r="S341" s="7"/>
      <c r="T341" s="618">
        <f t="shared" si="12"/>
        <v>0</v>
      </c>
      <c r="U341" s="7"/>
      <c r="V341" s="7"/>
      <c r="W341" s="7"/>
      <c r="X341" s="7"/>
      <c r="Y341" s="7"/>
      <c r="Z341" s="7"/>
    </row>
    <row r="342" spans="1:26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4"/>
      <c r="G342" s="213"/>
      <c r="H342" s="213"/>
      <c r="I342" s="372"/>
      <c r="J342" s="259"/>
      <c r="K342" s="213"/>
      <c r="L342" s="643"/>
      <c r="M342" s="616">
        <f t="shared" si="13"/>
        <v>0</v>
      </c>
      <c r="N342" s="633"/>
      <c r="O342" s="654"/>
      <c r="P342" s="654"/>
      <c r="Q342" s="7"/>
      <c r="R342" s="699"/>
      <c r="S342" s="7"/>
      <c r="T342" s="618">
        <f t="shared" si="12"/>
        <v>0</v>
      </c>
      <c r="U342" s="7"/>
      <c r="V342" s="7"/>
      <c r="W342" s="7"/>
      <c r="X342" s="7"/>
      <c r="Y342" s="7"/>
      <c r="Z342" s="7"/>
    </row>
    <row r="343" spans="1:26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4"/>
      <c r="G343" s="213"/>
      <c r="H343" s="213"/>
      <c r="I343" s="372"/>
      <c r="J343" s="259"/>
      <c r="K343" s="213"/>
      <c r="L343" s="643"/>
      <c r="M343" s="616">
        <f t="shared" si="13"/>
        <v>0</v>
      </c>
      <c r="N343" s="633"/>
      <c r="O343" s="654"/>
      <c r="P343" s="654"/>
      <c r="Q343" s="7"/>
      <c r="R343" s="699"/>
      <c r="S343" s="7"/>
      <c r="T343" s="618">
        <f t="shared" si="12"/>
        <v>0</v>
      </c>
      <c r="U343" s="7"/>
      <c r="V343" s="7"/>
      <c r="W343" s="7"/>
      <c r="X343" s="7"/>
      <c r="Y343" s="7"/>
      <c r="Z343" s="7"/>
    </row>
    <row r="344" spans="1:26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4"/>
      <c r="G344" s="213"/>
      <c r="H344" s="213"/>
      <c r="I344" s="372"/>
      <c r="J344" s="259"/>
      <c r="K344" s="213"/>
      <c r="L344" s="643"/>
      <c r="M344" s="616">
        <f t="shared" si="13"/>
        <v>0</v>
      </c>
      <c r="N344" s="633"/>
      <c r="O344" s="654"/>
      <c r="P344" s="654"/>
      <c r="Q344" s="7"/>
      <c r="R344" s="699"/>
      <c r="S344" s="7"/>
      <c r="T344" s="618">
        <f t="shared" si="12"/>
        <v>0</v>
      </c>
      <c r="U344" s="7"/>
      <c r="V344" s="7"/>
      <c r="W344" s="7"/>
      <c r="X344" s="7"/>
      <c r="Y344" s="7"/>
      <c r="Z344" s="7"/>
    </row>
    <row r="345" spans="1:26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4"/>
      <c r="G345" s="213"/>
      <c r="H345" s="213"/>
      <c r="I345" s="372"/>
      <c r="J345" s="259"/>
      <c r="K345" s="213"/>
      <c r="L345" s="643"/>
      <c r="M345" s="616">
        <f t="shared" si="13"/>
        <v>0</v>
      </c>
      <c r="N345" s="633"/>
      <c r="O345" s="654"/>
      <c r="P345" s="654"/>
      <c r="Q345" s="7"/>
      <c r="R345" s="699"/>
      <c r="S345" s="7"/>
      <c r="T345" s="618">
        <f t="shared" si="12"/>
        <v>0</v>
      </c>
      <c r="U345" s="7"/>
      <c r="V345" s="7"/>
      <c r="W345" s="7"/>
      <c r="X345" s="7"/>
      <c r="Y345" s="7"/>
      <c r="Z345" s="7"/>
    </row>
    <row r="346" spans="1:26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4"/>
      <c r="G346" s="213"/>
      <c r="H346" s="213"/>
      <c r="I346" s="372"/>
      <c r="J346" s="259"/>
      <c r="K346" s="213"/>
      <c r="L346" s="643"/>
      <c r="M346" s="616">
        <f t="shared" si="13"/>
        <v>0</v>
      </c>
      <c r="N346" s="633"/>
      <c r="O346" s="636"/>
      <c r="P346" s="636"/>
      <c r="Q346" s="7"/>
      <c r="R346" s="699"/>
      <c r="S346" s="7"/>
      <c r="T346" s="618">
        <f t="shared" si="12"/>
        <v>0</v>
      </c>
      <c r="U346" s="7"/>
      <c r="V346" s="7"/>
      <c r="W346" s="7"/>
      <c r="X346" s="7"/>
      <c r="Y346" s="7"/>
      <c r="Z346" s="7"/>
    </row>
    <row r="347" spans="1:26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4"/>
      <c r="G347" s="213"/>
      <c r="H347" s="213"/>
      <c r="I347" s="372"/>
      <c r="J347" s="259"/>
      <c r="K347" s="213"/>
      <c r="L347" s="643"/>
      <c r="M347" s="616">
        <f t="shared" si="13"/>
        <v>0</v>
      </c>
      <c r="N347" s="633"/>
      <c r="O347" s="636"/>
      <c r="P347" s="636"/>
      <c r="Q347" s="7"/>
      <c r="R347" s="699"/>
      <c r="S347" s="7"/>
      <c r="T347" s="618">
        <f t="shared" si="12"/>
        <v>0</v>
      </c>
      <c r="U347" s="7"/>
      <c r="V347" s="7"/>
      <c r="W347" s="7"/>
      <c r="X347" s="7"/>
      <c r="Y347" s="7"/>
      <c r="Z347" s="7"/>
    </row>
    <row r="348" spans="1:26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4"/>
      <c r="G348" s="213"/>
      <c r="H348" s="213"/>
      <c r="I348" s="372"/>
      <c r="J348" s="259"/>
      <c r="K348" s="213"/>
      <c r="L348" s="643"/>
      <c r="M348" s="616">
        <f t="shared" si="13"/>
        <v>0</v>
      </c>
      <c r="N348" s="633"/>
      <c r="O348" s="636"/>
      <c r="P348" s="636"/>
      <c r="Q348" s="7"/>
      <c r="R348" s="699"/>
      <c r="S348" s="7"/>
      <c r="T348" s="618">
        <f t="shared" si="12"/>
        <v>0</v>
      </c>
      <c r="U348" s="7"/>
      <c r="V348" s="7"/>
      <c r="W348" s="7"/>
      <c r="X348" s="7"/>
      <c r="Y348" s="7"/>
      <c r="Z348" s="7"/>
    </row>
    <row r="349" spans="1:26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4"/>
      <c r="G349" s="213"/>
      <c r="H349" s="213"/>
      <c r="I349" s="372"/>
      <c r="J349" s="259"/>
      <c r="K349" s="213"/>
      <c r="L349" s="643"/>
      <c r="M349" s="616">
        <f t="shared" si="13"/>
        <v>0</v>
      </c>
      <c r="N349" s="633"/>
      <c r="O349" s="636"/>
      <c r="P349" s="636"/>
      <c r="Q349" s="7"/>
      <c r="R349" s="699"/>
      <c r="S349" s="7"/>
      <c r="T349" s="618">
        <f t="shared" si="12"/>
        <v>0</v>
      </c>
      <c r="U349" s="7"/>
      <c r="V349" s="7"/>
      <c r="W349" s="7"/>
      <c r="X349" s="7"/>
      <c r="Y349" s="7"/>
      <c r="Z349" s="7"/>
    </row>
    <row r="350" spans="1:26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4"/>
      <c r="G350" s="213"/>
      <c r="H350" s="213"/>
      <c r="I350" s="372"/>
      <c r="J350" s="259"/>
      <c r="K350" s="213"/>
      <c r="L350" s="643"/>
      <c r="M350" s="616">
        <f t="shared" si="13"/>
        <v>0</v>
      </c>
      <c r="N350" s="633"/>
      <c r="O350" s="636"/>
      <c r="P350" s="636"/>
      <c r="Q350" s="7"/>
      <c r="R350" s="699"/>
      <c r="S350" s="7"/>
      <c r="T350" s="618">
        <f t="shared" si="12"/>
        <v>0</v>
      </c>
      <c r="U350" s="7"/>
      <c r="V350" s="7"/>
      <c r="W350" s="7"/>
      <c r="X350" s="7"/>
      <c r="Y350" s="7"/>
      <c r="Z350" s="7"/>
    </row>
    <row r="351" spans="1:26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4"/>
      <c r="G351" s="213"/>
      <c r="H351" s="213"/>
      <c r="I351" s="372"/>
      <c r="J351" s="259"/>
      <c r="K351" s="213"/>
      <c r="L351" s="643"/>
      <c r="M351" s="616">
        <f t="shared" si="13"/>
        <v>0</v>
      </c>
      <c r="N351" s="633"/>
      <c r="O351" s="636"/>
      <c r="P351" s="636"/>
      <c r="Q351" s="7"/>
      <c r="R351" s="699"/>
      <c r="S351" s="7"/>
      <c r="T351" s="618">
        <f t="shared" si="12"/>
        <v>0</v>
      </c>
      <c r="U351" s="7"/>
      <c r="V351" s="7"/>
      <c r="W351" s="7"/>
      <c r="X351" s="7"/>
      <c r="Y351" s="7"/>
      <c r="Z351" s="7"/>
    </row>
    <row r="352" spans="1:26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4"/>
      <c r="G352" s="213"/>
      <c r="H352" s="213"/>
      <c r="I352" s="372"/>
      <c r="J352" s="259"/>
      <c r="K352" s="213"/>
      <c r="L352" s="643"/>
      <c r="M352" s="616">
        <f t="shared" si="13"/>
        <v>0</v>
      </c>
      <c r="N352" s="633"/>
      <c r="O352" s="636"/>
      <c r="P352" s="636"/>
      <c r="Q352" s="7"/>
      <c r="R352" s="699"/>
      <c r="S352" s="7"/>
      <c r="T352" s="618">
        <f t="shared" si="12"/>
        <v>0</v>
      </c>
      <c r="U352" s="7"/>
      <c r="V352" s="7"/>
      <c r="W352" s="7"/>
      <c r="X352" s="7"/>
      <c r="Y352" s="7"/>
      <c r="Z352" s="7"/>
    </row>
    <row r="353" spans="1:26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4"/>
      <c r="G353" s="213"/>
      <c r="H353" s="213"/>
      <c r="I353" s="372"/>
      <c r="J353" s="259"/>
      <c r="K353" s="213"/>
      <c r="L353" s="643"/>
      <c r="M353" s="616">
        <f t="shared" si="13"/>
        <v>0</v>
      </c>
      <c r="N353" s="633"/>
      <c r="O353" s="640"/>
      <c r="P353" s="640"/>
      <c r="Q353" s="7"/>
      <c r="R353" s="699"/>
      <c r="S353" s="7"/>
      <c r="T353" s="618">
        <f t="shared" si="12"/>
        <v>0</v>
      </c>
      <c r="U353" s="7"/>
      <c r="V353" s="7"/>
      <c r="W353" s="7"/>
      <c r="X353" s="7"/>
      <c r="Y353" s="7"/>
      <c r="Z353" s="7"/>
    </row>
    <row r="354" spans="1:26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4"/>
      <c r="G354" s="213"/>
      <c r="H354" s="213"/>
      <c r="I354" s="372"/>
      <c r="J354" s="259"/>
      <c r="K354" s="213"/>
      <c r="L354" s="643"/>
      <c r="M354" s="616">
        <f t="shared" si="13"/>
        <v>0</v>
      </c>
      <c r="N354" s="633"/>
      <c r="O354" s="547"/>
      <c r="P354" s="547"/>
      <c r="Q354" s="7"/>
      <c r="R354" s="699"/>
      <c r="S354" s="7"/>
      <c r="T354" s="618">
        <f t="shared" si="12"/>
        <v>0</v>
      </c>
      <c r="U354" s="7"/>
      <c r="V354" s="7"/>
      <c r="W354" s="7"/>
      <c r="X354" s="7"/>
      <c r="Y354" s="7"/>
      <c r="Z354" s="7"/>
    </row>
    <row r="355" spans="1:26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4"/>
      <c r="G355" s="213"/>
      <c r="H355" s="213"/>
      <c r="I355" s="372"/>
      <c r="J355" s="259"/>
      <c r="K355" s="213"/>
      <c r="L355" s="643"/>
      <c r="M355" s="616">
        <f t="shared" si="13"/>
        <v>0</v>
      </c>
      <c r="N355" s="633"/>
      <c r="O355" s="666"/>
      <c r="P355" s="666"/>
      <c r="Q355" s="7"/>
      <c r="R355" s="699"/>
      <c r="S355" s="7"/>
      <c r="T355" s="618">
        <f t="shared" si="12"/>
        <v>0</v>
      </c>
      <c r="U355" s="7"/>
      <c r="V355" s="7"/>
      <c r="W355" s="7"/>
      <c r="X355" s="7"/>
      <c r="Y355" s="7"/>
      <c r="Z355" s="7"/>
    </row>
    <row r="356" spans="1:26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4"/>
      <c r="G356" s="213"/>
      <c r="H356" s="213"/>
      <c r="I356" s="372"/>
      <c r="J356" s="259"/>
      <c r="K356" s="213"/>
      <c r="L356" s="643"/>
      <c r="M356" s="616">
        <f t="shared" si="13"/>
        <v>0</v>
      </c>
      <c r="N356" s="633"/>
      <c r="O356" s="666"/>
      <c r="P356" s="666"/>
      <c r="Q356" s="7"/>
      <c r="R356" s="699"/>
      <c r="S356" s="7"/>
      <c r="T356" s="618">
        <f t="shared" si="12"/>
        <v>0</v>
      </c>
      <c r="U356" s="7"/>
      <c r="V356" s="7"/>
      <c r="W356" s="7"/>
      <c r="X356" s="7"/>
      <c r="Y356" s="7"/>
      <c r="Z356" s="7"/>
    </row>
    <row r="357" spans="1:26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4"/>
      <c r="G357" s="213"/>
      <c r="H357" s="213"/>
      <c r="I357" s="372"/>
      <c r="J357" s="259"/>
      <c r="K357" s="213"/>
      <c r="L357" s="643"/>
      <c r="M357" s="616">
        <f t="shared" si="13"/>
        <v>0</v>
      </c>
      <c r="N357" s="633"/>
      <c r="O357" s="542"/>
      <c r="P357" s="542"/>
      <c r="Q357" s="7"/>
      <c r="R357" s="699"/>
      <c r="S357" s="7"/>
      <c r="T357" s="618">
        <f t="shared" si="12"/>
        <v>0</v>
      </c>
      <c r="U357" s="7"/>
      <c r="V357" s="7"/>
      <c r="W357" s="7"/>
      <c r="X357" s="7"/>
      <c r="Y357" s="7"/>
      <c r="Z357" s="7"/>
    </row>
    <row r="358" spans="1:26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4"/>
      <c r="G358" s="213"/>
      <c r="H358" s="213"/>
      <c r="I358" s="372"/>
      <c r="J358" s="259"/>
      <c r="K358" s="213"/>
      <c r="L358" s="643"/>
      <c r="M358" s="616">
        <f t="shared" si="13"/>
        <v>0</v>
      </c>
      <c r="N358" s="633"/>
      <c r="O358" s="542"/>
      <c r="P358" s="542"/>
      <c r="Q358" s="7"/>
      <c r="R358" s="699"/>
      <c r="S358" s="7"/>
      <c r="T358" s="618">
        <f t="shared" si="12"/>
        <v>0</v>
      </c>
      <c r="U358" s="7"/>
      <c r="V358" s="7"/>
      <c r="W358" s="7"/>
      <c r="X358" s="7"/>
      <c r="Y358" s="7"/>
      <c r="Z358" s="7"/>
    </row>
    <row r="359" spans="1:26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4"/>
      <c r="G359" s="213"/>
      <c r="H359" s="213"/>
      <c r="I359" s="372"/>
      <c r="J359" s="259"/>
      <c r="K359" s="213"/>
      <c r="L359" s="643"/>
      <c r="M359" s="616">
        <f t="shared" si="13"/>
        <v>0</v>
      </c>
      <c r="N359" s="633"/>
      <c r="O359" s="542"/>
      <c r="P359" s="542"/>
      <c r="Q359" s="7"/>
      <c r="R359" s="699"/>
      <c r="S359" s="7"/>
      <c r="T359" s="618">
        <f t="shared" si="12"/>
        <v>0</v>
      </c>
      <c r="U359" s="7"/>
      <c r="V359" s="7"/>
      <c r="W359" s="7"/>
      <c r="X359" s="7"/>
      <c r="Y359" s="7"/>
      <c r="Z359" s="7"/>
    </row>
    <row r="360" spans="1:26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4"/>
      <c r="G360" s="213"/>
      <c r="H360" s="213"/>
      <c r="I360" s="372"/>
      <c r="J360" s="259"/>
      <c r="K360" s="213"/>
      <c r="L360" s="643"/>
      <c r="M360" s="616">
        <f t="shared" si="13"/>
        <v>0</v>
      </c>
      <c r="N360" s="633"/>
      <c r="O360" s="542"/>
      <c r="P360" s="542"/>
      <c r="Q360" s="7"/>
      <c r="R360" s="699"/>
      <c r="S360" s="7"/>
      <c r="T360" s="618">
        <f t="shared" si="12"/>
        <v>0</v>
      </c>
      <c r="U360" s="7"/>
      <c r="V360" s="7"/>
      <c r="W360" s="7"/>
      <c r="X360" s="7"/>
      <c r="Y360" s="7"/>
      <c r="Z360" s="7"/>
    </row>
    <row r="361" spans="1:26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4"/>
      <c r="G361" s="213"/>
      <c r="H361" s="213"/>
      <c r="I361" s="372"/>
      <c r="J361" s="259"/>
      <c r="K361" s="213"/>
      <c r="L361" s="643"/>
      <c r="M361" s="616">
        <f t="shared" si="13"/>
        <v>0</v>
      </c>
      <c r="N361" s="633"/>
      <c r="O361" s="547"/>
      <c r="P361" s="547"/>
      <c r="Q361" s="7"/>
      <c r="R361" s="699"/>
      <c r="S361" s="7"/>
      <c r="T361" s="618">
        <f t="shared" si="12"/>
        <v>0</v>
      </c>
      <c r="U361" s="7"/>
      <c r="V361" s="7"/>
      <c r="W361" s="7"/>
      <c r="X361" s="7"/>
      <c r="Y361" s="7"/>
      <c r="Z361" s="7"/>
    </row>
    <row r="362" spans="1:26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4"/>
      <c r="G362" s="213"/>
      <c r="H362" s="213"/>
      <c r="I362" s="372"/>
      <c r="J362" s="259"/>
      <c r="K362" s="213"/>
      <c r="L362" s="643"/>
      <c r="M362" s="616">
        <f t="shared" si="13"/>
        <v>0</v>
      </c>
      <c r="N362" s="633"/>
      <c r="O362" s="241"/>
      <c r="P362" s="241"/>
      <c r="Q362" s="7"/>
      <c r="R362" s="699"/>
      <c r="S362" s="7"/>
      <c r="T362" s="618">
        <f t="shared" si="12"/>
        <v>0</v>
      </c>
      <c r="U362" s="7"/>
      <c r="V362" s="7"/>
      <c r="W362" s="7"/>
      <c r="X362" s="7"/>
      <c r="Y362" s="7"/>
      <c r="Z362" s="7"/>
    </row>
    <row r="363" spans="1:26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4"/>
      <c r="G363" s="213"/>
      <c r="H363" s="213"/>
      <c r="I363" s="372"/>
      <c r="J363" s="259"/>
      <c r="K363" s="213"/>
      <c r="L363" s="643"/>
      <c r="M363" s="616">
        <f t="shared" si="13"/>
        <v>0</v>
      </c>
      <c r="N363" s="633"/>
      <c r="O363" s="241"/>
      <c r="P363" s="241"/>
      <c r="Q363" s="7"/>
      <c r="R363" s="699"/>
      <c r="S363" s="7"/>
      <c r="T363" s="618">
        <f t="shared" si="12"/>
        <v>0</v>
      </c>
      <c r="U363" s="7"/>
      <c r="V363" s="7"/>
      <c r="W363" s="7"/>
      <c r="X363" s="7"/>
      <c r="Y363" s="7"/>
      <c r="Z363" s="7"/>
    </row>
    <row r="364" spans="1:26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4"/>
      <c r="G364" s="213"/>
      <c r="H364" s="213"/>
      <c r="I364" s="372"/>
      <c r="J364" s="259"/>
      <c r="K364" s="213"/>
      <c r="L364" s="643"/>
      <c r="M364" s="616">
        <f t="shared" si="13"/>
        <v>0</v>
      </c>
      <c r="N364" s="633"/>
      <c r="O364" s="241"/>
      <c r="P364" s="241"/>
      <c r="Q364" s="7"/>
      <c r="R364" s="699"/>
      <c r="S364" s="7"/>
      <c r="T364" s="618">
        <f t="shared" si="12"/>
        <v>0</v>
      </c>
      <c r="U364" s="7"/>
      <c r="V364" s="7"/>
      <c r="W364" s="7"/>
      <c r="X364" s="7"/>
      <c r="Y364" s="7"/>
      <c r="Z364" s="7"/>
    </row>
    <row r="365" spans="1:26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4"/>
      <c r="G365" s="213"/>
      <c r="H365" s="213"/>
      <c r="I365" s="372"/>
      <c r="J365" s="259"/>
      <c r="K365" s="213"/>
      <c r="L365" s="643"/>
      <c r="M365" s="616">
        <f t="shared" si="13"/>
        <v>0</v>
      </c>
      <c r="N365" s="633"/>
      <c r="O365" s="241"/>
      <c r="P365" s="241"/>
      <c r="Q365" s="7"/>
      <c r="R365" s="699"/>
      <c r="S365" s="7"/>
      <c r="T365" s="618">
        <f t="shared" si="12"/>
        <v>0</v>
      </c>
      <c r="U365" s="7"/>
      <c r="V365" s="7"/>
      <c r="W365" s="7"/>
      <c r="X365" s="7"/>
      <c r="Y365" s="7"/>
      <c r="Z365" s="7"/>
    </row>
    <row r="366" spans="1:26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4"/>
      <c r="G366" s="213"/>
      <c r="H366" s="213"/>
      <c r="I366" s="372"/>
      <c r="J366" s="259"/>
      <c r="K366" s="213"/>
      <c r="L366" s="643"/>
      <c r="M366" s="616">
        <f t="shared" si="13"/>
        <v>0</v>
      </c>
      <c r="N366" s="633"/>
      <c r="O366" s="547"/>
      <c r="P366" s="547"/>
      <c r="Q366" s="7"/>
      <c r="R366" s="699"/>
      <c r="S366" s="7"/>
      <c r="T366" s="618">
        <f t="shared" si="12"/>
        <v>0</v>
      </c>
      <c r="U366" s="7"/>
      <c r="V366" s="7"/>
      <c r="W366" s="7"/>
      <c r="X366" s="7"/>
      <c r="Y366" s="7"/>
      <c r="Z366" s="7"/>
    </row>
    <row r="367" spans="1:26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4"/>
      <c r="G367" s="213"/>
      <c r="H367" s="213"/>
      <c r="I367" s="372"/>
      <c r="J367" s="259"/>
      <c r="K367" s="213"/>
      <c r="L367" s="643"/>
      <c r="M367" s="616">
        <f t="shared" si="13"/>
        <v>0</v>
      </c>
      <c r="N367" s="633"/>
      <c r="O367" s="547"/>
      <c r="P367" s="547"/>
      <c r="Q367" s="7"/>
      <c r="R367" s="699"/>
      <c r="S367" s="7"/>
      <c r="T367" s="618">
        <f t="shared" si="12"/>
        <v>0</v>
      </c>
      <c r="U367" s="7"/>
      <c r="V367" s="7"/>
      <c r="W367" s="7"/>
      <c r="X367" s="7"/>
      <c r="Y367" s="7"/>
      <c r="Z367" s="7"/>
    </row>
    <row r="368" spans="1:26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4"/>
      <c r="G368" s="213"/>
      <c r="H368" s="213"/>
      <c r="I368" s="372"/>
      <c r="J368" s="259"/>
      <c r="K368" s="213"/>
      <c r="L368" s="643"/>
      <c r="M368" s="616">
        <f t="shared" si="13"/>
        <v>0</v>
      </c>
      <c r="N368" s="633"/>
      <c r="O368" s="640"/>
      <c r="P368" s="640"/>
      <c r="Q368" s="7"/>
      <c r="R368" s="699"/>
      <c r="S368" s="7"/>
      <c r="T368" s="618">
        <f t="shared" si="12"/>
        <v>0</v>
      </c>
      <c r="U368" s="7"/>
      <c r="V368" s="7"/>
      <c r="W368" s="7"/>
      <c r="X368" s="7"/>
      <c r="Y368" s="7"/>
      <c r="Z368" s="7"/>
    </row>
    <row r="369" spans="1:26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4"/>
      <c r="G369" s="213">
        <v>1</v>
      </c>
      <c r="H369" s="213"/>
      <c r="I369" s="372"/>
      <c r="J369" s="259"/>
      <c r="K369" s="213"/>
      <c r="L369" s="657"/>
      <c r="M369" s="616">
        <f t="shared" si="13"/>
        <v>1</v>
      </c>
      <c r="N369" s="633"/>
      <c r="O369" s="636"/>
      <c r="P369" s="636"/>
      <c r="Q369" s="7"/>
      <c r="R369" s="699">
        <v>23</v>
      </c>
      <c r="S369" s="7"/>
      <c r="T369" s="618">
        <f t="shared" si="12"/>
        <v>22</v>
      </c>
      <c r="U369" s="7"/>
      <c r="V369" s="7"/>
      <c r="W369" s="7"/>
      <c r="X369" s="7"/>
      <c r="Y369" s="7"/>
      <c r="Z369" s="7"/>
    </row>
    <row r="370" spans="1:26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4"/>
      <c r="G370" s="213"/>
      <c r="H370" s="213"/>
      <c r="I370" s="372"/>
      <c r="J370" s="259"/>
      <c r="K370" s="213"/>
      <c r="L370" s="643"/>
      <c r="M370" s="616">
        <f t="shared" si="13"/>
        <v>0</v>
      </c>
      <c r="N370" s="633"/>
      <c r="O370" s="648"/>
      <c r="P370" s="648"/>
      <c r="Q370" s="7"/>
      <c r="R370" s="699">
        <v>3</v>
      </c>
      <c r="S370" s="7"/>
      <c r="T370" s="618">
        <f t="shared" si="12"/>
        <v>3</v>
      </c>
      <c r="U370" s="7"/>
      <c r="V370" s="7"/>
      <c r="W370" s="7"/>
      <c r="X370" s="7"/>
      <c r="Y370" s="7"/>
      <c r="Z370" s="7"/>
    </row>
    <row r="371" spans="1:26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4"/>
      <c r="G371" s="213"/>
      <c r="H371" s="213"/>
      <c r="I371" s="372"/>
      <c r="J371" s="259"/>
      <c r="K371" s="213"/>
      <c r="L371" s="643"/>
      <c r="M371" s="616">
        <f t="shared" si="13"/>
        <v>0</v>
      </c>
      <c r="N371" s="633"/>
      <c r="O371" s="648"/>
      <c r="P371" s="648"/>
      <c r="Q371" s="7"/>
      <c r="R371" s="699">
        <v>20</v>
      </c>
      <c r="S371" s="7"/>
      <c r="T371" s="618">
        <f t="shared" si="12"/>
        <v>20</v>
      </c>
      <c r="U371" s="7"/>
      <c r="V371" s="7"/>
      <c r="W371" s="7"/>
      <c r="X371" s="7"/>
      <c r="Y371" s="7"/>
      <c r="Z371" s="7"/>
    </row>
    <row r="372" spans="1:26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4"/>
      <c r="G372" s="213"/>
      <c r="H372" s="213"/>
      <c r="I372" s="372"/>
      <c r="J372" s="259"/>
      <c r="K372" s="213"/>
      <c r="L372" s="657"/>
      <c r="M372" s="616">
        <f t="shared" si="13"/>
        <v>0</v>
      </c>
      <c r="N372" s="633"/>
      <c r="O372" s="636"/>
      <c r="P372" s="636"/>
      <c r="Q372" s="7"/>
      <c r="R372" s="699">
        <v>1250</v>
      </c>
      <c r="S372" s="7"/>
      <c r="T372" s="618">
        <f t="shared" si="12"/>
        <v>1250</v>
      </c>
      <c r="U372" s="7"/>
      <c r="V372" s="7"/>
      <c r="W372" s="7"/>
      <c r="X372" s="7"/>
      <c r="Y372" s="7"/>
      <c r="Z372" s="7"/>
    </row>
    <row r="373" spans="1:26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4"/>
      <c r="G373" s="213"/>
      <c r="H373" s="213"/>
      <c r="I373" s="372"/>
      <c r="J373" s="259"/>
      <c r="K373" s="213"/>
      <c r="L373" s="643"/>
      <c r="M373" s="616">
        <f t="shared" si="13"/>
        <v>0</v>
      </c>
      <c r="N373" s="633"/>
      <c r="O373" s="648"/>
      <c r="P373" s="648"/>
      <c r="Q373" s="7"/>
      <c r="R373" s="699"/>
      <c r="S373" s="7"/>
      <c r="T373" s="618">
        <f t="shared" si="12"/>
        <v>0</v>
      </c>
      <c r="U373" s="7"/>
      <c r="V373" s="7"/>
      <c r="W373" s="7"/>
      <c r="X373" s="7"/>
      <c r="Y373" s="7"/>
      <c r="Z373" s="7"/>
    </row>
    <row r="374" spans="1:26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4"/>
      <c r="G374" s="213"/>
      <c r="H374" s="213"/>
      <c r="I374" s="372"/>
      <c r="J374" s="259"/>
      <c r="K374" s="213"/>
      <c r="L374" s="643"/>
      <c r="M374" s="616">
        <f t="shared" si="13"/>
        <v>0</v>
      </c>
      <c r="N374" s="633"/>
      <c r="O374" s="648"/>
      <c r="P374" s="648"/>
      <c r="Q374" s="7"/>
      <c r="R374" s="699">
        <v>1250</v>
      </c>
      <c r="S374" s="7"/>
      <c r="T374" s="618">
        <f t="shared" si="12"/>
        <v>1250</v>
      </c>
      <c r="U374" s="7"/>
      <c r="V374" s="7"/>
      <c r="W374" s="7"/>
      <c r="X374" s="7"/>
      <c r="Y374" s="7"/>
      <c r="Z374" s="7"/>
    </row>
    <row r="375" spans="1:26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4"/>
      <c r="G375" s="213"/>
      <c r="H375" s="213"/>
      <c r="I375" s="372"/>
      <c r="J375" s="259"/>
      <c r="K375" s="213"/>
      <c r="L375" s="643"/>
      <c r="M375" s="616">
        <f t="shared" si="13"/>
        <v>0</v>
      </c>
      <c r="N375" s="633"/>
      <c r="O375" s="636"/>
      <c r="P375" s="636"/>
      <c r="Q375" s="7"/>
      <c r="R375" s="704"/>
      <c r="S375" s="7"/>
      <c r="T375" s="618">
        <f t="shared" si="12"/>
        <v>0</v>
      </c>
      <c r="U375" s="7"/>
      <c r="V375" s="7"/>
      <c r="W375" s="7"/>
      <c r="X375" s="7"/>
      <c r="Y375" s="7"/>
      <c r="Z375" s="7"/>
    </row>
    <row r="376" spans="1:26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4"/>
      <c r="G376" s="213"/>
      <c r="H376" s="213"/>
      <c r="I376" s="372"/>
      <c r="J376" s="259"/>
      <c r="K376" s="213"/>
      <c r="L376" s="643"/>
      <c r="M376" s="616">
        <f t="shared" si="13"/>
        <v>0</v>
      </c>
      <c r="N376" s="633"/>
      <c r="O376" s="648"/>
      <c r="P376" s="648"/>
      <c r="Q376" s="7"/>
      <c r="R376" s="704"/>
      <c r="S376" s="7"/>
      <c r="T376" s="618">
        <f t="shared" si="12"/>
        <v>0</v>
      </c>
      <c r="U376" s="7"/>
      <c r="V376" s="7"/>
      <c r="W376" s="7"/>
      <c r="X376" s="7"/>
      <c r="Y376" s="7"/>
      <c r="Z376" s="7"/>
    </row>
    <row r="377" spans="1:26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4"/>
      <c r="G377" s="213"/>
      <c r="H377" s="213"/>
      <c r="I377" s="372"/>
      <c r="J377" s="259"/>
      <c r="K377" s="213"/>
      <c r="L377" s="643"/>
      <c r="M377" s="616">
        <f t="shared" si="13"/>
        <v>0</v>
      </c>
      <c r="N377" s="633"/>
      <c r="O377" s="648"/>
      <c r="P377" s="648"/>
      <c r="Q377" s="7"/>
      <c r="R377" s="704"/>
      <c r="S377" s="7"/>
      <c r="T377" s="618">
        <f t="shared" si="12"/>
        <v>0</v>
      </c>
      <c r="U377" s="7"/>
      <c r="V377" s="7"/>
      <c r="W377" s="7"/>
      <c r="X377" s="7"/>
      <c r="Y377" s="7"/>
      <c r="Z377" s="7"/>
    </row>
    <row r="378" spans="1:26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4"/>
      <c r="G378" s="213"/>
      <c r="H378" s="213"/>
      <c r="I378" s="372"/>
      <c r="J378" s="259"/>
      <c r="K378" s="213"/>
      <c r="L378" s="643"/>
      <c r="M378" s="616">
        <f t="shared" si="13"/>
        <v>0</v>
      </c>
      <c r="N378" s="633"/>
      <c r="O378" s="636"/>
      <c r="P378" s="636"/>
      <c r="Q378" s="7"/>
      <c r="R378" s="704"/>
      <c r="S378" s="7"/>
      <c r="T378" s="618">
        <f t="shared" si="12"/>
        <v>0</v>
      </c>
      <c r="U378" s="7"/>
      <c r="V378" s="7"/>
      <c r="W378" s="7"/>
      <c r="X378" s="7"/>
      <c r="Y378" s="7"/>
      <c r="Z378" s="7"/>
    </row>
    <row r="379" spans="1:26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4"/>
      <c r="G379" s="213"/>
      <c r="H379" s="213"/>
      <c r="I379" s="372"/>
      <c r="J379" s="259"/>
      <c r="K379" s="213"/>
      <c r="L379" s="643"/>
      <c r="M379" s="616">
        <f t="shared" si="13"/>
        <v>0</v>
      </c>
      <c r="N379" s="633"/>
      <c r="O379" s="648"/>
      <c r="P379" s="648"/>
      <c r="Q379" s="7"/>
      <c r="R379" s="704"/>
      <c r="S379" s="7"/>
      <c r="T379" s="618">
        <f t="shared" si="12"/>
        <v>0</v>
      </c>
      <c r="U379" s="7"/>
      <c r="V379" s="7"/>
      <c r="W379" s="7"/>
      <c r="X379" s="7"/>
      <c r="Y379" s="7"/>
      <c r="Z379" s="7"/>
    </row>
    <row r="380" spans="1:26" ht="21.75" customHeight="1">
      <c r="A380" s="503" t="s">
        <v>1499</v>
      </c>
      <c r="B380" s="483" t="s">
        <v>828</v>
      </c>
      <c r="C380" s="658" t="s">
        <v>829</v>
      </c>
      <c r="D380" s="504" t="s">
        <v>1747</v>
      </c>
      <c r="E380" s="213"/>
      <c r="F380" s="214"/>
      <c r="G380" s="213"/>
      <c r="H380" s="213"/>
      <c r="I380" s="372"/>
      <c r="J380" s="259"/>
      <c r="K380" s="213"/>
      <c r="L380" s="643"/>
      <c r="M380" s="616">
        <f t="shared" si="13"/>
        <v>0</v>
      </c>
      <c r="N380" s="633"/>
      <c r="O380" s="648"/>
      <c r="P380" s="648"/>
      <c r="Q380" s="7"/>
      <c r="R380" s="704"/>
      <c r="S380" s="7"/>
      <c r="T380" s="618">
        <f t="shared" si="12"/>
        <v>0</v>
      </c>
      <c r="U380" s="7"/>
      <c r="V380" s="7"/>
      <c r="W380" s="7"/>
      <c r="X380" s="7"/>
      <c r="Y380" s="7"/>
      <c r="Z380" s="7"/>
    </row>
    <row r="381" spans="1:26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4"/>
      <c r="G381" s="213"/>
      <c r="H381" s="213"/>
      <c r="I381" s="372"/>
      <c r="J381" s="259"/>
      <c r="K381" s="213"/>
      <c r="L381" s="643"/>
      <c r="M381" s="616">
        <f t="shared" si="13"/>
        <v>0</v>
      </c>
      <c r="N381" s="633"/>
      <c r="O381" s="648"/>
      <c r="P381" s="648"/>
      <c r="Q381" s="7"/>
      <c r="R381" s="704"/>
      <c r="S381" s="7"/>
      <c r="T381" s="618">
        <f t="shared" si="12"/>
        <v>0</v>
      </c>
      <c r="U381" s="7"/>
      <c r="V381" s="7"/>
      <c r="W381" s="7"/>
      <c r="X381" s="7"/>
      <c r="Y381" s="7"/>
      <c r="Z381" s="7"/>
    </row>
    <row r="382" spans="1:26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4"/>
      <c r="G382" s="213"/>
      <c r="H382" s="213"/>
      <c r="I382" s="372"/>
      <c r="J382" s="259"/>
      <c r="K382" s="213"/>
      <c r="L382" s="643"/>
      <c r="M382" s="616">
        <f t="shared" si="13"/>
        <v>0</v>
      </c>
      <c r="N382" s="633"/>
      <c r="O382" s="636"/>
      <c r="P382" s="636"/>
      <c r="Q382" s="7"/>
      <c r="R382" s="704"/>
      <c r="S382" s="7"/>
      <c r="T382" s="618">
        <f t="shared" si="12"/>
        <v>0</v>
      </c>
      <c r="U382" s="7"/>
      <c r="V382" s="7"/>
      <c r="W382" s="7"/>
      <c r="X382" s="7"/>
      <c r="Y382" s="7"/>
      <c r="Z382" s="7"/>
    </row>
    <row r="383" spans="1:26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4"/>
      <c r="G383" s="213"/>
      <c r="H383" s="213"/>
      <c r="I383" s="372"/>
      <c r="J383" s="259"/>
      <c r="K383" s="213"/>
      <c r="L383" s="643"/>
      <c r="M383" s="616">
        <f t="shared" si="13"/>
        <v>0</v>
      </c>
      <c r="N383" s="633"/>
      <c r="O383" s="636"/>
      <c r="P383" s="636"/>
      <c r="Q383" s="7"/>
      <c r="R383" s="704"/>
      <c r="S383" s="7"/>
      <c r="T383" s="618">
        <f t="shared" si="12"/>
        <v>0</v>
      </c>
      <c r="U383" s="7"/>
      <c r="V383" s="7"/>
      <c r="W383" s="7"/>
      <c r="X383" s="7"/>
      <c r="Y383" s="7"/>
      <c r="Z383" s="7"/>
    </row>
    <row r="384" spans="1:26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4"/>
      <c r="G384" s="213"/>
      <c r="H384" s="213"/>
      <c r="I384" s="372"/>
      <c r="J384" s="259"/>
      <c r="K384" s="213"/>
      <c r="L384" s="643"/>
      <c r="M384" s="616">
        <f t="shared" si="13"/>
        <v>0</v>
      </c>
      <c r="N384" s="633"/>
      <c r="O384" s="648"/>
      <c r="P384" s="648"/>
      <c r="Q384" s="7"/>
      <c r="R384" s="704"/>
      <c r="S384" s="7"/>
      <c r="T384" s="618">
        <f t="shared" si="12"/>
        <v>0</v>
      </c>
      <c r="U384" s="7"/>
      <c r="V384" s="7"/>
      <c r="W384" s="7"/>
      <c r="X384" s="7"/>
      <c r="Y384" s="7"/>
      <c r="Z384" s="7"/>
    </row>
    <row r="385" spans="1:26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4"/>
      <c r="G385" s="213"/>
      <c r="H385" s="213"/>
      <c r="I385" s="372"/>
      <c r="J385" s="259"/>
      <c r="K385" s="213"/>
      <c r="L385" s="643"/>
      <c r="M385" s="616">
        <f t="shared" si="13"/>
        <v>0</v>
      </c>
      <c r="N385" s="633"/>
      <c r="O385" s="648"/>
      <c r="P385" s="648"/>
      <c r="Q385" s="7"/>
      <c r="R385" s="704"/>
      <c r="S385" s="7"/>
      <c r="T385" s="618">
        <f t="shared" si="12"/>
        <v>0</v>
      </c>
      <c r="U385" s="7"/>
      <c r="V385" s="7"/>
      <c r="W385" s="7"/>
      <c r="X385" s="7"/>
      <c r="Y385" s="7"/>
      <c r="Z385" s="7"/>
    </row>
    <row r="386" spans="1:26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4"/>
      <c r="G386" s="213"/>
      <c r="H386" s="213"/>
      <c r="I386" s="372"/>
      <c r="J386" s="259"/>
      <c r="K386" s="213"/>
      <c r="L386" s="643"/>
      <c r="M386" s="616">
        <f t="shared" si="13"/>
        <v>0</v>
      </c>
      <c r="N386" s="633"/>
      <c r="O386" s="648"/>
      <c r="P386" s="648"/>
      <c r="Q386" s="7"/>
      <c r="R386" s="704"/>
      <c r="S386" s="7"/>
      <c r="T386" s="618">
        <f t="shared" si="12"/>
        <v>0</v>
      </c>
      <c r="U386" s="7"/>
      <c r="V386" s="7"/>
      <c r="W386" s="7"/>
      <c r="X386" s="7"/>
      <c r="Y386" s="7"/>
      <c r="Z386" s="7"/>
    </row>
    <row r="387" spans="1:26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4"/>
      <c r="G387" s="213"/>
      <c r="H387" s="213"/>
      <c r="I387" s="372"/>
      <c r="J387" s="259"/>
      <c r="K387" s="213"/>
      <c r="L387" s="643"/>
      <c r="M387" s="616">
        <f t="shared" si="13"/>
        <v>0</v>
      </c>
      <c r="N387" s="633"/>
      <c r="O387" s="648"/>
      <c r="P387" s="648"/>
      <c r="Q387" s="7"/>
      <c r="R387" s="704"/>
      <c r="S387" s="7"/>
      <c r="T387" s="618">
        <f t="shared" si="12"/>
        <v>0</v>
      </c>
      <c r="U387" s="7"/>
      <c r="V387" s="7"/>
      <c r="W387" s="7"/>
      <c r="X387" s="7"/>
      <c r="Y387" s="7"/>
      <c r="Z387" s="7"/>
    </row>
    <row r="388" spans="1:26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4"/>
      <c r="G388" s="213"/>
      <c r="H388" s="213"/>
      <c r="I388" s="372"/>
      <c r="J388" s="259"/>
      <c r="K388" s="213"/>
      <c r="L388" s="643"/>
      <c r="M388" s="616">
        <f t="shared" si="13"/>
        <v>0</v>
      </c>
      <c r="N388" s="633"/>
      <c r="O388" s="636"/>
      <c r="P388" s="636"/>
      <c r="Q388" s="7"/>
      <c r="R388" s="704"/>
      <c r="S388" s="7"/>
      <c r="T388" s="618">
        <f t="shared" si="12"/>
        <v>0</v>
      </c>
      <c r="U388" s="7"/>
      <c r="V388" s="7"/>
      <c r="W388" s="7"/>
      <c r="X388" s="7"/>
      <c r="Y388" s="7"/>
      <c r="Z388" s="7"/>
    </row>
    <row r="389" spans="1:26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4"/>
      <c r="G389" s="213"/>
      <c r="H389" s="213"/>
      <c r="I389" s="372"/>
      <c r="J389" s="259"/>
      <c r="K389" s="213"/>
      <c r="L389" s="643"/>
      <c r="M389" s="616">
        <f t="shared" si="13"/>
        <v>0</v>
      </c>
      <c r="N389" s="633"/>
      <c r="O389" s="636"/>
      <c r="P389" s="636"/>
      <c r="Q389" s="7"/>
      <c r="R389" s="704"/>
      <c r="S389" s="7"/>
      <c r="T389" s="618">
        <f t="shared" si="12"/>
        <v>0</v>
      </c>
      <c r="U389" s="7"/>
      <c r="V389" s="7"/>
      <c r="W389" s="7"/>
      <c r="X389" s="7"/>
      <c r="Y389" s="7"/>
      <c r="Z389" s="7"/>
    </row>
    <row r="390" spans="1:26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4"/>
      <c r="G390" s="213"/>
      <c r="H390" s="213"/>
      <c r="I390" s="372"/>
      <c r="J390" s="259"/>
      <c r="K390" s="213"/>
      <c r="L390" s="643"/>
      <c r="M390" s="616">
        <f t="shared" si="13"/>
        <v>0</v>
      </c>
      <c r="N390" s="633"/>
      <c r="O390" s="636"/>
      <c r="P390" s="636"/>
      <c r="Q390" s="7"/>
      <c r="R390" s="704"/>
      <c r="S390" s="7"/>
      <c r="T390" s="618">
        <f t="shared" si="12"/>
        <v>0</v>
      </c>
      <c r="U390" s="7"/>
      <c r="V390" s="7"/>
      <c r="W390" s="7"/>
      <c r="X390" s="7"/>
      <c r="Y390" s="7"/>
      <c r="Z390" s="7"/>
    </row>
    <row r="391" spans="1:26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4"/>
      <c r="G391" s="213"/>
      <c r="H391" s="213"/>
      <c r="I391" s="372"/>
      <c r="J391" s="259"/>
      <c r="K391" s="213"/>
      <c r="L391" s="643"/>
      <c r="M391" s="616">
        <f t="shared" si="13"/>
        <v>0</v>
      </c>
      <c r="N391" s="633"/>
      <c r="O391" s="636"/>
      <c r="P391" s="636"/>
      <c r="Q391" s="7"/>
      <c r="R391" s="704"/>
      <c r="S391" s="7"/>
      <c r="T391" s="618">
        <f t="shared" si="12"/>
        <v>0</v>
      </c>
      <c r="U391" s="7"/>
      <c r="V391" s="7"/>
      <c r="W391" s="7"/>
      <c r="X391" s="7"/>
      <c r="Y391" s="7"/>
      <c r="Z391" s="7"/>
    </row>
    <row r="392" spans="1:26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4"/>
      <c r="G392" s="213"/>
      <c r="H392" s="213"/>
      <c r="I392" s="372"/>
      <c r="J392" s="259"/>
      <c r="K392" s="213"/>
      <c r="L392" s="643"/>
      <c r="M392" s="616">
        <f t="shared" si="13"/>
        <v>0</v>
      </c>
      <c r="N392" s="633"/>
      <c r="O392" s="636"/>
      <c r="P392" s="636"/>
      <c r="Q392" s="7"/>
      <c r="R392" s="704"/>
      <c r="S392" s="7"/>
      <c r="T392" s="618">
        <f t="shared" si="12"/>
        <v>0</v>
      </c>
      <c r="U392" s="7"/>
      <c r="V392" s="7"/>
      <c r="W392" s="7"/>
      <c r="X392" s="7"/>
      <c r="Y392" s="7"/>
      <c r="Z392" s="7"/>
    </row>
    <row r="393" spans="1:26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4"/>
      <c r="G393" s="213"/>
      <c r="H393" s="213"/>
      <c r="I393" s="372"/>
      <c r="J393" s="259"/>
      <c r="K393" s="213"/>
      <c r="L393" s="643"/>
      <c r="M393" s="616">
        <f t="shared" si="13"/>
        <v>0</v>
      </c>
      <c r="N393" s="633"/>
      <c r="O393" s="636"/>
      <c r="P393" s="636"/>
      <c r="Q393" s="7"/>
      <c r="R393" s="704"/>
      <c r="S393" s="7"/>
      <c r="T393" s="618">
        <f t="shared" si="12"/>
        <v>0</v>
      </c>
      <c r="U393" s="7"/>
      <c r="V393" s="7"/>
      <c r="W393" s="7"/>
      <c r="X393" s="7"/>
      <c r="Y393" s="7"/>
      <c r="Z393" s="7"/>
    </row>
    <row r="394" spans="1:26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4"/>
      <c r="G394" s="213"/>
      <c r="H394" s="213"/>
      <c r="I394" s="372"/>
      <c r="J394" s="259"/>
      <c r="K394" s="213"/>
      <c r="L394" s="643"/>
      <c r="M394" s="616">
        <f t="shared" si="13"/>
        <v>0</v>
      </c>
      <c r="N394" s="633"/>
      <c r="O394" s="634"/>
      <c r="P394" s="634"/>
      <c r="Q394" s="7"/>
      <c r="R394" s="704"/>
      <c r="S394" s="7"/>
      <c r="T394" s="618">
        <f t="shared" si="12"/>
        <v>0</v>
      </c>
      <c r="U394" s="7"/>
      <c r="V394" s="7"/>
      <c r="W394" s="7"/>
      <c r="X394" s="7"/>
      <c r="Y394" s="7"/>
      <c r="Z394" s="7"/>
    </row>
    <row r="395" spans="1:26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4"/>
      <c r="G395" s="213"/>
      <c r="H395" s="213"/>
      <c r="I395" s="372"/>
      <c r="J395" s="259"/>
      <c r="K395" s="213"/>
      <c r="L395" s="643"/>
      <c r="M395" s="616">
        <f t="shared" si="13"/>
        <v>0</v>
      </c>
      <c r="N395" s="633"/>
      <c r="O395" s="634"/>
      <c r="P395" s="634"/>
      <c r="Q395" s="7"/>
      <c r="R395" s="704"/>
      <c r="S395" s="7"/>
      <c r="T395" s="618">
        <f t="shared" si="12"/>
        <v>0</v>
      </c>
      <c r="U395" s="7"/>
      <c r="V395" s="7"/>
      <c r="W395" s="7"/>
      <c r="X395" s="7"/>
      <c r="Y395" s="7"/>
      <c r="Z395" s="7"/>
    </row>
    <row r="396" spans="1:26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4"/>
      <c r="G396" s="213"/>
      <c r="H396" s="213"/>
      <c r="I396" s="372"/>
      <c r="J396" s="259"/>
      <c r="K396" s="213"/>
      <c r="L396" s="643"/>
      <c r="M396" s="616">
        <f t="shared" si="13"/>
        <v>0</v>
      </c>
      <c r="N396" s="633"/>
      <c r="O396" s="634"/>
      <c r="P396" s="634"/>
      <c r="Q396" s="7"/>
      <c r="R396" s="704"/>
      <c r="S396" s="7"/>
      <c r="T396" s="618">
        <f t="shared" si="12"/>
        <v>0</v>
      </c>
      <c r="U396" s="7"/>
      <c r="V396" s="7"/>
      <c r="W396" s="7"/>
      <c r="X396" s="7"/>
      <c r="Y396" s="7"/>
      <c r="Z396" s="7"/>
    </row>
    <row r="397" spans="1:26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4"/>
      <c r="G397" s="213"/>
      <c r="H397" s="213"/>
      <c r="I397" s="372"/>
      <c r="J397" s="259"/>
      <c r="K397" s="213"/>
      <c r="L397" s="643"/>
      <c r="M397" s="616">
        <f t="shared" si="13"/>
        <v>0</v>
      </c>
      <c r="N397" s="633"/>
      <c r="O397" s="636"/>
      <c r="P397" s="636"/>
      <c r="Q397" s="7"/>
      <c r="R397" s="704"/>
      <c r="S397" s="7"/>
      <c r="T397" s="618">
        <f t="shared" si="12"/>
        <v>0</v>
      </c>
      <c r="U397" s="7"/>
      <c r="V397" s="7"/>
      <c r="W397" s="7"/>
      <c r="X397" s="7"/>
      <c r="Y397" s="7"/>
      <c r="Z397" s="7"/>
    </row>
    <row r="398" spans="1:26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4"/>
      <c r="G398" s="213"/>
      <c r="H398" s="213"/>
      <c r="I398" s="372"/>
      <c r="J398" s="259"/>
      <c r="K398" s="213"/>
      <c r="L398" s="643"/>
      <c r="M398" s="616">
        <f t="shared" si="13"/>
        <v>0</v>
      </c>
      <c r="N398" s="633"/>
      <c r="O398" s="634"/>
      <c r="P398" s="634"/>
      <c r="Q398" s="7"/>
      <c r="R398" s="704"/>
      <c r="S398" s="7"/>
      <c r="T398" s="618">
        <f t="shared" si="12"/>
        <v>0</v>
      </c>
      <c r="U398" s="7"/>
      <c r="V398" s="7"/>
      <c r="W398" s="7"/>
      <c r="X398" s="7"/>
      <c r="Y398" s="7"/>
      <c r="Z398" s="7"/>
    </row>
    <row r="399" spans="1:26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4"/>
      <c r="G399" s="213"/>
      <c r="H399" s="213"/>
      <c r="I399" s="372"/>
      <c r="J399" s="259"/>
      <c r="K399" s="213"/>
      <c r="L399" s="643"/>
      <c r="M399" s="616">
        <f t="shared" si="13"/>
        <v>0</v>
      </c>
      <c r="N399" s="633"/>
      <c r="O399" s="634"/>
      <c r="P399" s="634"/>
      <c r="Q399" s="7"/>
      <c r="R399" s="704"/>
      <c r="S399" s="7"/>
      <c r="T399" s="618">
        <f t="shared" si="12"/>
        <v>0</v>
      </c>
      <c r="U399" s="7"/>
      <c r="V399" s="7"/>
      <c r="W399" s="7"/>
      <c r="X399" s="7"/>
      <c r="Y399" s="7"/>
      <c r="Z399" s="7"/>
    </row>
    <row r="400" spans="1:26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4"/>
      <c r="G400" s="213"/>
      <c r="H400" s="213"/>
      <c r="I400" s="372"/>
      <c r="J400" s="259"/>
      <c r="K400" s="213"/>
      <c r="L400" s="643"/>
      <c r="M400" s="616">
        <f t="shared" si="13"/>
        <v>0</v>
      </c>
      <c r="N400" s="633"/>
      <c r="O400" s="636"/>
      <c r="P400" s="636"/>
      <c r="Q400" s="7"/>
      <c r="R400" s="704"/>
      <c r="S400" s="7"/>
      <c r="T400" s="618">
        <f t="shared" si="12"/>
        <v>0</v>
      </c>
      <c r="U400" s="7"/>
      <c r="V400" s="7"/>
      <c r="W400" s="7"/>
      <c r="X400" s="7"/>
      <c r="Y400" s="7"/>
      <c r="Z400" s="7"/>
    </row>
    <row r="401" spans="1:26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4"/>
      <c r="G401" s="213"/>
      <c r="H401" s="213"/>
      <c r="I401" s="372"/>
      <c r="J401" s="259"/>
      <c r="K401" s="213"/>
      <c r="L401" s="643"/>
      <c r="M401" s="616">
        <f t="shared" si="13"/>
        <v>0</v>
      </c>
      <c r="N401" s="633"/>
      <c r="O401" s="634"/>
      <c r="P401" s="634"/>
      <c r="Q401" s="7"/>
      <c r="R401" s="704"/>
      <c r="S401" s="7"/>
      <c r="T401" s="618">
        <f t="shared" si="12"/>
        <v>0</v>
      </c>
      <c r="U401" s="7"/>
      <c r="V401" s="7"/>
      <c r="W401" s="7"/>
      <c r="X401" s="7"/>
      <c r="Y401" s="7"/>
      <c r="Z401" s="7"/>
    </row>
    <row r="402" spans="1:26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4"/>
      <c r="G402" s="213"/>
      <c r="H402" s="213"/>
      <c r="I402" s="372"/>
      <c r="J402" s="259"/>
      <c r="K402" s="213"/>
      <c r="L402" s="643"/>
      <c r="M402" s="616">
        <f t="shared" si="13"/>
        <v>0</v>
      </c>
      <c r="N402" s="633"/>
      <c r="O402" s="634"/>
      <c r="P402" s="634"/>
      <c r="Q402" s="7"/>
      <c r="R402" s="704"/>
      <c r="S402" s="7"/>
      <c r="T402" s="618">
        <f t="shared" si="12"/>
        <v>0</v>
      </c>
      <c r="U402" s="7"/>
      <c r="V402" s="7"/>
      <c r="W402" s="7"/>
      <c r="X402" s="7"/>
      <c r="Y402" s="7"/>
      <c r="Z402" s="7"/>
    </row>
    <row r="403" spans="1:26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4"/>
      <c r="G403" s="213"/>
      <c r="H403" s="213"/>
      <c r="I403" s="372"/>
      <c r="J403" s="259"/>
      <c r="K403" s="213"/>
      <c r="L403" s="643"/>
      <c r="M403" s="616">
        <f t="shared" si="13"/>
        <v>0</v>
      </c>
      <c r="N403" s="633"/>
      <c r="O403" s="634"/>
      <c r="P403" s="634"/>
      <c r="Q403" s="7"/>
      <c r="R403" s="704"/>
      <c r="S403" s="7"/>
      <c r="T403" s="618">
        <f t="shared" si="12"/>
        <v>0</v>
      </c>
      <c r="U403" s="7"/>
      <c r="V403" s="7"/>
      <c r="W403" s="7"/>
      <c r="X403" s="7"/>
      <c r="Y403" s="7"/>
      <c r="Z403" s="7"/>
    </row>
    <row r="404" spans="1:26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4"/>
      <c r="G404" s="213"/>
      <c r="H404" s="213"/>
      <c r="I404" s="372"/>
      <c r="J404" s="259"/>
      <c r="K404" s="213"/>
      <c r="L404" s="643"/>
      <c r="M404" s="616">
        <f t="shared" si="13"/>
        <v>0</v>
      </c>
      <c r="N404" s="633"/>
      <c r="O404" s="640"/>
      <c r="P404" s="640"/>
      <c r="Q404" s="7"/>
      <c r="R404" s="704"/>
      <c r="S404" s="7"/>
      <c r="T404" s="618">
        <f t="shared" si="12"/>
        <v>0</v>
      </c>
      <c r="U404" s="7"/>
      <c r="V404" s="7"/>
      <c r="W404" s="7"/>
      <c r="X404" s="7"/>
      <c r="Y404" s="7"/>
      <c r="Z404" s="7"/>
    </row>
    <row r="405" spans="1:26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4"/>
      <c r="G405" s="213"/>
      <c r="H405" s="213"/>
      <c r="I405" s="372"/>
      <c r="J405" s="259"/>
      <c r="K405" s="213"/>
      <c r="L405" s="643"/>
      <c r="M405" s="616">
        <f t="shared" si="13"/>
        <v>0</v>
      </c>
      <c r="N405" s="633"/>
      <c r="O405" s="636"/>
      <c r="P405" s="636"/>
      <c r="Q405" s="7"/>
      <c r="R405" s="704"/>
      <c r="S405" s="7"/>
      <c r="T405" s="618">
        <f t="shared" si="12"/>
        <v>0</v>
      </c>
      <c r="U405" s="7"/>
      <c r="V405" s="7"/>
      <c r="W405" s="7"/>
      <c r="X405" s="7"/>
      <c r="Y405" s="7"/>
      <c r="Z405" s="7"/>
    </row>
    <row r="406" spans="1:26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4"/>
      <c r="G406" s="213"/>
      <c r="H406" s="213"/>
      <c r="I406" s="372"/>
      <c r="J406" s="259"/>
      <c r="K406" s="213"/>
      <c r="L406" s="643"/>
      <c r="M406" s="616">
        <f t="shared" si="13"/>
        <v>0</v>
      </c>
      <c r="N406" s="633"/>
      <c r="O406" s="636"/>
      <c r="P406" s="636"/>
      <c r="Q406" s="7"/>
      <c r="R406" s="704"/>
      <c r="S406" s="7"/>
      <c r="T406" s="618">
        <f t="shared" si="12"/>
        <v>0</v>
      </c>
      <c r="U406" s="7"/>
      <c r="V406" s="7"/>
      <c r="W406" s="7"/>
      <c r="X406" s="7"/>
      <c r="Y406" s="7"/>
      <c r="Z406" s="7"/>
    </row>
    <row r="407" spans="1:26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4"/>
      <c r="G407" s="213"/>
      <c r="H407" s="213"/>
      <c r="I407" s="372"/>
      <c r="J407" s="259"/>
      <c r="K407" s="213"/>
      <c r="L407" s="643"/>
      <c r="M407" s="616">
        <f t="shared" si="13"/>
        <v>0</v>
      </c>
      <c r="N407" s="633"/>
      <c r="O407" s="636"/>
      <c r="P407" s="636"/>
      <c r="Q407" s="7"/>
      <c r="R407" s="704"/>
      <c r="S407" s="7"/>
      <c r="T407" s="618">
        <f t="shared" si="12"/>
        <v>0</v>
      </c>
      <c r="U407" s="7"/>
      <c r="V407" s="7"/>
      <c r="W407" s="7"/>
      <c r="X407" s="7"/>
      <c r="Y407" s="7"/>
      <c r="Z407" s="7"/>
    </row>
    <row r="408" spans="1:26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4"/>
      <c r="G408" s="213"/>
      <c r="H408" s="213"/>
      <c r="I408" s="372"/>
      <c r="J408" s="259"/>
      <c r="K408" s="213"/>
      <c r="L408" s="643"/>
      <c r="M408" s="616">
        <f t="shared" si="13"/>
        <v>0</v>
      </c>
      <c r="N408" s="633"/>
      <c r="O408" s="636"/>
      <c r="P408" s="636"/>
      <c r="Q408" s="7"/>
      <c r="R408" s="704"/>
      <c r="S408" s="7"/>
      <c r="T408" s="618">
        <f t="shared" si="12"/>
        <v>0</v>
      </c>
      <c r="U408" s="7"/>
      <c r="V408" s="7"/>
      <c r="W408" s="7"/>
      <c r="X408" s="7"/>
      <c r="Y408" s="7"/>
      <c r="Z408" s="7"/>
    </row>
    <row r="409" spans="1:26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4"/>
      <c r="G409" s="213"/>
      <c r="H409" s="213"/>
      <c r="I409" s="372"/>
      <c r="J409" s="259"/>
      <c r="K409" s="213"/>
      <c r="L409" s="643"/>
      <c r="M409" s="616">
        <f t="shared" si="13"/>
        <v>0</v>
      </c>
      <c r="N409" s="633"/>
      <c r="O409" s="636"/>
      <c r="P409" s="636"/>
      <c r="Q409" s="7"/>
      <c r="R409" s="704"/>
      <c r="S409" s="7"/>
      <c r="T409" s="618">
        <f t="shared" si="12"/>
        <v>0</v>
      </c>
      <c r="U409" s="7"/>
      <c r="V409" s="7"/>
      <c r="W409" s="7"/>
      <c r="X409" s="7"/>
      <c r="Y409" s="7"/>
      <c r="Z409" s="7"/>
    </row>
    <row r="410" spans="1:26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4"/>
      <c r="G410" s="213"/>
      <c r="H410" s="213"/>
      <c r="I410" s="372"/>
      <c r="J410" s="259"/>
      <c r="K410" s="213"/>
      <c r="L410" s="643"/>
      <c r="M410" s="616">
        <f t="shared" si="13"/>
        <v>0</v>
      </c>
      <c r="N410" s="633"/>
      <c r="O410" s="636"/>
      <c r="P410" s="636"/>
      <c r="Q410" s="7"/>
      <c r="R410" s="704"/>
      <c r="S410" s="7"/>
      <c r="T410" s="618">
        <f t="shared" si="12"/>
        <v>0</v>
      </c>
      <c r="U410" s="7"/>
      <c r="V410" s="7"/>
      <c r="W410" s="7"/>
      <c r="X410" s="7"/>
      <c r="Y410" s="7"/>
      <c r="Z410" s="7"/>
    </row>
    <row r="411" spans="1:26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4"/>
      <c r="G411" s="213"/>
      <c r="H411" s="213"/>
      <c r="I411" s="372"/>
      <c r="J411" s="259"/>
      <c r="K411" s="213"/>
      <c r="L411" s="643"/>
      <c r="M411" s="616">
        <f t="shared" si="13"/>
        <v>0</v>
      </c>
      <c r="N411" s="633"/>
      <c r="O411" s="636"/>
      <c r="P411" s="636"/>
      <c r="Q411" s="7"/>
      <c r="R411" s="704"/>
      <c r="S411" s="7"/>
      <c r="T411" s="618">
        <f t="shared" si="12"/>
        <v>0</v>
      </c>
      <c r="U411" s="7"/>
      <c r="V411" s="7"/>
      <c r="W411" s="7"/>
      <c r="X411" s="7"/>
      <c r="Y411" s="7"/>
      <c r="Z411" s="7"/>
    </row>
    <row r="412" spans="1:26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4"/>
      <c r="G412" s="213"/>
      <c r="H412" s="213"/>
      <c r="I412" s="372"/>
      <c r="J412" s="259"/>
      <c r="K412" s="213"/>
      <c r="L412" s="643"/>
      <c r="M412" s="616">
        <f t="shared" si="13"/>
        <v>0</v>
      </c>
      <c r="N412" s="633"/>
      <c r="O412" s="636"/>
      <c r="P412" s="636"/>
      <c r="Q412" s="7"/>
      <c r="R412" s="704"/>
      <c r="S412" s="7"/>
      <c r="T412" s="618">
        <f t="shared" si="12"/>
        <v>0</v>
      </c>
      <c r="U412" s="7"/>
      <c r="V412" s="7"/>
      <c r="W412" s="7"/>
      <c r="X412" s="7"/>
      <c r="Y412" s="7"/>
      <c r="Z412" s="7"/>
    </row>
    <row r="413" spans="1:26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4"/>
      <c r="G413" s="213"/>
      <c r="H413" s="213"/>
      <c r="I413" s="372"/>
      <c r="J413" s="259"/>
      <c r="K413" s="213"/>
      <c r="L413" s="643"/>
      <c r="M413" s="616">
        <f t="shared" si="13"/>
        <v>0</v>
      </c>
      <c r="N413" s="633"/>
      <c r="O413" s="636"/>
      <c r="P413" s="636"/>
      <c r="Q413" s="7"/>
      <c r="R413" s="704"/>
      <c r="S413" s="7"/>
      <c r="T413" s="618">
        <f t="shared" si="12"/>
        <v>0</v>
      </c>
      <c r="U413" s="7"/>
      <c r="V413" s="7"/>
      <c r="W413" s="7"/>
      <c r="X413" s="7"/>
      <c r="Y413" s="7"/>
      <c r="Z413" s="7"/>
    </row>
    <row r="414" spans="1:26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4"/>
      <c r="G414" s="213"/>
      <c r="H414" s="213"/>
      <c r="I414" s="372"/>
      <c r="J414" s="259"/>
      <c r="K414" s="213"/>
      <c r="L414" s="643"/>
      <c r="M414" s="616">
        <f t="shared" si="13"/>
        <v>0</v>
      </c>
      <c r="N414" s="633"/>
      <c r="O414" s="636"/>
      <c r="P414" s="636"/>
      <c r="Q414" s="7"/>
      <c r="R414" s="704"/>
      <c r="S414" s="7"/>
      <c r="T414" s="618">
        <f t="shared" si="12"/>
        <v>0</v>
      </c>
      <c r="U414" s="7"/>
      <c r="V414" s="7"/>
      <c r="W414" s="7"/>
      <c r="X414" s="7"/>
      <c r="Y414" s="7"/>
      <c r="Z414" s="7"/>
    </row>
    <row r="415" spans="1:26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4"/>
      <c r="G415" s="213"/>
      <c r="H415" s="213"/>
      <c r="I415" s="372"/>
      <c r="J415" s="259"/>
      <c r="K415" s="213"/>
      <c r="L415" s="643"/>
      <c r="M415" s="616">
        <f t="shared" si="13"/>
        <v>0</v>
      </c>
      <c r="N415" s="633"/>
      <c r="O415" s="636"/>
      <c r="P415" s="636"/>
      <c r="Q415" s="7"/>
      <c r="R415" s="704"/>
      <c r="S415" s="7"/>
      <c r="T415" s="618">
        <f t="shared" si="12"/>
        <v>0</v>
      </c>
      <c r="U415" s="7"/>
      <c r="V415" s="7"/>
      <c r="W415" s="7"/>
      <c r="X415" s="7"/>
      <c r="Y415" s="7"/>
      <c r="Z415" s="7"/>
    </row>
    <row r="416" spans="1:26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4"/>
      <c r="G416" s="213"/>
      <c r="H416" s="213"/>
      <c r="I416" s="372"/>
      <c r="J416" s="259"/>
      <c r="K416" s="213"/>
      <c r="L416" s="643"/>
      <c r="M416" s="616">
        <f t="shared" si="13"/>
        <v>0</v>
      </c>
      <c r="N416" s="633"/>
      <c r="O416" s="636"/>
      <c r="P416" s="636"/>
      <c r="Q416" s="7"/>
      <c r="R416" s="704"/>
      <c r="S416" s="7"/>
      <c r="T416" s="618">
        <f t="shared" si="12"/>
        <v>0</v>
      </c>
      <c r="U416" s="7"/>
      <c r="V416" s="7"/>
      <c r="W416" s="7"/>
      <c r="X416" s="7"/>
      <c r="Y416" s="7"/>
      <c r="Z416" s="7"/>
    </row>
    <row r="417" spans="1:26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4"/>
      <c r="G417" s="213"/>
      <c r="H417" s="213"/>
      <c r="I417" s="372"/>
      <c r="J417" s="259"/>
      <c r="K417" s="213"/>
      <c r="L417" s="643"/>
      <c r="M417" s="616">
        <f t="shared" si="13"/>
        <v>0</v>
      </c>
      <c r="N417" s="633"/>
      <c r="O417" s="636"/>
      <c r="P417" s="636"/>
      <c r="Q417" s="7"/>
      <c r="R417" s="704"/>
      <c r="S417" s="7"/>
      <c r="T417" s="618">
        <f t="shared" si="12"/>
        <v>0</v>
      </c>
      <c r="U417" s="7"/>
      <c r="V417" s="7"/>
      <c r="W417" s="7"/>
      <c r="X417" s="7"/>
      <c r="Y417" s="7"/>
      <c r="Z417" s="7"/>
    </row>
    <row r="418" spans="1:26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4"/>
      <c r="G418" s="213"/>
      <c r="H418" s="213"/>
      <c r="I418" s="372"/>
      <c r="J418" s="259"/>
      <c r="K418" s="213"/>
      <c r="L418" s="643"/>
      <c r="M418" s="616">
        <f t="shared" si="13"/>
        <v>0</v>
      </c>
      <c r="N418" s="633"/>
      <c r="O418" s="636"/>
      <c r="P418" s="636"/>
      <c r="Q418" s="7"/>
      <c r="R418" s="704"/>
      <c r="S418" s="7"/>
      <c r="T418" s="618">
        <f t="shared" si="12"/>
        <v>0</v>
      </c>
      <c r="U418" s="7"/>
      <c r="V418" s="7"/>
      <c r="W418" s="7"/>
      <c r="X418" s="7"/>
      <c r="Y418" s="7"/>
      <c r="Z418" s="7"/>
    </row>
    <row r="419" spans="1:26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4"/>
      <c r="G419" s="213"/>
      <c r="H419" s="213"/>
      <c r="I419" s="372"/>
      <c r="J419" s="259"/>
      <c r="K419" s="213"/>
      <c r="L419" s="643"/>
      <c r="M419" s="616">
        <f t="shared" si="13"/>
        <v>0</v>
      </c>
      <c r="N419" s="633"/>
      <c r="O419" s="636"/>
      <c r="P419" s="636"/>
      <c r="Q419" s="7"/>
      <c r="R419" s="704"/>
      <c r="S419" s="7"/>
      <c r="T419" s="618">
        <f t="shared" si="12"/>
        <v>0</v>
      </c>
      <c r="U419" s="7"/>
      <c r="V419" s="7"/>
      <c r="W419" s="7"/>
      <c r="X419" s="7"/>
      <c r="Y419" s="7"/>
      <c r="Z419" s="7"/>
    </row>
    <row r="420" spans="1:26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4"/>
      <c r="G420" s="213"/>
      <c r="H420" s="213"/>
      <c r="I420" s="372"/>
      <c r="J420" s="259"/>
      <c r="K420" s="213"/>
      <c r="L420" s="643"/>
      <c r="M420" s="616">
        <f t="shared" si="13"/>
        <v>0</v>
      </c>
      <c r="N420" s="633"/>
      <c r="O420" s="636"/>
      <c r="P420" s="636"/>
      <c r="Q420" s="7"/>
      <c r="R420" s="704"/>
      <c r="S420" s="7"/>
      <c r="T420" s="618">
        <f t="shared" si="12"/>
        <v>0</v>
      </c>
      <c r="U420" s="7"/>
      <c r="V420" s="7"/>
      <c r="W420" s="7"/>
      <c r="X420" s="7"/>
      <c r="Y420" s="7"/>
      <c r="Z420" s="7"/>
    </row>
    <row r="421" spans="1:26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4"/>
      <c r="G421" s="213"/>
      <c r="H421" s="213"/>
      <c r="I421" s="370"/>
      <c r="J421" s="259"/>
      <c r="K421" s="213"/>
      <c r="L421" s="643"/>
      <c r="M421" s="616">
        <f t="shared" si="13"/>
        <v>0</v>
      </c>
      <c r="N421" s="633"/>
      <c r="O421" s="640"/>
      <c r="P421" s="640"/>
      <c r="Q421" s="7"/>
      <c r="R421" s="704"/>
      <c r="S421" s="7"/>
      <c r="T421" s="618">
        <f t="shared" si="12"/>
        <v>0</v>
      </c>
      <c r="U421" s="7"/>
      <c r="V421" s="7"/>
      <c r="W421" s="7"/>
      <c r="X421" s="7"/>
      <c r="Y421" s="7"/>
      <c r="Z421" s="7"/>
    </row>
    <row r="422" spans="1:26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4"/>
      <c r="G422" s="213"/>
      <c r="H422" s="213"/>
      <c r="I422" s="370"/>
      <c r="J422" s="259"/>
      <c r="K422" s="213"/>
      <c r="L422" s="643"/>
      <c r="M422" s="616">
        <f t="shared" si="13"/>
        <v>0</v>
      </c>
      <c r="N422" s="633"/>
      <c r="O422" s="634"/>
      <c r="P422" s="634"/>
      <c r="Q422" s="7"/>
      <c r="R422" s="704"/>
      <c r="S422" s="7"/>
      <c r="T422" s="618">
        <f t="shared" si="12"/>
        <v>0</v>
      </c>
      <c r="U422" s="7"/>
      <c r="V422" s="7"/>
      <c r="W422" s="7"/>
      <c r="X422" s="7"/>
      <c r="Y422" s="7"/>
      <c r="Z422" s="7"/>
    </row>
    <row r="423" spans="1:26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4"/>
      <c r="G423" s="213"/>
      <c r="H423" s="213"/>
      <c r="I423" s="370"/>
      <c r="J423" s="259"/>
      <c r="K423" s="213"/>
      <c r="L423" s="643"/>
      <c r="M423" s="616">
        <f t="shared" si="13"/>
        <v>0</v>
      </c>
      <c r="N423" s="633"/>
      <c r="O423" s="634"/>
      <c r="P423" s="634"/>
      <c r="Q423" s="7"/>
      <c r="R423" s="704"/>
      <c r="S423" s="7"/>
      <c r="T423" s="618">
        <f t="shared" si="12"/>
        <v>0</v>
      </c>
      <c r="U423" s="7"/>
      <c r="V423" s="7"/>
      <c r="W423" s="7"/>
      <c r="X423" s="7"/>
      <c r="Y423" s="7"/>
      <c r="Z423" s="7"/>
    </row>
    <row r="424" spans="1:26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4"/>
      <c r="G424" s="213"/>
      <c r="H424" s="213"/>
      <c r="I424" s="370"/>
      <c r="J424" s="259"/>
      <c r="K424" s="213"/>
      <c r="L424" s="643"/>
      <c r="M424" s="616">
        <f t="shared" si="13"/>
        <v>0</v>
      </c>
      <c r="N424" s="633"/>
      <c r="O424" s="634"/>
      <c r="P424" s="634"/>
      <c r="Q424" s="7"/>
      <c r="R424" s="704"/>
      <c r="S424" s="7"/>
      <c r="T424" s="618">
        <f t="shared" si="12"/>
        <v>0</v>
      </c>
      <c r="U424" s="7"/>
      <c r="V424" s="7"/>
      <c r="W424" s="7"/>
      <c r="X424" s="7"/>
      <c r="Y424" s="7"/>
      <c r="Z424" s="7"/>
    </row>
    <row r="425" spans="1:26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4"/>
      <c r="G425" s="213"/>
      <c r="H425" s="213"/>
      <c r="I425" s="370"/>
      <c r="J425" s="259"/>
      <c r="K425" s="213"/>
      <c r="L425" s="643"/>
      <c r="M425" s="616">
        <f t="shared" si="13"/>
        <v>0</v>
      </c>
      <c r="N425" s="633"/>
      <c r="O425" s="636"/>
      <c r="P425" s="636"/>
      <c r="Q425" s="7"/>
      <c r="R425" s="704"/>
      <c r="S425" s="7"/>
      <c r="T425" s="618">
        <f t="shared" si="12"/>
        <v>0</v>
      </c>
      <c r="U425" s="7"/>
      <c r="V425" s="7"/>
      <c r="W425" s="7"/>
      <c r="X425" s="7"/>
      <c r="Y425" s="7"/>
      <c r="Z425" s="7"/>
    </row>
    <row r="426" spans="1:26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4"/>
      <c r="G426" s="213"/>
      <c r="H426" s="213"/>
      <c r="I426" s="370"/>
      <c r="J426" s="259"/>
      <c r="K426" s="213"/>
      <c r="L426" s="643"/>
      <c r="M426" s="616">
        <f t="shared" si="13"/>
        <v>0</v>
      </c>
      <c r="N426" s="633"/>
      <c r="O426" s="634"/>
      <c r="P426" s="634"/>
      <c r="Q426" s="7"/>
      <c r="R426" s="704"/>
      <c r="S426" s="7"/>
      <c r="T426" s="618">
        <f t="shared" si="12"/>
        <v>0</v>
      </c>
      <c r="U426" s="7"/>
      <c r="V426" s="7"/>
      <c r="W426" s="7"/>
      <c r="X426" s="7"/>
      <c r="Y426" s="7"/>
      <c r="Z426" s="7"/>
    </row>
    <row r="427" spans="1:26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4"/>
      <c r="G427" s="213"/>
      <c r="H427" s="213"/>
      <c r="I427" s="372"/>
      <c r="J427" s="259"/>
      <c r="K427" s="213"/>
      <c r="L427" s="643"/>
      <c r="M427" s="616">
        <f t="shared" si="13"/>
        <v>0</v>
      </c>
      <c r="N427" s="633"/>
      <c r="O427" s="640"/>
      <c r="P427" s="640"/>
      <c r="Q427" s="7"/>
      <c r="R427" s="704"/>
      <c r="S427" s="7"/>
      <c r="T427" s="618">
        <f t="shared" si="12"/>
        <v>0</v>
      </c>
      <c r="U427" s="7"/>
      <c r="V427" s="7"/>
      <c r="W427" s="7"/>
      <c r="X427" s="7"/>
      <c r="Y427" s="7"/>
      <c r="Z427" s="7"/>
    </row>
    <row r="428" spans="1:26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4"/>
      <c r="G428" s="213"/>
      <c r="H428" s="213"/>
      <c r="I428" s="372"/>
      <c r="J428" s="259"/>
      <c r="K428" s="213"/>
      <c r="L428" s="643"/>
      <c r="M428" s="616">
        <f t="shared" si="13"/>
        <v>0</v>
      </c>
      <c r="N428" s="633"/>
      <c r="O428" s="636"/>
      <c r="P428" s="636"/>
      <c r="Q428" s="7"/>
      <c r="R428" s="704"/>
      <c r="S428" s="7"/>
      <c r="T428" s="618">
        <f t="shared" si="12"/>
        <v>0</v>
      </c>
      <c r="U428" s="7"/>
      <c r="V428" s="7"/>
      <c r="W428" s="7"/>
      <c r="X428" s="7"/>
      <c r="Y428" s="7"/>
      <c r="Z428" s="7"/>
    </row>
    <row r="429" spans="1:26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4"/>
      <c r="G429" s="213"/>
      <c r="H429" s="213"/>
      <c r="I429" s="372"/>
      <c r="J429" s="259"/>
      <c r="K429" s="213"/>
      <c r="L429" s="643"/>
      <c r="M429" s="616">
        <f t="shared" si="13"/>
        <v>0</v>
      </c>
      <c r="N429" s="633"/>
      <c r="O429" s="636"/>
      <c r="P429" s="636"/>
      <c r="Q429" s="7"/>
      <c r="R429" s="704"/>
      <c r="S429" s="7"/>
      <c r="T429" s="618">
        <f t="shared" si="12"/>
        <v>0</v>
      </c>
      <c r="U429" s="7"/>
      <c r="V429" s="7"/>
      <c r="W429" s="7"/>
      <c r="X429" s="7"/>
      <c r="Y429" s="7"/>
      <c r="Z429" s="7"/>
    </row>
    <row r="430" spans="1:26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4"/>
      <c r="G430" s="213"/>
      <c r="H430" s="213"/>
      <c r="I430" s="372"/>
      <c r="J430" s="259"/>
      <c r="K430" s="213"/>
      <c r="L430" s="643"/>
      <c r="M430" s="616">
        <f t="shared" si="13"/>
        <v>0</v>
      </c>
      <c r="N430" s="633"/>
      <c r="O430" s="636"/>
      <c r="P430" s="636"/>
      <c r="Q430" s="7"/>
      <c r="R430" s="704"/>
      <c r="S430" s="7"/>
      <c r="T430" s="618">
        <f t="shared" si="12"/>
        <v>0</v>
      </c>
      <c r="U430" s="7"/>
      <c r="V430" s="7"/>
      <c r="W430" s="7"/>
      <c r="X430" s="7"/>
      <c r="Y430" s="7"/>
      <c r="Z430" s="7"/>
    </row>
    <row r="431" spans="1:26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4"/>
      <c r="G431" s="213"/>
      <c r="H431" s="213"/>
      <c r="I431" s="372"/>
      <c r="J431" s="259"/>
      <c r="K431" s="213"/>
      <c r="L431" s="643"/>
      <c r="M431" s="616">
        <f t="shared" si="13"/>
        <v>0</v>
      </c>
      <c r="N431" s="633"/>
      <c r="O431" s="636"/>
      <c r="P431" s="636"/>
      <c r="Q431" s="7"/>
      <c r="R431" s="704"/>
      <c r="S431" s="7"/>
      <c r="T431" s="618">
        <f t="shared" si="12"/>
        <v>0</v>
      </c>
      <c r="U431" s="7"/>
      <c r="V431" s="7"/>
      <c r="W431" s="7"/>
      <c r="X431" s="7"/>
      <c r="Y431" s="7"/>
      <c r="Z431" s="7"/>
    </row>
    <row r="432" spans="1:26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4"/>
      <c r="G432" s="213"/>
      <c r="H432" s="213"/>
      <c r="I432" s="372"/>
      <c r="J432" s="259"/>
      <c r="K432" s="213"/>
      <c r="L432" s="643"/>
      <c r="M432" s="616">
        <f t="shared" si="13"/>
        <v>0</v>
      </c>
      <c r="N432" s="633"/>
      <c r="O432" s="636"/>
      <c r="P432" s="636"/>
      <c r="Q432" s="7"/>
      <c r="R432" s="704"/>
      <c r="S432" s="7"/>
      <c r="T432" s="618">
        <f t="shared" si="12"/>
        <v>0</v>
      </c>
      <c r="U432" s="7"/>
      <c r="V432" s="7"/>
      <c r="W432" s="7"/>
      <c r="X432" s="7"/>
      <c r="Y432" s="7"/>
      <c r="Z432" s="7"/>
    </row>
    <row r="433" spans="1:26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4"/>
      <c r="G433" s="213"/>
      <c r="H433" s="213"/>
      <c r="I433" s="372"/>
      <c r="J433" s="259"/>
      <c r="K433" s="213"/>
      <c r="L433" s="643"/>
      <c r="M433" s="616">
        <f t="shared" si="13"/>
        <v>0</v>
      </c>
      <c r="N433" s="633"/>
      <c r="O433" s="636"/>
      <c r="P433" s="636"/>
      <c r="Q433" s="7"/>
      <c r="R433" s="704">
        <v>1</v>
      </c>
      <c r="S433" s="7"/>
      <c r="T433" s="618">
        <f t="shared" si="12"/>
        <v>1</v>
      </c>
      <c r="U433" s="7"/>
      <c r="V433" s="7"/>
      <c r="W433" s="7"/>
      <c r="X433" s="7"/>
      <c r="Y433" s="7"/>
      <c r="Z433" s="7"/>
    </row>
    <row r="434" spans="1:26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4"/>
      <c r="G434" s="213"/>
      <c r="H434" s="213"/>
      <c r="I434" s="372"/>
      <c r="J434" s="259"/>
      <c r="K434" s="213"/>
      <c r="L434" s="643"/>
      <c r="M434" s="616">
        <f t="shared" si="13"/>
        <v>0</v>
      </c>
      <c r="N434" s="633"/>
      <c r="O434" s="636"/>
      <c r="P434" s="636"/>
      <c r="Q434" s="7"/>
      <c r="R434" s="704"/>
      <c r="S434" s="7"/>
      <c r="T434" s="618">
        <f t="shared" si="12"/>
        <v>0</v>
      </c>
      <c r="U434" s="7"/>
      <c r="V434" s="7"/>
      <c r="W434" s="7"/>
      <c r="X434" s="7"/>
      <c r="Y434" s="7"/>
      <c r="Z434" s="7"/>
    </row>
    <row r="435" spans="1:26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4"/>
      <c r="G435" s="213"/>
      <c r="H435" s="213"/>
      <c r="I435" s="372"/>
      <c r="J435" s="259"/>
      <c r="K435" s="213"/>
      <c r="L435" s="643"/>
      <c r="M435" s="616">
        <f t="shared" si="13"/>
        <v>0</v>
      </c>
      <c r="N435" s="633"/>
      <c r="O435" s="636"/>
      <c r="P435" s="636"/>
      <c r="Q435" s="7"/>
      <c r="R435" s="704"/>
      <c r="S435" s="7"/>
      <c r="T435" s="618">
        <f t="shared" si="12"/>
        <v>0</v>
      </c>
      <c r="U435" s="7"/>
      <c r="V435" s="7"/>
      <c r="W435" s="7"/>
      <c r="X435" s="7"/>
      <c r="Y435" s="7"/>
      <c r="Z435" s="7"/>
    </row>
    <row r="436" spans="1:26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4"/>
      <c r="G436" s="213"/>
      <c r="H436" s="213"/>
      <c r="I436" s="372"/>
      <c r="J436" s="259"/>
      <c r="K436" s="213"/>
      <c r="L436" s="643"/>
      <c r="M436" s="616">
        <f t="shared" si="13"/>
        <v>0</v>
      </c>
      <c r="N436" s="633"/>
      <c r="O436" s="636"/>
      <c r="P436" s="636"/>
      <c r="Q436" s="7"/>
      <c r="R436" s="704"/>
      <c r="S436" s="7"/>
      <c r="T436" s="618">
        <f t="shared" si="12"/>
        <v>0</v>
      </c>
      <c r="U436" s="7"/>
      <c r="V436" s="7"/>
      <c r="W436" s="7"/>
      <c r="X436" s="7"/>
      <c r="Y436" s="7"/>
      <c r="Z436" s="7"/>
    </row>
    <row r="437" spans="1:26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4"/>
      <c r="G437" s="213"/>
      <c r="H437" s="213"/>
      <c r="I437" s="372"/>
      <c r="J437" s="259"/>
      <c r="K437" s="213"/>
      <c r="L437" s="643"/>
      <c r="M437" s="616">
        <f t="shared" si="13"/>
        <v>0</v>
      </c>
      <c r="N437" s="633"/>
      <c r="O437" s="636"/>
      <c r="P437" s="636"/>
      <c r="Q437" s="7"/>
      <c r="R437" s="704">
        <v>1</v>
      </c>
      <c r="S437" s="7"/>
      <c r="T437" s="618">
        <f t="shared" si="12"/>
        <v>1</v>
      </c>
      <c r="U437" s="7"/>
      <c r="V437" s="7"/>
      <c r="W437" s="7"/>
      <c r="X437" s="7"/>
      <c r="Y437" s="7"/>
      <c r="Z437" s="7"/>
    </row>
    <row r="438" spans="1:26" ht="21.75" customHeight="1">
      <c r="A438" s="486">
        <v>15.3</v>
      </c>
      <c r="B438" s="487" t="s">
        <v>947</v>
      </c>
      <c r="C438" s="635" t="s">
        <v>948</v>
      </c>
      <c r="D438" s="412" t="s">
        <v>1748</v>
      </c>
      <c r="E438" s="213"/>
      <c r="F438" s="214"/>
      <c r="G438" s="213"/>
      <c r="H438" s="213"/>
      <c r="I438" s="372"/>
      <c r="J438" s="259"/>
      <c r="K438" s="213"/>
      <c r="L438" s="643"/>
      <c r="M438" s="616">
        <f t="shared" si="13"/>
        <v>0</v>
      </c>
      <c r="N438" s="633"/>
      <c r="O438" s="636"/>
      <c r="P438" s="636"/>
      <c r="Q438" s="7"/>
      <c r="R438" s="704"/>
      <c r="S438" s="7"/>
      <c r="T438" s="618">
        <f t="shared" si="12"/>
        <v>0</v>
      </c>
      <c r="U438" s="7"/>
      <c r="V438" s="7"/>
      <c r="W438" s="7"/>
      <c r="X438" s="7"/>
      <c r="Y438" s="7"/>
      <c r="Z438" s="7"/>
    </row>
    <row r="439" spans="1:26" ht="21.75" customHeight="1">
      <c r="A439" s="503" t="s">
        <v>1515</v>
      </c>
      <c r="B439" s="483" t="s">
        <v>951</v>
      </c>
      <c r="C439" s="629" t="s">
        <v>131</v>
      </c>
      <c r="D439" s="485" t="s">
        <v>1749</v>
      </c>
      <c r="E439" s="213"/>
      <c r="F439" s="214"/>
      <c r="G439" s="213"/>
      <c r="H439" s="213"/>
      <c r="I439" s="372"/>
      <c r="J439" s="259"/>
      <c r="K439" s="213"/>
      <c r="L439" s="643"/>
      <c r="M439" s="616">
        <f t="shared" si="13"/>
        <v>0</v>
      </c>
      <c r="N439" s="633"/>
      <c r="O439" s="636"/>
      <c r="P439" s="636"/>
      <c r="Q439" s="7"/>
      <c r="R439" s="704"/>
      <c r="S439" s="7"/>
      <c r="T439" s="618">
        <f t="shared" si="12"/>
        <v>0</v>
      </c>
      <c r="U439" s="7"/>
      <c r="V439" s="7"/>
      <c r="W439" s="7"/>
      <c r="X439" s="7"/>
      <c r="Y439" s="7"/>
      <c r="Z439" s="7"/>
    </row>
    <row r="440" spans="1:26" ht="21.75" customHeight="1">
      <c r="A440" s="503" t="s">
        <v>1517</v>
      </c>
      <c r="B440" s="483" t="s">
        <v>953</v>
      </c>
      <c r="C440" s="629" t="s">
        <v>200</v>
      </c>
      <c r="D440" s="485" t="s">
        <v>1750</v>
      </c>
      <c r="E440" s="213"/>
      <c r="F440" s="214"/>
      <c r="G440" s="213"/>
      <c r="H440" s="213"/>
      <c r="I440" s="372"/>
      <c r="J440" s="259"/>
      <c r="K440" s="213"/>
      <c r="L440" s="643"/>
      <c r="M440" s="616">
        <f t="shared" si="13"/>
        <v>0</v>
      </c>
      <c r="N440" s="633"/>
      <c r="O440" s="636"/>
      <c r="P440" s="636"/>
      <c r="Q440" s="7"/>
      <c r="R440" s="704"/>
      <c r="S440" s="7"/>
      <c r="T440" s="618">
        <f t="shared" si="12"/>
        <v>0</v>
      </c>
      <c r="U440" s="7"/>
      <c r="V440" s="7"/>
      <c r="W440" s="7"/>
      <c r="X440" s="7"/>
      <c r="Y440" s="7"/>
      <c r="Z440" s="7"/>
    </row>
    <row r="441" spans="1:26" ht="21.75" customHeight="1">
      <c r="A441" s="503" t="s">
        <v>1519</v>
      </c>
      <c r="B441" s="483" t="s">
        <v>955</v>
      </c>
      <c r="C441" s="629" t="s">
        <v>203</v>
      </c>
      <c r="D441" s="485" t="s">
        <v>1751</v>
      </c>
      <c r="E441" s="213"/>
      <c r="F441" s="214"/>
      <c r="G441" s="213"/>
      <c r="H441" s="213"/>
      <c r="I441" s="372"/>
      <c r="J441" s="259"/>
      <c r="K441" s="213"/>
      <c r="L441" s="643"/>
      <c r="M441" s="616">
        <f t="shared" si="13"/>
        <v>0</v>
      </c>
      <c r="N441" s="633"/>
      <c r="O441" s="636"/>
      <c r="P441" s="636"/>
      <c r="Q441" s="7"/>
      <c r="R441" s="704"/>
      <c r="S441" s="7"/>
      <c r="T441" s="618">
        <f t="shared" si="12"/>
        <v>0</v>
      </c>
      <c r="U441" s="7"/>
      <c r="V441" s="7"/>
      <c r="W441" s="7"/>
      <c r="X441" s="7"/>
      <c r="Y441" s="7"/>
      <c r="Z441" s="7"/>
    </row>
    <row r="442" spans="1:26" ht="21.75" customHeight="1">
      <c r="A442" s="503" t="s">
        <v>1521</v>
      </c>
      <c r="B442" s="483" t="s">
        <v>957</v>
      </c>
      <c r="C442" s="629" t="s">
        <v>159</v>
      </c>
      <c r="D442" s="485" t="s">
        <v>1752</v>
      </c>
      <c r="E442" s="213"/>
      <c r="F442" s="214"/>
      <c r="G442" s="213"/>
      <c r="H442" s="213"/>
      <c r="I442" s="372"/>
      <c r="J442" s="259"/>
      <c r="K442" s="213"/>
      <c r="L442" s="643"/>
      <c r="M442" s="616">
        <f t="shared" si="13"/>
        <v>0</v>
      </c>
      <c r="N442" s="633"/>
      <c r="O442" s="636"/>
      <c r="P442" s="636"/>
      <c r="Q442" s="7"/>
      <c r="R442" s="704"/>
      <c r="S442" s="7"/>
      <c r="T442" s="618">
        <f t="shared" si="12"/>
        <v>0</v>
      </c>
      <c r="U442" s="7"/>
      <c r="V442" s="7"/>
      <c r="W442" s="7"/>
      <c r="X442" s="7"/>
      <c r="Y442" s="7"/>
      <c r="Z442" s="7"/>
    </row>
    <row r="443" spans="1:26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4"/>
      <c r="G443" s="213"/>
      <c r="H443" s="213"/>
      <c r="I443" s="372"/>
      <c r="J443" s="259"/>
      <c r="K443" s="213"/>
      <c r="L443" s="643"/>
      <c r="M443" s="616">
        <f t="shared" si="13"/>
        <v>0</v>
      </c>
      <c r="N443" s="633"/>
      <c r="O443" s="636"/>
      <c r="P443" s="636"/>
      <c r="Q443" s="7"/>
      <c r="R443" s="704"/>
      <c r="S443" s="7"/>
      <c r="T443" s="618">
        <f t="shared" si="12"/>
        <v>0</v>
      </c>
      <c r="U443" s="7"/>
      <c r="V443" s="7"/>
      <c r="W443" s="7"/>
      <c r="X443" s="7"/>
      <c r="Y443" s="7"/>
      <c r="Z443" s="7"/>
    </row>
    <row r="444" spans="1:26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4"/>
      <c r="G444" s="213">
        <f>150+40</f>
        <v>190</v>
      </c>
      <c r="H444" s="213"/>
      <c r="I444" s="372"/>
      <c r="J444" s="259"/>
      <c r="K444" s="213"/>
      <c r="L444" s="643"/>
      <c r="M444" s="616">
        <f t="shared" si="13"/>
        <v>190</v>
      </c>
      <c r="N444" s="633"/>
      <c r="O444" s="636"/>
      <c r="P444" s="636"/>
      <c r="Q444" s="7"/>
      <c r="R444" s="704">
        <v>732</v>
      </c>
      <c r="S444" s="7"/>
      <c r="T444" s="618">
        <f t="shared" si="12"/>
        <v>542</v>
      </c>
      <c r="U444" s="7"/>
      <c r="V444" s="7"/>
      <c r="W444" s="7"/>
      <c r="X444" s="7"/>
      <c r="Y444" s="7"/>
      <c r="Z444" s="7"/>
    </row>
    <row r="445" spans="1:26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4"/>
      <c r="G445" s="213"/>
      <c r="H445" s="213"/>
      <c r="I445" s="372"/>
      <c r="J445" s="259"/>
      <c r="K445" s="213"/>
      <c r="L445" s="643"/>
      <c r="M445" s="616">
        <f t="shared" si="13"/>
        <v>0</v>
      </c>
      <c r="N445" s="633"/>
      <c r="O445" s="636"/>
      <c r="P445" s="636"/>
      <c r="Q445" s="7"/>
      <c r="R445" s="704"/>
      <c r="S445" s="7"/>
      <c r="T445" s="618">
        <f t="shared" si="12"/>
        <v>0</v>
      </c>
      <c r="U445" s="7"/>
      <c r="V445" s="7"/>
      <c r="W445" s="7"/>
      <c r="X445" s="7"/>
      <c r="Y445" s="7"/>
      <c r="Z445" s="7"/>
    </row>
    <row r="446" spans="1:26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4"/>
      <c r="G446" s="213"/>
      <c r="H446" s="213"/>
      <c r="I446" s="372"/>
      <c r="J446" s="259"/>
      <c r="K446" s="213"/>
      <c r="L446" s="643"/>
      <c r="M446" s="616">
        <f t="shared" si="13"/>
        <v>0</v>
      </c>
      <c r="N446" s="633"/>
      <c r="O446" s="636"/>
      <c r="P446" s="636"/>
      <c r="Q446" s="7"/>
      <c r="R446" s="704"/>
      <c r="S446" s="7"/>
      <c r="T446" s="618">
        <f t="shared" si="12"/>
        <v>0</v>
      </c>
      <c r="U446" s="7"/>
      <c r="V446" s="7"/>
      <c r="W446" s="7"/>
      <c r="X446" s="7"/>
      <c r="Y446" s="7"/>
      <c r="Z446" s="7"/>
    </row>
    <row r="447" spans="1:26" ht="42" customHeight="1">
      <c r="A447" s="519"/>
      <c r="B447" s="801" t="s">
        <v>969</v>
      </c>
      <c r="C447" s="771"/>
      <c r="D447" s="491" t="s">
        <v>970</v>
      </c>
      <c r="E447" s="231"/>
      <c r="F447" s="374"/>
      <c r="G447" s="219"/>
      <c r="H447" s="231">
        <v>204.5</v>
      </c>
      <c r="I447" s="385"/>
      <c r="J447" s="259"/>
      <c r="K447" s="231"/>
      <c r="L447" s="678"/>
      <c r="M447" s="616">
        <f t="shared" si="13"/>
        <v>204.5</v>
      </c>
      <c r="N447" s="633"/>
      <c r="O447" s="537"/>
      <c r="P447" s="537"/>
      <c r="Q447" s="7"/>
      <c r="R447" s="679">
        <f>(88.747+400)*1000</f>
        <v>488747</v>
      </c>
      <c r="S447" s="7"/>
      <c r="T447" s="618">
        <f t="shared" si="12"/>
        <v>488542.5</v>
      </c>
      <c r="U447" s="7"/>
      <c r="V447" s="7"/>
      <c r="W447" s="7"/>
      <c r="X447" s="7"/>
      <c r="Y447" s="7"/>
      <c r="Z447" s="7"/>
    </row>
    <row r="448" spans="1:26" ht="21.75" customHeight="1">
      <c r="A448" s="534"/>
      <c r="B448" s="535"/>
      <c r="C448" s="680"/>
      <c r="D448" s="536"/>
      <c r="E448" s="539"/>
      <c r="F448" s="537"/>
      <c r="G448" s="539"/>
      <c r="H448" s="539"/>
      <c r="I448" s="239"/>
      <c r="J448" s="239"/>
      <c r="K448" s="539"/>
      <c r="L448" s="7"/>
      <c r="M448" s="7"/>
      <c r="N448" s="7"/>
      <c r="O448" s="7"/>
      <c r="P448" s="7"/>
      <c r="Q448" s="7"/>
      <c r="R448" s="705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541"/>
      <c r="B449" s="542" t="s">
        <v>1523</v>
      </c>
      <c r="C449" s="542"/>
      <c r="D449" s="541"/>
      <c r="E449" s="539"/>
      <c r="F449" s="706"/>
      <c r="G449" s="539"/>
      <c r="H449" s="539"/>
      <c r="I449" s="239"/>
      <c r="J449" s="239"/>
      <c r="K449" s="539"/>
      <c r="L449" s="7"/>
      <c r="M449" s="7"/>
      <c r="N449" s="7"/>
      <c r="O449" s="7"/>
      <c r="P449" s="7"/>
      <c r="Q449" s="7"/>
      <c r="R449" s="70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541"/>
      <c r="B450" s="545" t="s">
        <v>1524</v>
      </c>
      <c r="C450" s="542" t="s">
        <v>1525</v>
      </c>
      <c r="D450" s="541"/>
      <c r="E450" s="539"/>
      <c r="F450" s="541"/>
      <c r="G450" s="539"/>
      <c r="H450" s="539"/>
      <c r="I450" s="239"/>
      <c r="J450" s="239"/>
      <c r="K450" s="539"/>
      <c r="L450" s="7"/>
      <c r="M450" s="7"/>
      <c r="N450" s="7"/>
      <c r="O450" s="7"/>
      <c r="P450" s="7"/>
      <c r="Q450" s="7"/>
      <c r="R450" s="708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541"/>
      <c r="B451" s="545" t="s">
        <v>1526</v>
      </c>
      <c r="C451" s="542" t="s">
        <v>1527</v>
      </c>
      <c r="D451" s="541"/>
      <c r="E451" s="681"/>
      <c r="F451" s="541"/>
      <c r="G451" s="681"/>
      <c r="H451" s="681"/>
      <c r="I451" s="239"/>
      <c r="J451" s="239"/>
      <c r="K451" s="681"/>
      <c r="L451" s="7"/>
      <c r="M451" s="7"/>
      <c r="N451" s="7"/>
      <c r="O451" s="7"/>
      <c r="P451" s="7"/>
      <c r="Q451" s="7"/>
      <c r="R451" s="708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541"/>
      <c r="B452" s="545"/>
      <c r="C452" s="542"/>
      <c r="D452" s="541"/>
      <c r="E452" s="681"/>
      <c r="F452" s="541"/>
      <c r="G452" s="681"/>
      <c r="H452" s="681"/>
      <c r="I452" s="239"/>
      <c r="J452" s="239"/>
      <c r="K452" s="681"/>
      <c r="L452" s="7"/>
      <c r="M452" s="7"/>
      <c r="N452" s="7"/>
      <c r="O452" s="7"/>
      <c r="P452" s="7"/>
      <c r="Q452" s="7"/>
      <c r="R452" s="708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541"/>
      <c r="B453" s="802" t="s">
        <v>1528</v>
      </c>
      <c r="C453" s="791"/>
      <c r="D453" s="541"/>
      <c r="E453" s="681"/>
      <c r="F453" s="541"/>
      <c r="G453" s="681"/>
      <c r="H453" s="681"/>
      <c r="I453" s="239"/>
      <c r="J453" s="239"/>
      <c r="K453" s="681"/>
      <c r="L453" s="7"/>
      <c r="M453" s="7"/>
      <c r="N453" s="7"/>
      <c r="O453" s="7"/>
      <c r="P453" s="7"/>
      <c r="Q453" s="7"/>
      <c r="R453" s="708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541"/>
      <c r="B454" s="790" t="s">
        <v>1529</v>
      </c>
      <c r="C454" s="791"/>
      <c r="D454" s="541" t="s">
        <v>1530</v>
      </c>
      <c r="E454" s="681"/>
      <c r="F454" s="541"/>
      <c r="G454" s="681"/>
      <c r="H454" s="681"/>
      <c r="I454" s="239"/>
      <c r="J454" s="239"/>
      <c r="K454" s="681"/>
      <c r="L454" s="7"/>
      <c r="M454" s="7"/>
      <c r="N454" s="7"/>
      <c r="O454" s="7"/>
      <c r="P454" s="7"/>
      <c r="Q454" s="7"/>
      <c r="R454" s="708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541"/>
      <c r="B455" s="545"/>
      <c r="C455" s="542"/>
      <c r="D455" s="541"/>
      <c r="E455" s="681"/>
      <c r="F455" s="541"/>
      <c r="G455" s="681"/>
      <c r="H455" s="681"/>
      <c r="I455" s="239"/>
      <c r="J455" s="239"/>
      <c r="K455" s="681"/>
      <c r="L455" s="7"/>
      <c r="M455" s="7"/>
      <c r="N455" s="7"/>
      <c r="O455" s="7"/>
      <c r="P455" s="7"/>
      <c r="Q455" s="7"/>
      <c r="R455" s="708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546" t="s">
        <v>971</v>
      </c>
      <c r="B456" s="547"/>
      <c r="C456" s="547"/>
      <c r="D456" s="547"/>
      <c r="E456" s="682"/>
      <c r="F456" s="547"/>
      <c r="G456" s="682"/>
      <c r="H456" s="682"/>
      <c r="I456" s="239"/>
      <c r="J456" s="239"/>
      <c r="K456" s="682"/>
      <c r="L456" s="7"/>
      <c r="M456" s="7"/>
      <c r="N456" s="7"/>
      <c r="O456" s="7"/>
      <c r="P456" s="7"/>
      <c r="Q456" s="7"/>
      <c r="R456" s="708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549" t="s">
        <v>972</v>
      </c>
      <c r="B457" s="550"/>
      <c r="C457" s="550"/>
      <c r="D457" s="550"/>
      <c r="E457" s="684"/>
      <c r="F457" s="550"/>
      <c r="G457" s="684"/>
      <c r="H457" s="684"/>
      <c r="I457" s="239"/>
      <c r="J457" s="239"/>
      <c r="K457" s="684"/>
      <c r="L457" s="7"/>
      <c r="M457" s="7"/>
      <c r="N457" s="7"/>
      <c r="O457" s="7"/>
      <c r="P457" s="7"/>
      <c r="Q457" s="7"/>
      <c r="R457" s="708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546"/>
      <c r="B458" s="547"/>
      <c r="C458" s="241" t="s">
        <v>12</v>
      </c>
      <c r="D458" s="242">
        <f>COUNTIF($D$11:$M$11,"Hà Giang")</f>
        <v>0</v>
      </c>
      <c r="E458" s="539"/>
      <c r="F458" s="546"/>
      <c r="G458" s="539"/>
      <c r="H458" s="539"/>
      <c r="I458" s="239"/>
      <c r="J458" s="239"/>
      <c r="K458" s="539"/>
      <c r="L458" s="7"/>
      <c r="M458" s="7"/>
      <c r="N458" s="7"/>
      <c r="O458" s="7"/>
      <c r="P458" s="7"/>
      <c r="Q458" s="7"/>
      <c r="R458" s="708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546"/>
      <c r="B459" s="547"/>
      <c r="C459" s="241" t="s">
        <v>14</v>
      </c>
      <c r="D459" s="242">
        <f>COUNTIF($D$11:$M$11,"Lào Cai")</f>
        <v>0</v>
      </c>
      <c r="E459" s="539"/>
      <c r="F459" s="546"/>
      <c r="G459" s="539"/>
      <c r="H459" s="539"/>
      <c r="I459" s="239"/>
      <c r="J459" s="239"/>
      <c r="K459" s="539"/>
      <c r="L459" s="7"/>
      <c r="M459" s="7"/>
      <c r="N459" s="7"/>
      <c r="O459" s="7"/>
      <c r="P459" s="7"/>
      <c r="Q459" s="7"/>
      <c r="R459" s="708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546"/>
      <c r="B460" s="552"/>
      <c r="C460" s="241" t="s">
        <v>23</v>
      </c>
      <c r="D460" s="242">
        <f>COUNTIF($D$11:$M$11,"Lai Châu")</f>
        <v>0</v>
      </c>
      <c r="E460" s="539"/>
      <c r="F460" s="546"/>
      <c r="G460" s="539"/>
      <c r="H460" s="539"/>
      <c r="I460" s="239"/>
      <c r="J460" s="239"/>
      <c r="K460" s="539"/>
      <c r="L460" s="7"/>
      <c r="M460" s="7"/>
      <c r="N460" s="7"/>
      <c r="O460" s="7"/>
      <c r="P460" s="7"/>
      <c r="Q460" s="7"/>
      <c r="R460" s="708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686"/>
      <c r="B461" s="687"/>
      <c r="C461" s="243" t="s">
        <v>17</v>
      </c>
      <c r="D461" s="242">
        <f>COUNTIF($D$11:$M$11,"Điện Biên")</f>
        <v>0</v>
      </c>
      <c r="E461" s="688"/>
      <c r="F461" s="244"/>
      <c r="G461" s="688"/>
      <c r="H461" s="688"/>
      <c r="I461" s="239"/>
      <c r="J461" s="239"/>
      <c r="K461" s="688"/>
      <c r="L461" s="7"/>
      <c r="M461" s="7"/>
      <c r="N461" s="7"/>
      <c r="O461" s="7"/>
      <c r="P461" s="7"/>
      <c r="Q461" s="7"/>
      <c r="R461" s="708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686"/>
      <c r="B462" s="687"/>
      <c r="C462" s="243" t="s">
        <v>16</v>
      </c>
      <c r="D462" s="242">
        <f>COUNTIF($D$11:$M$11,"Lạng Sơn")</f>
        <v>0</v>
      </c>
      <c r="E462" s="688"/>
      <c r="F462" s="244"/>
      <c r="G462" s="688"/>
      <c r="H462" s="688"/>
      <c r="I462" s="239"/>
      <c r="J462" s="239"/>
      <c r="K462" s="688"/>
      <c r="L462" s="7"/>
      <c r="M462" s="7"/>
      <c r="N462" s="7"/>
      <c r="O462" s="7"/>
      <c r="P462" s="7"/>
      <c r="Q462" s="7"/>
      <c r="R462" s="708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686"/>
      <c r="B463" s="687"/>
      <c r="C463" s="243" t="s">
        <v>13</v>
      </c>
      <c r="D463" s="242">
        <f>COUNTIF($D$11:$M$11,"Cao Bằng")</f>
        <v>0</v>
      </c>
      <c r="E463" s="688"/>
      <c r="F463" s="244"/>
      <c r="G463" s="688"/>
      <c r="H463" s="688"/>
      <c r="I463" s="239"/>
      <c r="J463" s="239"/>
      <c r="K463" s="688"/>
      <c r="L463" s="7"/>
      <c r="M463" s="7"/>
      <c r="N463" s="7"/>
      <c r="O463" s="7"/>
      <c r="P463" s="7"/>
      <c r="Q463" s="7"/>
      <c r="R463" s="708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686"/>
      <c r="B464" s="687"/>
      <c r="C464" s="243" t="s">
        <v>1090</v>
      </c>
      <c r="D464" s="242">
        <f>COUNTIF($D$11:$M$11,"Sơn La")</f>
        <v>0</v>
      </c>
      <c r="E464" s="688"/>
      <c r="F464" s="244"/>
      <c r="G464" s="688"/>
      <c r="H464" s="688"/>
      <c r="I464" s="239"/>
      <c r="J464" s="239"/>
      <c r="K464" s="688"/>
      <c r="L464" s="7"/>
      <c r="M464" s="7"/>
      <c r="N464" s="7"/>
      <c r="O464" s="7"/>
      <c r="P464" s="7"/>
      <c r="Q464" s="7"/>
      <c r="R464" s="708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686"/>
      <c r="B465" s="687"/>
      <c r="C465" s="243" t="s">
        <v>19</v>
      </c>
      <c r="D465" s="242">
        <f>COUNTIF($D$11:$M$11,"Yên Bái")</f>
        <v>0</v>
      </c>
      <c r="E465" s="688"/>
      <c r="F465" s="244"/>
      <c r="G465" s="688"/>
      <c r="H465" s="688"/>
      <c r="I465" s="239"/>
      <c r="J465" s="239"/>
      <c r="K465" s="688"/>
      <c r="L465" s="7"/>
      <c r="M465" s="7"/>
      <c r="N465" s="7"/>
      <c r="O465" s="7"/>
      <c r="P465" s="7"/>
      <c r="Q465" s="7"/>
      <c r="R465" s="708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686"/>
      <c r="B466" s="687"/>
      <c r="C466" s="243" t="s">
        <v>18</v>
      </c>
      <c r="D466" s="242">
        <f>COUNTIF($D$11:$M$11,"Tuyên Quang")</f>
        <v>0</v>
      </c>
      <c r="E466" s="688"/>
      <c r="F466" s="244"/>
      <c r="G466" s="688"/>
      <c r="H466" s="688"/>
      <c r="I466" s="239"/>
      <c r="J466" s="239"/>
      <c r="K466" s="688"/>
      <c r="L466" s="7"/>
      <c r="M466" s="7"/>
      <c r="N466" s="7"/>
      <c r="O466" s="7"/>
      <c r="P466" s="7"/>
      <c r="Q466" s="7"/>
      <c r="R466" s="708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686"/>
      <c r="B467" s="687"/>
      <c r="C467" s="243" t="s">
        <v>1091</v>
      </c>
      <c r="D467" s="242">
        <f>COUNTIF($D$11:$M$11,"Thái Nguyên")</f>
        <v>0</v>
      </c>
      <c r="E467" s="688"/>
      <c r="F467" s="244"/>
      <c r="G467" s="688"/>
      <c r="H467" s="688"/>
      <c r="I467" s="239"/>
      <c r="J467" s="239"/>
      <c r="K467" s="688"/>
      <c r="L467" s="7"/>
      <c r="M467" s="7"/>
      <c r="N467" s="7"/>
      <c r="O467" s="7"/>
      <c r="P467" s="7"/>
      <c r="Q467" s="7"/>
      <c r="R467" s="708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686"/>
      <c r="B468" s="687"/>
      <c r="C468" s="243" t="s">
        <v>15</v>
      </c>
      <c r="D468" s="242">
        <f>COUNTIF($D$11:$M$11,"Bắc Kạn")</f>
        <v>0</v>
      </c>
      <c r="E468" s="688"/>
      <c r="F468" s="244"/>
      <c r="G468" s="688"/>
      <c r="H468" s="688"/>
      <c r="I468" s="239"/>
      <c r="J468" s="239"/>
      <c r="K468" s="688"/>
      <c r="L468" s="7"/>
      <c r="M468" s="7"/>
      <c r="N468" s="7"/>
      <c r="O468" s="7"/>
      <c r="P468" s="7"/>
      <c r="Q468" s="7"/>
      <c r="R468" s="708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686"/>
      <c r="B469" s="687"/>
      <c r="C469" s="243" t="s">
        <v>25</v>
      </c>
      <c r="D469" s="242">
        <f>COUNTIF($D$11:$M$11,"Hoà Bình")</f>
        <v>0</v>
      </c>
      <c r="E469" s="688"/>
      <c r="F469" s="244"/>
      <c r="G469" s="688"/>
      <c r="H469" s="688"/>
      <c r="I469" s="239"/>
      <c r="J469" s="239"/>
      <c r="K469" s="688"/>
      <c r="L469" s="7"/>
      <c r="M469" s="7"/>
      <c r="N469" s="7"/>
      <c r="O469" s="7"/>
      <c r="P469" s="7"/>
      <c r="Q469" s="7"/>
      <c r="R469" s="708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686"/>
      <c r="B470" s="687"/>
      <c r="C470" s="243" t="s">
        <v>1092</v>
      </c>
      <c r="D470" s="242">
        <f>COUNTIF($D$11:$M$11,"Bắc Giang")</f>
        <v>0</v>
      </c>
      <c r="E470" s="688"/>
      <c r="F470" s="244"/>
      <c r="G470" s="688"/>
      <c r="H470" s="688"/>
      <c r="I470" s="239"/>
      <c r="J470" s="239"/>
      <c r="K470" s="688"/>
      <c r="L470" s="7"/>
      <c r="M470" s="7"/>
      <c r="N470" s="7"/>
      <c r="O470" s="7"/>
      <c r="P470" s="7"/>
      <c r="Q470" s="7"/>
      <c r="R470" s="708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686"/>
      <c r="B471" s="687"/>
      <c r="C471" s="243" t="s">
        <v>28</v>
      </c>
      <c r="D471" s="242">
        <f>COUNTIF($D$11:$M$11,"Quảng Ninh")</f>
        <v>0</v>
      </c>
      <c r="E471" s="688"/>
      <c r="F471" s="244"/>
      <c r="G471" s="688"/>
      <c r="H471" s="688"/>
      <c r="I471" s="239"/>
      <c r="J471" s="239"/>
      <c r="K471" s="688"/>
      <c r="L471" s="7"/>
      <c r="M471" s="7"/>
      <c r="N471" s="7"/>
      <c r="O471" s="7"/>
      <c r="P471" s="7"/>
      <c r="Q471" s="7"/>
      <c r="R471" s="708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686"/>
      <c r="B472" s="687"/>
      <c r="C472" s="243" t="s">
        <v>26</v>
      </c>
      <c r="D472" s="242">
        <f>COUNTIF($D$11:$M$11,"Hà Nội")</f>
        <v>0</v>
      </c>
      <c r="E472" s="688"/>
      <c r="F472" s="244"/>
      <c r="G472" s="688"/>
      <c r="H472" s="688"/>
      <c r="I472" s="239"/>
      <c r="J472" s="239"/>
      <c r="K472" s="688"/>
      <c r="L472" s="7"/>
      <c r="M472" s="7"/>
      <c r="N472" s="7"/>
      <c r="O472" s="7"/>
      <c r="P472" s="7"/>
      <c r="Q472" s="7"/>
      <c r="R472" s="708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686"/>
      <c r="B473" s="687"/>
      <c r="C473" s="243" t="s">
        <v>21</v>
      </c>
      <c r="D473" s="242">
        <f>COUNTIF($D$11:$M$11,"Phú Thọ")</f>
        <v>6</v>
      </c>
      <c r="E473" s="688"/>
      <c r="F473" s="244"/>
      <c r="G473" s="688"/>
      <c r="H473" s="688"/>
      <c r="I473" s="239"/>
      <c r="J473" s="239"/>
      <c r="K473" s="688"/>
      <c r="L473" s="7"/>
      <c r="M473" s="7"/>
      <c r="N473" s="7"/>
      <c r="O473" s="7"/>
      <c r="P473" s="7"/>
      <c r="Q473" s="7"/>
      <c r="R473" s="708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686"/>
      <c r="B474" s="687"/>
      <c r="C474" s="243" t="s">
        <v>1093</v>
      </c>
      <c r="D474" s="242">
        <f>COUNTIF($D$11:$M$11,"Vĩnh Phúc")</f>
        <v>0</v>
      </c>
      <c r="E474" s="688"/>
      <c r="F474" s="244"/>
      <c r="G474" s="688"/>
      <c r="H474" s="688"/>
      <c r="I474" s="239"/>
      <c r="J474" s="239"/>
      <c r="K474" s="688"/>
      <c r="L474" s="7"/>
      <c r="M474" s="7"/>
      <c r="N474" s="7"/>
      <c r="O474" s="7"/>
      <c r="P474" s="7"/>
      <c r="Q474" s="7"/>
      <c r="R474" s="708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686"/>
      <c r="B475" s="687"/>
      <c r="C475" s="243" t="s">
        <v>32</v>
      </c>
      <c r="D475" s="242">
        <f>COUNTIF($D$11:$M$11,"Bắc Ninh")</f>
        <v>0</v>
      </c>
      <c r="E475" s="688"/>
      <c r="F475" s="244"/>
      <c r="G475" s="688"/>
      <c r="H475" s="688"/>
      <c r="I475" s="239"/>
      <c r="J475" s="239"/>
      <c r="K475" s="688"/>
      <c r="L475" s="7"/>
      <c r="M475" s="7"/>
      <c r="N475" s="7"/>
      <c r="O475" s="7"/>
      <c r="P475" s="7"/>
      <c r="Q475" s="7"/>
      <c r="R475" s="708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686"/>
      <c r="B476" s="687"/>
      <c r="C476" s="243" t="s">
        <v>29</v>
      </c>
      <c r="D476" s="242">
        <f>COUNTIF($D$11:$M$11,"Hải Dương")</f>
        <v>0</v>
      </c>
      <c r="E476" s="688"/>
      <c r="F476" s="244"/>
      <c r="G476" s="688"/>
      <c r="H476" s="688"/>
      <c r="I476" s="239"/>
      <c r="J476" s="239"/>
      <c r="K476" s="688"/>
      <c r="L476" s="7"/>
      <c r="M476" s="7"/>
      <c r="N476" s="7"/>
      <c r="O476" s="7"/>
      <c r="P476" s="7"/>
      <c r="Q476" s="7"/>
      <c r="R476" s="708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686"/>
      <c r="B477" s="687"/>
      <c r="C477" s="243" t="s">
        <v>30</v>
      </c>
      <c r="D477" s="242">
        <f>COUNTIF($D$11:$M$11,"Hưng Yên")</f>
        <v>0</v>
      </c>
      <c r="E477" s="688"/>
      <c r="F477" s="244"/>
      <c r="G477" s="688"/>
      <c r="H477" s="688"/>
      <c r="I477" s="239"/>
      <c r="J477" s="239"/>
      <c r="K477" s="688"/>
      <c r="L477" s="7"/>
      <c r="M477" s="7"/>
      <c r="N477" s="7"/>
      <c r="O477" s="7"/>
      <c r="P477" s="7"/>
      <c r="Q477" s="7"/>
      <c r="R477" s="708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686"/>
      <c r="B478" s="687"/>
      <c r="C478" s="243" t="s">
        <v>27</v>
      </c>
      <c r="D478" s="242">
        <f>COUNTIF($D$11:$M$11,"Hải Phòng")</f>
        <v>0</v>
      </c>
      <c r="E478" s="688"/>
      <c r="F478" s="244"/>
      <c r="G478" s="688"/>
      <c r="H478" s="688"/>
      <c r="I478" s="239"/>
      <c r="J478" s="239"/>
      <c r="K478" s="688"/>
      <c r="L478" s="7"/>
      <c r="M478" s="7"/>
      <c r="N478" s="7"/>
      <c r="O478" s="7"/>
      <c r="P478" s="7"/>
      <c r="Q478" s="7"/>
      <c r="R478" s="708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686"/>
      <c r="B479" s="687"/>
      <c r="C479" s="243" t="s">
        <v>33</v>
      </c>
      <c r="D479" s="242">
        <f>COUNTIF($D$11:$M$11,"Hà Nam")</f>
        <v>0</v>
      </c>
      <c r="E479" s="688"/>
      <c r="F479" s="244"/>
      <c r="G479" s="688"/>
      <c r="H479" s="688"/>
      <c r="I479" s="239"/>
      <c r="J479" s="239"/>
      <c r="K479" s="688"/>
      <c r="L479" s="7"/>
      <c r="M479" s="7"/>
      <c r="N479" s="7"/>
      <c r="O479" s="7"/>
      <c r="P479" s="7"/>
      <c r="Q479" s="7"/>
      <c r="R479" s="708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686"/>
      <c r="B480" s="687"/>
      <c r="C480" s="243" t="s">
        <v>36</v>
      </c>
      <c r="D480" s="242">
        <f>COUNTIF($D$11:$M$11,"Nam Định")</f>
        <v>0</v>
      </c>
      <c r="E480" s="688"/>
      <c r="F480" s="244"/>
      <c r="G480" s="688"/>
      <c r="H480" s="688"/>
      <c r="I480" s="239"/>
      <c r="J480" s="239"/>
      <c r="K480" s="688"/>
      <c r="L480" s="7"/>
      <c r="M480" s="7"/>
      <c r="N480" s="7"/>
      <c r="O480" s="7"/>
      <c r="P480" s="7"/>
      <c r="Q480" s="7"/>
      <c r="R480" s="708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686"/>
      <c r="B481" s="687"/>
      <c r="C481" s="243" t="s">
        <v>1094</v>
      </c>
      <c r="D481" s="242">
        <f>COUNTIF($D$11:$M$11,"Thái Bình")</f>
        <v>0</v>
      </c>
      <c r="E481" s="688"/>
      <c r="F481" s="244"/>
      <c r="G481" s="688"/>
      <c r="H481" s="688"/>
      <c r="I481" s="239"/>
      <c r="J481" s="239"/>
      <c r="K481" s="688"/>
      <c r="L481" s="7"/>
      <c r="M481" s="7"/>
      <c r="N481" s="7"/>
      <c r="O481" s="7"/>
      <c r="P481" s="7"/>
      <c r="Q481" s="7"/>
      <c r="R481" s="708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686"/>
      <c r="B482" s="687"/>
      <c r="C482" s="243" t="s">
        <v>34</v>
      </c>
      <c r="D482" s="242">
        <f>COUNTIF($D$11:$M$11,"Ninh Bình")</f>
        <v>0</v>
      </c>
      <c r="E482" s="688"/>
      <c r="F482" s="244"/>
      <c r="G482" s="688"/>
      <c r="H482" s="688"/>
      <c r="I482" s="239"/>
      <c r="J482" s="239"/>
      <c r="K482" s="688"/>
      <c r="L482" s="7"/>
      <c r="M482" s="7"/>
      <c r="N482" s="7"/>
      <c r="O482" s="7"/>
      <c r="P482" s="7"/>
      <c r="Q482" s="7"/>
      <c r="R482" s="708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686"/>
      <c r="B483" s="687"/>
      <c r="C483" s="243" t="s">
        <v>37</v>
      </c>
      <c r="D483" s="242">
        <f>COUNTIF($D$11:$M$11,"Thanh Hoá")</f>
        <v>0</v>
      </c>
      <c r="E483" s="688"/>
      <c r="F483" s="244"/>
      <c r="G483" s="688"/>
      <c r="H483" s="688"/>
      <c r="I483" s="239"/>
      <c r="J483" s="239"/>
      <c r="K483" s="688"/>
      <c r="L483" s="7"/>
      <c r="M483" s="7"/>
      <c r="N483" s="7"/>
      <c r="O483" s="7"/>
      <c r="P483" s="7"/>
      <c r="Q483" s="7"/>
      <c r="R483" s="708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686"/>
      <c r="B484" s="687"/>
      <c r="C484" s="243" t="s">
        <v>1095</v>
      </c>
      <c r="D484" s="242">
        <f>COUNTIF($D$11:$M$11,"Nghệ An")</f>
        <v>0</v>
      </c>
      <c r="E484" s="688"/>
      <c r="F484" s="244"/>
      <c r="G484" s="688"/>
      <c r="H484" s="688"/>
      <c r="I484" s="239"/>
      <c r="J484" s="239"/>
      <c r="K484" s="688"/>
      <c r="L484" s="7"/>
      <c r="M484" s="7"/>
      <c r="N484" s="7"/>
      <c r="O484" s="7"/>
      <c r="P484" s="7"/>
      <c r="Q484" s="7"/>
      <c r="R484" s="708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686"/>
      <c r="B485" s="687"/>
      <c r="C485" s="243" t="s">
        <v>1096</v>
      </c>
      <c r="D485" s="242">
        <f>COUNTIF($D$11:$M$11,"Hà Tĩnh")</f>
        <v>0</v>
      </c>
      <c r="E485" s="688"/>
      <c r="F485" s="244"/>
      <c r="G485" s="688"/>
      <c r="H485" s="688"/>
      <c r="I485" s="239"/>
      <c r="J485" s="239"/>
      <c r="K485" s="688"/>
      <c r="L485" s="7"/>
      <c r="M485" s="7"/>
      <c r="N485" s="7"/>
      <c r="O485" s="7"/>
      <c r="P485" s="7"/>
      <c r="Q485" s="7"/>
      <c r="R485" s="708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686"/>
      <c r="B486" s="687"/>
      <c r="C486" s="243" t="s">
        <v>1097</v>
      </c>
      <c r="D486" s="242">
        <f>COUNTIF($D$11:$M$11,"Quảng Bình")</f>
        <v>0</v>
      </c>
      <c r="E486" s="688"/>
      <c r="F486" s="244"/>
      <c r="G486" s="688"/>
      <c r="H486" s="688"/>
      <c r="I486" s="239"/>
      <c r="J486" s="239"/>
      <c r="K486" s="688"/>
      <c r="L486" s="7"/>
      <c r="M486" s="7"/>
      <c r="N486" s="7"/>
      <c r="O486" s="7"/>
      <c r="P486" s="7"/>
      <c r="Q486" s="7"/>
      <c r="R486" s="708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686"/>
      <c r="B487" s="687"/>
      <c r="C487" s="243" t="s">
        <v>1098</v>
      </c>
      <c r="D487" s="242">
        <f>COUNTIF($D$11:$M$11,"Quảng Trị")</f>
        <v>0</v>
      </c>
      <c r="E487" s="688"/>
      <c r="F487" s="244"/>
      <c r="G487" s="688"/>
      <c r="H487" s="688"/>
      <c r="I487" s="239"/>
      <c r="J487" s="239"/>
      <c r="K487" s="688"/>
      <c r="L487" s="7"/>
      <c r="M487" s="7"/>
      <c r="N487" s="7"/>
      <c r="O487" s="7"/>
      <c r="P487" s="7"/>
      <c r="Q487" s="7"/>
      <c r="R487" s="708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686"/>
      <c r="B488" s="687"/>
      <c r="C488" s="243" t="s">
        <v>1099</v>
      </c>
      <c r="D488" s="242">
        <f>COUNTIF($D$11:$M$11,"Thừa Thiên Huế")</f>
        <v>0</v>
      </c>
      <c r="E488" s="688"/>
      <c r="F488" s="244"/>
      <c r="G488" s="688"/>
      <c r="H488" s="688"/>
      <c r="I488" s="239"/>
      <c r="J488" s="239"/>
      <c r="K488" s="688"/>
      <c r="L488" s="7"/>
      <c r="M488" s="7"/>
      <c r="N488" s="7"/>
      <c r="O488" s="7"/>
      <c r="P488" s="7"/>
      <c r="Q488" s="7"/>
      <c r="R488" s="708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686"/>
      <c r="B489" s="687"/>
      <c r="C489" s="243" t="s">
        <v>1100</v>
      </c>
      <c r="D489" s="242">
        <f>COUNTIF($D$11:$M$11,"Đà Nẵng")</f>
        <v>0</v>
      </c>
      <c r="E489" s="688"/>
      <c r="F489" s="244"/>
      <c r="G489" s="688"/>
      <c r="H489" s="688"/>
      <c r="I489" s="239"/>
      <c r="J489" s="239"/>
      <c r="K489" s="688"/>
      <c r="L489" s="7"/>
      <c r="M489" s="7"/>
      <c r="N489" s="7"/>
      <c r="O489" s="7"/>
      <c r="P489" s="7"/>
      <c r="Q489" s="7"/>
      <c r="R489" s="708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686"/>
      <c r="B490" s="687"/>
      <c r="C490" s="243" t="s">
        <v>1101</v>
      </c>
      <c r="D490" s="242">
        <f>COUNTIF($D$11:$M$11,"Quảng Nam")</f>
        <v>0</v>
      </c>
      <c r="E490" s="688"/>
      <c r="F490" s="244"/>
      <c r="G490" s="688"/>
      <c r="H490" s="688"/>
      <c r="I490" s="239"/>
      <c r="J490" s="239"/>
      <c r="K490" s="688"/>
      <c r="L490" s="7"/>
      <c r="M490" s="7"/>
      <c r="N490" s="7"/>
      <c r="O490" s="7"/>
      <c r="P490" s="7"/>
      <c r="Q490" s="7"/>
      <c r="R490" s="708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686"/>
      <c r="B491" s="687"/>
      <c r="C491" s="243" t="s">
        <v>1102</v>
      </c>
      <c r="D491" s="242">
        <f>COUNTIF($D$11:$M$11,"Quảng Ngãi")</f>
        <v>0</v>
      </c>
      <c r="E491" s="688"/>
      <c r="F491" s="244"/>
      <c r="G491" s="688"/>
      <c r="H491" s="688"/>
      <c r="I491" s="239"/>
      <c r="J491" s="239"/>
      <c r="K491" s="688"/>
      <c r="L491" s="7"/>
      <c r="M491" s="7"/>
      <c r="N491" s="7"/>
      <c r="O491" s="7"/>
      <c r="P491" s="7"/>
      <c r="Q491" s="7"/>
      <c r="R491" s="708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686"/>
      <c r="B492" s="687"/>
      <c r="C492" s="243" t="s">
        <v>1103</v>
      </c>
      <c r="D492" s="242">
        <f>COUNTIF($D$11:$M$11,"Bình Định")</f>
        <v>0</v>
      </c>
      <c r="E492" s="688"/>
      <c r="F492" s="244"/>
      <c r="G492" s="688"/>
      <c r="H492" s="688"/>
      <c r="I492" s="239"/>
      <c r="J492" s="239"/>
      <c r="K492" s="688"/>
      <c r="L492" s="7"/>
      <c r="M492" s="7"/>
      <c r="N492" s="7"/>
      <c r="O492" s="7"/>
      <c r="P492" s="7"/>
      <c r="Q492" s="7"/>
      <c r="R492" s="708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686"/>
      <c r="B493" s="687"/>
      <c r="C493" s="243" t="s">
        <v>1104</v>
      </c>
      <c r="D493" s="242">
        <f>COUNTIF($D$11:$M$11,"Phú Yên")</f>
        <v>0</v>
      </c>
      <c r="E493" s="688"/>
      <c r="F493" s="244"/>
      <c r="G493" s="688"/>
      <c r="H493" s="688"/>
      <c r="I493" s="239"/>
      <c r="J493" s="239"/>
      <c r="K493" s="688"/>
      <c r="L493" s="7"/>
      <c r="M493" s="7"/>
      <c r="N493" s="7"/>
      <c r="O493" s="7"/>
      <c r="P493" s="7"/>
      <c r="Q493" s="7"/>
      <c r="R493" s="708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686"/>
      <c r="B494" s="687"/>
      <c r="C494" s="243" t="s">
        <v>1105</v>
      </c>
      <c r="D494" s="242">
        <f>COUNTIF($D$11:$M$11,"Khánh Hoà")</f>
        <v>0</v>
      </c>
      <c r="E494" s="688"/>
      <c r="F494" s="244"/>
      <c r="G494" s="688"/>
      <c r="H494" s="688"/>
      <c r="I494" s="239"/>
      <c r="J494" s="239"/>
      <c r="K494" s="688"/>
      <c r="L494" s="7"/>
      <c r="M494" s="7"/>
      <c r="N494" s="7"/>
      <c r="O494" s="7"/>
      <c r="P494" s="7"/>
      <c r="Q494" s="7"/>
      <c r="R494" s="708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686"/>
      <c r="B495" s="687"/>
      <c r="C495" s="243" t="s">
        <v>1106</v>
      </c>
      <c r="D495" s="242">
        <f>COUNTIF($D$11:$M$11,"Ninh Thuận")</f>
        <v>0</v>
      </c>
      <c r="E495" s="688"/>
      <c r="F495" s="244"/>
      <c r="G495" s="688"/>
      <c r="H495" s="688"/>
      <c r="I495" s="239"/>
      <c r="J495" s="239"/>
      <c r="K495" s="688"/>
      <c r="L495" s="7"/>
      <c r="M495" s="7"/>
      <c r="N495" s="7"/>
      <c r="O495" s="7"/>
      <c r="P495" s="7"/>
      <c r="Q495" s="7"/>
      <c r="R495" s="708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686"/>
      <c r="B496" s="687"/>
      <c r="C496" s="243" t="s">
        <v>1107</v>
      </c>
      <c r="D496" s="242">
        <f>COUNTIF($D$11:$M$11,"Bình Thuận")</f>
        <v>0</v>
      </c>
      <c r="E496" s="688"/>
      <c r="F496" s="244"/>
      <c r="G496" s="688"/>
      <c r="H496" s="688"/>
      <c r="I496" s="239"/>
      <c r="J496" s="239"/>
      <c r="K496" s="688"/>
      <c r="L496" s="7"/>
      <c r="M496" s="7"/>
      <c r="N496" s="7"/>
      <c r="O496" s="7"/>
      <c r="P496" s="7"/>
      <c r="Q496" s="7"/>
      <c r="R496" s="708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686"/>
      <c r="B497" s="687"/>
      <c r="C497" s="243" t="s">
        <v>1108</v>
      </c>
      <c r="D497" s="242">
        <f>COUNTIF($D$11:$M$11,"Kon Tum")</f>
        <v>0</v>
      </c>
      <c r="E497" s="688"/>
      <c r="F497" s="244"/>
      <c r="G497" s="688"/>
      <c r="H497" s="688"/>
      <c r="I497" s="239"/>
      <c r="J497" s="239"/>
      <c r="K497" s="688"/>
      <c r="L497" s="7"/>
      <c r="M497" s="7"/>
      <c r="N497" s="7"/>
      <c r="O497" s="7"/>
      <c r="P497" s="7"/>
      <c r="Q497" s="7"/>
      <c r="R497" s="708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686"/>
      <c r="B498" s="687"/>
      <c r="C498" s="243" t="s">
        <v>1109</v>
      </c>
      <c r="D498" s="242">
        <f>COUNTIF($D$11:$M$11,"Gia Lai")</f>
        <v>0</v>
      </c>
      <c r="E498" s="688"/>
      <c r="F498" s="244"/>
      <c r="G498" s="688"/>
      <c r="H498" s="688"/>
      <c r="I498" s="239"/>
      <c r="J498" s="239"/>
      <c r="K498" s="688"/>
      <c r="L498" s="7"/>
      <c r="M498" s="7"/>
      <c r="N498" s="7"/>
      <c r="O498" s="7"/>
      <c r="P498" s="7"/>
      <c r="Q498" s="7"/>
      <c r="R498" s="708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686"/>
      <c r="B499" s="687"/>
      <c r="C499" s="243" t="s">
        <v>1110</v>
      </c>
      <c r="D499" s="242">
        <f>COUNTIF($D$11:$M$11,"Đắk Lắk")</f>
        <v>0</v>
      </c>
      <c r="E499" s="688"/>
      <c r="F499" s="244"/>
      <c r="G499" s="688"/>
      <c r="H499" s="688"/>
      <c r="I499" s="239"/>
      <c r="J499" s="239"/>
      <c r="K499" s="688"/>
      <c r="L499" s="7"/>
      <c r="M499" s="7"/>
      <c r="N499" s="7"/>
      <c r="O499" s="7"/>
      <c r="P499" s="7"/>
      <c r="Q499" s="7"/>
      <c r="R499" s="708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686"/>
      <c r="B500" s="687"/>
      <c r="C500" s="243" t="s">
        <v>1111</v>
      </c>
      <c r="D500" s="242">
        <f>COUNTIF($D$11:$M$11,"Đắk Nông")</f>
        <v>0</v>
      </c>
      <c r="E500" s="688"/>
      <c r="F500" s="244"/>
      <c r="G500" s="688"/>
      <c r="H500" s="688"/>
      <c r="I500" s="239"/>
      <c r="J500" s="239"/>
      <c r="K500" s="688"/>
      <c r="L500" s="7"/>
      <c r="M500" s="7"/>
      <c r="N500" s="7"/>
      <c r="O500" s="7"/>
      <c r="P500" s="7"/>
      <c r="Q500" s="7"/>
      <c r="R500" s="708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686"/>
      <c r="B501" s="687"/>
      <c r="C501" s="243" t="s">
        <v>1112</v>
      </c>
      <c r="D501" s="242">
        <f>COUNTIF($D$11:$M$11,"Lâm Đồng")</f>
        <v>0</v>
      </c>
      <c r="E501" s="688"/>
      <c r="F501" s="244"/>
      <c r="G501" s="688"/>
      <c r="H501" s="688"/>
      <c r="I501" s="239"/>
      <c r="J501" s="239"/>
      <c r="K501" s="688"/>
      <c r="L501" s="7"/>
      <c r="M501" s="7"/>
      <c r="N501" s="7"/>
      <c r="O501" s="7"/>
      <c r="P501" s="7"/>
      <c r="Q501" s="7"/>
      <c r="R501" s="708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686"/>
      <c r="B502" s="687"/>
      <c r="C502" s="243" t="s">
        <v>1113</v>
      </c>
      <c r="D502" s="242">
        <f>COUNTIF($D$11:$M$11,"Tây Ninh")</f>
        <v>0</v>
      </c>
      <c r="E502" s="688"/>
      <c r="F502" s="244"/>
      <c r="G502" s="688"/>
      <c r="H502" s="688"/>
      <c r="I502" s="239"/>
      <c r="J502" s="239"/>
      <c r="K502" s="688"/>
      <c r="L502" s="7"/>
      <c r="M502" s="7"/>
      <c r="N502" s="7"/>
      <c r="O502" s="7"/>
      <c r="P502" s="7"/>
      <c r="Q502" s="7"/>
      <c r="R502" s="708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686"/>
      <c r="B503" s="687"/>
      <c r="C503" s="243" t="s">
        <v>1114</v>
      </c>
      <c r="D503" s="242">
        <f>COUNTIF($D$11:$M$11,"Bình Phước")</f>
        <v>0</v>
      </c>
      <c r="E503" s="688"/>
      <c r="F503" s="244"/>
      <c r="G503" s="688"/>
      <c r="H503" s="688"/>
      <c r="I503" s="239"/>
      <c r="J503" s="239"/>
      <c r="K503" s="688"/>
      <c r="L503" s="7"/>
      <c r="M503" s="7"/>
      <c r="N503" s="7"/>
      <c r="O503" s="7"/>
      <c r="P503" s="7"/>
      <c r="Q503" s="7"/>
      <c r="R503" s="708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686"/>
      <c r="B504" s="687"/>
      <c r="C504" s="243" t="s">
        <v>1115</v>
      </c>
      <c r="D504" s="242">
        <f>COUNTIF($D$11:$M$11,"Bình Dương")</f>
        <v>0</v>
      </c>
      <c r="E504" s="688"/>
      <c r="F504" s="244"/>
      <c r="G504" s="688"/>
      <c r="H504" s="688"/>
      <c r="I504" s="239"/>
      <c r="J504" s="239"/>
      <c r="K504" s="688"/>
      <c r="L504" s="7"/>
      <c r="M504" s="7"/>
      <c r="N504" s="7"/>
      <c r="O504" s="7"/>
      <c r="P504" s="7"/>
      <c r="Q504" s="7"/>
      <c r="R504" s="708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686"/>
      <c r="B505" s="687"/>
      <c r="C505" s="243" t="s">
        <v>1116</v>
      </c>
      <c r="D505" s="242">
        <f>COUNTIF($D$11:$M$11,"Bà Rịa - Vũng Tàu")</f>
        <v>0</v>
      </c>
      <c r="E505" s="688"/>
      <c r="F505" s="244"/>
      <c r="G505" s="688"/>
      <c r="H505" s="688"/>
      <c r="I505" s="239"/>
      <c r="J505" s="239"/>
      <c r="K505" s="688"/>
      <c r="L505" s="7"/>
      <c r="M505" s="7"/>
      <c r="N505" s="7"/>
      <c r="O505" s="7"/>
      <c r="P505" s="7"/>
      <c r="Q505" s="7"/>
      <c r="R505" s="708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686"/>
      <c r="B506" s="687"/>
      <c r="C506" s="243" t="s">
        <v>1117</v>
      </c>
      <c r="D506" s="242">
        <f>COUNTIF($D$11:$M$11,"Bến Tre")</f>
        <v>0</v>
      </c>
      <c r="E506" s="688"/>
      <c r="F506" s="244"/>
      <c r="G506" s="688"/>
      <c r="H506" s="688"/>
      <c r="I506" s="239"/>
      <c r="J506" s="239"/>
      <c r="K506" s="688"/>
      <c r="L506" s="7"/>
      <c r="M506" s="7"/>
      <c r="N506" s="7"/>
      <c r="O506" s="7"/>
      <c r="P506" s="7"/>
      <c r="Q506" s="7"/>
      <c r="R506" s="708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686"/>
      <c r="B507" s="687"/>
      <c r="C507" s="243" t="s">
        <v>1118</v>
      </c>
      <c r="D507" s="242">
        <f>COUNTIF($D$11:$M$11,"An Giang")</f>
        <v>0</v>
      </c>
      <c r="E507" s="688"/>
      <c r="F507" s="244"/>
      <c r="G507" s="688"/>
      <c r="H507" s="688"/>
      <c r="I507" s="239"/>
      <c r="J507" s="239"/>
      <c r="K507" s="688"/>
      <c r="L507" s="7"/>
      <c r="M507" s="7"/>
      <c r="N507" s="7"/>
      <c r="O507" s="7"/>
      <c r="P507" s="7"/>
      <c r="Q507" s="7"/>
      <c r="R507" s="708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686"/>
      <c r="B508" s="687"/>
      <c r="C508" s="243" t="s">
        <v>1119</v>
      </c>
      <c r="D508" s="242">
        <f>COUNTIF($D$11:$M$11,"Vĩnh Long")</f>
        <v>0</v>
      </c>
      <c r="E508" s="688"/>
      <c r="F508" s="244"/>
      <c r="G508" s="688"/>
      <c r="H508" s="688"/>
      <c r="I508" s="239"/>
      <c r="J508" s="239"/>
      <c r="K508" s="688"/>
      <c r="L508" s="7"/>
      <c r="M508" s="7"/>
      <c r="N508" s="7"/>
      <c r="O508" s="7"/>
      <c r="P508" s="7"/>
      <c r="Q508" s="7"/>
      <c r="R508" s="708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686"/>
      <c r="B509" s="687"/>
      <c r="C509" s="243" t="s">
        <v>1120</v>
      </c>
      <c r="D509" s="242">
        <f>COUNTIF($D$11:$M$11,"Cần Thơ")</f>
        <v>0</v>
      </c>
      <c r="E509" s="688"/>
      <c r="F509" s="244"/>
      <c r="G509" s="688"/>
      <c r="H509" s="688"/>
      <c r="I509" s="239"/>
      <c r="J509" s="239"/>
      <c r="K509" s="688"/>
      <c r="L509" s="7"/>
      <c r="M509" s="7"/>
      <c r="N509" s="7"/>
      <c r="O509" s="7"/>
      <c r="P509" s="7"/>
      <c r="Q509" s="7"/>
      <c r="R509" s="708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686"/>
      <c r="B510" s="687"/>
      <c r="C510" s="243" t="s">
        <v>1121</v>
      </c>
      <c r="D510" s="242">
        <f>COUNTIF($D$11:$M$11,"Hậu Giang")</f>
        <v>0</v>
      </c>
      <c r="E510" s="688"/>
      <c r="F510" s="244"/>
      <c r="G510" s="688"/>
      <c r="H510" s="688"/>
      <c r="I510" s="239"/>
      <c r="J510" s="239"/>
      <c r="K510" s="688"/>
      <c r="L510" s="7"/>
      <c r="M510" s="7"/>
      <c r="N510" s="7"/>
      <c r="O510" s="7"/>
      <c r="P510" s="7"/>
      <c r="Q510" s="7"/>
      <c r="R510" s="708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686"/>
      <c r="B511" s="687"/>
      <c r="C511" s="243" t="s">
        <v>1122</v>
      </c>
      <c r="D511" s="242">
        <f>COUNTIF($D$11:$M$11,"Sóc Trăng")</f>
        <v>0</v>
      </c>
      <c r="E511" s="688"/>
      <c r="F511" s="244"/>
      <c r="G511" s="688"/>
      <c r="H511" s="688"/>
      <c r="I511" s="239"/>
      <c r="J511" s="239"/>
      <c r="K511" s="688"/>
      <c r="L511" s="7"/>
      <c r="M511" s="7"/>
      <c r="N511" s="7"/>
      <c r="O511" s="7"/>
      <c r="P511" s="7"/>
      <c r="Q511" s="7"/>
      <c r="R511" s="708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686"/>
      <c r="B512" s="687"/>
      <c r="C512" s="243" t="s">
        <v>1123</v>
      </c>
      <c r="D512" s="242">
        <f>COUNTIF($D$11:$M$11,"Bạc Liêu")</f>
        <v>0</v>
      </c>
      <c r="E512" s="688"/>
      <c r="F512" s="244"/>
      <c r="G512" s="688"/>
      <c r="H512" s="688"/>
      <c r="I512" s="239"/>
      <c r="J512" s="239"/>
      <c r="K512" s="688"/>
      <c r="L512" s="7"/>
      <c r="M512" s="7"/>
      <c r="N512" s="7"/>
      <c r="O512" s="7"/>
      <c r="P512" s="7"/>
      <c r="Q512" s="7"/>
      <c r="R512" s="708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686"/>
      <c r="B513" s="687"/>
      <c r="C513" s="243" t="s">
        <v>1124</v>
      </c>
      <c r="D513" s="242">
        <f>COUNTIF($D$11:$M$11,"Cà Mau")</f>
        <v>0</v>
      </c>
      <c r="E513" s="688"/>
      <c r="F513" s="244"/>
      <c r="G513" s="688"/>
      <c r="H513" s="688"/>
      <c r="I513" s="239"/>
      <c r="J513" s="239"/>
      <c r="K513" s="688"/>
      <c r="L513" s="7"/>
      <c r="M513" s="7"/>
      <c r="N513" s="7"/>
      <c r="O513" s="7"/>
      <c r="P513" s="7"/>
      <c r="Q513" s="7"/>
      <c r="R513" s="708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686"/>
      <c r="B514" s="687"/>
      <c r="C514" s="243" t="s">
        <v>1125</v>
      </c>
      <c r="D514" s="242">
        <f>COUNTIF($D$11:$M$11,"Kiên Giang")</f>
        <v>0</v>
      </c>
      <c r="E514" s="688"/>
      <c r="F514" s="244"/>
      <c r="G514" s="688"/>
      <c r="H514" s="688"/>
      <c r="I514" s="239"/>
      <c r="J514" s="239"/>
      <c r="K514" s="688"/>
      <c r="L514" s="7"/>
      <c r="M514" s="7"/>
      <c r="N514" s="7"/>
      <c r="O514" s="7"/>
      <c r="P514" s="7"/>
      <c r="Q514" s="7"/>
      <c r="R514" s="708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686"/>
      <c r="B515" s="687"/>
      <c r="C515" s="243" t="s">
        <v>1126</v>
      </c>
      <c r="D515" s="242">
        <f>COUNTIF($D$11:$M$11,"Đồng Tháp")</f>
        <v>0</v>
      </c>
      <c r="E515" s="688"/>
      <c r="F515" s="244"/>
      <c r="G515" s="688"/>
      <c r="H515" s="688"/>
      <c r="I515" s="239"/>
      <c r="J515" s="239"/>
      <c r="K515" s="688"/>
      <c r="L515" s="7"/>
      <c r="M515" s="7"/>
      <c r="N515" s="7"/>
      <c r="O515" s="7"/>
      <c r="P515" s="7"/>
      <c r="Q515" s="7"/>
      <c r="R515" s="708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686"/>
      <c r="B516" s="687"/>
      <c r="C516" s="243" t="s">
        <v>1127</v>
      </c>
      <c r="D516" s="242">
        <f>COUNTIF($D$11:$M$11,"Trà Vinh")</f>
        <v>0</v>
      </c>
      <c r="E516" s="688"/>
      <c r="F516" s="244"/>
      <c r="G516" s="688"/>
      <c r="H516" s="688"/>
      <c r="I516" s="239"/>
      <c r="J516" s="239"/>
      <c r="K516" s="688"/>
      <c r="L516" s="7"/>
      <c r="M516" s="7"/>
      <c r="N516" s="7"/>
      <c r="O516" s="7"/>
      <c r="P516" s="7"/>
      <c r="Q516" s="7"/>
      <c r="R516" s="708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686"/>
      <c r="B517" s="687"/>
      <c r="C517" s="243" t="s">
        <v>1128</v>
      </c>
      <c r="D517" s="242">
        <f>COUNTIF($D$11:$M$11,"Tiền Giang")</f>
        <v>0</v>
      </c>
      <c r="E517" s="688"/>
      <c r="F517" s="244"/>
      <c r="G517" s="688"/>
      <c r="H517" s="688"/>
      <c r="I517" s="239"/>
      <c r="J517" s="239"/>
      <c r="K517" s="688"/>
      <c r="L517" s="7"/>
      <c r="M517" s="7"/>
      <c r="N517" s="7"/>
      <c r="O517" s="7"/>
      <c r="P517" s="7"/>
      <c r="Q517" s="7"/>
      <c r="R517" s="708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686"/>
      <c r="B518" s="687"/>
      <c r="C518" s="243" t="s">
        <v>1129</v>
      </c>
      <c r="D518" s="242">
        <f>COUNTIF($D$11:$M$11,"Long An")</f>
        <v>0</v>
      </c>
      <c r="E518" s="688"/>
      <c r="F518" s="244"/>
      <c r="G518" s="688"/>
      <c r="H518" s="688"/>
      <c r="I518" s="239"/>
      <c r="J518" s="239"/>
      <c r="K518" s="688"/>
      <c r="L518" s="7"/>
      <c r="M518" s="7"/>
      <c r="N518" s="7"/>
      <c r="O518" s="7"/>
      <c r="P518" s="7"/>
      <c r="Q518" s="7"/>
      <c r="R518" s="708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686"/>
      <c r="B519" s="687"/>
      <c r="C519" s="243" t="s">
        <v>1130</v>
      </c>
      <c r="D519" s="242">
        <f>COUNTIF($D$11:$M$11,"Đồng Nai")</f>
        <v>0</v>
      </c>
      <c r="E519" s="688"/>
      <c r="F519" s="244"/>
      <c r="G519" s="688"/>
      <c r="H519" s="688"/>
      <c r="I519" s="239"/>
      <c r="J519" s="239"/>
      <c r="K519" s="688"/>
      <c r="L519" s="7"/>
      <c r="M519" s="7"/>
      <c r="N519" s="7"/>
      <c r="O519" s="7"/>
      <c r="P519" s="7"/>
      <c r="Q519" s="7"/>
      <c r="R519" s="708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686"/>
      <c r="B520" s="687"/>
      <c r="C520" s="243" t="s">
        <v>1131</v>
      </c>
      <c r="D520" s="242">
        <f>COUNTIF($D$11:$M$11,"TP Hồ Chí Minh")</f>
        <v>0</v>
      </c>
      <c r="E520" s="688"/>
      <c r="F520" s="244"/>
      <c r="G520" s="688"/>
      <c r="H520" s="688"/>
      <c r="I520" s="239"/>
      <c r="J520" s="239"/>
      <c r="K520" s="688"/>
      <c r="L520" s="7"/>
      <c r="M520" s="7"/>
      <c r="N520" s="7"/>
      <c r="O520" s="7"/>
      <c r="P520" s="7"/>
      <c r="Q520" s="7"/>
      <c r="R520" s="708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686"/>
      <c r="B521" s="687"/>
      <c r="C521" s="243"/>
      <c r="D521" s="244"/>
      <c r="E521" s="688"/>
      <c r="F521" s="244"/>
      <c r="G521" s="688"/>
      <c r="H521" s="688"/>
      <c r="I521" s="239"/>
      <c r="J521" s="239"/>
      <c r="K521" s="688"/>
      <c r="L521" s="7"/>
      <c r="M521" s="7"/>
      <c r="N521" s="7"/>
      <c r="O521" s="7"/>
      <c r="P521" s="7"/>
      <c r="Q521" s="7"/>
      <c r="R521" s="708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686"/>
      <c r="B522" s="687"/>
      <c r="C522" s="243"/>
      <c r="D522" s="245">
        <f>SUM(D458:D520)</f>
        <v>6</v>
      </c>
      <c r="E522" s="688"/>
      <c r="F522" s="244"/>
      <c r="G522" s="688"/>
      <c r="H522" s="688"/>
      <c r="I522" s="239"/>
      <c r="J522" s="239"/>
      <c r="K522" s="688"/>
      <c r="L522" s="7"/>
      <c r="M522" s="7"/>
      <c r="N522" s="7"/>
      <c r="O522" s="7"/>
      <c r="P522" s="7"/>
      <c r="Q522" s="7"/>
      <c r="R522" s="708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686"/>
      <c r="B523" s="687"/>
      <c r="C523" s="243"/>
      <c r="D523" s="244"/>
      <c r="E523" s="688"/>
      <c r="F523" s="244"/>
      <c r="G523" s="688"/>
      <c r="H523" s="688"/>
      <c r="I523" s="239"/>
      <c r="J523" s="239"/>
      <c r="K523" s="688"/>
      <c r="L523" s="7"/>
      <c r="M523" s="7"/>
      <c r="N523" s="7"/>
      <c r="O523" s="7"/>
      <c r="P523" s="7"/>
      <c r="Q523" s="7"/>
      <c r="R523" s="708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686"/>
      <c r="B524" s="687"/>
      <c r="C524" s="243"/>
      <c r="D524" s="244"/>
      <c r="E524" s="688"/>
      <c r="F524" s="244"/>
      <c r="G524" s="688"/>
      <c r="H524" s="688"/>
      <c r="I524" s="239"/>
      <c r="J524" s="239"/>
      <c r="K524" s="688"/>
      <c r="L524" s="7"/>
      <c r="M524" s="7"/>
      <c r="N524" s="7"/>
      <c r="O524" s="7"/>
      <c r="P524" s="7"/>
      <c r="Q524" s="7"/>
      <c r="R524" s="708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686"/>
      <c r="B525" s="687"/>
      <c r="C525" s="243"/>
      <c r="D525" s="244"/>
      <c r="E525" s="688"/>
      <c r="F525" s="244"/>
      <c r="G525" s="688"/>
      <c r="H525" s="688"/>
      <c r="I525" s="239"/>
      <c r="J525" s="239"/>
      <c r="K525" s="688"/>
      <c r="L525" s="7"/>
      <c r="M525" s="7"/>
      <c r="N525" s="7"/>
      <c r="O525" s="7"/>
      <c r="P525" s="7"/>
      <c r="Q525" s="7"/>
      <c r="R525" s="708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686"/>
      <c r="B526" s="687"/>
      <c r="C526" s="243"/>
      <c r="D526" s="244"/>
      <c r="E526" s="688"/>
      <c r="F526" s="244"/>
      <c r="G526" s="688"/>
      <c r="H526" s="688"/>
      <c r="I526" s="239"/>
      <c r="J526" s="239"/>
      <c r="K526" s="688"/>
      <c r="L526" s="7"/>
      <c r="M526" s="7"/>
      <c r="N526" s="7"/>
      <c r="O526" s="7"/>
      <c r="P526" s="7"/>
      <c r="Q526" s="7"/>
      <c r="R526" s="708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686"/>
      <c r="B527" s="687"/>
      <c r="C527" s="243"/>
      <c r="D527" s="244"/>
      <c r="E527" s="688"/>
      <c r="F527" s="244"/>
      <c r="G527" s="688"/>
      <c r="H527" s="688"/>
      <c r="I527" s="239"/>
      <c r="J527" s="239"/>
      <c r="K527" s="688"/>
      <c r="L527" s="7"/>
      <c r="M527" s="7"/>
      <c r="N527" s="7"/>
      <c r="O527" s="7"/>
      <c r="P527" s="7"/>
      <c r="Q527" s="7"/>
      <c r="R527" s="708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686"/>
      <c r="B528" s="687"/>
      <c r="C528" s="243"/>
      <c r="D528" s="244"/>
      <c r="E528" s="688"/>
      <c r="F528" s="244"/>
      <c r="G528" s="688"/>
      <c r="H528" s="688"/>
      <c r="I528" s="239"/>
      <c r="J528" s="239"/>
      <c r="K528" s="688"/>
      <c r="L528" s="7"/>
      <c r="M528" s="7"/>
      <c r="N528" s="7"/>
      <c r="O528" s="7"/>
      <c r="P528" s="7"/>
      <c r="Q528" s="7"/>
      <c r="R528" s="708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686"/>
      <c r="B529" s="687"/>
      <c r="C529" s="243"/>
      <c r="D529" s="244"/>
      <c r="E529" s="688"/>
      <c r="F529" s="244"/>
      <c r="G529" s="688"/>
      <c r="H529" s="688"/>
      <c r="I529" s="239"/>
      <c r="J529" s="239"/>
      <c r="K529" s="688"/>
      <c r="L529" s="7"/>
      <c r="M529" s="7"/>
      <c r="N529" s="7"/>
      <c r="O529" s="7"/>
      <c r="P529" s="7"/>
      <c r="Q529" s="7"/>
      <c r="R529" s="708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686"/>
      <c r="B530" s="687"/>
      <c r="C530" s="243"/>
      <c r="D530" s="244"/>
      <c r="E530" s="688"/>
      <c r="F530" s="244"/>
      <c r="G530" s="688"/>
      <c r="H530" s="688"/>
      <c r="I530" s="239"/>
      <c r="J530" s="239"/>
      <c r="K530" s="688"/>
      <c r="L530" s="7"/>
      <c r="M530" s="7"/>
      <c r="N530" s="7"/>
      <c r="O530" s="7"/>
      <c r="P530" s="7"/>
      <c r="Q530" s="7"/>
      <c r="R530" s="708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686"/>
      <c r="B531" s="687"/>
      <c r="C531" s="243"/>
      <c r="D531" s="244"/>
      <c r="E531" s="688"/>
      <c r="F531" s="244"/>
      <c r="G531" s="688"/>
      <c r="H531" s="688"/>
      <c r="I531" s="239"/>
      <c r="J531" s="239"/>
      <c r="K531" s="688"/>
      <c r="L531" s="7"/>
      <c r="M531" s="7"/>
      <c r="N531" s="7"/>
      <c r="O531" s="7"/>
      <c r="P531" s="7"/>
      <c r="Q531" s="7"/>
      <c r="R531" s="708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686"/>
      <c r="B532" s="687"/>
      <c r="C532" s="243"/>
      <c r="D532" s="244"/>
      <c r="E532" s="688"/>
      <c r="F532" s="244"/>
      <c r="G532" s="688"/>
      <c r="H532" s="688"/>
      <c r="I532" s="239"/>
      <c r="J532" s="239"/>
      <c r="K532" s="688"/>
      <c r="L532" s="7"/>
      <c r="M532" s="7"/>
      <c r="N532" s="7"/>
      <c r="O532" s="7"/>
      <c r="P532" s="7"/>
      <c r="Q532" s="7"/>
      <c r="R532" s="708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686"/>
      <c r="B533" s="687"/>
      <c r="C533" s="243"/>
      <c r="D533" s="244"/>
      <c r="E533" s="688"/>
      <c r="F533" s="244"/>
      <c r="G533" s="688"/>
      <c r="H533" s="688"/>
      <c r="I533" s="239"/>
      <c r="J533" s="239"/>
      <c r="K533" s="688"/>
      <c r="L533" s="7"/>
      <c r="M533" s="7"/>
      <c r="N533" s="7"/>
      <c r="O533" s="7"/>
      <c r="P533" s="7"/>
      <c r="Q533" s="7"/>
      <c r="R533" s="708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686"/>
      <c r="B534" s="687"/>
      <c r="C534" s="243"/>
      <c r="D534" s="244"/>
      <c r="E534" s="688"/>
      <c r="F534" s="244"/>
      <c r="G534" s="688"/>
      <c r="H534" s="688"/>
      <c r="I534" s="239"/>
      <c r="J534" s="239"/>
      <c r="K534" s="688"/>
      <c r="L534" s="7"/>
      <c r="M534" s="7"/>
      <c r="N534" s="7"/>
      <c r="O534" s="7"/>
      <c r="P534" s="7"/>
      <c r="Q534" s="7"/>
      <c r="R534" s="708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686"/>
      <c r="B535" s="687"/>
      <c r="C535" s="243"/>
      <c r="D535" s="244"/>
      <c r="E535" s="688"/>
      <c r="F535" s="244"/>
      <c r="G535" s="688"/>
      <c r="H535" s="688"/>
      <c r="I535" s="239"/>
      <c r="J535" s="239"/>
      <c r="K535" s="688"/>
      <c r="L535" s="7"/>
      <c r="M535" s="7"/>
      <c r="N535" s="7"/>
      <c r="O535" s="7"/>
      <c r="P535" s="7"/>
      <c r="Q535" s="7"/>
      <c r="R535" s="708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686"/>
      <c r="B536" s="687"/>
      <c r="C536" s="243"/>
      <c r="D536" s="244"/>
      <c r="E536" s="688"/>
      <c r="F536" s="244"/>
      <c r="G536" s="688"/>
      <c r="H536" s="688"/>
      <c r="I536" s="239"/>
      <c r="J536" s="239"/>
      <c r="K536" s="688"/>
      <c r="L536" s="7"/>
      <c r="M536" s="7"/>
      <c r="N536" s="7"/>
      <c r="O536" s="7"/>
      <c r="P536" s="7"/>
      <c r="Q536" s="7"/>
      <c r="R536" s="708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686"/>
      <c r="B537" s="687"/>
      <c r="C537" s="243"/>
      <c r="D537" s="244"/>
      <c r="E537" s="688"/>
      <c r="F537" s="244"/>
      <c r="G537" s="688"/>
      <c r="H537" s="688"/>
      <c r="I537" s="239"/>
      <c r="J537" s="239"/>
      <c r="K537" s="688"/>
      <c r="L537" s="7"/>
      <c r="M537" s="7"/>
      <c r="N537" s="7"/>
      <c r="O537" s="7"/>
      <c r="P537" s="7"/>
      <c r="Q537" s="7"/>
      <c r="R537" s="708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686"/>
      <c r="B538" s="687"/>
      <c r="C538" s="243"/>
      <c r="D538" s="244"/>
      <c r="E538" s="688"/>
      <c r="F538" s="244"/>
      <c r="G538" s="688"/>
      <c r="H538" s="688"/>
      <c r="I538" s="239"/>
      <c r="J538" s="239"/>
      <c r="K538" s="688"/>
      <c r="L538" s="7"/>
      <c r="M538" s="7"/>
      <c r="N538" s="7"/>
      <c r="O538" s="7"/>
      <c r="P538" s="7"/>
      <c r="Q538" s="7"/>
      <c r="R538" s="708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686"/>
      <c r="B539" s="687"/>
      <c r="C539" s="243"/>
      <c r="D539" s="244"/>
      <c r="E539" s="688"/>
      <c r="F539" s="244"/>
      <c r="G539" s="688"/>
      <c r="H539" s="688"/>
      <c r="I539" s="239"/>
      <c r="J539" s="239"/>
      <c r="K539" s="688"/>
      <c r="L539" s="7"/>
      <c r="M539" s="7"/>
      <c r="N539" s="7"/>
      <c r="O539" s="7"/>
      <c r="P539" s="7"/>
      <c r="Q539" s="7"/>
      <c r="R539" s="708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686"/>
      <c r="B540" s="687"/>
      <c r="C540" s="243"/>
      <c r="D540" s="244"/>
      <c r="E540" s="688"/>
      <c r="F540" s="244"/>
      <c r="G540" s="688"/>
      <c r="H540" s="688"/>
      <c r="I540" s="239"/>
      <c r="J540" s="239"/>
      <c r="K540" s="688"/>
      <c r="L540" s="7"/>
      <c r="M540" s="7"/>
      <c r="N540" s="7"/>
      <c r="O540" s="7"/>
      <c r="P540" s="7"/>
      <c r="Q540" s="7"/>
      <c r="R540" s="708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686"/>
      <c r="B541" s="687"/>
      <c r="C541" s="243"/>
      <c r="D541" s="244"/>
      <c r="E541" s="688"/>
      <c r="F541" s="244"/>
      <c r="G541" s="688"/>
      <c r="H541" s="688"/>
      <c r="I541" s="239"/>
      <c r="J541" s="239"/>
      <c r="K541" s="688"/>
      <c r="L541" s="7"/>
      <c r="M541" s="7"/>
      <c r="N541" s="7"/>
      <c r="O541" s="7"/>
      <c r="P541" s="7"/>
      <c r="Q541" s="7"/>
      <c r="R541" s="708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686"/>
      <c r="B542" s="687"/>
      <c r="C542" s="243"/>
      <c r="D542" s="244"/>
      <c r="E542" s="688"/>
      <c r="F542" s="244"/>
      <c r="G542" s="688"/>
      <c r="H542" s="688"/>
      <c r="I542" s="239"/>
      <c r="J542" s="239"/>
      <c r="K542" s="688"/>
      <c r="L542" s="7"/>
      <c r="M542" s="7"/>
      <c r="N542" s="7"/>
      <c r="O542" s="7"/>
      <c r="P542" s="7"/>
      <c r="Q542" s="7"/>
      <c r="R542" s="708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686"/>
      <c r="B543" s="687"/>
      <c r="C543" s="243"/>
      <c r="D543" s="244"/>
      <c r="E543" s="688"/>
      <c r="F543" s="244"/>
      <c r="G543" s="688"/>
      <c r="H543" s="688"/>
      <c r="I543" s="239"/>
      <c r="J543" s="239"/>
      <c r="K543" s="688"/>
      <c r="L543" s="7"/>
      <c r="M543" s="7"/>
      <c r="N543" s="7"/>
      <c r="O543" s="7"/>
      <c r="P543" s="7"/>
      <c r="Q543" s="7"/>
      <c r="R543" s="708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686"/>
      <c r="B544" s="687"/>
      <c r="C544" s="243"/>
      <c r="D544" s="244"/>
      <c r="E544" s="688"/>
      <c r="F544" s="244"/>
      <c r="G544" s="688"/>
      <c r="H544" s="688"/>
      <c r="I544" s="239"/>
      <c r="J544" s="239"/>
      <c r="K544" s="688"/>
      <c r="L544" s="7"/>
      <c r="M544" s="7"/>
      <c r="N544" s="7"/>
      <c r="O544" s="7"/>
      <c r="P544" s="7"/>
      <c r="Q544" s="7"/>
      <c r="R544" s="708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686"/>
      <c r="B545" s="687"/>
      <c r="C545" s="243"/>
      <c r="D545" s="244"/>
      <c r="E545" s="688"/>
      <c r="F545" s="244"/>
      <c r="G545" s="688"/>
      <c r="H545" s="688"/>
      <c r="I545" s="239"/>
      <c r="J545" s="239"/>
      <c r="K545" s="688"/>
      <c r="L545" s="7"/>
      <c r="M545" s="7"/>
      <c r="N545" s="7"/>
      <c r="O545" s="7"/>
      <c r="P545" s="7"/>
      <c r="Q545" s="7"/>
      <c r="R545" s="708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686"/>
      <c r="B546" s="687"/>
      <c r="C546" s="243"/>
      <c r="D546" s="244"/>
      <c r="E546" s="688"/>
      <c r="F546" s="244"/>
      <c r="G546" s="688"/>
      <c r="H546" s="688"/>
      <c r="I546" s="239"/>
      <c r="J546" s="239"/>
      <c r="K546" s="688"/>
      <c r="L546" s="7"/>
      <c r="M546" s="7"/>
      <c r="N546" s="7"/>
      <c r="O546" s="7"/>
      <c r="P546" s="7"/>
      <c r="Q546" s="7"/>
      <c r="R546" s="708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686"/>
      <c r="B547" s="687"/>
      <c r="C547" s="243"/>
      <c r="D547" s="244"/>
      <c r="E547" s="688"/>
      <c r="F547" s="244"/>
      <c r="G547" s="688"/>
      <c r="H547" s="688"/>
      <c r="I547" s="239"/>
      <c r="J547" s="239"/>
      <c r="K547" s="688"/>
      <c r="L547" s="7"/>
      <c r="M547" s="7"/>
      <c r="N547" s="7"/>
      <c r="O547" s="7"/>
      <c r="P547" s="7"/>
      <c r="Q547" s="7"/>
      <c r="R547" s="708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686"/>
      <c r="B548" s="687"/>
      <c r="C548" s="243"/>
      <c r="D548" s="244"/>
      <c r="E548" s="688"/>
      <c r="F548" s="244"/>
      <c r="G548" s="688"/>
      <c r="H548" s="688"/>
      <c r="I548" s="239"/>
      <c r="J548" s="239"/>
      <c r="K548" s="688"/>
      <c r="L548" s="7"/>
      <c r="M548" s="7"/>
      <c r="N548" s="7"/>
      <c r="O548" s="7"/>
      <c r="P548" s="7"/>
      <c r="Q548" s="7"/>
      <c r="R548" s="708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686"/>
      <c r="B549" s="687"/>
      <c r="C549" s="243"/>
      <c r="D549" s="244"/>
      <c r="E549" s="688"/>
      <c r="F549" s="244"/>
      <c r="G549" s="688"/>
      <c r="H549" s="688"/>
      <c r="I549" s="239"/>
      <c r="J549" s="239"/>
      <c r="K549" s="688"/>
      <c r="L549" s="7"/>
      <c r="M549" s="7"/>
      <c r="N549" s="7"/>
      <c r="O549" s="7"/>
      <c r="P549" s="7"/>
      <c r="Q549" s="7"/>
      <c r="R549" s="708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686"/>
      <c r="B550" s="687"/>
      <c r="C550" s="243"/>
      <c r="D550" s="244"/>
      <c r="E550" s="688"/>
      <c r="F550" s="244"/>
      <c r="G550" s="688"/>
      <c r="H550" s="688"/>
      <c r="I550" s="239"/>
      <c r="J550" s="239"/>
      <c r="K550" s="688"/>
      <c r="L550" s="7"/>
      <c r="M550" s="7"/>
      <c r="N550" s="7"/>
      <c r="O550" s="7"/>
      <c r="P550" s="7"/>
      <c r="Q550" s="7"/>
      <c r="R550" s="708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686"/>
      <c r="B551" s="687"/>
      <c r="C551" s="243"/>
      <c r="D551" s="244"/>
      <c r="E551" s="688"/>
      <c r="F551" s="244"/>
      <c r="G551" s="688"/>
      <c r="H551" s="688"/>
      <c r="I551" s="239"/>
      <c r="J551" s="239"/>
      <c r="K551" s="688"/>
      <c r="L551" s="7"/>
      <c r="M551" s="7"/>
      <c r="N551" s="7"/>
      <c r="O551" s="7"/>
      <c r="P551" s="7"/>
      <c r="Q551" s="7"/>
      <c r="R551" s="708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686"/>
      <c r="B552" s="687"/>
      <c r="C552" s="243"/>
      <c r="D552" s="244"/>
      <c r="E552" s="688"/>
      <c r="F552" s="244"/>
      <c r="G552" s="688"/>
      <c r="H552" s="688"/>
      <c r="I552" s="239"/>
      <c r="J552" s="239"/>
      <c r="K552" s="688"/>
      <c r="L552" s="7"/>
      <c r="M552" s="7"/>
      <c r="N552" s="7"/>
      <c r="O552" s="7"/>
      <c r="P552" s="7"/>
      <c r="Q552" s="7"/>
      <c r="R552" s="708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686"/>
      <c r="B553" s="687"/>
      <c r="C553" s="243"/>
      <c r="D553" s="244"/>
      <c r="E553" s="688"/>
      <c r="F553" s="244"/>
      <c r="G553" s="688"/>
      <c r="H553" s="688"/>
      <c r="I553" s="239"/>
      <c r="J553" s="239"/>
      <c r="K553" s="688"/>
      <c r="L553" s="7"/>
      <c r="M553" s="7"/>
      <c r="N553" s="7"/>
      <c r="O553" s="7"/>
      <c r="P553" s="7"/>
      <c r="Q553" s="7"/>
      <c r="R553" s="708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686"/>
      <c r="B554" s="687"/>
      <c r="C554" s="243"/>
      <c r="D554" s="244"/>
      <c r="E554" s="688"/>
      <c r="F554" s="244"/>
      <c r="G554" s="688"/>
      <c r="H554" s="688"/>
      <c r="I554" s="239"/>
      <c r="J554" s="239"/>
      <c r="K554" s="688"/>
      <c r="L554" s="7"/>
      <c r="M554" s="7"/>
      <c r="N554" s="7"/>
      <c r="O554" s="7"/>
      <c r="P554" s="7"/>
      <c r="Q554" s="7"/>
      <c r="R554" s="708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686"/>
      <c r="B555" s="687"/>
      <c r="C555" s="243"/>
      <c r="D555" s="244"/>
      <c r="E555" s="688"/>
      <c r="F555" s="244"/>
      <c r="G555" s="688"/>
      <c r="H555" s="688"/>
      <c r="I555" s="239"/>
      <c r="J555" s="239"/>
      <c r="K555" s="688"/>
      <c r="L555" s="7"/>
      <c r="M555" s="7"/>
      <c r="N555" s="7"/>
      <c r="O555" s="7"/>
      <c r="P555" s="7"/>
      <c r="Q555" s="7"/>
      <c r="R555" s="708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686"/>
      <c r="B556" s="687"/>
      <c r="C556" s="243"/>
      <c r="D556" s="244"/>
      <c r="E556" s="688"/>
      <c r="F556" s="244"/>
      <c r="G556" s="688"/>
      <c r="H556" s="688"/>
      <c r="I556" s="239"/>
      <c r="J556" s="239"/>
      <c r="K556" s="688"/>
      <c r="L556" s="7"/>
      <c r="M556" s="7"/>
      <c r="N556" s="7"/>
      <c r="O556" s="7"/>
      <c r="P556" s="7"/>
      <c r="Q556" s="7"/>
      <c r="R556" s="708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686"/>
      <c r="B557" s="687"/>
      <c r="C557" s="243"/>
      <c r="D557" s="244"/>
      <c r="E557" s="688"/>
      <c r="F557" s="244"/>
      <c r="G557" s="688"/>
      <c r="H557" s="688"/>
      <c r="I557" s="239"/>
      <c r="J557" s="239"/>
      <c r="K557" s="688"/>
      <c r="L557" s="7"/>
      <c r="M557" s="7"/>
      <c r="N557" s="7"/>
      <c r="O557" s="7"/>
      <c r="P557" s="7"/>
      <c r="Q557" s="7"/>
      <c r="R557" s="708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686"/>
      <c r="B558" s="687"/>
      <c r="C558" s="243"/>
      <c r="D558" s="244"/>
      <c r="E558" s="688"/>
      <c r="F558" s="244"/>
      <c r="G558" s="688"/>
      <c r="H558" s="688"/>
      <c r="I558" s="239"/>
      <c r="J558" s="239"/>
      <c r="K558" s="688"/>
      <c r="L558" s="7"/>
      <c r="M558" s="7"/>
      <c r="N558" s="7"/>
      <c r="O558" s="7"/>
      <c r="P558" s="7"/>
      <c r="Q558" s="7"/>
      <c r="R558" s="708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686"/>
      <c r="B559" s="687"/>
      <c r="C559" s="243"/>
      <c r="D559" s="244"/>
      <c r="E559" s="688"/>
      <c r="F559" s="244"/>
      <c r="G559" s="688"/>
      <c r="H559" s="688"/>
      <c r="I559" s="239"/>
      <c r="J559" s="239"/>
      <c r="K559" s="688"/>
      <c r="L559" s="7"/>
      <c r="M559" s="7"/>
      <c r="N559" s="7"/>
      <c r="O559" s="7"/>
      <c r="P559" s="7"/>
      <c r="Q559" s="7"/>
      <c r="R559" s="708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686"/>
      <c r="B560" s="687"/>
      <c r="C560" s="243"/>
      <c r="D560" s="244"/>
      <c r="E560" s="688"/>
      <c r="F560" s="244"/>
      <c r="G560" s="688"/>
      <c r="H560" s="688"/>
      <c r="I560" s="239"/>
      <c r="J560" s="239"/>
      <c r="K560" s="688"/>
      <c r="L560" s="7"/>
      <c r="M560" s="7"/>
      <c r="N560" s="7"/>
      <c r="O560" s="7"/>
      <c r="P560" s="7"/>
      <c r="Q560" s="7"/>
      <c r="R560" s="708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686"/>
      <c r="B561" s="687"/>
      <c r="C561" s="243"/>
      <c r="D561" s="244"/>
      <c r="E561" s="688"/>
      <c r="F561" s="244"/>
      <c r="G561" s="688"/>
      <c r="H561" s="688"/>
      <c r="I561" s="239"/>
      <c r="J561" s="239"/>
      <c r="K561" s="688"/>
      <c r="L561" s="7"/>
      <c r="M561" s="7"/>
      <c r="N561" s="7"/>
      <c r="O561" s="7"/>
      <c r="P561" s="7"/>
      <c r="Q561" s="7"/>
      <c r="R561" s="708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686"/>
      <c r="B562" s="687"/>
      <c r="C562" s="243"/>
      <c r="D562" s="244"/>
      <c r="E562" s="688"/>
      <c r="F562" s="244"/>
      <c r="G562" s="688"/>
      <c r="H562" s="688"/>
      <c r="I562" s="239"/>
      <c r="J562" s="239"/>
      <c r="K562" s="688"/>
      <c r="L562" s="7"/>
      <c r="M562" s="7"/>
      <c r="N562" s="7"/>
      <c r="O562" s="7"/>
      <c r="P562" s="7"/>
      <c r="Q562" s="7"/>
      <c r="R562" s="708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686"/>
      <c r="B563" s="687"/>
      <c r="C563" s="243"/>
      <c r="D563" s="244"/>
      <c r="E563" s="688"/>
      <c r="F563" s="244"/>
      <c r="G563" s="688"/>
      <c r="H563" s="688"/>
      <c r="I563" s="239"/>
      <c r="J563" s="239"/>
      <c r="K563" s="688"/>
      <c r="L563" s="7"/>
      <c r="M563" s="7"/>
      <c r="N563" s="7"/>
      <c r="O563" s="7"/>
      <c r="P563" s="7"/>
      <c r="Q563" s="7"/>
      <c r="R563" s="708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686"/>
      <c r="B564" s="687"/>
      <c r="C564" s="243"/>
      <c r="D564" s="244"/>
      <c r="E564" s="688"/>
      <c r="F564" s="244"/>
      <c r="G564" s="688"/>
      <c r="H564" s="688"/>
      <c r="I564" s="239"/>
      <c r="J564" s="239"/>
      <c r="K564" s="688"/>
      <c r="L564" s="7"/>
      <c r="M564" s="7"/>
      <c r="N564" s="7"/>
      <c r="O564" s="7"/>
      <c r="P564" s="7"/>
      <c r="Q564" s="7"/>
      <c r="R564" s="708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686"/>
      <c r="B565" s="687"/>
      <c r="C565" s="243"/>
      <c r="D565" s="244"/>
      <c r="E565" s="688"/>
      <c r="F565" s="244"/>
      <c r="G565" s="688"/>
      <c r="H565" s="688"/>
      <c r="I565" s="239"/>
      <c r="J565" s="239"/>
      <c r="K565" s="688"/>
      <c r="L565" s="7"/>
      <c r="M565" s="7"/>
      <c r="N565" s="7"/>
      <c r="O565" s="7"/>
      <c r="P565" s="7"/>
      <c r="Q565" s="7"/>
      <c r="R565" s="708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686"/>
      <c r="B566" s="687"/>
      <c r="C566" s="243"/>
      <c r="D566" s="244"/>
      <c r="E566" s="688"/>
      <c r="F566" s="244"/>
      <c r="G566" s="688"/>
      <c r="H566" s="688"/>
      <c r="I566" s="239"/>
      <c r="J566" s="239"/>
      <c r="K566" s="688"/>
      <c r="L566" s="7"/>
      <c r="M566" s="7"/>
      <c r="N566" s="7"/>
      <c r="O566" s="7"/>
      <c r="P566" s="7"/>
      <c r="Q566" s="7"/>
      <c r="R566" s="708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686"/>
      <c r="B567" s="687"/>
      <c r="C567" s="243"/>
      <c r="D567" s="244"/>
      <c r="E567" s="688"/>
      <c r="F567" s="244"/>
      <c r="G567" s="688"/>
      <c r="H567" s="688"/>
      <c r="I567" s="239"/>
      <c r="J567" s="239"/>
      <c r="K567" s="688"/>
      <c r="L567" s="7"/>
      <c r="M567" s="7"/>
      <c r="N567" s="7"/>
      <c r="O567" s="7"/>
      <c r="P567" s="7"/>
      <c r="Q567" s="7"/>
      <c r="R567" s="708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686"/>
      <c r="B568" s="687"/>
      <c r="C568" s="243"/>
      <c r="D568" s="244"/>
      <c r="E568" s="688"/>
      <c r="F568" s="244"/>
      <c r="G568" s="688"/>
      <c r="H568" s="688"/>
      <c r="I568" s="239"/>
      <c r="J568" s="239"/>
      <c r="K568" s="688"/>
      <c r="L568" s="7"/>
      <c r="M568" s="7"/>
      <c r="N568" s="7"/>
      <c r="O568" s="7"/>
      <c r="P568" s="7"/>
      <c r="Q568" s="7"/>
      <c r="R568" s="708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686"/>
      <c r="B569" s="687"/>
      <c r="C569" s="243"/>
      <c r="D569" s="244"/>
      <c r="E569" s="688"/>
      <c r="F569" s="244"/>
      <c r="G569" s="688"/>
      <c r="H569" s="688"/>
      <c r="I569" s="239"/>
      <c r="J569" s="239"/>
      <c r="K569" s="688"/>
      <c r="L569" s="7"/>
      <c r="M569" s="7"/>
      <c r="N569" s="7"/>
      <c r="O569" s="7"/>
      <c r="P569" s="7"/>
      <c r="Q569" s="7"/>
      <c r="R569" s="708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686"/>
      <c r="B570" s="687"/>
      <c r="C570" s="243"/>
      <c r="D570" s="244"/>
      <c r="E570" s="688"/>
      <c r="F570" s="244"/>
      <c r="G570" s="688"/>
      <c r="H570" s="688"/>
      <c r="I570" s="239"/>
      <c r="J570" s="239"/>
      <c r="K570" s="688"/>
      <c r="L570" s="7"/>
      <c r="M570" s="7"/>
      <c r="N570" s="7"/>
      <c r="O570" s="7"/>
      <c r="P570" s="7"/>
      <c r="Q570" s="7"/>
      <c r="R570" s="708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686"/>
      <c r="B571" s="687"/>
      <c r="C571" s="243"/>
      <c r="D571" s="244"/>
      <c r="E571" s="688"/>
      <c r="F571" s="244"/>
      <c r="G571" s="688"/>
      <c r="H571" s="688"/>
      <c r="I571" s="239"/>
      <c r="J571" s="239"/>
      <c r="K571" s="688"/>
      <c r="L571" s="7"/>
      <c r="M571" s="7"/>
      <c r="N571" s="7"/>
      <c r="O571" s="7"/>
      <c r="P571" s="7"/>
      <c r="Q571" s="7"/>
      <c r="R571" s="708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686"/>
      <c r="B572" s="687"/>
      <c r="C572" s="243"/>
      <c r="D572" s="244"/>
      <c r="E572" s="688"/>
      <c r="F572" s="244"/>
      <c r="G572" s="688"/>
      <c r="H572" s="688"/>
      <c r="I572" s="239"/>
      <c r="J572" s="239"/>
      <c r="K572" s="688"/>
      <c r="L572" s="7"/>
      <c r="M572" s="7"/>
      <c r="N572" s="7"/>
      <c r="O572" s="7"/>
      <c r="P572" s="7"/>
      <c r="Q572" s="7"/>
      <c r="R572" s="708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686"/>
      <c r="B573" s="687"/>
      <c r="C573" s="243"/>
      <c r="D573" s="244"/>
      <c r="E573" s="688"/>
      <c r="F573" s="244"/>
      <c r="G573" s="688"/>
      <c r="H573" s="688"/>
      <c r="I573" s="239"/>
      <c r="J573" s="239"/>
      <c r="K573" s="688"/>
      <c r="L573" s="7"/>
      <c r="M573" s="7"/>
      <c r="N573" s="7"/>
      <c r="O573" s="7"/>
      <c r="P573" s="7"/>
      <c r="Q573" s="7"/>
      <c r="R573" s="708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686"/>
      <c r="B574" s="687"/>
      <c r="C574" s="243"/>
      <c r="D574" s="244"/>
      <c r="E574" s="688"/>
      <c r="F574" s="244"/>
      <c r="G574" s="688"/>
      <c r="H574" s="688"/>
      <c r="I574" s="239"/>
      <c r="J574" s="239"/>
      <c r="K574" s="688"/>
      <c r="L574" s="7"/>
      <c r="M574" s="7"/>
      <c r="N574" s="7"/>
      <c r="O574" s="7"/>
      <c r="P574" s="7"/>
      <c r="Q574" s="7"/>
      <c r="R574" s="708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686"/>
      <c r="B575" s="687"/>
      <c r="C575" s="243"/>
      <c r="D575" s="244"/>
      <c r="E575" s="688"/>
      <c r="F575" s="244"/>
      <c r="G575" s="688"/>
      <c r="H575" s="688"/>
      <c r="I575" s="239"/>
      <c r="J575" s="239"/>
      <c r="K575" s="688"/>
      <c r="L575" s="7"/>
      <c r="M575" s="7"/>
      <c r="N575" s="7"/>
      <c r="O575" s="7"/>
      <c r="P575" s="7"/>
      <c r="Q575" s="7"/>
      <c r="R575" s="708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686"/>
      <c r="B576" s="687"/>
      <c r="C576" s="243"/>
      <c r="D576" s="244"/>
      <c r="E576" s="688"/>
      <c r="F576" s="244"/>
      <c r="G576" s="688"/>
      <c r="H576" s="688"/>
      <c r="I576" s="239"/>
      <c r="J576" s="239"/>
      <c r="K576" s="688"/>
      <c r="L576" s="7"/>
      <c r="M576" s="7"/>
      <c r="N576" s="7"/>
      <c r="O576" s="7"/>
      <c r="P576" s="7"/>
      <c r="Q576" s="7"/>
      <c r="R576" s="708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686"/>
      <c r="B577" s="687"/>
      <c r="C577" s="243"/>
      <c r="D577" s="244"/>
      <c r="E577" s="688"/>
      <c r="F577" s="244"/>
      <c r="G577" s="688"/>
      <c r="H577" s="688"/>
      <c r="I577" s="239"/>
      <c r="J577" s="239"/>
      <c r="K577" s="688"/>
      <c r="L577" s="7"/>
      <c r="M577" s="7"/>
      <c r="N577" s="7"/>
      <c r="O577" s="7"/>
      <c r="P577" s="7"/>
      <c r="Q577" s="7"/>
      <c r="R577" s="708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686"/>
      <c r="B578" s="687"/>
      <c r="C578" s="243"/>
      <c r="D578" s="244"/>
      <c r="E578" s="688"/>
      <c r="F578" s="244"/>
      <c r="G578" s="688"/>
      <c r="H578" s="688"/>
      <c r="I578" s="239"/>
      <c r="J578" s="239"/>
      <c r="K578" s="688"/>
      <c r="L578" s="7"/>
      <c r="M578" s="7"/>
      <c r="N578" s="7"/>
      <c r="O578" s="7"/>
      <c r="P578" s="7"/>
      <c r="Q578" s="7"/>
      <c r="R578" s="708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686"/>
      <c r="B579" s="687"/>
      <c r="C579" s="243"/>
      <c r="D579" s="244"/>
      <c r="E579" s="688"/>
      <c r="F579" s="244"/>
      <c r="G579" s="688"/>
      <c r="H579" s="688"/>
      <c r="I579" s="239"/>
      <c r="J579" s="239"/>
      <c r="K579" s="688"/>
      <c r="L579" s="7"/>
      <c r="M579" s="7"/>
      <c r="N579" s="7"/>
      <c r="O579" s="7"/>
      <c r="P579" s="7"/>
      <c r="Q579" s="7"/>
      <c r="R579" s="708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686"/>
      <c r="B580" s="687"/>
      <c r="C580" s="243"/>
      <c r="D580" s="244"/>
      <c r="E580" s="688"/>
      <c r="F580" s="244"/>
      <c r="G580" s="688"/>
      <c r="H580" s="688"/>
      <c r="I580" s="239"/>
      <c r="J580" s="239"/>
      <c r="K580" s="688"/>
      <c r="L580" s="7"/>
      <c r="M580" s="7"/>
      <c r="N580" s="7"/>
      <c r="O580" s="7"/>
      <c r="P580" s="7"/>
      <c r="Q580" s="7"/>
      <c r="R580" s="708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686"/>
      <c r="B581" s="687"/>
      <c r="C581" s="243"/>
      <c r="D581" s="244"/>
      <c r="E581" s="688"/>
      <c r="F581" s="244"/>
      <c r="G581" s="688"/>
      <c r="H581" s="688"/>
      <c r="I581" s="239"/>
      <c r="J581" s="239"/>
      <c r="K581" s="688"/>
      <c r="L581" s="7"/>
      <c r="M581" s="7"/>
      <c r="N581" s="7"/>
      <c r="O581" s="7"/>
      <c r="P581" s="7"/>
      <c r="Q581" s="7"/>
      <c r="R581" s="708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686"/>
      <c r="B582" s="687"/>
      <c r="C582" s="243"/>
      <c r="D582" s="244"/>
      <c r="E582" s="688"/>
      <c r="F582" s="244"/>
      <c r="G582" s="688"/>
      <c r="H582" s="688"/>
      <c r="I582" s="239"/>
      <c r="J582" s="239"/>
      <c r="K582" s="688"/>
      <c r="L582" s="7"/>
      <c r="M582" s="7"/>
      <c r="N582" s="7"/>
      <c r="O582" s="7"/>
      <c r="P582" s="7"/>
      <c r="Q582" s="7"/>
      <c r="R582" s="708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686"/>
      <c r="B583" s="687"/>
      <c r="C583" s="243"/>
      <c r="D583" s="244"/>
      <c r="E583" s="688"/>
      <c r="F583" s="244"/>
      <c r="G583" s="688"/>
      <c r="H583" s="688"/>
      <c r="I583" s="239"/>
      <c r="J583" s="239"/>
      <c r="K583" s="688"/>
      <c r="L583" s="7"/>
      <c r="M583" s="7"/>
      <c r="N583" s="7"/>
      <c r="O583" s="7"/>
      <c r="P583" s="7"/>
      <c r="Q583" s="7"/>
      <c r="R583" s="708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686"/>
      <c r="B584" s="687"/>
      <c r="C584" s="243"/>
      <c r="D584" s="244"/>
      <c r="E584" s="688"/>
      <c r="F584" s="244"/>
      <c r="G584" s="688"/>
      <c r="H584" s="688"/>
      <c r="I584" s="239"/>
      <c r="J584" s="239"/>
      <c r="K584" s="688"/>
      <c r="L584" s="7"/>
      <c r="M584" s="7"/>
      <c r="N584" s="7"/>
      <c r="O584" s="7"/>
      <c r="P584" s="7"/>
      <c r="Q584" s="7"/>
      <c r="R584" s="708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686"/>
      <c r="B585" s="687"/>
      <c r="C585" s="243"/>
      <c r="D585" s="244"/>
      <c r="E585" s="688"/>
      <c r="F585" s="244"/>
      <c r="G585" s="688"/>
      <c r="H585" s="688"/>
      <c r="I585" s="239"/>
      <c r="J585" s="239"/>
      <c r="K585" s="688"/>
      <c r="L585" s="7"/>
      <c r="M585" s="7"/>
      <c r="N585" s="7"/>
      <c r="O585" s="7"/>
      <c r="P585" s="7"/>
      <c r="Q585" s="7"/>
      <c r="R585" s="708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686"/>
      <c r="B586" s="687"/>
      <c r="C586" s="243"/>
      <c r="D586" s="244"/>
      <c r="E586" s="688"/>
      <c r="F586" s="244"/>
      <c r="G586" s="688"/>
      <c r="H586" s="688"/>
      <c r="I586" s="239"/>
      <c r="J586" s="239"/>
      <c r="K586" s="688"/>
      <c r="L586" s="7"/>
      <c r="M586" s="7"/>
      <c r="N586" s="7"/>
      <c r="O586" s="7"/>
      <c r="P586" s="7"/>
      <c r="Q586" s="7"/>
      <c r="R586" s="708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686"/>
      <c r="B587" s="687"/>
      <c r="C587" s="243"/>
      <c r="D587" s="244"/>
      <c r="E587" s="688"/>
      <c r="F587" s="244"/>
      <c r="G587" s="688"/>
      <c r="H587" s="688"/>
      <c r="I587" s="239"/>
      <c r="J587" s="239"/>
      <c r="K587" s="688"/>
      <c r="L587" s="7"/>
      <c r="M587" s="7"/>
      <c r="N587" s="7"/>
      <c r="O587" s="7"/>
      <c r="P587" s="7"/>
      <c r="Q587" s="7"/>
      <c r="R587" s="708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686"/>
      <c r="B588" s="687"/>
      <c r="C588" s="243"/>
      <c r="D588" s="244"/>
      <c r="E588" s="688"/>
      <c r="F588" s="244"/>
      <c r="G588" s="688"/>
      <c r="H588" s="688"/>
      <c r="I588" s="239"/>
      <c r="J588" s="239"/>
      <c r="K588" s="688"/>
      <c r="L588" s="7"/>
      <c r="M588" s="7"/>
      <c r="N588" s="7"/>
      <c r="O588" s="7"/>
      <c r="P588" s="7"/>
      <c r="Q588" s="7"/>
      <c r="R588" s="708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686"/>
      <c r="B589" s="687"/>
      <c r="C589" s="243"/>
      <c r="D589" s="244"/>
      <c r="E589" s="688"/>
      <c r="F589" s="244"/>
      <c r="G589" s="688"/>
      <c r="H589" s="688"/>
      <c r="I589" s="239"/>
      <c r="J589" s="239"/>
      <c r="K589" s="688"/>
      <c r="L589" s="7"/>
      <c r="M589" s="7"/>
      <c r="N589" s="7"/>
      <c r="O589" s="7"/>
      <c r="P589" s="7"/>
      <c r="Q589" s="7"/>
      <c r="R589" s="708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686"/>
      <c r="B590" s="687"/>
      <c r="C590" s="243"/>
      <c r="D590" s="244"/>
      <c r="E590" s="688"/>
      <c r="F590" s="244"/>
      <c r="G590" s="688"/>
      <c r="H590" s="688"/>
      <c r="I590" s="239"/>
      <c r="J590" s="239"/>
      <c r="K590" s="688"/>
      <c r="L590" s="7"/>
      <c r="M590" s="7"/>
      <c r="N590" s="7"/>
      <c r="O590" s="7"/>
      <c r="P590" s="7"/>
      <c r="Q590" s="7"/>
      <c r="R590" s="708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686"/>
      <c r="B591" s="687"/>
      <c r="C591" s="243"/>
      <c r="D591" s="244"/>
      <c r="E591" s="688"/>
      <c r="F591" s="244"/>
      <c r="G591" s="688"/>
      <c r="H591" s="688"/>
      <c r="I591" s="239"/>
      <c r="J591" s="239"/>
      <c r="K591" s="688"/>
      <c r="L591" s="7"/>
      <c r="M591" s="7"/>
      <c r="N591" s="7"/>
      <c r="O591" s="7"/>
      <c r="P591" s="7"/>
      <c r="Q591" s="7"/>
      <c r="R591" s="708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686"/>
      <c r="B592" s="687"/>
      <c r="C592" s="243"/>
      <c r="D592" s="244"/>
      <c r="E592" s="688"/>
      <c r="F592" s="244"/>
      <c r="G592" s="688"/>
      <c r="H592" s="688"/>
      <c r="I592" s="239"/>
      <c r="J592" s="239"/>
      <c r="K592" s="688"/>
      <c r="L592" s="7"/>
      <c r="M592" s="7"/>
      <c r="N592" s="7"/>
      <c r="O592" s="7"/>
      <c r="P592" s="7"/>
      <c r="Q592" s="7"/>
      <c r="R592" s="708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686"/>
      <c r="B593" s="687"/>
      <c r="C593" s="243"/>
      <c r="D593" s="244"/>
      <c r="E593" s="688"/>
      <c r="F593" s="244"/>
      <c r="G593" s="688"/>
      <c r="H593" s="688"/>
      <c r="I593" s="239"/>
      <c r="J593" s="239"/>
      <c r="K593" s="688"/>
      <c r="L593" s="7"/>
      <c r="M593" s="7"/>
      <c r="N593" s="7"/>
      <c r="O593" s="7"/>
      <c r="P593" s="7"/>
      <c r="Q593" s="7"/>
      <c r="R593" s="708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686"/>
      <c r="B594" s="687"/>
      <c r="C594" s="243"/>
      <c r="D594" s="244"/>
      <c r="E594" s="688"/>
      <c r="F594" s="244"/>
      <c r="G594" s="688"/>
      <c r="H594" s="688"/>
      <c r="I594" s="239"/>
      <c r="J594" s="239"/>
      <c r="K594" s="688"/>
      <c r="L594" s="7"/>
      <c r="M594" s="7"/>
      <c r="N594" s="7"/>
      <c r="O594" s="7"/>
      <c r="P594" s="7"/>
      <c r="Q594" s="7"/>
      <c r="R594" s="708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686"/>
      <c r="B595" s="687"/>
      <c r="C595" s="243"/>
      <c r="D595" s="244"/>
      <c r="E595" s="688"/>
      <c r="F595" s="244"/>
      <c r="G595" s="688"/>
      <c r="H595" s="688"/>
      <c r="I595" s="239"/>
      <c r="J595" s="239"/>
      <c r="K595" s="688"/>
      <c r="L595" s="7"/>
      <c r="M595" s="7"/>
      <c r="N595" s="7"/>
      <c r="O595" s="7"/>
      <c r="P595" s="7"/>
      <c r="Q595" s="7"/>
      <c r="R595" s="708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686"/>
      <c r="B596" s="687"/>
      <c r="C596" s="243"/>
      <c r="D596" s="244"/>
      <c r="E596" s="688"/>
      <c r="F596" s="244"/>
      <c r="G596" s="688"/>
      <c r="H596" s="688"/>
      <c r="I596" s="239"/>
      <c r="J596" s="239"/>
      <c r="K596" s="688"/>
      <c r="L596" s="7"/>
      <c r="M596" s="7"/>
      <c r="N596" s="7"/>
      <c r="O596" s="7"/>
      <c r="P596" s="7"/>
      <c r="Q596" s="7"/>
      <c r="R596" s="708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686"/>
      <c r="B597" s="687"/>
      <c r="C597" s="243"/>
      <c r="D597" s="244"/>
      <c r="E597" s="688"/>
      <c r="F597" s="244"/>
      <c r="G597" s="688"/>
      <c r="H597" s="688"/>
      <c r="I597" s="239"/>
      <c r="J597" s="239"/>
      <c r="K597" s="688"/>
      <c r="L597" s="7"/>
      <c r="M597" s="7"/>
      <c r="N597" s="7"/>
      <c r="O597" s="7"/>
      <c r="P597" s="7"/>
      <c r="Q597" s="7"/>
      <c r="R597" s="708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686"/>
      <c r="B598" s="687"/>
      <c r="C598" s="243"/>
      <c r="D598" s="244"/>
      <c r="E598" s="688"/>
      <c r="F598" s="244"/>
      <c r="G598" s="688"/>
      <c r="H598" s="688"/>
      <c r="I598" s="239"/>
      <c r="J598" s="239"/>
      <c r="K598" s="688"/>
      <c r="L598" s="7"/>
      <c r="M598" s="7"/>
      <c r="N598" s="7"/>
      <c r="O598" s="7"/>
      <c r="P598" s="7"/>
      <c r="Q598" s="7"/>
      <c r="R598" s="708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686"/>
      <c r="B599" s="687"/>
      <c r="C599" s="243"/>
      <c r="D599" s="244"/>
      <c r="E599" s="688"/>
      <c r="F599" s="244"/>
      <c r="G599" s="688"/>
      <c r="H599" s="688"/>
      <c r="I599" s="239"/>
      <c r="J599" s="239"/>
      <c r="K599" s="688"/>
      <c r="L599" s="7"/>
      <c r="M599" s="7"/>
      <c r="N599" s="7"/>
      <c r="O599" s="7"/>
      <c r="P599" s="7"/>
      <c r="Q599" s="7"/>
      <c r="R599" s="708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686"/>
      <c r="B600" s="687"/>
      <c r="C600" s="243"/>
      <c r="D600" s="244"/>
      <c r="E600" s="688"/>
      <c r="F600" s="244"/>
      <c r="G600" s="688"/>
      <c r="H600" s="688"/>
      <c r="I600" s="239"/>
      <c r="J600" s="239"/>
      <c r="K600" s="688"/>
      <c r="L600" s="7"/>
      <c r="M600" s="7"/>
      <c r="N600" s="7"/>
      <c r="O600" s="7"/>
      <c r="P600" s="7"/>
      <c r="Q600" s="7"/>
      <c r="R600" s="708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686"/>
      <c r="B601" s="687"/>
      <c r="C601" s="243"/>
      <c r="D601" s="244"/>
      <c r="E601" s="688"/>
      <c r="F601" s="244"/>
      <c r="G601" s="688"/>
      <c r="H601" s="688"/>
      <c r="I601" s="239"/>
      <c r="J601" s="239"/>
      <c r="K601" s="688"/>
      <c r="L601" s="7"/>
      <c r="M601" s="7"/>
      <c r="N601" s="7"/>
      <c r="O601" s="7"/>
      <c r="P601" s="7"/>
      <c r="Q601" s="7"/>
      <c r="R601" s="708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686"/>
      <c r="B602" s="687"/>
      <c r="C602" s="243"/>
      <c r="D602" s="244"/>
      <c r="E602" s="688"/>
      <c r="F602" s="244"/>
      <c r="G602" s="688"/>
      <c r="H602" s="688"/>
      <c r="I602" s="239"/>
      <c r="J602" s="239"/>
      <c r="K602" s="688"/>
      <c r="L602" s="7"/>
      <c r="M602" s="7"/>
      <c r="N602" s="7"/>
      <c r="O602" s="7"/>
      <c r="P602" s="7"/>
      <c r="Q602" s="7"/>
      <c r="R602" s="708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686"/>
      <c r="B603" s="687"/>
      <c r="C603" s="243"/>
      <c r="D603" s="244"/>
      <c r="E603" s="688"/>
      <c r="F603" s="244"/>
      <c r="G603" s="688"/>
      <c r="H603" s="688"/>
      <c r="I603" s="239"/>
      <c r="J603" s="239"/>
      <c r="K603" s="688"/>
      <c r="L603" s="7"/>
      <c r="M603" s="7"/>
      <c r="N603" s="7"/>
      <c r="O603" s="7"/>
      <c r="P603" s="7"/>
      <c r="Q603" s="7"/>
      <c r="R603" s="708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686"/>
      <c r="B604" s="687"/>
      <c r="C604" s="243"/>
      <c r="D604" s="244"/>
      <c r="E604" s="688"/>
      <c r="F604" s="244"/>
      <c r="G604" s="688"/>
      <c r="H604" s="688"/>
      <c r="I604" s="239"/>
      <c r="J604" s="239"/>
      <c r="K604" s="688"/>
      <c r="L604" s="7"/>
      <c r="M604" s="7"/>
      <c r="N604" s="7"/>
      <c r="O604" s="7"/>
      <c r="P604" s="7"/>
      <c r="Q604" s="7"/>
      <c r="R604" s="708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686"/>
      <c r="B605" s="687"/>
      <c r="C605" s="243"/>
      <c r="D605" s="244"/>
      <c r="E605" s="688"/>
      <c r="F605" s="244"/>
      <c r="G605" s="688"/>
      <c r="H605" s="688"/>
      <c r="I605" s="239"/>
      <c r="J605" s="239"/>
      <c r="K605" s="688"/>
      <c r="L605" s="7"/>
      <c r="M605" s="7"/>
      <c r="N605" s="7"/>
      <c r="O605" s="7"/>
      <c r="P605" s="7"/>
      <c r="Q605" s="7"/>
      <c r="R605" s="708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686"/>
      <c r="B606" s="687"/>
      <c r="C606" s="243"/>
      <c r="D606" s="244"/>
      <c r="E606" s="688"/>
      <c r="F606" s="244"/>
      <c r="G606" s="688"/>
      <c r="H606" s="688"/>
      <c r="I606" s="239"/>
      <c r="J606" s="239"/>
      <c r="K606" s="688"/>
      <c r="L606" s="7"/>
      <c r="M606" s="7"/>
      <c r="N606" s="7"/>
      <c r="O606" s="7"/>
      <c r="P606" s="7"/>
      <c r="Q606" s="7"/>
      <c r="R606" s="708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686"/>
      <c r="B607" s="687"/>
      <c r="C607" s="243"/>
      <c r="D607" s="244"/>
      <c r="E607" s="688"/>
      <c r="F607" s="244"/>
      <c r="G607" s="688"/>
      <c r="H607" s="688"/>
      <c r="I607" s="239"/>
      <c r="J607" s="239"/>
      <c r="K607" s="688"/>
      <c r="L607" s="7"/>
      <c r="M607" s="7"/>
      <c r="N607" s="7"/>
      <c r="O607" s="7"/>
      <c r="P607" s="7"/>
      <c r="Q607" s="7"/>
      <c r="R607" s="708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686"/>
      <c r="B608" s="687"/>
      <c r="C608" s="243"/>
      <c r="D608" s="244"/>
      <c r="E608" s="688"/>
      <c r="F608" s="244"/>
      <c r="G608" s="688"/>
      <c r="H608" s="688"/>
      <c r="I608" s="239"/>
      <c r="J608" s="239"/>
      <c r="K608" s="688"/>
      <c r="L608" s="7"/>
      <c r="M608" s="7"/>
      <c r="N608" s="7"/>
      <c r="O608" s="7"/>
      <c r="P608" s="7"/>
      <c r="Q608" s="7"/>
      <c r="R608" s="708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686"/>
      <c r="B609" s="687"/>
      <c r="C609" s="243"/>
      <c r="D609" s="244"/>
      <c r="E609" s="688"/>
      <c r="F609" s="244"/>
      <c r="G609" s="688"/>
      <c r="H609" s="688"/>
      <c r="I609" s="239"/>
      <c r="J609" s="239"/>
      <c r="K609" s="688"/>
      <c r="L609" s="7"/>
      <c r="M609" s="7"/>
      <c r="N609" s="7"/>
      <c r="O609" s="7"/>
      <c r="P609" s="7"/>
      <c r="Q609" s="7"/>
      <c r="R609" s="708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686"/>
      <c r="B610" s="687"/>
      <c r="C610" s="243"/>
      <c r="D610" s="244"/>
      <c r="E610" s="688"/>
      <c r="F610" s="244"/>
      <c r="G610" s="688"/>
      <c r="H610" s="688"/>
      <c r="I610" s="239"/>
      <c r="J610" s="239"/>
      <c r="K610" s="688"/>
      <c r="L610" s="7"/>
      <c r="M610" s="7"/>
      <c r="N610" s="7"/>
      <c r="O610" s="7"/>
      <c r="P610" s="7"/>
      <c r="Q610" s="7"/>
      <c r="R610" s="708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686"/>
      <c r="B611" s="687"/>
      <c r="C611" s="243"/>
      <c r="D611" s="244"/>
      <c r="E611" s="688"/>
      <c r="F611" s="244"/>
      <c r="G611" s="688"/>
      <c r="H611" s="688"/>
      <c r="I611" s="239"/>
      <c r="J611" s="239"/>
      <c r="K611" s="688"/>
      <c r="L611" s="7"/>
      <c r="M611" s="7"/>
      <c r="N611" s="7"/>
      <c r="O611" s="7"/>
      <c r="P611" s="7"/>
      <c r="Q611" s="7"/>
      <c r="R611" s="708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686"/>
      <c r="B612" s="687"/>
      <c r="C612" s="243"/>
      <c r="D612" s="244"/>
      <c r="E612" s="688"/>
      <c r="F612" s="244"/>
      <c r="G612" s="688"/>
      <c r="H612" s="688"/>
      <c r="I612" s="239"/>
      <c r="J612" s="239"/>
      <c r="K612" s="688"/>
      <c r="L612" s="7"/>
      <c r="M612" s="7"/>
      <c r="N612" s="7"/>
      <c r="O612" s="7"/>
      <c r="P612" s="7"/>
      <c r="Q612" s="7"/>
      <c r="R612" s="708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686"/>
      <c r="B613" s="687"/>
      <c r="C613" s="243"/>
      <c r="D613" s="244"/>
      <c r="E613" s="688"/>
      <c r="F613" s="244"/>
      <c r="G613" s="688"/>
      <c r="H613" s="688"/>
      <c r="I613" s="239"/>
      <c r="J613" s="239"/>
      <c r="K613" s="688"/>
      <c r="L613" s="7"/>
      <c r="M613" s="7"/>
      <c r="N613" s="7"/>
      <c r="O613" s="7"/>
      <c r="P613" s="7"/>
      <c r="Q613" s="7"/>
      <c r="R613" s="708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686"/>
      <c r="B614" s="687"/>
      <c r="C614" s="243"/>
      <c r="D614" s="244"/>
      <c r="E614" s="688"/>
      <c r="F614" s="244"/>
      <c r="G614" s="688"/>
      <c r="H614" s="688"/>
      <c r="I614" s="239"/>
      <c r="J614" s="239"/>
      <c r="K614" s="688"/>
      <c r="L614" s="7"/>
      <c r="M614" s="7"/>
      <c r="N614" s="7"/>
      <c r="O614" s="7"/>
      <c r="P614" s="7"/>
      <c r="Q614" s="7"/>
      <c r="R614" s="708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686"/>
      <c r="B615" s="687"/>
      <c r="C615" s="243"/>
      <c r="D615" s="244"/>
      <c r="E615" s="688"/>
      <c r="F615" s="244"/>
      <c r="G615" s="688"/>
      <c r="H615" s="688"/>
      <c r="I615" s="239"/>
      <c r="J615" s="239"/>
      <c r="K615" s="688"/>
      <c r="L615" s="7"/>
      <c r="M615" s="7"/>
      <c r="N615" s="7"/>
      <c r="O615" s="7"/>
      <c r="P615" s="7"/>
      <c r="Q615" s="7"/>
      <c r="R615" s="708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686"/>
      <c r="B616" s="687"/>
      <c r="C616" s="243"/>
      <c r="D616" s="244"/>
      <c r="E616" s="688"/>
      <c r="F616" s="244"/>
      <c r="G616" s="688"/>
      <c r="H616" s="688"/>
      <c r="I616" s="239"/>
      <c r="J616" s="239"/>
      <c r="K616" s="688"/>
      <c r="L616" s="7"/>
      <c r="M616" s="7"/>
      <c r="N616" s="7"/>
      <c r="O616" s="7"/>
      <c r="P616" s="7"/>
      <c r="Q616" s="7"/>
      <c r="R616" s="708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686"/>
      <c r="B617" s="687"/>
      <c r="C617" s="243"/>
      <c r="D617" s="244"/>
      <c r="E617" s="688"/>
      <c r="F617" s="244"/>
      <c r="G617" s="688"/>
      <c r="H617" s="688"/>
      <c r="I617" s="239"/>
      <c r="J617" s="239"/>
      <c r="K617" s="688"/>
      <c r="L617" s="7"/>
      <c r="M617" s="7"/>
      <c r="N617" s="7"/>
      <c r="O617" s="7"/>
      <c r="P617" s="7"/>
      <c r="Q617" s="7"/>
      <c r="R617" s="708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686"/>
      <c r="B618" s="687"/>
      <c r="C618" s="243"/>
      <c r="D618" s="244"/>
      <c r="E618" s="688"/>
      <c r="F618" s="244"/>
      <c r="G618" s="688"/>
      <c r="H618" s="688"/>
      <c r="I618" s="239"/>
      <c r="J618" s="239"/>
      <c r="K618" s="688"/>
      <c r="L618" s="7"/>
      <c r="M618" s="7"/>
      <c r="N618" s="7"/>
      <c r="O618" s="7"/>
      <c r="P618" s="7"/>
      <c r="Q618" s="7"/>
      <c r="R618" s="708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686"/>
      <c r="B619" s="687"/>
      <c r="C619" s="243"/>
      <c r="D619" s="244"/>
      <c r="E619" s="688"/>
      <c r="F619" s="244"/>
      <c r="G619" s="688"/>
      <c r="H619" s="688"/>
      <c r="I619" s="239"/>
      <c r="J619" s="239"/>
      <c r="K619" s="688"/>
      <c r="L619" s="7"/>
      <c r="M619" s="7"/>
      <c r="N619" s="7"/>
      <c r="O619" s="7"/>
      <c r="P619" s="7"/>
      <c r="Q619" s="7"/>
      <c r="R619" s="708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686"/>
      <c r="B620" s="687"/>
      <c r="C620" s="243"/>
      <c r="D620" s="244"/>
      <c r="E620" s="688"/>
      <c r="F620" s="244"/>
      <c r="G620" s="688"/>
      <c r="H620" s="688"/>
      <c r="I620" s="239"/>
      <c r="J620" s="239"/>
      <c r="K620" s="688"/>
      <c r="L620" s="7"/>
      <c r="M620" s="7"/>
      <c r="N620" s="7"/>
      <c r="O620" s="7"/>
      <c r="P620" s="7"/>
      <c r="Q620" s="7"/>
      <c r="R620" s="708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686"/>
      <c r="B621" s="687"/>
      <c r="C621" s="243"/>
      <c r="D621" s="244"/>
      <c r="E621" s="688"/>
      <c r="F621" s="244"/>
      <c r="G621" s="688"/>
      <c r="H621" s="688"/>
      <c r="I621" s="239"/>
      <c r="J621" s="239"/>
      <c r="K621" s="688"/>
      <c r="L621" s="7"/>
      <c r="M621" s="7"/>
      <c r="N621" s="7"/>
      <c r="O621" s="7"/>
      <c r="P621" s="7"/>
      <c r="Q621" s="7"/>
      <c r="R621" s="708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686"/>
      <c r="B622" s="687"/>
      <c r="C622" s="243"/>
      <c r="D622" s="244"/>
      <c r="E622" s="688"/>
      <c r="F622" s="244"/>
      <c r="G622" s="688"/>
      <c r="H622" s="688"/>
      <c r="I622" s="239"/>
      <c r="J622" s="239"/>
      <c r="K622" s="688"/>
      <c r="L622" s="7"/>
      <c r="M622" s="7"/>
      <c r="N622" s="7"/>
      <c r="O622" s="7"/>
      <c r="P622" s="7"/>
      <c r="Q622" s="7"/>
      <c r="R622" s="708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686"/>
      <c r="B623" s="687"/>
      <c r="C623" s="243"/>
      <c r="D623" s="244"/>
      <c r="E623" s="688"/>
      <c r="F623" s="244"/>
      <c r="G623" s="688"/>
      <c r="H623" s="688"/>
      <c r="I623" s="239"/>
      <c r="J623" s="239"/>
      <c r="K623" s="688"/>
      <c r="L623" s="7"/>
      <c r="M623" s="7"/>
      <c r="N623" s="7"/>
      <c r="O623" s="7"/>
      <c r="P623" s="7"/>
      <c r="Q623" s="7"/>
      <c r="R623" s="708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686"/>
      <c r="B624" s="687"/>
      <c r="C624" s="243"/>
      <c r="D624" s="244"/>
      <c r="E624" s="688"/>
      <c r="F624" s="244"/>
      <c r="G624" s="688"/>
      <c r="H624" s="688"/>
      <c r="I624" s="239"/>
      <c r="J624" s="239"/>
      <c r="K624" s="688"/>
      <c r="L624" s="7"/>
      <c r="M624" s="7"/>
      <c r="N624" s="7"/>
      <c r="O624" s="7"/>
      <c r="P624" s="7"/>
      <c r="Q624" s="7"/>
      <c r="R624" s="708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686"/>
      <c r="B625" s="687"/>
      <c r="C625" s="243"/>
      <c r="D625" s="244"/>
      <c r="E625" s="688"/>
      <c r="F625" s="244"/>
      <c r="G625" s="688"/>
      <c r="H625" s="688"/>
      <c r="I625" s="239"/>
      <c r="J625" s="239"/>
      <c r="K625" s="688"/>
      <c r="L625" s="7"/>
      <c r="M625" s="7"/>
      <c r="N625" s="7"/>
      <c r="O625" s="7"/>
      <c r="P625" s="7"/>
      <c r="Q625" s="7"/>
      <c r="R625" s="708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686"/>
      <c r="B626" s="687"/>
      <c r="C626" s="243"/>
      <c r="D626" s="244"/>
      <c r="E626" s="688"/>
      <c r="F626" s="244"/>
      <c r="G626" s="688"/>
      <c r="H626" s="688"/>
      <c r="I626" s="239"/>
      <c r="J626" s="239"/>
      <c r="K626" s="688"/>
      <c r="L626" s="7"/>
      <c r="M626" s="7"/>
      <c r="N626" s="7"/>
      <c r="O626" s="7"/>
      <c r="P626" s="7"/>
      <c r="Q626" s="7"/>
      <c r="R626" s="708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686"/>
      <c r="B627" s="687"/>
      <c r="C627" s="243"/>
      <c r="D627" s="244"/>
      <c r="E627" s="688"/>
      <c r="F627" s="244"/>
      <c r="G627" s="688"/>
      <c r="H627" s="688"/>
      <c r="I627" s="239"/>
      <c r="J627" s="239"/>
      <c r="K627" s="688"/>
      <c r="L627" s="7"/>
      <c r="M627" s="7"/>
      <c r="N627" s="7"/>
      <c r="O627" s="7"/>
      <c r="P627" s="7"/>
      <c r="Q627" s="7"/>
      <c r="R627" s="708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686"/>
      <c r="B628" s="687"/>
      <c r="C628" s="243"/>
      <c r="D628" s="244"/>
      <c r="E628" s="688"/>
      <c r="F628" s="244"/>
      <c r="G628" s="688"/>
      <c r="H628" s="688"/>
      <c r="I628" s="239"/>
      <c r="J628" s="239"/>
      <c r="K628" s="688"/>
      <c r="L628" s="7"/>
      <c r="M628" s="7"/>
      <c r="N628" s="7"/>
      <c r="O628" s="7"/>
      <c r="P628" s="7"/>
      <c r="Q628" s="7"/>
      <c r="R628" s="708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686"/>
      <c r="B629" s="687"/>
      <c r="C629" s="243"/>
      <c r="D629" s="244"/>
      <c r="E629" s="688"/>
      <c r="F629" s="244"/>
      <c r="G629" s="688"/>
      <c r="H629" s="688"/>
      <c r="I629" s="239"/>
      <c r="J629" s="239"/>
      <c r="K629" s="688"/>
      <c r="L629" s="7"/>
      <c r="M629" s="7"/>
      <c r="N629" s="7"/>
      <c r="O629" s="7"/>
      <c r="P629" s="7"/>
      <c r="Q629" s="7"/>
      <c r="R629" s="708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686"/>
      <c r="B630" s="687"/>
      <c r="C630" s="243"/>
      <c r="D630" s="244"/>
      <c r="E630" s="688"/>
      <c r="F630" s="244"/>
      <c r="G630" s="688"/>
      <c r="H630" s="688"/>
      <c r="I630" s="239"/>
      <c r="J630" s="239"/>
      <c r="K630" s="688"/>
      <c r="L630" s="7"/>
      <c r="M630" s="7"/>
      <c r="N630" s="7"/>
      <c r="O630" s="7"/>
      <c r="P630" s="7"/>
      <c r="Q630" s="7"/>
      <c r="R630" s="708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686"/>
      <c r="B631" s="687"/>
      <c r="C631" s="243"/>
      <c r="D631" s="244"/>
      <c r="E631" s="688"/>
      <c r="F631" s="244"/>
      <c r="G631" s="688"/>
      <c r="H631" s="688"/>
      <c r="I631" s="239"/>
      <c r="J631" s="239"/>
      <c r="K631" s="688"/>
      <c r="L631" s="7"/>
      <c r="M631" s="7"/>
      <c r="N631" s="7"/>
      <c r="O631" s="7"/>
      <c r="P631" s="7"/>
      <c r="Q631" s="7"/>
      <c r="R631" s="708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686"/>
      <c r="B632" s="687"/>
      <c r="C632" s="243"/>
      <c r="D632" s="244"/>
      <c r="E632" s="688"/>
      <c r="F632" s="244"/>
      <c r="G632" s="688"/>
      <c r="H632" s="688"/>
      <c r="I632" s="239"/>
      <c r="J632" s="239"/>
      <c r="K632" s="688"/>
      <c r="L632" s="7"/>
      <c r="M632" s="7"/>
      <c r="N632" s="7"/>
      <c r="O632" s="7"/>
      <c r="P632" s="7"/>
      <c r="Q632" s="7"/>
      <c r="R632" s="708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686"/>
      <c r="B633" s="687"/>
      <c r="C633" s="243"/>
      <c r="D633" s="244"/>
      <c r="E633" s="688"/>
      <c r="F633" s="244"/>
      <c r="G633" s="688"/>
      <c r="H633" s="688"/>
      <c r="I633" s="239"/>
      <c r="J633" s="239"/>
      <c r="K633" s="688"/>
      <c r="L633" s="7"/>
      <c r="M633" s="7"/>
      <c r="N633" s="7"/>
      <c r="O633" s="7"/>
      <c r="P633" s="7"/>
      <c r="Q633" s="7"/>
      <c r="R633" s="708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686"/>
      <c r="B634" s="687"/>
      <c r="C634" s="243"/>
      <c r="D634" s="244"/>
      <c r="E634" s="688"/>
      <c r="F634" s="244"/>
      <c r="G634" s="688"/>
      <c r="H634" s="688"/>
      <c r="I634" s="239"/>
      <c r="J634" s="239"/>
      <c r="K634" s="688"/>
      <c r="L634" s="7"/>
      <c r="M634" s="7"/>
      <c r="N634" s="7"/>
      <c r="O634" s="7"/>
      <c r="P634" s="7"/>
      <c r="Q634" s="7"/>
      <c r="R634" s="708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686"/>
      <c r="B635" s="687"/>
      <c r="C635" s="243"/>
      <c r="D635" s="244"/>
      <c r="E635" s="688"/>
      <c r="F635" s="244"/>
      <c r="G635" s="688"/>
      <c r="H635" s="688"/>
      <c r="I635" s="239"/>
      <c r="J635" s="239"/>
      <c r="K635" s="688"/>
      <c r="L635" s="7"/>
      <c r="M635" s="7"/>
      <c r="N635" s="7"/>
      <c r="O635" s="7"/>
      <c r="P635" s="7"/>
      <c r="Q635" s="7"/>
      <c r="R635" s="708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686"/>
      <c r="B636" s="687"/>
      <c r="C636" s="243"/>
      <c r="D636" s="244"/>
      <c r="E636" s="688"/>
      <c r="F636" s="244"/>
      <c r="G636" s="688"/>
      <c r="H636" s="688"/>
      <c r="I636" s="239"/>
      <c r="J636" s="239"/>
      <c r="K636" s="688"/>
      <c r="L636" s="7"/>
      <c r="M636" s="7"/>
      <c r="N636" s="7"/>
      <c r="O636" s="7"/>
      <c r="P636" s="7"/>
      <c r="Q636" s="7"/>
      <c r="R636" s="708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686"/>
      <c r="B637" s="687"/>
      <c r="C637" s="243"/>
      <c r="D637" s="244"/>
      <c r="E637" s="688"/>
      <c r="F637" s="244"/>
      <c r="G637" s="688"/>
      <c r="H637" s="688"/>
      <c r="I637" s="239"/>
      <c r="J637" s="239"/>
      <c r="K637" s="688"/>
      <c r="L637" s="7"/>
      <c r="M637" s="7"/>
      <c r="N637" s="7"/>
      <c r="O637" s="7"/>
      <c r="P637" s="7"/>
      <c r="Q637" s="7"/>
      <c r="R637" s="708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686"/>
      <c r="B638" s="687"/>
      <c r="C638" s="243"/>
      <c r="D638" s="244"/>
      <c r="E638" s="688"/>
      <c r="F638" s="244"/>
      <c r="G638" s="688"/>
      <c r="H638" s="688"/>
      <c r="I638" s="167"/>
      <c r="J638" s="167"/>
      <c r="K638" s="688"/>
      <c r="L638" s="7"/>
      <c r="M638" s="7"/>
      <c r="N638" s="7"/>
      <c r="O638" s="7"/>
      <c r="P638" s="7"/>
      <c r="Q638" s="7"/>
      <c r="R638" s="708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686"/>
      <c r="B639" s="687"/>
      <c r="C639" s="243"/>
      <c r="D639" s="244"/>
      <c r="E639" s="688"/>
      <c r="F639" s="244"/>
      <c r="G639" s="688"/>
      <c r="H639" s="688"/>
      <c r="I639" s="167"/>
      <c r="J639" s="167"/>
      <c r="K639" s="688"/>
      <c r="L639" s="7"/>
      <c r="M639" s="7"/>
      <c r="N639" s="7"/>
      <c r="O639" s="7"/>
      <c r="P639" s="7"/>
      <c r="Q639" s="7"/>
      <c r="R639" s="708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686"/>
      <c r="B640" s="687"/>
      <c r="C640" s="243"/>
      <c r="D640" s="244"/>
      <c r="E640" s="688"/>
      <c r="F640" s="244"/>
      <c r="G640" s="688"/>
      <c r="H640" s="688"/>
      <c r="I640" s="167"/>
      <c r="J640" s="167"/>
      <c r="K640" s="688"/>
      <c r="L640" s="7"/>
      <c r="M640" s="7"/>
      <c r="N640" s="7"/>
      <c r="O640" s="7"/>
      <c r="P640" s="7"/>
      <c r="Q640" s="7"/>
      <c r="R640" s="708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686"/>
      <c r="B641" s="687"/>
      <c r="C641" s="243"/>
      <c r="D641" s="244"/>
      <c r="E641" s="688"/>
      <c r="F641" s="244"/>
      <c r="G641" s="688"/>
      <c r="H641" s="688"/>
      <c r="I641" s="167"/>
      <c r="J641" s="167"/>
      <c r="K641" s="688"/>
      <c r="L641" s="7"/>
      <c r="M641" s="7"/>
      <c r="N641" s="7"/>
      <c r="O641" s="7"/>
      <c r="P641" s="7"/>
      <c r="Q641" s="7"/>
      <c r="R641" s="708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686"/>
      <c r="B642" s="687"/>
      <c r="C642" s="243"/>
      <c r="D642" s="244"/>
      <c r="E642" s="688"/>
      <c r="F642" s="244"/>
      <c r="G642" s="688"/>
      <c r="H642" s="688"/>
      <c r="I642" s="167"/>
      <c r="J642" s="167"/>
      <c r="K642" s="688"/>
      <c r="L642" s="7"/>
      <c r="M642" s="7"/>
      <c r="N642" s="7"/>
      <c r="O642" s="7"/>
      <c r="P642" s="7"/>
      <c r="Q642" s="7"/>
      <c r="R642" s="708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686"/>
      <c r="B643" s="687"/>
      <c r="C643" s="243"/>
      <c r="D643" s="244"/>
      <c r="E643" s="688"/>
      <c r="F643" s="244"/>
      <c r="G643" s="688"/>
      <c r="H643" s="688"/>
      <c r="I643" s="167"/>
      <c r="J643" s="167"/>
      <c r="K643" s="688"/>
      <c r="L643" s="7"/>
      <c r="M643" s="7"/>
      <c r="N643" s="7"/>
      <c r="O643" s="7"/>
      <c r="P643" s="7"/>
      <c r="Q643" s="7"/>
      <c r="R643" s="708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686"/>
      <c r="B644" s="687"/>
      <c r="C644" s="243"/>
      <c r="D644" s="244"/>
      <c r="E644" s="688"/>
      <c r="F644" s="244"/>
      <c r="G644" s="688"/>
      <c r="H644" s="688"/>
      <c r="I644" s="167"/>
      <c r="J644" s="167"/>
      <c r="K644" s="688"/>
      <c r="L644" s="7"/>
      <c r="M644" s="7"/>
      <c r="N644" s="7"/>
      <c r="O644" s="7"/>
      <c r="P644" s="7"/>
      <c r="Q644" s="7"/>
      <c r="R644" s="708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686"/>
      <c r="B645" s="687"/>
      <c r="C645" s="243"/>
      <c r="D645" s="244"/>
      <c r="E645" s="688"/>
      <c r="F645" s="244"/>
      <c r="G645" s="688"/>
      <c r="H645" s="688"/>
      <c r="I645" s="167"/>
      <c r="J645" s="167"/>
      <c r="K645" s="688"/>
      <c r="L645" s="7"/>
      <c r="M645" s="7"/>
      <c r="N645" s="7"/>
      <c r="O645" s="7"/>
      <c r="P645" s="7"/>
      <c r="Q645" s="7"/>
      <c r="R645" s="708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686"/>
      <c r="B646" s="687"/>
      <c r="C646" s="243"/>
      <c r="D646" s="244"/>
      <c r="E646" s="688"/>
      <c r="F646" s="244"/>
      <c r="G646" s="688"/>
      <c r="H646" s="688"/>
      <c r="I646" s="167"/>
      <c r="J646" s="167"/>
      <c r="K646" s="688"/>
      <c r="L646" s="7"/>
      <c r="M646" s="7"/>
      <c r="N646" s="7"/>
      <c r="O646" s="7"/>
      <c r="P646" s="7"/>
      <c r="Q646" s="7"/>
      <c r="R646" s="708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686"/>
      <c r="B647" s="687"/>
      <c r="C647" s="243"/>
      <c r="D647" s="244"/>
      <c r="E647" s="688"/>
      <c r="F647" s="244"/>
      <c r="G647" s="688"/>
      <c r="H647" s="688"/>
      <c r="I647" s="167"/>
      <c r="J647" s="167"/>
      <c r="K647" s="688"/>
      <c r="L647" s="7"/>
      <c r="M647" s="7"/>
      <c r="N647" s="7"/>
      <c r="O647" s="7"/>
      <c r="P647" s="7"/>
      <c r="Q647" s="7"/>
      <c r="R647" s="708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686"/>
      <c r="B648" s="687"/>
      <c r="C648" s="243"/>
      <c r="D648" s="244"/>
      <c r="E648" s="688"/>
      <c r="F648" s="244"/>
      <c r="G648" s="688"/>
      <c r="H648" s="688"/>
      <c r="I648" s="167"/>
      <c r="J648" s="7"/>
      <c r="K648" s="688"/>
      <c r="L648" s="7"/>
      <c r="M648" s="7"/>
      <c r="N648" s="7"/>
      <c r="O648" s="7"/>
      <c r="P648" s="7"/>
      <c r="Q648" s="7"/>
      <c r="R648" s="708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686"/>
      <c r="B649" s="687"/>
      <c r="C649" s="243"/>
      <c r="D649" s="244"/>
      <c r="E649" s="688"/>
      <c r="F649" s="244"/>
      <c r="G649" s="688"/>
      <c r="H649" s="688"/>
      <c r="I649" s="167"/>
      <c r="J649" s="7"/>
      <c r="K649" s="688"/>
      <c r="L649" s="7"/>
      <c r="M649" s="7"/>
      <c r="N649" s="7"/>
      <c r="O649" s="7"/>
      <c r="P649" s="7"/>
      <c r="Q649" s="7"/>
      <c r="R649" s="708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686"/>
      <c r="B650" s="687"/>
      <c r="C650" s="243"/>
      <c r="D650" s="244"/>
      <c r="E650" s="688"/>
      <c r="F650" s="244"/>
      <c r="G650" s="688"/>
      <c r="H650" s="688"/>
      <c r="I650" s="167"/>
      <c r="J650" s="7"/>
      <c r="K650" s="688"/>
      <c r="L650" s="7"/>
      <c r="M650" s="7"/>
      <c r="N650" s="7"/>
      <c r="O650" s="7"/>
      <c r="P650" s="7"/>
      <c r="Q650" s="7"/>
      <c r="R650" s="708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686"/>
      <c r="B651" s="687"/>
      <c r="C651" s="243"/>
      <c r="D651" s="244"/>
      <c r="E651" s="688"/>
      <c r="F651" s="244"/>
      <c r="G651" s="688"/>
      <c r="H651" s="688"/>
      <c r="I651" s="167"/>
      <c r="J651" s="7"/>
      <c r="K651" s="688"/>
      <c r="L651" s="7"/>
      <c r="M651" s="7"/>
      <c r="N651" s="7"/>
      <c r="O651" s="7"/>
      <c r="P651" s="7"/>
      <c r="Q651" s="7"/>
      <c r="R651" s="708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686"/>
      <c r="B652" s="687"/>
      <c r="C652" s="243"/>
      <c r="D652" s="244"/>
      <c r="E652" s="688"/>
      <c r="F652" s="244"/>
      <c r="G652" s="688"/>
      <c r="H652" s="688"/>
      <c r="I652" s="167"/>
      <c r="J652" s="7"/>
      <c r="K652" s="688"/>
      <c r="L652" s="7"/>
      <c r="M652" s="7"/>
      <c r="N652" s="7"/>
      <c r="O652" s="7"/>
      <c r="P652" s="7"/>
      <c r="Q652" s="7"/>
      <c r="R652" s="708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686"/>
      <c r="B653" s="687"/>
      <c r="C653" s="243"/>
      <c r="D653" s="244"/>
      <c r="E653" s="688"/>
      <c r="F653" s="244"/>
      <c r="G653" s="688"/>
      <c r="H653" s="688"/>
      <c r="I653" s="167"/>
      <c r="J653" s="7"/>
      <c r="K653" s="688"/>
      <c r="L653" s="7"/>
      <c r="M653" s="7"/>
      <c r="N653" s="7"/>
      <c r="O653" s="7"/>
      <c r="P653" s="7"/>
      <c r="Q653" s="7"/>
      <c r="R653" s="708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686"/>
      <c r="B654" s="687"/>
      <c r="C654" s="243"/>
      <c r="D654" s="244"/>
      <c r="E654" s="688"/>
      <c r="F654" s="244"/>
      <c r="G654" s="688"/>
      <c r="H654" s="688"/>
      <c r="I654" s="167"/>
      <c r="J654" s="7"/>
      <c r="K654" s="688"/>
      <c r="L654" s="7"/>
      <c r="M654" s="7"/>
      <c r="N654" s="7"/>
      <c r="O654" s="7"/>
      <c r="P654" s="7"/>
      <c r="Q654" s="7"/>
      <c r="R654" s="708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686"/>
      <c r="B655" s="687"/>
      <c r="C655" s="243"/>
      <c r="D655" s="244"/>
      <c r="E655" s="688"/>
      <c r="F655" s="244"/>
      <c r="G655" s="688"/>
      <c r="H655" s="688"/>
      <c r="I655" s="167"/>
      <c r="J655" s="7"/>
      <c r="K655" s="688"/>
      <c r="L655" s="7"/>
      <c r="M655" s="7"/>
      <c r="N655" s="7"/>
      <c r="O655" s="7"/>
      <c r="P655" s="7"/>
      <c r="Q655" s="7"/>
      <c r="R655" s="708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686"/>
      <c r="B656" s="687"/>
      <c r="C656" s="243"/>
      <c r="D656" s="244"/>
      <c r="E656" s="688"/>
      <c r="F656" s="244"/>
      <c r="G656" s="688"/>
      <c r="H656" s="688"/>
      <c r="I656" s="167"/>
      <c r="J656" s="7"/>
      <c r="K656" s="688"/>
      <c r="L656" s="7"/>
      <c r="M656" s="7"/>
      <c r="N656" s="7"/>
      <c r="O656" s="7"/>
      <c r="P656" s="7"/>
      <c r="Q656" s="7"/>
      <c r="R656" s="708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686"/>
      <c r="B657" s="687"/>
      <c r="C657" s="243"/>
      <c r="D657" s="244"/>
      <c r="E657" s="688"/>
      <c r="F657" s="244"/>
      <c r="G657" s="688"/>
      <c r="H657" s="688"/>
      <c r="I657" s="167"/>
      <c r="J657" s="7"/>
      <c r="K657" s="688"/>
      <c r="L657" s="7"/>
      <c r="M657" s="7"/>
      <c r="N657" s="7"/>
      <c r="O657" s="7"/>
      <c r="P657" s="7"/>
      <c r="Q657" s="7"/>
      <c r="R657" s="708"/>
      <c r="S657" s="7"/>
      <c r="T657" s="7"/>
      <c r="U657" s="7"/>
      <c r="V657" s="7"/>
      <c r="W657" s="7"/>
      <c r="X657" s="7"/>
      <c r="Y657" s="7"/>
      <c r="Z657" s="7"/>
    </row>
    <row r="658" spans="1:26" ht="14.25" customHeight="1">
      <c r="A658" s="7"/>
      <c r="B658" s="7"/>
      <c r="C658" s="7"/>
      <c r="D658" s="7"/>
      <c r="E658" s="7"/>
      <c r="F658" s="7"/>
      <c r="G658" s="7"/>
      <c r="H658" s="7"/>
      <c r="I658" s="167"/>
      <c r="J658" s="7"/>
      <c r="K658" s="7"/>
      <c r="L658" s="7"/>
      <c r="M658" s="7"/>
      <c r="N658" s="7"/>
      <c r="O658" s="7"/>
      <c r="P658" s="7"/>
      <c r="Q658" s="7"/>
      <c r="R658" s="708"/>
      <c r="S658" s="7"/>
      <c r="T658" s="7"/>
      <c r="U658" s="7"/>
      <c r="V658" s="7"/>
      <c r="W658" s="7"/>
      <c r="X658" s="7"/>
      <c r="Y658" s="7"/>
      <c r="Z658" s="7"/>
    </row>
    <row r="659" spans="1:26" ht="14.25" customHeight="1">
      <c r="A659" s="7"/>
      <c r="B659" s="7"/>
      <c r="C659" s="7"/>
      <c r="D659" s="7"/>
      <c r="E659" s="7"/>
      <c r="F659" s="7"/>
      <c r="G659" s="7"/>
      <c r="H659" s="7"/>
      <c r="I659" s="167"/>
      <c r="J659" s="7"/>
      <c r="K659" s="7"/>
      <c r="L659" s="7"/>
      <c r="M659" s="7"/>
      <c r="N659" s="7"/>
      <c r="O659" s="7"/>
      <c r="P659" s="7"/>
      <c r="Q659" s="7"/>
      <c r="R659" s="708"/>
      <c r="S659" s="7"/>
      <c r="T659" s="7"/>
      <c r="U659" s="7"/>
      <c r="V659" s="7"/>
      <c r="W659" s="7"/>
      <c r="X659" s="7"/>
      <c r="Y659" s="7"/>
      <c r="Z659" s="7"/>
    </row>
    <row r="660" spans="1:26" ht="14.25" customHeight="1">
      <c r="A660" s="7"/>
      <c r="B660" s="7"/>
      <c r="C660" s="7"/>
      <c r="D660" s="7"/>
      <c r="E660" s="7"/>
      <c r="F660" s="7"/>
      <c r="G660" s="7"/>
      <c r="H660" s="7"/>
      <c r="I660" s="167"/>
      <c r="J660" s="7"/>
      <c r="K660" s="7"/>
      <c r="L660" s="7"/>
      <c r="M660" s="7"/>
      <c r="N660" s="7"/>
      <c r="O660" s="7"/>
      <c r="P660" s="7"/>
      <c r="Q660" s="7"/>
      <c r="R660" s="708"/>
      <c r="S660" s="7"/>
      <c r="T660" s="7"/>
      <c r="U660" s="7"/>
      <c r="V660" s="7"/>
      <c r="W660" s="7"/>
      <c r="X660" s="7"/>
      <c r="Y660" s="7"/>
      <c r="Z660" s="7"/>
    </row>
    <row r="661" spans="1:26" ht="14.25" customHeight="1">
      <c r="A661" s="7"/>
      <c r="B661" s="7"/>
      <c r="C661" s="7"/>
      <c r="D661" s="7"/>
      <c r="E661" s="7"/>
      <c r="F661" s="7"/>
      <c r="G661" s="7"/>
      <c r="H661" s="7"/>
      <c r="I661" s="167"/>
      <c r="J661" s="7"/>
      <c r="K661" s="7"/>
      <c r="L661" s="7"/>
      <c r="M661" s="7"/>
      <c r="N661" s="7"/>
      <c r="O661" s="7"/>
      <c r="P661" s="7"/>
      <c r="Q661" s="7"/>
      <c r="R661" s="708"/>
      <c r="S661" s="7"/>
      <c r="T661" s="7"/>
      <c r="U661" s="7"/>
      <c r="V661" s="7"/>
      <c r="W661" s="7"/>
      <c r="X661" s="7"/>
      <c r="Y661" s="7"/>
      <c r="Z661" s="7"/>
    </row>
    <row r="662" spans="1:26" ht="14.25" customHeight="1">
      <c r="A662" s="7"/>
      <c r="B662" s="7"/>
      <c r="C662" s="7"/>
      <c r="D662" s="7"/>
      <c r="E662" s="7"/>
      <c r="F662" s="7"/>
      <c r="G662" s="7"/>
      <c r="H662" s="7"/>
      <c r="I662" s="167"/>
      <c r="J662" s="7"/>
      <c r="K662" s="7"/>
      <c r="L662" s="7"/>
      <c r="M662" s="7"/>
      <c r="N662" s="7"/>
      <c r="O662" s="7"/>
      <c r="P662" s="7"/>
      <c r="Q662" s="7"/>
      <c r="R662" s="708"/>
      <c r="S662" s="7"/>
      <c r="T662" s="7"/>
      <c r="U662" s="7"/>
      <c r="V662" s="7"/>
      <c r="W662" s="7"/>
      <c r="X662" s="7"/>
      <c r="Y662" s="7"/>
      <c r="Z662" s="7"/>
    </row>
    <row r="663" spans="1:26" ht="14.25" customHeight="1">
      <c r="A663" s="7"/>
      <c r="B663" s="7"/>
      <c r="C663" s="7"/>
      <c r="D663" s="7"/>
      <c r="E663" s="7"/>
      <c r="F663" s="7"/>
      <c r="G663" s="7"/>
      <c r="H663" s="7"/>
      <c r="I663" s="167"/>
      <c r="J663" s="7"/>
      <c r="K663" s="7"/>
      <c r="L663" s="7"/>
      <c r="M663" s="7"/>
      <c r="N663" s="7"/>
      <c r="O663" s="7"/>
      <c r="P663" s="7"/>
      <c r="Q663" s="7"/>
      <c r="R663" s="708"/>
      <c r="S663" s="7"/>
      <c r="T663" s="7"/>
      <c r="U663" s="7"/>
      <c r="V663" s="7"/>
      <c r="W663" s="7"/>
      <c r="X663" s="7"/>
      <c r="Y663" s="7"/>
      <c r="Z663" s="7"/>
    </row>
    <row r="664" spans="1:26" ht="14.25" customHeight="1">
      <c r="A664" s="7"/>
      <c r="B664" s="7"/>
      <c r="C664" s="7"/>
      <c r="D664" s="7"/>
      <c r="E664" s="7"/>
      <c r="F664" s="7"/>
      <c r="G664" s="7"/>
      <c r="H664" s="7"/>
      <c r="I664" s="167"/>
      <c r="J664" s="7"/>
      <c r="K664" s="7"/>
      <c r="L664" s="7"/>
      <c r="M664" s="7"/>
      <c r="N664" s="7"/>
      <c r="O664" s="7"/>
      <c r="P664" s="7"/>
      <c r="Q664" s="7"/>
      <c r="R664" s="708"/>
      <c r="S664" s="7"/>
      <c r="T664" s="7"/>
      <c r="U664" s="7"/>
      <c r="V664" s="7"/>
      <c r="W664" s="7"/>
      <c r="X664" s="7"/>
      <c r="Y664" s="7"/>
      <c r="Z664" s="7"/>
    </row>
    <row r="665" spans="1:26" ht="14.25" customHeight="1">
      <c r="A665" s="7"/>
      <c r="B665" s="7"/>
      <c r="C665" s="7"/>
      <c r="D665" s="7"/>
      <c r="E665" s="7"/>
      <c r="F665" s="7"/>
      <c r="G665" s="7"/>
      <c r="H665" s="7"/>
      <c r="I665" s="167"/>
      <c r="J665" s="7"/>
      <c r="K665" s="7"/>
      <c r="L665" s="7"/>
      <c r="M665" s="7"/>
      <c r="N665" s="7"/>
      <c r="O665" s="7"/>
      <c r="P665" s="7"/>
      <c r="Q665" s="7"/>
      <c r="R665" s="708"/>
      <c r="S665" s="7"/>
      <c r="T665" s="7"/>
      <c r="U665" s="7"/>
      <c r="V665" s="7"/>
      <c r="W665" s="7"/>
      <c r="X665" s="7"/>
      <c r="Y665" s="7"/>
      <c r="Z665" s="7"/>
    </row>
    <row r="666" spans="1:26" ht="14.25" customHeight="1">
      <c r="A666" s="7"/>
      <c r="B666" s="7"/>
      <c r="C666" s="7"/>
      <c r="D666" s="7"/>
      <c r="E666" s="7"/>
      <c r="F666" s="7"/>
      <c r="G666" s="7"/>
      <c r="H666" s="7"/>
      <c r="I666" s="167"/>
      <c r="J666" s="7"/>
      <c r="K666" s="7"/>
      <c r="L666" s="7"/>
      <c r="M666" s="7"/>
      <c r="N666" s="7"/>
      <c r="O666" s="7"/>
      <c r="P666" s="7"/>
      <c r="Q666" s="7"/>
      <c r="R666" s="708"/>
      <c r="S666" s="7"/>
      <c r="T666" s="7"/>
      <c r="U666" s="7"/>
      <c r="V666" s="7"/>
      <c r="W666" s="7"/>
      <c r="X666" s="7"/>
      <c r="Y666" s="7"/>
      <c r="Z666" s="7"/>
    </row>
    <row r="667" spans="1:26" ht="14.25" customHeight="1">
      <c r="A667" s="7"/>
      <c r="B667" s="7"/>
      <c r="C667" s="7"/>
      <c r="D667" s="7"/>
      <c r="E667" s="7"/>
      <c r="F667" s="7"/>
      <c r="G667" s="7"/>
      <c r="H667" s="7"/>
      <c r="I667" s="167"/>
      <c r="J667" s="7"/>
      <c r="K667" s="7"/>
      <c r="L667" s="7"/>
      <c r="M667" s="7"/>
      <c r="N667" s="7"/>
      <c r="O667" s="7"/>
      <c r="P667" s="7"/>
      <c r="Q667" s="7"/>
      <c r="R667" s="708"/>
      <c r="S667" s="7"/>
      <c r="T667" s="7"/>
      <c r="U667" s="7"/>
      <c r="V667" s="7"/>
      <c r="W667" s="7"/>
      <c r="X667" s="7"/>
      <c r="Y667" s="7"/>
      <c r="Z667" s="7"/>
    </row>
    <row r="668" spans="1:26" ht="14.25" customHeight="1">
      <c r="A668" s="7"/>
      <c r="B668" s="7"/>
      <c r="C668" s="7"/>
      <c r="D668" s="7"/>
      <c r="E668" s="7"/>
      <c r="F668" s="7"/>
      <c r="G668" s="7"/>
      <c r="H668" s="7"/>
      <c r="I668" s="167"/>
      <c r="J668" s="7"/>
      <c r="K668" s="7"/>
      <c r="L668" s="7"/>
      <c r="M668" s="7"/>
      <c r="N668" s="7"/>
      <c r="O668" s="7"/>
      <c r="P668" s="7"/>
      <c r="Q668" s="7"/>
      <c r="R668" s="708"/>
      <c r="S668" s="7"/>
      <c r="T668" s="7"/>
      <c r="U668" s="7"/>
      <c r="V668" s="7"/>
      <c r="W668" s="7"/>
      <c r="X668" s="7"/>
      <c r="Y668" s="7"/>
      <c r="Z668" s="7"/>
    </row>
    <row r="669" spans="1:26" ht="14.25" customHeight="1">
      <c r="A669" s="7"/>
      <c r="B669" s="7"/>
      <c r="C669" s="7"/>
      <c r="D669" s="7"/>
      <c r="E669" s="7"/>
      <c r="F669" s="7"/>
      <c r="G669" s="7"/>
      <c r="H669" s="7"/>
      <c r="I669" s="167"/>
      <c r="J669" s="7"/>
      <c r="K669" s="7"/>
      <c r="L669" s="7"/>
      <c r="M669" s="7"/>
      <c r="N669" s="7"/>
      <c r="O669" s="7"/>
      <c r="P669" s="7"/>
      <c r="Q669" s="7"/>
      <c r="R669" s="708"/>
      <c r="S669" s="7"/>
      <c r="T669" s="7"/>
      <c r="U669" s="7"/>
      <c r="V669" s="7"/>
      <c r="W669" s="7"/>
      <c r="X669" s="7"/>
      <c r="Y669" s="7"/>
      <c r="Z669" s="7"/>
    </row>
    <row r="670" spans="1:26" ht="14.25" customHeight="1">
      <c r="A670" s="7"/>
      <c r="B670" s="7"/>
      <c r="C670" s="7"/>
      <c r="D670" s="7"/>
      <c r="E670" s="7"/>
      <c r="F670" s="7"/>
      <c r="G670" s="7"/>
      <c r="H670" s="7"/>
      <c r="I670" s="167"/>
      <c r="J670" s="7"/>
      <c r="K670" s="7"/>
      <c r="L670" s="7"/>
      <c r="M670" s="7"/>
      <c r="N670" s="7"/>
      <c r="O670" s="7"/>
      <c r="P670" s="7"/>
      <c r="Q670" s="7"/>
      <c r="R670" s="708"/>
      <c r="S670" s="7"/>
      <c r="T670" s="7"/>
      <c r="U670" s="7"/>
      <c r="V670" s="7"/>
      <c r="W670" s="7"/>
      <c r="X670" s="7"/>
      <c r="Y670" s="7"/>
      <c r="Z670" s="7"/>
    </row>
    <row r="671" spans="1:26" ht="14.25" customHeight="1">
      <c r="A671" s="7"/>
      <c r="B671" s="7"/>
      <c r="C671" s="7"/>
      <c r="D671" s="7"/>
      <c r="E671" s="7"/>
      <c r="F671" s="7"/>
      <c r="G671" s="7"/>
      <c r="H671" s="7"/>
      <c r="I671" s="167"/>
      <c r="J671" s="7"/>
      <c r="K671" s="7"/>
      <c r="L671" s="7"/>
      <c r="M671" s="7"/>
      <c r="N671" s="7"/>
      <c r="O671" s="7"/>
      <c r="P671" s="7"/>
      <c r="Q671" s="7"/>
      <c r="R671" s="708"/>
      <c r="S671" s="7"/>
      <c r="T671" s="7"/>
      <c r="U671" s="7"/>
      <c r="V671" s="7"/>
      <c r="W671" s="7"/>
      <c r="X671" s="7"/>
      <c r="Y671" s="7"/>
      <c r="Z671" s="7"/>
    </row>
    <row r="672" spans="1:26" ht="14.25" customHeight="1">
      <c r="A672" s="7"/>
      <c r="B672" s="7"/>
      <c r="C672" s="7"/>
      <c r="D672" s="7"/>
      <c r="E672" s="7"/>
      <c r="F672" s="7"/>
      <c r="G672" s="7"/>
      <c r="H672" s="7"/>
      <c r="I672" s="167"/>
      <c r="J672" s="7"/>
      <c r="K672" s="7"/>
      <c r="L672" s="7"/>
      <c r="M672" s="7"/>
      <c r="N672" s="7"/>
      <c r="O672" s="7"/>
      <c r="P672" s="7"/>
      <c r="Q672" s="7"/>
      <c r="R672" s="708"/>
      <c r="S672" s="7"/>
      <c r="T672" s="7"/>
      <c r="U672" s="7"/>
      <c r="V672" s="7"/>
      <c r="W672" s="7"/>
      <c r="X672" s="7"/>
      <c r="Y672" s="7"/>
      <c r="Z672" s="7"/>
    </row>
    <row r="673" spans="1:26" ht="14.25" customHeight="1">
      <c r="A673" s="7"/>
      <c r="B673" s="7"/>
      <c r="C673" s="7"/>
      <c r="D673" s="7"/>
      <c r="E673" s="7"/>
      <c r="F673" s="7"/>
      <c r="G673" s="7"/>
      <c r="H673" s="7"/>
      <c r="I673" s="167"/>
      <c r="J673" s="7"/>
      <c r="K673" s="7"/>
      <c r="L673" s="7"/>
      <c r="M673" s="7"/>
      <c r="N673" s="7"/>
      <c r="O673" s="7"/>
      <c r="P673" s="7"/>
      <c r="Q673" s="7"/>
      <c r="R673" s="708"/>
      <c r="S673" s="7"/>
      <c r="T673" s="7"/>
      <c r="U673" s="7"/>
      <c r="V673" s="7"/>
      <c r="W673" s="7"/>
      <c r="X673" s="7"/>
      <c r="Y673" s="7"/>
      <c r="Z673" s="7"/>
    </row>
    <row r="674" spans="1:26" ht="14.25" customHeight="1">
      <c r="A674" s="7"/>
      <c r="B674" s="7"/>
      <c r="C674" s="7"/>
      <c r="D674" s="7"/>
      <c r="E674" s="7"/>
      <c r="F674" s="7"/>
      <c r="G674" s="7"/>
      <c r="H674" s="7"/>
      <c r="I674" s="167"/>
      <c r="J674" s="7"/>
      <c r="K674" s="7"/>
      <c r="L674" s="7"/>
      <c r="M674" s="7"/>
      <c r="N674" s="7"/>
      <c r="O674" s="7"/>
      <c r="P674" s="7"/>
      <c r="Q674" s="7"/>
      <c r="R674" s="708"/>
      <c r="S674" s="7"/>
      <c r="T674" s="7"/>
      <c r="U674" s="7"/>
      <c r="V674" s="7"/>
      <c r="W674" s="7"/>
      <c r="X674" s="7"/>
      <c r="Y674" s="7"/>
      <c r="Z674" s="7"/>
    </row>
    <row r="675" spans="1:26" ht="14.25" customHeight="1">
      <c r="A675" s="7"/>
      <c r="B675" s="7"/>
      <c r="C675" s="7"/>
      <c r="D675" s="7"/>
      <c r="E675" s="7"/>
      <c r="F675" s="7"/>
      <c r="G675" s="7"/>
      <c r="H675" s="7"/>
      <c r="I675" s="167"/>
      <c r="J675" s="7"/>
      <c r="K675" s="7"/>
      <c r="L675" s="7"/>
      <c r="M675" s="7"/>
      <c r="N675" s="7"/>
      <c r="O675" s="7"/>
      <c r="P675" s="7"/>
      <c r="Q675" s="7"/>
      <c r="R675" s="708"/>
      <c r="S675" s="7"/>
      <c r="T675" s="7"/>
      <c r="U675" s="7"/>
      <c r="V675" s="7"/>
      <c r="W675" s="7"/>
      <c r="X675" s="7"/>
      <c r="Y675" s="7"/>
      <c r="Z675" s="7"/>
    </row>
    <row r="676" spans="1:26" ht="14.25" customHeight="1">
      <c r="A676" s="7"/>
      <c r="B676" s="7"/>
      <c r="C676" s="7"/>
      <c r="D676" s="7"/>
      <c r="E676" s="7"/>
      <c r="F676" s="7"/>
      <c r="G676" s="7"/>
      <c r="H676" s="7"/>
      <c r="I676" s="167"/>
      <c r="J676" s="7"/>
      <c r="K676" s="7"/>
      <c r="L676" s="7"/>
      <c r="M676" s="7"/>
      <c r="N676" s="7"/>
      <c r="O676" s="7"/>
      <c r="P676" s="7"/>
      <c r="Q676" s="7"/>
      <c r="R676" s="708"/>
      <c r="S676" s="7"/>
      <c r="T676" s="7"/>
      <c r="U676" s="7"/>
      <c r="V676" s="7"/>
      <c r="W676" s="7"/>
      <c r="X676" s="7"/>
      <c r="Y676" s="7"/>
      <c r="Z676" s="7"/>
    </row>
    <row r="677" spans="1:26" ht="14.25" customHeight="1">
      <c r="A677" s="7"/>
      <c r="B677" s="7"/>
      <c r="C677" s="7"/>
      <c r="D677" s="7"/>
      <c r="E677" s="7"/>
      <c r="F677" s="7"/>
      <c r="G677" s="7"/>
      <c r="H677" s="7"/>
      <c r="I677" s="167"/>
      <c r="J677" s="7"/>
      <c r="K677" s="7"/>
      <c r="L677" s="7"/>
      <c r="M677" s="7"/>
      <c r="N677" s="7"/>
      <c r="O677" s="7"/>
      <c r="P677" s="7"/>
      <c r="Q677" s="7"/>
      <c r="R677" s="708"/>
      <c r="S677" s="7"/>
      <c r="T677" s="7"/>
      <c r="U677" s="7"/>
      <c r="V677" s="7"/>
      <c r="W677" s="7"/>
      <c r="X677" s="7"/>
      <c r="Y677" s="7"/>
      <c r="Z677" s="7"/>
    </row>
    <row r="678" spans="1:26" ht="14.25" customHeight="1">
      <c r="A678" s="7"/>
      <c r="B678" s="7"/>
      <c r="C678" s="7"/>
      <c r="D678" s="7"/>
      <c r="E678" s="7"/>
      <c r="F678" s="7"/>
      <c r="G678" s="7"/>
      <c r="H678" s="7"/>
      <c r="I678" s="167"/>
      <c r="J678" s="7"/>
      <c r="K678" s="7"/>
      <c r="L678" s="7"/>
      <c r="M678" s="7"/>
      <c r="N678" s="7"/>
      <c r="O678" s="7"/>
      <c r="P678" s="7"/>
      <c r="Q678" s="7"/>
      <c r="R678" s="708"/>
      <c r="S678" s="7"/>
      <c r="T678" s="7"/>
      <c r="U678" s="7"/>
      <c r="V678" s="7"/>
      <c r="W678" s="7"/>
      <c r="X678" s="7"/>
      <c r="Y678" s="7"/>
      <c r="Z678" s="7"/>
    </row>
    <row r="679" spans="1:26" ht="14.25" customHeight="1">
      <c r="A679" s="7"/>
      <c r="B679" s="7"/>
      <c r="C679" s="7"/>
      <c r="D679" s="7"/>
      <c r="E679" s="7"/>
      <c r="F679" s="7"/>
      <c r="G679" s="7"/>
      <c r="H679" s="7"/>
      <c r="I679" s="167"/>
      <c r="J679" s="7"/>
      <c r="K679" s="7"/>
      <c r="L679" s="7"/>
      <c r="M679" s="7"/>
      <c r="N679" s="7"/>
      <c r="O679" s="7"/>
      <c r="P679" s="7"/>
      <c r="Q679" s="7"/>
      <c r="R679" s="708"/>
      <c r="S679" s="7"/>
      <c r="T679" s="7"/>
      <c r="U679" s="7"/>
      <c r="V679" s="7"/>
      <c r="W679" s="7"/>
      <c r="X679" s="7"/>
      <c r="Y679" s="7"/>
      <c r="Z679" s="7"/>
    </row>
    <row r="680" spans="1:26" ht="14.25" customHeight="1">
      <c r="A680" s="7"/>
      <c r="B680" s="7"/>
      <c r="C680" s="7"/>
      <c r="D680" s="7"/>
      <c r="E680" s="7"/>
      <c r="F680" s="7"/>
      <c r="G680" s="7"/>
      <c r="H680" s="7"/>
      <c r="I680" s="167"/>
      <c r="J680" s="7"/>
      <c r="K680" s="7"/>
      <c r="L680" s="7"/>
      <c r="M680" s="7"/>
      <c r="N680" s="7"/>
      <c r="O680" s="7"/>
      <c r="P680" s="7"/>
      <c r="Q680" s="7"/>
      <c r="R680" s="708"/>
      <c r="S680" s="7"/>
      <c r="T680" s="7"/>
      <c r="U680" s="7"/>
      <c r="V680" s="7"/>
      <c r="W680" s="7"/>
      <c r="X680" s="7"/>
      <c r="Y680" s="7"/>
      <c r="Z680" s="7"/>
    </row>
    <row r="681" spans="1:26" ht="14.25" customHeight="1">
      <c r="A681" s="7"/>
      <c r="B681" s="7"/>
      <c r="C681" s="7"/>
      <c r="D681" s="7"/>
      <c r="E681" s="7"/>
      <c r="F681" s="7"/>
      <c r="G681" s="7"/>
      <c r="H681" s="7"/>
      <c r="I681" s="167"/>
      <c r="J681" s="7"/>
      <c r="K681" s="7"/>
      <c r="L681" s="7"/>
      <c r="M681" s="7"/>
      <c r="N681" s="7"/>
      <c r="O681" s="7"/>
      <c r="P681" s="7"/>
      <c r="Q681" s="7"/>
      <c r="R681" s="708"/>
      <c r="S681" s="7"/>
      <c r="T681" s="7"/>
      <c r="U681" s="7"/>
      <c r="V681" s="7"/>
      <c r="W681" s="7"/>
      <c r="X681" s="7"/>
      <c r="Y681" s="7"/>
      <c r="Z681" s="7"/>
    </row>
    <row r="682" spans="1:26" ht="14.25" customHeight="1">
      <c r="A682" s="7"/>
      <c r="B682" s="7"/>
      <c r="C682" s="7"/>
      <c r="D682" s="7"/>
      <c r="E682" s="7"/>
      <c r="F682" s="7"/>
      <c r="G682" s="7"/>
      <c r="H682" s="7"/>
      <c r="I682" s="167"/>
      <c r="J682" s="7"/>
      <c r="K682" s="7"/>
      <c r="L682" s="7"/>
      <c r="M682" s="7"/>
      <c r="N682" s="7"/>
      <c r="O682" s="7"/>
      <c r="P682" s="7"/>
      <c r="Q682" s="7"/>
      <c r="R682" s="708"/>
      <c r="S682" s="7"/>
      <c r="T682" s="7"/>
      <c r="U682" s="7"/>
      <c r="V682" s="7"/>
      <c r="W682" s="7"/>
      <c r="X682" s="7"/>
      <c r="Y682" s="7"/>
      <c r="Z682" s="7"/>
    </row>
    <row r="683" spans="1:26" ht="14.25" customHeight="1">
      <c r="A683" s="7"/>
      <c r="B683" s="7"/>
      <c r="C683" s="7"/>
      <c r="D683" s="7"/>
      <c r="E683" s="7"/>
      <c r="F683" s="7"/>
      <c r="G683" s="7"/>
      <c r="H683" s="7"/>
      <c r="I683" s="167"/>
      <c r="J683" s="7"/>
      <c r="K683" s="7"/>
      <c r="L683" s="7"/>
      <c r="M683" s="7"/>
      <c r="N683" s="7"/>
      <c r="O683" s="7"/>
      <c r="P683" s="7"/>
      <c r="Q683" s="7"/>
      <c r="R683" s="708"/>
      <c r="S683" s="7"/>
      <c r="T683" s="7"/>
      <c r="U683" s="7"/>
      <c r="V683" s="7"/>
      <c r="W683" s="7"/>
      <c r="X683" s="7"/>
      <c r="Y683" s="7"/>
      <c r="Z683" s="7"/>
    </row>
    <row r="684" spans="1:26" ht="14.25" customHeight="1">
      <c r="A684" s="7"/>
      <c r="B684" s="7"/>
      <c r="C684" s="7"/>
      <c r="D684" s="7"/>
      <c r="E684" s="7"/>
      <c r="F684" s="7"/>
      <c r="G684" s="7"/>
      <c r="H684" s="7"/>
      <c r="I684" s="167"/>
      <c r="J684" s="7"/>
      <c r="K684" s="7"/>
      <c r="L684" s="7"/>
      <c r="M684" s="7"/>
      <c r="N684" s="7"/>
      <c r="O684" s="7"/>
      <c r="P684" s="7"/>
      <c r="Q684" s="7"/>
      <c r="R684" s="708"/>
      <c r="S684" s="7"/>
      <c r="T684" s="7"/>
      <c r="U684" s="7"/>
      <c r="V684" s="7"/>
      <c r="W684" s="7"/>
      <c r="X684" s="7"/>
      <c r="Y684" s="7"/>
      <c r="Z684" s="7"/>
    </row>
    <row r="685" spans="1:26" ht="14.25" customHeight="1">
      <c r="A685" s="7"/>
      <c r="B685" s="7"/>
      <c r="C685" s="7"/>
      <c r="D685" s="7"/>
      <c r="E685" s="7"/>
      <c r="F685" s="7"/>
      <c r="G685" s="7"/>
      <c r="H685" s="7"/>
      <c r="I685" s="167"/>
      <c r="J685" s="7"/>
      <c r="K685" s="7"/>
      <c r="L685" s="7"/>
      <c r="M685" s="7"/>
      <c r="N685" s="7"/>
      <c r="O685" s="7"/>
      <c r="P685" s="7"/>
      <c r="Q685" s="7"/>
      <c r="R685" s="708"/>
      <c r="S685" s="7"/>
      <c r="T685" s="7"/>
      <c r="U685" s="7"/>
      <c r="V685" s="7"/>
      <c r="W685" s="7"/>
      <c r="X685" s="7"/>
      <c r="Y685" s="7"/>
      <c r="Z685" s="7"/>
    </row>
    <row r="686" spans="1:26" ht="14.25" customHeight="1">
      <c r="A686" s="7"/>
      <c r="B686" s="7"/>
      <c r="C686" s="7"/>
      <c r="D686" s="7"/>
      <c r="E686" s="7"/>
      <c r="F686" s="7"/>
      <c r="G686" s="7"/>
      <c r="H686" s="7"/>
      <c r="I686" s="167"/>
      <c r="J686" s="7"/>
      <c r="K686" s="7"/>
      <c r="L686" s="7"/>
      <c r="M686" s="7"/>
      <c r="N686" s="7"/>
      <c r="O686" s="7"/>
      <c r="P686" s="7"/>
      <c r="Q686" s="7"/>
      <c r="R686" s="708"/>
      <c r="S686" s="7"/>
      <c r="T686" s="7"/>
      <c r="U686" s="7"/>
      <c r="V686" s="7"/>
      <c r="W686" s="7"/>
      <c r="X686" s="7"/>
      <c r="Y686" s="7"/>
      <c r="Z686" s="7"/>
    </row>
    <row r="687" spans="1:26" ht="14.25" customHeight="1">
      <c r="A687" s="7"/>
      <c r="B687" s="7"/>
      <c r="C687" s="7"/>
      <c r="D687" s="7"/>
      <c r="E687" s="7"/>
      <c r="F687" s="7"/>
      <c r="G687" s="7"/>
      <c r="H687" s="7"/>
      <c r="I687" s="167"/>
      <c r="J687" s="7"/>
      <c r="K687" s="7"/>
      <c r="L687" s="7"/>
      <c r="M687" s="7"/>
      <c r="N687" s="7"/>
      <c r="O687" s="7"/>
      <c r="P687" s="7"/>
      <c r="Q687" s="7"/>
      <c r="R687" s="708"/>
      <c r="S687" s="7"/>
      <c r="T687" s="7"/>
      <c r="U687" s="7"/>
      <c r="V687" s="7"/>
      <c r="W687" s="7"/>
      <c r="X687" s="7"/>
      <c r="Y687" s="7"/>
      <c r="Z687" s="7"/>
    </row>
    <row r="688" spans="1:26" ht="14.25" customHeight="1">
      <c r="A688" s="7"/>
      <c r="B688" s="7"/>
      <c r="C688" s="7"/>
      <c r="D688" s="7"/>
      <c r="E688" s="7"/>
      <c r="F688" s="7"/>
      <c r="G688" s="7"/>
      <c r="H688" s="7"/>
      <c r="I688" s="167"/>
      <c r="J688" s="7"/>
      <c r="K688" s="7"/>
      <c r="L688" s="7"/>
      <c r="M688" s="7"/>
      <c r="N688" s="7"/>
      <c r="O688" s="7"/>
      <c r="P688" s="7"/>
      <c r="Q688" s="7"/>
      <c r="R688" s="708"/>
      <c r="S688" s="7"/>
      <c r="T688" s="7"/>
      <c r="U688" s="7"/>
      <c r="V688" s="7"/>
      <c r="W688" s="7"/>
      <c r="X688" s="7"/>
      <c r="Y688" s="7"/>
      <c r="Z688" s="7"/>
    </row>
    <row r="689" spans="1:26" ht="14.25" customHeight="1">
      <c r="A689" s="7"/>
      <c r="B689" s="7"/>
      <c r="C689" s="7"/>
      <c r="D689" s="7"/>
      <c r="E689" s="7"/>
      <c r="F689" s="7"/>
      <c r="G689" s="7"/>
      <c r="H689" s="7"/>
      <c r="I689" s="167"/>
      <c r="J689" s="7"/>
      <c r="K689" s="7"/>
      <c r="L689" s="7"/>
      <c r="M689" s="7"/>
      <c r="N689" s="7"/>
      <c r="O689" s="7"/>
      <c r="P689" s="7"/>
      <c r="Q689" s="7"/>
      <c r="R689" s="708"/>
      <c r="S689" s="7"/>
      <c r="T689" s="7"/>
      <c r="U689" s="7"/>
      <c r="V689" s="7"/>
      <c r="W689" s="7"/>
      <c r="X689" s="7"/>
      <c r="Y689" s="7"/>
      <c r="Z689" s="7"/>
    </row>
    <row r="690" spans="1:26" ht="14.25" customHeight="1">
      <c r="A690" s="7"/>
      <c r="B690" s="7"/>
      <c r="C690" s="7"/>
      <c r="D690" s="7"/>
      <c r="E690" s="7"/>
      <c r="F690" s="7"/>
      <c r="G690" s="7"/>
      <c r="H690" s="7"/>
      <c r="I690" s="167"/>
      <c r="J690" s="7"/>
      <c r="K690" s="7"/>
      <c r="L690" s="7"/>
      <c r="M690" s="7"/>
      <c r="N690" s="7"/>
      <c r="O690" s="7"/>
      <c r="P690" s="7"/>
      <c r="Q690" s="7"/>
      <c r="R690" s="708"/>
      <c r="S690" s="7"/>
      <c r="T690" s="7"/>
      <c r="U690" s="7"/>
      <c r="V690" s="7"/>
      <c r="W690" s="7"/>
      <c r="X690" s="7"/>
      <c r="Y690" s="7"/>
      <c r="Z690" s="7"/>
    </row>
    <row r="691" spans="1:26" ht="14.25" customHeight="1">
      <c r="A691" s="7"/>
      <c r="B691" s="7"/>
      <c r="C691" s="7"/>
      <c r="D691" s="7"/>
      <c r="E691" s="7"/>
      <c r="F691" s="7"/>
      <c r="G691" s="7"/>
      <c r="H691" s="7"/>
      <c r="I691" s="167"/>
      <c r="J691" s="7"/>
      <c r="K691" s="7"/>
      <c r="L691" s="7"/>
      <c r="M691" s="7"/>
      <c r="N691" s="7"/>
      <c r="O691" s="7"/>
      <c r="P691" s="7"/>
      <c r="Q691" s="7"/>
      <c r="R691" s="708"/>
      <c r="S691" s="7"/>
      <c r="T691" s="7"/>
      <c r="U691" s="7"/>
      <c r="V691" s="7"/>
      <c r="W691" s="7"/>
      <c r="X691" s="7"/>
      <c r="Y691" s="7"/>
      <c r="Z691" s="7"/>
    </row>
    <row r="692" spans="1:26" ht="14.25" customHeight="1">
      <c r="A692" s="7"/>
      <c r="B692" s="7"/>
      <c r="C692" s="7"/>
      <c r="D692" s="7"/>
      <c r="E692" s="7"/>
      <c r="F692" s="7"/>
      <c r="G692" s="7"/>
      <c r="H692" s="7"/>
      <c r="I692" s="167"/>
      <c r="J692" s="7"/>
      <c r="K692" s="7"/>
      <c r="L692" s="7"/>
      <c r="M692" s="7"/>
      <c r="N692" s="7"/>
      <c r="O692" s="7"/>
      <c r="P692" s="7"/>
      <c r="Q692" s="7"/>
      <c r="R692" s="708"/>
      <c r="S692" s="7"/>
      <c r="T692" s="7"/>
      <c r="U692" s="7"/>
      <c r="V692" s="7"/>
      <c r="W692" s="7"/>
      <c r="X692" s="7"/>
      <c r="Y692" s="7"/>
      <c r="Z692" s="7"/>
    </row>
    <row r="693" spans="1:26" ht="14.25" customHeight="1">
      <c r="A693" s="7"/>
      <c r="B693" s="7"/>
      <c r="C693" s="7"/>
      <c r="D693" s="7"/>
      <c r="E693" s="7"/>
      <c r="F693" s="7"/>
      <c r="G693" s="7"/>
      <c r="H693" s="7"/>
      <c r="I693" s="167"/>
      <c r="J693" s="7"/>
      <c r="K693" s="7"/>
      <c r="L693" s="7"/>
      <c r="M693" s="7"/>
      <c r="N693" s="7"/>
      <c r="O693" s="7"/>
      <c r="P693" s="7"/>
      <c r="Q693" s="7"/>
      <c r="R693" s="708"/>
      <c r="S693" s="7"/>
      <c r="T693" s="7"/>
      <c r="U693" s="7"/>
      <c r="V693" s="7"/>
      <c r="W693" s="7"/>
      <c r="X693" s="7"/>
      <c r="Y693" s="7"/>
      <c r="Z693" s="7"/>
    </row>
    <row r="694" spans="1:26" ht="14.25" customHeight="1">
      <c r="A694" s="7"/>
      <c r="B694" s="7"/>
      <c r="C694" s="7"/>
      <c r="D694" s="7"/>
      <c r="E694" s="7"/>
      <c r="F694" s="7"/>
      <c r="G694" s="7"/>
      <c r="H694" s="7"/>
      <c r="I694" s="167"/>
      <c r="J694" s="7"/>
      <c r="K694" s="7"/>
      <c r="L694" s="7"/>
      <c r="M694" s="7"/>
      <c r="N694" s="7"/>
      <c r="O694" s="7"/>
      <c r="P694" s="7"/>
      <c r="Q694" s="7"/>
      <c r="R694" s="708"/>
      <c r="S694" s="7"/>
      <c r="T694" s="7"/>
      <c r="U694" s="7"/>
      <c r="V694" s="7"/>
      <c r="W694" s="7"/>
      <c r="X694" s="7"/>
      <c r="Y694" s="7"/>
      <c r="Z694" s="7"/>
    </row>
    <row r="695" spans="1:26" ht="14.25" customHeight="1">
      <c r="A695" s="7"/>
      <c r="B695" s="7"/>
      <c r="C695" s="7"/>
      <c r="D695" s="7"/>
      <c r="E695" s="7"/>
      <c r="F695" s="7"/>
      <c r="G695" s="7"/>
      <c r="H695" s="7"/>
      <c r="I695" s="167"/>
      <c r="J695" s="7"/>
      <c r="K695" s="7"/>
      <c r="L695" s="7"/>
      <c r="M695" s="7"/>
      <c r="N695" s="7"/>
      <c r="O695" s="7"/>
      <c r="P695" s="7"/>
      <c r="Q695" s="7"/>
      <c r="R695" s="708"/>
      <c r="S695" s="7"/>
      <c r="T695" s="7"/>
      <c r="U695" s="7"/>
      <c r="V695" s="7"/>
      <c r="W695" s="7"/>
      <c r="X695" s="7"/>
      <c r="Y695" s="7"/>
      <c r="Z695" s="7"/>
    </row>
    <row r="696" spans="1:26" ht="14.25" customHeight="1">
      <c r="A696" s="7"/>
      <c r="B696" s="7"/>
      <c r="C696" s="7"/>
      <c r="D696" s="7"/>
      <c r="E696" s="7"/>
      <c r="F696" s="7"/>
      <c r="G696" s="7"/>
      <c r="H696" s="7"/>
      <c r="I696" s="167"/>
      <c r="J696" s="7"/>
      <c r="K696" s="7"/>
      <c r="L696" s="7"/>
      <c r="M696" s="7"/>
      <c r="N696" s="7"/>
      <c r="O696" s="7"/>
      <c r="P696" s="7"/>
      <c r="Q696" s="7"/>
      <c r="R696" s="708"/>
      <c r="S696" s="7"/>
      <c r="T696" s="7"/>
      <c r="U696" s="7"/>
      <c r="V696" s="7"/>
      <c r="W696" s="7"/>
      <c r="X696" s="7"/>
      <c r="Y696" s="7"/>
      <c r="Z696" s="7"/>
    </row>
    <row r="697" spans="1:26" ht="14.25" customHeight="1">
      <c r="A697" s="7"/>
      <c r="B697" s="7"/>
      <c r="C697" s="7"/>
      <c r="D697" s="7"/>
      <c r="E697" s="7"/>
      <c r="F697" s="7"/>
      <c r="G697" s="7"/>
      <c r="H697" s="7"/>
      <c r="I697" s="167"/>
      <c r="J697" s="7"/>
      <c r="K697" s="7"/>
      <c r="L697" s="7"/>
      <c r="M697" s="7"/>
      <c r="N697" s="7"/>
      <c r="O697" s="7"/>
      <c r="P697" s="7"/>
      <c r="Q697" s="7"/>
      <c r="R697" s="708"/>
      <c r="S697" s="7"/>
      <c r="T697" s="7"/>
      <c r="U697" s="7"/>
      <c r="V697" s="7"/>
      <c r="W697" s="7"/>
      <c r="X697" s="7"/>
      <c r="Y697" s="7"/>
      <c r="Z697" s="7"/>
    </row>
    <row r="698" spans="1:26" ht="14.25" customHeight="1">
      <c r="A698" s="7"/>
      <c r="B698" s="7"/>
      <c r="C698" s="7"/>
      <c r="D698" s="7"/>
      <c r="E698" s="7"/>
      <c r="F698" s="7"/>
      <c r="G698" s="7"/>
      <c r="H698" s="7"/>
      <c r="I698" s="167"/>
      <c r="J698" s="7"/>
      <c r="K698" s="7"/>
      <c r="L698" s="7"/>
      <c r="M698" s="7"/>
      <c r="N698" s="7"/>
      <c r="O698" s="7"/>
      <c r="P698" s="7"/>
      <c r="Q698" s="7"/>
      <c r="R698" s="708"/>
      <c r="S698" s="7"/>
      <c r="T698" s="7"/>
      <c r="U698" s="7"/>
      <c r="V698" s="7"/>
      <c r="W698" s="7"/>
      <c r="X698" s="7"/>
      <c r="Y698" s="7"/>
      <c r="Z698" s="7"/>
    </row>
    <row r="699" spans="1:26" ht="14.25" customHeight="1">
      <c r="A699" s="7"/>
      <c r="B699" s="7"/>
      <c r="C699" s="7"/>
      <c r="D699" s="7"/>
      <c r="E699" s="7"/>
      <c r="F699" s="7"/>
      <c r="G699" s="7"/>
      <c r="H699" s="7"/>
      <c r="I699" s="167"/>
      <c r="J699" s="7"/>
      <c r="K699" s="7"/>
      <c r="L699" s="7"/>
      <c r="M699" s="7"/>
      <c r="N699" s="7"/>
      <c r="O699" s="7"/>
      <c r="P699" s="7"/>
      <c r="Q699" s="7"/>
      <c r="R699" s="708"/>
      <c r="S699" s="7"/>
      <c r="T699" s="7"/>
      <c r="U699" s="7"/>
      <c r="V699" s="7"/>
      <c r="W699" s="7"/>
      <c r="X699" s="7"/>
      <c r="Y699" s="7"/>
      <c r="Z699" s="7"/>
    </row>
    <row r="700" spans="1:26" ht="14.25" customHeight="1">
      <c r="A700" s="7"/>
      <c r="B700" s="7"/>
      <c r="C700" s="7"/>
      <c r="D700" s="7"/>
      <c r="E700" s="7"/>
      <c r="F700" s="7"/>
      <c r="G700" s="7"/>
      <c r="H700" s="7"/>
      <c r="I700" s="167"/>
      <c r="J700" s="7"/>
      <c r="K700" s="7"/>
      <c r="L700" s="7"/>
      <c r="M700" s="7"/>
      <c r="N700" s="7"/>
      <c r="O700" s="7"/>
      <c r="P700" s="7"/>
      <c r="Q700" s="7"/>
      <c r="R700" s="708"/>
      <c r="S700" s="7"/>
      <c r="T700" s="7"/>
      <c r="U700" s="7"/>
      <c r="V700" s="7"/>
      <c r="W700" s="7"/>
      <c r="X700" s="7"/>
      <c r="Y700" s="7"/>
      <c r="Z700" s="7"/>
    </row>
    <row r="701" spans="1:26" ht="14.25" customHeight="1">
      <c r="A701" s="7"/>
      <c r="B701" s="7"/>
      <c r="C701" s="7"/>
      <c r="D701" s="7"/>
      <c r="E701" s="7"/>
      <c r="F701" s="7"/>
      <c r="G701" s="7"/>
      <c r="H701" s="7"/>
      <c r="I701" s="167"/>
      <c r="J701" s="7"/>
      <c r="K701" s="7"/>
      <c r="L701" s="7"/>
      <c r="M701" s="7"/>
      <c r="N701" s="7"/>
      <c r="O701" s="7"/>
      <c r="P701" s="7"/>
      <c r="Q701" s="7"/>
      <c r="R701" s="708"/>
      <c r="S701" s="7"/>
      <c r="T701" s="7"/>
      <c r="U701" s="7"/>
      <c r="V701" s="7"/>
      <c r="W701" s="7"/>
      <c r="X701" s="7"/>
      <c r="Y701" s="7"/>
      <c r="Z701" s="7"/>
    </row>
    <row r="702" spans="1:26" ht="14.25" customHeight="1">
      <c r="A702" s="7"/>
      <c r="B702" s="7"/>
      <c r="C702" s="7"/>
      <c r="D702" s="7"/>
      <c r="E702" s="7"/>
      <c r="F702" s="7"/>
      <c r="G702" s="7"/>
      <c r="H702" s="7"/>
      <c r="I702" s="167"/>
      <c r="J702" s="7"/>
      <c r="K702" s="7"/>
      <c r="L702" s="7"/>
      <c r="M702" s="7"/>
      <c r="N702" s="7"/>
      <c r="O702" s="7"/>
      <c r="P702" s="7"/>
      <c r="Q702" s="7"/>
      <c r="R702" s="708"/>
      <c r="S702" s="7"/>
      <c r="T702" s="7"/>
      <c r="U702" s="7"/>
      <c r="V702" s="7"/>
      <c r="W702" s="7"/>
      <c r="X702" s="7"/>
      <c r="Y702" s="7"/>
      <c r="Z702" s="7"/>
    </row>
    <row r="703" spans="1:26" ht="14.25" customHeight="1">
      <c r="A703" s="7"/>
      <c r="B703" s="7"/>
      <c r="C703" s="7"/>
      <c r="D703" s="7"/>
      <c r="E703" s="7"/>
      <c r="F703" s="7"/>
      <c r="G703" s="7"/>
      <c r="H703" s="7"/>
      <c r="I703" s="167"/>
      <c r="J703" s="7"/>
      <c r="K703" s="7"/>
      <c r="L703" s="7"/>
      <c r="M703" s="7"/>
      <c r="N703" s="7"/>
      <c r="O703" s="7"/>
      <c r="P703" s="7"/>
      <c r="Q703" s="7"/>
      <c r="R703" s="708"/>
      <c r="S703" s="7"/>
      <c r="T703" s="7"/>
      <c r="U703" s="7"/>
      <c r="V703" s="7"/>
      <c r="W703" s="7"/>
      <c r="X703" s="7"/>
      <c r="Y703" s="7"/>
      <c r="Z703" s="7"/>
    </row>
    <row r="704" spans="1:26" ht="14.25" customHeight="1">
      <c r="A704" s="7"/>
      <c r="B704" s="7"/>
      <c r="C704" s="7"/>
      <c r="D704" s="7"/>
      <c r="E704" s="7"/>
      <c r="F704" s="7"/>
      <c r="G704" s="7"/>
      <c r="H704" s="7"/>
      <c r="I704" s="167"/>
      <c r="J704" s="7"/>
      <c r="K704" s="7"/>
      <c r="L704" s="7"/>
      <c r="M704" s="7"/>
      <c r="N704" s="7"/>
      <c r="O704" s="7"/>
      <c r="P704" s="7"/>
      <c r="Q704" s="7"/>
      <c r="R704" s="708"/>
      <c r="S704" s="7"/>
      <c r="T704" s="7"/>
      <c r="U704" s="7"/>
      <c r="V704" s="7"/>
      <c r="W704" s="7"/>
      <c r="X704" s="7"/>
      <c r="Y704" s="7"/>
      <c r="Z704" s="7"/>
    </row>
    <row r="705" spans="1:26" ht="14.25" customHeight="1">
      <c r="A705" s="7"/>
      <c r="B705" s="7"/>
      <c r="C705" s="7"/>
      <c r="D705" s="7"/>
      <c r="E705" s="7"/>
      <c r="F705" s="7"/>
      <c r="G705" s="7"/>
      <c r="H705" s="7"/>
      <c r="I705" s="167"/>
      <c r="J705" s="7"/>
      <c r="K705" s="7"/>
      <c r="L705" s="7"/>
      <c r="M705" s="7"/>
      <c r="N705" s="7"/>
      <c r="O705" s="7"/>
      <c r="P705" s="7"/>
      <c r="Q705" s="7"/>
      <c r="R705" s="708"/>
      <c r="S705" s="7"/>
      <c r="T705" s="7"/>
      <c r="U705" s="7"/>
      <c r="V705" s="7"/>
      <c r="W705" s="7"/>
      <c r="X705" s="7"/>
      <c r="Y705" s="7"/>
      <c r="Z705" s="7"/>
    </row>
    <row r="706" spans="1:26" ht="14.25" customHeight="1">
      <c r="A706" s="7"/>
      <c r="B706" s="7"/>
      <c r="C706" s="7"/>
      <c r="D706" s="7"/>
      <c r="E706" s="7"/>
      <c r="F706" s="7"/>
      <c r="G706" s="7"/>
      <c r="H706" s="7"/>
      <c r="I706" s="167"/>
      <c r="J706" s="7"/>
      <c r="K706" s="7"/>
      <c r="L706" s="7"/>
      <c r="M706" s="7"/>
      <c r="N706" s="7"/>
      <c r="O706" s="7"/>
      <c r="P706" s="7"/>
      <c r="Q706" s="7"/>
      <c r="R706" s="708"/>
      <c r="S706" s="7"/>
      <c r="T706" s="7"/>
      <c r="U706" s="7"/>
      <c r="V706" s="7"/>
      <c r="W706" s="7"/>
      <c r="X706" s="7"/>
      <c r="Y706" s="7"/>
      <c r="Z706" s="7"/>
    </row>
    <row r="707" spans="1:26" ht="14.25" customHeight="1">
      <c r="A707" s="7"/>
      <c r="B707" s="7"/>
      <c r="C707" s="7"/>
      <c r="D707" s="7"/>
      <c r="E707" s="7"/>
      <c r="F707" s="7"/>
      <c r="G707" s="7"/>
      <c r="H707" s="7"/>
      <c r="I707" s="167"/>
      <c r="J707" s="7"/>
      <c r="K707" s="7"/>
      <c r="L707" s="7"/>
      <c r="M707" s="7"/>
      <c r="N707" s="7"/>
      <c r="O707" s="7"/>
      <c r="P707" s="7"/>
      <c r="Q707" s="7"/>
      <c r="R707" s="708"/>
      <c r="S707" s="7"/>
      <c r="T707" s="7"/>
      <c r="U707" s="7"/>
      <c r="V707" s="7"/>
      <c r="W707" s="7"/>
      <c r="X707" s="7"/>
      <c r="Y707" s="7"/>
      <c r="Z707" s="7"/>
    </row>
    <row r="708" spans="1:26" ht="14.25" customHeight="1">
      <c r="A708" s="7"/>
      <c r="B708" s="7"/>
      <c r="C708" s="7"/>
      <c r="D708" s="7"/>
      <c r="E708" s="7"/>
      <c r="F708" s="7"/>
      <c r="G708" s="7"/>
      <c r="H708" s="7"/>
      <c r="I708" s="167"/>
      <c r="J708" s="7"/>
      <c r="K708" s="7"/>
      <c r="L708" s="7"/>
      <c r="M708" s="7"/>
      <c r="N708" s="7"/>
      <c r="O708" s="7"/>
      <c r="P708" s="7"/>
      <c r="Q708" s="7"/>
      <c r="R708" s="708"/>
      <c r="S708" s="7"/>
      <c r="T708" s="7"/>
      <c r="U708" s="7"/>
      <c r="V708" s="7"/>
      <c r="W708" s="7"/>
      <c r="X708" s="7"/>
      <c r="Y708" s="7"/>
      <c r="Z708" s="7"/>
    </row>
    <row r="709" spans="1:26" ht="14.25" customHeight="1">
      <c r="A709" s="7"/>
      <c r="B709" s="7"/>
      <c r="C709" s="7"/>
      <c r="D709" s="7"/>
      <c r="E709" s="7"/>
      <c r="F709" s="7"/>
      <c r="G709" s="7"/>
      <c r="H709" s="7"/>
      <c r="I709" s="167"/>
      <c r="J709" s="7"/>
      <c r="K709" s="7"/>
      <c r="L709" s="7"/>
      <c r="M709" s="7"/>
      <c r="N709" s="7"/>
      <c r="O709" s="7"/>
      <c r="P709" s="7"/>
      <c r="Q709" s="7"/>
      <c r="R709" s="708"/>
      <c r="S709" s="7"/>
      <c r="T709" s="7"/>
      <c r="U709" s="7"/>
      <c r="V709" s="7"/>
      <c r="W709" s="7"/>
      <c r="X709" s="7"/>
      <c r="Y709" s="7"/>
      <c r="Z709" s="7"/>
    </row>
    <row r="710" spans="1:26" ht="14.25" customHeight="1">
      <c r="A710" s="7"/>
      <c r="B710" s="7"/>
      <c r="C710" s="7"/>
      <c r="D710" s="7"/>
      <c r="E710" s="7"/>
      <c r="F710" s="7"/>
      <c r="G710" s="7"/>
      <c r="H710" s="7"/>
      <c r="I710" s="167"/>
      <c r="J710" s="7"/>
      <c r="K710" s="7"/>
      <c r="L710" s="7"/>
      <c r="M710" s="7"/>
      <c r="N710" s="7"/>
      <c r="O710" s="7"/>
      <c r="P710" s="7"/>
      <c r="Q710" s="7"/>
      <c r="R710" s="708"/>
      <c r="S710" s="7"/>
      <c r="T710" s="7"/>
      <c r="U710" s="7"/>
      <c r="V710" s="7"/>
      <c r="W710" s="7"/>
      <c r="X710" s="7"/>
      <c r="Y710" s="7"/>
      <c r="Z710" s="7"/>
    </row>
    <row r="711" spans="1:26" ht="14.25" customHeight="1">
      <c r="A711" s="7"/>
      <c r="B711" s="7"/>
      <c r="C711" s="7"/>
      <c r="D711" s="7"/>
      <c r="E711" s="7"/>
      <c r="F711" s="7"/>
      <c r="G711" s="7"/>
      <c r="H711" s="7"/>
      <c r="I711" s="167"/>
      <c r="J711" s="7"/>
      <c r="K711" s="7"/>
      <c r="L711" s="7"/>
      <c r="M711" s="7"/>
      <c r="N711" s="7"/>
      <c r="O711" s="7"/>
      <c r="P711" s="7"/>
      <c r="Q711" s="7"/>
      <c r="R711" s="708"/>
      <c r="S711" s="7"/>
      <c r="T711" s="7"/>
      <c r="U711" s="7"/>
      <c r="V711" s="7"/>
      <c r="W711" s="7"/>
      <c r="X711" s="7"/>
      <c r="Y711" s="7"/>
      <c r="Z711" s="7"/>
    </row>
    <row r="712" spans="1:26" ht="14.25" customHeight="1">
      <c r="A712" s="7"/>
      <c r="B712" s="7"/>
      <c r="C712" s="7"/>
      <c r="D712" s="7"/>
      <c r="E712" s="7"/>
      <c r="F712" s="7"/>
      <c r="G712" s="7"/>
      <c r="H712" s="7"/>
      <c r="I712" s="167"/>
      <c r="J712" s="7"/>
      <c r="K712" s="7"/>
      <c r="L712" s="7"/>
      <c r="M712" s="7"/>
      <c r="N712" s="7"/>
      <c r="O712" s="7"/>
      <c r="P712" s="7"/>
      <c r="Q712" s="7"/>
      <c r="R712" s="708"/>
      <c r="S712" s="7"/>
      <c r="T712" s="7"/>
      <c r="U712" s="7"/>
      <c r="V712" s="7"/>
      <c r="W712" s="7"/>
      <c r="X712" s="7"/>
      <c r="Y712" s="7"/>
      <c r="Z712" s="7"/>
    </row>
    <row r="713" spans="1:26" ht="14.25" customHeight="1">
      <c r="A713" s="7"/>
      <c r="B713" s="7"/>
      <c r="C713" s="7"/>
      <c r="D713" s="7"/>
      <c r="E713" s="7"/>
      <c r="F713" s="7"/>
      <c r="G713" s="7"/>
      <c r="H713" s="7"/>
      <c r="I713" s="167"/>
      <c r="J713" s="7"/>
      <c r="K713" s="7"/>
      <c r="L713" s="7"/>
      <c r="M713" s="7"/>
      <c r="N713" s="7"/>
      <c r="O713" s="7"/>
      <c r="P713" s="7"/>
      <c r="Q713" s="7"/>
      <c r="R713" s="708"/>
      <c r="S713" s="7"/>
      <c r="T713" s="7"/>
      <c r="U713" s="7"/>
      <c r="V713" s="7"/>
      <c r="W713" s="7"/>
      <c r="X713" s="7"/>
      <c r="Y713" s="7"/>
      <c r="Z713" s="7"/>
    </row>
    <row r="714" spans="1:26" ht="14.25" customHeight="1">
      <c r="A714" s="7"/>
      <c r="B714" s="7"/>
      <c r="C714" s="7"/>
      <c r="D714" s="7"/>
      <c r="E714" s="7"/>
      <c r="F714" s="7"/>
      <c r="G714" s="7"/>
      <c r="H714" s="7"/>
      <c r="I714" s="167"/>
      <c r="J714" s="7"/>
      <c r="K714" s="7"/>
      <c r="L714" s="7"/>
      <c r="M714" s="7"/>
      <c r="N714" s="7"/>
      <c r="O714" s="7"/>
      <c r="P714" s="7"/>
      <c r="Q714" s="7"/>
      <c r="R714" s="708"/>
      <c r="S714" s="7"/>
      <c r="T714" s="7"/>
      <c r="U714" s="7"/>
      <c r="V714" s="7"/>
      <c r="W714" s="7"/>
      <c r="X714" s="7"/>
      <c r="Y714" s="7"/>
      <c r="Z714" s="7"/>
    </row>
    <row r="715" spans="1:26" ht="14.25" customHeight="1">
      <c r="A715" s="7"/>
      <c r="B715" s="7"/>
      <c r="C715" s="7"/>
      <c r="D715" s="7"/>
      <c r="E715" s="7"/>
      <c r="F715" s="7"/>
      <c r="G715" s="7"/>
      <c r="H715" s="7"/>
      <c r="I715" s="167"/>
      <c r="J715" s="7"/>
      <c r="K715" s="7"/>
      <c r="L715" s="7"/>
      <c r="M715" s="7"/>
      <c r="N715" s="7"/>
      <c r="O715" s="7"/>
      <c r="P715" s="7"/>
      <c r="Q715" s="7"/>
      <c r="R715" s="708"/>
      <c r="S715" s="7"/>
      <c r="T715" s="7"/>
      <c r="U715" s="7"/>
      <c r="V715" s="7"/>
      <c r="W715" s="7"/>
      <c r="X715" s="7"/>
      <c r="Y715" s="7"/>
      <c r="Z715" s="7"/>
    </row>
    <row r="716" spans="1:26" ht="14.25" customHeight="1">
      <c r="A716" s="7"/>
      <c r="B716" s="7"/>
      <c r="C716" s="7"/>
      <c r="D716" s="7"/>
      <c r="E716" s="7"/>
      <c r="F716" s="7"/>
      <c r="G716" s="7"/>
      <c r="H716" s="7"/>
      <c r="I716" s="167"/>
      <c r="J716" s="7"/>
      <c r="K716" s="7"/>
      <c r="L716" s="7"/>
      <c r="M716" s="7"/>
      <c r="N716" s="7"/>
      <c r="O716" s="7"/>
      <c r="P716" s="7"/>
      <c r="Q716" s="7"/>
      <c r="R716" s="708"/>
      <c r="S716" s="7"/>
      <c r="T716" s="7"/>
      <c r="U716" s="7"/>
      <c r="V716" s="7"/>
      <c r="W716" s="7"/>
      <c r="X716" s="7"/>
      <c r="Y716" s="7"/>
      <c r="Z716" s="7"/>
    </row>
    <row r="717" spans="1:26" ht="14.25" customHeight="1">
      <c r="A717" s="7"/>
      <c r="B717" s="7"/>
      <c r="C717" s="7"/>
      <c r="D717" s="7"/>
      <c r="E717" s="7"/>
      <c r="F717" s="7"/>
      <c r="G717" s="7"/>
      <c r="H717" s="7"/>
      <c r="I717" s="167"/>
      <c r="J717" s="7"/>
      <c r="K717" s="7"/>
      <c r="L717" s="7"/>
      <c r="M717" s="7"/>
      <c r="N717" s="7"/>
      <c r="O717" s="7"/>
      <c r="P717" s="7"/>
      <c r="Q717" s="7"/>
      <c r="R717" s="708"/>
      <c r="S717" s="7"/>
      <c r="T717" s="7"/>
      <c r="U717" s="7"/>
      <c r="V717" s="7"/>
      <c r="W717" s="7"/>
      <c r="X717" s="7"/>
      <c r="Y717" s="7"/>
      <c r="Z717" s="7"/>
    </row>
    <row r="718" spans="1:26" ht="14.25" customHeight="1">
      <c r="A718" s="7"/>
      <c r="B718" s="7"/>
      <c r="C718" s="7"/>
      <c r="D718" s="7"/>
      <c r="E718" s="7"/>
      <c r="F718" s="7"/>
      <c r="G718" s="7"/>
      <c r="H718" s="7"/>
      <c r="I718" s="167"/>
      <c r="J718" s="7"/>
      <c r="K718" s="7"/>
      <c r="L718" s="7"/>
      <c r="M718" s="7"/>
      <c r="N718" s="7"/>
      <c r="O718" s="7"/>
      <c r="P718" s="7"/>
      <c r="Q718" s="7"/>
      <c r="R718" s="708"/>
      <c r="S718" s="7"/>
      <c r="T718" s="7"/>
      <c r="U718" s="7"/>
      <c r="V718" s="7"/>
      <c r="W718" s="7"/>
      <c r="X718" s="7"/>
      <c r="Y718" s="7"/>
      <c r="Z718" s="7"/>
    </row>
    <row r="719" spans="1:26" ht="14.25" customHeight="1">
      <c r="A719" s="7"/>
      <c r="B719" s="7"/>
      <c r="C719" s="7"/>
      <c r="D719" s="7"/>
      <c r="E719" s="7"/>
      <c r="F719" s="7"/>
      <c r="G719" s="7"/>
      <c r="H719" s="7"/>
      <c r="I719" s="167"/>
      <c r="J719" s="7"/>
      <c r="K719" s="7"/>
      <c r="L719" s="7"/>
      <c r="M719" s="7"/>
      <c r="N719" s="7"/>
      <c r="O719" s="7"/>
      <c r="P719" s="7"/>
      <c r="Q719" s="7"/>
      <c r="R719" s="708"/>
      <c r="S719" s="7"/>
      <c r="T719" s="7"/>
      <c r="U719" s="7"/>
      <c r="V719" s="7"/>
      <c r="W719" s="7"/>
      <c r="X719" s="7"/>
      <c r="Y719" s="7"/>
      <c r="Z719" s="7"/>
    </row>
    <row r="720" spans="1:26" ht="14.25" customHeight="1">
      <c r="A720" s="7"/>
      <c r="B720" s="7"/>
      <c r="C720" s="7"/>
      <c r="D720" s="7"/>
      <c r="E720" s="7"/>
      <c r="F720" s="7"/>
      <c r="G720" s="7"/>
      <c r="H720" s="7"/>
      <c r="I720" s="167"/>
      <c r="J720" s="7"/>
      <c r="K720" s="7"/>
      <c r="L720" s="7"/>
      <c r="M720" s="7"/>
      <c r="N720" s="7"/>
      <c r="O720" s="7"/>
      <c r="P720" s="7"/>
      <c r="Q720" s="7"/>
      <c r="R720" s="708"/>
      <c r="S720" s="7"/>
      <c r="T720" s="7"/>
      <c r="U720" s="7"/>
      <c r="V720" s="7"/>
      <c r="W720" s="7"/>
      <c r="X720" s="7"/>
      <c r="Y720" s="7"/>
      <c r="Z720" s="7"/>
    </row>
    <row r="721" spans="1:26" ht="14.25" customHeight="1">
      <c r="A721" s="7"/>
      <c r="B721" s="7"/>
      <c r="C721" s="7"/>
      <c r="D721" s="7"/>
      <c r="E721" s="7"/>
      <c r="F721" s="7"/>
      <c r="G721" s="7"/>
      <c r="H721" s="7"/>
      <c r="I721" s="167"/>
      <c r="J721" s="7"/>
      <c r="K721" s="7"/>
      <c r="L721" s="7"/>
      <c r="M721" s="7"/>
      <c r="N721" s="7"/>
      <c r="O721" s="7"/>
      <c r="P721" s="7"/>
      <c r="Q721" s="7"/>
      <c r="R721" s="708"/>
      <c r="S721" s="7"/>
      <c r="T721" s="7"/>
      <c r="U721" s="7"/>
      <c r="V721" s="7"/>
      <c r="W721" s="7"/>
      <c r="X721" s="7"/>
      <c r="Y721" s="7"/>
      <c r="Z721" s="7"/>
    </row>
    <row r="722" spans="1:26" ht="14.25" customHeight="1">
      <c r="A722" s="7"/>
      <c r="B722" s="7"/>
      <c r="C722" s="7"/>
      <c r="D722" s="7"/>
      <c r="E722" s="7"/>
      <c r="F722" s="7"/>
      <c r="G722" s="7"/>
      <c r="H722" s="7"/>
      <c r="I722" s="167"/>
      <c r="J722" s="7"/>
      <c r="K722" s="7"/>
      <c r="L722" s="7"/>
      <c r="M722" s="7"/>
      <c r="N722" s="7"/>
      <c r="O722" s="7"/>
      <c r="P722" s="7"/>
      <c r="Q722" s="7"/>
      <c r="R722" s="708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/>
    <row r="724" spans="1:26" ht="15.75" customHeight="1"/>
    <row r="725" spans="1:26" ht="15.75" customHeight="1"/>
    <row r="726" spans="1:26" ht="15.75" customHeight="1"/>
    <row r="727" spans="1:26" ht="15.75" customHeight="1"/>
    <row r="728" spans="1:26" ht="15.75" customHeight="1"/>
    <row r="729" spans="1:26" ht="15.75" customHeight="1"/>
    <row r="730" spans="1:26" ht="15.75" customHeight="1"/>
    <row r="731" spans="1:26" ht="15.75" customHeight="1"/>
    <row r="732" spans="1:26" ht="15.75" customHeight="1"/>
    <row r="733" spans="1:26" ht="15.75" customHeight="1"/>
    <row r="734" spans="1:26" ht="15.75" customHeight="1"/>
    <row r="735" spans="1:26" ht="15.75" customHeight="1"/>
    <row r="736" spans="1:2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K4"/>
    <mergeCell ref="A5:D5"/>
    <mergeCell ref="A6:K6"/>
    <mergeCell ref="C9:D9"/>
    <mergeCell ref="B447:C447"/>
  </mergeCells>
  <conditionalFormatting sqref="E11:F11">
    <cfRule type="containsText" dxfId="48" priority="1" operator="containsText" text="hoà bình">
      <formula>NOT(ISERROR(SEARCH(("hoà bình"),(E11))))</formula>
    </cfRule>
  </conditionalFormatting>
  <conditionalFormatting sqref="H11">
    <cfRule type="containsText" dxfId="47" priority="2" operator="containsText" text="&quot;quảng ngãi&quot;">
      <formula>NOT(ISERROR(SEARCH(("""quảng ngãi"""),(H11))))</formula>
    </cfRule>
  </conditionalFormatting>
  <conditionalFormatting sqref="J11:L11">
    <cfRule type="containsText" dxfId="46" priority="3" operator="containsText" text="&quot;quảng ngãi&quot;">
      <formula>NOT(ISERROR(SEARCH(("""quảng ngãi"""),(J11))))</formula>
    </cfRule>
  </conditionalFormatting>
  <conditionalFormatting sqref="K11:Z11 A11:D11 G11">
    <cfRule type="containsText" dxfId="45" priority="4" operator="containsText" text="tây ninh">
      <formula>NOT(ISERROR(SEARCH(("tây ninh"),(A11))))</formula>
    </cfRule>
  </conditionalFormatting>
  <conditionalFormatting sqref="T17:T447">
    <cfRule type="cellIs" dxfId="44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22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11" width="12.453125" customWidth="1"/>
  </cols>
  <sheetData>
    <row r="1" spans="1:38" ht="24.75" hidden="1" customHeight="1">
      <c r="A1" s="397" t="s">
        <v>0</v>
      </c>
      <c r="B1" s="398"/>
      <c r="C1" s="398"/>
      <c r="D1" s="399"/>
      <c r="E1" s="562"/>
      <c r="F1" s="562"/>
      <c r="G1" s="562"/>
      <c r="H1" s="562"/>
      <c r="I1" s="562"/>
      <c r="J1" s="562"/>
      <c r="K1" s="56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8" ht="33" hidden="1" customHeight="1">
      <c r="A2" s="792" t="s">
        <v>1</v>
      </c>
      <c r="B2" s="793"/>
      <c r="C2" s="791"/>
      <c r="D2" s="399"/>
      <c r="E2" s="562"/>
      <c r="F2" s="562"/>
      <c r="G2" s="562"/>
      <c r="H2" s="562"/>
      <c r="I2" s="562"/>
      <c r="J2" s="562"/>
      <c r="K2" s="56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8" ht="23.25" hidden="1" customHeight="1">
      <c r="A3" s="794" t="s">
        <v>2</v>
      </c>
      <c r="B3" s="793"/>
      <c r="C3" s="791"/>
      <c r="D3" s="399"/>
      <c r="E3" s="562"/>
      <c r="F3" s="562"/>
      <c r="G3" s="562"/>
      <c r="H3" s="562"/>
      <c r="I3" s="562"/>
      <c r="J3" s="562"/>
      <c r="K3" s="56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8" ht="39.75" customHeight="1">
      <c r="A4" s="803" t="s">
        <v>1537</v>
      </c>
      <c r="B4" s="793"/>
      <c r="C4" s="793"/>
      <c r="D4" s="793"/>
      <c r="E4" s="793"/>
      <c r="F4" s="793"/>
      <c r="G4" s="793"/>
      <c r="H4" s="793"/>
      <c r="I4" s="793"/>
      <c r="J4" s="793"/>
      <c r="K4" s="791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8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563"/>
      <c r="I5" s="563"/>
      <c r="J5" s="563"/>
      <c r="K5" s="563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8" ht="21" hidden="1" customHeight="1">
      <c r="A6" s="804" t="s">
        <v>1338</v>
      </c>
      <c r="B6" s="793"/>
      <c r="C6" s="793"/>
      <c r="D6" s="793"/>
      <c r="E6" s="793"/>
      <c r="F6" s="793"/>
      <c r="G6" s="793"/>
      <c r="H6" s="793"/>
      <c r="I6" s="793"/>
      <c r="J6" s="793"/>
      <c r="K6" s="791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8" ht="18.75" hidden="1" customHeight="1">
      <c r="A7" s="244"/>
      <c r="B7" s="401"/>
      <c r="C7" s="564" t="s">
        <v>1339</v>
      </c>
      <c r="D7" s="403"/>
      <c r="E7" s="565"/>
      <c r="F7" s="565"/>
      <c r="G7" s="565"/>
      <c r="H7" s="565"/>
      <c r="I7" s="565"/>
      <c r="J7" s="565"/>
      <c r="K7" s="565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8" ht="14.25" hidden="1" customHeight="1">
      <c r="A8" s="244"/>
      <c r="B8" s="404"/>
      <c r="C8" s="564" t="s">
        <v>1340</v>
      </c>
      <c r="D8" s="405"/>
      <c r="E8" s="566"/>
      <c r="F8" s="566"/>
      <c r="G8" s="566"/>
      <c r="H8" s="566"/>
      <c r="I8" s="566"/>
      <c r="J8" s="566"/>
      <c r="K8" s="56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8" ht="14.25" hidden="1" customHeight="1">
      <c r="A9" s="244"/>
      <c r="B9" s="404"/>
      <c r="C9" s="798" t="s">
        <v>1341</v>
      </c>
      <c r="D9" s="791"/>
      <c r="E9" s="567"/>
      <c r="F9" s="567"/>
      <c r="G9" s="567"/>
      <c r="H9" s="567"/>
      <c r="I9" s="567"/>
      <c r="J9" s="567"/>
      <c r="K9" s="56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8" ht="25.5" customHeight="1">
      <c r="A10" s="568"/>
      <c r="B10" s="569"/>
      <c r="C10" s="570"/>
      <c r="D10" s="571"/>
      <c r="E10" s="572"/>
      <c r="F10" s="572"/>
      <c r="G10" s="572"/>
      <c r="H10" s="572"/>
      <c r="I10" s="572"/>
      <c r="J10" s="572"/>
      <c r="K10" s="57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8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0" t="s">
        <v>14</v>
      </c>
      <c r="F11" s="21" t="s">
        <v>14</v>
      </c>
      <c r="G11" s="289" t="s">
        <v>14</v>
      </c>
      <c r="H11" s="289" t="s">
        <v>14</v>
      </c>
      <c r="I11" s="289" t="s">
        <v>14</v>
      </c>
      <c r="J11" s="21" t="s">
        <v>14</v>
      </c>
      <c r="K11" s="21" t="s">
        <v>14</v>
      </c>
      <c r="L11" s="574" t="s">
        <v>14</v>
      </c>
      <c r="M11" s="22" t="s">
        <v>14</v>
      </c>
      <c r="N11" s="22" t="s">
        <v>14</v>
      </c>
      <c r="O11" s="289" t="s">
        <v>14</v>
      </c>
      <c r="P11" s="180" t="s">
        <v>14</v>
      </c>
      <c r="Q11" s="180" t="s">
        <v>14</v>
      </c>
      <c r="R11" s="22"/>
      <c r="S11" s="22"/>
      <c r="T11" s="22"/>
      <c r="U11" s="22"/>
      <c r="V11" s="22"/>
      <c r="W11" s="414"/>
      <c r="X11" s="201"/>
      <c r="Y11" s="576" t="s">
        <v>38</v>
      </c>
      <c r="Z11" s="577"/>
      <c r="AA11" s="535"/>
      <c r="AB11" s="535"/>
      <c r="AC11" s="7"/>
      <c r="AD11" s="7"/>
      <c r="AE11" s="7"/>
      <c r="AF11" s="7"/>
      <c r="AG11" s="7"/>
      <c r="AH11" s="7"/>
      <c r="AI11" s="7"/>
      <c r="AJ11" s="7"/>
      <c r="AK11" s="7"/>
      <c r="AL11" s="7"/>
    </row>
    <row r="12" spans="1:38" ht="29.25" customHeight="1">
      <c r="A12" s="578"/>
      <c r="B12" s="430"/>
      <c r="C12" s="579" t="s">
        <v>39</v>
      </c>
      <c r="D12" s="186"/>
      <c r="E12" s="580">
        <v>1</v>
      </c>
      <c r="F12" s="709">
        <v>1</v>
      </c>
      <c r="G12" s="187">
        <v>1</v>
      </c>
      <c r="H12" s="187">
        <v>1</v>
      </c>
      <c r="I12" s="187">
        <v>1</v>
      </c>
      <c r="J12" s="293">
        <v>1</v>
      </c>
      <c r="K12" s="293">
        <v>1</v>
      </c>
      <c r="L12" s="185">
        <v>1</v>
      </c>
      <c r="M12" s="29">
        <v>1</v>
      </c>
      <c r="N12" s="29">
        <v>1</v>
      </c>
      <c r="O12" s="187">
        <v>1</v>
      </c>
      <c r="P12" s="185"/>
      <c r="Q12" s="29"/>
      <c r="R12" s="29"/>
      <c r="S12" s="29"/>
      <c r="T12" s="29"/>
      <c r="U12" s="29"/>
      <c r="V12" s="29"/>
      <c r="W12" s="293"/>
      <c r="X12" s="352"/>
      <c r="Y12" s="581">
        <f>SUM(E12:X12)</f>
        <v>11</v>
      </c>
      <c r="Z12" s="582"/>
      <c r="AA12" s="582"/>
      <c r="AB12" s="582"/>
      <c r="AC12" s="7"/>
      <c r="AD12" s="7"/>
      <c r="AE12" s="7"/>
      <c r="AF12" s="7">
        <v>6</v>
      </c>
      <c r="AG12" s="7"/>
      <c r="AH12" s="7"/>
      <c r="AI12" s="7"/>
      <c r="AJ12" s="7"/>
      <c r="AK12" s="7"/>
      <c r="AL12" s="7"/>
    </row>
    <row r="13" spans="1:38" ht="37.5" customHeight="1">
      <c r="A13" s="583"/>
      <c r="B13" s="584"/>
      <c r="C13" s="585" t="s">
        <v>40</v>
      </c>
      <c r="D13" s="584"/>
      <c r="E13" s="586" t="s">
        <v>1753</v>
      </c>
      <c r="F13" s="32" t="s">
        <v>1754</v>
      </c>
      <c r="G13" s="587" t="s">
        <v>1755</v>
      </c>
      <c r="H13" s="587" t="s">
        <v>1756</v>
      </c>
      <c r="I13" s="710" t="s">
        <v>1757</v>
      </c>
      <c r="J13" s="710" t="s">
        <v>1758</v>
      </c>
      <c r="K13" s="710" t="s">
        <v>1759</v>
      </c>
      <c r="L13" s="191" t="s">
        <v>1542</v>
      </c>
      <c r="M13" s="32" t="s">
        <v>1760</v>
      </c>
      <c r="N13" s="189" t="s">
        <v>1761</v>
      </c>
      <c r="O13" s="587" t="s">
        <v>1762</v>
      </c>
      <c r="P13" s="40" t="s">
        <v>1573</v>
      </c>
      <c r="Q13" s="189"/>
      <c r="R13" s="189"/>
      <c r="S13" s="189"/>
      <c r="T13" s="189"/>
      <c r="U13" s="189"/>
      <c r="V13" s="189"/>
      <c r="W13" s="189"/>
      <c r="X13" s="32"/>
      <c r="Y13" s="581"/>
      <c r="Z13" s="591"/>
      <c r="AA13" s="582"/>
      <c r="AB13" s="591"/>
      <c r="AC13" s="7"/>
      <c r="AD13" s="7"/>
      <c r="AE13" s="7"/>
      <c r="AF13" s="7"/>
      <c r="AG13" s="7"/>
      <c r="AH13" s="7"/>
      <c r="AI13" s="7"/>
      <c r="AJ13" s="7"/>
      <c r="AK13" s="7"/>
      <c r="AL13" s="7"/>
    </row>
    <row r="14" spans="1:38" ht="53.25" customHeight="1">
      <c r="A14" s="578"/>
      <c r="B14" s="430"/>
      <c r="C14" s="579" t="s">
        <v>41</v>
      </c>
      <c r="D14" s="430"/>
      <c r="E14" s="186"/>
      <c r="F14" s="186"/>
      <c r="G14" s="190"/>
      <c r="H14" s="190"/>
      <c r="I14" s="190"/>
      <c r="J14" s="186"/>
      <c r="K14" s="186" t="s">
        <v>1763</v>
      </c>
      <c r="L14" s="592"/>
      <c r="M14" s="30"/>
      <c r="N14" s="30"/>
      <c r="O14" s="190"/>
      <c r="P14" s="185"/>
      <c r="Q14" s="30"/>
      <c r="R14" s="30"/>
      <c r="S14" s="30"/>
      <c r="T14" s="30"/>
      <c r="U14" s="30"/>
      <c r="V14" s="30"/>
      <c r="W14" s="185"/>
      <c r="X14" s="593"/>
      <c r="Y14" s="581"/>
      <c r="Z14" s="582"/>
      <c r="AA14" s="582"/>
      <c r="AB14" s="582"/>
      <c r="AC14" s="7"/>
      <c r="AD14" s="7"/>
      <c r="AE14" s="7"/>
      <c r="AF14" s="7"/>
      <c r="AG14" s="7"/>
      <c r="AH14" s="7"/>
      <c r="AI14" s="7"/>
      <c r="AJ14" s="7"/>
      <c r="AK14" s="7"/>
      <c r="AL14" s="7"/>
    </row>
    <row r="15" spans="1:38" ht="51" customHeight="1">
      <c r="A15" s="578"/>
      <c r="B15" s="430"/>
      <c r="C15" s="579" t="s">
        <v>42</v>
      </c>
      <c r="D15" s="430"/>
      <c r="E15" s="186" t="s">
        <v>1394</v>
      </c>
      <c r="F15" s="186" t="s">
        <v>1712</v>
      </c>
      <c r="G15" s="30" t="s">
        <v>1641</v>
      </c>
      <c r="H15" s="190" t="s">
        <v>1641</v>
      </c>
      <c r="I15" s="190" t="s">
        <v>1394</v>
      </c>
      <c r="J15" s="190" t="s">
        <v>1394</v>
      </c>
      <c r="K15" s="190" t="s">
        <v>1764</v>
      </c>
      <c r="L15" s="185" t="s">
        <v>1556</v>
      </c>
      <c r="M15" s="30" t="s">
        <v>1765</v>
      </c>
      <c r="N15" s="30" t="s">
        <v>1766</v>
      </c>
      <c r="O15" s="190" t="s">
        <v>1394</v>
      </c>
      <c r="P15" s="191" t="s">
        <v>1712</v>
      </c>
      <c r="Q15" s="30" t="s">
        <v>1767</v>
      </c>
      <c r="R15" s="30"/>
      <c r="S15" s="30"/>
      <c r="T15" s="30"/>
      <c r="U15" s="30"/>
      <c r="V15" s="30"/>
      <c r="W15" s="191"/>
      <c r="X15" s="353"/>
      <c r="Y15" s="576"/>
      <c r="Z15" s="582"/>
      <c r="AA15" s="582"/>
      <c r="AB15" s="582"/>
      <c r="AC15" s="7"/>
      <c r="AD15" s="7"/>
      <c r="AE15" s="7"/>
      <c r="AF15" s="7"/>
      <c r="AG15" s="7"/>
      <c r="AH15" s="7"/>
      <c r="AI15" s="7"/>
      <c r="AJ15" s="7"/>
      <c r="AK15" s="7"/>
      <c r="AL15" s="7"/>
    </row>
    <row r="16" spans="1:38" ht="30.75" customHeight="1">
      <c r="A16" s="579"/>
      <c r="B16" s="186"/>
      <c r="C16" s="579" t="s">
        <v>43</v>
      </c>
      <c r="D16" s="186"/>
      <c r="E16" s="354" t="s">
        <v>1653</v>
      </c>
      <c r="F16" s="354"/>
      <c r="G16" s="194" t="s">
        <v>1768</v>
      </c>
      <c r="H16" s="194" t="s">
        <v>1769</v>
      </c>
      <c r="I16" s="194" t="s">
        <v>1770</v>
      </c>
      <c r="J16" s="354" t="s">
        <v>1771</v>
      </c>
      <c r="K16" s="354" t="s">
        <v>1772</v>
      </c>
      <c r="L16" s="185" t="s">
        <v>1650</v>
      </c>
      <c r="M16" s="34" t="s">
        <v>1773</v>
      </c>
      <c r="N16" s="34" t="s">
        <v>1774</v>
      </c>
      <c r="O16" s="190" t="s">
        <v>1775</v>
      </c>
      <c r="P16" s="193" t="s">
        <v>1776</v>
      </c>
      <c r="Q16" s="34" t="s">
        <v>1777</v>
      </c>
      <c r="R16" s="34"/>
      <c r="S16" s="34"/>
      <c r="T16" s="34"/>
      <c r="U16" s="34"/>
      <c r="V16" s="34"/>
      <c r="W16" s="193"/>
      <c r="X16" s="597"/>
      <c r="Y16" s="598"/>
      <c r="Z16" s="599"/>
      <c r="AA16" s="599"/>
      <c r="AB16" s="599"/>
      <c r="AC16" s="7"/>
      <c r="AD16" s="7"/>
      <c r="AE16" s="7"/>
      <c r="AF16" s="7"/>
      <c r="AG16" s="7"/>
      <c r="AH16" s="7"/>
      <c r="AI16" s="7"/>
      <c r="AJ16" s="7"/>
      <c r="AK16" s="7"/>
      <c r="AL16" s="7"/>
    </row>
    <row r="17" spans="1:38" ht="33.75" customHeight="1">
      <c r="A17" s="583"/>
      <c r="B17" s="584"/>
      <c r="C17" s="585" t="s">
        <v>70</v>
      </c>
      <c r="D17" s="584"/>
      <c r="E17" s="586" t="s">
        <v>1778</v>
      </c>
      <c r="F17" s="32" t="s">
        <v>1779</v>
      </c>
      <c r="G17" s="587" t="s">
        <v>1780</v>
      </c>
      <c r="H17" s="587" t="s">
        <v>1781</v>
      </c>
      <c r="I17" s="710" t="s">
        <v>1782</v>
      </c>
      <c r="J17" s="710" t="s">
        <v>1670</v>
      </c>
      <c r="K17" s="710" t="s">
        <v>1783</v>
      </c>
      <c r="L17" s="586">
        <v>44654</v>
      </c>
      <c r="M17" s="32" t="s">
        <v>1784</v>
      </c>
      <c r="N17" s="189" t="s">
        <v>1761</v>
      </c>
      <c r="O17" s="587" t="s">
        <v>1785</v>
      </c>
      <c r="P17" s="40" t="s">
        <v>1786</v>
      </c>
      <c r="Q17" s="189" t="s">
        <v>1787</v>
      </c>
      <c r="R17" s="189"/>
      <c r="S17" s="189"/>
      <c r="T17" s="189"/>
      <c r="U17" s="189"/>
      <c r="V17" s="189"/>
      <c r="W17" s="32"/>
      <c r="X17" s="32"/>
      <c r="Y17" s="581"/>
      <c r="Z17" s="591"/>
      <c r="AA17" s="591"/>
      <c r="AB17" s="591"/>
      <c r="AC17" s="7"/>
      <c r="AD17" s="7"/>
      <c r="AE17" s="7"/>
      <c r="AF17" s="7"/>
      <c r="AG17" s="7"/>
      <c r="AH17" s="7"/>
      <c r="AI17" s="7"/>
      <c r="AJ17" s="7"/>
      <c r="AK17" s="7"/>
      <c r="AL17" s="7"/>
    </row>
    <row r="18" spans="1:38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196"/>
      <c r="F18" s="196"/>
      <c r="G18" s="198"/>
      <c r="H18" s="198"/>
      <c r="I18" s="198"/>
      <c r="J18" s="196"/>
      <c r="K18" s="196"/>
      <c r="L18" s="197"/>
      <c r="M18" s="43"/>
      <c r="N18" s="43"/>
      <c r="O18" s="198"/>
      <c r="P18" s="43"/>
      <c r="Q18" s="43"/>
      <c r="R18" s="43"/>
      <c r="S18" s="43"/>
      <c r="T18" s="43"/>
      <c r="U18" s="43"/>
      <c r="V18" s="43"/>
      <c r="W18" s="43"/>
      <c r="X18" s="606"/>
      <c r="Y18" s="607"/>
      <c r="Z18" s="608"/>
      <c r="AA18" s="609"/>
      <c r="AB18" s="609"/>
      <c r="AC18" s="7"/>
      <c r="AD18" s="7"/>
      <c r="AE18" s="7"/>
      <c r="AF18" s="7"/>
      <c r="AG18" s="7"/>
      <c r="AH18" s="7"/>
      <c r="AI18" s="7"/>
      <c r="AJ18" s="7"/>
      <c r="AK18" s="7"/>
      <c r="AL18" s="7"/>
    </row>
    <row r="19" spans="1:38" ht="27" customHeight="1">
      <c r="A19" s="466">
        <v>1</v>
      </c>
      <c r="B19" s="467" t="s">
        <v>87</v>
      </c>
      <c r="C19" s="610" t="s">
        <v>88</v>
      </c>
      <c r="D19" s="466"/>
      <c r="E19" s="202"/>
      <c r="F19" s="202"/>
      <c r="G19" s="204"/>
      <c r="H19" s="204"/>
      <c r="I19" s="204"/>
      <c r="J19" s="202"/>
      <c r="K19" s="202"/>
      <c r="L19" s="611"/>
      <c r="M19" s="201"/>
      <c r="N19" s="201"/>
      <c r="O19" s="204"/>
      <c r="P19" s="201"/>
      <c r="Q19" s="201"/>
      <c r="R19" s="201"/>
      <c r="S19" s="201"/>
      <c r="T19" s="201"/>
      <c r="U19" s="201"/>
      <c r="V19" s="201"/>
      <c r="W19" s="201"/>
      <c r="X19" s="615"/>
      <c r="Y19" s="616"/>
      <c r="Z19" s="617"/>
      <c r="AA19" s="577"/>
      <c r="AB19" s="577"/>
      <c r="AC19" s="7"/>
      <c r="AD19" s="363"/>
      <c r="AE19" s="7"/>
      <c r="AF19" s="618">
        <f t="shared" ref="AF19:AF36" si="0">AD19-Y19</f>
        <v>0</v>
      </c>
      <c r="AG19" s="7"/>
      <c r="AH19" s="7"/>
      <c r="AI19" s="7"/>
      <c r="AJ19" s="7"/>
      <c r="AK19" s="7"/>
      <c r="AL19" s="7"/>
    </row>
    <row r="20" spans="1:38" ht="20.25" customHeight="1">
      <c r="A20" s="474"/>
      <c r="B20" s="475" t="s">
        <v>89</v>
      </c>
      <c r="C20" s="619" t="s">
        <v>90</v>
      </c>
      <c r="D20" s="416" t="s">
        <v>91</v>
      </c>
      <c r="E20" s="210"/>
      <c r="F20" s="210"/>
      <c r="G20" s="711">
        <v>2</v>
      </c>
      <c r="H20" s="211"/>
      <c r="I20" s="211"/>
      <c r="J20" s="210"/>
      <c r="K20" s="210"/>
      <c r="L20" s="620"/>
      <c r="M20" s="209"/>
      <c r="N20" s="712">
        <v>1</v>
      </c>
      <c r="O20" s="211"/>
      <c r="P20" s="209">
        <v>1</v>
      </c>
      <c r="Q20" s="712">
        <v>0</v>
      </c>
      <c r="R20" s="712"/>
      <c r="S20" s="712"/>
      <c r="T20" s="712"/>
      <c r="U20" s="712"/>
      <c r="V20" s="712"/>
      <c r="W20" s="209"/>
      <c r="X20" s="624"/>
      <c r="Y20" s="625">
        <f t="shared" ref="Y20:Y274" si="1">+SUM(E20:X20)</f>
        <v>4</v>
      </c>
      <c r="Z20" s="626"/>
      <c r="AA20" s="627"/>
      <c r="AB20" s="627"/>
      <c r="AC20" s="7"/>
      <c r="AD20" s="699">
        <v>4</v>
      </c>
      <c r="AE20" s="7"/>
      <c r="AF20" s="618">
        <f t="shared" si="0"/>
        <v>0</v>
      </c>
      <c r="AG20" s="7"/>
      <c r="AH20" s="7"/>
      <c r="AI20" s="7"/>
      <c r="AJ20" s="7"/>
      <c r="AK20" s="7"/>
      <c r="AL20" s="7"/>
    </row>
    <row r="21" spans="1:38" ht="20.25" customHeight="1">
      <c r="A21" s="482"/>
      <c r="B21" s="483" t="s">
        <v>94</v>
      </c>
      <c r="C21" s="629" t="s">
        <v>95</v>
      </c>
      <c r="D21" s="485" t="s">
        <v>91</v>
      </c>
      <c r="E21" s="214"/>
      <c r="F21" s="214"/>
      <c r="G21" s="215"/>
      <c r="H21" s="215"/>
      <c r="I21" s="215"/>
      <c r="J21" s="214"/>
      <c r="K21" s="214"/>
      <c r="L21" s="620"/>
      <c r="M21" s="213"/>
      <c r="N21" s="213"/>
      <c r="O21" s="215"/>
      <c r="P21" s="213"/>
      <c r="Q21" s="213">
        <v>0</v>
      </c>
      <c r="R21" s="213"/>
      <c r="S21" s="213"/>
      <c r="T21" s="213"/>
      <c r="U21" s="213"/>
      <c r="V21" s="213"/>
      <c r="W21" s="213"/>
      <c r="X21" s="615"/>
      <c r="Y21" s="616">
        <f t="shared" si="1"/>
        <v>0</v>
      </c>
      <c r="Z21" s="633"/>
      <c r="AA21" s="634"/>
      <c r="AB21" s="634"/>
      <c r="AC21" s="7"/>
      <c r="AD21" s="699"/>
      <c r="AE21" s="7"/>
      <c r="AF21" s="618">
        <f t="shared" si="0"/>
        <v>0</v>
      </c>
      <c r="AG21" s="7"/>
      <c r="AH21" s="7"/>
      <c r="AI21" s="7"/>
      <c r="AJ21" s="7"/>
      <c r="AK21" s="7"/>
      <c r="AL21" s="7"/>
    </row>
    <row r="22" spans="1:38" ht="20.25" customHeight="1">
      <c r="A22" s="482"/>
      <c r="B22" s="483" t="s">
        <v>96</v>
      </c>
      <c r="C22" s="629" t="s">
        <v>97</v>
      </c>
      <c r="D22" s="485" t="s">
        <v>91</v>
      </c>
      <c r="E22" s="214"/>
      <c r="F22" s="214"/>
      <c r="G22" s="215"/>
      <c r="H22" s="215"/>
      <c r="I22" s="215"/>
      <c r="J22" s="214"/>
      <c r="K22" s="214"/>
      <c r="L22" s="620"/>
      <c r="M22" s="213"/>
      <c r="N22" s="213"/>
      <c r="O22" s="215"/>
      <c r="P22" s="213"/>
      <c r="Q22" s="213">
        <v>0</v>
      </c>
      <c r="R22" s="213"/>
      <c r="S22" s="213"/>
      <c r="T22" s="213"/>
      <c r="U22" s="213"/>
      <c r="V22" s="213"/>
      <c r="W22" s="213"/>
      <c r="X22" s="615"/>
      <c r="Y22" s="616">
        <f t="shared" si="1"/>
        <v>0</v>
      </c>
      <c r="Z22" s="633"/>
      <c r="AA22" s="634"/>
      <c r="AB22" s="634"/>
      <c r="AC22" s="7"/>
      <c r="AD22" s="699"/>
      <c r="AE22" s="7"/>
      <c r="AF22" s="618">
        <f t="shared" si="0"/>
        <v>0</v>
      </c>
      <c r="AG22" s="7"/>
      <c r="AH22" s="7"/>
      <c r="AI22" s="7"/>
      <c r="AJ22" s="7"/>
      <c r="AK22" s="7"/>
      <c r="AL22" s="7"/>
    </row>
    <row r="23" spans="1:38" ht="20.25" customHeight="1">
      <c r="A23" s="482"/>
      <c r="B23" s="483" t="s">
        <v>98</v>
      </c>
      <c r="C23" s="629" t="s">
        <v>99</v>
      </c>
      <c r="D23" s="485" t="s">
        <v>91</v>
      </c>
      <c r="E23" s="214"/>
      <c r="F23" s="214"/>
      <c r="G23" s="215"/>
      <c r="H23" s="215"/>
      <c r="I23" s="215"/>
      <c r="J23" s="214"/>
      <c r="K23" s="214"/>
      <c r="L23" s="620"/>
      <c r="M23" s="213"/>
      <c r="N23" s="213"/>
      <c r="O23" s="215"/>
      <c r="P23" s="213"/>
      <c r="Q23" s="213">
        <v>0</v>
      </c>
      <c r="R23" s="213"/>
      <c r="S23" s="213"/>
      <c r="T23" s="213"/>
      <c r="U23" s="213"/>
      <c r="V23" s="213"/>
      <c r="W23" s="213"/>
      <c r="X23" s="615"/>
      <c r="Y23" s="616">
        <f t="shared" si="1"/>
        <v>0</v>
      </c>
      <c r="Z23" s="633"/>
      <c r="AA23" s="634"/>
      <c r="AB23" s="634"/>
      <c r="AC23" s="7"/>
      <c r="AD23" s="699"/>
      <c r="AE23" s="7"/>
      <c r="AF23" s="618">
        <f t="shared" si="0"/>
        <v>0</v>
      </c>
      <c r="AG23" s="7"/>
      <c r="AH23" s="7"/>
      <c r="AI23" s="7"/>
      <c r="AJ23" s="7"/>
      <c r="AK23" s="7"/>
      <c r="AL23" s="7"/>
    </row>
    <row r="24" spans="1:38" ht="20.25" customHeight="1">
      <c r="A24" s="482"/>
      <c r="B24" s="483" t="s">
        <v>100</v>
      </c>
      <c r="C24" s="629" t="s">
        <v>101</v>
      </c>
      <c r="D24" s="485" t="s">
        <v>91</v>
      </c>
      <c r="E24" s="214"/>
      <c r="F24" s="214"/>
      <c r="G24" s="215"/>
      <c r="H24" s="215"/>
      <c r="I24" s="215"/>
      <c r="J24" s="214"/>
      <c r="K24" s="214"/>
      <c r="L24" s="620"/>
      <c r="M24" s="213"/>
      <c r="N24" s="213"/>
      <c r="O24" s="215"/>
      <c r="P24" s="213"/>
      <c r="Q24" s="213">
        <v>0</v>
      </c>
      <c r="R24" s="213"/>
      <c r="S24" s="213"/>
      <c r="T24" s="213"/>
      <c r="U24" s="213"/>
      <c r="V24" s="213"/>
      <c r="W24" s="213"/>
      <c r="X24" s="615"/>
      <c r="Y24" s="616">
        <f t="shared" si="1"/>
        <v>0</v>
      </c>
      <c r="Z24" s="633"/>
      <c r="AA24" s="634"/>
      <c r="AB24" s="634"/>
      <c r="AC24" s="7"/>
      <c r="AD24" s="699"/>
      <c r="AE24" s="7"/>
      <c r="AF24" s="618">
        <f t="shared" si="0"/>
        <v>0</v>
      </c>
      <c r="AG24" s="7"/>
      <c r="AH24" s="7"/>
      <c r="AI24" s="7"/>
      <c r="AJ24" s="7"/>
      <c r="AK24" s="7"/>
      <c r="AL24" s="7"/>
    </row>
    <row r="25" spans="1:38" ht="20.25" customHeight="1">
      <c r="A25" s="474"/>
      <c r="B25" s="475" t="s">
        <v>102</v>
      </c>
      <c r="C25" s="619" t="s">
        <v>103</v>
      </c>
      <c r="D25" s="416" t="s">
        <v>91</v>
      </c>
      <c r="E25" s="210"/>
      <c r="F25" s="210"/>
      <c r="G25" s="211"/>
      <c r="H25" s="211"/>
      <c r="I25" s="211"/>
      <c r="J25" s="210"/>
      <c r="K25" s="210"/>
      <c r="L25" s="620"/>
      <c r="M25" s="209"/>
      <c r="N25" s="209"/>
      <c r="O25" s="211"/>
      <c r="P25" s="712">
        <v>1</v>
      </c>
      <c r="Q25" s="209">
        <v>0</v>
      </c>
      <c r="R25" s="209"/>
      <c r="S25" s="209"/>
      <c r="T25" s="209"/>
      <c r="U25" s="209"/>
      <c r="V25" s="209"/>
      <c r="W25" s="209"/>
      <c r="X25" s="624"/>
      <c r="Y25" s="625">
        <f t="shared" si="1"/>
        <v>1</v>
      </c>
      <c r="Z25" s="626"/>
      <c r="AA25" s="627"/>
      <c r="AB25" s="627"/>
      <c r="AC25" s="7"/>
      <c r="AD25" s="699">
        <v>1</v>
      </c>
      <c r="AE25" s="7"/>
      <c r="AF25" s="618">
        <f t="shared" si="0"/>
        <v>0</v>
      </c>
      <c r="AG25" s="7"/>
      <c r="AH25" s="7"/>
      <c r="AI25" s="7"/>
      <c r="AJ25" s="7"/>
      <c r="AK25" s="7"/>
      <c r="AL25" s="7"/>
    </row>
    <row r="26" spans="1:38" ht="20.25" customHeight="1">
      <c r="A26" s="482"/>
      <c r="B26" s="483" t="s">
        <v>105</v>
      </c>
      <c r="C26" s="629" t="s">
        <v>95</v>
      </c>
      <c r="D26" s="485" t="s">
        <v>91</v>
      </c>
      <c r="E26" s="214"/>
      <c r="F26" s="214"/>
      <c r="G26" s="215"/>
      <c r="H26" s="215"/>
      <c r="I26" s="215"/>
      <c r="J26" s="214"/>
      <c r="K26" s="214"/>
      <c r="L26" s="620"/>
      <c r="M26" s="213"/>
      <c r="N26" s="213"/>
      <c r="O26" s="215"/>
      <c r="P26" s="213"/>
      <c r="Q26" s="213">
        <v>0</v>
      </c>
      <c r="R26" s="213"/>
      <c r="S26" s="213"/>
      <c r="T26" s="213"/>
      <c r="U26" s="213"/>
      <c r="V26" s="213"/>
      <c r="W26" s="213"/>
      <c r="X26" s="615"/>
      <c r="Y26" s="616">
        <f t="shared" si="1"/>
        <v>0</v>
      </c>
      <c r="Z26" s="633"/>
      <c r="AA26" s="634"/>
      <c r="AB26" s="634"/>
      <c r="AC26" s="7"/>
      <c r="AD26" s="699"/>
      <c r="AE26" s="7"/>
      <c r="AF26" s="618">
        <f t="shared" si="0"/>
        <v>0</v>
      </c>
      <c r="AG26" s="7"/>
      <c r="AH26" s="7"/>
      <c r="AI26" s="7"/>
      <c r="AJ26" s="7"/>
      <c r="AK26" s="7"/>
      <c r="AL26" s="7"/>
    </row>
    <row r="27" spans="1:38" ht="20.25" customHeight="1">
      <c r="A27" s="482"/>
      <c r="B27" s="483" t="s">
        <v>106</v>
      </c>
      <c r="C27" s="629" t="s">
        <v>97</v>
      </c>
      <c r="D27" s="485" t="s">
        <v>91</v>
      </c>
      <c r="E27" s="214"/>
      <c r="F27" s="214"/>
      <c r="G27" s="215"/>
      <c r="H27" s="215"/>
      <c r="I27" s="215"/>
      <c r="J27" s="214"/>
      <c r="K27" s="214"/>
      <c r="L27" s="620"/>
      <c r="M27" s="213"/>
      <c r="N27" s="213"/>
      <c r="O27" s="215"/>
      <c r="P27" s="213"/>
      <c r="Q27" s="213">
        <v>0</v>
      </c>
      <c r="R27" s="213"/>
      <c r="S27" s="213"/>
      <c r="T27" s="213"/>
      <c r="U27" s="213"/>
      <c r="V27" s="213"/>
      <c r="W27" s="213"/>
      <c r="X27" s="615"/>
      <c r="Y27" s="616">
        <f t="shared" si="1"/>
        <v>0</v>
      </c>
      <c r="Z27" s="633"/>
      <c r="AA27" s="634"/>
      <c r="AB27" s="634"/>
      <c r="AC27" s="7"/>
      <c r="AD27" s="699"/>
      <c r="AE27" s="7"/>
      <c r="AF27" s="618">
        <f t="shared" si="0"/>
        <v>0</v>
      </c>
      <c r="AG27" s="7"/>
      <c r="AH27" s="7"/>
      <c r="AI27" s="7"/>
      <c r="AJ27" s="7"/>
      <c r="AK27" s="7"/>
      <c r="AL27" s="7"/>
    </row>
    <row r="28" spans="1:38" ht="20.25" customHeight="1">
      <c r="A28" s="482"/>
      <c r="B28" s="483" t="s">
        <v>107</v>
      </c>
      <c r="C28" s="629" t="s">
        <v>99</v>
      </c>
      <c r="D28" s="485" t="s">
        <v>91</v>
      </c>
      <c r="E28" s="214"/>
      <c r="F28" s="214"/>
      <c r="G28" s="215"/>
      <c r="H28" s="215"/>
      <c r="I28" s="215"/>
      <c r="J28" s="214"/>
      <c r="K28" s="214"/>
      <c r="L28" s="620"/>
      <c r="M28" s="213"/>
      <c r="N28" s="213"/>
      <c r="O28" s="215"/>
      <c r="P28" s="213"/>
      <c r="Q28" s="213">
        <v>0</v>
      </c>
      <c r="R28" s="213"/>
      <c r="S28" s="213"/>
      <c r="T28" s="213"/>
      <c r="U28" s="213"/>
      <c r="V28" s="213"/>
      <c r="W28" s="213"/>
      <c r="X28" s="615"/>
      <c r="Y28" s="616">
        <f t="shared" si="1"/>
        <v>0</v>
      </c>
      <c r="Z28" s="633"/>
      <c r="AA28" s="634"/>
      <c r="AB28" s="634"/>
      <c r="AC28" s="7"/>
      <c r="AD28" s="699"/>
      <c r="AE28" s="7"/>
      <c r="AF28" s="618">
        <f t="shared" si="0"/>
        <v>0</v>
      </c>
      <c r="AG28" s="7"/>
      <c r="AH28" s="7"/>
      <c r="AI28" s="7"/>
      <c r="AJ28" s="7"/>
      <c r="AK28" s="7"/>
      <c r="AL28" s="7"/>
    </row>
    <row r="29" spans="1:38" ht="20.25" customHeight="1">
      <c r="A29" s="482"/>
      <c r="B29" s="483" t="s">
        <v>108</v>
      </c>
      <c r="C29" s="629" t="s">
        <v>101</v>
      </c>
      <c r="D29" s="485" t="s">
        <v>91</v>
      </c>
      <c r="E29" s="214"/>
      <c r="F29" s="214"/>
      <c r="G29" s="215"/>
      <c r="H29" s="215"/>
      <c r="I29" s="215"/>
      <c r="J29" s="214"/>
      <c r="K29" s="214"/>
      <c r="L29" s="620"/>
      <c r="M29" s="213"/>
      <c r="N29" s="213"/>
      <c r="O29" s="215"/>
      <c r="P29" s="213"/>
      <c r="Q29" s="213">
        <v>0</v>
      </c>
      <c r="R29" s="213"/>
      <c r="S29" s="213"/>
      <c r="T29" s="213"/>
      <c r="U29" s="213"/>
      <c r="V29" s="213"/>
      <c r="W29" s="213"/>
      <c r="X29" s="615"/>
      <c r="Y29" s="616">
        <f t="shared" si="1"/>
        <v>0</v>
      </c>
      <c r="Z29" s="633"/>
      <c r="AA29" s="634"/>
      <c r="AB29" s="634"/>
      <c r="AC29" s="7"/>
      <c r="AD29" s="699"/>
      <c r="AE29" s="7"/>
      <c r="AF29" s="618">
        <f t="shared" si="0"/>
        <v>0</v>
      </c>
      <c r="AG29" s="7"/>
      <c r="AH29" s="7"/>
      <c r="AI29" s="7"/>
      <c r="AJ29" s="7"/>
      <c r="AK29" s="7"/>
      <c r="AL29" s="7"/>
    </row>
    <row r="30" spans="1:38" ht="20.25" customHeight="1">
      <c r="A30" s="474"/>
      <c r="B30" s="475" t="s">
        <v>109</v>
      </c>
      <c r="C30" s="619" t="s">
        <v>110</v>
      </c>
      <c r="D30" s="416" t="s">
        <v>91</v>
      </c>
      <c r="E30" s="210"/>
      <c r="F30" s="210"/>
      <c r="G30" s="211">
        <v>2</v>
      </c>
      <c r="H30" s="211"/>
      <c r="I30" s="211"/>
      <c r="J30" s="210"/>
      <c r="K30" s="210"/>
      <c r="L30" s="620"/>
      <c r="M30" s="209"/>
      <c r="N30" s="209"/>
      <c r="O30" s="211"/>
      <c r="P30" s="209"/>
      <c r="Q30" s="209">
        <v>1</v>
      </c>
      <c r="R30" s="209"/>
      <c r="S30" s="209"/>
      <c r="T30" s="209"/>
      <c r="U30" s="209"/>
      <c r="V30" s="209"/>
      <c r="W30" s="209"/>
      <c r="X30" s="624"/>
      <c r="Y30" s="625">
        <f t="shared" si="1"/>
        <v>3</v>
      </c>
      <c r="Z30" s="626"/>
      <c r="AA30" s="627"/>
      <c r="AB30" s="627"/>
      <c r="AC30" s="7"/>
      <c r="AD30" s="699">
        <v>3</v>
      </c>
      <c r="AE30" s="7"/>
      <c r="AF30" s="618">
        <f t="shared" si="0"/>
        <v>0</v>
      </c>
      <c r="AG30" s="7"/>
      <c r="AH30" s="7"/>
      <c r="AI30" s="7"/>
      <c r="AJ30" s="7"/>
      <c r="AK30" s="7"/>
      <c r="AL30" s="7"/>
    </row>
    <row r="31" spans="1:38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4"/>
      <c r="F31" s="214"/>
      <c r="G31" s="215"/>
      <c r="H31" s="215"/>
      <c r="I31" s="215"/>
      <c r="J31" s="214"/>
      <c r="K31" s="214"/>
      <c r="L31" s="620"/>
      <c r="M31" s="213"/>
      <c r="N31" s="213"/>
      <c r="O31" s="215"/>
      <c r="P31" s="213"/>
      <c r="Q31" s="213">
        <v>0</v>
      </c>
      <c r="R31" s="213"/>
      <c r="S31" s="213"/>
      <c r="T31" s="213"/>
      <c r="U31" s="213"/>
      <c r="V31" s="213"/>
      <c r="W31" s="213"/>
      <c r="X31" s="615"/>
      <c r="Y31" s="616">
        <f t="shared" si="1"/>
        <v>0</v>
      </c>
      <c r="Z31" s="633"/>
      <c r="AA31" s="634"/>
      <c r="AB31" s="634"/>
      <c r="AC31" s="7"/>
      <c r="AD31" s="699"/>
      <c r="AE31" s="7"/>
      <c r="AF31" s="618">
        <f t="shared" si="0"/>
        <v>0</v>
      </c>
      <c r="AG31" s="7"/>
      <c r="AH31" s="7"/>
      <c r="AI31" s="7"/>
      <c r="AJ31" s="7"/>
      <c r="AK31" s="7"/>
      <c r="AL31" s="7"/>
    </row>
    <row r="32" spans="1:38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4"/>
      <c r="F32" s="214"/>
      <c r="G32" s="215"/>
      <c r="H32" s="215"/>
      <c r="I32" s="215"/>
      <c r="J32" s="214"/>
      <c r="K32" s="214"/>
      <c r="L32" s="620"/>
      <c r="M32" s="213"/>
      <c r="N32" s="213"/>
      <c r="O32" s="215"/>
      <c r="P32" s="213"/>
      <c r="Q32" s="213">
        <v>0</v>
      </c>
      <c r="R32" s="213"/>
      <c r="S32" s="213"/>
      <c r="T32" s="213"/>
      <c r="U32" s="213"/>
      <c r="V32" s="213"/>
      <c r="W32" s="213"/>
      <c r="X32" s="615"/>
      <c r="Y32" s="616">
        <f t="shared" si="1"/>
        <v>0</v>
      </c>
      <c r="Z32" s="633"/>
      <c r="AA32" s="634"/>
      <c r="AB32" s="634"/>
      <c r="AC32" s="7"/>
      <c r="AD32" s="699"/>
      <c r="AE32" s="7"/>
      <c r="AF32" s="618">
        <f t="shared" si="0"/>
        <v>0</v>
      </c>
      <c r="AG32" s="7"/>
      <c r="AH32" s="7"/>
      <c r="AI32" s="7"/>
      <c r="AJ32" s="7"/>
      <c r="AK32" s="7"/>
      <c r="AL32" s="7"/>
    </row>
    <row r="33" spans="1:38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4"/>
      <c r="F33" s="214"/>
      <c r="G33" s="215"/>
      <c r="H33" s="215"/>
      <c r="I33" s="215"/>
      <c r="J33" s="214"/>
      <c r="K33" s="214"/>
      <c r="L33" s="620"/>
      <c r="M33" s="213"/>
      <c r="N33" s="213"/>
      <c r="O33" s="215"/>
      <c r="P33" s="213"/>
      <c r="Q33" s="213">
        <v>0</v>
      </c>
      <c r="R33" s="213"/>
      <c r="S33" s="213"/>
      <c r="T33" s="213"/>
      <c r="U33" s="213"/>
      <c r="V33" s="213"/>
      <c r="W33" s="213"/>
      <c r="X33" s="615"/>
      <c r="Y33" s="616">
        <f t="shared" si="1"/>
        <v>0</v>
      </c>
      <c r="Z33" s="633"/>
      <c r="AA33" s="634"/>
      <c r="AB33" s="634"/>
      <c r="AC33" s="7"/>
      <c r="AD33" s="699"/>
      <c r="AE33" s="7"/>
      <c r="AF33" s="618">
        <f t="shared" si="0"/>
        <v>0</v>
      </c>
      <c r="AG33" s="7"/>
      <c r="AH33" s="7"/>
      <c r="AI33" s="7"/>
      <c r="AJ33" s="7"/>
      <c r="AK33" s="7"/>
      <c r="AL33" s="7"/>
    </row>
    <row r="34" spans="1:38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4"/>
      <c r="F34" s="214"/>
      <c r="G34" s="215"/>
      <c r="H34" s="215"/>
      <c r="I34" s="215"/>
      <c r="J34" s="214"/>
      <c r="K34" s="214"/>
      <c r="L34" s="620"/>
      <c r="M34" s="213"/>
      <c r="N34" s="213"/>
      <c r="O34" s="215"/>
      <c r="P34" s="213"/>
      <c r="Q34" s="213">
        <v>0</v>
      </c>
      <c r="R34" s="213"/>
      <c r="S34" s="213"/>
      <c r="T34" s="213"/>
      <c r="U34" s="213"/>
      <c r="V34" s="213"/>
      <c r="W34" s="213"/>
      <c r="X34" s="615"/>
      <c r="Y34" s="616">
        <f t="shared" si="1"/>
        <v>0</v>
      </c>
      <c r="Z34" s="633"/>
      <c r="AA34" s="634"/>
      <c r="AB34" s="634"/>
      <c r="AC34" s="7"/>
      <c r="AD34" s="699"/>
      <c r="AE34" s="7"/>
      <c r="AF34" s="618">
        <f t="shared" si="0"/>
        <v>0</v>
      </c>
      <c r="AG34" s="7"/>
      <c r="AH34" s="7"/>
      <c r="AI34" s="7"/>
      <c r="AJ34" s="7"/>
      <c r="AK34" s="7"/>
      <c r="AL34" s="7"/>
    </row>
    <row r="35" spans="1:38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4"/>
      <c r="F35" s="214"/>
      <c r="G35" s="215"/>
      <c r="H35" s="215"/>
      <c r="I35" s="215"/>
      <c r="J35" s="214"/>
      <c r="K35" s="214"/>
      <c r="L35" s="620"/>
      <c r="M35" s="213"/>
      <c r="N35" s="213"/>
      <c r="O35" s="215"/>
      <c r="P35" s="213"/>
      <c r="Q35" s="213">
        <v>0</v>
      </c>
      <c r="R35" s="213"/>
      <c r="S35" s="213"/>
      <c r="T35" s="213"/>
      <c r="U35" s="213"/>
      <c r="V35" s="213"/>
      <c r="W35" s="213"/>
      <c r="X35" s="615"/>
      <c r="Y35" s="616">
        <f t="shared" si="1"/>
        <v>0</v>
      </c>
      <c r="Z35" s="633"/>
      <c r="AA35" s="636"/>
      <c r="AB35" s="636"/>
      <c r="AC35" s="7"/>
      <c r="AD35" s="699"/>
      <c r="AE35" s="7"/>
      <c r="AF35" s="618">
        <f t="shared" si="0"/>
        <v>0</v>
      </c>
      <c r="AG35" s="7"/>
      <c r="AH35" s="7"/>
      <c r="AI35" s="7"/>
      <c r="AJ35" s="7"/>
      <c r="AK35" s="7"/>
      <c r="AL35" s="7"/>
    </row>
    <row r="36" spans="1:38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4"/>
      <c r="F36" s="214"/>
      <c r="G36" s="215"/>
      <c r="H36" s="215"/>
      <c r="I36" s="215"/>
      <c r="J36" s="214"/>
      <c r="K36" s="214"/>
      <c r="L36" s="620"/>
      <c r="M36" s="213"/>
      <c r="N36" s="213"/>
      <c r="O36" s="215"/>
      <c r="P36" s="213"/>
      <c r="Q36" s="213">
        <v>0</v>
      </c>
      <c r="R36" s="213"/>
      <c r="S36" s="213"/>
      <c r="T36" s="213"/>
      <c r="U36" s="213"/>
      <c r="V36" s="213"/>
      <c r="W36" s="213"/>
      <c r="X36" s="615"/>
      <c r="Y36" s="616">
        <f t="shared" si="1"/>
        <v>0</v>
      </c>
      <c r="Z36" s="633"/>
      <c r="AA36" s="547" t="s">
        <v>1576</v>
      </c>
      <c r="AB36" s="636"/>
      <c r="AC36" s="7"/>
      <c r="AD36" s="699"/>
      <c r="AE36" s="7"/>
      <c r="AF36" s="618">
        <f t="shared" si="0"/>
        <v>0</v>
      </c>
      <c r="AG36" s="7"/>
      <c r="AH36" s="7"/>
      <c r="AI36" s="7"/>
      <c r="AJ36" s="7"/>
      <c r="AK36" s="7"/>
      <c r="AL36" s="7"/>
    </row>
    <row r="37" spans="1:38" ht="19.5" customHeight="1">
      <c r="A37" s="489">
        <v>2</v>
      </c>
      <c r="B37" s="490" t="s">
        <v>128</v>
      </c>
      <c r="C37" s="637" t="s">
        <v>129</v>
      </c>
      <c r="D37" s="491"/>
      <c r="E37" s="214"/>
      <c r="F37" s="214"/>
      <c r="G37" s="215"/>
      <c r="H37" s="215"/>
      <c r="I37" s="215"/>
      <c r="J37" s="214"/>
      <c r="K37" s="214"/>
      <c r="L37" s="638"/>
      <c r="M37" s="677">
        <f>SUM(M38:M53)+M62</f>
        <v>2</v>
      </c>
      <c r="N37" s="213"/>
      <c r="O37" s="215"/>
      <c r="P37" s="213"/>
      <c r="Q37" s="213"/>
      <c r="R37" s="213"/>
      <c r="S37" s="213"/>
      <c r="T37" s="213"/>
      <c r="U37" s="213"/>
      <c r="V37" s="213"/>
      <c r="W37" s="213"/>
      <c r="X37" s="639"/>
      <c r="Y37" s="616">
        <f t="shared" si="1"/>
        <v>2</v>
      </c>
      <c r="Z37" s="633"/>
      <c r="AA37" s="640"/>
      <c r="AB37" s="640"/>
      <c r="AC37" s="7"/>
      <c r="AD37" s="700"/>
      <c r="AE37" s="7"/>
      <c r="AF37" s="618"/>
      <c r="AG37" s="7"/>
      <c r="AH37" s="7"/>
      <c r="AI37" s="7"/>
      <c r="AJ37" s="7"/>
      <c r="AK37" s="7"/>
      <c r="AL37" s="7"/>
    </row>
    <row r="38" spans="1:38" ht="20.25" customHeight="1">
      <c r="A38" s="492"/>
      <c r="B38" s="493" t="s">
        <v>130</v>
      </c>
      <c r="C38" s="641" t="s">
        <v>131</v>
      </c>
      <c r="D38" s="495" t="s">
        <v>132</v>
      </c>
      <c r="E38" s="210">
        <v>2</v>
      </c>
      <c r="F38" s="210"/>
      <c r="G38" s="211">
        <v>2</v>
      </c>
      <c r="H38" s="211"/>
      <c r="I38" s="211"/>
      <c r="J38" s="210"/>
      <c r="K38" s="210"/>
      <c r="L38" s="620"/>
      <c r="M38" s="209"/>
      <c r="N38" s="209"/>
      <c r="O38" s="211">
        <f>3+2</f>
        <v>5</v>
      </c>
      <c r="P38" s="209"/>
      <c r="Q38" s="209">
        <v>4</v>
      </c>
      <c r="R38" s="209"/>
      <c r="S38" s="209"/>
      <c r="T38" s="209"/>
      <c r="U38" s="209"/>
      <c r="V38" s="209"/>
      <c r="W38" s="209"/>
      <c r="X38" s="624"/>
      <c r="Y38" s="625">
        <f t="shared" si="1"/>
        <v>13</v>
      </c>
      <c r="Z38" s="626"/>
      <c r="AA38" s="627" t="s">
        <v>1577</v>
      </c>
      <c r="AB38" s="642">
        <f>Y38</f>
        <v>13</v>
      </c>
      <c r="AC38" s="7"/>
      <c r="AD38" s="699">
        <v>13</v>
      </c>
      <c r="AE38" s="7"/>
      <c r="AF38" s="618">
        <f t="shared" ref="AF38:AF42" si="2">AD38-Y38</f>
        <v>0</v>
      </c>
      <c r="AG38" s="7"/>
      <c r="AH38" s="7"/>
      <c r="AI38" s="7"/>
      <c r="AJ38" s="7"/>
      <c r="AK38" s="7"/>
      <c r="AL38" s="7"/>
    </row>
    <row r="39" spans="1:38" ht="20.25" hidden="1" customHeight="1">
      <c r="A39" s="482"/>
      <c r="B39" s="483" t="s">
        <v>135</v>
      </c>
      <c r="C39" s="629" t="s">
        <v>136</v>
      </c>
      <c r="D39" s="485" t="s">
        <v>132</v>
      </c>
      <c r="E39" s="214"/>
      <c r="F39" s="214"/>
      <c r="G39" s="215"/>
      <c r="H39" s="215"/>
      <c r="I39" s="215"/>
      <c r="J39" s="214"/>
      <c r="K39" s="214"/>
      <c r="L39" s="620"/>
      <c r="M39" s="213"/>
      <c r="N39" s="213"/>
      <c r="O39" s="215"/>
      <c r="P39" s="213"/>
      <c r="Q39" s="213">
        <v>0</v>
      </c>
      <c r="R39" s="213"/>
      <c r="S39" s="213"/>
      <c r="T39" s="213"/>
      <c r="U39" s="213"/>
      <c r="V39" s="213"/>
      <c r="W39" s="213"/>
      <c r="X39" s="643"/>
      <c r="Y39" s="616">
        <f t="shared" si="1"/>
        <v>0</v>
      </c>
      <c r="Z39" s="633"/>
      <c r="AA39" s="644" t="s">
        <v>1578</v>
      </c>
      <c r="AB39" s="645">
        <f>Z43</f>
        <v>994</v>
      </c>
      <c r="AC39" s="7"/>
      <c r="AD39" s="699"/>
      <c r="AE39" s="7"/>
      <c r="AF39" s="618">
        <f t="shared" si="2"/>
        <v>0</v>
      </c>
      <c r="AG39" s="7"/>
      <c r="AH39" s="7"/>
      <c r="AI39" s="7"/>
      <c r="AJ39" s="7"/>
      <c r="AK39" s="7"/>
      <c r="AL39" s="7"/>
    </row>
    <row r="40" spans="1:38" ht="20.25" hidden="1" customHeight="1">
      <c r="A40" s="482"/>
      <c r="B40" s="483" t="s">
        <v>137</v>
      </c>
      <c r="C40" s="629" t="s">
        <v>138</v>
      </c>
      <c r="D40" s="485" t="s">
        <v>132</v>
      </c>
      <c r="E40" s="214"/>
      <c r="F40" s="214"/>
      <c r="G40" s="215"/>
      <c r="H40" s="215"/>
      <c r="I40" s="215"/>
      <c r="J40" s="214"/>
      <c r="K40" s="214"/>
      <c r="L40" s="620"/>
      <c r="M40" s="213"/>
      <c r="N40" s="213"/>
      <c r="O40" s="215"/>
      <c r="P40" s="213"/>
      <c r="Q40" s="213">
        <v>0</v>
      </c>
      <c r="R40" s="213"/>
      <c r="S40" s="213"/>
      <c r="T40" s="213"/>
      <c r="U40" s="213"/>
      <c r="V40" s="213"/>
      <c r="W40" s="213"/>
      <c r="X40" s="643"/>
      <c r="Y40" s="616">
        <f t="shared" si="1"/>
        <v>0</v>
      </c>
      <c r="Z40" s="633"/>
      <c r="AA40" s="636"/>
      <c r="AB40" s="636"/>
      <c r="AC40" s="7"/>
      <c r="AD40" s="699"/>
      <c r="AE40" s="7"/>
      <c r="AF40" s="618">
        <f t="shared" si="2"/>
        <v>0</v>
      </c>
      <c r="AG40" s="7"/>
      <c r="AH40" s="7"/>
      <c r="AI40" s="7"/>
      <c r="AJ40" s="7"/>
      <c r="AK40" s="7"/>
      <c r="AL40" s="7"/>
    </row>
    <row r="41" spans="1:38" ht="20.25" hidden="1" customHeight="1">
      <c r="A41" s="482"/>
      <c r="B41" s="483" t="s">
        <v>139</v>
      </c>
      <c r="C41" s="629" t="s">
        <v>140</v>
      </c>
      <c r="D41" s="485" t="s">
        <v>132</v>
      </c>
      <c r="E41" s="214"/>
      <c r="F41" s="214"/>
      <c r="G41" s="215"/>
      <c r="H41" s="215"/>
      <c r="I41" s="215"/>
      <c r="J41" s="214"/>
      <c r="K41" s="214"/>
      <c r="L41" s="620"/>
      <c r="M41" s="213"/>
      <c r="N41" s="213"/>
      <c r="O41" s="215"/>
      <c r="P41" s="213"/>
      <c r="Q41" s="213">
        <v>0</v>
      </c>
      <c r="R41" s="213"/>
      <c r="S41" s="213"/>
      <c r="T41" s="213"/>
      <c r="U41" s="213"/>
      <c r="V41" s="213"/>
      <c r="W41" s="213"/>
      <c r="X41" s="643"/>
      <c r="Y41" s="616">
        <f t="shared" si="1"/>
        <v>0</v>
      </c>
      <c r="Z41" s="633"/>
      <c r="AA41" s="636"/>
      <c r="AB41" s="636"/>
      <c r="AC41" s="7"/>
      <c r="AD41" s="699"/>
      <c r="AE41" s="7"/>
      <c r="AF41" s="618">
        <f t="shared" si="2"/>
        <v>0</v>
      </c>
      <c r="AG41" s="7"/>
      <c r="AH41" s="7"/>
      <c r="AI41" s="7"/>
      <c r="AJ41" s="7"/>
      <c r="AK41" s="7"/>
      <c r="AL41" s="7"/>
    </row>
    <row r="42" spans="1:38" ht="20.25" hidden="1" customHeight="1">
      <c r="A42" s="482"/>
      <c r="B42" s="483" t="s">
        <v>141</v>
      </c>
      <c r="C42" s="629" t="s">
        <v>142</v>
      </c>
      <c r="D42" s="485" t="s">
        <v>132</v>
      </c>
      <c r="E42" s="214"/>
      <c r="F42" s="214"/>
      <c r="G42" s="215"/>
      <c r="H42" s="215"/>
      <c r="I42" s="215"/>
      <c r="J42" s="214"/>
      <c r="K42" s="214"/>
      <c r="L42" s="620"/>
      <c r="M42" s="213"/>
      <c r="N42" s="213"/>
      <c r="O42" s="215"/>
      <c r="P42" s="213"/>
      <c r="Q42" s="213">
        <v>0</v>
      </c>
      <c r="R42" s="213"/>
      <c r="S42" s="213"/>
      <c r="T42" s="213"/>
      <c r="U42" s="213"/>
      <c r="V42" s="213"/>
      <c r="W42" s="213"/>
      <c r="X42" s="643"/>
      <c r="Y42" s="616">
        <f t="shared" si="1"/>
        <v>0</v>
      </c>
      <c r="Z42" s="633"/>
      <c r="AA42" s="636"/>
      <c r="AB42" s="636"/>
      <c r="AC42" s="7"/>
      <c r="AD42" s="699"/>
      <c r="AE42" s="7"/>
      <c r="AF42" s="618">
        <f t="shared" si="2"/>
        <v>0</v>
      </c>
      <c r="AG42" s="7"/>
      <c r="AH42" s="7"/>
      <c r="AI42" s="7"/>
      <c r="AJ42" s="7"/>
      <c r="AK42" s="7"/>
      <c r="AL42" s="7"/>
    </row>
    <row r="43" spans="1:38" ht="20.25" customHeight="1">
      <c r="A43" s="482"/>
      <c r="B43" s="496" t="s">
        <v>143</v>
      </c>
      <c r="C43" s="555" t="s">
        <v>144</v>
      </c>
      <c r="D43" s="485" t="s">
        <v>132</v>
      </c>
      <c r="E43" s="214"/>
      <c r="F43" s="214"/>
      <c r="G43" s="215">
        <v>4</v>
      </c>
      <c r="H43" s="215"/>
      <c r="I43" s="215"/>
      <c r="J43" s="214"/>
      <c r="K43" s="214">
        <v>7</v>
      </c>
      <c r="L43" s="620"/>
      <c r="M43" s="213"/>
      <c r="N43" s="213"/>
      <c r="O43" s="215">
        <v>15</v>
      </c>
      <c r="P43" s="213"/>
      <c r="Q43" s="213"/>
      <c r="R43" s="213"/>
      <c r="S43" s="213"/>
      <c r="T43" s="213"/>
      <c r="U43" s="213"/>
      <c r="V43" s="213"/>
      <c r="W43" s="213"/>
      <c r="X43" s="643"/>
      <c r="Y43" s="616">
        <f t="shared" si="1"/>
        <v>26</v>
      </c>
      <c r="Z43" s="633">
        <f>Y43+Y48+Y53+Y62</f>
        <v>994</v>
      </c>
      <c r="AA43" s="634"/>
      <c r="AB43" s="634"/>
      <c r="AC43" s="7"/>
      <c r="AD43" s="699">
        <v>24</v>
      </c>
      <c r="AE43" s="7"/>
      <c r="AF43" s="618"/>
      <c r="AG43" s="7"/>
      <c r="AH43" s="7"/>
      <c r="AI43" s="7"/>
      <c r="AJ43" s="7"/>
      <c r="AK43" s="7"/>
      <c r="AL43" s="7"/>
    </row>
    <row r="44" spans="1:38" ht="20.25" hidden="1" customHeight="1">
      <c r="A44" s="482"/>
      <c r="B44" s="483" t="s">
        <v>147</v>
      </c>
      <c r="C44" s="629" t="s">
        <v>136</v>
      </c>
      <c r="D44" s="485" t="s">
        <v>132</v>
      </c>
      <c r="E44" s="214"/>
      <c r="F44" s="214"/>
      <c r="G44" s="215"/>
      <c r="H44" s="215"/>
      <c r="I44" s="215"/>
      <c r="J44" s="214"/>
      <c r="K44" s="214"/>
      <c r="L44" s="620"/>
      <c r="M44" s="213"/>
      <c r="N44" s="213"/>
      <c r="O44" s="215"/>
      <c r="P44" s="213"/>
      <c r="Q44" s="213"/>
      <c r="R44" s="213"/>
      <c r="S44" s="213"/>
      <c r="T44" s="213"/>
      <c r="U44" s="213"/>
      <c r="V44" s="213"/>
      <c r="W44" s="213"/>
      <c r="X44" s="643"/>
      <c r="Y44" s="616">
        <f t="shared" si="1"/>
        <v>0</v>
      </c>
      <c r="Z44" s="633"/>
      <c r="AA44" s="634"/>
      <c r="AB44" s="634"/>
      <c r="AC44" s="7"/>
      <c r="AD44" s="699"/>
      <c r="AE44" s="7"/>
      <c r="AF44" s="618"/>
      <c r="AG44" s="7"/>
      <c r="AH44" s="7"/>
      <c r="AI44" s="7"/>
      <c r="AJ44" s="7"/>
      <c r="AK44" s="7"/>
      <c r="AL44" s="7"/>
    </row>
    <row r="45" spans="1:38" ht="20.25" hidden="1" customHeight="1">
      <c r="A45" s="482"/>
      <c r="B45" s="483" t="s">
        <v>148</v>
      </c>
      <c r="C45" s="629" t="s">
        <v>138</v>
      </c>
      <c r="D45" s="485" t="s">
        <v>132</v>
      </c>
      <c r="E45" s="214"/>
      <c r="F45" s="214"/>
      <c r="G45" s="215"/>
      <c r="H45" s="215"/>
      <c r="I45" s="215"/>
      <c r="J45" s="214"/>
      <c r="K45" s="214"/>
      <c r="L45" s="620"/>
      <c r="M45" s="213"/>
      <c r="N45" s="213"/>
      <c r="O45" s="215"/>
      <c r="P45" s="213"/>
      <c r="Q45" s="213"/>
      <c r="R45" s="213"/>
      <c r="S45" s="213"/>
      <c r="T45" s="213"/>
      <c r="U45" s="213"/>
      <c r="V45" s="213"/>
      <c r="W45" s="213"/>
      <c r="X45" s="643"/>
      <c r="Y45" s="616">
        <f t="shared" si="1"/>
        <v>0</v>
      </c>
      <c r="Z45" s="633"/>
      <c r="AA45" s="634"/>
      <c r="AB45" s="634"/>
      <c r="AC45" s="7"/>
      <c r="AD45" s="699"/>
      <c r="AE45" s="7"/>
      <c r="AF45" s="618"/>
      <c r="AG45" s="7"/>
      <c r="AH45" s="7"/>
      <c r="AI45" s="7"/>
      <c r="AJ45" s="7"/>
      <c r="AK45" s="7"/>
      <c r="AL45" s="7"/>
    </row>
    <row r="46" spans="1:38" ht="20.25" hidden="1" customHeight="1">
      <c r="A46" s="482"/>
      <c r="B46" s="483" t="s">
        <v>149</v>
      </c>
      <c r="C46" s="629" t="s">
        <v>140</v>
      </c>
      <c r="D46" s="485" t="s">
        <v>132</v>
      </c>
      <c r="E46" s="214"/>
      <c r="F46" s="214"/>
      <c r="G46" s="215"/>
      <c r="H46" s="215"/>
      <c r="I46" s="215"/>
      <c r="J46" s="214"/>
      <c r="K46" s="214"/>
      <c r="L46" s="620"/>
      <c r="M46" s="213"/>
      <c r="N46" s="213"/>
      <c r="O46" s="215"/>
      <c r="P46" s="213"/>
      <c r="Q46" s="213"/>
      <c r="R46" s="213"/>
      <c r="S46" s="213"/>
      <c r="T46" s="213"/>
      <c r="U46" s="213"/>
      <c r="V46" s="213"/>
      <c r="W46" s="213"/>
      <c r="X46" s="643"/>
      <c r="Y46" s="616">
        <f t="shared" si="1"/>
        <v>0</v>
      </c>
      <c r="Z46" s="633"/>
      <c r="AA46" s="634"/>
      <c r="AB46" s="634"/>
      <c r="AC46" s="7"/>
      <c r="AD46" s="699"/>
      <c r="AE46" s="7"/>
      <c r="AF46" s="618"/>
      <c r="AG46" s="7"/>
      <c r="AH46" s="7"/>
      <c r="AI46" s="7"/>
      <c r="AJ46" s="7"/>
      <c r="AK46" s="7"/>
      <c r="AL46" s="7"/>
    </row>
    <row r="47" spans="1:38" ht="20.25" hidden="1" customHeight="1">
      <c r="A47" s="482"/>
      <c r="B47" s="483" t="s">
        <v>150</v>
      </c>
      <c r="C47" s="629" t="s">
        <v>142</v>
      </c>
      <c r="D47" s="485" t="s">
        <v>132</v>
      </c>
      <c r="E47" s="214"/>
      <c r="F47" s="214"/>
      <c r="G47" s="215"/>
      <c r="H47" s="215"/>
      <c r="I47" s="215"/>
      <c r="J47" s="214"/>
      <c r="K47" s="214"/>
      <c r="L47" s="620"/>
      <c r="M47" s="213"/>
      <c r="N47" s="213"/>
      <c r="O47" s="215"/>
      <c r="P47" s="213"/>
      <c r="Q47" s="213"/>
      <c r="R47" s="213"/>
      <c r="S47" s="213"/>
      <c r="T47" s="213"/>
      <c r="U47" s="213"/>
      <c r="V47" s="213"/>
      <c r="W47" s="213"/>
      <c r="X47" s="643"/>
      <c r="Y47" s="616">
        <f t="shared" si="1"/>
        <v>0</v>
      </c>
      <c r="Z47" s="633"/>
      <c r="AA47" s="634"/>
      <c r="AB47" s="634"/>
      <c r="AC47" s="7"/>
      <c r="AD47" s="699"/>
      <c r="AE47" s="7"/>
      <c r="AF47" s="618"/>
      <c r="AG47" s="7"/>
      <c r="AH47" s="7"/>
      <c r="AI47" s="7"/>
      <c r="AJ47" s="7"/>
      <c r="AK47" s="7"/>
      <c r="AL47" s="7"/>
    </row>
    <row r="48" spans="1:38" ht="20.25" customHeight="1">
      <c r="A48" s="482"/>
      <c r="B48" s="496" t="s">
        <v>151</v>
      </c>
      <c r="C48" s="555" t="s">
        <v>152</v>
      </c>
      <c r="D48" s="485" t="s">
        <v>132</v>
      </c>
      <c r="E48" s="214"/>
      <c r="F48" s="214"/>
      <c r="G48" s="215">
        <v>7</v>
      </c>
      <c r="H48" s="215">
        <v>2</v>
      </c>
      <c r="I48" s="215"/>
      <c r="J48" s="214">
        <v>6</v>
      </c>
      <c r="K48" s="214">
        <v>1</v>
      </c>
      <c r="L48" s="620"/>
      <c r="M48" s="213"/>
      <c r="N48" s="213"/>
      <c r="O48" s="215">
        <v>30</v>
      </c>
      <c r="P48" s="213"/>
      <c r="Q48" s="213"/>
      <c r="R48" s="213"/>
      <c r="S48" s="213"/>
      <c r="T48" s="213"/>
      <c r="U48" s="213"/>
      <c r="V48" s="213"/>
      <c r="W48" s="213"/>
      <c r="X48" s="643"/>
      <c r="Y48" s="616">
        <f t="shared" si="1"/>
        <v>46</v>
      </c>
      <c r="Z48" s="633"/>
      <c r="AA48" s="634"/>
      <c r="AB48" s="634"/>
      <c r="AC48" s="7"/>
      <c r="AD48" s="699">
        <v>89</v>
      </c>
      <c r="AE48" s="7"/>
      <c r="AF48" s="618"/>
      <c r="AG48" s="7"/>
      <c r="AH48" s="7"/>
      <c r="AI48" s="7"/>
      <c r="AJ48" s="7"/>
      <c r="AK48" s="7"/>
      <c r="AL48" s="7"/>
    </row>
    <row r="49" spans="1:38" ht="20.25" hidden="1" customHeight="1">
      <c r="A49" s="482"/>
      <c r="B49" s="483" t="s">
        <v>154</v>
      </c>
      <c r="C49" s="629" t="s">
        <v>136</v>
      </c>
      <c r="D49" s="485" t="s">
        <v>132</v>
      </c>
      <c r="E49" s="214"/>
      <c r="F49" s="214"/>
      <c r="G49" s="215"/>
      <c r="H49" s="215"/>
      <c r="I49" s="215"/>
      <c r="J49" s="214"/>
      <c r="K49" s="214"/>
      <c r="L49" s="620"/>
      <c r="M49" s="213"/>
      <c r="N49" s="213"/>
      <c r="O49" s="215"/>
      <c r="P49" s="213"/>
      <c r="Q49" s="213"/>
      <c r="R49" s="213"/>
      <c r="S49" s="213"/>
      <c r="T49" s="213"/>
      <c r="U49" s="213"/>
      <c r="V49" s="213"/>
      <c r="W49" s="213"/>
      <c r="X49" s="643"/>
      <c r="Y49" s="616">
        <f t="shared" si="1"/>
        <v>0</v>
      </c>
      <c r="Z49" s="633"/>
      <c r="AA49" s="634"/>
      <c r="AB49" s="634"/>
      <c r="AC49" s="7"/>
      <c r="AD49" s="699"/>
      <c r="AE49" s="7"/>
      <c r="AF49" s="618"/>
      <c r="AG49" s="7"/>
      <c r="AH49" s="7"/>
      <c r="AI49" s="7"/>
      <c r="AJ49" s="7"/>
      <c r="AK49" s="7"/>
      <c r="AL49" s="7"/>
    </row>
    <row r="50" spans="1:38" ht="20.25" hidden="1" customHeight="1">
      <c r="A50" s="482"/>
      <c r="B50" s="483" t="s">
        <v>155</v>
      </c>
      <c r="C50" s="629" t="s">
        <v>138</v>
      </c>
      <c r="D50" s="485" t="s">
        <v>132</v>
      </c>
      <c r="E50" s="214"/>
      <c r="F50" s="214"/>
      <c r="G50" s="215"/>
      <c r="H50" s="215"/>
      <c r="I50" s="215"/>
      <c r="J50" s="214"/>
      <c r="K50" s="214"/>
      <c r="L50" s="620"/>
      <c r="M50" s="213"/>
      <c r="N50" s="213"/>
      <c r="O50" s="215"/>
      <c r="P50" s="213"/>
      <c r="Q50" s="213"/>
      <c r="R50" s="213"/>
      <c r="S50" s="213"/>
      <c r="T50" s="213"/>
      <c r="U50" s="213"/>
      <c r="V50" s="213"/>
      <c r="W50" s="213"/>
      <c r="X50" s="643"/>
      <c r="Y50" s="616">
        <f t="shared" si="1"/>
        <v>0</v>
      </c>
      <c r="Z50" s="633"/>
      <c r="AA50" s="634"/>
      <c r="AB50" s="634"/>
      <c r="AC50" s="7"/>
      <c r="AD50" s="699"/>
      <c r="AE50" s="7"/>
      <c r="AF50" s="618"/>
      <c r="AG50" s="7"/>
      <c r="AH50" s="7"/>
      <c r="AI50" s="7"/>
      <c r="AJ50" s="7"/>
      <c r="AK50" s="7"/>
      <c r="AL50" s="7"/>
    </row>
    <row r="51" spans="1:38" ht="20.25" hidden="1" customHeight="1">
      <c r="A51" s="482"/>
      <c r="B51" s="483" t="s">
        <v>156</v>
      </c>
      <c r="C51" s="629" t="s">
        <v>140</v>
      </c>
      <c r="D51" s="485" t="s">
        <v>132</v>
      </c>
      <c r="E51" s="214"/>
      <c r="F51" s="214"/>
      <c r="G51" s="215"/>
      <c r="H51" s="215"/>
      <c r="I51" s="215"/>
      <c r="J51" s="214"/>
      <c r="K51" s="214"/>
      <c r="L51" s="620"/>
      <c r="M51" s="213"/>
      <c r="N51" s="213"/>
      <c r="O51" s="215"/>
      <c r="P51" s="213"/>
      <c r="Q51" s="213"/>
      <c r="R51" s="213"/>
      <c r="S51" s="213"/>
      <c r="T51" s="213"/>
      <c r="U51" s="213"/>
      <c r="V51" s="213"/>
      <c r="W51" s="213"/>
      <c r="X51" s="643"/>
      <c r="Y51" s="616">
        <f t="shared" si="1"/>
        <v>0</v>
      </c>
      <c r="Z51" s="633"/>
      <c r="AA51" s="634"/>
      <c r="AB51" s="634"/>
      <c r="AC51" s="7"/>
      <c r="AD51" s="699"/>
      <c r="AE51" s="7"/>
      <c r="AF51" s="618"/>
      <c r="AG51" s="7"/>
      <c r="AH51" s="7"/>
      <c r="AI51" s="7"/>
      <c r="AJ51" s="7"/>
      <c r="AK51" s="7"/>
      <c r="AL51" s="7"/>
    </row>
    <row r="52" spans="1:38" ht="20.25" hidden="1" customHeight="1">
      <c r="A52" s="482"/>
      <c r="B52" s="483" t="s">
        <v>157</v>
      </c>
      <c r="C52" s="629" t="s">
        <v>142</v>
      </c>
      <c r="D52" s="485" t="s">
        <v>132</v>
      </c>
      <c r="E52" s="214"/>
      <c r="F52" s="214"/>
      <c r="G52" s="215"/>
      <c r="H52" s="215"/>
      <c r="I52" s="215"/>
      <c r="J52" s="214"/>
      <c r="K52" s="214"/>
      <c r="L52" s="620"/>
      <c r="M52" s="213"/>
      <c r="N52" s="213"/>
      <c r="O52" s="215"/>
      <c r="P52" s="213"/>
      <c r="Q52" s="213"/>
      <c r="R52" s="213"/>
      <c r="S52" s="213"/>
      <c r="T52" s="213"/>
      <c r="U52" s="213"/>
      <c r="V52" s="213"/>
      <c r="W52" s="213"/>
      <c r="X52" s="643"/>
      <c r="Y52" s="616">
        <f t="shared" si="1"/>
        <v>0</v>
      </c>
      <c r="Z52" s="633"/>
      <c r="AA52" s="634"/>
      <c r="AB52" s="634"/>
      <c r="AC52" s="7"/>
      <c r="AD52" s="699"/>
      <c r="AE52" s="7"/>
      <c r="AF52" s="618"/>
      <c r="AG52" s="7"/>
      <c r="AH52" s="7"/>
      <c r="AI52" s="7"/>
      <c r="AJ52" s="7"/>
      <c r="AK52" s="7"/>
      <c r="AL52" s="7"/>
    </row>
    <row r="53" spans="1:38" ht="20.25" customHeight="1">
      <c r="A53" s="482"/>
      <c r="B53" s="483" t="s">
        <v>158</v>
      </c>
      <c r="C53" s="555" t="s">
        <v>159</v>
      </c>
      <c r="D53" s="485" t="s">
        <v>132</v>
      </c>
      <c r="E53" s="214">
        <v>13</v>
      </c>
      <c r="F53" s="214"/>
      <c r="G53" s="215">
        <v>658</v>
      </c>
      <c r="H53" s="215">
        <v>1</v>
      </c>
      <c r="I53" s="215">
        <v>2</v>
      </c>
      <c r="J53" s="214"/>
      <c r="K53" s="214">
        <v>11</v>
      </c>
      <c r="L53" s="620">
        <v>1</v>
      </c>
      <c r="M53" s="213">
        <v>2</v>
      </c>
      <c r="N53" s="213"/>
      <c r="O53" s="215">
        <f>157+72</f>
        <v>229</v>
      </c>
      <c r="P53" s="213"/>
      <c r="Q53" s="213">
        <v>1</v>
      </c>
      <c r="R53" s="213"/>
      <c r="S53" s="213"/>
      <c r="T53" s="213"/>
      <c r="U53" s="213"/>
      <c r="V53" s="213"/>
      <c r="W53" s="213"/>
      <c r="X53" s="643"/>
      <c r="Y53" s="616">
        <f t="shared" si="1"/>
        <v>918</v>
      </c>
      <c r="Z53" s="633"/>
      <c r="AA53" s="634"/>
      <c r="AB53" s="634"/>
      <c r="AC53" s="7"/>
      <c r="AD53" s="699">
        <v>848</v>
      </c>
      <c r="AE53" s="7"/>
      <c r="AF53" s="618">
        <v>1</v>
      </c>
      <c r="AG53" s="7"/>
      <c r="AH53" s="7"/>
      <c r="AI53" s="7"/>
      <c r="AJ53" s="7"/>
      <c r="AK53" s="7"/>
      <c r="AL53" s="7"/>
    </row>
    <row r="54" spans="1:38" ht="20.25" hidden="1" customHeight="1">
      <c r="A54" s="482"/>
      <c r="B54" s="483" t="s">
        <v>161</v>
      </c>
      <c r="C54" s="629" t="s">
        <v>136</v>
      </c>
      <c r="D54" s="485" t="s">
        <v>132</v>
      </c>
      <c r="E54" s="214"/>
      <c r="F54" s="214"/>
      <c r="G54" s="215"/>
      <c r="H54" s="215"/>
      <c r="I54" s="215"/>
      <c r="J54" s="214"/>
      <c r="K54" s="214"/>
      <c r="L54" s="620"/>
      <c r="M54" s="213"/>
      <c r="N54" s="213"/>
      <c r="O54" s="215"/>
      <c r="P54" s="213"/>
      <c r="Q54" s="213">
        <v>0</v>
      </c>
      <c r="R54" s="213"/>
      <c r="S54" s="213"/>
      <c r="T54" s="213"/>
      <c r="U54" s="213"/>
      <c r="V54" s="213"/>
      <c r="W54" s="213"/>
      <c r="X54" s="643"/>
      <c r="Y54" s="616">
        <f t="shared" si="1"/>
        <v>0</v>
      </c>
      <c r="Z54" s="633"/>
      <c r="AA54" s="634"/>
      <c r="AB54" s="634"/>
      <c r="AC54" s="7"/>
      <c r="AD54" s="699"/>
      <c r="AE54" s="7"/>
      <c r="AF54" s="618">
        <f t="shared" ref="AF54:AF57" si="3">AD54-Y54</f>
        <v>0</v>
      </c>
      <c r="AG54" s="7"/>
      <c r="AH54" s="7"/>
      <c r="AI54" s="7"/>
      <c r="AJ54" s="7"/>
      <c r="AK54" s="7"/>
      <c r="AL54" s="7"/>
    </row>
    <row r="55" spans="1:38" ht="20.25" hidden="1" customHeight="1">
      <c r="A55" s="482"/>
      <c r="B55" s="483" t="s">
        <v>162</v>
      </c>
      <c r="C55" s="629" t="s">
        <v>138</v>
      </c>
      <c r="D55" s="485" t="s">
        <v>132</v>
      </c>
      <c r="E55" s="214"/>
      <c r="F55" s="214"/>
      <c r="G55" s="215"/>
      <c r="H55" s="215"/>
      <c r="I55" s="215"/>
      <c r="J55" s="214"/>
      <c r="K55" s="214"/>
      <c r="L55" s="620"/>
      <c r="M55" s="213"/>
      <c r="N55" s="213"/>
      <c r="O55" s="215"/>
      <c r="P55" s="213"/>
      <c r="Q55" s="213">
        <v>0</v>
      </c>
      <c r="R55" s="213"/>
      <c r="S55" s="213"/>
      <c r="T55" s="213"/>
      <c r="U55" s="213"/>
      <c r="V55" s="213"/>
      <c r="W55" s="213"/>
      <c r="X55" s="643"/>
      <c r="Y55" s="616">
        <f t="shared" si="1"/>
        <v>0</v>
      </c>
      <c r="Z55" s="633"/>
      <c r="AA55" s="634"/>
      <c r="AB55" s="634"/>
      <c r="AC55" s="7"/>
      <c r="AD55" s="699"/>
      <c r="AE55" s="7"/>
      <c r="AF55" s="618">
        <f t="shared" si="3"/>
        <v>0</v>
      </c>
      <c r="AG55" s="7"/>
      <c r="AH55" s="7"/>
      <c r="AI55" s="7"/>
      <c r="AJ55" s="7"/>
      <c r="AK55" s="7"/>
      <c r="AL55" s="7"/>
    </row>
    <row r="56" spans="1:38" ht="20.25" hidden="1" customHeight="1">
      <c r="A56" s="482"/>
      <c r="B56" s="483" t="s">
        <v>163</v>
      </c>
      <c r="C56" s="629" t="s">
        <v>140</v>
      </c>
      <c r="D56" s="485" t="s">
        <v>132</v>
      </c>
      <c r="E56" s="214"/>
      <c r="F56" s="214"/>
      <c r="G56" s="215"/>
      <c r="H56" s="215"/>
      <c r="I56" s="215"/>
      <c r="J56" s="214"/>
      <c r="K56" s="214"/>
      <c r="L56" s="620"/>
      <c r="M56" s="213"/>
      <c r="N56" s="213"/>
      <c r="O56" s="215"/>
      <c r="P56" s="213"/>
      <c r="Q56" s="213">
        <v>0</v>
      </c>
      <c r="R56" s="213"/>
      <c r="S56" s="213"/>
      <c r="T56" s="213"/>
      <c r="U56" s="213"/>
      <c r="V56" s="213"/>
      <c r="W56" s="213"/>
      <c r="X56" s="643"/>
      <c r="Y56" s="616">
        <f t="shared" si="1"/>
        <v>0</v>
      </c>
      <c r="Z56" s="633"/>
      <c r="AA56" s="634"/>
      <c r="AB56" s="634"/>
      <c r="AC56" s="7"/>
      <c r="AD56" s="699"/>
      <c r="AE56" s="7"/>
      <c r="AF56" s="618">
        <f t="shared" si="3"/>
        <v>0</v>
      </c>
      <c r="AG56" s="7"/>
      <c r="AH56" s="7"/>
      <c r="AI56" s="7"/>
      <c r="AJ56" s="7"/>
      <c r="AK56" s="7"/>
      <c r="AL56" s="7"/>
    </row>
    <row r="57" spans="1:38" ht="20.25" hidden="1" customHeight="1">
      <c r="A57" s="482"/>
      <c r="B57" s="483" t="s">
        <v>164</v>
      </c>
      <c r="C57" s="629" t="s">
        <v>142</v>
      </c>
      <c r="D57" s="485" t="s">
        <v>132</v>
      </c>
      <c r="E57" s="214"/>
      <c r="F57" s="214"/>
      <c r="G57" s="215"/>
      <c r="H57" s="215"/>
      <c r="I57" s="215"/>
      <c r="J57" s="214"/>
      <c r="K57" s="214"/>
      <c r="L57" s="620"/>
      <c r="M57" s="213"/>
      <c r="N57" s="213"/>
      <c r="O57" s="215"/>
      <c r="P57" s="213"/>
      <c r="Q57" s="213">
        <v>0</v>
      </c>
      <c r="R57" s="213"/>
      <c r="S57" s="213"/>
      <c r="T57" s="213"/>
      <c r="U57" s="213"/>
      <c r="V57" s="213"/>
      <c r="W57" s="213"/>
      <c r="X57" s="643"/>
      <c r="Y57" s="616">
        <f t="shared" si="1"/>
        <v>0</v>
      </c>
      <c r="Z57" s="633"/>
      <c r="AA57" s="634"/>
      <c r="AB57" s="634"/>
      <c r="AC57" s="7"/>
      <c r="AD57" s="699"/>
      <c r="AE57" s="7"/>
      <c r="AF57" s="618">
        <f t="shared" si="3"/>
        <v>0</v>
      </c>
      <c r="AG57" s="7"/>
      <c r="AH57" s="7"/>
      <c r="AI57" s="7"/>
      <c r="AJ57" s="7"/>
      <c r="AK57" s="7"/>
      <c r="AL57" s="7"/>
    </row>
    <row r="58" spans="1:38" ht="20.25" customHeight="1">
      <c r="A58" s="482"/>
      <c r="B58" s="496" t="s">
        <v>165</v>
      </c>
      <c r="C58" s="555" t="s">
        <v>166</v>
      </c>
      <c r="D58" s="485" t="s">
        <v>132</v>
      </c>
      <c r="E58" s="374"/>
      <c r="F58" s="374"/>
      <c r="G58" s="215">
        <v>561</v>
      </c>
      <c r="H58" s="215"/>
      <c r="I58" s="215">
        <v>23</v>
      </c>
      <c r="J58" s="374">
        <v>52</v>
      </c>
      <c r="K58" s="374">
        <v>11</v>
      </c>
      <c r="L58" s="620"/>
      <c r="M58" s="209"/>
      <c r="N58" s="219"/>
      <c r="O58" s="215"/>
      <c r="P58" s="213"/>
      <c r="Q58" s="219"/>
      <c r="R58" s="219"/>
      <c r="S58" s="219"/>
      <c r="T58" s="219"/>
      <c r="U58" s="219"/>
      <c r="V58" s="219"/>
      <c r="W58" s="219"/>
      <c r="X58" s="643"/>
      <c r="Y58" s="616">
        <f t="shared" si="1"/>
        <v>647</v>
      </c>
      <c r="Z58" s="633"/>
      <c r="AA58" s="634"/>
      <c r="AB58" s="634"/>
      <c r="AC58" s="7"/>
      <c r="AD58" s="699">
        <v>675</v>
      </c>
      <c r="AE58" s="7"/>
      <c r="AF58" s="618"/>
      <c r="AG58" s="7"/>
      <c r="AH58" s="7"/>
      <c r="AI58" s="7"/>
      <c r="AJ58" s="7"/>
      <c r="AK58" s="7"/>
      <c r="AL58" s="7"/>
    </row>
    <row r="59" spans="1:38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4"/>
      <c r="F59" s="214"/>
      <c r="G59" s="215"/>
      <c r="H59" s="215"/>
      <c r="I59" s="215"/>
      <c r="J59" s="214"/>
      <c r="K59" s="214"/>
      <c r="L59" s="647"/>
      <c r="M59" s="213"/>
      <c r="N59" s="213"/>
      <c r="O59" s="215"/>
      <c r="P59" s="213"/>
      <c r="Q59" s="213">
        <v>0</v>
      </c>
      <c r="R59" s="213"/>
      <c r="S59" s="213"/>
      <c r="T59" s="213"/>
      <c r="U59" s="213"/>
      <c r="V59" s="213"/>
      <c r="W59" s="213"/>
      <c r="X59" s="643"/>
      <c r="Y59" s="616">
        <f t="shared" si="1"/>
        <v>0</v>
      </c>
      <c r="Z59" s="633"/>
      <c r="AA59" s="648"/>
      <c r="AB59" s="648"/>
      <c r="AC59" s="7"/>
      <c r="AD59" s="699"/>
      <c r="AE59" s="7"/>
      <c r="AF59" s="618">
        <f t="shared" ref="AF59:AF62" si="4">AD59-Y59</f>
        <v>0</v>
      </c>
      <c r="AG59" s="7"/>
      <c r="AH59" s="7"/>
      <c r="AI59" s="7"/>
      <c r="AJ59" s="7"/>
      <c r="AK59" s="7"/>
      <c r="AL59" s="7"/>
    </row>
    <row r="60" spans="1:38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4"/>
      <c r="F60" s="214"/>
      <c r="G60" s="215"/>
      <c r="H60" s="215"/>
      <c r="I60" s="215"/>
      <c r="J60" s="214"/>
      <c r="K60" s="214"/>
      <c r="L60" s="647"/>
      <c r="M60" s="213"/>
      <c r="N60" s="213"/>
      <c r="O60" s="215"/>
      <c r="P60" s="213"/>
      <c r="Q60" s="213">
        <v>0</v>
      </c>
      <c r="R60" s="213"/>
      <c r="S60" s="213"/>
      <c r="T60" s="213"/>
      <c r="U60" s="213"/>
      <c r="V60" s="213"/>
      <c r="W60" s="213"/>
      <c r="X60" s="643"/>
      <c r="Y60" s="616">
        <f t="shared" si="1"/>
        <v>0</v>
      </c>
      <c r="Z60" s="633"/>
      <c r="AA60" s="648"/>
      <c r="AB60" s="648"/>
      <c r="AC60" s="7"/>
      <c r="AD60" s="699"/>
      <c r="AE60" s="7"/>
      <c r="AF60" s="618">
        <f t="shared" si="4"/>
        <v>0</v>
      </c>
      <c r="AG60" s="7"/>
      <c r="AH60" s="7"/>
      <c r="AI60" s="7"/>
      <c r="AJ60" s="7"/>
      <c r="AK60" s="7"/>
      <c r="AL60" s="7"/>
    </row>
    <row r="61" spans="1:38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4"/>
      <c r="F61" s="214"/>
      <c r="G61" s="215"/>
      <c r="H61" s="215"/>
      <c r="I61" s="215"/>
      <c r="J61" s="214"/>
      <c r="K61" s="214"/>
      <c r="L61" s="647"/>
      <c r="M61" s="213"/>
      <c r="N61" s="213"/>
      <c r="O61" s="215"/>
      <c r="P61" s="213"/>
      <c r="Q61" s="213">
        <v>0</v>
      </c>
      <c r="R61" s="213"/>
      <c r="S61" s="213"/>
      <c r="T61" s="213"/>
      <c r="U61" s="213"/>
      <c r="V61" s="213"/>
      <c r="W61" s="213"/>
      <c r="X61" s="643"/>
      <c r="Y61" s="616">
        <f t="shared" si="1"/>
        <v>0</v>
      </c>
      <c r="Z61" s="633"/>
      <c r="AA61" s="648"/>
      <c r="AB61" s="648"/>
      <c r="AC61" s="7"/>
      <c r="AD61" s="699"/>
      <c r="AE61" s="7"/>
      <c r="AF61" s="618">
        <f t="shared" si="4"/>
        <v>0</v>
      </c>
      <c r="AG61" s="7"/>
      <c r="AH61" s="7"/>
      <c r="AI61" s="7"/>
      <c r="AJ61" s="7"/>
      <c r="AK61" s="7"/>
      <c r="AL61" s="7"/>
    </row>
    <row r="62" spans="1:38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4"/>
      <c r="F62" s="214"/>
      <c r="G62" s="215"/>
      <c r="H62" s="215"/>
      <c r="I62" s="215"/>
      <c r="J62" s="214"/>
      <c r="K62" s="214"/>
      <c r="L62" s="620"/>
      <c r="M62" s="213"/>
      <c r="N62" s="213"/>
      <c r="O62" s="215">
        <v>1</v>
      </c>
      <c r="P62" s="213"/>
      <c r="Q62" s="213">
        <v>3</v>
      </c>
      <c r="R62" s="213"/>
      <c r="S62" s="213"/>
      <c r="T62" s="213"/>
      <c r="U62" s="213"/>
      <c r="V62" s="213"/>
      <c r="W62" s="213"/>
      <c r="X62" s="643"/>
      <c r="Y62" s="616">
        <f t="shared" si="1"/>
        <v>4</v>
      </c>
      <c r="Z62" s="633"/>
      <c r="AA62" s="636"/>
      <c r="AB62" s="636"/>
      <c r="AC62" s="7"/>
      <c r="AD62" s="699">
        <v>4</v>
      </c>
      <c r="AE62" s="7"/>
      <c r="AF62" s="618">
        <f t="shared" si="4"/>
        <v>0</v>
      </c>
      <c r="AG62" s="7"/>
      <c r="AH62" s="7"/>
      <c r="AI62" s="7"/>
      <c r="AJ62" s="7"/>
      <c r="AK62" s="7"/>
      <c r="AL62" s="7"/>
    </row>
    <row r="63" spans="1:38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4"/>
      <c r="F63" s="214"/>
      <c r="G63" s="215"/>
      <c r="H63" s="215"/>
      <c r="I63" s="215"/>
      <c r="J63" s="214"/>
      <c r="K63" s="214"/>
      <c r="L63" s="638"/>
      <c r="M63" s="213"/>
      <c r="N63" s="213"/>
      <c r="O63" s="215"/>
      <c r="P63" s="213"/>
      <c r="Q63" s="213"/>
      <c r="R63" s="213"/>
      <c r="S63" s="213"/>
      <c r="T63" s="213"/>
      <c r="U63" s="213"/>
      <c r="V63" s="213"/>
      <c r="W63" s="213"/>
      <c r="X63" s="643"/>
      <c r="Y63" s="616">
        <f t="shared" si="1"/>
        <v>0</v>
      </c>
      <c r="Z63" s="633"/>
      <c r="AA63" s="636"/>
      <c r="AB63" s="636"/>
      <c r="AC63" s="7"/>
      <c r="AD63" s="699"/>
      <c r="AE63" s="7"/>
      <c r="AF63" s="618"/>
      <c r="AG63" s="7"/>
      <c r="AH63" s="7"/>
      <c r="AI63" s="7"/>
      <c r="AJ63" s="7"/>
      <c r="AK63" s="7"/>
      <c r="AL63" s="7"/>
    </row>
    <row r="64" spans="1:38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4"/>
      <c r="F64" s="214"/>
      <c r="G64" s="215"/>
      <c r="H64" s="215"/>
      <c r="I64" s="215"/>
      <c r="J64" s="214"/>
      <c r="K64" s="214"/>
      <c r="L64" s="638"/>
      <c r="M64" s="213"/>
      <c r="N64" s="213"/>
      <c r="O64" s="215"/>
      <c r="P64" s="213"/>
      <c r="Q64" s="213">
        <v>0</v>
      </c>
      <c r="R64" s="213"/>
      <c r="S64" s="213"/>
      <c r="T64" s="213"/>
      <c r="U64" s="213"/>
      <c r="V64" s="213"/>
      <c r="W64" s="213"/>
      <c r="X64" s="643"/>
      <c r="Y64" s="616">
        <f t="shared" si="1"/>
        <v>0</v>
      </c>
      <c r="Z64" s="633"/>
      <c r="AA64" s="640"/>
      <c r="AB64" s="640"/>
      <c r="AC64" s="7"/>
      <c r="AD64" s="699"/>
      <c r="AE64" s="7"/>
      <c r="AF64" s="618">
        <f t="shared" ref="AF64:AF65" si="5">AD64-Y64</f>
        <v>0</v>
      </c>
      <c r="AG64" s="7"/>
      <c r="AH64" s="7"/>
      <c r="AI64" s="7"/>
      <c r="AJ64" s="7"/>
      <c r="AK64" s="7"/>
      <c r="AL64" s="7"/>
    </row>
    <row r="65" spans="1:38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4"/>
      <c r="F65" s="214"/>
      <c r="G65" s="215">
        <v>7</v>
      </c>
      <c r="H65" s="215"/>
      <c r="I65" s="215"/>
      <c r="J65" s="214"/>
      <c r="K65" s="214">
        <v>2</v>
      </c>
      <c r="L65" s="620">
        <v>1</v>
      </c>
      <c r="M65" s="213"/>
      <c r="N65" s="213"/>
      <c r="O65" s="215">
        <v>2</v>
      </c>
      <c r="P65" s="213"/>
      <c r="Q65" s="213">
        <v>8</v>
      </c>
      <c r="R65" s="213"/>
      <c r="S65" s="213"/>
      <c r="T65" s="213"/>
      <c r="U65" s="213"/>
      <c r="V65" s="213"/>
      <c r="W65" s="213"/>
      <c r="X65" s="643"/>
      <c r="Y65" s="616">
        <f t="shared" si="1"/>
        <v>20</v>
      </c>
      <c r="Z65" s="633"/>
      <c r="AA65" s="636"/>
      <c r="AB65" s="636"/>
      <c r="AC65" s="7"/>
      <c r="AD65" s="699">
        <v>20</v>
      </c>
      <c r="AE65" s="7"/>
      <c r="AF65" s="618">
        <f t="shared" si="5"/>
        <v>0</v>
      </c>
      <c r="AG65" s="7"/>
      <c r="AH65" s="7"/>
      <c r="AI65" s="7"/>
      <c r="AJ65" s="7"/>
      <c r="AK65" s="7"/>
      <c r="AL65" s="7"/>
    </row>
    <row r="66" spans="1:38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4"/>
      <c r="F66" s="214"/>
      <c r="G66" s="215"/>
      <c r="H66" s="215"/>
      <c r="I66" s="215"/>
      <c r="J66" s="214"/>
      <c r="K66" s="214"/>
      <c r="L66" s="620">
        <v>1</v>
      </c>
      <c r="M66" s="213"/>
      <c r="N66" s="213"/>
      <c r="O66" s="215"/>
      <c r="P66" s="213"/>
      <c r="Q66" s="213"/>
      <c r="R66" s="213"/>
      <c r="S66" s="213"/>
      <c r="T66" s="213"/>
      <c r="U66" s="213"/>
      <c r="V66" s="213"/>
      <c r="W66" s="213"/>
      <c r="X66" s="643"/>
      <c r="Y66" s="616">
        <f t="shared" si="1"/>
        <v>1</v>
      </c>
      <c r="Z66" s="633"/>
      <c r="AA66" s="636"/>
      <c r="AB66" s="636"/>
      <c r="AC66" s="7"/>
      <c r="AD66" s="699"/>
      <c r="AE66" s="7"/>
      <c r="AF66" s="618"/>
      <c r="AG66" s="7"/>
      <c r="AH66" s="7"/>
      <c r="AI66" s="7"/>
      <c r="AJ66" s="7"/>
      <c r="AK66" s="7"/>
      <c r="AL66" s="7"/>
    </row>
    <row r="67" spans="1:38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4"/>
      <c r="F67" s="214"/>
      <c r="G67" s="215"/>
      <c r="H67" s="215"/>
      <c r="I67" s="215"/>
      <c r="J67" s="214"/>
      <c r="K67" s="214"/>
      <c r="L67" s="620"/>
      <c r="M67" s="213"/>
      <c r="N67" s="213"/>
      <c r="O67" s="215"/>
      <c r="P67" s="213"/>
      <c r="Q67" s="213">
        <v>0</v>
      </c>
      <c r="R67" s="213"/>
      <c r="S67" s="213"/>
      <c r="T67" s="213"/>
      <c r="U67" s="213"/>
      <c r="V67" s="213"/>
      <c r="W67" s="213"/>
      <c r="X67" s="643"/>
      <c r="Y67" s="616">
        <f t="shared" si="1"/>
        <v>0</v>
      </c>
      <c r="Z67" s="633"/>
      <c r="AA67" s="634"/>
      <c r="AB67" s="634"/>
      <c r="AC67" s="7"/>
      <c r="AD67" s="699"/>
      <c r="AE67" s="7"/>
      <c r="AF67" s="618">
        <f t="shared" ref="AF67:AF68" si="6">AD67-Y67</f>
        <v>0</v>
      </c>
      <c r="AG67" s="7"/>
      <c r="AH67" s="7"/>
      <c r="AI67" s="7"/>
      <c r="AJ67" s="7"/>
      <c r="AK67" s="7"/>
      <c r="AL67" s="7"/>
    </row>
    <row r="68" spans="1:38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4"/>
      <c r="F68" s="214"/>
      <c r="G68" s="215"/>
      <c r="H68" s="215"/>
      <c r="I68" s="215"/>
      <c r="J68" s="214"/>
      <c r="K68" s="214"/>
      <c r="L68" s="620"/>
      <c r="M68" s="213"/>
      <c r="N68" s="213"/>
      <c r="O68" s="215"/>
      <c r="P68" s="213"/>
      <c r="Q68" s="213">
        <v>0</v>
      </c>
      <c r="R68" s="213"/>
      <c r="S68" s="213"/>
      <c r="T68" s="213"/>
      <c r="U68" s="213"/>
      <c r="V68" s="213"/>
      <c r="W68" s="213"/>
      <c r="X68" s="643"/>
      <c r="Y68" s="616">
        <f t="shared" si="1"/>
        <v>0</v>
      </c>
      <c r="Z68" s="633"/>
      <c r="AA68" s="634"/>
      <c r="AB68" s="634"/>
      <c r="AC68" s="7"/>
      <c r="AD68" s="699"/>
      <c r="AE68" s="7"/>
      <c r="AF68" s="618">
        <f t="shared" si="6"/>
        <v>0</v>
      </c>
      <c r="AG68" s="7"/>
      <c r="AH68" s="7"/>
      <c r="AI68" s="7"/>
      <c r="AJ68" s="7"/>
      <c r="AK68" s="7"/>
      <c r="AL68" s="7"/>
    </row>
    <row r="69" spans="1:38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4"/>
      <c r="F69" s="214"/>
      <c r="G69" s="215"/>
      <c r="H69" s="215"/>
      <c r="I69" s="215"/>
      <c r="J69" s="214"/>
      <c r="K69" s="214"/>
      <c r="L69" s="620">
        <v>1</v>
      </c>
      <c r="M69" s="213"/>
      <c r="N69" s="213"/>
      <c r="O69" s="215"/>
      <c r="P69" s="213"/>
      <c r="Q69" s="213"/>
      <c r="R69" s="213"/>
      <c r="S69" s="213"/>
      <c r="T69" s="213"/>
      <c r="U69" s="213"/>
      <c r="V69" s="213"/>
      <c r="W69" s="213"/>
      <c r="X69" s="643"/>
      <c r="Y69" s="616">
        <f t="shared" si="1"/>
        <v>1</v>
      </c>
      <c r="Z69" s="633"/>
      <c r="AA69" s="634"/>
      <c r="AB69" s="634"/>
      <c r="AC69" s="7"/>
      <c r="AD69" s="699"/>
      <c r="AE69" s="7"/>
      <c r="AF69" s="618"/>
      <c r="AG69" s="7"/>
      <c r="AH69" s="7"/>
      <c r="AI69" s="7"/>
      <c r="AJ69" s="7"/>
      <c r="AK69" s="7"/>
      <c r="AL69" s="7"/>
    </row>
    <row r="70" spans="1:38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4"/>
      <c r="F70" s="214"/>
      <c r="G70" s="215"/>
      <c r="H70" s="215"/>
      <c r="I70" s="215"/>
      <c r="J70" s="214"/>
      <c r="K70" s="214"/>
      <c r="L70" s="620"/>
      <c r="M70" s="213"/>
      <c r="N70" s="213"/>
      <c r="O70" s="215"/>
      <c r="P70" s="213"/>
      <c r="Q70" s="213">
        <v>0</v>
      </c>
      <c r="R70" s="213"/>
      <c r="S70" s="213"/>
      <c r="T70" s="213"/>
      <c r="U70" s="213"/>
      <c r="V70" s="213"/>
      <c r="W70" s="213"/>
      <c r="X70" s="643"/>
      <c r="Y70" s="616">
        <f t="shared" si="1"/>
        <v>0</v>
      </c>
      <c r="Z70" s="633"/>
      <c r="AA70" s="634"/>
      <c r="AB70" s="634"/>
      <c r="AC70" s="7"/>
      <c r="AD70" s="699"/>
      <c r="AE70" s="7"/>
      <c r="AF70" s="618">
        <f t="shared" ref="AF70:AF93" si="7">AD70-Y70</f>
        <v>0</v>
      </c>
      <c r="AG70" s="7"/>
      <c r="AH70" s="7"/>
      <c r="AI70" s="7"/>
      <c r="AJ70" s="7"/>
      <c r="AK70" s="7"/>
      <c r="AL70" s="7"/>
    </row>
    <row r="71" spans="1:38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4"/>
      <c r="F71" s="214"/>
      <c r="G71" s="215"/>
      <c r="H71" s="215"/>
      <c r="I71" s="215"/>
      <c r="J71" s="214"/>
      <c r="K71" s="214"/>
      <c r="L71" s="620"/>
      <c r="M71" s="213"/>
      <c r="N71" s="213"/>
      <c r="O71" s="215"/>
      <c r="P71" s="213"/>
      <c r="Q71" s="213">
        <v>0</v>
      </c>
      <c r="R71" s="213"/>
      <c r="S71" s="213"/>
      <c r="T71" s="213"/>
      <c r="U71" s="213"/>
      <c r="V71" s="213"/>
      <c r="W71" s="213"/>
      <c r="X71" s="643"/>
      <c r="Y71" s="616">
        <f t="shared" si="1"/>
        <v>0</v>
      </c>
      <c r="Z71" s="633"/>
      <c r="AA71" s="636"/>
      <c r="AB71" s="636"/>
      <c r="AC71" s="7"/>
      <c r="AD71" s="699"/>
      <c r="AE71" s="7"/>
      <c r="AF71" s="618">
        <f t="shared" si="7"/>
        <v>0</v>
      </c>
      <c r="AG71" s="7"/>
      <c r="AH71" s="7"/>
      <c r="AI71" s="7"/>
      <c r="AJ71" s="7"/>
      <c r="AK71" s="7"/>
      <c r="AL71" s="7"/>
    </row>
    <row r="72" spans="1:38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4"/>
      <c r="F72" s="214"/>
      <c r="G72" s="215"/>
      <c r="H72" s="215"/>
      <c r="I72" s="215"/>
      <c r="J72" s="214"/>
      <c r="K72" s="214"/>
      <c r="L72" s="647"/>
      <c r="M72" s="213"/>
      <c r="N72" s="213"/>
      <c r="O72" s="215"/>
      <c r="P72" s="213"/>
      <c r="Q72" s="213">
        <v>0</v>
      </c>
      <c r="R72" s="213"/>
      <c r="S72" s="213"/>
      <c r="T72" s="213"/>
      <c r="U72" s="213"/>
      <c r="V72" s="213"/>
      <c r="W72" s="213"/>
      <c r="X72" s="643"/>
      <c r="Y72" s="616">
        <f t="shared" si="1"/>
        <v>0</v>
      </c>
      <c r="Z72" s="633"/>
      <c r="AA72" s="648"/>
      <c r="AB72" s="648"/>
      <c r="AC72" s="7"/>
      <c r="AD72" s="699"/>
      <c r="AE72" s="7"/>
      <c r="AF72" s="618">
        <f t="shared" si="7"/>
        <v>0</v>
      </c>
      <c r="AG72" s="7"/>
      <c r="AH72" s="7"/>
      <c r="AI72" s="7"/>
      <c r="AJ72" s="7"/>
      <c r="AK72" s="7"/>
      <c r="AL72" s="7"/>
    </row>
    <row r="73" spans="1:38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4"/>
      <c r="F73" s="214"/>
      <c r="G73" s="215"/>
      <c r="H73" s="215"/>
      <c r="I73" s="215"/>
      <c r="J73" s="214"/>
      <c r="K73" s="214"/>
      <c r="L73" s="647"/>
      <c r="M73" s="213"/>
      <c r="N73" s="213"/>
      <c r="O73" s="215"/>
      <c r="P73" s="213"/>
      <c r="Q73" s="213">
        <v>0</v>
      </c>
      <c r="R73" s="213"/>
      <c r="S73" s="213"/>
      <c r="T73" s="213"/>
      <c r="U73" s="213"/>
      <c r="V73" s="213"/>
      <c r="W73" s="213"/>
      <c r="X73" s="643"/>
      <c r="Y73" s="616">
        <f t="shared" si="1"/>
        <v>0</v>
      </c>
      <c r="Z73" s="633"/>
      <c r="AA73" s="648"/>
      <c r="AB73" s="648"/>
      <c r="AC73" s="7"/>
      <c r="AD73" s="699"/>
      <c r="AE73" s="7"/>
      <c r="AF73" s="618">
        <f t="shared" si="7"/>
        <v>0</v>
      </c>
      <c r="AG73" s="7"/>
      <c r="AH73" s="7"/>
      <c r="AI73" s="7"/>
      <c r="AJ73" s="7"/>
      <c r="AK73" s="7"/>
      <c r="AL73" s="7"/>
    </row>
    <row r="74" spans="1:38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4"/>
      <c r="F74" s="214"/>
      <c r="G74" s="215"/>
      <c r="H74" s="215"/>
      <c r="I74" s="215"/>
      <c r="J74" s="214"/>
      <c r="K74" s="214"/>
      <c r="L74" s="647"/>
      <c r="M74" s="213"/>
      <c r="N74" s="213"/>
      <c r="O74" s="215"/>
      <c r="P74" s="213"/>
      <c r="Q74" s="213">
        <v>0</v>
      </c>
      <c r="R74" s="213"/>
      <c r="S74" s="213"/>
      <c r="T74" s="213"/>
      <c r="U74" s="213"/>
      <c r="V74" s="213"/>
      <c r="W74" s="213"/>
      <c r="X74" s="643"/>
      <c r="Y74" s="616">
        <f t="shared" si="1"/>
        <v>0</v>
      </c>
      <c r="Z74" s="633"/>
      <c r="AA74" s="648"/>
      <c r="AB74" s="648"/>
      <c r="AC74" s="7"/>
      <c r="AD74" s="699"/>
      <c r="AE74" s="7"/>
      <c r="AF74" s="618">
        <f t="shared" si="7"/>
        <v>0</v>
      </c>
      <c r="AG74" s="7"/>
      <c r="AH74" s="7"/>
      <c r="AI74" s="7"/>
      <c r="AJ74" s="7"/>
      <c r="AK74" s="7"/>
      <c r="AL74" s="7"/>
    </row>
    <row r="75" spans="1:38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4"/>
      <c r="F75" s="214"/>
      <c r="G75" s="215"/>
      <c r="H75" s="215"/>
      <c r="I75" s="215"/>
      <c r="J75" s="214"/>
      <c r="K75" s="214"/>
      <c r="L75" s="638"/>
      <c r="M75" s="213"/>
      <c r="N75" s="213"/>
      <c r="O75" s="215"/>
      <c r="P75" s="213"/>
      <c r="Q75" s="213">
        <v>0</v>
      </c>
      <c r="R75" s="213"/>
      <c r="S75" s="213"/>
      <c r="T75" s="213"/>
      <c r="U75" s="213"/>
      <c r="V75" s="213"/>
      <c r="W75" s="213"/>
      <c r="X75" s="643"/>
      <c r="Y75" s="616">
        <f t="shared" si="1"/>
        <v>0</v>
      </c>
      <c r="Z75" s="633"/>
      <c r="AA75" s="636"/>
      <c r="AB75" s="636"/>
      <c r="AC75" s="7"/>
      <c r="AD75" s="699"/>
      <c r="AE75" s="7"/>
      <c r="AF75" s="618">
        <f t="shared" si="7"/>
        <v>0</v>
      </c>
      <c r="AG75" s="7"/>
      <c r="AH75" s="7"/>
      <c r="AI75" s="7"/>
      <c r="AJ75" s="7"/>
      <c r="AK75" s="7"/>
      <c r="AL75" s="7"/>
    </row>
    <row r="76" spans="1:38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4"/>
      <c r="F76" s="214"/>
      <c r="G76" s="215"/>
      <c r="H76" s="215"/>
      <c r="I76" s="215"/>
      <c r="J76" s="214"/>
      <c r="K76" s="214"/>
      <c r="L76" s="638"/>
      <c r="M76" s="213"/>
      <c r="N76" s="213"/>
      <c r="O76" s="215"/>
      <c r="P76" s="213"/>
      <c r="Q76" s="213">
        <v>0</v>
      </c>
      <c r="R76" s="213"/>
      <c r="S76" s="213"/>
      <c r="T76" s="213"/>
      <c r="U76" s="213"/>
      <c r="V76" s="213"/>
      <c r="W76" s="213"/>
      <c r="X76" s="643"/>
      <c r="Y76" s="616">
        <f t="shared" si="1"/>
        <v>0</v>
      </c>
      <c r="Z76" s="633"/>
      <c r="AA76" s="636"/>
      <c r="AB76" s="636"/>
      <c r="AC76" s="7"/>
      <c r="AD76" s="699"/>
      <c r="AE76" s="7"/>
      <c r="AF76" s="618">
        <f t="shared" si="7"/>
        <v>0</v>
      </c>
      <c r="AG76" s="7"/>
      <c r="AH76" s="7"/>
      <c r="AI76" s="7"/>
      <c r="AJ76" s="7"/>
      <c r="AK76" s="7"/>
      <c r="AL76" s="7"/>
    </row>
    <row r="77" spans="1:38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4"/>
      <c r="F77" s="214"/>
      <c r="G77" s="215"/>
      <c r="H77" s="215"/>
      <c r="I77" s="215"/>
      <c r="J77" s="214"/>
      <c r="K77" s="214"/>
      <c r="L77" s="638"/>
      <c r="M77" s="213"/>
      <c r="N77" s="213"/>
      <c r="O77" s="215"/>
      <c r="P77" s="213"/>
      <c r="Q77" s="213">
        <v>0</v>
      </c>
      <c r="R77" s="213"/>
      <c r="S77" s="213"/>
      <c r="T77" s="213"/>
      <c r="U77" s="213"/>
      <c r="V77" s="213"/>
      <c r="W77" s="213"/>
      <c r="X77" s="643"/>
      <c r="Y77" s="616">
        <f t="shared" si="1"/>
        <v>0</v>
      </c>
      <c r="Z77" s="633"/>
      <c r="AA77" s="640"/>
      <c r="AB77" s="640"/>
      <c r="AC77" s="7"/>
      <c r="AD77" s="699"/>
      <c r="AE77" s="7"/>
      <c r="AF77" s="618">
        <f t="shared" si="7"/>
        <v>0</v>
      </c>
      <c r="AG77" s="7"/>
      <c r="AH77" s="7"/>
      <c r="AI77" s="7"/>
      <c r="AJ77" s="7"/>
      <c r="AK77" s="7"/>
      <c r="AL77" s="7"/>
    </row>
    <row r="78" spans="1:38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4"/>
      <c r="F78" s="214"/>
      <c r="G78" s="215">
        <v>2</v>
      </c>
      <c r="H78" s="215"/>
      <c r="I78" s="215"/>
      <c r="J78" s="214"/>
      <c r="K78" s="214"/>
      <c r="L78" s="649"/>
      <c r="M78" s="213"/>
      <c r="N78" s="213"/>
      <c r="O78" s="215"/>
      <c r="P78" s="213"/>
      <c r="Q78" s="213">
        <v>1</v>
      </c>
      <c r="R78" s="213"/>
      <c r="S78" s="213"/>
      <c r="T78" s="213"/>
      <c r="U78" s="213"/>
      <c r="V78" s="213"/>
      <c r="W78" s="213"/>
      <c r="X78" s="643"/>
      <c r="Y78" s="616">
        <f t="shared" si="1"/>
        <v>3</v>
      </c>
      <c r="Z78" s="633"/>
      <c r="AA78" s="636"/>
      <c r="AB78" s="636"/>
      <c r="AC78" s="7"/>
      <c r="AD78" s="699">
        <v>3</v>
      </c>
      <c r="AE78" s="7"/>
      <c r="AF78" s="618">
        <f t="shared" si="7"/>
        <v>0</v>
      </c>
      <c r="AG78" s="7"/>
      <c r="AH78" s="7"/>
      <c r="AI78" s="7"/>
      <c r="AJ78" s="7"/>
      <c r="AK78" s="7"/>
      <c r="AL78" s="7"/>
    </row>
    <row r="79" spans="1:38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4"/>
      <c r="F79" s="214"/>
      <c r="G79" s="215"/>
      <c r="H79" s="215"/>
      <c r="I79" s="215"/>
      <c r="J79" s="214"/>
      <c r="K79" s="214"/>
      <c r="L79" s="620"/>
      <c r="M79" s="213"/>
      <c r="N79" s="213"/>
      <c r="O79" s="215"/>
      <c r="P79" s="213"/>
      <c r="Q79" s="213">
        <v>0</v>
      </c>
      <c r="R79" s="213"/>
      <c r="S79" s="213"/>
      <c r="T79" s="213"/>
      <c r="U79" s="213"/>
      <c r="V79" s="213"/>
      <c r="W79" s="213"/>
      <c r="X79" s="643"/>
      <c r="Y79" s="616">
        <f t="shared" si="1"/>
        <v>0</v>
      </c>
      <c r="Z79" s="633"/>
      <c r="AA79" s="634"/>
      <c r="AB79" s="634"/>
      <c r="AC79" s="7"/>
      <c r="AD79" s="699"/>
      <c r="AE79" s="7"/>
      <c r="AF79" s="618">
        <f t="shared" si="7"/>
        <v>0</v>
      </c>
      <c r="AG79" s="7"/>
      <c r="AH79" s="7"/>
      <c r="AI79" s="7"/>
      <c r="AJ79" s="7"/>
      <c r="AK79" s="7"/>
      <c r="AL79" s="7"/>
    </row>
    <row r="80" spans="1:38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4"/>
      <c r="F80" s="214"/>
      <c r="G80" s="215"/>
      <c r="H80" s="215"/>
      <c r="I80" s="215"/>
      <c r="J80" s="214"/>
      <c r="K80" s="214"/>
      <c r="L80" s="620"/>
      <c r="M80" s="213"/>
      <c r="N80" s="213"/>
      <c r="O80" s="215"/>
      <c r="P80" s="213"/>
      <c r="Q80" s="213">
        <v>0</v>
      </c>
      <c r="R80" s="213"/>
      <c r="S80" s="213"/>
      <c r="T80" s="213"/>
      <c r="U80" s="213"/>
      <c r="V80" s="213"/>
      <c r="W80" s="213"/>
      <c r="X80" s="643"/>
      <c r="Y80" s="616">
        <f t="shared" si="1"/>
        <v>0</v>
      </c>
      <c r="Z80" s="633"/>
      <c r="AA80" s="634"/>
      <c r="AB80" s="634"/>
      <c r="AC80" s="7"/>
      <c r="AD80" s="699"/>
      <c r="AE80" s="7"/>
      <c r="AF80" s="618">
        <f t="shared" si="7"/>
        <v>0</v>
      </c>
      <c r="AG80" s="7"/>
      <c r="AH80" s="7"/>
      <c r="AI80" s="7"/>
      <c r="AJ80" s="7"/>
      <c r="AK80" s="7"/>
      <c r="AL80" s="7"/>
    </row>
    <row r="81" spans="1:38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4"/>
      <c r="F81" s="214"/>
      <c r="G81" s="215"/>
      <c r="H81" s="215"/>
      <c r="I81" s="215"/>
      <c r="J81" s="214"/>
      <c r="K81" s="214"/>
      <c r="L81" s="620"/>
      <c r="M81" s="213"/>
      <c r="N81" s="213"/>
      <c r="O81" s="215"/>
      <c r="P81" s="213"/>
      <c r="Q81" s="213">
        <v>0</v>
      </c>
      <c r="R81" s="213"/>
      <c r="S81" s="213"/>
      <c r="T81" s="213"/>
      <c r="U81" s="213"/>
      <c r="V81" s="213"/>
      <c r="W81" s="213"/>
      <c r="X81" s="643"/>
      <c r="Y81" s="616">
        <f t="shared" si="1"/>
        <v>0</v>
      </c>
      <c r="Z81" s="633"/>
      <c r="AA81" s="634"/>
      <c r="AB81" s="634"/>
      <c r="AC81" s="7"/>
      <c r="AD81" s="699"/>
      <c r="AE81" s="7"/>
      <c r="AF81" s="618">
        <f t="shared" si="7"/>
        <v>0</v>
      </c>
      <c r="AG81" s="7"/>
      <c r="AH81" s="7"/>
      <c r="AI81" s="7"/>
      <c r="AJ81" s="7"/>
      <c r="AK81" s="7"/>
      <c r="AL81" s="7"/>
    </row>
    <row r="82" spans="1:38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4"/>
      <c r="F82" s="214"/>
      <c r="G82" s="215"/>
      <c r="H82" s="215"/>
      <c r="I82" s="215"/>
      <c r="J82" s="214"/>
      <c r="K82" s="214"/>
      <c r="L82" s="620"/>
      <c r="M82" s="213"/>
      <c r="N82" s="213"/>
      <c r="O82" s="215"/>
      <c r="P82" s="213"/>
      <c r="Q82" s="213">
        <v>0</v>
      </c>
      <c r="R82" s="213"/>
      <c r="S82" s="213"/>
      <c r="T82" s="213"/>
      <c r="U82" s="213"/>
      <c r="V82" s="213"/>
      <c r="W82" s="213"/>
      <c r="X82" s="643"/>
      <c r="Y82" s="616">
        <f t="shared" si="1"/>
        <v>0</v>
      </c>
      <c r="Z82" s="633"/>
      <c r="AA82" s="634"/>
      <c r="AB82" s="634"/>
      <c r="AC82" s="7"/>
      <c r="AD82" s="699"/>
      <c r="AE82" s="7"/>
      <c r="AF82" s="618">
        <f t="shared" si="7"/>
        <v>0</v>
      </c>
      <c r="AG82" s="7"/>
      <c r="AH82" s="7"/>
      <c r="AI82" s="7"/>
      <c r="AJ82" s="7"/>
      <c r="AK82" s="7"/>
      <c r="AL82" s="7"/>
    </row>
    <row r="83" spans="1:38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4"/>
      <c r="F83" s="214"/>
      <c r="G83" s="215"/>
      <c r="H83" s="215"/>
      <c r="I83" s="215"/>
      <c r="J83" s="214"/>
      <c r="K83" s="214"/>
      <c r="L83" s="649"/>
      <c r="M83" s="213"/>
      <c r="N83" s="213"/>
      <c r="O83" s="215"/>
      <c r="P83" s="213"/>
      <c r="Q83" s="213">
        <v>0</v>
      </c>
      <c r="R83" s="213"/>
      <c r="S83" s="213"/>
      <c r="T83" s="213"/>
      <c r="U83" s="213"/>
      <c r="V83" s="213"/>
      <c r="W83" s="213"/>
      <c r="X83" s="643"/>
      <c r="Y83" s="616">
        <f t="shared" si="1"/>
        <v>0</v>
      </c>
      <c r="Z83" s="633"/>
      <c r="AA83" s="636"/>
      <c r="AB83" s="636"/>
      <c r="AC83" s="7"/>
      <c r="AD83" s="699"/>
      <c r="AE83" s="7"/>
      <c r="AF83" s="618">
        <f t="shared" si="7"/>
        <v>0</v>
      </c>
      <c r="AG83" s="7"/>
      <c r="AH83" s="7"/>
      <c r="AI83" s="7"/>
      <c r="AJ83" s="7"/>
      <c r="AK83" s="7"/>
      <c r="AL83" s="7"/>
    </row>
    <row r="84" spans="1:38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4"/>
      <c r="F84" s="214"/>
      <c r="G84" s="215"/>
      <c r="H84" s="215"/>
      <c r="I84" s="215"/>
      <c r="J84" s="214"/>
      <c r="K84" s="214"/>
      <c r="L84" s="647"/>
      <c r="M84" s="213"/>
      <c r="N84" s="213"/>
      <c r="O84" s="215"/>
      <c r="P84" s="213"/>
      <c r="Q84" s="213">
        <v>0</v>
      </c>
      <c r="R84" s="213"/>
      <c r="S84" s="213"/>
      <c r="T84" s="213"/>
      <c r="U84" s="213"/>
      <c r="V84" s="213"/>
      <c r="W84" s="213"/>
      <c r="X84" s="643"/>
      <c r="Y84" s="616">
        <f t="shared" si="1"/>
        <v>0</v>
      </c>
      <c r="Z84" s="633"/>
      <c r="AA84" s="648"/>
      <c r="AB84" s="648"/>
      <c r="AC84" s="7"/>
      <c r="AD84" s="699"/>
      <c r="AE84" s="7"/>
      <c r="AF84" s="618">
        <f t="shared" si="7"/>
        <v>0</v>
      </c>
      <c r="AG84" s="7"/>
      <c r="AH84" s="7"/>
      <c r="AI84" s="7"/>
      <c r="AJ84" s="7"/>
      <c r="AK84" s="7"/>
      <c r="AL84" s="7"/>
    </row>
    <row r="85" spans="1:38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4"/>
      <c r="F85" s="214"/>
      <c r="G85" s="215"/>
      <c r="H85" s="215"/>
      <c r="I85" s="215"/>
      <c r="J85" s="214"/>
      <c r="K85" s="214"/>
      <c r="L85" s="647"/>
      <c r="M85" s="213"/>
      <c r="N85" s="213"/>
      <c r="O85" s="215"/>
      <c r="P85" s="213"/>
      <c r="Q85" s="213">
        <v>0</v>
      </c>
      <c r="R85" s="213"/>
      <c r="S85" s="213"/>
      <c r="T85" s="213"/>
      <c r="U85" s="213"/>
      <c r="V85" s="213"/>
      <c r="W85" s="213"/>
      <c r="X85" s="643"/>
      <c r="Y85" s="616">
        <f t="shared" si="1"/>
        <v>0</v>
      </c>
      <c r="Z85" s="633"/>
      <c r="AA85" s="648"/>
      <c r="AB85" s="648"/>
      <c r="AC85" s="7"/>
      <c r="AD85" s="699"/>
      <c r="AE85" s="7"/>
      <c r="AF85" s="618">
        <f t="shared" si="7"/>
        <v>0</v>
      </c>
      <c r="AG85" s="7"/>
      <c r="AH85" s="7"/>
      <c r="AI85" s="7"/>
      <c r="AJ85" s="7"/>
      <c r="AK85" s="7"/>
      <c r="AL85" s="7"/>
    </row>
    <row r="86" spans="1:38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4"/>
      <c r="F86" s="214"/>
      <c r="G86" s="215"/>
      <c r="H86" s="215"/>
      <c r="I86" s="215"/>
      <c r="J86" s="214"/>
      <c r="K86" s="214"/>
      <c r="L86" s="647"/>
      <c r="M86" s="213"/>
      <c r="N86" s="213"/>
      <c r="O86" s="215"/>
      <c r="P86" s="213"/>
      <c r="Q86" s="213">
        <v>0</v>
      </c>
      <c r="R86" s="213"/>
      <c r="S86" s="213"/>
      <c r="T86" s="213"/>
      <c r="U86" s="213"/>
      <c r="V86" s="213"/>
      <c r="W86" s="213"/>
      <c r="X86" s="643"/>
      <c r="Y86" s="616">
        <f t="shared" si="1"/>
        <v>0</v>
      </c>
      <c r="Z86" s="633"/>
      <c r="AA86" s="648"/>
      <c r="AB86" s="648"/>
      <c r="AC86" s="7"/>
      <c r="AD86" s="699"/>
      <c r="AE86" s="7"/>
      <c r="AF86" s="618">
        <f t="shared" si="7"/>
        <v>0</v>
      </c>
      <c r="AG86" s="7"/>
      <c r="AH86" s="7"/>
      <c r="AI86" s="7"/>
      <c r="AJ86" s="7"/>
      <c r="AK86" s="7"/>
      <c r="AL86" s="7"/>
    </row>
    <row r="87" spans="1:38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4"/>
      <c r="F87" s="214"/>
      <c r="G87" s="215"/>
      <c r="H87" s="215"/>
      <c r="I87" s="215"/>
      <c r="J87" s="214"/>
      <c r="K87" s="214"/>
      <c r="L87" s="638"/>
      <c r="M87" s="213"/>
      <c r="N87" s="213"/>
      <c r="O87" s="215"/>
      <c r="P87" s="213"/>
      <c r="Q87" s="213">
        <v>0</v>
      </c>
      <c r="R87" s="213"/>
      <c r="S87" s="213"/>
      <c r="T87" s="213"/>
      <c r="U87" s="213"/>
      <c r="V87" s="213"/>
      <c r="W87" s="213"/>
      <c r="X87" s="643"/>
      <c r="Y87" s="616">
        <f t="shared" si="1"/>
        <v>0</v>
      </c>
      <c r="Z87" s="633"/>
      <c r="AA87" s="636"/>
      <c r="AB87" s="636"/>
      <c r="AC87" s="7"/>
      <c r="AD87" s="699"/>
      <c r="AE87" s="7"/>
      <c r="AF87" s="618">
        <f t="shared" si="7"/>
        <v>0</v>
      </c>
      <c r="AG87" s="7"/>
      <c r="AH87" s="7"/>
      <c r="AI87" s="7"/>
      <c r="AJ87" s="7"/>
      <c r="AK87" s="7"/>
      <c r="AL87" s="7"/>
    </row>
    <row r="88" spans="1:38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4"/>
      <c r="F88" s="214"/>
      <c r="G88" s="215"/>
      <c r="H88" s="215"/>
      <c r="I88" s="215"/>
      <c r="J88" s="214"/>
      <c r="K88" s="214"/>
      <c r="L88" s="638"/>
      <c r="M88" s="213"/>
      <c r="N88" s="213"/>
      <c r="O88" s="215"/>
      <c r="P88" s="213"/>
      <c r="Q88" s="213">
        <v>0</v>
      </c>
      <c r="R88" s="213"/>
      <c r="S88" s="213"/>
      <c r="T88" s="213"/>
      <c r="U88" s="213"/>
      <c r="V88" s="213"/>
      <c r="W88" s="213"/>
      <c r="X88" s="643"/>
      <c r="Y88" s="616">
        <f t="shared" si="1"/>
        <v>0</v>
      </c>
      <c r="Z88" s="633"/>
      <c r="AA88" s="636"/>
      <c r="AB88" s="636"/>
      <c r="AC88" s="7"/>
      <c r="AD88" s="699"/>
      <c r="AE88" s="7"/>
      <c r="AF88" s="618">
        <f t="shared" si="7"/>
        <v>0</v>
      </c>
      <c r="AG88" s="7"/>
      <c r="AH88" s="7"/>
      <c r="AI88" s="7"/>
      <c r="AJ88" s="7"/>
      <c r="AK88" s="7"/>
      <c r="AL88" s="7"/>
    </row>
    <row r="89" spans="1:38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4"/>
      <c r="F89" s="214"/>
      <c r="G89" s="215"/>
      <c r="H89" s="215"/>
      <c r="I89" s="215"/>
      <c r="J89" s="214"/>
      <c r="K89" s="214"/>
      <c r="L89" s="638"/>
      <c r="M89" s="213"/>
      <c r="N89" s="213"/>
      <c r="O89" s="215"/>
      <c r="P89" s="213"/>
      <c r="Q89" s="213">
        <v>0</v>
      </c>
      <c r="R89" s="213"/>
      <c r="S89" s="213"/>
      <c r="T89" s="213"/>
      <c r="U89" s="213"/>
      <c r="V89" s="213"/>
      <c r="W89" s="213"/>
      <c r="X89" s="643"/>
      <c r="Y89" s="616">
        <f t="shared" si="1"/>
        <v>0</v>
      </c>
      <c r="Z89" s="633"/>
      <c r="AA89" s="636"/>
      <c r="AB89" s="636"/>
      <c r="AC89" s="7"/>
      <c r="AD89" s="699"/>
      <c r="AE89" s="7"/>
      <c r="AF89" s="618">
        <f t="shared" si="7"/>
        <v>0</v>
      </c>
      <c r="AG89" s="7"/>
      <c r="AH89" s="7"/>
      <c r="AI89" s="7"/>
      <c r="AJ89" s="7"/>
      <c r="AK89" s="7"/>
      <c r="AL89" s="7"/>
    </row>
    <row r="90" spans="1:38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4"/>
      <c r="F90" s="214"/>
      <c r="G90" s="215"/>
      <c r="H90" s="215"/>
      <c r="I90" s="215"/>
      <c r="J90" s="214"/>
      <c r="K90" s="214"/>
      <c r="L90" s="638"/>
      <c r="M90" s="213"/>
      <c r="N90" s="213"/>
      <c r="O90" s="215"/>
      <c r="P90" s="213"/>
      <c r="Q90" s="213">
        <v>0</v>
      </c>
      <c r="R90" s="213"/>
      <c r="S90" s="213"/>
      <c r="T90" s="213"/>
      <c r="U90" s="213"/>
      <c r="V90" s="213"/>
      <c r="W90" s="213"/>
      <c r="X90" s="643"/>
      <c r="Y90" s="616">
        <f t="shared" si="1"/>
        <v>0</v>
      </c>
      <c r="Z90" s="633"/>
      <c r="AA90" s="640"/>
      <c r="AB90" s="640"/>
      <c r="AC90" s="7"/>
      <c r="AD90" s="699"/>
      <c r="AE90" s="7"/>
      <c r="AF90" s="618">
        <f t="shared" si="7"/>
        <v>0</v>
      </c>
      <c r="AG90" s="7"/>
      <c r="AH90" s="7"/>
      <c r="AI90" s="7"/>
      <c r="AJ90" s="7"/>
      <c r="AK90" s="7"/>
      <c r="AL90" s="7"/>
    </row>
    <row r="91" spans="1:38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4"/>
      <c r="F91" s="214"/>
      <c r="G91" s="215">
        <v>3</v>
      </c>
      <c r="H91" s="215"/>
      <c r="I91" s="215"/>
      <c r="J91" s="214"/>
      <c r="K91" s="214">
        <v>2</v>
      </c>
      <c r="L91" s="620"/>
      <c r="M91" s="213"/>
      <c r="N91" s="213"/>
      <c r="O91" s="215">
        <v>2</v>
      </c>
      <c r="P91" s="213"/>
      <c r="Q91" s="213">
        <v>1</v>
      </c>
      <c r="R91" s="213"/>
      <c r="S91" s="213"/>
      <c r="T91" s="213"/>
      <c r="U91" s="213"/>
      <c r="V91" s="213"/>
      <c r="W91" s="213"/>
      <c r="X91" s="643"/>
      <c r="Y91" s="616">
        <f t="shared" si="1"/>
        <v>8</v>
      </c>
      <c r="Z91" s="633"/>
      <c r="AA91" s="636"/>
      <c r="AB91" s="636"/>
      <c r="AC91" s="7"/>
      <c r="AD91" s="699">
        <v>8</v>
      </c>
      <c r="AE91" s="7"/>
      <c r="AF91" s="618">
        <f t="shared" si="7"/>
        <v>0</v>
      </c>
      <c r="AG91" s="7"/>
      <c r="AH91" s="7"/>
      <c r="AI91" s="7"/>
      <c r="AJ91" s="7"/>
      <c r="AK91" s="7"/>
      <c r="AL91" s="7"/>
    </row>
    <row r="92" spans="1:38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4"/>
      <c r="F92" s="214"/>
      <c r="G92" s="215"/>
      <c r="H92" s="215"/>
      <c r="I92" s="215"/>
      <c r="J92" s="214"/>
      <c r="K92" s="214"/>
      <c r="L92" s="620"/>
      <c r="M92" s="213"/>
      <c r="N92" s="213"/>
      <c r="O92" s="215"/>
      <c r="P92" s="213"/>
      <c r="Q92" s="213">
        <v>1</v>
      </c>
      <c r="R92" s="213"/>
      <c r="S92" s="213"/>
      <c r="T92" s="213"/>
      <c r="U92" s="213"/>
      <c r="V92" s="213"/>
      <c r="W92" s="213"/>
      <c r="X92" s="643"/>
      <c r="Y92" s="616">
        <f t="shared" si="1"/>
        <v>1</v>
      </c>
      <c r="Z92" s="633"/>
      <c r="AA92" s="636"/>
      <c r="AB92" s="636"/>
      <c r="AC92" s="7"/>
      <c r="AD92" s="699">
        <v>1</v>
      </c>
      <c r="AE92" s="7"/>
      <c r="AF92" s="618">
        <f t="shared" si="7"/>
        <v>0</v>
      </c>
      <c r="AG92" s="7"/>
      <c r="AH92" s="7"/>
      <c r="AI92" s="7"/>
      <c r="AJ92" s="7"/>
      <c r="AK92" s="7"/>
      <c r="AL92" s="7"/>
    </row>
    <row r="93" spans="1:38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4"/>
      <c r="F93" s="214"/>
      <c r="G93" s="215"/>
      <c r="H93" s="215"/>
      <c r="I93" s="215"/>
      <c r="J93" s="214"/>
      <c r="K93" s="214"/>
      <c r="L93" s="620"/>
      <c r="M93" s="213"/>
      <c r="N93" s="213"/>
      <c r="O93" s="215"/>
      <c r="P93" s="213"/>
      <c r="Q93" s="213">
        <v>0</v>
      </c>
      <c r="R93" s="213"/>
      <c r="S93" s="213"/>
      <c r="T93" s="213"/>
      <c r="U93" s="213"/>
      <c r="V93" s="213"/>
      <c r="W93" s="213"/>
      <c r="X93" s="643"/>
      <c r="Y93" s="616">
        <f t="shared" si="1"/>
        <v>0</v>
      </c>
      <c r="Z93" s="633"/>
      <c r="AA93" s="636"/>
      <c r="AB93" s="636"/>
      <c r="AC93" s="7"/>
      <c r="AD93" s="699"/>
      <c r="AE93" s="7"/>
      <c r="AF93" s="618">
        <f t="shared" si="7"/>
        <v>0</v>
      </c>
      <c r="AG93" s="7"/>
      <c r="AH93" s="7"/>
      <c r="AI93" s="7"/>
      <c r="AJ93" s="7"/>
      <c r="AK93" s="7"/>
      <c r="AL93" s="7"/>
    </row>
    <row r="94" spans="1:38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4"/>
      <c r="F94" s="214"/>
      <c r="G94" s="215"/>
      <c r="H94" s="215"/>
      <c r="I94" s="215"/>
      <c r="J94" s="214"/>
      <c r="K94" s="214"/>
      <c r="L94" s="620"/>
      <c r="M94" s="213"/>
      <c r="N94" s="213"/>
      <c r="O94" s="215"/>
      <c r="P94" s="213"/>
      <c r="Q94" s="213"/>
      <c r="R94" s="213"/>
      <c r="S94" s="213"/>
      <c r="T94" s="213"/>
      <c r="U94" s="213"/>
      <c r="V94" s="213"/>
      <c r="W94" s="213"/>
      <c r="X94" s="643"/>
      <c r="Y94" s="616">
        <f t="shared" si="1"/>
        <v>0</v>
      </c>
      <c r="Z94" s="633"/>
      <c r="AA94" s="636"/>
      <c r="AB94" s="636"/>
      <c r="AC94" s="7"/>
      <c r="AD94" s="699"/>
      <c r="AE94" s="7"/>
      <c r="AF94" s="618"/>
      <c r="AG94" s="7"/>
      <c r="AH94" s="7"/>
      <c r="AI94" s="7"/>
      <c r="AJ94" s="7"/>
      <c r="AK94" s="7"/>
      <c r="AL94" s="7"/>
    </row>
    <row r="95" spans="1:38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4"/>
      <c r="F95" s="214"/>
      <c r="G95" s="215"/>
      <c r="H95" s="215"/>
      <c r="I95" s="215"/>
      <c r="J95" s="214"/>
      <c r="K95" s="214"/>
      <c r="L95" s="620"/>
      <c r="M95" s="213"/>
      <c r="N95" s="213"/>
      <c r="O95" s="215"/>
      <c r="P95" s="213"/>
      <c r="Q95" s="213">
        <v>7</v>
      </c>
      <c r="R95" s="213"/>
      <c r="S95" s="213"/>
      <c r="T95" s="213"/>
      <c r="U95" s="213"/>
      <c r="V95" s="213"/>
      <c r="W95" s="213"/>
      <c r="X95" s="643"/>
      <c r="Y95" s="616">
        <f t="shared" si="1"/>
        <v>7</v>
      </c>
      <c r="Z95" s="633"/>
      <c r="AA95" s="636"/>
      <c r="AB95" s="636"/>
      <c r="AC95" s="7"/>
      <c r="AD95" s="699">
        <v>7</v>
      </c>
      <c r="AE95" s="7"/>
      <c r="AF95" s="618">
        <f t="shared" ref="AF95:AF103" si="8">AD95-Y95</f>
        <v>0</v>
      </c>
      <c r="AG95" s="7"/>
      <c r="AH95" s="7"/>
      <c r="AI95" s="7"/>
      <c r="AJ95" s="7"/>
      <c r="AK95" s="7"/>
      <c r="AL95" s="7"/>
    </row>
    <row r="96" spans="1:38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4"/>
      <c r="F96" s="214"/>
      <c r="G96" s="215"/>
      <c r="H96" s="215"/>
      <c r="I96" s="215"/>
      <c r="J96" s="214"/>
      <c r="K96" s="214"/>
      <c r="L96" s="620"/>
      <c r="M96" s="213"/>
      <c r="N96" s="213"/>
      <c r="O96" s="215"/>
      <c r="P96" s="213"/>
      <c r="Q96" s="213">
        <v>0</v>
      </c>
      <c r="R96" s="213"/>
      <c r="S96" s="213"/>
      <c r="T96" s="213"/>
      <c r="U96" s="213"/>
      <c r="V96" s="213"/>
      <c r="W96" s="213"/>
      <c r="X96" s="643"/>
      <c r="Y96" s="616">
        <f t="shared" si="1"/>
        <v>0</v>
      </c>
      <c r="Z96" s="633"/>
      <c r="AA96" s="636"/>
      <c r="AB96" s="636"/>
      <c r="AC96" s="7"/>
      <c r="AD96" s="699"/>
      <c r="AE96" s="7"/>
      <c r="AF96" s="618">
        <f t="shared" si="8"/>
        <v>0</v>
      </c>
      <c r="AG96" s="7"/>
      <c r="AH96" s="7"/>
      <c r="AI96" s="7"/>
      <c r="AJ96" s="7"/>
      <c r="AK96" s="7"/>
      <c r="AL96" s="7"/>
    </row>
    <row r="97" spans="1:38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4"/>
      <c r="F97" s="214"/>
      <c r="G97" s="215"/>
      <c r="H97" s="215"/>
      <c r="I97" s="215"/>
      <c r="J97" s="214"/>
      <c r="K97" s="214"/>
      <c r="L97" s="620"/>
      <c r="M97" s="213"/>
      <c r="N97" s="213"/>
      <c r="O97" s="215"/>
      <c r="P97" s="213"/>
      <c r="Q97" s="213">
        <v>0</v>
      </c>
      <c r="R97" s="213"/>
      <c r="S97" s="213"/>
      <c r="T97" s="213"/>
      <c r="U97" s="213"/>
      <c r="V97" s="213"/>
      <c r="W97" s="213"/>
      <c r="X97" s="643"/>
      <c r="Y97" s="616">
        <f t="shared" si="1"/>
        <v>0</v>
      </c>
      <c r="Z97" s="633"/>
      <c r="AA97" s="636"/>
      <c r="AB97" s="636"/>
      <c r="AC97" s="7"/>
      <c r="AD97" s="699"/>
      <c r="AE97" s="7"/>
      <c r="AF97" s="618">
        <f t="shared" si="8"/>
        <v>0</v>
      </c>
      <c r="AG97" s="7"/>
      <c r="AH97" s="7"/>
      <c r="AI97" s="7"/>
      <c r="AJ97" s="7"/>
      <c r="AK97" s="7"/>
      <c r="AL97" s="7"/>
    </row>
    <row r="98" spans="1:38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4"/>
      <c r="F98" s="214"/>
      <c r="G98" s="215"/>
      <c r="H98" s="215"/>
      <c r="I98" s="215"/>
      <c r="J98" s="214"/>
      <c r="K98" s="214"/>
      <c r="L98" s="620"/>
      <c r="M98" s="213"/>
      <c r="N98" s="213"/>
      <c r="O98" s="215"/>
      <c r="P98" s="213"/>
      <c r="Q98" s="213">
        <v>0</v>
      </c>
      <c r="R98" s="213"/>
      <c r="S98" s="213"/>
      <c r="T98" s="213"/>
      <c r="U98" s="213"/>
      <c r="V98" s="213"/>
      <c r="W98" s="213"/>
      <c r="X98" s="643"/>
      <c r="Y98" s="616">
        <f t="shared" si="1"/>
        <v>0</v>
      </c>
      <c r="Z98" s="633"/>
      <c r="AA98" s="636"/>
      <c r="AB98" s="636"/>
      <c r="AC98" s="7"/>
      <c r="AD98" s="699"/>
      <c r="AE98" s="7"/>
      <c r="AF98" s="618">
        <f t="shared" si="8"/>
        <v>0</v>
      </c>
      <c r="AG98" s="7"/>
      <c r="AH98" s="7"/>
      <c r="AI98" s="7"/>
      <c r="AJ98" s="7"/>
      <c r="AK98" s="7"/>
      <c r="AL98" s="7"/>
    </row>
    <row r="99" spans="1:38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4"/>
      <c r="F99" s="214"/>
      <c r="G99" s="215"/>
      <c r="H99" s="215"/>
      <c r="I99" s="215"/>
      <c r="J99" s="214"/>
      <c r="K99" s="214"/>
      <c r="L99" s="620"/>
      <c r="M99" s="213"/>
      <c r="N99" s="213"/>
      <c r="O99" s="215"/>
      <c r="P99" s="213"/>
      <c r="Q99" s="213">
        <v>0</v>
      </c>
      <c r="R99" s="213"/>
      <c r="S99" s="213"/>
      <c r="T99" s="213"/>
      <c r="U99" s="213"/>
      <c r="V99" s="213"/>
      <c r="W99" s="213"/>
      <c r="X99" s="643"/>
      <c r="Y99" s="616">
        <f t="shared" si="1"/>
        <v>0</v>
      </c>
      <c r="Z99" s="633"/>
      <c r="AA99" s="636"/>
      <c r="AB99" s="636"/>
      <c r="AC99" s="7"/>
      <c r="AD99" s="699"/>
      <c r="AE99" s="7"/>
      <c r="AF99" s="618">
        <f t="shared" si="8"/>
        <v>0</v>
      </c>
      <c r="AG99" s="7"/>
      <c r="AH99" s="7"/>
      <c r="AI99" s="7"/>
      <c r="AJ99" s="7"/>
      <c r="AK99" s="7"/>
      <c r="AL99" s="7"/>
    </row>
    <row r="100" spans="1:38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4"/>
      <c r="F100" s="214"/>
      <c r="G100" s="215"/>
      <c r="H100" s="215"/>
      <c r="I100" s="215"/>
      <c r="J100" s="214"/>
      <c r="K100" s="214"/>
      <c r="L100" s="620"/>
      <c r="M100" s="213"/>
      <c r="N100" s="213"/>
      <c r="O100" s="215"/>
      <c r="P100" s="213"/>
      <c r="Q100" s="213">
        <v>0</v>
      </c>
      <c r="R100" s="213"/>
      <c r="S100" s="213"/>
      <c r="T100" s="213"/>
      <c r="U100" s="213"/>
      <c r="V100" s="213"/>
      <c r="W100" s="213"/>
      <c r="X100" s="643"/>
      <c r="Y100" s="616">
        <f t="shared" si="1"/>
        <v>0</v>
      </c>
      <c r="Z100" s="633"/>
      <c r="AA100" s="636"/>
      <c r="AB100" s="636"/>
      <c r="AC100" s="7"/>
      <c r="AD100" s="699"/>
      <c r="AE100" s="7"/>
      <c r="AF100" s="618">
        <f t="shared" si="8"/>
        <v>0</v>
      </c>
      <c r="AG100" s="7"/>
      <c r="AH100" s="7"/>
      <c r="AI100" s="7"/>
      <c r="AJ100" s="7"/>
      <c r="AK100" s="7"/>
      <c r="AL100" s="7"/>
    </row>
    <row r="101" spans="1:38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4"/>
      <c r="F101" s="214"/>
      <c r="G101" s="215"/>
      <c r="H101" s="215"/>
      <c r="I101" s="215"/>
      <c r="J101" s="214"/>
      <c r="K101" s="214"/>
      <c r="L101" s="638"/>
      <c r="M101" s="213"/>
      <c r="N101" s="213"/>
      <c r="O101" s="215"/>
      <c r="P101" s="213"/>
      <c r="Q101" s="213">
        <v>0</v>
      </c>
      <c r="R101" s="213"/>
      <c r="S101" s="213"/>
      <c r="T101" s="213"/>
      <c r="U101" s="213"/>
      <c r="V101" s="213"/>
      <c r="W101" s="213"/>
      <c r="X101" s="643"/>
      <c r="Y101" s="616">
        <f t="shared" si="1"/>
        <v>0</v>
      </c>
      <c r="Z101" s="633"/>
      <c r="AA101" s="636"/>
      <c r="AB101" s="636"/>
      <c r="AC101" s="7"/>
      <c r="AD101" s="699"/>
      <c r="AE101" s="7"/>
      <c r="AF101" s="618">
        <f t="shared" si="8"/>
        <v>0</v>
      </c>
      <c r="AG101" s="7"/>
      <c r="AH101" s="7"/>
      <c r="AI101" s="7"/>
      <c r="AJ101" s="7"/>
      <c r="AK101" s="7"/>
      <c r="AL101" s="7"/>
    </row>
    <row r="102" spans="1:38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4"/>
      <c r="F102" s="214"/>
      <c r="G102" s="215"/>
      <c r="H102" s="215"/>
      <c r="I102" s="215"/>
      <c r="J102" s="214"/>
      <c r="K102" s="214"/>
      <c r="L102" s="638"/>
      <c r="M102" s="213"/>
      <c r="N102" s="213"/>
      <c r="O102" s="215"/>
      <c r="P102" s="213"/>
      <c r="Q102" s="213">
        <v>0</v>
      </c>
      <c r="R102" s="213"/>
      <c r="S102" s="213"/>
      <c r="T102" s="213"/>
      <c r="U102" s="213"/>
      <c r="V102" s="213"/>
      <c r="W102" s="213"/>
      <c r="X102" s="643"/>
      <c r="Y102" s="616">
        <f t="shared" si="1"/>
        <v>0</v>
      </c>
      <c r="Z102" s="633"/>
      <c r="AA102" s="636"/>
      <c r="AB102" s="636"/>
      <c r="AC102" s="7"/>
      <c r="AD102" s="699"/>
      <c r="AE102" s="7"/>
      <c r="AF102" s="618">
        <f t="shared" si="8"/>
        <v>0</v>
      </c>
      <c r="AG102" s="7"/>
      <c r="AH102" s="7"/>
      <c r="AI102" s="7"/>
      <c r="AJ102" s="7"/>
      <c r="AK102" s="7"/>
      <c r="AL102" s="7"/>
    </row>
    <row r="103" spans="1:38" ht="18.75" customHeight="1">
      <c r="A103" s="489">
        <v>3</v>
      </c>
      <c r="B103" s="490" t="s">
        <v>266</v>
      </c>
      <c r="C103" s="637" t="s">
        <v>267</v>
      </c>
      <c r="D103" s="491"/>
      <c r="E103" s="214"/>
      <c r="F103" s="214"/>
      <c r="G103" s="215"/>
      <c r="H103" s="215"/>
      <c r="I103" s="215"/>
      <c r="J103" s="214"/>
      <c r="K103" s="214"/>
      <c r="L103" s="638"/>
      <c r="M103" s="213"/>
      <c r="N103" s="213"/>
      <c r="O103" s="215"/>
      <c r="P103" s="213"/>
      <c r="Q103" s="213">
        <v>0</v>
      </c>
      <c r="R103" s="213"/>
      <c r="S103" s="213"/>
      <c r="T103" s="213"/>
      <c r="U103" s="213"/>
      <c r="V103" s="213"/>
      <c r="W103" s="213"/>
      <c r="X103" s="643"/>
      <c r="Y103" s="616">
        <f t="shared" si="1"/>
        <v>0</v>
      </c>
      <c r="Z103" s="650" t="s">
        <v>1579</v>
      </c>
      <c r="AA103" s="640"/>
      <c r="AB103" s="640"/>
      <c r="AC103" s="7"/>
      <c r="AD103" s="699"/>
      <c r="AE103" s="7"/>
      <c r="AF103" s="618">
        <f t="shared" si="8"/>
        <v>0</v>
      </c>
      <c r="AG103" s="7"/>
      <c r="AH103" s="7"/>
      <c r="AI103" s="7"/>
      <c r="AJ103" s="7"/>
      <c r="AK103" s="7"/>
      <c r="AL103" s="7"/>
    </row>
    <row r="104" spans="1:38" ht="20.25" customHeight="1">
      <c r="A104" s="486"/>
      <c r="B104" s="487" t="s">
        <v>269</v>
      </c>
      <c r="C104" s="635" t="s">
        <v>270</v>
      </c>
      <c r="D104" s="412" t="s">
        <v>271</v>
      </c>
      <c r="E104" s="214">
        <v>39.24</v>
      </c>
      <c r="F104" s="214"/>
      <c r="G104" s="215">
        <v>134.35</v>
      </c>
      <c r="H104" s="215">
        <v>3.66</v>
      </c>
      <c r="I104" s="215">
        <f t="shared" ref="I104:I105" si="9">0.02+29.3</f>
        <v>29.32</v>
      </c>
      <c r="J104" s="214">
        <v>7</v>
      </c>
      <c r="K104" s="214">
        <v>71.39</v>
      </c>
      <c r="L104" s="620"/>
      <c r="M104" s="213"/>
      <c r="N104" s="213">
        <v>0.1</v>
      </c>
      <c r="O104" s="215">
        <v>245.35</v>
      </c>
      <c r="P104" s="213"/>
      <c r="Q104" s="213"/>
      <c r="R104" s="213"/>
      <c r="S104" s="213"/>
      <c r="T104" s="213"/>
      <c r="U104" s="213"/>
      <c r="V104" s="213"/>
      <c r="W104" s="213"/>
      <c r="X104" s="643"/>
      <c r="Y104" s="616">
        <f t="shared" si="1"/>
        <v>530.41</v>
      </c>
      <c r="Z104" s="633">
        <f>Y104+Y126+Y115</f>
        <v>737.73</v>
      </c>
      <c r="AA104" s="636"/>
      <c r="AB104" s="636"/>
      <c r="AC104" s="7"/>
      <c r="AD104" s="701">
        <v>926.9</v>
      </c>
      <c r="AE104" s="7"/>
      <c r="AF104" s="618"/>
      <c r="AG104" s="7"/>
      <c r="AH104" s="7"/>
      <c r="AI104" s="7"/>
      <c r="AJ104" s="7"/>
      <c r="AK104" s="7"/>
      <c r="AL104" s="7"/>
    </row>
    <row r="105" spans="1:38" ht="20.25" customHeight="1">
      <c r="A105" s="510"/>
      <c r="B105" s="505" t="s">
        <v>273</v>
      </c>
      <c r="C105" s="653" t="s">
        <v>274</v>
      </c>
      <c r="D105" s="512" t="s">
        <v>271</v>
      </c>
      <c r="E105" s="214">
        <v>39.24</v>
      </c>
      <c r="F105" s="214"/>
      <c r="G105" s="215"/>
      <c r="H105" s="215"/>
      <c r="I105" s="215">
        <f t="shared" si="9"/>
        <v>29.32</v>
      </c>
      <c r="J105" s="214"/>
      <c r="K105" s="214"/>
      <c r="L105" s="647"/>
      <c r="M105" s="213"/>
      <c r="N105" s="213"/>
      <c r="O105" s="215"/>
      <c r="P105" s="213"/>
      <c r="Q105" s="213"/>
      <c r="R105" s="213"/>
      <c r="S105" s="213"/>
      <c r="T105" s="213"/>
      <c r="U105" s="213"/>
      <c r="V105" s="213"/>
      <c r="W105" s="213"/>
      <c r="X105" s="643"/>
      <c r="Y105" s="616">
        <f t="shared" si="1"/>
        <v>68.56</v>
      </c>
      <c r="Z105" s="633"/>
      <c r="AA105" s="654"/>
      <c r="AB105" s="654"/>
      <c r="AC105" s="7"/>
      <c r="AD105" s="701"/>
      <c r="AE105" s="7"/>
      <c r="AF105" s="618"/>
      <c r="AG105" s="7"/>
      <c r="AH105" s="7"/>
      <c r="AI105" s="7"/>
      <c r="AJ105" s="7"/>
      <c r="AK105" s="7"/>
      <c r="AL105" s="7"/>
    </row>
    <row r="106" spans="1:38" ht="20.25" customHeight="1">
      <c r="A106" s="503"/>
      <c r="B106" s="483" t="s">
        <v>275</v>
      </c>
      <c r="C106" s="629" t="s">
        <v>131</v>
      </c>
      <c r="D106" s="504" t="s">
        <v>271</v>
      </c>
      <c r="E106" s="214">
        <v>3.74</v>
      </c>
      <c r="F106" s="214"/>
      <c r="G106" s="215"/>
      <c r="H106" s="215"/>
      <c r="I106" s="215">
        <v>0.02</v>
      </c>
      <c r="J106" s="214"/>
      <c r="K106" s="214"/>
      <c r="L106" s="647"/>
      <c r="M106" s="213"/>
      <c r="N106" s="213"/>
      <c r="O106" s="215"/>
      <c r="P106" s="213"/>
      <c r="Q106" s="213"/>
      <c r="R106" s="213"/>
      <c r="S106" s="213"/>
      <c r="T106" s="213"/>
      <c r="U106" s="213"/>
      <c r="V106" s="213"/>
      <c r="W106" s="213"/>
      <c r="X106" s="643"/>
      <c r="Y106" s="616">
        <f t="shared" si="1"/>
        <v>3.7600000000000002</v>
      </c>
      <c r="Z106" s="633"/>
      <c r="AA106" s="648"/>
      <c r="AB106" s="648"/>
      <c r="AC106" s="7"/>
      <c r="AD106" s="701"/>
      <c r="AE106" s="7"/>
      <c r="AF106" s="618"/>
      <c r="AG106" s="7"/>
      <c r="AH106" s="7"/>
      <c r="AI106" s="7"/>
      <c r="AJ106" s="7"/>
      <c r="AK106" s="7"/>
      <c r="AL106" s="7"/>
    </row>
    <row r="107" spans="1:38" ht="20.25" customHeight="1">
      <c r="A107" s="503"/>
      <c r="B107" s="483" t="s">
        <v>276</v>
      </c>
      <c r="C107" s="629" t="s">
        <v>200</v>
      </c>
      <c r="D107" s="504" t="s">
        <v>271</v>
      </c>
      <c r="E107" s="214"/>
      <c r="F107" s="214"/>
      <c r="G107" s="215"/>
      <c r="H107" s="215"/>
      <c r="I107" s="215"/>
      <c r="J107" s="214"/>
      <c r="K107" s="214"/>
      <c r="L107" s="647"/>
      <c r="M107" s="213"/>
      <c r="N107" s="213"/>
      <c r="O107" s="215"/>
      <c r="P107" s="213"/>
      <c r="Q107" s="213"/>
      <c r="R107" s="213"/>
      <c r="S107" s="213"/>
      <c r="T107" s="213"/>
      <c r="U107" s="213"/>
      <c r="V107" s="213"/>
      <c r="W107" s="213"/>
      <c r="X107" s="643"/>
      <c r="Y107" s="616">
        <f t="shared" si="1"/>
        <v>0</v>
      </c>
      <c r="Z107" s="633"/>
      <c r="AA107" s="648"/>
      <c r="AB107" s="648"/>
      <c r="AC107" s="7"/>
      <c r="AD107" s="701"/>
      <c r="AE107" s="7"/>
      <c r="AF107" s="618"/>
      <c r="AG107" s="7"/>
      <c r="AH107" s="7"/>
      <c r="AI107" s="7"/>
      <c r="AJ107" s="7"/>
      <c r="AK107" s="7"/>
      <c r="AL107" s="7"/>
    </row>
    <row r="108" spans="1:38" ht="20.25" customHeight="1">
      <c r="A108" s="503"/>
      <c r="B108" s="483" t="s">
        <v>277</v>
      </c>
      <c r="C108" s="629" t="s">
        <v>203</v>
      </c>
      <c r="D108" s="504" t="s">
        <v>271</v>
      </c>
      <c r="E108" s="214"/>
      <c r="F108" s="214"/>
      <c r="G108" s="215"/>
      <c r="H108" s="215"/>
      <c r="I108" s="215"/>
      <c r="J108" s="214"/>
      <c r="K108" s="214"/>
      <c r="L108" s="647"/>
      <c r="M108" s="213"/>
      <c r="N108" s="213"/>
      <c r="O108" s="215"/>
      <c r="P108" s="213"/>
      <c r="Q108" s="213"/>
      <c r="R108" s="213"/>
      <c r="S108" s="213"/>
      <c r="T108" s="213"/>
      <c r="U108" s="213"/>
      <c r="V108" s="213"/>
      <c r="W108" s="213"/>
      <c r="X108" s="643"/>
      <c r="Y108" s="616">
        <f t="shared" si="1"/>
        <v>0</v>
      </c>
      <c r="Z108" s="633"/>
      <c r="AA108" s="648"/>
      <c r="AB108" s="648"/>
      <c r="AC108" s="7"/>
      <c r="AD108" s="701"/>
      <c r="AE108" s="7"/>
      <c r="AF108" s="618"/>
      <c r="AG108" s="7"/>
      <c r="AH108" s="7"/>
      <c r="AI108" s="7"/>
      <c r="AJ108" s="7"/>
      <c r="AK108" s="7"/>
      <c r="AL108" s="7"/>
    </row>
    <row r="109" spans="1:38" ht="20.25" customHeight="1">
      <c r="A109" s="503"/>
      <c r="B109" s="483" t="s">
        <v>278</v>
      </c>
      <c r="C109" s="629" t="s">
        <v>159</v>
      </c>
      <c r="D109" s="504" t="s">
        <v>271</v>
      </c>
      <c r="E109" s="214">
        <v>50</v>
      </c>
      <c r="F109" s="214"/>
      <c r="G109" s="215"/>
      <c r="H109" s="215"/>
      <c r="I109" s="215">
        <v>29.3</v>
      </c>
      <c r="J109" s="214"/>
      <c r="K109" s="214"/>
      <c r="L109" s="647"/>
      <c r="M109" s="213"/>
      <c r="N109" s="213"/>
      <c r="O109" s="215"/>
      <c r="P109" s="213"/>
      <c r="Q109" s="213"/>
      <c r="R109" s="213"/>
      <c r="S109" s="213"/>
      <c r="T109" s="213"/>
      <c r="U109" s="213"/>
      <c r="V109" s="213"/>
      <c r="W109" s="213"/>
      <c r="X109" s="643"/>
      <c r="Y109" s="616">
        <f t="shared" si="1"/>
        <v>79.3</v>
      </c>
      <c r="Z109" s="633"/>
      <c r="AA109" s="648"/>
      <c r="AB109" s="648"/>
      <c r="AC109" s="7"/>
      <c r="AD109" s="701"/>
      <c r="AE109" s="7"/>
      <c r="AF109" s="618"/>
      <c r="AG109" s="7"/>
      <c r="AH109" s="7"/>
      <c r="AI109" s="7"/>
      <c r="AJ109" s="7"/>
      <c r="AK109" s="7"/>
      <c r="AL109" s="7"/>
    </row>
    <row r="110" spans="1:38" ht="20.25" customHeight="1">
      <c r="A110" s="510"/>
      <c r="B110" s="505" t="s">
        <v>279</v>
      </c>
      <c r="C110" s="655" t="s">
        <v>280</v>
      </c>
      <c r="D110" s="512" t="s">
        <v>271</v>
      </c>
      <c r="E110" s="214"/>
      <c r="F110" s="214"/>
      <c r="G110" s="215"/>
      <c r="H110" s="215"/>
      <c r="I110" s="215"/>
      <c r="J110" s="214"/>
      <c r="K110" s="214"/>
      <c r="L110" s="647"/>
      <c r="M110" s="213"/>
      <c r="N110" s="213"/>
      <c r="O110" s="215"/>
      <c r="P110" s="213"/>
      <c r="Q110" s="213">
        <v>0</v>
      </c>
      <c r="R110" s="213"/>
      <c r="S110" s="213"/>
      <c r="T110" s="213"/>
      <c r="U110" s="213"/>
      <c r="V110" s="213"/>
      <c r="W110" s="213"/>
      <c r="X110" s="643"/>
      <c r="Y110" s="616">
        <f t="shared" si="1"/>
        <v>0</v>
      </c>
      <c r="Z110" s="633"/>
      <c r="AA110" s="654"/>
      <c r="AB110" s="654"/>
      <c r="AC110" s="7"/>
      <c r="AD110" s="701"/>
      <c r="AE110" s="7"/>
      <c r="AF110" s="618">
        <f t="shared" ref="AF110:AF114" si="10">AD110-Y110</f>
        <v>0</v>
      </c>
      <c r="AG110" s="7"/>
      <c r="AH110" s="7"/>
      <c r="AI110" s="7"/>
      <c r="AJ110" s="7"/>
      <c r="AK110" s="7"/>
      <c r="AL110" s="7"/>
    </row>
    <row r="111" spans="1:38" ht="20.25" customHeight="1">
      <c r="A111" s="482"/>
      <c r="B111" s="483" t="s">
        <v>281</v>
      </c>
      <c r="C111" s="629" t="s">
        <v>131</v>
      </c>
      <c r="D111" s="504" t="s">
        <v>271</v>
      </c>
      <c r="E111" s="214"/>
      <c r="F111" s="214"/>
      <c r="G111" s="215"/>
      <c r="H111" s="215"/>
      <c r="I111" s="215"/>
      <c r="J111" s="214"/>
      <c r="K111" s="214"/>
      <c r="L111" s="647"/>
      <c r="M111" s="213"/>
      <c r="N111" s="213"/>
      <c r="O111" s="215"/>
      <c r="P111" s="213"/>
      <c r="Q111" s="213">
        <v>0</v>
      </c>
      <c r="R111" s="213"/>
      <c r="S111" s="213"/>
      <c r="T111" s="213"/>
      <c r="U111" s="213"/>
      <c r="V111" s="213"/>
      <c r="W111" s="213"/>
      <c r="X111" s="643"/>
      <c r="Y111" s="616">
        <f t="shared" si="1"/>
        <v>0</v>
      </c>
      <c r="Z111" s="633"/>
      <c r="AA111" s="634"/>
      <c r="AB111" s="634"/>
      <c r="AC111" s="7"/>
      <c r="AD111" s="701"/>
      <c r="AE111" s="7"/>
      <c r="AF111" s="618">
        <f t="shared" si="10"/>
        <v>0</v>
      </c>
      <c r="AG111" s="7"/>
      <c r="AH111" s="7"/>
      <c r="AI111" s="7"/>
      <c r="AJ111" s="7"/>
      <c r="AK111" s="7"/>
      <c r="AL111" s="7"/>
    </row>
    <row r="112" spans="1:38" ht="20.25" customHeight="1">
      <c r="A112" s="482"/>
      <c r="B112" s="483" t="s">
        <v>282</v>
      </c>
      <c r="C112" s="629" t="s">
        <v>200</v>
      </c>
      <c r="D112" s="504" t="s">
        <v>271</v>
      </c>
      <c r="E112" s="214"/>
      <c r="F112" s="214"/>
      <c r="G112" s="215"/>
      <c r="H112" s="215"/>
      <c r="I112" s="215"/>
      <c r="J112" s="214"/>
      <c r="K112" s="214"/>
      <c r="L112" s="647"/>
      <c r="M112" s="213"/>
      <c r="N112" s="213"/>
      <c r="O112" s="215"/>
      <c r="P112" s="213"/>
      <c r="Q112" s="213">
        <v>0</v>
      </c>
      <c r="R112" s="213"/>
      <c r="S112" s="213"/>
      <c r="T112" s="213"/>
      <c r="U112" s="213"/>
      <c r="V112" s="213"/>
      <c r="W112" s="213"/>
      <c r="X112" s="643"/>
      <c r="Y112" s="616">
        <f t="shared" si="1"/>
        <v>0</v>
      </c>
      <c r="Z112" s="633"/>
      <c r="AA112" s="634"/>
      <c r="AB112" s="634"/>
      <c r="AC112" s="7"/>
      <c r="AD112" s="701"/>
      <c r="AE112" s="7"/>
      <c r="AF112" s="618">
        <f t="shared" si="10"/>
        <v>0</v>
      </c>
      <c r="AG112" s="7"/>
      <c r="AH112" s="7"/>
      <c r="AI112" s="7"/>
      <c r="AJ112" s="7"/>
      <c r="AK112" s="7"/>
      <c r="AL112" s="7"/>
    </row>
    <row r="113" spans="1:38" ht="20.25" customHeight="1">
      <c r="A113" s="482"/>
      <c r="B113" s="483" t="s">
        <v>283</v>
      </c>
      <c r="C113" s="629" t="s">
        <v>203</v>
      </c>
      <c r="D113" s="504" t="s">
        <v>271</v>
      </c>
      <c r="E113" s="214"/>
      <c r="F113" s="214"/>
      <c r="G113" s="215"/>
      <c r="H113" s="215"/>
      <c r="I113" s="215"/>
      <c r="J113" s="214"/>
      <c r="K113" s="214"/>
      <c r="L113" s="647"/>
      <c r="M113" s="213"/>
      <c r="N113" s="213"/>
      <c r="O113" s="215"/>
      <c r="P113" s="213"/>
      <c r="Q113" s="213">
        <v>0</v>
      </c>
      <c r="R113" s="213"/>
      <c r="S113" s="213"/>
      <c r="T113" s="213"/>
      <c r="U113" s="213"/>
      <c r="V113" s="213"/>
      <c r="W113" s="213"/>
      <c r="X113" s="643"/>
      <c r="Y113" s="616">
        <f t="shared" si="1"/>
        <v>0</v>
      </c>
      <c r="Z113" s="633"/>
      <c r="AA113" s="634"/>
      <c r="AB113" s="634"/>
      <c r="AC113" s="7"/>
      <c r="AD113" s="701"/>
      <c r="AE113" s="7"/>
      <c r="AF113" s="618">
        <f t="shared" si="10"/>
        <v>0</v>
      </c>
      <c r="AG113" s="7"/>
      <c r="AH113" s="7"/>
      <c r="AI113" s="7"/>
      <c r="AJ113" s="7"/>
      <c r="AK113" s="7"/>
      <c r="AL113" s="7"/>
    </row>
    <row r="114" spans="1:38" ht="20.25" customHeight="1">
      <c r="A114" s="482"/>
      <c r="B114" s="483" t="s">
        <v>284</v>
      </c>
      <c r="C114" s="629" t="s">
        <v>159</v>
      </c>
      <c r="D114" s="504" t="s">
        <v>271</v>
      </c>
      <c r="E114" s="214"/>
      <c r="F114" s="214"/>
      <c r="G114" s="215"/>
      <c r="H114" s="215"/>
      <c r="I114" s="215"/>
      <c r="J114" s="214"/>
      <c r="K114" s="214"/>
      <c r="L114" s="647"/>
      <c r="M114" s="213"/>
      <c r="N114" s="213"/>
      <c r="O114" s="215"/>
      <c r="P114" s="213"/>
      <c r="Q114" s="213">
        <v>0</v>
      </c>
      <c r="R114" s="213"/>
      <c r="S114" s="213"/>
      <c r="T114" s="213"/>
      <c r="U114" s="213"/>
      <c r="V114" s="213"/>
      <c r="W114" s="213"/>
      <c r="X114" s="643"/>
      <c r="Y114" s="616">
        <f t="shared" si="1"/>
        <v>0</v>
      </c>
      <c r="Z114" s="633"/>
      <c r="AA114" s="634"/>
      <c r="AB114" s="634"/>
      <c r="AC114" s="7"/>
      <c r="AD114" s="701"/>
      <c r="AE114" s="7"/>
      <c r="AF114" s="618">
        <f t="shared" si="10"/>
        <v>0</v>
      </c>
      <c r="AG114" s="7"/>
      <c r="AH114" s="7"/>
      <c r="AI114" s="7"/>
      <c r="AJ114" s="7"/>
      <c r="AK114" s="7"/>
      <c r="AL114" s="7"/>
    </row>
    <row r="115" spans="1:38" ht="20.25" customHeight="1">
      <c r="A115" s="486"/>
      <c r="B115" s="487" t="s">
        <v>285</v>
      </c>
      <c r="C115" s="635" t="s">
        <v>286</v>
      </c>
      <c r="D115" s="512" t="s">
        <v>271</v>
      </c>
      <c r="E115" s="214"/>
      <c r="F115" s="214"/>
      <c r="G115" s="215"/>
      <c r="H115" s="215"/>
      <c r="I115" s="215"/>
      <c r="J115" s="214"/>
      <c r="K115" s="214"/>
      <c r="L115" s="647"/>
      <c r="M115" s="213"/>
      <c r="N115" s="213"/>
      <c r="O115" s="215"/>
      <c r="P115" s="213"/>
      <c r="Q115" s="213"/>
      <c r="R115" s="213"/>
      <c r="S115" s="213"/>
      <c r="T115" s="213"/>
      <c r="U115" s="213"/>
      <c r="V115" s="213"/>
      <c r="W115" s="213"/>
      <c r="X115" s="643"/>
      <c r="Y115" s="616">
        <f t="shared" si="1"/>
        <v>0</v>
      </c>
      <c r="Z115" s="633"/>
      <c r="AA115" s="636"/>
      <c r="AB115" s="636"/>
      <c r="AC115" s="7"/>
      <c r="AD115" s="701"/>
      <c r="AE115" s="7"/>
      <c r="AF115" s="618"/>
      <c r="AG115" s="7"/>
      <c r="AH115" s="7"/>
      <c r="AI115" s="7"/>
      <c r="AJ115" s="7"/>
      <c r="AK115" s="7"/>
      <c r="AL115" s="7"/>
    </row>
    <row r="116" spans="1:38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4"/>
      <c r="F116" s="214"/>
      <c r="G116" s="215"/>
      <c r="H116" s="215"/>
      <c r="I116" s="215"/>
      <c r="J116" s="214"/>
      <c r="K116" s="214"/>
      <c r="L116" s="647"/>
      <c r="M116" s="213"/>
      <c r="N116" s="213"/>
      <c r="O116" s="215"/>
      <c r="P116" s="213"/>
      <c r="Q116" s="213">
        <v>0</v>
      </c>
      <c r="R116" s="213"/>
      <c r="S116" s="213"/>
      <c r="T116" s="213"/>
      <c r="U116" s="213"/>
      <c r="V116" s="213"/>
      <c r="W116" s="213"/>
      <c r="X116" s="643"/>
      <c r="Y116" s="616">
        <f t="shared" si="1"/>
        <v>0</v>
      </c>
      <c r="Z116" s="633"/>
      <c r="AA116" s="654"/>
      <c r="AB116" s="654"/>
      <c r="AC116" s="7"/>
      <c r="AD116" s="701"/>
      <c r="AE116" s="7"/>
      <c r="AF116" s="618">
        <f t="shared" ref="AF116:AF125" si="11">AD116-Y116</f>
        <v>0</v>
      </c>
      <c r="AG116" s="7"/>
      <c r="AH116" s="7"/>
      <c r="AI116" s="7"/>
      <c r="AJ116" s="7"/>
      <c r="AK116" s="7"/>
      <c r="AL116" s="7"/>
    </row>
    <row r="117" spans="1:38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4"/>
      <c r="F117" s="214"/>
      <c r="G117" s="215"/>
      <c r="H117" s="215"/>
      <c r="I117" s="215"/>
      <c r="J117" s="214"/>
      <c r="K117" s="214"/>
      <c r="L117" s="647"/>
      <c r="M117" s="213"/>
      <c r="N117" s="213"/>
      <c r="O117" s="215"/>
      <c r="P117" s="213"/>
      <c r="Q117" s="213">
        <v>0</v>
      </c>
      <c r="R117" s="213"/>
      <c r="S117" s="213"/>
      <c r="T117" s="213"/>
      <c r="U117" s="213"/>
      <c r="V117" s="213"/>
      <c r="W117" s="213"/>
      <c r="X117" s="643"/>
      <c r="Y117" s="616">
        <f t="shared" si="1"/>
        <v>0</v>
      </c>
      <c r="Z117" s="633"/>
      <c r="AA117" s="648"/>
      <c r="AB117" s="648"/>
      <c r="AC117" s="7"/>
      <c r="AD117" s="699"/>
      <c r="AE117" s="7"/>
      <c r="AF117" s="618">
        <f t="shared" si="11"/>
        <v>0</v>
      </c>
      <c r="AG117" s="7"/>
      <c r="AH117" s="7"/>
      <c r="AI117" s="7"/>
      <c r="AJ117" s="7"/>
      <c r="AK117" s="7"/>
      <c r="AL117" s="7"/>
    </row>
    <row r="118" spans="1:38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4"/>
      <c r="F118" s="214"/>
      <c r="G118" s="215"/>
      <c r="H118" s="215"/>
      <c r="I118" s="215"/>
      <c r="J118" s="214"/>
      <c r="K118" s="214"/>
      <c r="L118" s="647"/>
      <c r="M118" s="213"/>
      <c r="N118" s="213"/>
      <c r="O118" s="215"/>
      <c r="P118" s="213"/>
      <c r="Q118" s="213">
        <v>0</v>
      </c>
      <c r="R118" s="213"/>
      <c r="S118" s="213"/>
      <c r="T118" s="213"/>
      <c r="U118" s="213"/>
      <c r="V118" s="213"/>
      <c r="W118" s="213"/>
      <c r="X118" s="643"/>
      <c r="Y118" s="616">
        <f t="shared" si="1"/>
        <v>0</v>
      </c>
      <c r="Z118" s="633"/>
      <c r="AA118" s="648"/>
      <c r="AB118" s="648"/>
      <c r="AC118" s="7"/>
      <c r="AD118" s="701"/>
      <c r="AE118" s="7"/>
      <c r="AF118" s="618">
        <f t="shared" si="11"/>
        <v>0</v>
      </c>
      <c r="AG118" s="7"/>
      <c r="AH118" s="7"/>
      <c r="AI118" s="7"/>
      <c r="AJ118" s="7"/>
      <c r="AK118" s="7"/>
      <c r="AL118" s="7"/>
    </row>
    <row r="119" spans="1:38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4"/>
      <c r="F119" s="214"/>
      <c r="G119" s="215"/>
      <c r="H119" s="215"/>
      <c r="I119" s="215"/>
      <c r="J119" s="214"/>
      <c r="K119" s="214"/>
      <c r="L119" s="647"/>
      <c r="M119" s="213"/>
      <c r="N119" s="213"/>
      <c r="O119" s="215"/>
      <c r="P119" s="213"/>
      <c r="Q119" s="213">
        <v>0</v>
      </c>
      <c r="R119" s="213"/>
      <c r="S119" s="213"/>
      <c r="T119" s="213"/>
      <c r="U119" s="213"/>
      <c r="V119" s="213"/>
      <c r="W119" s="213"/>
      <c r="X119" s="643"/>
      <c r="Y119" s="616">
        <f t="shared" si="1"/>
        <v>0</v>
      </c>
      <c r="Z119" s="633"/>
      <c r="AA119" s="648"/>
      <c r="AB119" s="648"/>
      <c r="AC119" s="7"/>
      <c r="AD119" s="699"/>
      <c r="AE119" s="7"/>
      <c r="AF119" s="618">
        <f t="shared" si="11"/>
        <v>0</v>
      </c>
      <c r="AG119" s="7"/>
      <c r="AH119" s="7"/>
      <c r="AI119" s="7"/>
      <c r="AJ119" s="7"/>
      <c r="AK119" s="7"/>
      <c r="AL119" s="7"/>
    </row>
    <row r="120" spans="1:38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4"/>
      <c r="F120" s="214"/>
      <c r="G120" s="215"/>
      <c r="H120" s="215"/>
      <c r="I120" s="215"/>
      <c r="J120" s="214"/>
      <c r="K120" s="214"/>
      <c r="L120" s="647"/>
      <c r="M120" s="213"/>
      <c r="N120" s="213"/>
      <c r="O120" s="215"/>
      <c r="P120" s="213"/>
      <c r="Q120" s="213">
        <v>0</v>
      </c>
      <c r="R120" s="213"/>
      <c r="S120" s="213"/>
      <c r="T120" s="213"/>
      <c r="U120" s="213"/>
      <c r="V120" s="213"/>
      <c r="W120" s="213"/>
      <c r="X120" s="643"/>
      <c r="Y120" s="616">
        <f t="shared" si="1"/>
        <v>0</v>
      </c>
      <c r="Z120" s="633"/>
      <c r="AA120" s="648"/>
      <c r="AB120" s="648"/>
      <c r="AC120" s="7"/>
      <c r="AD120" s="699"/>
      <c r="AE120" s="7"/>
      <c r="AF120" s="618">
        <f t="shared" si="11"/>
        <v>0</v>
      </c>
      <c r="AG120" s="7"/>
      <c r="AH120" s="7"/>
      <c r="AI120" s="7"/>
      <c r="AJ120" s="7"/>
      <c r="AK120" s="7"/>
      <c r="AL120" s="7"/>
    </row>
    <row r="121" spans="1:38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4"/>
      <c r="F121" s="214"/>
      <c r="G121" s="215"/>
      <c r="H121" s="215"/>
      <c r="I121" s="215"/>
      <c r="J121" s="214"/>
      <c r="K121" s="214"/>
      <c r="L121" s="647"/>
      <c r="M121" s="213"/>
      <c r="N121" s="213"/>
      <c r="O121" s="215"/>
      <c r="P121" s="213"/>
      <c r="Q121" s="213">
        <v>0</v>
      </c>
      <c r="R121" s="213"/>
      <c r="S121" s="213"/>
      <c r="T121" s="213"/>
      <c r="U121" s="213"/>
      <c r="V121" s="213"/>
      <c r="W121" s="213"/>
      <c r="X121" s="643"/>
      <c r="Y121" s="616">
        <f t="shared" si="1"/>
        <v>0</v>
      </c>
      <c r="Z121" s="633"/>
      <c r="AA121" s="654"/>
      <c r="AB121" s="654"/>
      <c r="AC121" s="7"/>
      <c r="AD121" s="701"/>
      <c r="AE121" s="7"/>
      <c r="AF121" s="618">
        <f t="shared" si="11"/>
        <v>0</v>
      </c>
      <c r="AG121" s="7"/>
      <c r="AH121" s="7"/>
      <c r="AI121" s="7"/>
      <c r="AJ121" s="7"/>
      <c r="AK121" s="7"/>
      <c r="AL121" s="7"/>
    </row>
    <row r="122" spans="1:38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4"/>
      <c r="F122" s="214"/>
      <c r="G122" s="215"/>
      <c r="H122" s="215"/>
      <c r="I122" s="215"/>
      <c r="J122" s="214"/>
      <c r="K122" s="214"/>
      <c r="L122" s="647"/>
      <c r="M122" s="213"/>
      <c r="N122" s="213"/>
      <c r="O122" s="215"/>
      <c r="P122" s="213"/>
      <c r="Q122" s="213">
        <v>0</v>
      </c>
      <c r="R122" s="213"/>
      <c r="S122" s="213"/>
      <c r="T122" s="213"/>
      <c r="U122" s="213"/>
      <c r="V122" s="213"/>
      <c r="W122" s="213"/>
      <c r="X122" s="643"/>
      <c r="Y122" s="616">
        <f t="shared" si="1"/>
        <v>0</v>
      </c>
      <c r="Z122" s="633"/>
      <c r="AA122" s="648"/>
      <c r="AB122" s="648"/>
      <c r="AC122" s="7"/>
      <c r="AD122" s="701"/>
      <c r="AE122" s="7"/>
      <c r="AF122" s="618">
        <f t="shared" si="11"/>
        <v>0</v>
      </c>
      <c r="AG122" s="7"/>
      <c r="AH122" s="7"/>
      <c r="AI122" s="7"/>
      <c r="AJ122" s="7"/>
      <c r="AK122" s="7"/>
      <c r="AL122" s="7"/>
    </row>
    <row r="123" spans="1:38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4"/>
      <c r="F123" s="214"/>
      <c r="G123" s="215"/>
      <c r="H123" s="215"/>
      <c r="I123" s="215"/>
      <c r="J123" s="214"/>
      <c r="K123" s="214"/>
      <c r="L123" s="647"/>
      <c r="M123" s="213"/>
      <c r="N123" s="213"/>
      <c r="O123" s="215"/>
      <c r="P123" s="213"/>
      <c r="Q123" s="213">
        <v>0</v>
      </c>
      <c r="R123" s="213"/>
      <c r="S123" s="213"/>
      <c r="T123" s="213"/>
      <c r="U123" s="213"/>
      <c r="V123" s="213"/>
      <c r="W123" s="213"/>
      <c r="X123" s="643"/>
      <c r="Y123" s="616">
        <f t="shared" si="1"/>
        <v>0</v>
      </c>
      <c r="Z123" s="633"/>
      <c r="AA123" s="648"/>
      <c r="AB123" s="648"/>
      <c r="AC123" s="7"/>
      <c r="AD123" s="699"/>
      <c r="AE123" s="7"/>
      <c r="AF123" s="618">
        <f t="shared" si="11"/>
        <v>0</v>
      </c>
      <c r="AG123" s="7"/>
      <c r="AH123" s="7"/>
      <c r="AI123" s="7"/>
      <c r="AJ123" s="7"/>
      <c r="AK123" s="7"/>
      <c r="AL123" s="7"/>
    </row>
    <row r="124" spans="1:38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4"/>
      <c r="F124" s="214"/>
      <c r="G124" s="215"/>
      <c r="H124" s="215"/>
      <c r="I124" s="215"/>
      <c r="J124" s="214"/>
      <c r="K124" s="214"/>
      <c r="L124" s="647"/>
      <c r="M124" s="213"/>
      <c r="N124" s="213"/>
      <c r="O124" s="215"/>
      <c r="P124" s="213"/>
      <c r="Q124" s="213">
        <v>0</v>
      </c>
      <c r="R124" s="213"/>
      <c r="S124" s="213"/>
      <c r="T124" s="213"/>
      <c r="U124" s="213"/>
      <c r="V124" s="213"/>
      <c r="W124" s="213"/>
      <c r="X124" s="643"/>
      <c r="Y124" s="616">
        <f t="shared" si="1"/>
        <v>0</v>
      </c>
      <c r="Z124" s="633"/>
      <c r="AA124" s="648"/>
      <c r="AB124" s="648"/>
      <c r="AC124" s="7"/>
      <c r="AD124" s="699"/>
      <c r="AE124" s="7"/>
      <c r="AF124" s="618">
        <f t="shared" si="11"/>
        <v>0</v>
      </c>
      <c r="AG124" s="7"/>
      <c r="AH124" s="7"/>
      <c r="AI124" s="7"/>
      <c r="AJ124" s="7"/>
      <c r="AK124" s="7"/>
      <c r="AL124" s="7"/>
    </row>
    <row r="125" spans="1:38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4"/>
      <c r="F125" s="214"/>
      <c r="G125" s="215"/>
      <c r="H125" s="215"/>
      <c r="I125" s="215"/>
      <c r="J125" s="214"/>
      <c r="K125" s="214"/>
      <c r="L125" s="647"/>
      <c r="M125" s="213"/>
      <c r="N125" s="213"/>
      <c r="O125" s="215"/>
      <c r="P125" s="213"/>
      <c r="Q125" s="213">
        <v>0</v>
      </c>
      <c r="R125" s="213"/>
      <c r="S125" s="213"/>
      <c r="T125" s="213"/>
      <c r="U125" s="213"/>
      <c r="V125" s="213"/>
      <c r="W125" s="213"/>
      <c r="X125" s="643"/>
      <c r="Y125" s="616">
        <f t="shared" si="1"/>
        <v>0</v>
      </c>
      <c r="Z125" s="633"/>
      <c r="AA125" s="648"/>
      <c r="AB125" s="648"/>
      <c r="AC125" s="7"/>
      <c r="AD125" s="699"/>
      <c r="AE125" s="7"/>
      <c r="AF125" s="618">
        <f t="shared" si="11"/>
        <v>0</v>
      </c>
      <c r="AG125" s="7"/>
      <c r="AH125" s="7"/>
      <c r="AI125" s="7"/>
      <c r="AJ125" s="7"/>
      <c r="AK125" s="7"/>
      <c r="AL125" s="7"/>
    </row>
    <row r="126" spans="1:38" ht="20.25" customHeight="1">
      <c r="A126" s="486"/>
      <c r="B126" s="487" t="s">
        <v>299</v>
      </c>
      <c r="C126" s="635" t="s">
        <v>300</v>
      </c>
      <c r="D126" s="412" t="s">
        <v>271</v>
      </c>
      <c r="E126" s="214">
        <v>87.6</v>
      </c>
      <c r="F126" s="214"/>
      <c r="G126" s="215">
        <v>22.86</v>
      </c>
      <c r="H126" s="215"/>
      <c r="I126" s="215">
        <f>1.5+8</f>
        <v>9.5</v>
      </c>
      <c r="J126" s="214"/>
      <c r="K126" s="214">
        <v>12.07</v>
      </c>
      <c r="L126" s="620"/>
      <c r="M126" s="213"/>
      <c r="N126" s="213"/>
      <c r="O126" s="215">
        <v>75.290000000000006</v>
      </c>
      <c r="P126" s="213"/>
      <c r="Q126" s="213"/>
      <c r="R126" s="213"/>
      <c r="S126" s="213"/>
      <c r="T126" s="213"/>
      <c r="U126" s="213"/>
      <c r="V126" s="213"/>
      <c r="W126" s="213"/>
      <c r="X126" s="643"/>
      <c r="Y126" s="616">
        <f t="shared" si="1"/>
        <v>207.32</v>
      </c>
      <c r="Z126" s="633"/>
      <c r="AA126" s="636"/>
      <c r="AB126" s="636"/>
      <c r="AC126" s="7"/>
      <c r="AD126" s="702">
        <v>230</v>
      </c>
      <c r="AE126" s="7"/>
      <c r="AF126" s="618"/>
      <c r="AG126" s="7"/>
      <c r="AH126" s="7"/>
      <c r="AI126" s="7"/>
      <c r="AJ126" s="7"/>
      <c r="AK126" s="7"/>
      <c r="AL126" s="7"/>
    </row>
    <row r="127" spans="1:38" ht="19.5" customHeight="1">
      <c r="A127" s="482"/>
      <c r="B127" s="483" t="s">
        <v>302</v>
      </c>
      <c r="C127" s="629" t="s">
        <v>131</v>
      </c>
      <c r="D127" s="504" t="s">
        <v>271</v>
      </c>
      <c r="E127" s="214">
        <v>37.6</v>
      </c>
      <c r="F127" s="214"/>
      <c r="G127" s="215"/>
      <c r="H127" s="215"/>
      <c r="I127" s="215"/>
      <c r="J127" s="214"/>
      <c r="K127" s="214"/>
      <c r="L127" s="647"/>
      <c r="M127" s="213"/>
      <c r="N127" s="213"/>
      <c r="O127" s="215"/>
      <c r="P127" s="213"/>
      <c r="Q127" s="213"/>
      <c r="R127" s="213"/>
      <c r="S127" s="213"/>
      <c r="T127" s="213"/>
      <c r="U127" s="213"/>
      <c r="V127" s="213"/>
      <c r="W127" s="213"/>
      <c r="X127" s="643"/>
      <c r="Y127" s="616">
        <f t="shared" si="1"/>
        <v>37.6</v>
      </c>
      <c r="Z127" s="633"/>
      <c r="AA127" s="634"/>
      <c r="AB127" s="634"/>
      <c r="AC127" s="7"/>
      <c r="AD127" s="701">
        <v>118.1</v>
      </c>
      <c r="AE127" s="7"/>
      <c r="AF127" s="618"/>
      <c r="AG127" s="7"/>
      <c r="AH127" s="7"/>
      <c r="AI127" s="7"/>
      <c r="AJ127" s="7"/>
      <c r="AK127" s="7"/>
      <c r="AL127" s="7"/>
    </row>
    <row r="128" spans="1:38" ht="20.25" customHeight="1">
      <c r="A128" s="482"/>
      <c r="B128" s="483" t="s">
        <v>303</v>
      </c>
      <c r="C128" s="629" t="s">
        <v>200</v>
      </c>
      <c r="D128" s="504" t="s">
        <v>271</v>
      </c>
      <c r="E128" s="214"/>
      <c r="F128" s="214"/>
      <c r="G128" s="215"/>
      <c r="H128" s="215"/>
      <c r="I128" s="215"/>
      <c r="J128" s="214"/>
      <c r="K128" s="214"/>
      <c r="L128" s="647"/>
      <c r="M128" s="213"/>
      <c r="N128" s="213"/>
      <c r="O128" s="215"/>
      <c r="P128" s="213"/>
      <c r="Q128" s="213">
        <v>0</v>
      </c>
      <c r="R128" s="213"/>
      <c r="S128" s="213"/>
      <c r="T128" s="213"/>
      <c r="U128" s="213"/>
      <c r="V128" s="213"/>
      <c r="W128" s="213"/>
      <c r="X128" s="643"/>
      <c r="Y128" s="616">
        <f t="shared" si="1"/>
        <v>0</v>
      </c>
      <c r="Z128" s="633"/>
      <c r="AA128" s="634"/>
      <c r="AB128" s="634"/>
      <c r="AC128" s="7"/>
      <c r="AD128" s="701"/>
      <c r="AE128" s="7"/>
      <c r="AF128" s="618">
        <f>AD128-Y128</f>
        <v>0</v>
      </c>
      <c r="AG128" s="7"/>
      <c r="AH128" s="7"/>
      <c r="AI128" s="7"/>
      <c r="AJ128" s="7"/>
      <c r="AK128" s="7"/>
      <c r="AL128" s="7"/>
    </row>
    <row r="129" spans="1:38" ht="20.25" customHeight="1">
      <c r="A129" s="482"/>
      <c r="B129" s="483" t="s">
        <v>304</v>
      </c>
      <c r="C129" s="629" t="s">
        <v>203</v>
      </c>
      <c r="D129" s="504" t="s">
        <v>271</v>
      </c>
      <c r="E129" s="214"/>
      <c r="F129" s="214"/>
      <c r="G129" s="215"/>
      <c r="H129" s="215"/>
      <c r="I129" s="215"/>
      <c r="J129" s="214"/>
      <c r="K129" s="214"/>
      <c r="L129" s="647"/>
      <c r="M129" s="213"/>
      <c r="N129" s="213"/>
      <c r="O129" s="215"/>
      <c r="P129" s="213"/>
      <c r="Q129" s="213"/>
      <c r="R129" s="213"/>
      <c r="S129" s="213"/>
      <c r="T129" s="213"/>
      <c r="U129" s="213"/>
      <c r="V129" s="213"/>
      <c r="W129" s="213"/>
      <c r="X129" s="643"/>
      <c r="Y129" s="616">
        <f t="shared" si="1"/>
        <v>0</v>
      </c>
      <c r="Z129" s="633"/>
      <c r="AA129" s="634"/>
      <c r="AB129" s="634"/>
      <c r="AC129" s="7"/>
      <c r="AD129" s="701">
        <v>15.3</v>
      </c>
      <c r="AE129" s="7"/>
      <c r="AF129" s="618"/>
      <c r="AG129" s="7"/>
      <c r="AH129" s="7"/>
      <c r="AI129" s="7"/>
      <c r="AJ129" s="7"/>
      <c r="AK129" s="7"/>
      <c r="AL129" s="7"/>
    </row>
    <row r="130" spans="1:38" ht="20.25" customHeight="1">
      <c r="A130" s="482"/>
      <c r="B130" s="483" t="s">
        <v>305</v>
      </c>
      <c r="C130" s="629" t="s">
        <v>159</v>
      </c>
      <c r="D130" s="504" t="s">
        <v>271</v>
      </c>
      <c r="E130" s="214">
        <v>50</v>
      </c>
      <c r="F130" s="214"/>
      <c r="G130" s="215"/>
      <c r="H130" s="215"/>
      <c r="I130" s="215"/>
      <c r="J130" s="214"/>
      <c r="K130" s="214"/>
      <c r="L130" s="647"/>
      <c r="M130" s="213"/>
      <c r="N130" s="213"/>
      <c r="O130" s="215"/>
      <c r="P130" s="213"/>
      <c r="Q130" s="213"/>
      <c r="R130" s="213"/>
      <c r="S130" s="213"/>
      <c r="T130" s="213"/>
      <c r="U130" s="213"/>
      <c r="V130" s="213"/>
      <c r="W130" s="213"/>
      <c r="X130" s="643"/>
      <c r="Y130" s="616">
        <f t="shared" si="1"/>
        <v>50</v>
      </c>
      <c r="Z130" s="633"/>
      <c r="AA130" s="634"/>
      <c r="AB130" s="634"/>
      <c r="AC130" s="7"/>
      <c r="AD130" s="701">
        <v>76.599999999999994</v>
      </c>
      <c r="AE130" s="7"/>
      <c r="AF130" s="618"/>
      <c r="AG130" s="7"/>
      <c r="AH130" s="7"/>
      <c r="AI130" s="7"/>
      <c r="AJ130" s="7"/>
      <c r="AK130" s="7"/>
      <c r="AL130" s="7"/>
    </row>
    <row r="131" spans="1:38" ht="20.25" customHeight="1">
      <c r="A131" s="486"/>
      <c r="B131" s="505" t="s">
        <v>306</v>
      </c>
      <c r="C131" s="635" t="s">
        <v>307</v>
      </c>
      <c r="D131" s="412" t="s">
        <v>308</v>
      </c>
      <c r="E131" s="214"/>
      <c r="F131" s="214"/>
      <c r="G131" s="215"/>
      <c r="H131" s="215"/>
      <c r="I131" s="215"/>
      <c r="J131" s="214"/>
      <c r="K131" s="214"/>
      <c r="L131" s="620"/>
      <c r="M131" s="213"/>
      <c r="N131" s="213"/>
      <c r="O131" s="215"/>
      <c r="P131" s="213"/>
      <c r="Q131" s="213">
        <v>0</v>
      </c>
      <c r="R131" s="213"/>
      <c r="S131" s="213"/>
      <c r="T131" s="213"/>
      <c r="U131" s="213"/>
      <c r="V131" s="213"/>
      <c r="W131" s="213"/>
      <c r="X131" s="643"/>
      <c r="Y131" s="616">
        <f t="shared" si="1"/>
        <v>0</v>
      </c>
      <c r="Z131" s="633"/>
      <c r="AA131" s="636"/>
      <c r="AB131" s="636"/>
      <c r="AC131" s="7"/>
      <c r="AD131" s="699"/>
      <c r="AE131" s="7"/>
      <c r="AF131" s="618">
        <f t="shared" ref="AF131:AF135" si="12">AD131-Y131</f>
        <v>0</v>
      </c>
      <c r="AG131" s="7"/>
      <c r="AH131" s="7"/>
      <c r="AI131" s="7"/>
      <c r="AJ131" s="7"/>
      <c r="AK131" s="7"/>
      <c r="AL131" s="7"/>
    </row>
    <row r="132" spans="1:38" ht="20.25" customHeight="1">
      <c r="A132" s="482"/>
      <c r="B132" s="483" t="s">
        <v>310</v>
      </c>
      <c r="C132" s="629" t="s">
        <v>131</v>
      </c>
      <c r="D132" s="504" t="s">
        <v>308</v>
      </c>
      <c r="E132" s="214"/>
      <c r="F132" s="214"/>
      <c r="G132" s="215"/>
      <c r="H132" s="215"/>
      <c r="I132" s="215"/>
      <c r="J132" s="214"/>
      <c r="K132" s="214"/>
      <c r="L132" s="647"/>
      <c r="M132" s="213"/>
      <c r="N132" s="213"/>
      <c r="O132" s="215"/>
      <c r="P132" s="213"/>
      <c r="Q132" s="213">
        <v>0</v>
      </c>
      <c r="R132" s="213"/>
      <c r="S132" s="213"/>
      <c r="T132" s="213"/>
      <c r="U132" s="213"/>
      <c r="V132" s="213"/>
      <c r="W132" s="213"/>
      <c r="X132" s="643"/>
      <c r="Y132" s="616">
        <f t="shared" si="1"/>
        <v>0</v>
      </c>
      <c r="Z132" s="633"/>
      <c r="AA132" s="634"/>
      <c r="AB132" s="634"/>
      <c r="AC132" s="7"/>
      <c r="AD132" s="699"/>
      <c r="AE132" s="7"/>
      <c r="AF132" s="618">
        <f t="shared" si="12"/>
        <v>0</v>
      </c>
      <c r="AG132" s="7"/>
      <c r="AH132" s="7"/>
      <c r="AI132" s="7"/>
      <c r="AJ132" s="7"/>
      <c r="AK132" s="7"/>
      <c r="AL132" s="7"/>
    </row>
    <row r="133" spans="1:38" ht="20.25" customHeight="1">
      <c r="A133" s="482"/>
      <c r="B133" s="483" t="s">
        <v>311</v>
      </c>
      <c r="C133" s="629" t="s">
        <v>200</v>
      </c>
      <c r="D133" s="504" t="s">
        <v>308</v>
      </c>
      <c r="E133" s="214"/>
      <c r="F133" s="214"/>
      <c r="G133" s="215"/>
      <c r="H133" s="215"/>
      <c r="I133" s="215"/>
      <c r="J133" s="214"/>
      <c r="K133" s="214"/>
      <c r="L133" s="647"/>
      <c r="M133" s="213"/>
      <c r="N133" s="213"/>
      <c r="O133" s="215"/>
      <c r="P133" s="213"/>
      <c r="Q133" s="213">
        <v>0</v>
      </c>
      <c r="R133" s="213"/>
      <c r="S133" s="213"/>
      <c r="T133" s="213"/>
      <c r="U133" s="213"/>
      <c r="V133" s="213"/>
      <c r="W133" s="213"/>
      <c r="X133" s="643"/>
      <c r="Y133" s="616">
        <f t="shared" si="1"/>
        <v>0</v>
      </c>
      <c r="Z133" s="633"/>
      <c r="AA133" s="634"/>
      <c r="AB133" s="634"/>
      <c r="AC133" s="7"/>
      <c r="AD133" s="699"/>
      <c r="AE133" s="7"/>
      <c r="AF133" s="618">
        <f t="shared" si="12"/>
        <v>0</v>
      </c>
      <c r="AG133" s="7"/>
      <c r="AH133" s="7"/>
      <c r="AI133" s="7"/>
      <c r="AJ133" s="7"/>
      <c r="AK133" s="7"/>
      <c r="AL133" s="7"/>
    </row>
    <row r="134" spans="1:38" ht="20.25" customHeight="1">
      <c r="A134" s="482"/>
      <c r="B134" s="483" t="s">
        <v>312</v>
      </c>
      <c r="C134" s="629" t="s">
        <v>203</v>
      </c>
      <c r="D134" s="504" t="s">
        <v>308</v>
      </c>
      <c r="E134" s="214"/>
      <c r="F134" s="214"/>
      <c r="G134" s="215"/>
      <c r="H134" s="215"/>
      <c r="I134" s="215"/>
      <c r="J134" s="214"/>
      <c r="K134" s="214"/>
      <c r="L134" s="647"/>
      <c r="M134" s="213"/>
      <c r="N134" s="213"/>
      <c r="O134" s="215"/>
      <c r="P134" s="213"/>
      <c r="Q134" s="213">
        <v>0</v>
      </c>
      <c r="R134" s="213"/>
      <c r="S134" s="213"/>
      <c r="T134" s="213"/>
      <c r="U134" s="213"/>
      <c r="V134" s="213"/>
      <c r="W134" s="213"/>
      <c r="X134" s="643"/>
      <c r="Y134" s="616">
        <f t="shared" si="1"/>
        <v>0</v>
      </c>
      <c r="Z134" s="633"/>
      <c r="AA134" s="634"/>
      <c r="AB134" s="634"/>
      <c r="AC134" s="7"/>
      <c r="AD134" s="699"/>
      <c r="AE134" s="7"/>
      <c r="AF134" s="618">
        <f t="shared" si="12"/>
        <v>0</v>
      </c>
      <c r="AG134" s="7"/>
      <c r="AH134" s="7"/>
      <c r="AI134" s="7"/>
      <c r="AJ134" s="7"/>
      <c r="AK134" s="7"/>
      <c r="AL134" s="7"/>
    </row>
    <row r="135" spans="1:38" ht="20.25" customHeight="1">
      <c r="A135" s="482"/>
      <c r="B135" s="483" t="s">
        <v>313</v>
      </c>
      <c r="C135" s="629" t="s">
        <v>159</v>
      </c>
      <c r="D135" s="504" t="s">
        <v>308</v>
      </c>
      <c r="E135" s="214"/>
      <c r="F135" s="214"/>
      <c r="G135" s="215"/>
      <c r="H135" s="215"/>
      <c r="I135" s="215"/>
      <c r="J135" s="214"/>
      <c r="K135" s="214"/>
      <c r="L135" s="647"/>
      <c r="M135" s="213"/>
      <c r="N135" s="213"/>
      <c r="O135" s="215"/>
      <c r="P135" s="213"/>
      <c r="Q135" s="213">
        <v>0</v>
      </c>
      <c r="R135" s="213"/>
      <c r="S135" s="213"/>
      <c r="T135" s="213"/>
      <c r="U135" s="213"/>
      <c r="V135" s="213"/>
      <c r="W135" s="213"/>
      <c r="X135" s="643"/>
      <c r="Y135" s="616">
        <f t="shared" si="1"/>
        <v>0</v>
      </c>
      <c r="Z135" s="633"/>
      <c r="AA135" s="634"/>
      <c r="AB135" s="634"/>
      <c r="AC135" s="7"/>
      <c r="AD135" s="699"/>
      <c r="AE135" s="7"/>
      <c r="AF135" s="618">
        <f t="shared" si="12"/>
        <v>0</v>
      </c>
      <c r="AG135" s="7"/>
      <c r="AH135" s="7"/>
      <c r="AI135" s="7"/>
      <c r="AJ135" s="7"/>
      <c r="AK135" s="7"/>
      <c r="AL135" s="7"/>
    </row>
    <row r="136" spans="1:38" ht="20.25" customHeight="1">
      <c r="A136" s="486"/>
      <c r="B136" s="487" t="s">
        <v>314</v>
      </c>
      <c r="C136" s="656" t="s">
        <v>315</v>
      </c>
      <c r="D136" s="412" t="s">
        <v>271</v>
      </c>
      <c r="E136" s="214"/>
      <c r="F136" s="214"/>
      <c r="G136" s="215">
        <v>1.5</v>
      </c>
      <c r="H136" s="215"/>
      <c r="I136" s="215"/>
      <c r="J136" s="214"/>
      <c r="K136" s="214"/>
      <c r="L136" s="620"/>
      <c r="M136" s="213"/>
      <c r="N136" s="213"/>
      <c r="O136" s="215"/>
      <c r="P136" s="213"/>
      <c r="Q136" s="213"/>
      <c r="R136" s="213"/>
      <c r="S136" s="213"/>
      <c r="T136" s="213"/>
      <c r="U136" s="213"/>
      <c r="V136" s="213"/>
      <c r="W136" s="213"/>
      <c r="X136" s="643"/>
      <c r="Y136" s="616">
        <f t="shared" si="1"/>
        <v>1.5</v>
      </c>
      <c r="Z136" s="633"/>
      <c r="AA136" s="636"/>
      <c r="AB136" s="636"/>
      <c r="AC136" s="7"/>
      <c r="AD136" s="702"/>
      <c r="AE136" s="7"/>
      <c r="AF136" s="618"/>
      <c r="AG136" s="7"/>
      <c r="AH136" s="7"/>
      <c r="AI136" s="7"/>
      <c r="AJ136" s="7"/>
      <c r="AK136" s="7"/>
      <c r="AL136" s="7"/>
    </row>
    <row r="137" spans="1:38" ht="20.25" customHeight="1">
      <c r="A137" s="503"/>
      <c r="B137" s="483" t="s">
        <v>317</v>
      </c>
      <c r="C137" s="629" t="s">
        <v>131</v>
      </c>
      <c r="D137" s="504" t="s">
        <v>271</v>
      </c>
      <c r="E137" s="214"/>
      <c r="F137" s="214"/>
      <c r="G137" s="215"/>
      <c r="H137" s="215"/>
      <c r="I137" s="215"/>
      <c r="J137" s="214"/>
      <c r="K137" s="214"/>
      <c r="L137" s="647"/>
      <c r="M137" s="213"/>
      <c r="N137" s="213"/>
      <c r="O137" s="215"/>
      <c r="P137" s="213"/>
      <c r="Q137" s="213"/>
      <c r="R137" s="213"/>
      <c r="S137" s="213"/>
      <c r="T137" s="213"/>
      <c r="U137" s="213"/>
      <c r="V137" s="213"/>
      <c r="W137" s="213"/>
      <c r="X137" s="643"/>
      <c r="Y137" s="616">
        <f t="shared" si="1"/>
        <v>0</v>
      </c>
      <c r="Z137" s="633"/>
      <c r="AA137" s="648"/>
      <c r="AB137" s="648"/>
      <c r="AC137" s="7"/>
      <c r="AD137" s="701"/>
      <c r="AE137" s="7"/>
      <c r="AF137" s="618"/>
      <c r="AG137" s="7"/>
      <c r="AH137" s="7"/>
      <c r="AI137" s="7"/>
      <c r="AJ137" s="7"/>
      <c r="AK137" s="7"/>
      <c r="AL137" s="7"/>
    </row>
    <row r="138" spans="1:38" ht="20.25" customHeight="1">
      <c r="A138" s="503"/>
      <c r="B138" s="483" t="s">
        <v>318</v>
      </c>
      <c r="C138" s="629" t="s">
        <v>200</v>
      </c>
      <c r="D138" s="504" t="s">
        <v>271</v>
      </c>
      <c r="E138" s="214"/>
      <c r="F138" s="214"/>
      <c r="G138" s="215"/>
      <c r="H138" s="215"/>
      <c r="I138" s="215"/>
      <c r="J138" s="214"/>
      <c r="K138" s="214"/>
      <c r="L138" s="647"/>
      <c r="M138" s="213"/>
      <c r="N138" s="213"/>
      <c r="O138" s="215"/>
      <c r="P138" s="213"/>
      <c r="Q138" s="213"/>
      <c r="R138" s="213"/>
      <c r="S138" s="213"/>
      <c r="T138" s="213"/>
      <c r="U138" s="213"/>
      <c r="V138" s="213"/>
      <c r="W138" s="213"/>
      <c r="X138" s="643"/>
      <c r="Y138" s="616">
        <f t="shared" si="1"/>
        <v>0</v>
      </c>
      <c r="Z138" s="633"/>
      <c r="AA138" s="648"/>
      <c r="AB138" s="648"/>
      <c r="AC138" s="7"/>
      <c r="AD138" s="699"/>
      <c r="AE138" s="7"/>
      <c r="AF138" s="618"/>
      <c r="AG138" s="7"/>
      <c r="AH138" s="7"/>
      <c r="AI138" s="7"/>
      <c r="AJ138" s="7"/>
      <c r="AK138" s="7"/>
      <c r="AL138" s="7"/>
    </row>
    <row r="139" spans="1:38" ht="20.25" customHeight="1">
      <c r="A139" s="503"/>
      <c r="B139" s="483" t="s">
        <v>319</v>
      </c>
      <c r="C139" s="629" t="s">
        <v>203</v>
      </c>
      <c r="D139" s="504" t="s">
        <v>271</v>
      </c>
      <c r="E139" s="214"/>
      <c r="F139" s="214"/>
      <c r="G139" s="215"/>
      <c r="H139" s="215"/>
      <c r="I139" s="215"/>
      <c r="J139" s="214"/>
      <c r="K139" s="214"/>
      <c r="L139" s="647"/>
      <c r="M139" s="213"/>
      <c r="N139" s="213"/>
      <c r="O139" s="215"/>
      <c r="P139" s="213"/>
      <c r="Q139" s="213"/>
      <c r="R139" s="213"/>
      <c r="S139" s="213"/>
      <c r="T139" s="213"/>
      <c r="U139" s="213"/>
      <c r="V139" s="213"/>
      <c r="W139" s="213"/>
      <c r="X139" s="643"/>
      <c r="Y139" s="616">
        <f t="shared" si="1"/>
        <v>0</v>
      </c>
      <c r="Z139" s="633"/>
      <c r="AA139" s="648"/>
      <c r="AB139" s="648"/>
      <c r="AC139" s="7"/>
      <c r="AD139" s="699"/>
      <c r="AE139" s="7"/>
      <c r="AF139" s="618"/>
      <c r="AG139" s="7"/>
      <c r="AH139" s="7"/>
      <c r="AI139" s="7"/>
      <c r="AJ139" s="7"/>
      <c r="AK139" s="7"/>
      <c r="AL139" s="7"/>
    </row>
    <row r="140" spans="1:38" ht="20.25" customHeight="1">
      <c r="A140" s="503"/>
      <c r="B140" s="483" t="s">
        <v>320</v>
      </c>
      <c r="C140" s="629" t="s">
        <v>159</v>
      </c>
      <c r="D140" s="504" t="s">
        <v>271</v>
      </c>
      <c r="E140" s="214"/>
      <c r="F140" s="214"/>
      <c r="G140" s="215"/>
      <c r="H140" s="215"/>
      <c r="I140" s="215"/>
      <c r="J140" s="214"/>
      <c r="K140" s="214"/>
      <c r="L140" s="647"/>
      <c r="M140" s="213"/>
      <c r="N140" s="213"/>
      <c r="O140" s="215"/>
      <c r="P140" s="213"/>
      <c r="Q140" s="213"/>
      <c r="R140" s="213"/>
      <c r="S140" s="213"/>
      <c r="T140" s="213"/>
      <c r="U140" s="213"/>
      <c r="V140" s="213"/>
      <c r="W140" s="213"/>
      <c r="X140" s="643"/>
      <c r="Y140" s="616">
        <f t="shared" si="1"/>
        <v>0</v>
      </c>
      <c r="Z140" s="633"/>
      <c r="AA140" s="648"/>
      <c r="AB140" s="648"/>
      <c r="AC140" s="7"/>
      <c r="AD140" s="699"/>
      <c r="AE140" s="7"/>
      <c r="AF140" s="618"/>
      <c r="AG140" s="7"/>
      <c r="AH140" s="7"/>
      <c r="AI140" s="7"/>
      <c r="AJ140" s="7"/>
      <c r="AK140" s="7"/>
      <c r="AL140" s="7"/>
    </row>
    <row r="141" spans="1:38" ht="20.25" customHeight="1">
      <c r="A141" s="486"/>
      <c r="B141" s="487" t="s">
        <v>321</v>
      </c>
      <c r="C141" s="656" t="s">
        <v>322</v>
      </c>
      <c r="D141" s="412" t="s">
        <v>271</v>
      </c>
      <c r="E141" s="214"/>
      <c r="F141" s="214"/>
      <c r="G141" s="215">
        <v>13</v>
      </c>
      <c r="H141" s="215"/>
      <c r="I141" s="215"/>
      <c r="J141" s="214"/>
      <c r="K141" s="214"/>
      <c r="L141" s="620"/>
      <c r="M141" s="213"/>
      <c r="N141" s="213"/>
      <c r="O141" s="215"/>
      <c r="P141" s="213"/>
      <c r="Q141" s="213"/>
      <c r="R141" s="213"/>
      <c r="S141" s="213"/>
      <c r="T141" s="213"/>
      <c r="U141" s="213"/>
      <c r="V141" s="213"/>
      <c r="W141" s="213"/>
      <c r="X141" s="643"/>
      <c r="Y141" s="616">
        <f t="shared" si="1"/>
        <v>13</v>
      </c>
      <c r="Z141" s="633"/>
      <c r="AA141" s="636"/>
      <c r="AB141" s="636"/>
      <c r="AC141" s="7"/>
      <c r="AD141" s="702">
        <v>1.5</v>
      </c>
      <c r="AE141" s="7"/>
      <c r="AF141" s="618"/>
      <c r="AG141" s="7"/>
      <c r="AH141" s="7"/>
      <c r="AI141" s="7"/>
      <c r="AJ141" s="7"/>
      <c r="AK141" s="7"/>
      <c r="AL141" s="7"/>
    </row>
    <row r="142" spans="1:38" ht="20.25" customHeight="1">
      <c r="A142" s="503"/>
      <c r="B142" s="483" t="s">
        <v>324</v>
      </c>
      <c r="C142" s="629" t="s">
        <v>131</v>
      </c>
      <c r="D142" s="504" t="s">
        <v>271</v>
      </c>
      <c r="E142" s="214"/>
      <c r="F142" s="214"/>
      <c r="G142" s="215"/>
      <c r="H142" s="215"/>
      <c r="I142" s="215"/>
      <c r="J142" s="214"/>
      <c r="K142" s="214"/>
      <c r="L142" s="647"/>
      <c r="M142" s="213"/>
      <c r="N142" s="213"/>
      <c r="O142" s="215"/>
      <c r="P142" s="213"/>
      <c r="Q142" s="213">
        <v>0</v>
      </c>
      <c r="R142" s="213"/>
      <c r="S142" s="213"/>
      <c r="T142" s="213"/>
      <c r="U142" s="213"/>
      <c r="V142" s="213"/>
      <c r="W142" s="213"/>
      <c r="X142" s="643"/>
      <c r="Y142" s="616">
        <f t="shared" si="1"/>
        <v>0</v>
      </c>
      <c r="Z142" s="633"/>
      <c r="AA142" s="648"/>
      <c r="AB142" s="648"/>
      <c r="AC142" s="7"/>
      <c r="AD142" s="701"/>
      <c r="AE142" s="7"/>
      <c r="AF142" s="618">
        <f t="shared" ref="AF142:AF144" si="13">AD142-Y142</f>
        <v>0</v>
      </c>
      <c r="AG142" s="7"/>
      <c r="AH142" s="7"/>
      <c r="AI142" s="7"/>
      <c r="AJ142" s="7"/>
      <c r="AK142" s="7"/>
      <c r="AL142" s="7"/>
    </row>
    <row r="143" spans="1:38" ht="20.25" customHeight="1">
      <c r="A143" s="503"/>
      <c r="B143" s="483" t="s">
        <v>325</v>
      </c>
      <c r="C143" s="629" t="s">
        <v>200</v>
      </c>
      <c r="D143" s="504" t="s">
        <v>271</v>
      </c>
      <c r="E143" s="214"/>
      <c r="F143" s="214"/>
      <c r="G143" s="215"/>
      <c r="H143" s="215"/>
      <c r="I143" s="215"/>
      <c r="J143" s="214"/>
      <c r="K143" s="214"/>
      <c r="L143" s="647"/>
      <c r="M143" s="213"/>
      <c r="N143" s="213"/>
      <c r="O143" s="215"/>
      <c r="P143" s="213"/>
      <c r="Q143" s="213">
        <v>0</v>
      </c>
      <c r="R143" s="213"/>
      <c r="S143" s="213"/>
      <c r="T143" s="213"/>
      <c r="U143" s="213"/>
      <c r="V143" s="213"/>
      <c r="W143" s="213"/>
      <c r="X143" s="643"/>
      <c r="Y143" s="616">
        <f t="shared" si="1"/>
        <v>0</v>
      </c>
      <c r="Z143" s="633"/>
      <c r="AA143" s="648"/>
      <c r="AB143" s="648"/>
      <c r="AC143" s="7"/>
      <c r="AD143" s="701"/>
      <c r="AE143" s="7"/>
      <c r="AF143" s="618">
        <f t="shared" si="13"/>
        <v>0</v>
      </c>
      <c r="AG143" s="7"/>
      <c r="AH143" s="7"/>
      <c r="AI143" s="7"/>
      <c r="AJ143" s="7"/>
      <c r="AK143" s="7"/>
      <c r="AL143" s="7"/>
    </row>
    <row r="144" spans="1:38" ht="20.25" customHeight="1">
      <c r="A144" s="503"/>
      <c r="B144" s="483" t="s">
        <v>326</v>
      </c>
      <c r="C144" s="629" t="s">
        <v>203</v>
      </c>
      <c r="D144" s="504" t="s">
        <v>271</v>
      </c>
      <c r="E144" s="214"/>
      <c r="F144" s="214"/>
      <c r="G144" s="215"/>
      <c r="H144" s="215"/>
      <c r="I144" s="215"/>
      <c r="J144" s="214"/>
      <c r="K144" s="214"/>
      <c r="L144" s="647"/>
      <c r="M144" s="213"/>
      <c r="N144" s="213"/>
      <c r="O144" s="215"/>
      <c r="P144" s="213"/>
      <c r="Q144" s="213">
        <v>0</v>
      </c>
      <c r="R144" s="213"/>
      <c r="S144" s="213"/>
      <c r="T144" s="213"/>
      <c r="U144" s="213"/>
      <c r="V144" s="213"/>
      <c r="W144" s="213"/>
      <c r="X144" s="643"/>
      <c r="Y144" s="616">
        <f t="shared" si="1"/>
        <v>0</v>
      </c>
      <c r="Z144" s="633"/>
      <c r="AA144" s="648"/>
      <c r="AB144" s="648"/>
      <c r="AC144" s="7"/>
      <c r="AD144" s="701"/>
      <c r="AE144" s="7"/>
      <c r="AF144" s="618">
        <f t="shared" si="13"/>
        <v>0</v>
      </c>
      <c r="AG144" s="7"/>
      <c r="AH144" s="7"/>
      <c r="AI144" s="7"/>
      <c r="AJ144" s="7"/>
      <c r="AK144" s="7"/>
      <c r="AL144" s="7"/>
    </row>
    <row r="145" spans="1:38" ht="20.25" customHeight="1">
      <c r="A145" s="503"/>
      <c r="B145" s="483" t="s">
        <v>327</v>
      </c>
      <c r="C145" s="629" t="s">
        <v>159</v>
      </c>
      <c r="D145" s="504" t="s">
        <v>271</v>
      </c>
      <c r="E145" s="214"/>
      <c r="F145" s="214"/>
      <c r="G145" s="215"/>
      <c r="H145" s="215"/>
      <c r="I145" s="215"/>
      <c r="J145" s="214"/>
      <c r="K145" s="214"/>
      <c r="L145" s="647"/>
      <c r="M145" s="213"/>
      <c r="N145" s="213"/>
      <c r="O145" s="215"/>
      <c r="P145" s="213"/>
      <c r="Q145" s="213"/>
      <c r="R145" s="213"/>
      <c r="S145" s="213"/>
      <c r="T145" s="213"/>
      <c r="U145" s="213"/>
      <c r="V145" s="213"/>
      <c r="W145" s="213"/>
      <c r="X145" s="643"/>
      <c r="Y145" s="616">
        <f t="shared" si="1"/>
        <v>0</v>
      </c>
      <c r="Z145" s="633"/>
      <c r="AA145" s="648"/>
      <c r="AB145" s="648"/>
      <c r="AC145" s="7"/>
      <c r="AD145" s="701"/>
      <c r="AE145" s="7"/>
      <c r="AF145" s="618"/>
      <c r="AG145" s="7"/>
      <c r="AH145" s="7"/>
      <c r="AI145" s="7"/>
      <c r="AJ145" s="7"/>
      <c r="AK145" s="7"/>
      <c r="AL145" s="7"/>
    </row>
    <row r="146" spans="1:38" ht="20.25" customHeight="1">
      <c r="A146" s="486"/>
      <c r="B146" s="487" t="s">
        <v>328</v>
      </c>
      <c r="C146" s="635" t="s">
        <v>329</v>
      </c>
      <c r="D146" s="412" t="s">
        <v>271</v>
      </c>
      <c r="E146" s="214"/>
      <c r="F146" s="214"/>
      <c r="G146" s="215">
        <v>34</v>
      </c>
      <c r="H146" s="215">
        <v>1.28</v>
      </c>
      <c r="I146" s="215"/>
      <c r="J146" s="214"/>
      <c r="K146" s="214">
        <v>0.04</v>
      </c>
      <c r="L146" s="620"/>
      <c r="M146" s="213"/>
      <c r="N146" s="213"/>
      <c r="O146" s="215">
        <v>2</v>
      </c>
      <c r="P146" s="213"/>
      <c r="Q146" s="213"/>
      <c r="R146" s="213"/>
      <c r="S146" s="213"/>
      <c r="T146" s="213"/>
      <c r="U146" s="213"/>
      <c r="V146" s="213"/>
      <c r="W146" s="213"/>
      <c r="X146" s="643"/>
      <c r="Y146" s="616">
        <f t="shared" si="1"/>
        <v>37.32</v>
      </c>
      <c r="Z146" s="633"/>
      <c r="AA146" s="636"/>
      <c r="AB146" s="636"/>
      <c r="AC146" s="7"/>
      <c r="AD146" s="701">
        <v>56.2</v>
      </c>
      <c r="AE146" s="7"/>
      <c r="AF146" s="618"/>
      <c r="AG146" s="7"/>
      <c r="AH146" s="7"/>
      <c r="AI146" s="7"/>
      <c r="AJ146" s="7"/>
      <c r="AK146" s="7"/>
      <c r="AL146" s="7"/>
    </row>
    <row r="147" spans="1:38" ht="20.25" customHeight="1">
      <c r="A147" s="482"/>
      <c r="B147" s="483" t="s">
        <v>331</v>
      </c>
      <c r="C147" s="629" t="s">
        <v>131</v>
      </c>
      <c r="D147" s="504" t="s">
        <v>271</v>
      </c>
      <c r="E147" s="214"/>
      <c r="F147" s="214"/>
      <c r="G147" s="215"/>
      <c r="H147" s="215"/>
      <c r="I147" s="215"/>
      <c r="J147" s="214"/>
      <c r="K147" s="214"/>
      <c r="L147" s="647"/>
      <c r="M147" s="213"/>
      <c r="N147" s="213"/>
      <c r="O147" s="215">
        <v>2</v>
      </c>
      <c r="P147" s="213"/>
      <c r="Q147" s="213"/>
      <c r="R147" s="213"/>
      <c r="S147" s="213"/>
      <c r="T147" s="213"/>
      <c r="U147" s="213"/>
      <c r="V147" s="213"/>
      <c r="W147" s="213"/>
      <c r="X147" s="643"/>
      <c r="Y147" s="616">
        <f t="shared" si="1"/>
        <v>2</v>
      </c>
      <c r="Z147" s="633"/>
      <c r="AA147" s="634"/>
      <c r="AB147" s="634"/>
      <c r="AC147" s="7"/>
      <c r="AD147" s="701">
        <v>45.4</v>
      </c>
      <c r="AE147" s="7"/>
      <c r="AF147" s="618"/>
      <c r="AG147" s="7"/>
      <c r="AH147" s="7"/>
      <c r="AI147" s="7"/>
      <c r="AJ147" s="7"/>
      <c r="AK147" s="7"/>
      <c r="AL147" s="7"/>
    </row>
    <row r="148" spans="1:38" ht="20.25" customHeight="1">
      <c r="A148" s="482"/>
      <c r="B148" s="483" t="s">
        <v>332</v>
      </c>
      <c r="C148" s="629" t="s">
        <v>200</v>
      </c>
      <c r="D148" s="504" t="s">
        <v>271</v>
      </c>
      <c r="E148" s="214"/>
      <c r="F148" s="214"/>
      <c r="G148" s="215"/>
      <c r="H148" s="215"/>
      <c r="I148" s="215"/>
      <c r="J148" s="214"/>
      <c r="K148" s="214"/>
      <c r="L148" s="647"/>
      <c r="M148" s="213"/>
      <c r="N148" s="213"/>
      <c r="O148" s="215"/>
      <c r="P148" s="213"/>
      <c r="Q148" s="213"/>
      <c r="R148" s="213"/>
      <c r="S148" s="213"/>
      <c r="T148" s="213"/>
      <c r="U148" s="213"/>
      <c r="V148" s="213"/>
      <c r="W148" s="213"/>
      <c r="X148" s="643"/>
      <c r="Y148" s="616">
        <f t="shared" si="1"/>
        <v>0</v>
      </c>
      <c r="Z148" s="633"/>
      <c r="AA148" s="634"/>
      <c r="AB148" s="634"/>
      <c r="AC148" s="7"/>
      <c r="AD148" s="701"/>
      <c r="AE148" s="7"/>
      <c r="AF148" s="618"/>
      <c r="AG148" s="7"/>
      <c r="AH148" s="7"/>
      <c r="AI148" s="7"/>
      <c r="AJ148" s="7"/>
      <c r="AK148" s="7"/>
      <c r="AL148" s="7"/>
    </row>
    <row r="149" spans="1:38" ht="20.25" customHeight="1">
      <c r="A149" s="482"/>
      <c r="B149" s="483" t="s">
        <v>333</v>
      </c>
      <c r="C149" s="629" t="s">
        <v>203</v>
      </c>
      <c r="D149" s="504" t="s">
        <v>271</v>
      </c>
      <c r="E149" s="214"/>
      <c r="F149" s="214"/>
      <c r="G149" s="215"/>
      <c r="H149" s="215"/>
      <c r="I149" s="215"/>
      <c r="J149" s="214"/>
      <c r="K149" s="214"/>
      <c r="L149" s="647"/>
      <c r="M149" s="213"/>
      <c r="N149" s="213"/>
      <c r="O149" s="215"/>
      <c r="P149" s="213"/>
      <c r="Q149" s="213">
        <v>3.8</v>
      </c>
      <c r="R149" s="213"/>
      <c r="S149" s="213"/>
      <c r="T149" s="213"/>
      <c r="U149" s="213"/>
      <c r="V149" s="213"/>
      <c r="W149" s="213"/>
      <c r="X149" s="643"/>
      <c r="Y149" s="616">
        <f t="shared" si="1"/>
        <v>3.8</v>
      </c>
      <c r="Z149" s="633"/>
      <c r="AA149" s="634"/>
      <c r="AB149" s="634"/>
      <c r="AC149" s="7"/>
      <c r="AD149" s="699">
        <v>3.8</v>
      </c>
      <c r="AE149" s="7"/>
      <c r="AF149" s="618">
        <f t="shared" ref="AF149:AF150" si="14">AD149-Y149</f>
        <v>0</v>
      </c>
      <c r="AG149" s="7"/>
      <c r="AH149" s="7"/>
      <c r="AI149" s="7"/>
      <c r="AJ149" s="7"/>
      <c r="AK149" s="7"/>
      <c r="AL149" s="7"/>
    </row>
    <row r="150" spans="1:38" ht="20.25" customHeight="1">
      <c r="A150" s="482"/>
      <c r="B150" s="483" t="s">
        <v>334</v>
      </c>
      <c r="C150" s="629" t="s">
        <v>159</v>
      </c>
      <c r="D150" s="504" t="s">
        <v>271</v>
      </c>
      <c r="E150" s="214"/>
      <c r="F150" s="214"/>
      <c r="G150" s="215"/>
      <c r="H150" s="215"/>
      <c r="I150" s="215"/>
      <c r="J150" s="214"/>
      <c r="K150" s="214"/>
      <c r="L150" s="647"/>
      <c r="M150" s="213"/>
      <c r="N150" s="213"/>
      <c r="O150" s="215"/>
      <c r="P150" s="213"/>
      <c r="Q150" s="213">
        <v>0</v>
      </c>
      <c r="R150" s="213"/>
      <c r="S150" s="213"/>
      <c r="T150" s="213"/>
      <c r="U150" s="213"/>
      <c r="V150" s="213"/>
      <c r="W150" s="213"/>
      <c r="X150" s="643"/>
      <c r="Y150" s="616">
        <f t="shared" si="1"/>
        <v>0</v>
      </c>
      <c r="Z150" s="633"/>
      <c r="AA150" s="634"/>
      <c r="AB150" s="634"/>
      <c r="AC150" s="7"/>
      <c r="AD150" s="699"/>
      <c r="AE150" s="7"/>
      <c r="AF150" s="618">
        <f t="shared" si="14"/>
        <v>0</v>
      </c>
      <c r="AG150" s="7"/>
      <c r="AH150" s="7"/>
      <c r="AI150" s="7"/>
      <c r="AJ150" s="7"/>
      <c r="AK150" s="7"/>
      <c r="AL150" s="7"/>
    </row>
    <row r="151" spans="1:38" ht="20.25" customHeight="1">
      <c r="A151" s="486"/>
      <c r="B151" s="487" t="s">
        <v>335</v>
      </c>
      <c r="C151" s="635" t="s">
        <v>336</v>
      </c>
      <c r="D151" s="412" t="s">
        <v>271</v>
      </c>
      <c r="E151" s="214"/>
      <c r="F151" s="214"/>
      <c r="G151" s="215">
        <v>1.4</v>
      </c>
      <c r="H151" s="215">
        <v>0.15</v>
      </c>
      <c r="I151" s="215"/>
      <c r="J151" s="214"/>
      <c r="K151" s="214">
        <v>8.25</v>
      </c>
      <c r="L151" s="620"/>
      <c r="M151" s="213"/>
      <c r="N151" s="213"/>
      <c r="O151" s="215">
        <v>13</v>
      </c>
      <c r="P151" s="213"/>
      <c r="Q151" s="213"/>
      <c r="R151" s="213"/>
      <c r="S151" s="213"/>
      <c r="T151" s="213"/>
      <c r="U151" s="213"/>
      <c r="V151" s="213"/>
      <c r="W151" s="213"/>
      <c r="X151" s="643"/>
      <c r="Y151" s="616">
        <f t="shared" si="1"/>
        <v>22.8</v>
      </c>
      <c r="Z151" s="633"/>
      <c r="AA151" s="636"/>
      <c r="AB151" s="636"/>
      <c r="AC151" s="7"/>
      <c r="AD151" s="699">
        <v>20.100000000000001</v>
      </c>
      <c r="AE151" s="7"/>
      <c r="AF151" s="618"/>
      <c r="AG151" s="7"/>
      <c r="AH151" s="7"/>
      <c r="AI151" s="7"/>
      <c r="AJ151" s="7"/>
      <c r="AK151" s="7"/>
      <c r="AL151" s="7"/>
    </row>
    <row r="152" spans="1:38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4"/>
      <c r="F152" s="214"/>
      <c r="G152" s="215"/>
      <c r="H152" s="215"/>
      <c r="I152" s="215"/>
      <c r="J152" s="214"/>
      <c r="K152" s="214"/>
      <c r="L152" s="647"/>
      <c r="M152" s="213"/>
      <c r="N152" s="213"/>
      <c r="O152" s="215"/>
      <c r="P152" s="213"/>
      <c r="Q152" s="213">
        <v>0</v>
      </c>
      <c r="R152" s="213"/>
      <c r="S152" s="213"/>
      <c r="T152" s="213"/>
      <c r="U152" s="213"/>
      <c r="V152" s="213"/>
      <c r="W152" s="213"/>
      <c r="X152" s="643"/>
      <c r="Y152" s="616">
        <f t="shared" si="1"/>
        <v>0</v>
      </c>
      <c r="Z152" s="633"/>
      <c r="AA152" s="634"/>
      <c r="AB152" s="634"/>
      <c r="AC152" s="7"/>
      <c r="AD152" s="699"/>
      <c r="AE152" s="7"/>
      <c r="AF152" s="618">
        <f>AD152-Y152</f>
        <v>0</v>
      </c>
      <c r="AG152" s="7"/>
      <c r="AH152" s="7"/>
      <c r="AI152" s="7"/>
      <c r="AJ152" s="7"/>
      <c r="AK152" s="7"/>
      <c r="AL152" s="7"/>
    </row>
    <row r="153" spans="1:38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4"/>
      <c r="F153" s="214"/>
      <c r="G153" s="215"/>
      <c r="H153" s="215"/>
      <c r="I153" s="215"/>
      <c r="J153" s="214"/>
      <c r="K153" s="214"/>
      <c r="L153" s="647"/>
      <c r="M153" s="213"/>
      <c r="N153" s="213"/>
      <c r="O153" s="215">
        <v>13</v>
      </c>
      <c r="P153" s="213"/>
      <c r="Q153" s="213"/>
      <c r="R153" s="213"/>
      <c r="S153" s="213"/>
      <c r="T153" s="213"/>
      <c r="U153" s="213"/>
      <c r="V153" s="213"/>
      <c r="W153" s="213"/>
      <c r="X153" s="643"/>
      <c r="Y153" s="616">
        <f t="shared" si="1"/>
        <v>13</v>
      </c>
      <c r="Z153" s="633"/>
      <c r="AA153" s="634"/>
      <c r="AB153" s="634"/>
      <c r="AC153" s="7"/>
      <c r="AD153" s="699"/>
      <c r="AE153" s="7"/>
      <c r="AF153" s="618"/>
      <c r="AG153" s="7"/>
      <c r="AH153" s="7"/>
      <c r="AI153" s="7"/>
      <c r="AJ153" s="7"/>
      <c r="AK153" s="7"/>
      <c r="AL153" s="7"/>
    </row>
    <row r="154" spans="1:38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4"/>
      <c r="F154" s="214"/>
      <c r="G154" s="215"/>
      <c r="H154" s="215"/>
      <c r="I154" s="215"/>
      <c r="J154" s="214"/>
      <c r="K154" s="214"/>
      <c r="L154" s="647"/>
      <c r="M154" s="213"/>
      <c r="N154" s="213"/>
      <c r="O154" s="215"/>
      <c r="P154" s="213"/>
      <c r="Q154" s="213">
        <v>0</v>
      </c>
      <c r="R154" s="213"/>
      <c r="S154" s="213"/>
      <c r="T154" s="213"/>
      <c r="U154" s="213"/>
      <c r="V154" s="213"/>
      <c r="W154" s="213"/>
      <c r="X154" s="643"/>
      <c r="Y154" s="616">
        <f t="shared" si="1"/>
        <v>0</v>
      </c>
      <c r="Z154" s="633"/>
      <c r="AA154" s="634"/>
      <c r="AB154" s="634"/>
      <c r="AC154" s="7"/>
      <c r="AD154" s="699"/>
      <c r="AE154" s="7"/>
      <c r="AF154" s="618">
        <f t="shared" ref="AF154:AF160" si="15">AD154-Y154</f>
        <v>0</v>
      </c>
      <c r="AG154" s="7"/>
      <c r="AH154" s="7"/>
      <c r="AI154" s="7"/>
      <c r="AJ154" s="7"/>
      <c r="AK154" s="7"/>
      <c r="AL154" s="7"/>
    </row>
    <row r="155" spans="1:38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4"/>
      <c r="F155" s="214"/>
      <c r="G155" s="215"/>
      <c r="H155" s="215"/>
      <c r="I155" s="215"/>
      <c r="J155" s="214"/>
      <c r="K155" s="214"/>
      <c r="L155" s="647"/>
      <c r="M155" s="213"/>
      <c r="N155" s="213"/>
      <c r="O155" s="215"/>
      <c r="P155" s="213"/>
      <c r="Q155" s="213">
        <v>0</v>
      </c>
      <c r="R155" s="213"/>
      <c r="S155" s="213"/>
      <c r="T155" s="213"/>
      <c r="U155" s="213"/>
      <c r="V155" s="213"/>
      <c r="W155" s="213"/>
      <c r="X155" s="643"/>
      <c r="Y155" s="616">
        <f t="shared" si="1"/>
        <v>0</v>
      </c>
      <c r="Z155" s="633"/>
      <c r="AA155" s="634"/>
      <c r="AB155" s="634"/>
      <c r="AC155" s="7"/>
      <c r="AD155" s="699"/>
      <c r="AE155" s="7"/>
      <c r="AF155" s="618">
        <f t="shared" si="15"/>
        <v>0</v>
      </c>
      <c r="AG155" s="7"/>
      <c r="AH155" s="7"/>
      <c r="AI155" s="7"/>
      <c r="AJ155" s="7"/>
      <c r="AK155" s="7"/>
      <c r="AL155" s="7"/>
    </row>
    <row r="156" spans="1:38" ht="20.25" customHeight="1">
      <c r="A156" s="486"/>
      <c r="B156" s="487" t="s">
        <v>342</v>
      </c>
      <c r="C156" s="635" t="s">
        <v>343</v>
      </c>
      <c r="D156" s="412" t="s">
        <v>271</v>
      </c>
      <c r="E156" s="214"/>
      <c r="F156" s="214"/>
      <c r="G156" s="215"/>
      <c r="H156" s="215"/>
      <c r="I156" s="215"/>
      <c r="J156" s="214"/>
      <c r="K156" s="214"/>
      <c r="L156" s="620"/>
      <c r="M156" s="213"/>
      <c r="N156" s="213"/>
      <c r="O156" s="215"/>
      <c r="P156" s="213"/>
      <c r="Q156" s="213">
        <v>0</v>
      </c>
      <c r="R156" s="213"/>
      <c r="S156" s="213"/>
      <c r="T156" s="213"/>
      <c r="U156" s="213"/>
      <c r="V156" s="213"/>
      <c r="W156" s="213"/>
      <c r="X156" s="643"/>
      <c r="Y156" s="616">
        <f t="shared" si="1"/>
        <v>0</v>
      </c>
      <c r="Z156" s="633"/>
      <c r="AA156" s="636"/>
      <c r="AB156" s="636"/>
      <c r="AC156" s="7"/>
      <c r="AD156" s="699"/>
      <c r="AE156" s="7"/>
      <c r="AF156" s="618">
        <f t="shared" si="15"/>
        <v>0</v>
      </c>
      <c r="AG156" s="7"/>
      <c r="AH156" s="7"/>
      <c r="AI156" s="7"/>
      <c r="AJ156" s="7"/>
      <c r="AK156" s="7"/>
      <c r="AL156" s="7"/>
    </row>
    <row r="157" spans="1:38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4"/>
      <c r="F157" s="214"/>
      <c r="G157" s="215"/>
      <c r="H157" s="215"/>
      <c r="I157" s="215"/>
      <c r="J157" s="214"/>
      <c r="K157" s="214"/>
      <c r="L157" s="647"/>
      <c r="M157" s="213"/>
      <c r="N157" s="213"/>
      <c r="O157" s="215"/>
      <c r="P157" s="213"/>
      <c r="Q157" s="213">
        <v>0</v>
      </c>
      <c r="R157" s="213"/>
      <c r="S157" s="213"/>
      <c r="T157" s="213"/>
      <c r="U157" s="213"/>
      <c r="V157" s="213"/>
      <c r="W157" s="213"/>
      <c r="X157" s="643"/>
      <c r="Y157" s="616">
        <f t="shared" si="1"/>
        <v>0</v>
      </c>
      <c r="Z157" s="633"/>
      <c r="AA157" s="648"/>
      <c r="AB157" s="648"/>
      <c r="AC157" s="7"/>
      <c r="AD157" s="699"/>
      <c r="AE157" s="7"/>
      <c r="AF157" s="618">
        <f t="shared" si="15"/>
        <v>0</v>
      </c>
      <c r="AG157" s="7"/>
      <c r="AH157" s="7"/>
      <c r="AI157" s="7"/>
      <c r="AJ157" s="7"/>
      <c r="AK157" s="7"/>
      <c r="AL157" s="7"/>
    </row>
    <row r="158" spans="1:38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4"/>
      <c r="F158" s="214"/>
      <c r="G158" s="215"/>
      <c r="H158" s="215"/>
      <c r="I158" s="215"/>
      <c r="J158" s="214"/>
      <c r="K158" s="214"/>
      <c r="L158" s="647"/>
      <c r="M158" s="213"/>
      <c r="N158" s="213"/>
      <c r="O158" s="215"/>
      <c r="P158" s="213"/>
      <c r="Q158" s="213">
        <v>0</v>
      </c>
      <c r="R158" s="213"/>
      <c r="S158" s="213"/>
      <c r="T158" s="213"/>
      <c r="U158" s="213"/>
      <c r="V158" s="213"/>
      <c r="W158" s="213"/>
      <c r="X158" s="643"/>
      <c r="Y158" s="616">
        <f t="shared" si="1"/>
        <v>0</v>
      </c>
      <c r="Z158" s="633"/>
      <c r="AA158" s="648"/>
      <c r="AB158" s="648"/>
      <c r="AC158" s="7"/>
      <c r="AD158" s="699"/>
      <c r="AE158" s="7"/>
      <c r="AF158" s="618">
        <f t="shared" si="15"/>
        <v>0</v>
      </c>
      <c r="AG158" s="7"/>
      <c r="AH158" s="7"/>
      <c r="AI158" s="7"/>
      <c r="AJ158" s="7"/>
      <c r="AK158" s="7"/>
      <c r="AL158" s="7"/>
    </row>
    <row r="159" spans="1:38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4"/>
      <c r="F159" s="214"/>
      <c r="G159" s="215"/>
      <c r="H159" s="215"/>
      <c r="I159" s="215"/>
      <c r="J159" s="214"/>
      <c r="K159" s="214"/>
      <c r="L159" s="647"/>
      <c r="M159" s="213"/>
      <c r="N159" s="213"/>
      <c r="O159" s="215"/>
      <c r="P159" s="213"/>
      <c r="Q159" s="213">
        <v>0</v>
      </c>
      <c r="R159" s="213"/>
      <c r="S159" s="213"/>
      <c r="T159" s="213"/>
      <c r="U159" s="213"/>
      <c r="V159" s="213"/>
      <c r="W159" s="213"/>
      <c r="X159" s="643"/>
      <c r="Y159" s="616">
        <f t="shared" si="1"/>
        <v>0</v>
      </c>
      <c r="Z159" s="633"/>
      <c r="AA159" s="648"/>
      <c r="AB159" s="648"/>
      <c r="AC159" s="7"/>
      <c r="AD159" s="699"/>
      <c r="AE159" s="7"/>
      <c r="AF159" s="618">
        <f t="shared" si="15"/>
        <v>0</v>
      </c>
      <c r="AG159" s="7"/>
      <c r="AH159" s="7"/>
      <c r="AI159" s="7"/>
      <c r="AJ159" s="7"/>
      <c r="AK159" s="7"/>
      <c r="AL159" s="7"/>
    </row>
    <row r="160" spans="1:38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4"/>
      <c r="F160" s="214"/>
      <c r="G160" s="215"/>
      <c r="H160" s="215"/>
      <c r="I160" s="215"/>
      <c r="J160" s="214"/>
      <c r="K160" s="214"/>
      <c r="L160" s="647"/>
      <c r="M160" s="213"/>
      <c r="N160" s="213"/>
      <c r="O160" s="215"/>
      <c r="P160" s="213"/>
      <c r="Q160" s="213">
        <v>0</v>
      </c>
      <c r="R160" s="213"/>
      <c r="S160" s="213"/>
      <c r="T160" s="213"/>
      <c r="U160" s="213"/>
      <c r="V160" s="213"/>
      <c r="W160" s="213"/>
      <c r="X160" s="643"/>
      <c r="Y160" s="616">
        <f t="shared" si="1"/>
        <v>0</v>
      </c>
      <c r="Z160" s="633"/>
      <c r="AA160" s="648"/>
      <c r="AB160" s="648"/>
      <c r="AC160" s="7"/>
      <c r="AD160" s="699"/>
      <c r="AE160" s="7"/>
      <c r="AF160" s="618">
        <f t="shared" si="15"/>
        <v>0</v>
      </c>
      <c r="AG160" s="7"/>
      <c r="AH160" s="7"/>
      <c r="AI160" s="7"/>
      <c r="AJ160" s="7"/>
      <c r="AK160" s="7"/>
      <c r="AL160" s="7"/>
    </row>
    <row r="161" spans="1:38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4"/>
      <c r="F161" s="214"/>
      <c r="G161" s="215">
        <v>112</v>
      </c>
      <c r="H161" s="215"/>
      <c r="I161" s="215"/>
      <c r="J161" s="214"/>
      <c r="K161" s="214"/>
      <c r="L161" s="620"/>
      <c r="M161" s="213"/>
      <c r="N161" s="213"/>
      <c r="O161" s="215"/>
      <c r="P161" s="213"/>
      <c r="Q161" s="213"/>
      <c r="R161" s="213"/>
      <c r="S161" s="213"/>
      <c r="T161" s="213"/>
      <c r="U161" s="213"/>
      <c r="V161" s="213"/>
      <c r="W161" s="213"/>
      <c r="X161" s="643"/>
      <c r="Y161" s="616">
        <f t="shared" si="1"/>
        <v>112</v>
      </c>
      <c r="Z161" s="633"/>
      <c r="AA161" s="636"/>
      <c r="AB161" s="636"/>
      <c r="AC161" s="7"/>
      <c r="AD161" s="699"/>
      <c r="AE161" s="7"/>
      <c r="AF161" s="618"/>
      <c r="AG161" s="7"/>
      <c r="AH161" s="7"/>
      <c r="AI161" s="7"/>
      <c r="AJ161" s="7"/>
      <c r="AK161" s="7"/>
      <c r="AL161" s="7"/>
    </row>
    <row r="162" spans="1:38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4"/>
      <c r="F162" s="214"/>
      <c r="G162" s="215"/>
      <c r="H162" s="215"/>
      <c r="I162" s="215"/>
      <c r="J162" s="214"/>
      <c r="K162" s="214"/>
      <c r="L162" s="620"/>
      <c r="M162" s="213"/>
      <c r="N162" s="213"/>
      <c r="O162" s="215"/>
      <c r="P162" s="213"/>
      <c r="Q162" s="213">
        <v>0</v>
      </c>
      <c r="R162" s="213"/>
      <c r="S162" s="213"/>
      <c r="T162" s="213"/>
      <c r="U162" s="213"/>
      <c r="V162" s="213"/>
      <c r="W162" s="213"/>
      <c r="X162" s="643"/>
      <c r="Y162" s="616">
        <f t="shared" si="1"/>
        <v>0</v>
      </c>
      <c r="Z162" s="633"/>
      <c r="AA162" s="636"/>
      <c r="AB162" s="636"/>
      <c r="AC162" s="7"/>
      <c r="AD162" s="699"/>
      <c r="AE162" s="7"/>
      <c r="AF162" s="618">
        <f t="shared" ref="AF162:AF200" si="16">AD162-Y162</f>
        <v>0</v>
      </c>
      <c r="AG162" s="7"/>
      <c r="AH162" s="7"/>
      <c r="AI162" s="7"/>
      <c r="AJ162" s="7"/>
      <c r="AK162" s="7"/>
      <c r="AL162" s="7"/>
    </row>
    <row r="163" spans="1:38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4"/>
      <c r="F163" s="214"/>
      <c r="G163" s="215"/>
      <c r="H163" s="215"/>
      <c r="I163" s="215"/>
      <c r="J163" s="214"/>
      <c r="K163" s="214"/>
      <c r="L163" s="620"/>
      <c r="M163" s="213"/>
      <c r="N163" s="213"/>
      <c r="O163" s="215"/>
      <c r="P163" s="213"/>
      <c r="Q163" s="213">
        <v>0</v>
      </c>
      <c r="R163" s="213"/>
      <c r="S163" s="213"/>
      <c r="T163" s="213"/>
      <c r="U163" s="213"/>
      <c r="V163" s="213"/>
      <c r="W163" s="213"/>
      <c r="X163" s="643"/>
      <c r="Y163" s="616">
        <f t="shared" si="1"/>
        <v>0</v>
      </c>
      <c r="Z163" s="633"/>
      <c r="AA163" s="636"/>
      <c r="AB163" s="636"/>
      <c r="AC163" s="7"/>
      <c r="AD163" s="699"/>
      <c r="AE163" s="7"/>
      <c r="AF163" s="618">
        <f t="shared" si="16"/>
        <v>0</v>
      </c>
      <c r="AG163" s="7"/>
      <c r="AH163" s="7"/>
      <c r="AI163" s="7"/>
      <c r="AJ163" s="7"/>
      <c r="AK163" s="7"/>
      <c r="AL163" s="7"/>
    </row>
    <row r="164" spans="1:38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4"/>
      <c r="F164" s="214"/>
      <c r="G164" s="215"/>
      <c r="H164" s="215"/>
      <c r="I164" s="215"/>
      <c r="J164" s="214"/>
      <c r="K164" s="214"/>
      <c r="L164" s="620"/>
      <c r="M164" s="213"/>
      <c r="N164" s="213"/>
      <c r="O164" s="215"/>
      <c r="P164" s="213"/>
      <c r="Q164" s="213">
        <v>21.4</v>
      </c>
      <c r="R164" s="213"/>
      <c r="S164" s="213"/>
      <c r="T164" s="213"/>
      <c r="U164" s="213"/>
      <c r="V164" s="213"/>
      <c r="W164" s="213"/>
      <c r="X164" s="643"/>
      <c r="Y164" s="616">
        <f t="shared" si="1"/>
        <v>21.4</v>
      </c>
      <c r="Z164" s="633"/>
      <c r="AA164" s="636"/>
      <c r="AB164" s="636"/>
      <c r="AC164" s="7"/>
      <c r="AD164" s="699">
        <v>21.4</v>
      </c>
      <c r="AE164" s="7"/>
      <c r="AF164" s="618">
        <f t="shared" si="16"/>
        <v>0</v>
      </c>
      <c r="AG164" s="7"/>
      <c r="AH164" s="7"/>
      <c r="AI164" s="7"/>
      <c r="AJ164" s="7"/>
      <c r="AK164" s="7"/>
      <c r="AL164" s="7"/>
    </row>
    <row r="165" spans="1:38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4"/>
      <c r="F165" s="214"/>
      <c r="G165" s="215"/>
      <c r="H165" s="215"/>
      <c r="I165" s="215"/>
      <c r="J165" s="214"/>
      <c r="K165" s="214"/>
      <c r="L165" s="620"/>
      <c r="M165" s="213"/>
      <c r="N165" s="213"/>
      <c r="O165" s="215"/>
      <c r="P165" s="213"/>
      <c r="Q165" s="213">
        <v>0</v>
      </c>
      <c r="R165" s="213"/>
      <c r="S165" s="213"/>
      <c r="T165" s="213"/>
      <c r="U165" s="213"/>
      <c r="V165" s="213"/>
      <c r="W165" s="213"/>
      <c r="X165" s="643"/>
      <c r="Y165" s="616">
        <f t="shared" si="1"/>
        <v>0</v>
      </c>
      <c r="Z165" s="633"/>
      <c r="AA165" s="636"/>
      <c r="AB165" s="636"/>
      <c r="AC165" s="7"/>
      <c r="AD165" s="699"/>
      <c r="AE165" s="7"/>
      <c r="AF165" s="618">
        <f t="shared" si="16"/>
        <v>0</v>
      </c>
      <c r="AG165" s="7"/>
      <c r="AH165" s="7"/>
      <c r="AI165" s="7"/>
      <c r="AJ165" s="7"/>
      <c r="AK165" s="7"/>
      <c r="AL165" s="7"/>
    </row>
    <row r="166" spans="1:38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4"/>
      <c r="F166" s="214"/>
      <c r="G166" s="215"/>
      <c r="H166" s="215"/>
      <c r="I166" s="215"/>
      <c r="J166" s="214"/>
      <c r="K166" s="214"/>
      <c r="L166" s="620"/>
      <c r="M166" s="213"/>
      <c r="N166" s="213"/>
      <c r="O166" s="215"/>
      <c r="P166" s="213"/>
      <c r="Q166" s="213">
        <v>0</v>
      </c>
      <c r="R166" s="213"/>
      <c r="S166" s="213"/>
      <c r="T166" s="213"/>
      <c r="U166" s="213"/>
      <c r="V166" s="213"/>
      <c r="W166" s="213"/>
      <c r="X166" s="643"/>
      <c r="Y166" s="616">
        <f t="shared" si="1"/>
        <v>0</v>
      </c>
      <c r="Z166" s="633"/>
      <c r="AA166" s="636"/>
      <c r="AB166" s="636"/>
      <c r="AC166" s="7"/>
      <c r="AD166" s="699"/>
      <c r="AE166" s="7"/>
      <c r="AF166" s="618">
        <f t="shared" si="16"/>
        <v>0</v>
      </c>
      <c r="AG166" s="7"/>
      <c r="AH166" s="7"/>
      <c r="AI166" s="7"/>
      <c r="AJ166" s="7"/>
      <c r="AK166" s="7"/>
      <c r="AL166" s="7"/>
    </row>
    <row r="167" spans="1:38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4"/>
      <c r="F167" s="214"/>
      <c r="G167" s="215"/>
      <c r="H167" s="215"/>
      <c r="I167" s="215"/>
      <c r="J167" s="214"/>
      <c r="K167" s="214"/>
      <c r="L167" s="620"/>
      <c r="M167" s="213"/>
      <c r="N167" s="213"/>
      <c r="O167" s="215"/>
      <c r="P167" s="213"/>
      <c r="Q167" s="213">
        <v>0</v>
      </c>
      <c r="R167" s="213"/>
      <c r="S167" s="213"/>
      <c r="T167" s="213"/>
      <c r="U167" s="213"/>
      <c r="V167" s="213"/>
      <c r="W167" s="213"/>
      <c r="X167" s="643"/>
      <c r="Y167" s="616">
        <f t="shared" si="1"/>
        <v>0</v>
      </c>
      <c r="Z167" s="633"/>
      <c r="AA167" s="636"/>
      <c r="AB167" s="636"/>
      <c r="AC167" s="7"/>
      <c r="AD167" s="699"/>
      <c r="AE167" s="7"/>
      <c r="AF167" s="618">
        <f t="shared" si="16"/>
        <v>0</v>
      </c>
      <c r="AG167" s="7"/>
      <c r="AH167" s="7"/>
      <c r="AI167" s="7"/>
      <c r="AJ167" s="7"/>
      <c r="AK167" s="7"/>
      <c r="AL167" s="7"/>
    </row>
    <row r="168" spans="1:38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4"/>
      <c r="F168" s="214"/>
      <c r="G168" s="215"/>
      <c r="H168" s="215"/>
      <c r="I168" s="215"/>
      <c r="J168" s="214"/>
      <c r="K168" s="214"/>
      <c r="L168" s="620"/>
      <c r="M168" s="213"/>
      <c r="N168" s="213"/>
      <c r="O168" s="215"/>
      <c r="P168" s="213"/>
      <c r="Q168" s="213">
        <v>0</v>
      </c>
      <c r="R168" s="213"/>
      <c r="S168" s="213"/>
      <c r="T168" s="213"/>
      <c r="U168" s="213"/>
      <c r="V168" s="213"/>
      <c r="W168" s="213"/>
      <c r="X168" s="643"/>
      <c r="Y168" s="616">
        <f t="shared" si="1"/>
        <v>0</v>
      </c>
      <c r="Z168" s="633"/>
      <c r="AA168" s="636"/>
      <c r="AB168" s="636"/>
      <c r="AC168" s="7"/>
      <c r="AD168" s="699"/>
      <c r="AE168" s="7"/>
      <c r="AF168" s="618">
        <f t="shared" si="16"/>
        <v>0</v>
      </c>
      <c r="AG168" s="7"/>
      <c r="AH168" s="7"/>
      <c r="AI168" s="7"/>
      <c r="AJ168" s="7"/>
      <c r="AK168" s="7"/>
      <c r="AL168" s="7"/>
    </row>
    <row r="169" spans="1:38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4"/>
      <c r="F169" s="214"/>
      <c r="G169" s="215"/>
      <c r="H169" s="215"/>
      <c r="I169" s="215"/>
      <c r="J169" s="214"/>
      <c r="K169" s="214"/>
      <c r="L169" s="620"/>
      <c r="M169" s="213"/>
      <c r="N169" s="213"/>
      <c r="O169" s="215"/>
      <c r="P169" s="213"/>
      <c r="Q169" s="213">
        <v>0</v>
      </c>
      <c r="R169" s="213"/>
      <c r="S169" s="213"/>
      <c r="T169" s="213"/>
      <c r="U169" s="213"/>
      <c r="V169" s="213"/>
      <c r="W169" s="213"/>
      <c r="X169" s="643"/>
      <c r="Y169" s="616">
        <f t="shared" si="1"/>
        <v>0</v>
      </c>
      <c r="Z169" s="633"/>
      <c r="AA169" s="636"/>
      <c r="AB169" s="636"/>
      <c r="AC169" s="7"/>
      <c r="AD169" s="699"/>
      <c r="AE169" s="7"/>
      <c r="AF169" s="618">
        <f t="shared" si="16"/>
        <v>0</v>
      </c>
      <c r="AG169" s="7"/>
      <c r="AH169" s="7"/>
      <c r="AI169" s="7"/>
      <c r="AJ169" s="7"/>
      <c r="AK169" s="7"/>
      <c r="AL169" s="7"/>
    </row>
    <row r="170" spans="1:38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4"/>
      <c r="F170" s="214"/>
      <c r="G170" s="215"/>
      <c r="H170" s="215"/>
      <c r="I170" s="215"/>
      <c r="J170" s="214"/>
      <c r="K170" s="214"/>
      <c r="L170" s="620"/>
      <c r="M170" s="213"/>
      <c r="N170" s="213"/>
      <c r="O170" s="215"/>
      <c r="P170" s="213"/>
      <c r="Q170" s="213">
        <v>0</v>
      </c>
      <c r="R170" s="213"/>
      <c r="S170" s="213"/>
      <c r="T170" s="213"/>
      <c r="U170" s="213"/>
      <c r="V170" s="213"/>
      <c r="W170" s="213"/>
      <c r="X170" s="643"/>
      <c r="Y170" s="616">
        <f t="shared" si="1"/>
        <v>0</v>
      </c>
      <c r="Z170" s="633"/>
      <c r="AA170" s="636"/>
      <c r="AB170" s="636"/>
      <c r="AC170" s="7"/>
      <c r="AD170" s="699"/>
      <c r="AE170" s="7"/>
      <c r="AF170" s="618">
        <f t="shared" si="16"/>
        <v>0</v>
      </c>
      <c r="AG170" s="7"/>
      <c r="AH170" s="7"/>
      <c r="AI170" s="7"/>
      <c r="AJ170" s="7"/>
      <c r="AK170" s="7"/>
      <c r="AL170" s="7"/>
    </row>
    <row r="171" spans="1:38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4"/>
      <c r="F171" s="214"/>
      <c r="G171" s="215"/>
      <c r="H171" s="215"/>
      <c r="I171" s="215"/>
      <c r="J171" s="214"/>
      <c r="K171" s="214"/>
      <c r="L171" s="638"/>
      <c r="M171" s="213"/>
      <c r="N171" s="213"/>
      <c r="O171" s="215"/>
      <c r="P171" s="213"/>
      <c r="Q171" s="213">
        <v>0</v>
      </c>
      <c r="R171" s="213"/>
      <c r="S171" s="213"/>
      <c r="T171" s="213"/>
      <c r="U171" s="213"/>
      <c r="V171" s="213"/>
      <c r="W171" s="213"/>
      <c r="X171" s="643"/>
      <c r="Y171" s="616">
        <f t="shared" si="1"/>
        <v>0</v>
      </c>
      <c r="Z171" s="633"/>
      <c r="AA171" s="636"/>
      <c r="AB171" s="636"/>
      <c r="AC171" s="7"/>
      <c r="AD171" s="699"/>
      <c r="AE171" s="7"/>
      <c r="AF171" s="618">
        <f t="shared" si="16"/>
        <v>0</v>
      </c>
      <c r="AG171" s="7"/>
      <c r="AH171" s="7"/>
      <c r="AI171" s="7"/>
      <c r="AJ171" s="7"/>
      <c r="AK171" s="7"/>
      <c r="AL171" s="7"/>
    </row>
    <row r="172" spans="1:38" ht="21" customHeight="1">
      <c r="A172" s="489">
        <v>4</v>
      </c>
      <c r="B172" s="490" t="s">
        <v>378</v>
      </c>
      <c r="C172" s="637" t="s">
        <v>379</v>
      </c>
      <c r="D172" s="491"/>
      <c r="E172" s="214"/>
      <c r="F172" s="214"/>
      <c r="G172" s="215"/>
      <c r="H172" s="215"/>
      <c r="I172" s="215"/>
      <c r="J172" s="214"/>
      <c r="K172" s="214"/>
      <c r="L172" s="638"/>
      <c r="M172" s="213"/>
      <c r="N172" s="213"/>
      <c r="O172" s="215"/>
      <c r="P172" s="213"/>
      <c r="Q172" s="213">
        <v>0</v>
      </c>
      <c r="R172" s="213"/>
      <c r="S172" s="213"/>
      <c r="T172" s="213"/>
      <c r="U172" s="213"/>
      <c r="V172" s="213"/>
      <c r="W172" s="213"/>
      <c r="X172" s="643"/>
      <c r="Y172" s="616">
        <f t="shared" si="1"/>
        <v>0</v>
      </c>
      <c r="Z172" s="633"/>
      <c r="AA172" s="640"/>
      <c r="AB172" s="640"/>
      <c r="AC172" s="7"/>
      <c r="AD172" s="699"/>
      <c r="AE172" s="7"/>
      <c r="AF172" s="618">
        <f t="shared" si="16"/>
        <v>0</v>
      </c>
      <c r="AG172" s="7"/>
      <c r="AH172" s="7"/>
      <c r="AI172" s="7"/>
      <c r="AJ172" s="7"/>
      <c r="AK172" s="7"/>
      <c r="AL172" s="7"/>
    </row>
    <row r="173" spans="1:38" ht="20.25" customHeight="1">
      <c r="A173" s="486"/>
      <c r="B173" s="487" t="s">
        <v>381</v>
      </c>
      <c r="C173" s="635" t="s">
        <v>382</v>
      </c>
      <c r="D173" s="412" t="s">
        <v>383</v>
      </c>
      <c r="E173" s="214"/>
      <c r="F173" s="214">
        <v>4</v>
      </c>
      <c r="G173" s="215">
        <f>8+28+3</f>
        <v>39</v>
      </c>
      <c r="H173" s="215">
        <v>2</v>
      </c>
      <c r="I173" s="215">
        <v>1</v>
      </c>
      <c r="J173" s="214">
        <v>20</v>
      </c>
      <c r="K173" s="214">
        <v>3</v>
      </c>
      <c r="L173" s="620">
        <v>580</v>
      </c>
      <c r="M173" s="213"/>
      <c r="N173" s="213"/>
      <c r="O173" s="215">
        <f>2+2+30+10</f>
        <v>44</v>
      </c>
      <c r="P173" s="213"/>
      <c r="Q173" s="213">
        <v>42</v>
      </c>
      <c r="R173" s="213"/>
      <c r="S173" s="213"/>
      <c r="T173" s="213"/>
      <c r="U173" s="213"/>
      <c r="V173" s="213"/>
      <c r="W173" s="213"/>
      <c r="X173" s="643"/>
      <c r="Y173" s="616">
        <f t="shared" si="1"/>
        <v>735</v>
      </c>
      <c r="Z173" s="633"/>
      <c r="AA173" s="636"/>
      <c r="AB173" s="636"/>
      <c r="AC173" s="7"/>
      <c r="AD173" s="699">
        <v>735</v>
      </c>
      <c r="AE173" s="7"/>
      <c r="AF173" s="618">
        <f t="shared" si="16"/>
        <v>0</v>
      </c>
      <c r="AG173" s="7"/>
      <c r="AH173" s="7"/>
      <c r="AI173" s="7"/>
      <c r="AJ173" s="7"/>
      <c r="AK173" s="7"/>
      <c r="AL173" s="7"/>
    </row>
    <row r="174" spans="1:38" ht="20.25" customHeight="1">
      <c r="A174" s="503"/>
      <c r="B174" s="483" t="s">
        <v>386</v>
      </c>
      <c r="C174" s="629" t="s">
        <v>387</v>
      </c>
      <c r="D174" s="504" t="s">
        <v>383</v>
      </c>
      <c r="E174" s="214"/>
      <c r="F174" s="214"/>
      <c r="G174" s="215"/>
      <c r="H174" s="215"/>
      <c r="I174" s="215"/>
      <c r="J174" s="214"/>
      <c r="K174" s="214"/>
      <c r="L174" s="647">
        <f>490+75+9</f>
        <v>574</v>
      </c>
      <c r="M174" s="213"/>
      <c r="N174" s="213"/>
      <c r="O174" s="215"/>
      <c r="P174" s="213"/>
      <c r="Q174" s="213">
        <v>21</v>
      </c>
      <c r="R174" s="213"/>
      <c r="S174" s="213"/>
      <c r="T174" s="213"/>
      <c r="U174" s="213"/>
      <c r="V174" s="213"/>
      <c r="W174" s="213"/>
      <c r="X174" s="643"/>
      <c r="Y174" s="616">
        <f t="shared" si="1"/>
        <v>595</v>
      </c>
      <c r="Z174" s="633"/>
      <c r="AA174" s="648"/>
      <c r="AB174" s="648"/>
      <c r="AC174" s="7"/>
      <c r="AD174" s="699">
        <v>595</v>
      </c>
      <c r="AE174" s="7"/>
      <c r="AF174" s="618">
        <f t="shared" si="16"/>
        <v>0</v>
      </c>
      <c r="AG174" s="7"/>
      <c r="AH174" s="7"/>
      <c r="AI174" s="7"/>
      <c r="AJ174" s="7"/>
      <c r="AK174" s="7"/>
      <c r="AL174" s="7"/>
    </row>
    <row r="175" spans="1:38" ht="20.25" customHeight="1">
      <c r="A175" s="503"/>
      <c r="B175" s="483" t="s">
        <v>388</v>
      </c>
      <c r="C175" s="629" t="s">
        <v>389</v>
      </c>
      <c r="D175" s="504" t="s">
        <v>383</v>
      </c>
      <c r="E175" s="214"/>
      <c r="F175" s="214"/>
      <c r="G175" s="215"/>
      <c r="H175" s="215"/>
      <c r="I175" s="215"/>
      <c r="J175" s="214"/>
      <c r="K175" s="214"/>
      <c r="L175" s="647">
        <v>6</v>
      </c>
      <c r="M175" s="213"/>
      <c r="N175" s="213"/>
      <c r="O175" s="215"/>
      <c r="P175" s="213"/>
      <c r="Q175" s="213">
        <v>11</v>
      </c>
      <c r="R175" s="213"/>
      <c r="S175" s="213"/>
      <c r="T175" s="213"/>
      <c r="U175" s="213"/>
      <c r="V175" s="213"/>
      <c r="W175" s="213"/>
      <c r="X175" s="643"/>
      <c r="Y175" s="616">
        <f t="shared" si="1"/>
        <v>17</v>
      </c>
      <c r="Z175" s="633"/>
      <c r="AA175" s="648"/>
      <c r="AB175" s="648"/>
      <c r="AC175" s="7"/>
      <c r="AD175" s="699">
        <v>17</v>
      </c>
      <c r="AE175" s="7"/>
      <c r="AF175" s="618">
        <f t="shared" si="16"/>
        <v>0</v>
      </c>
      <c r="AG175" s="7"/>
      <c r="AH175" s="7"/>
      <c r="AI175" s="7"/>
      <c r="AJ175" s="7"/>
      <c r="AK175" s="7"/>
      <c r="AL175" s="7"/>
    </row>
    <row r="176" spans="1:38" ht="20.25" customHeight="1">
      <c r="A176" s="503"/>
      <c r="B176" s="483" t="s">
        <v>390</v>
      </c>
      <c r="C176" s="629" t="s">
        <v>391</v>
      </c>
      <c r="D176" s="504" t="s">
        <v>383</v>
      </c>
      <c r="E176" s="214"/>
      <c r="F176" s="214"/>
      <c r="G176" s="215"/>
      <c r="H176" s="215"/>
      <c r="I176" s="215"/>
      <c r="J176" s="214"/>
      <c r="K176" s="214"/>
      <c r="L176" s="647"/>
      <c r="M176" s="213"/>
      <c r="N176" s="213"/>
      <c r="O176" s="215"/>
      <c r="P176" s="213"/>
      <c r="Q176" s="213">
        <v>96</v>
      </c>
      <c r="R176" s="213"/>
      <c r="S176" s="213"/>
      <c r="T176" s="213"/>
      <c r="U176" s="213"/>
      <c r="V176" s="213"/>
      <c r="W176" s="213"/>
      <c r="X176" s="643"/>
      <c r="Y176" s="616">
        <f t="shared" si="1"/>
        <v>96</v>
      </c>
      <c r="Z176" s="633"/>
      <c r="AA176" s="648"/>
      <c r="AB176" s="648"/>
      <c r="AC176" s="7"/>
      <c r="AD176" s="699">
        <v>96</v>
      </c>
      <c r="AE176" s="7"/>
      <c r="AF176" s="618">
        <f t="shared" si="16"/>
        <v>0</v>
      </c>
      <c r="AG176" s="7"/>
      <c r="AH176" s="7"/>
      <c r="AI176" s="7"/>
      <c r="AJ176" s="7"/>
      <c r="AK176" s="7"/>
      <c r="AL176" s="7"/>
    </row>
    <row r="177" spans="1:38" ht="20.25" customHeight="1">
      <c r="A177" s="503"/>
      <c r="B177" s="483" t="s">
        <v>392</v>
      </c>
      <c r="C177" s="629" t="s">
        <v>393</v>
      </c>
      <c r="D177" s="504" t="s">
        <v>383</v>
      </c>
      <c r="E177" s="214"/>
      <c r="F177" s="214"/>
      <c r="G177" s="215"/>
      <c r="H177" s="215"/>
      <c r="I177" s="215"/>
      <c r="J177" s="214"/>
      <c r="K177" s="214"/>
      <c r="L177" s="647"/>
      <c r="M177" s="213"/>
      <c r="N177" s="213"/>
      <c r="O177" s="215"/>
      <c r="P177" s="213"/>
      <c r="Q177" s="213">
        <v>0</v>
      </c>
      <c r="R177" s="213"/>
      <c r="S177" s="213"/>
      <c r="T177" s="213"/>
      <c r="U177" s="213"/>
      <c r="V177" s="213"/>
      <c r="W177" s="213"/>
      <c r="X177" s="643"/>
      <c r="Y177" s="616">
        <f t="shared" si="1"/>
        <v>0</v>
      </c>
      <c r="Z177" s="633"/>
      <c r="AA177" s="648"/>
      <c r="AB177" s="648"/>
      <c r="AC177" s="7"/>
      <c r="AD177" s="699"/>
      <c r="AE177" s="7"/>
      <c r="AF177" s="618">
        <f t="shared" si="16"/>
        <v>0</v>
      </c>
      <c r="AG177" s="7"/>
      <c r="AH177" s="7"/>
      <c r="AI177" s="7"/>
      <c r="AJ177" s="7"/>
      <c r="AK177" s="7"/>
      <c r="AL177" s="7"/>
    </row>
    <row r="178" spans="1:38" ht="20.25" customHeight="1">
      <c r="A178" s="486"/>
      <c r="B178" s="487" t="s">
        <v>388</v>
      </c>
      <c r="C178" s="635" t="s">
        <v>394</v>
      </c>
      <c r="D178" s="412" t="s">
        <v>383</v>
      </c>
      <c r="E178" s="214"/>
      <c r="F178" s="214"/>
      <c r="G178" s="215">
        <v>45</v>
      </c>
      <c r="H178" s="215">
        <v>31</v>
      </c>
      <c r="I178" s="215"/>
      <c r="J178" s="214"/>
      <c r="K178" s="214">
        <v>614</v>
      </c>
      <c r="L178" s="620"/>
      <c r="M178" s="213"/>
      <c r="N178" s="213"/>
      <c r="O178" s="215">
        <f>262+200</f>
        <v>462</v>
      </c>
      <c r="P178" s="213"/>
      <c r="Q178" s="213">
        <v>1896</v>
      </c>
      <c r="R178" s="213"/>
      <c r="S178" s="213"/>
      <c r="T178" s="213"/>
      <c r="U178" s="213"/>
      <c r="V178" s="213"/>
      <c r="W178" s="213"/>
      <c r="X178" s="657"/>
      <c r="Y178" s="616">
        <f t="shared" si="1"/>
        <v>3048</v>
      </c>
      <c r="Z178" s="633"/>
      <c r="AA178" s="636"/>
      <c r="AB178" s="636"/>
      <c r="AC178" s="7"/>
      <c r="AD178" s="699">
        <v>3048</v>
      </c>
      <c r="AE178" s="7"/>
      <c r="AF178" s="618">
        <f t="shared" si="16"/>
        <v>0</v>
      </c>
      <c r="AG178" s="7"/>
      <c r="AH178" s="7"/>
      <c r="AI178" s="7"/>
      <c r="AJ178" s="7"/>
      <c r="AK178" s="7"/>
      <c r="AL178" s="7"/>
    </row>
    <row r="179" spans="1:38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4"/>
      <c r="F179" s="214"/>
      <c r="G179" s="215"/>
      <c r="H179" s="215"/>
      <c r="I179" s="215"/>
      <c r="J179" s="214"/>
      <c r="K179" s="214"/>
      <c r="L179" s="647"/>
      <c r="M179" s="213"/>
      <c r="N179" s="213"/>
      <c r="O179" s="215"/>
      <c r="P179" s="213"/>
      <c r="Q179" s="213">
        <v>0</v>
      </c>
      <c r="R179" s="213"/>
      <c r="S179" s="213"/>
      <c r="T179" s="213"/>
      <c r="U179" s="213"/>
      <c r="V179" s="213"/>
      <c r="W179" s="213"/>
      <c r="X179" s="643"/>
      <c r="Y179" s="616">
        <f t="shared" si="1"/>
        <v>0</v>
      </c>
      <c r="Z179" s="633"/>
      <c r="AA179" s="648"/>
      <c r="AB179" s="648"/>
      <c r="AC179" s="7"/>
      <c r="AD179" s="699"/>
      <c r="AE179" s="7"/>
      <c r="AF179" s="618">
        <f t="shared" si="16"/>
        <v>0</v>
      </c>
      <c r="AG179" s="7"/>
      <c r="AH179" s="7"/>
      <c r="AI179" s="7"/>
      <c r="AJ179" s="7"/>
      <c r="AK179" s="7"/>
      <c r="AL179" s="7"/>
    </row>
    <row r="180" spans="1:38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4"/>
      <c r="F180" s="214"/>
      <c r="G180" s="215"/>
      <c r="H180" s="215"/>
      <c r="I180" s="215"/>
      <c r="J180" s="214"/>
      <c r="K180" s="214"/>
      <c r="L180" s="647"/>
      <c r="M180" s="213"/>
      <c r="N180" s="213"/>
      <c r="O180" s="215"/>
      <c r="P180" s="213"/>
      <c r="Q180" s="213">
        <v>0</v>
      </c>
      <c r="R180" s="213"/>
      <c r="S180" s="213"/>
      <c r="T180" s="213"/>
      <c r="U180" s="213"/>
      <c r="V180" s="213"/>
      <c r="W180" s="213"/>
      <c r="X180" s="643"/>
      <c r="Y180" s="616">
        <f t="shared" si="1"/>
        <v>0</v>
      </c>
      <c r="Z180" s="633"/>
      <c r="AA180" s="648"/>
      <c r="AB180" s="648"/>
      <c r="AC180" s="7"/>
      <c r="AD180" s="699"/>
      <c r="AE180" s="7"/>
      <c r="AF180" s="618">
        <f t="shared" si="16"/>
        <v>0</v>
      </c>
      <c r="AG180" s="7"/>
      <c r="AH180" s="7"/>
      <c r="AI180" s="7"/>
      <c r="AJ180" s="7"/>
      <c r="AK180" s="7"/>
      <c r="AL180" s="7"/>
    </row>
    <row r="181" spans="1:38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4"/>
      <c r="F181" s="214"/>
      <c r="G181" s="215"/>
      <c r="H181" s="215"/>
      <c r="I181" s="215"/>
      <c r="J181" s="214"/>
      <c r="K181" s="214"/>
      <c r="L181" s="647"/>
      <c r="M181" s="213"/>
      <c r="N181" s="213"/>
      <c r="O181" s="215"/>
      <c r="P181" s="213"/>
      <c r="Q181" s="213">
        <v>0</v>
      </c>
      <c r="R181" s="213"/>
      <c r="S181" s="213"/>
      <c r="T181" s="213"/>
      <c r="U181" s="213"/>
      <c r="V181" s="213"/>
      <c r="W181" s="213"/>
      <c r="X181" s="643"/>
      <c r="Y181" s="616">
        <f t="shared" si="1"/>
        <v>0</v>
      </c>
      <c r="Z181" s="633"/>
      <c r="AA181" s="636"/>
      <c r="AB181" s="636"/>
      <c r="AC181" s="7"/>
      <c r="AD181" s="699"/>
      <c r="AE181" s="7"/>
      <c r="AF181" s="618">
        <f t="shared" si="16"/>
        <v>0</v>
      </c>
      <c r="AG181" s="7"/>
      <c r="AH181" s="7"/>
      <c r="AI181" s="7"/>
      <c r="AJ181" s="7"/>
      <c r="AK181" s="7"/>
      <c r="AL181" s="7"/>
    </row>
    <row r="182" spans="1:38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4"/>
      <c r="F182" s="214"/>
      <c r="G182" s="215"/>
      <c r="H182" s="215"/>
      <c r="I182" s="215"/>
      <c r="J182" s="214"/>
      <c r="K182" s="214"/>
      <c r="L182" s="620"/>
      <c r="M182" s="213"/>
      <c r="N182" s="213"/>
      <c r="O182" s="215"/>
      <c r="P182" s="213"/>
      <c r="Q182" s="213">
        <v>0</v>
      </c>
      <c r="R182" s="213"/>
      <c r="S182" s="213"/>
      <c r="T182" s="213"/>
      <c r="U182" s="213"/>
      <c r="V182" s="213"/>
      <c r="W182" s="213"/>
      <c r="X182" s="643"/>
      <c r="Y182" s="616">
        <f t="shared" si="1"/>
        <v>0</v>
      </c>
      <c r="Z182" s="633"/>
      <c r="AA182" s="636"/>
      <c r="AB182" s="636"/>
      <c r="AC182" s="7"/>
      <c r="AD182" s="699"/>
      <c r="AE182" s="7"/>
      <c r="AF182" s="618">
        <f t="shared" si="16"/>
        <v>0</v>
      </c>
      <c r="AG182" s="7"/>
      <c r="AH182" s="7"/>
      <c r="AI182" s="7"/>
      <c r="AJ182" s="7"/>
      <c r="AK182" s="7"/>
      <c r="AL182" s="7"/>
    </row>
    <row r="183" spans="1:38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4"/>
      <c r="F183" s="214"/>
      <c r="G183" s="215"/>
      <c r="H183" s="215"/>
      <c r="I183" s="215"/>
      <c r="J183" s="214"/>
      <c r="K183" s="214"/>
      <c r="L183" s="638"/>
      <c r="M183" s="213"/>
      <c r="N183" s="213"/>
      <c r="O183" s="215"/>
      <c r="P183" s="213"/>
      <c r="Q183" s="213">
        <v>0</v>
      </c>
      <c r="R183" s="213"/>
      <c r="S183" s="213"/>
      <c r="T183" s="213"/>
      <c r="U183" s="213"/>
      <c r="V183" s="213"/>
      <c r="W183" s="213"/>
      <c r="X183" s="643"/>
      <c r="Y183" s="616">
        <f t="shared" si="1"/>
        <v>0</v>
      </c>
      <c r="Z183" s="633"/>
      <c r="AA183" s="636"/>
      <c r="AB183" s="636"/>
      <c r="AC183" s="7"/>
      <c r="AD183" s="699"/>
      <c r="AE183" s="7"/>
      <c r="AF183" s="618">
        <f t="shared" si="16"/>
        <v>0</v>
      </c>
      <c r="AG183" s="7"/>
      <c r="AH183" s="7"/>
      <c r="AI183" s="7"/>
      <c r="AJ183" s="7"/>
      <c r="AK183" s="7"/>
      <c r="AL183" s="7"/>
    </row>
    <row r="184" spans="1:38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4"/>
      <c r="F184" s="214"/>
      <c r="G184" s="215"/>
      <c r="H184" s="215"/>
      <c r="I184" s="215"/>
      <c r="J184" s="214"/>
      <c r="K184" s="214"/>
      <c r="L184" s="638"/>
      <c r="M184" s="213"/>
      <c r="N184" s="213"/>
      <c r="O184" s="215"/>
      <c r="P184" s="213"/>
      <c r="Q184" s="213">
        <v>0</v>
      </c>
      <c r="R184" s="213"/>
      <c r="S184" s="213"/>
      <c r="T184" s="213"/>
      <c r="U184" s="213"/>
      <c r="V184" s="213"/>
      <c r="W184" s="213"/>
      <c r="X184" s="643"/>
      <c r="Y184" s="616">
        <f t="shared" si="1"/>
        <v>0</v>
      </c>
      <c r="Z184" s="633"/>
      <c r="AA184" s="636"/>
      <c r="AB184" s="636"/>
      <c r="AC184" s="7"/>
      <c r="AD184" s="699"/>
      <c r="AE184" s="7"/>
      <c r="AF184" s="618">
        <f t="shared" si="16"/>
        <v>0</v>
      </c>
      <c r="AG184" s="7"/>
      <c r="AH184" s="7"/>
      <c r="AI184" s="7"/>
      <c r="AJ184" s="7"/>
      <c r="AK184" s="7"/>
      <c r="AL184" s="7"/>
    </row>
    <row r="185" spans="1:38" ht="18.75" customHeight="1">
      <c r="A185" s="486">
        <v>7.7</v>
      </c>
      <c r="B185" s="487" t="s">
        <v>412</v>
      </c>
      <c r="C185" s="635" t="s">
        <v>413</v>
      </c>
      <c r="D185" s="412" t="s">
        <v>1788</v>
      </c>
      <c r="E185" s="214"/>
      <c r="F185" s="214"/>
      <c r="G185" s="215"/>
      <c r="H185" s="215"/>
      <c r="I185" s="215"/>
      <c r="J185" s="214"/>
      <c r="K185" s="214"/>
      <c r="L185" s="620"/>
      <c r="M185" s="213"/>
      <c r="N185" s="213"/>
      <c r="O185" s="215"/>
      <c r="P185" s="213"/>
      <c r="Q185" s="213">
        <v>0</v>
      </c>
      <c r="R185" s="213"/>
      <c r="S185" s="213"/>
      <c r="T185" s="213"/>
      <c r="U185" s="213"/>
      <c r="V185" s="213"/>
      <c r="W185" s="213"/>
      <c r="X185" s="643"/>
      <c r="Y185" s="616">
        <f t="shared" si="1"/>
        <v>0</v>
      </c>
      <c r="Z185" s="633"/>
      <c r="AA185" s="636"/>
      <c r="AB185" s="636"/>
      <c r="AC185" s="7"/>
      <c r="AD185" s="699"/>
      <c r="AE185" s="7"/>
      <c r="AF185" s="618">
        <f t="shared" si="16"/>
        <v>0</v>
      </c>
      <c r="AG185" s="7"/>
      <c r="AH185" s="7"/>
      <c r="AI185" s="7"/>
      <c r="AJ185" s="7"/>
      <c r="AK185" s="7"/>
      <c r="AL185" s="7"/>
    </row>
    <row r="186" spans="1:38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4"/>
      <c r="F186" s="214"/>
      <c r="G186" s="215"/>
      <c r="H186" s="215"/>
      <c r="I186" s="215"/>
      <c r="J186" s="214"/>
      <c r="K186" s="214"/>
      <c r="L186" s="638"/>
      <c r="M186" s="213"/>
      <c r="N186" s="213"/>
      <c r="O186" s="215"/>
      <c r="P186" s="213"/>
      <c r="Q186" s="213">
        <v>0</v>
      </c>
      <c r="R186" s="213"/>
      <c r="S186" s="213"/>
      <c r="T186" s="213"/>
      <c r="U186" s="213"/>
      <c r="V186" s="213"/>
      <c r="W186" s="213"/>
      <c r="X186" s="643"/>
      <c r="Y186" s="616">
        <f t="shared" si="1"/>
        <v>0</v>
      </c>
      <c r="Z186" s="633"/>
      <c r="AA186" s="636"/>
      <c r="AB186" s="636"/>
      <c r="AC186" s="7"/>
      <c r="AD186" s="699"/>
      <c r="AE186" s="7"/>
      <c r="AF186" s="618">
        <f t="shared" si="16"/>
        <v>0</v>
      </c>
      <c r="AG186" s="7"/>
      <c r="AH186" s="7"/>
      <c r="AI186" s="7"/>
      <c r="AJ186" s="7"/>
      <c r="AK186" s="7"/>
      <c r="AL186" s="7"/>
    </row>
    <row r="187" spans="1:38" ht="29.25" customHeight="1">
      <c r="A187" s="489">
        <v>5</v>
      </c>
      <c r="B187" s="490" t="s">
        <v>416</v>
      </c>
      <c r="C187" s="637" t="s">
        <v>417</v>
      </c>
      <c r="D187" s="491"/>
      <c r="E187" s="214"/>
      <c r="F187" s="214"/>
      <c r="G187" s="215"/>
      <c r="H187" s="215"/>
      <c r="I187" s="215"/>
      <c r="J187" s="214"/>
      <c r="K187" s="214"/>
      <c r="L187" s="638"/>
      <c r="M187" s="213"/>
      <c r="N187" s="213"/>
      <c r="O187" s="215"/>
      <c r="P187" s="213"/>
      <c r="Q187" s="213">
        <v>0</v>
      </c>
      <c r="R187" s="213"/>
      <c r="S187" s="213"/>
      <c r="T187" s="213"/>
      <c r="U187" s="213"/>
      <c r="V187" s="213"/>
      <c r="W187" s="213"/>
      <c r="X187" s="643"/>
      <c r="Y187" s="616">
        <f t="shared" si="1"/>
        <v>0</v>
      </c>
      <c r="Z187" s="633"/>
      <c r="AA187" s="640"/>
      <c r="AB187" s="640"/>
      <c r="AC187" s="7"/>
      <c r="AD187" s="699"/>
      <c r="AE187" s="7"/>
      <c r="AF187" s="618">
        <f t="shared" si="16"/>
        <v>0</v>
      </c>
      <c r="AG187" s="7"/>
      <c r="AH187" s="7"/>
      <c r="AI187" s="7"/>
      <c r="AJ187" s="7"/>
      <c r="AK187" s="7"/>
      <c r="AL187" s="7"/>
    </row>
    <row r="188" spans="1:38" ht="20.25" customHeight="1">
      <c r="A188" s="486"/>
      <c r="B188" s="487" t="s">
        <v>419</v>
      </c>
      <c r="C188" s="635" t="s">
        <v>420</v>
      </c>
      <c r="D188" s="512"/>
      <c r="E188" s="214"/>
      <c r="F188" s="214"/>
      <c r="G188" s="215"/>
      <c r="H188" s="215"/>
      <c r="I188" s="215"/>
      <c r="J188" s="214"/>
      <c r="K188" s="214"/>
      <c r="L188" s="647"/>
      <c r="M188" s="213"/>
      <c r="N188" s="213"/>
      <c r="O188" s="215"/>
      <c r="P188" s="213"/>
      <c r="Q188" s="213">
        <v>0</v>
      </c>
      <c r="R188" s="213"/>
      <c r="S188" s="213"/>
      <c r="T188" s="213"/>
      <c r="U188" s="213"/>
      <c r="V188" s="213"/>
      <c r="W188" s="213"/>
      <c r="X188" s="643"/>
      <c r="Y188" s="616">
        <f t="shared" si="1"/>
        <v>0</v>
      </c>
      <c r="Z188" s="633"/>
      <c r="AA188" s="636"/>
      <c r="AB188" s="636"/>
      <c r="AC188" s="7"/>
      <c r="AD188" s="699"/>
      <c r="AE188" s="7"/>
      <c r="AF188" s="618">
        <f t="shared" si="16"/>
        <v>0</v>
      </c>
      <c r="AG188" s="7"/>
      <c r="AH188" s="7"/>
      <c r="AI188" s="7"/>
      <c r="AJ188" s="7"/>
      <c r="AK188" s="7"/>
      <c r="AL188" s="7"/>
    </row>
    <row r="189" spans="1:38" ht="35.25" customHeight="1">
      <c r="A189" s="503"/>
      <c r="B189" s="483" t="s">
        <v>422</v>
      </c>
      <c r="C189" s="658" t="s">
        <v>423</v>
      </c>
      <c r="D189" s="504" t="s">
        <v>424</v>
      </c>
      <c r="E189" s="214"/>
      <c r="F189" s="214"/>
      <c r="G189" s="215"/>
      <c r="H189" s="215"/>
      <c r="I189" s="215"/>
      <c r="J189" s="214"/>
      <c r="K189" s="214"/>
      <c r="L189" s="647"/>
      <c r="M189" s="213"/>
      <c r="N189" s="213"/>
      <c r="O189" s="215"/>
      <c r="P189" s="213"/>
      <c r="Q189" s="213">
        <v>0</v>
      </c>
      <c r="R189" s="213"/>
      <c r="S189" s="213"/>
      <c r="T189" s="213"/>
      <c r="U189" s="213"/>
      <c r="V189" s="213"/>
      <c r="W189" s="213"/>
      <c r="X189" s="643"/>
      <c r="Y189" s="616">
        <f t="shared" si="1"/>
        <v>0</v>
      </c>
      <c r="Z189" s="633"/>
      <c r="AA189" s="648"/>
      <c r="AB189" s="648"/>
      <c r="AC189" s="7"/>
      <c r="AD189" s="699"/>
      <c r="AE189" s="7"/>
      <c r="AF189" s="618">
        <f t="shared" si="16"/>
        <v>0</v>
      </c>
      <c r="AG189" s="7"/>
      <c r="AH189" s="7"/>
      <c r="AI189" s="7"/>
      <c r="AJ189" s="7"/>
      <c r="AK189" s="7"/>
      <c r="AL189" s="7"/>
    </row>
    <row r="190" spans="1:38" ht="20.25" customHeight="1">
      <c r="A190" s="503"/>
      <c r="B190" s="483" t="s">
        <v>426</v>
      </c>
      <c r="C190" s="658" t="s">
        <v>427</v>
      </c>
      <c r="D190" s="504" t="s">
        <v>132</v>
      </c>
      <c r="E190" s="214"/>
      <c r="F190" s="214"/>
      <c r="G190" s="215"/>
      <c r="H190" s="215"/>
      <c r="I190" s="215"/>
      <c r="J190" s="214"/>
      <c r="K190" s="214"/>
      <c r="L190" s="647"/>
      <c r="M190" s="213"/>
      <c r="N190" s="213"/>
      <c r="O190" s="215"/>
      <c r="P190" s="213"/>
      <c r="Q190" s="213">
        <v>0</v>
      </c>
      <c r="R190" s="213"/>
      <c r="S190" s="213"/>
      <c r="T190" s="213"/>
      <c r="U190" s="213"/>
      <c r="V190" s="213"/>
      <c r="W190" s="213"/>
      <c r="X190" s="643"/>
      <c r="Y190" s="616">
        <f t="shared" si="1"/>
        <v>0</v>
      </c>
      <c r="Z190" s="633"/>
      <c r="AA190" s="648"/>
      <c r="AB190" s="648"/>
      <c r="AC190" s="7"/>
      <c r="AD190" s="699"/>
      <c r="AE190" s="7"/>
      <c r="AF190" s="618">
        <f t="shared" si="16"/>
        <v>0</v>
      </c>
      <c r="AG190" s="7"/>
      <c r="AH190" s="7"/>
      <c r="AI190" s="7"/>
      <c r="AJ190" s="7"/>
      <c r="AK190" s="7"/>
      <c r="AL190" s="7"/>
    </row>
    <row r="191" spans="1:38" ht="20.25" customHeight="1">
      <c r="A191" s="503"/>
      <c r="B191" s="483" t="s">
        <v>428</v>
      </c>
      <c r="C191" s="658" t="s">
        <v>429</v>
      </c>
      <c r="D191" s="504" t="s">
        <v>1789</v>
      </c>
      <c r="E191" s="214"/>
      <c r="F191" s="214"/>
      <c r="G191" s="215"/>
      <c r="H191" s="215"/>
      <c r="I191" s="215"/>
      <c r="J191" s="214"/>
      <c r="K191" s="214"/>
      <c r="L191" s="647"/>
      <c r="M191" s="213"/>
      <c r="N191" s="213"/>
      <c r="O191" s="215"/>
      <c r="P191" s="213"/>
      <c r="Q191" s="213">
        <v>0</v>
      </c>
      <c r="R191" s="213"/>
      <c r="S191" s="213"/>
      <c r="T191" s="213"/>
      <c r="U191" s="213"/>
      <c r="V191" s="213"/>
      <c r="W191" s="213"/>
      <c r="X191" s="643"/>
      <c r="Y191" s="616">
        <f t="shared" si="1"/>
        <v>0</v>
      </c>
      <c r="Z191" s="633"/>
      <c r="AA191" s="648"/>
      <c r="AB191" s="648"/>
      <c r="AC191" s="7"/>
      <c r="AD191" s="699"/>
      <c r="AE191" s="7"/>
      <c r="AF191" s="618">
        <f t="shared" si="16"/>
        <v>0</v>
      </c>
      <c r="AG191" s="7"/>
      <c r="AH191" s="7"/>
      <c r="AI191" s="7"/>
      <c r="AJ191" s="7"/>
      <c r="AK191" s="7"/>
      <c r="AL191" s="7"/>
    </row>
    <row r="192" spans="1:38" ht="20.25" customHeight="1">
      <c r="A192" s="503"/>
      <c r="B192" s="483" t="s">
        <v>426</v>
      </c>
      <c r="C192" s="658" t="s">
        <v>431</v>
      </c>
      <c r="D192" s="504" t="s">
        <v>1790</v>
      </c>
      <c r="E192" s="214"/>
      <c r="F192" s="214"/>
      <c r="G192" s="215"/>
      <c r="H192" s="215"/>
      <c r="I192" s="215"/>
      <c r="J192" s="214"/>
      <c r="K192" s="214"/>
      <c r="L192" s="647"/>
      <c r="M192" s="213"/>
      <c r="N192" s="213"/>
      <c r="O192" s="215"/>
      <c r="P192" s="213"/>
      <c r="Q192" s="213">
        <v>0</v>
      </c>
      <c r="R192" s="213"/>
      <c r="S192" s="213"/>
      <c r="T192" s="213"/>
      <c r="U192" s="213"/>
      <c r="V192" s="213"/>
      <c r="W192" s="213"/>
      <c r="X192" s="643"/>
      <c r="Y192" s="616">
        <f t="shared" si="1"/>
        <v>0</v>
      </c>
      <c r="Z192" s="633"/>
      <c r="AA192" s="636"/>
      <c r="AB192" s="636"/>
      <c r="AC192" s="7"/>
      <c r="AD192" s="699"/>
      <c r="AE192" s="7"/>
      <c r="AF192" s="618">
        <f t="shared" si="16"/>
        <v>0</v>
      </c>
      <c r="AG192" s="7"/>
      <c r="AH192" s="7"/>
      <c r="AI192" s="7"/>
      <c r="AJ192" s="7"/>
      <c r="AK192" s="7"/>
      <c r="AL192" s="7"/>
    </row>
    <row r="193" spans="1:38" ht="20.25" customHeight="1">
      <c r="A193" s="503"/>
      <c r="B193" s="483" t="s">
        <v>428</v>
      </c>
      <c r="C193" s="658" t="s">
        <v>433</v>
      </c>
      <c r="D193" s="504" t="s">
        <v>1791</v>
      </c>
      <c r="E193" s="214"/>
      <c r="F193" s="214"/>
      <c r="G193" s="215"/>
      <c r="H193" s="215"/>
      <c r="I193" s="215"/>
      <c r="J193" s="214"/>
      <c r="K193" s="214"/>
      <c r="L193" s="647"/>
      <c r="M193" s="213"/>
      <c r="N193" s="213"/>
      <c r="O193" s="215"/>
      <c r="P193" s="213"/>
      <c r="Q193" s="213">
        <v>0</v>
      </c>
      <c r="R193" s="213"/>
      <c r="S193" s="213"/>
      <c r="T193" s="213"/>
      <c r="U193" s="213"/>
      <c r="V193" s="213"/>
      <c r="W193" s="213"/>
      <c r="X193" s="643"/>
      <c r="Y193" s="616">
        <f t="shared" si="1"/>
        <v>0</v>
      </c>
      <c r="Z193" s="633"/>
      <c r="AA193" s="648"/>
      <c r="AB193" s="648"/>
      <c r="AC193" s="7"/>
      <c r="AD193" s="699"/>
      <c r="AE193" s="7"/>
      <c r="AF193" s="618">
        <f t="shared" si="16"/>
        <v>0</v>
      </c>
      <c r="AG193" s="7"/>
      <c r="AH193" s="7"/>
      <c r="AI193" s="7"/>
      <c r="AJ193" s="7"/>
      <c r="AK193" s="7"/>
      <c r="AL193" s="7"/>
    </row>
    <row r="194" spans="1:38" ht="15.75" customHeight="1">
      <c r="A194" s="486"/>
      <c r="B194" s="487" t="s">
        <v>435</v>
      </c>
      <c r="C194" s="656" t="s">
        <v>436</v>
      </c>
      <c r="D194" s="412"/>
      <c r="E194" s="214"/>
      <c r="F194" s="214"/>
      <c r="G194" s="215"/>
      <c r="H194" s="215"/>
      <c r="I194" s="215"/>
      <c r="J194" s="214"/>
      <c r="K194" s="214"/>
      <c r="L194" s="620"/>
      <c r="M194" s="213"/>
      <c r="N194" s="213"/>
      <c r="O194" s="215"/>
      <c r="P194" s="213"/>
      <c r="Q194" s="213">
        <v>0</v>
      </c>
      <c r="R194" s="213"/>
      <c r="S194" s="213"/>
      <c r="T194" s="213"/>
      <c r="U194" s="213"/>
      <c r="V194" s="213"/>
      <c r="W194" s="213"/>
      <c r="X194" s="643"/>
      <c r="Y194" s="616">
        <f t="shared" si="1"/>
        <v>0</v>
      </c>
      <c r="Z194" s="633"/>
      <c r="AA194" s="654"/>
      <c r="AB194" s="654"/>
      <c r="AC194" s="7"/>
      <c r="AD194" s="699"/>
      <c r="AE194" s="7"/>
      <c r="AF194" s="618">
        <f t="shared" si="16"/>
        <v>0</v>
      </c>
      <c r="AG194" s="7"/>
      <c r="AH194" s="7"/>
      <c r="AI194" s="7"/>
      <c r="AJ194" s="7"/>
      <c r="AK194" s="7"/>
      <c r="AL194" s="7"/>
    </row>
    <row r="195" spans="1:38" ht="33.75" customHeight="1">
      <c r="A195" s="503"/>
      <c r="B195" s="483" t="s">
        <v>438</v>
      </c>
      <c r="C195" s="658" t="s">
        <v>423</v>
      </c>
      <c r="D195" s="504" t="s">
        <v>424</v>
      </c>
      <c r="E195" s="214"/>
      <c r="F195" s="214"/>
      <c r="G195" s="215"/>
      <c r="H195" s="215"/>
      <c r="I195" s="215"/>
      <c r="J195" s="214"/>
      <c r="K195" s="214"/>
      <c r="L195" s="647"/>
      <c r="M195" s="213"/>
      <c r="N195" s="213"/>
      <c r="O195" s="215"/>
      <c r="P195" s="213"/>
      <c r="Q195" s="213">
        <v>0</v>
      </c>
      <c r="R195" s="213"/>
      <c r="S195" s="213"/>
      <c r="T195" s="213"/>
      <c r="U195" s="213"/>
      <c r="V195" s="213"/>
      <c r="W195" s="213"/>
      <c r="X195" s="643"/>
      <c r="Y195" s="616">
        <f t="shared" si="1"/>
        <v>0</v>
      </c>
      <c r="Z195" s="633"/>
      <c r="AA195" s="648"/>
      <c r="AB195" s="648"/>
      <c r="AC195" s="7"/>
      <c r="AD195" s="699"/>
      <c r="AE195" s="7"/>
      <c r="AF195" s="618">
        <f t="shared" si="16"/>
        <v>0</v>
      </c>
      <c r="AG195" s="7"/>
      <c r="AH195" s="7"/>
      <c r="AI195" s="7"/>
      <c r="AJ195" s="7"/>
      <c r="AK195" s="7"/>
      <c r="AL195" s="7"/>
    </row>
    <row r="196" spans="1:38" ht="20.25" customHeight="1">
      <c r="A196" s="503"/>
      <c r="B196" s="483" t="s">
        <v>439</v>
      </c>
      <c r="C196" s="658" t="s">
        <v>427</v>
      </c>
      <c r="D196" s="504" t="s">
        <v>132</v>
      </c>
      <c r="E196" s="214"/>
      <c r="F196" s="214"/>
      <c r="G196" s="215"/>
      <c r="H196" s="215"/>
      <c r="I196" s="215"/>
      <c r="J196" s="214"/>
      <c r="K196" s="214"/>
      <c r="L196" s="647"/>
      <c r="M196" s="213"/>
      <c r="N196" s="213"/>
      <c r="O196" s="215"/>
      <c r="P196" s="213"/>
      <c r="Q196" s="213">
        <v>0</v>
      </c>
      <c r="R196" s="213"/>
      <c r="S196" s="213"/>
      <c r="T196" s="213"/>
      <c r="U196" s="213"/>
      <c r="V196" s="213"/>
      <c r="W196" s="213"/>
      <c r="X196" s="643"/>
      <c r="Y196" s="616">
        <f t="shared" si="1"/>
        <v>0</v>
      </c>
      <c r="Z196" s="633"/>
      <c r="AA196" s="636"/>
      <c r="AB196" s="636"/>
      <c r="AC196" s="7"/>
      <c r="AD196" s="699"/>
      <c r="AE196" s="7"/>
      <c r="AF196" s="618">
        <f t="shared" si="16"/>
        <v>0</v>
      </c>
      <c r="AG196" s="7"/>
      <c r="AH196" s="7"/>
      <c r="AI196" s="7"/>
      <c r="AJ196" s="7"/>
      <c r="AK196" s="7"/>
      <c r="AL196" s="7"/>
    </row>
    <row r="197" spans="1:38" ht="20.25" customHeight="1">
      <c r="A197" s="503"/>
      <c r="B197" s="483" t="s">
        <v>440</v>
      </c>
      <c r="C197" s="658" t="s">
        <v>429</v>
      </c>
      <c r="D197" s="504" t="s">
        <v>1792</v>
      </c>
      <c r="E197" s="214"/>
      <c r="F197" s="214"/>
      <c r="G197" s="215"/>
      <c r="H197" s="215"/>
      <c r="I197" s="215"/>
      <c r="J197" s="214"/>
      <c r="K197" s="214"/>
      <c r="L197" s="647"/>
      <c r="M197" s="213"/>
      <c r="N197" s="213"/>
      <c r="O197" s="215"/>
      <c r="P197" s="213"/>
      <c r="Q197" s="213">
        <v>0</v>
      </c>
      <c r="R197" s="213"/>
      <c r="S197" s="213"/>
      <c r="T197" s="213"/>
      <c r="U197" s="213"/>
      <c r="V197" s="213"/>
      <c r="W197" s="213"/>
      <c r="X197" s="643"/>
      <c r="Y197" s="616">
        <f t="shared" si="1"/>
        <v>0</v>
      </c>
      <c r="Z197" s="633"/>
      <c r="AA197" s="648"/>
      <c r="AB197" s="648"/>
      <c r="AC197" s="7"/>
      <c r="AD197" s="699"/>
      <c r="AE197" s="7"/>
      <c r="AF197" s="618">
        <f t="shared" si="16"/>
        <v>0</v>
      </c>
      <c r="AG197" s="7"/>
      <c r="AH197" s="7"/>
      <c r="AI197" s="7"/>
      <c r="AJ197" s="7"/>
      <c r="AK197" s="7"/>
      <c r="AL197" s="7"/>
    </row>
    <row r="198" spans="1:38" ht="20.25" customHeight="1">
      <c r="A198" s="503"/>
      <c r="B198" s="483" t="s">
        <v>439</v>
      </c>
      <c r="C198" s="658" t="s">
        <v>431</v>
      </c>
      <c r="D198" s="504" t="s">
        <v>1793</v>
      </c>
      <c r="E198" s="214"/>
      <c r="F198" s="214"/>
      <c r="G198" s="215"/>
      <c r="H198" s="215"/>
      <c r="I198" s="215"/>
      <c r="J198" s="214"/>
      <c r="K198" s="214"/>
      <c r="L198" s="647"/>
      <c r="M198" s="213"/>
      <c r="N198" s="213"/>
      <c r="O198" s="215"/>
      <c r="P198" s="213"/>
      <c r="Q198" s="213">
        <v>0</v>
      </c>
      <c r="R198" s="213"/>
      <c r="S198" s="213"/>
      <c r="T198" s="213"/>
      <c r="U198" s="213"/>
      <c r="V198" s="213"/>
      <c r="W198" s="213"/>
      <c r="X198" s="643"/>
      <c r="Y198" s="616">
        <f t="shared" si="1"/>
        <v>0</v>
      </c>
      <c r="Z198" s="633"/>
      <c r="AA198" s="648"/>
      <c r="AB198" s="648"/>
      <c r="AC198" s="7"/>
      <c r="AD198" s="699"/>
      <c r="AE198" s="7"/>
      <c r="AF198" s="618">
        <f t="shared" si="16"/>
        <v>0</v>
      </c>
      <c r="AG198" s="7"/>
      <c r="AH198" s="7"/>
      <c r="AI198" s="7"/>
      <c r="AJ198" s="7"/>
      <c r="AK198" s="7"/>
      <c r="AL198" s="7"/>
    </row>
    <row r="199" spans="1:38" ht="20.25" customHeight="1">
      <c r="A199" s="503"/>
      <c r="B199" s="483" t="s">
        <v>440</v>
      </c>
      <c r="C199" s="658" t="s">
        <v>433</v>
      </c>
      <c r="D199" s="504" t="s">
        <v>1794</v>
      </c>
      <c r="E199" s="214"/>
      <c r="F199" s="214"/>
      <c r="G199" s="215"/>
      <c r="H199" s="215"/>
      <c r="I199" s="215"/>
      <c r="J199" s="214"/>
      <c r="K199" s="214"/>
      <c r="L199" s="647"/>
      <c r="M199" s="213"/>
      <c r="N199" s="213"/>
      <c r="O199" s="215"/>
      <c r="P199" s="213"/>
      <c r="Q199" s="213">
        <v>0</v>
      </c>
      <c r="R199" s="213"/>
      <c r="S199" s="213"/>
      <c r="T199" s="213"/>
      <c r="U199" s="213"/>
      <c r="V199" s="213"/>
      <c r="W199" s="213"/>
      <c r="X199" s="643"/>
      <c r="Y199" s="616">
        <f t="shared" si="1"/>
        <v>0</v>
      </c>
      <c r="Z199" s="633"/>
      <c r="AA199" s="648"/>
      <c r="AB199" s="648"/>
      <c r="AC199" s="7"/>
      <c r="AD199" s="699"/>
      <c r="AE199" s="7"/>
      <c r="AF199" s="618">
        <f t="shared" si="16"/>
        <v>0</v>
      </c>
      <c r="AG199" s="7"/>
      <c r="AH199" s="7"/>
      <c r="AI199" s="7"/>
      <c r="AJ199" s="7"/>
      <c r="AK199" s="7"/>
      <c r="AL199" s="7"/>
    </row>
    <row r="200" spans="1:38" ht="20.25" customHeight="1">
      <c r="A200" s="486"/>
      <c r="B200" s="487" t="s">
        <v>444</v>
      </c>
      <c r="C200" s="656" t="s">
        <v>445</v>
      </c>
      <c r="D200" s="412"/>
      <c r="E200" s="214"/>
      <c r="F200" s="214"/>
      <c r="G200" s="215"/>
      <c r="H200" s="215"/>
      <c r="I200" s="215"/>
      <c r="J200" s="214"/>
      <c r="K200" s="214"/>
      <c r="L200" s="620"/>
      <c r="M200" s="213"/>
      <c r="N200" s="213"/>
      <c r="O200" s="215"/>
      <c r="P200" s="213"/>
      <c r="Q200" s="213">
        <v>0</v>
      </c>
      <c r="R200" s="213"/>
      <c r="S200" s="213"/>
      <c r="T200" s="213"/>
      <c r="U200" s="213"/>
      <c r="V200" s="213"/>
      <c r="W200" s="213"/>
      <c r="X200" s="643"/>
      <c r="Y200" s="616">
        <f t="shared" si="1"/>
        <v>0</v>
      </c>
      <c r="Z200" s="633"/>
      <c r="AA200" s="636"/>
      <c r="AB200" s="636"/>
      <c r="AC200" s="7"/>
      <c r="AD200" s="699"/>
      <c r="AE200" s="7"/>
      <c r="AF200" s="618">
        <f t="shared" si="16"/>
        <v>0</v>
      </c>
      <c r="AG200" s="7"/>
      <c r="AH200" s="7"/>
      <c r="AI200" s="7"/>
      <c r="AJ200" s="7"/>
      <c r="AK200" s="7"/>
      <c r="AL200" s="7"/>
    </row>
    <row r="201" spans="1:38" ht="20.25" customHeight="1">
      <c r="A201" s="503"/>
      <c r="B201" s="483" t="s">
        <v>446</v>
      </c>
      <c r="C201" s="658" t="s">
        <v>447</v>
      </c>
      <c r="D201" s="504" t="s">
        <v>424</v>
      </c>
      <c r="E201" s="214"/>
      <c r="F201" s="214"/>
      <c r="G201" s="215"/>
      <c r="H201" s="215"/>
      <c r="I201" s="215"/>
      <c r="J201" s="214"/>
      <c r="K201" s="214"/>
      <c r="L201" s="647"/>
      <c r="M201" s="213"/>
      <c r="N201" s="213"/>
      <c r="O201" s="215">
        <f>36.4+9.5+17</f>
        <v>62.9</v>
      </c>
      <c r="P201" s="213"/>
      <c r="Q201" s="213"/>
      <c r="R201" s="213"/>
      <c r="S201" s="213"/>
      <c r="T201" s="213"/>
      <c r="U201" s="213"/>
      <c r="V201" s="213"/>
      <c r="W201" s="213"/>
      <c r="X201" s="643"/>
      <c r="Y201" s="616">
        <f t="shared" si="1"/>
        <v>62.9</v>
      </c>
      <c r="Z201" s="633"/>
      <c r="AA201" s="648"/>
      <c r="AB201" s="648"/>
      <c r="AC201" s="7"/>
      <c r="AD201" s="699"/>
      <c r="AE201" s="7"/>
      <c r="AF201" s="618"/>
      <c r="AG201" s="7"/>
      <c r="AH201" s="7"/>
      <c r="AI201" s="7"/>
      <c r="AJ201" s="7"/>
      <c r="AK201" s="7"/>
      <c r="AL201" s="7"/>
    </row>
    <row r="202" spans="1:38" ht="20.25" customHeight="1">
      <c r="A202" s="503"/>
      <c r="B202" s="483" t="s">
        <v>449</v>
      </c>
      <c r="C202" s="658" t="s">
        <v>450</v>
      </c>
      <c r="D202" s="504" t="s">
        <v>1795</v>
      </c>
      <c r="E202" s="214"/>
      <c r="F202" s="214"/>
      <c r="G202" s="215"/>
      <c r="H202" s="215"/>
      <c r="I202" s="215"/>
      <c r="J202" s="214"/>
      <c r="K202" s="214"/>
      <c r="L202" s="647"/>
      <c r="M202" s="213"/>
      <c r="N202" s="213"/>
      <c r="O202" s="215"/>
      <c r="P202" s="213"/>
      <c r="Q202" s="213">
        <v>0</v>
      </c>
      <c r="R202" s="213"/>
      <c r="S202" s="213"/>
      <c r="T202" s="213"/>
      <c r="U202" s="213"/>
      <c r="V202" s="213"/>
      <c r="W202" s="213"/>
      <c r="X202" s="643"/>
      <c r="Y202" s="616">
        <f t="shared" si="1"/>
        <v>0</v>
      </c>
      <c r="Z202" s="633"/>
      <c r="AA202" s="648"/>
      <c r="AB202" s="648"/>
      <c r="AC202" s="7"/>
      <c r="AD202" s="699"/>
      <c r="AE202" s="7"/>
      <c r="AF202" s="618">
        <f>AD202-Y202</f>
        <v>0</v>
      </c>
      <c r="AG202" s="7"/>
      <c r="AH202" s="7"/>
      <c r="AI202" s="7"/>
      <c r="AJ202" s="7"/>
      <c r="AK202" s="7"/>
      <c r="AL202" s="7"/>
    </row>
    <row r="203" spans="1:38" ht="20.25" customHeight="1">
      <c r="A203" s="503"/>
      <c r="B203" s="483" t="s">
        <v>449</v>
      </c>
      <c r="C203" s="658" t="s">
        <v>431</v>
      </c>
      <c r="D203" s="504" t="s">
        <v>1796</v>
      </c>
      <c r="E203" s="214"/>
      <c r="F203" s="214"/>
      <c r="G203" s="215"/>
      <c r="H203" s="215"/>
      <c r="I203" s="215"/>
      <c r="J203" s="214"/>
      <c r="K203" s="214"/>
      <c r="L203" s="647"/>
      <c r="M203" s="213"/>
      <c r="N203" s="213"/>
      <c r="O203" s="215">
        <v>45</v>
      </c>
      <c r="P203" s="213"/>
      <c r="Q203" s="213"/>
      <c r="R203" s="213"/>
      <c r="S203" s="213"/>
      <c r="T203" s="213"/>
      <c r="U203" s="213"/>
      <c r="V203" s="213"/>
      <c r="W203" s="213"/>
      <c r="X203" s="643"/>
      <c r="Y203" s="616">
        <f t="shared" si="1"/>
        <v>45</v>
      </c>
      <c r="Z203" s="633"/>
      <c r="AA203" s="648"/>
      <c r="AB203" s="648"/>
      <c r="AC203" s="7"/>
      <c r="AD203" s="699"/>
      <c r="AE203" s="7"/>
      <c r="AF203" s="618"/>
      <c r="AG203" s="7"/>
      <c r="AH203" s="7"/>
      <c r="AI203" s="7"/>
      <c r="AJ203" s="7"/>
      <c r="AK203" s="7"/>
      <c r="AL203" s="7"/>
    </row>
    <row r="204" spans="1:38" ht="20.25" customHeight="1">
      <c r="A204" s="503"/>
      <c r="B204" s="483" t="s">
        <v>453</v>
      </c>
      <c r="C204" s="658" t="s">
        <v>433</v>
      </c>
      <c r="D204" s="504" t="s">
        <v>1797</v>
      </c>
      <c r="E204" s="214"/>
      <c r="F204" s="214"/>
      <c r="G204" s="215"/>
      <c r="H204" s="215"/>
      <c r="I204" s="215"/>
      <c r="J204" s="214"/>
      <c r="K204" s="214"/>
      <c r="L204" s="647"/>
      <c r="M204" s="213"/>
      <c r="N204" s="213"/>
      <c r="O204" s="215"/>
      <c r="P204" s="213"/>
      <c r="Q204" s="213">
        <v>0</v>
      </c>
      <c r="R204" s="213"/>
      <c r="S204" s="213"/>
      <c r="T204" s="213"/>
      <c r="U204" s="213"/>
      <c r="V204" s="213"/>
      <c r="W204" s="213"/>
      <c r="X204" s="643"/>
      <c r="Y204" s="616">
        <f t="shared" si="1"/>
        <v>0</v>
      </c>
      <c r="Z204" s="633"/>
      <c r="AA204" s="636"/>
      <c r="AB204" s="636"/>
      <c r="AC204" s="7"/>
      <c r="AD204" s="699"/>
      <c r="AE204" s="7"/>
      <c r="AF204" s="618">
        <f t="shared" ref="AF204:AF205" si="17">AD204-Y204</f>
        <v>0</v>
      </c>
      <c r="AG204" s="7"/>
      <c r="AH204" s="7"/>
      <c r="AI204" s="7"/>
      <c r="AJ204" s="7"/>
      <c r="AK204" s="7"/>
      <c r="AL204" s="7"/>
    </row>
    <row r="205" spans="1:38" ht="21" customHeight="1">
      <c r="A205" s="486"/>
      <c r="B205" s="487" t="s">
        <v>455</v>
      </c>
      <c r="C205" s="656" t="s">
        <v>456</v>
      </c>
      <c r="D205" s="512"/>
      <c r="E205" s="214"/>
      <c r="F205" s="214"/>
      <c r="G205" s="215"/>
      <c r="H205" s="215"/>
      <c r="I205" s="215"/>
      <c r="J205" s="214"/>
      <c r="K205" s="214"/>
      <c r="L205" s="647"/>
      <c r="M205" s="213"/>
      <c r="N205" s="213"/>
      <c r="O205" s="215"/>
      <c r="P205" s="213"/>
      <c r="Q205" s="213">
        <v>0</v>
      </c>
      <c r="R205" s="213"/>
      <c r="S205" s="213"/>
      <c r="T205" s="213"/>
      <c r="U205" s="213"/>
      <c r="V205" s="213"/>
      <c r="W205" s="213"/>
      <c r="X205" s="643"/>
      <c r="Y205" s="616">
        <f t="shared" si="1"/>
        <v>0</v>
      </c>
      <c r="Z205" s="633"/>
      <c r="AA205" s="636"/>
      <c r="AB205" s="636"/>
      <c r="AC205" s="7"/>
      <c r="AD205" s="699"/>
      <c r="AE205" s="7"/>
      <c r="AF205" s="618">
        <f t="shared" si="17"/>
        <v>0</v>
      </c>
      <c r="AG205" s="7"/>
      <c r="AH205" s="7"/>
      <c r="AI205" s="7"/>
      <c r="AJ205" s="7"/>
      <c r="AK205" s="7"/>
      <c r="AL205" s="7"/>
    </row>
    <row r="206" spans="1:38" ht="20.25" customHeight="1">
      <c r="A206" s="503"/>
      <c r="B206" s="483" t="s">
        <v>458</v>
      </c>
      <c r="C206" s="658" t="s">
        <v>459</v>
      </c>
      <c r="D206" s="504" t="s">
        <v>424</v>
      </c>
      <c r="E206" s="214">
        <v>35</v>
      </c>
      <c r="F206" s="214"/>
      <c r="G206" s="215">
        <v>90</v>
      </c>
      <c r="H206" s="215">
        <f>15+10+14+6+12</f>
        <v>57</v>
      </c>
      <c r="I206" s="215"/>
      <c r="J206" s="214"/>
      <c r="K206" s="214">
        <f>15+20+20+5+200+12+80+20+5</f>
        <v>377</v>
      </c>
      <c r="L206" s="647"/>
      <c r="M206" s="213"/>
      <c r="N206" s="213"/>
      <c r="O206" s="215"/>
      <c r="P206" s="213"/>
      <c r="Q206" s="213"/>
      <c r="R206" s="213"/>
      <c r="S206" s="213"/>
      <c r="T206" s="213"/>
      <c r="U206" s="213"/>
      <c r="V206" s="213"/>
      <c r="W206" s="213"/>
      <c r="X206" s="643"/>
      <c r="Y206" s="616">
        <f t="shared" si="1"/>
        <v>559</v>
      </c>
      <c r="Z206" s="633"/>
      <c r="AA206" s="648"/>
      <c r="AB206" s="648"/>
      <c r="AC206" s="7"/>
      <c r="AD206" s="702"/>
      <c r="AE206" s="7"/>
      <c r="AF206" s="618"/>
      <c r="AG206" s="7"/>
      <c r="AH206" s="7"/>
      <c r="AI206" s="7"/>
      <c r="AJ206" s="7"/>
      <c r="AK206" s="7"/>
      <c r="AL206" s="7"/>
    </row>
    <row r="207" spans="1:38" ht="20.25" customHeight="1">
      <c r="A207" s="503"/>
      <c r="B207" s="483" t="s">
        <v>461</v>
      </c>
      <c r="C207" s="658" t="s">
        <v>431</v>
      </c>
      <c r="D207" s="504" t="s">
        <v>1798</v>
      </c>
      <c r="E207" s="214"/>
      <c r="F207" s="214"/>
      <c r="G207" s="215">
        <v>1150</v>
      </c>
      <c r="H207" s="215">
        <v>20</v>
      </c>
      <c r="I207" s="215"/>
      <c r="J207" s="214"/>
      <c r="K207" s="214">
        <f>15+300+15</f>
        <v>330</v>
      </c>
      <c r="L207" s="647"/>
      <c r="M207" s="213"/>
      <c r="N207" s="213"/>
      <c r="O207" s="215"/>
      <c r="P207" s="213"/>
      <c r="Q207" s="213"/>
      <c r="R207" s="213"/>
      <c r="S207" s="213"/>
      <c r="T207" s="213"/>
      <c r="U207" s="213"/>
      <c r="V207" s="213"/>
      <c r="W207" s="213"/>
      <c r="X207" s="643"/>
      <c r="Y207" s="616">
        <f t="shared" si="1"/>
        <v>1500</v>
      </c>
      <c r="Z207" s="633"/>
      <c r="AA207" s="648"/>
      <c r="AB207" s="648"/>
      <c r="AC207" s="7"/>
      <c r="AD207" s="702"/>
      <c r="AE207" s="7"/>
      <c r="AF207" s="618"/>
      <c r="AG207" s="7"/>
      <c r="AH207" s="7"/>
      <c r="AI207" s="7"/>
      <c r="AJ207" s="7"/>
      <c r="AK207" s="7"/>
      <c r="AL207" s="7"/>
    </row>
    <row r="208" spans="1:38" ht="20.25" customHeight="1">
      <c r="A208" s="503"/>
      <c r="B208" s="483" t="s">
        <v>464</v>
      </c>
      <c r="C208" s="658" t="s">
        <v>433</v>
      </c>
      <c r="D208" s="504" t="s">
        <v>1799</v>
      </c>
      <c r="E208" s="214"/>
      <c r="F208" s="214"/>
      <c r="G208" s="215"/>
      <c r="H208" s="215"/>
      <c r="I208" s="215"/>
      <c r="J208" s="214"/>
      <c r="K208" s="214"/>
      <c r="L208" s="647"/>
      <c r="M208" s="213"/>
      <c r="N208" s="213"/>
      <c r="O208" s="215"/>
      <c r="P208" s="213"/>
      <c r="Q208" s="213">
        <v>0</v>
      </c>
      <c r="R208" s="213"/>
      <c r="S208" s="213"/>
      <c r="T208" s="213"/>
      <c r="U208" s="213"/>
      <c r="V208" s="213"/>
      <c r="W208" s="213"/>
      <c r="X208" s="643"/>
      <c r="Y208" s="616">
        <f t="shared" si="1"/>
        <v>0</v>
      </c>
      <c r="Z208" s="633"/>
      <c r="AA208" s="636"/>
      <c r="AB208" s="636"/>
      <c r="AC208" s="7"/>
      <c r="AD208" s="702"/>
      <c r="AE208" s="7"/>
      <c r="AF208" s="618">
        <f t="shared" ref="AF208:AF213" si="18">AD208-Y208</f>
        <v>0</v>
      </c>
      <c r="AG208" s="7"/>
      <c r="AH208" s="7"/>
      <c r="AI208" s="7"/>
      <c r="AJ208" s="7"/>
      <c r="AK208" s="7"/>
      <c r="AL208" s="7"/>
    </row>
    <row r="209" spans="1:38" ht="20.25" customHeight="1">
      <c r="A209" s="486"/>
      <c r="B209" s="487" t="s">
        <v>455</v>
      </c>
      <c r="C209" s="635" t="s">
        <v>467</v>
      </c>
      <c r="D209" s="412"/>
      <c r="E209" s="214"/>
      <c r="F209" s="214"/>
      <c r="G209" s="215"/>
      <c r="H209" s="215"/>
      <c r="I209" s="215"/>
      <c r="J209" s="214"/>
      <c r="K209" s="214"/>
      <c r="L209" s="620"/>
      <c r="M209" s="213"/>
      <c r="N209" s="213"/>
      <c r="O209" s="215"/>
      <c r="P209" s="213"/>
      <c r="Q209" s="213">
        <v>0</v>
      </c>
      <c r="R209" s="213"/>
      <c r="S209" s="213"/>
      <c r="T209" s="213"/>
      <c r="U209" s="213"/>
      <c r="V209" s="213"/>
      <c r="W209" s="213"/>
      <c r="X209" s="643"/>
      <c r="Y209" s="616">
        <f t="shared" si="1"/>
        <v>0</v>
      </c>
      <c r="Z209" s="633"/>
      <c r="AA209" s="648"/>
      <c r="AB209" s="648"/>
      <c r="AC209" s="7"/>
      <c r="AD209" s="699"/>
      <c r="AE209" s="7"/>
      <c r="AF209" s="618">
        <f t="shared" si="18"/>
        <v>0</v>
      </c>
      <c r="AG209" s="7"/>
      <c r="AH209" s="7"/>
      <c r="AI209" s="7"/>
      <c r="AJ209" s="7"/>
      <c r="AK209" s="7"/>
      <c r="AL209" s="7"/>
    </row>
    <row r="210" spans="1:38" ht="20.25" customHeight="1">
      <c r="A210" s="503"/>
      <c r="B210" s="483" t="s">
        <v>458</v>
      </c>
      <c r="C210" s="658" t="s">
        <v>469</v>
      </c>
      <c r="D210" s="504" t="s">
        <v>132</v>
      </c>
      <c r="E210" s="214"/>
      <c r="F210" s="214"/>
      <c r="G210" s="215"/>
      <c r="H210" s="215"/>
      <c r="I210" s="215"/>
      <c r="J210" s="214"/>
      <c r="K210" s="214"/>
      <c r="L210" s="647"/>
      <c r="M210" s="213"/>
      <c r="N210" s="213"/>
      <c r="O210" s="215"/>
      <c r="P210" s="213"/>
      <c r="Q210" s="213">
        <v>0</v>
      </c>
      <c r="R210" s="213"/>
      <c r="S210" s="213"/>
      <c r="T210" s="213"/>
      <c r="U210" s="213"/>
      <c r="V210" s="213"/>
      <c r="W210" s="213"/>
      <c r="X210" s="643"/>
      <c r="Y210" s="616">
        <f t="shared" si="1"/>
        <v>0</v>
      </c>
      <c r="Z210" s="633"/>
      <c r="AA210" s="648"/>
      <c r="AB210" s="648"/>
      <c r="AC210" s="7"/>
      <c r="AD210" s="699"/>
      <c r="AE210" s="7"/>
      <c r="AF210" s="618">
        <f t="shared" si="18"/>
        <v>0</v>
      </c>
      <c r="AG210" s="7"/>
      <c r="AH210" s="7"/>
      <c r="AI210" s="7"/>
      <c r="AJ210" s="7"/>
      <c r="AK210" s="7"/>
      <c r="AL210" s="7"/>
    </row>
    <row r="211" spans="1:38" ht="20.25" customHeight="1">
      <c r="A211" s="503"/>
      <c r="B211" s="483" t="s">
        <v>461</v>
      </c>
      <c r="C211" s="658" t="s">
        <v>471</v>
      </c>
      <c r="D211" s="504" t="s">
        <v>132</v>
      </c>
      <c r="E211" s="214"/>
      <c r="F211" s="214"/>
      <c r="G211" s="215"/>
      <c r="H211" s="215"/>
      <c r="I211" s="215"/>
      <c r="J211" s="214"/>
      <c r="K211" s="214"/>
      <c r="L211" s="647"/>
      <c r="M211" s="213"/>
      <c r="N211" s="213"/>
      <c r="O211" s="215"/>
      <c r="P211" s="213"/>
      <c r="Q211" s="213">
        <v>0</v>
      </c>
      <c r="R211" s="213"/>
      <c r="S211" s="213"/>
      <c r="T211" s="213"/>
      <c r="U211" s="213"/>
      <c r="V211" s="213"/>
      <c r="W211" s="213"/>
      <c r="X211" s="643"/>
      <c r="Y211" s="616">
        <f t="shared" si="1"/>
        <v>0</v>
      </c>
      <c r="Z211" s="633"/>
      <c r="AA211" s="636"/>
      <c r="AB211" s="636"/>
      <c r="AC211" s="7"/>
      <c r="AD211" s="699"/>
      <c r="AE211" s="7"/>
      <c r="AF211" s="618">
        <f t="shared" si="18"/>
        <v>0</v>
      </c>
      <c r="AG211" s="7"/>
      <c r="AH211" s="7"/>
      <c r="AI211" s="7"/>
      <c r="AJ211" s="7"/>
      <c r="AK211" s="7"/>
      <c r="AL211" s="7"/>
    </row>
    <row r="212" spans="1:38" ht="20.25" customHeight="1">
      <c r="A212" s="503"/>
      <c r="B212" s="483" t="s">
        <v>464</v>
      </c>
      <c r="C212" s="658" t="s">
        <v>473</v>
      </c>
      <c r="D212" s="504" t="s">
        <v>132</v>
      </c>
      <c r="E212" s="214"/>
      <c r="F212" s="214"/>
      <c r="G212" s="215"/>
      <c r="H212" s="215"/>
      <c r="I212" s="215"/>
      <c r="J212" s="214"/>
      <c r="K212" s="214"/>
      <c r="L212" s="647"/>
      <c r="M212" s="213"/>
      <c r="N212" s="213"/>
      <c r="O212" s="215"/>
      <c r="P212" s="213"/>
      <c r="Q212" s="213">
        <v>0</v>
      </c>
      <c r="R212" s="213"/>
      <c r="S212" s="213"/>
      <c r="T212" s="213"/>
      <c r="U212" s="213"/>
      <c r="V212" s="213"/>
      <c r="W212" s="213"/>
      <c r="X212" s="643"/>
      <c r="Y212" s="616">
        <f t="shared" si="1"/>
        <v>0</v>
      </c>
      <c r="Z212" s="633"/>
      <c r="AA212" s="636"/>
      <c r="AB212" s="636"/>
      <c r="AC212" s="7"/>
      <c r="AD212" s="699"/>
      <c r="AE212" s="7"/>
      <c r="AF212" s="618">
        <f t="shared" si="18"/>
        <v>0</v>
      </c>
      <c r="AG212" s="7"/>
      <c r="AH212" s="7"/>
      <c r="AI212" s="7"/>
      <c r="AJ212" s="7"/>
      <c r="AK212" s="7"/>
      <c r="AL212" s="7"/>
    </row>
    <row r="213" spans="1:38" ht="20.25" customHeight="1">
      <c r="A213" s="486"/>
      <c r="B213" s="487" t="s">
        <v>475</v>
      </c>
      <c r="C213" s="635" t="s">
        <v>476</v>
      </c>
      <c r="D213" s="412"/>
      <c r="E213" s="214"/>
      <c r="F213" s="214"/>
      <c r="G213" s="215"/>
      <c r="H213" s="215"/>
      <c r="I213" s="215"/>
      <c r="J213" s="214"/>
      <c r="K213" s="214"/>
      <c r="L213" s="620"/>
      <c r="M213" s="213"/>
      <c r="N213" s="213"/>
      <c r="O213" s="215"/>
      <c r="P213" s="213"/>
      <c r="Q213" s="213">
        <v>0</v>
      </c>
      <c r="R213" s="213"/>
      <c r="S213" s="213"/>
      <c r="T213" s="213"/>
      <c r="U213" s="213"/>
      <c r="V213" s="213"/>
      <c r="W213" s="213"/>
      <c r="X213" s="643"/>
      <c r="Y213" s="616">
        <f t="shared" si="1"/>
        <v>0</v>
      </c>
      <c r="Z213" s="633"/>
      <c r="AA213" s="636"/>
      <c r="AB213" s="636"/>
      <c r="AC213" s="7"/>
      <c r="AD213" s="703"/>
      <c r="AE213" s="7"/>
      <c r="AF213" s="618">
        <f t="shared" si="18"/>
        <v>0</v>
      </c>
      <c r="AG213" s="7"/>
      <c r="AH213" s="7"/>
      <c r="AI213" s="7"/>
      <c r="AJ213" s="7"/>
      <c r="AK213" s="7"/>
      <c r="AL213" s="7"/>
    </row>
    <row r="214" spans="1:38" ht="20.25" customHeight="1">
      <c r="A214" s="503"/>
      <c r="B214" s="483" t="s">
        <v>478</v>
      </c>
      <c r="C214" s="658" t="s">
        <v>479</v>
      </c>
      <c r="D214" s="504" t="s">
        <v>132</v>
      </c>
      <c r="E214" s="214">
        <v>1</v>
      </c>
      <c r="F214" s="214">
        <v>1</v>
      </c>
      <c r="G214" s="215"/>
      <c r="H214" s="215"/>
      <c r="I214" s="215"/>
      <c r="J214" s="214"/>
      <c r="K214" s="214"/>
      <c r="L214" s="647"/>
      <c r="M214" s="213"/>
      <c r="N214" s="213"/>
      <c r="O214" s="215">
        <v>1</v>
      </c>
      <c r="P214" s="213"/>
      <c r="Q214" s="213"/>
      <c r="R214" s="213"/>
      <c r="S214" s="213"/>
      <c r="T214" s="213"/>
      <c r="U214" s="213"/>
      <c r="V214" s="213"/>
      <c r="W214" s="213"/>
      <c r="X214" s="643"/>
      <c r="Y214" s="616">
        <f t="shared" si="1"/>
        <v>3</v>
      </c>
      <c r="Z214" s="633"/>
      <c r="AA214" s="636"/>
      <c r="AB214" s="636"/>
      <c r="AC214" s="7"/>
      <c r="AD214" s="699"/>
      <c r="AE214" s="7"/>
      <c r="AF214" s="618"/>
      <c r="AG214" s="7"/>
      <c r="AH214" s="7"/>
      <c r="AI214" s="7"/>
      <c r="AJ214" s="7"/>
      <c r="AK214" s="7"/>
      <c r="AL214" s="7"/>
    </row>
    <row r="215" spans="1:38" ht="20.25" customHeight="1">
      <c r="A215" s="503"/>
      <c r="B215" s="483" t="s">
        <v>481</v>
      </c>
      <c r="C215" s="658" t="s">
        <v>482</v>
      </c>
      <c r="D215" s="504" t="s">
        <v>132</v>
      </c>
      <c r="E215" s="214"/>
      <c r="F215" s="214"/>
      <c r="G215" s="215"/>
      <c r="H215" s="215"/>
      <c r="I215" s="215"/>
      <c r="J215" s="214"/>
      <c r="K215" s="214"/>
      <c r="L215" s="647"/>
      <c r="M215" s="213"/>
      <c r="N215" s="213"/>
      <c r="O215" s="215"/>
      <c r="P215" s="213"/>
      <c r="Q215" s="213">
        <v>0</v>
      </c>
      <c r="R215" s="213"/>
      <c r="S215" s="213"/>
      <c r="T215" s="213"/>
      <c r="U215" s="213"/>
      <c r="V215" s="213"/>
      <c r="W215" s="213"/>
      <c r="X215" s="643"/>
      <c r="Y215" s="616">
        <f t="shared" si="1"/>
        <v>0</v>
      </c>
      <c r="Z215" s="633"/>
      <c r="AA215" s="636"/>
      <c r="AB215" s="636"/>
      <c r="AC215" s="7"/>
      <c r="AD215" s="699"/>
      <c r="AE215" s="7"/>
      <c r="AF215" s="618">
        <f t="shared" ref="AF215:AF218" si="19">AD215-Y215</f>
        <v>0</v>
      </c>
      <c r="AG215" s="7"/>
      <c r="AH215" s="7"/>
      <c r="AI215" s="7"/>
      <c r="AJ215" s="7"/>
      <c r="AK215" s="7"/>
      <c r="AL215" s="7"/>
    </row>
    <row r="216" spans="1:38" ht="20.25" customHeight="1">
      <c r="A216" s="486"/>
      <c r="B216" s="487" t="s">
        <v>484</v>
      </c>
      <c r="C216" s="656" t="s">
        <v>485</v>
      </c>
      <c r="D216" s="512" t="s">
        <v>132</v>
      </c>
      <c r="E216" s="214"/>
      <c r="F216" s="214"/>
      <c r="G216" s="215"/>
      <c r="H216" s="215"/>
      <c r="I216" s="215"/>
      <c r="J216" s="214"/>
      <c r="K216" s="214"/>
      <c r="L216" s="647"/>
      <c r="M216" s="213"/>
      <c r="N216" s="213"/>
      <c r="O216" s="215"/>
      <c r="P216" s="213"/>
      <c r="Q216" s="213">
        <v>0</v>
      </c>
      <c r="R216" s="213"/>
      <c r="S216" s="213"/>
      <c r="T216" s="213"/>
      <c r="U216" s="213"/>
      <c r="V216" s="213"/>
      <c r="W216" s="213"/>
      <c r="X216" s="643"/>
      <c r="Y216" s="616">
        <f t="shared" si="1"/>
        <v>0</v>
      </c>
      <c r="Z216" s="633"/>
      <c r="AA216" s="636"/>
      <c r="AB216" s="636"/>
      <c r="AC216" s="7"/>
      <c r="AD216" s="699"/>
      <c r="AE216" s="7"/>
      <c r="AF216" s="618">
        <f t="shared" si="19"/>
        <v>0</v>
      </c>
      <c r="AG216" s="7"/>
      <c r="AH216" s="7"/>
      <c r="AI216" s="7"/>
      <c r="AJ216" s="7"/>
      <c r="AK216" s="7"/>
      <c r="AL216" s="7"/>
    </row>
    <row r="217" spans="1:38" ht="20.25" customHeight="1">
      <c r="A217" s="503"/>
      <c r="B217" s="483" t="s">
        <v>487</v>
      </c>
      <c r="C217" s="658" t="s">
        <v>488</v>
      </c>
      <c r="D217" s="504" t="s">
        <v>132</v>
      </c>
      <c r="E217" s="214"/>
      <c r="F217" s="214"/>
      <c r="G217" s="215"/>
      <c r="H217" s="215"/>
      <c r="I217" s="215"/>
      <c r="J217" s="214"/>
      <c r="K217" s="214"/>
      <c r="L217" s="647"/>
      <c r="M217" s="213"/>
      <c r="N217" s="213"/>
      <c r="O217" s="215"/>
      <c r="P217" s="213"/>
      <c r="Q217" s="213">
        <v>0</v>
      </c>
      <c r="R217" s="213"/>
      <c r="S217" s="213"/>
      <c r="T217" s="213"/>
      <c r="U217" s="213"/>
      <c r="V217" s="213"/>
      <c r="W217" s="213"/>
      <c r="X217" s="643"/>
      <c r="Y217" s="616">
        <f t="shared" si="1"/>
        <v>0</v>
      </c>
      <c r="Z217" s="633"/>
      <c r="AA217" s="636"/>
      <c r="AB217" s="636"/>
      <c r="AC217" s="7"/>
      <c r="AD217" s="699"/>
      <c r="AE217" s="7"/>
      <c r="AF217" s="618">
        <f t="shared" si="19"/>
        <v>0</v>
      </c>
      <c r="AG217" s="7"/>
      <c r="AH217" s="7"/>
      <c r="AI217" s="7"/>
      <c r="AJ217" s="7"/>
      <c r="AK217" s="7"/>
      <c r="AL217" s="7"/>
    </row>
    <row r="218" spans="1:38" ht="20.25" customHeight="1">
      <c r="A218" s="503"/>
      <c r="B218" s="483" t="s">
        <v>490</v>
      </c>
      <c r="C218" s="658" t="s">
        <v>491</v>
      </c>
      <c r="D218" s="504" t="s">
        <v>132</v>
      </c>
      <c r="E218" s="214"/>
      <c r="F218" s="214"/>
      <c r="G218" s="215"/>
      <c r="H218" s="215"/>
      <c r="I218" s="215"/>
      <c r="J218" s="214"/>
      <c r="K218" s="214"/>
      <c r="L218" s="647"/>
      <c r="M218" s="213"/>
      <c r="N218" s="213"/>
      <c r="O218" s="215"/>
      <c r="P218" s="213"/>
      <c r="Q218" s="213">
        <v>0</v>
      </c>
      <c r="R218" s="213"/>
      <c r="S218" s="213"/>
      <c r="T218" s="213"/>
      <c r="U218" s="213"/>
      <c r="V218" s="213"/>
      <c r="W218" s="213"/>
      <c r="X218" s="643"/>
      <c r="Y218" s="616">
        <f t="shared" si="1"/>
        <v>0</v>
      </c>
      <c r="Z218" s="633"/>
      <c r="AA218" s="636"/>
      <c r="AB218" s="636"/>
      <c r="AC218" s="7"/>
      <c r="AD218" s="699"/>
      <c r="AE218" s="7"/>
      <c r="AF218" s="618">
        <f t="shared" si="19"/>
        <v>0</v>
      </c>
      <c r="AG218" s="7"/>
      <c r="AH218" s="7"/>
      <c r="AI218" s="7"/>
      <c r="AJ218" s="7"/>
      <c r="AK218" s="7"/>
      <c r="AL218" s="7"/>
    </row>
    <row r="219" spans="1:38" ht="15.75" customHeight="1">
      <c r="A219" s="486"/>
      <c r="B219" s="487" t="s">
        <v>493</v>
      </c>
      <c r="C219" s="656" t="s">
        <v>494</v>
      </c>
      <c r="D219" s="512" t="s">
        <v>132</v>
      </c>
      <c r="E219" s="214"/>
      <c r="F219" s="214"/>
      <c r="G219" s="215">
        <v>25</v>
      </c>
      <c r="H219" s="215"/>
      <c r="I219" s="215"/>
      <c r="J219" s="214">
        <v>1</v>
      </c>
      <c r="K219" s="214">
        <v>10</v>
      </c>
      <c r="L219" s="647"/>
      <c r="M219" s="213"/>
      <c r="N219" s="213"/>
      <c r="O219" s="215">
        <v>11</v>
      </c>
      <c r="P219" s="213"/>
      <c r="Q219" s="213"/>
      <c r="R219" s="213"/>
      <c r="S219" s="213"/>
      <c r="T219" s="213"/>
      <c r="U219" s="213"/>
      <c r="V219" s="213"/>
      <c r="W219" s="213"/>
      <c r="X219" s="643"/>
      <c r="Y219" s="616">
        <f t="shared" si="1"/>
        <v>47</v>
      </c>
      <c r="Z219" s="633"/>
      <c r="AA219" s="636"/>
      <c r="AB219" s="636"/>
      <c r="AC219" s="7"/>
      <c r="AD219" s="699">
        <v>23</v>
      </c>
      <c r="AE219" s="7"/>
      <c r="AF219" s="618"/>
      <c r="AG219" s="7"/>
      <c r="AH219" s="7"/>
      <c r="AI219" s="7"/>
      <c r="AJ219" s="7"/>
      <c r="AK219" s="7"/>
      <c r="AL219" s="7"/>
    </row>
    <row r="220" spans="1:38" ht="20.25" customHeight="1">
      <c r="A220" s="486"/>
      <c r="B220" s="487" t="s">
        <v>496</v>
      </c>
      <c r="C220" s="635" t="s">
        <v>497</v>
      </c>
      <c r="D220" s="512"/>
      <c r="E220" s="214"/>
      <c r="F220" s="214"/>
      <c r="G220" s="215"/>
      <c r="H220" s="215"/>
      <c r="I220" s="215"/>
      <c r="J220" s="214"/>
      <c r="K220" s="214"/>
      <c r="L220" s="647"/>
      <c r="M220" s="213"/>
      <c r="N220" s="213"/>
      <c r="O220" s="215"/>
      <c r="P220" s="213"/>
      <c r="Q220" s="213">
        <v>0</v>
      </c>
      <c r="R220" s="213"/>
      <c r="S220" s="213"/>
      <c r="T220" s="213"/>
      <c r="U220" s="213"/>
      <c r="V220" s="213"/>
      <c r="W220" s="213"/>
      <c r="X220" s="643"/>
      <c r="Y220" s="616">
        <f t="shared" si="1"/>
        <v>0</v>
      </c>
      <c r="Z220" s="633"/>
      <c r="AA220" s="636"/>
      <c r="AB220" s="636"/>
      <c r="AC220" s="7"/>
      <c r="AD220" s="699"/>
      <c r="AE220" s="7"/>
      <c r="AF220" s="618">
        <f t="shared" ref="AF220:AF235" si="20">AD220-Y220</f>
        <v>0</v>
      </c>
      <c r="AG220" s="7"/>
      <c r="AH220" s="7"/>
      <c r="AI220" s="7"/>
      <c r="AJ220" s="7"/>
      <c r="AK220" s="7"/>
      <c r="AL220" s="7"/>
    </row>
    <row r="221" spans="1:38" ht="20.25" customHeight="1">
      <c r="A221" s="482"/>
      <c r="B221" s="483" t="s">
        <v>499</v>
      </c>
      <c r="C221" s="629" t="s">
        <v>500</v>
      </c>
      <c r="D221" s="485" t="s">
        <v>424</v>
      </c>
      <c r="E221" s="214"/>
      <c r="F221" s="214"/>
      <c r="G221" s="215"/>
      <c r="H221" s="215"/>
      <c r="I221" s="215"/>
      <c r="J221" s="214"/>
      <c r="K221" s="214"/>
      <c r="L221" s="620"/>
      <c r="M221" s="213"/>
      <c r="N221" s="213"/>
      <c r="O221" s="215"/>
      <c r="P221" s="213"/>
      <c r="Q221" s="213">
        <v>0</v>
      </c>
      <c r="R221" s="213"/>
      <c r="S221" s="213"/>
      <c r="T221" s="213"/>
      <c r="U221" s="213"/>
      <c r="V221" s="213"/>
      <c r="W221" s="213"/>
      <c r="X221" s="643"/>
      <c r="Y221" s="616">
        <f t="shared" si="1"/>
        <v>0</v>
      </c>
      <c r="Z221" s="633"/>
      <c r="AA221" s="634"/>
      <c r="AB221" s="634"/>
      <c r="AC221" s="7"/>
      <c r="AD221" s="699"/>
      <c r="AE221" s="7"/>
      <c r="AF221" s="618">
        <f t="shared" si="20"/>
        <v>0</v>
      </c>
      <c r="AG221" s="7"/>
      <c r="AH221" s="7"/>
      <c r="AI221" s="7"/>
      <c r="AJ221" s="7"/>
      <c r="AK221" s="7"/>
      <c r="AL221" s="7"/>
    </row>
    <row r="222" spans="1:38" ht="20.25" customHeight="1">
      <c r="A222" s="482" t="s">
        <v>1007</v>
      </c>
      <c r="B222" s="483" t="s">
        <v>502</v>
      </c>
      <c r="C222" s="629" t="s">
        <v>503</v>
      </c>
      <c r="D222" s="504" t="s">
        <v>1800</v>
      </c>
      <c r="E222" s="214"/>
      <c r="F222" s="214"/>
      <c r="G222" s="215"/>
      <c r="H222" s="215"/>
      <c r="I222" s="215"/>
      <c r="J222" s="214"/>
      <c r="K222" s="214"/>
      <c r="L222" s="647"/>
      <c r="M222" s="213"/>
      <c r="N222" s="213"/>
      <c r="O222" s="215"/>
      <c r="P222" s="213"/>
      <c r="Q222" s="213">
        <v>0</v>
      </c>
      <c r="R222" s="213"/>
      <c r="S222" s="213"/>
      <c r="T222" s="213"/>
      <c r="U222" s="213"/>
      <c r="V222" s="213"/>
      <c r="W222" s="213"/>
      <c r="X222" s="643"/>
      <c r="Y222" s="616">
        <f t="shared" si="1"/>
        <v>0</v>
      </c>
      <c r="Z222" s="633"/>
      <c r="AA222" s="634"/>
      <c r="AB222" s="634"/>
      <c r="AC222" s="7"/>
      <c r="AD222" s="699"/>
      <c r="AE222" s="7"/>
      <c r="AF222" s="618">
        <f t="shared" si="20"/>
        <v>0</v>
      </c>
      <c r="AG222" s="7"/>
      <c r="AH222" s="7"/>
      <c r="AI222" s="7"/>
      <c r="AJ222" s="7"/>
      <c r="AK222" s="7"/>
      <c r="AL222" s="7"/>
    </row>
    <row r="223" spans="1:38" ht="20.25" customHeight="1">
      <c r="A223" s="482"/>
      <c r="B223" s="483" t="s">
        <v>506</v>
      </c>
      <c r="C223" s="629" t="s">
        <v>507</v>
      </c>
      <c r="D223" s="485" t="s">
        <v>1801</v>
      </c>
      <c r="E223" s="214"/>
      <c r="F223" s="214"/>
      <c r="G223" s="215"/>
      <c r="H223" s="215"/>
      <c r="I223" s="215"/>
      <c r="J223" s="214"/>
      <c r="K223" s="214"/>
      <c r="L223" s="620"/>
      <c r="M223" s="213"/>
      <c r="N223" s="213"/>
      <c r="O223" s="215"/>
      <c r="P223" s="213"/>
      <c r="Q223" s="213">
        <v>0</v>
      </c>
      <c r="R223" s="213"/>
      <c r="S223" s="213"/>
      <c r="T223" s="213"/>
      <c r="U223" s="213"/>
      <c r="V223" s="213"/>
      <c r="W223" s="213"/>
      <c r="X223" s="643"/>
      <c r="Y223" s="616">
        <f t="shared" si="1"/>
        <v>0</v>
      </c>
      <c r="Z223" s="633"/>
      <c r="AA223" s="634"/>
      <c r="AB223" s="634"/>
      <c r="AC223" s="7"/>
      <c r="AD223" s="699"/>
      <c r="AE223" s="7"/>
      <c r="AF223" s="618">
        <f t="shared" si="20"/>
        <v>0</v>
      </c>
      <c r="AG223" s="7"/>
      <c r="AH223" s="7"/>
      <c r="AI223" s="7"/>
      <c r="AJ223" s="7"/>
      <c r="AK223" s="7"/>
      <c r="AL223" s="7"/>
    </row>
    <row r="224" spans="1:38" ht="20.25" customHeight="1">
      <c r="A224" s="486"/>
      <c r="B224" s="487" t="s">
        <v>509</v>
      </c>
      <c r="C224" s="635" t="s">
        <v>510</v>
      </c>
      <c r="D224" s="491" t="s">
        <v>183</v>
      </c>
      <c r="E224" s="214"/>
      <c r="F224" s="214"/>
      <c r="G224" s="215"/>
      <c r="H224" s="215"/>
      <c r="I224" s="215"/>
      <c r="J224" s="214"/>
      <c r="K224" s="214"/>
      <c r="L224" s="638"/>
      <c r="M224" s="213"/>
      <c r="N224" s="213"/>
      <c r="O224" s="215"/>
      <c r="P224" s="213"/>
      <c r="Q224" s="213">
        <v>0</v>
      </c>
      <c r="R224" s="213"/>
      <c r="S224" s="213"/>
      <c r="T224" s="213"/>
      <c r="U224" s="213"/>
      <c r="V224" s="213"/>
      <c r="W224" s="213"/>
      <c r="X224" s="643"/>
      <c r="Y224" s="616">
        <f t="shared" si="1"/>
        <v>0</v>
      </c>
      <c r="Z224" s="633"/>
      <c r="AA224" s="636"/>
      <c r="AB224" s="636"/>
      <c r="AC224" s="7"/>
      <c r="AD224" s="699"/>
      <c r="AE224" s="7"/>
      <c r="AF224" s="618">
        <f t="shared" si="20"/>
        <v>0</v>
      </c>
      <c r="AG224" s="7"/>
      <c r="AH224" s="7"/>
      <c r="AI224" s="7"/>
      <c r="AJ224" s="7"/>
      <c r="AK224" s="7"/>
      <c r="AL224" s="7"/>
    </row>
    <row r="225" spans="1:38" ht="18.75" customHeight="1">
      <c r="A225" s="489">
        <v>6</v>
      </c>
      <c r="B225" s="490" t="s">
        <v>512</v>
      </c>
      <c r="C225" s="637" t="s">
        <v>513</v>
      </c>
      <c r="D225" s="491"/>
      <c r="E225" s="214"/>
      <c r="F225" s="214"/>
      <c r="G225" s="215"/>
      <c r="H225" s="215"/>
      <c r="I225" s="215"/>
      <c r="J225" s="214"/>
      <c r="K225" s="214"/>
      <c r="L225" s="638"/>
      <c r="M225" s="213"/>
      <c r="N225" s="213"/>
      <c r="O225" s="215"/>
      <c r="P225" s="213"/>
      <c r="Q225" s="213">
        <v>0</v>
      </c>
      <c r="R225" s="213"/>
      <c r="S225" s="213"/>
      <c r="T225" s="213"/>
      <c r="U225" s="213"/>
      <c r="V225" s="213"/>
      <c r="W225" s="213"/>
      <c r="X225" s="643"/>
      <c r="Y225" s="616">
        <f t="shared" si="1"/>
        <v>0</v>
      </c>
      <c r="Z225" s="660" t="s">
        <v>1594</v>
      </c>
      <c r="AA225" s="640"/>
      <c r="AB225" s="640"/>
      <c r="AC225" s="7"/>
      <c r="AD225" s="699"/>
      <c r="AE225" s="7"/>
      <c r="AF225" s="618">
        <f t="shared" si="20"/>
        <v>0</v>
      </c>
      <c r="AG225" s="7"/>
      <c r="AH225" s="7"/>
      <c r="AI225" s="7"/>
      <c r="AJ225" s="7"/>
      <c r="AK225" s="7"/>
      <c r="AL225" s="7"/>
    </row>
    <row r="226" spans="1:38" ht="15.75" customHeight="1">
      <c r="A226" s="486"/>
      <c r="B226" s="487" t="s">
        <v>515</v>
      </c>
      <c r="C226" s="635" t="s">
        <v>516</v>
      </c>
      <c r="D226" s="512"/>
      <c r="E226" s="214"/>
      <c r="F226" s="214"/>
      <c r="G226" s="215" t="s">
        <v>1802</v>
      </c>
      <c r="H226" s="215"/>
      <c r="I226" s="215"/>
      <c r="J226" s="214"/>
      <c r="K226" s="214"/>
      <c r="L226" s="647"/>
      <c r="M226" s="213"/>
      <c r="N226" s="213"/>
      <c r="O226" s="315" t="s">
        <v>1803</v>
      </c>
      <c r="P226" s="213"/>
      <c r="Q226" s="213">
        <v>0</v>
      </c>
      <c r="R226" s="213"/>
      <c r="S226" s="213"/>
      <c r="T226" s="213"/>
      <c r="U226" s="213"/>
      <c r="V226" s="213"/>
      <c r="W226" s="213"/>
      <c r="X226" s="643"/>
      <c r="Y226" s="616">
        <f t="shared" si="1"/>
        <v>0</v>
      </c>
      <c r="Z226" s="642">
        <f>Y227+Y237</f>
        <v>2750</v>
      </c>
      <c r="AA226" s="636"/>
      <c r="AB226" s="636"/>
      <c r="AC226" s="7"/>
      <c r="AD226" s="699"/>
      <c r="AE226" s="7"/>
      <c r="AF226" s="618">
        <f t="shared" si="20"/>
        <v>0</v>
      </c>
      <c r="AG226" s="7"/>
      <c r="AH226" s="7"/>
      <c r="AI226" s="7"/>
      <c r="AJ226" s="7"/>
      <c r="AK226" s="7"/>
      <c r="AL226" s="7"/>
    </row>
    <row r="227" spans="1:38" ht="20.25" customHeight="1">
      <c r="A227" s="503"/>
      <c r="B227" s="483" t="s">
        <v>518</v>
      </c>
      <c r="C227" s="629" t="s">
        <v>447</v>
      </c>
      <c r="D227" s="504" t="s">
        <v>424</v>
      </c>
      <c r="E227" s="214"/>
      <c r="F227" s="214"/>
      <c r="G227" s="215"/>
      <c r="H227" s="215"/>
      <c r="I227" s="215"/>
      <c r="J227" s="214"/>
      <c r="K227" s="214"/>
      <c r="L227" s="647"/>
      <c r="M227" s="213"/>
      <c r="N227" s="213"/>
      <c r="O227" s="215">
        <v>247</v>
      </c>
      <c r="P227" s="213"/>
      <c r="Q227" s="213">
        <v>234</v>
      </c>
      <c r="R227" s="213"/>
      <c r="S227" s="213"/>
      <c r="T227" s="213"/>
      <c r="U227" s="213"/>
      <c r="V227" s="213"/>
      <c r="W227" s="213"/>
      <c r="X227" s="643"/>
      <c r="Y227" s="616">
        <f t="shared" si="1"/>
        <v>481</v>
      </c>
      <c r="Z227" s="648"/>
      <c r="AA227" s="648"/>
      <c r="AB227" s="648"/>
      <c r="AC227" s="7"/>
      <c r="AD227" s="699">
        <v>481</v>
      </c>
      <c r="AE227" s="7"/>
      <c r="AF227" s="618">
        <f t="shared" si="20"/>
        <v>0</v>
      </c>
      <c r="AG227" s="7"/>
      <c r="AH227" s="7"/>
      <c r="AI227" s="7"/>
      <c r="AJ227" s="7"/>
      <c r="AK227" s="7"/>
      <c r="AL227" s="7"/>
    </row>
    <row r="228" spans="1:38" ht="20.25" customHeight="1">
      <c r="A228" s="503"/>
      <c r="B228" s="483" t="s">
        <v>520</v>
      </c>
      <c r="C228" s="629" t="s">
        <v>521</v>
      </c>
      <c r="D228" s="504" t="s">
        <v>424</v>
      </c>
      <c r="E228" s="214"/>
      <c r="F228" s="214"/>
      <c r="G228" s="215"/>
      <c r="H228" s="215"/>
      <c r="I228" s="215"/>
      <c r="J228" s="214"/>
      <c r="K228" s="214"/>
      <c r="L228" s="647"/>
      <c r="M228" s="213"/>
      <c r="N228" s="213"/>
      <c r="O228" s="215"/>
      <c r="P228" s="213"/>
      <c r="Q228" s="213">
        <v>0</v>
      </c>
      <c r="R228" s="213"/>
      <c r="S228" s="213"/>
      <c r="T228" s="213"/>
      <c r="U228" s="213"/>
      <c r="V228" s="213"/>
      <c r="W228" s="213"/>
      <c r="X228" s="643"/>
      <c r="Y228" s="616">
        <f t="shared" si="1"/>
        <v>0</v>
      </c>
      <c r="Z228" s="661" t="s">
        <v>1595</v>
      </c>
      <c r="AA228" s="648"/>
      <c r="AB228" s="648"/>
      <c r="AC228" s="7"/>
      <c r="AD228" s="699"/>
      <c r="AE228" s="7"/>
      <c r="AF228" s="618">
        <f t="shared" si="20"/>
        <v>0</v>
      </c>
      <c r="AG228" s="7"/>
      <c r="AH228" s="7"/>
      <c r="AI228" s="7"/>
      <c r="AJ228" s="7"/>
      <c r="AK228" s="7"/>
      <c r="AL228" s="7"/>
    </row>
    <row r="229" spans="1:38" ht="19.5" customHeight="1">
      <c r="A229" s="503"/>
      <c r="B229" s="483" t="s">
        <v>523</v>
      </c>
      <c r="C229" s="629" t="s">
        <v>524</v>
      </c>
      <c r="D229" s="504" t="s">
        <v>1804</v>
      </c>
      <c r="E229" s="214">
        <v>1300</v>
      </c>
      <c r="F229" s="214"/>
      <c r="G229" s="215">
        <v>150</v>
      </c>
      <c r="H229" s="215"/>
      <c r="I229" s="215"/>
      <c r="J229" s="214">
        <v>10</v>
      </c>
      <c r="K229" s="214"/>
      <c r="L229" s="647"/>
      <c r="M229" s="213"/>
      <c r="N229" s="213"/>
      <c r="O229" s="215">
        <v>8459</v>
      </c>
      <c r="P229" s="213"/>
      <c r="Q229" s="213">
        <v>8259</v>
      </c>
      <c r="R229" s="213"/>
      <c r="S229" s="213"/>
      <c r="T229" s="213"/>
      <c r="U229" s="213"/>
      <c r="V229" s="213"/>
      <c r="W229" s="213"/>
      <c r="X229" s="643"/>
      <c r="Y229" s="616">
        <f t="shared" si="1"/>
        <v>18178</v>
      </c>
      <c r="Z229" s="642">
        <f>Y229+Y230+Y239+Y240</f>
        <v>477071</v>
      </c>
      <c r="AA229" s="648"/>
      <c r="AB229" s="648"/>
      <c r="AC229" s="7"/>
      <c r="AD229" s="699">
        <v>18178</v>
      </c>
      <c r="AE229" s="7"/>
      <c r="AF229" s="618">
        <f t="shared" si="20"/>
        <v>0</v>
      </c>
      <c r="AG229" s="7"/>
      <c r="AH229" s="7"/>
      <c r="AI229" s="7"/>
      <c r="AJ229" s="7"/>
      <c r="AK229" s="7"/>
      <c r="AL229" s="7"/>
    </row>
    <row r="230" spans="1:38" ht="20.25" customHeight="1">
      <c r="A230" s="503"/>
      <c r="B230" s="483" t="s">
        <v>526</v>
      </c>
      <c r="C230" s="629" t="s">
        <v>527</v>
      </c>
      <c r="D230" s="504" t="s">
        <v>1805</v>
      </c>
      <c r="E230" s="214"/>
      <c r="F230" s="214"/>
      <c r="G230" s="215"/>
      <c r="H230" s="215"/>
      <c r="I230" s="215"/>
      <c r="J230" s="214"/>
      <c r="K230" s="214"/>
      <c r="L230" s="647"/>
      <c r="M230" s="213"/>
      <c r="N230" s="213"/>
      <c r="O230" s="215"/>
      <c r="P230" s="213"/>
      <c r="Q230" s="213">
        <v>0</v>
      </c>
      <c r="R230" s="213"/>
      <c r="S230" s="213"/>
      <c r="T230" s="213"/>
      <c r="U230" s="213"/>
      <c r="V230" s="213"/>
      <c r="W230" s="213"/>
      <c r="X230" s="643"/>
      <c r="Y230" s="616">
        <f t="shared" si="1"/>
        <v>0</v>
      </c>
      <c r="Z230" s="633"/>
      <c r="AA230" s="648"/>
      <c r="AB230" s="648"/>
      <c r="AC230" s="7"/>
      <c r="AD230" s="699"/>
      <c r="AE230" s="7"/>
      <c r="AF230" s="618">
        <f t="shared" si="20"/>
        <v>0</v>
      </c>
      <c r="AG230" s="7"/>
      <c r="AH230" s="7"/>
      <c r="AI230" s="7"/>
      <c r="AJ230" s="7"/>
      <c r="AK230" s="7"/>
      <c r="AL230" s="7"/>
    </row>
    <row r="231" spans="1:38" ht="24.75" customHeight="1">
      <c r="A231" s="503"/>
      <c r="B231" s="483" t="s">
        <v>530</v>
      </c>
      <c r="C231" s="629" t="s">
        <v>531</v>
      </c>
      <c r="D231" s="504" t="s">
        <v>132</v>
      </c>
      <c r="E231" s="214"/>
      <c r="F231" s="214"/>
      <c r="G231" s="215"/>
      <c r="H231" s="215"/>
      <c r="I231" s="215"/>
      <c r="J231" s="214"/>
      <c r="K231" s="214"/>
      <c r="L231" s="647"/>
      <c r="M231" s="213"/>
      <c r="N231" s="213"/>
      <c r="O231" s="215"/>
      <c r="P231" s="213"/>
      <c r="Q231" s="213">
        <v>0</v>
      </c>
      <c r="R231" s="213"/>
      <c r="S231" s="213"/>
      <c r="T231" s="213"/>
      <c r="U231" s="213"/>
      <c r="V231" s="213"/>
      <c r="W231" s="213"/>
      <c r="X231" s="643"/>
      <c r="Y231" s="616">
        <f t="shared" si="1"/>
        <v>0</v>
      </c>
      <c r="Z231" s="633"/>
      <c r="AA231" s="648"/>
      <c r="AB231" s="648"/>
      <c r="AC231" s="7"/>
      <c r="AD231" s="699"/>
      <c r="AE231" s="7"/>
      <c r="AF231" s="618">
        <f t="shared" si="20"/>
        <v>0</v>
      </c>
      <c r="AG231" s="7"/>
      <c r="AH231" s="7"/>
      <c r="AI231" s="7"/>
      <c r="AJ231" s="7"/>
      <c r="AK231" s="7"/>
      <c r="AL231" s="7"/>
    </row>
    <row r="232" spans="1:38" ht="24" customHeight="1">
      <c r="A232" s="503"/>
      <c r="B232" s="483" t="s">
        <v>533</v>
      </c>
      <c r="C232" s="629" t="s">
        <v>534</v>
      </c>
      <c r="D232" s="504" t="s">
        <v>132</v>
      </c>
      <c r="E232" s="214"/>
      <c r="F232" s="214"/>
      <c r="G232" s="215"/>
      <c r="H232" s="215"/>
      <c r="I232" s="215"/>
      <c r="J232" s="214"/>
      <c r="K232" s="214"/>
      <c r="L232" s="647"/>
      <c r="M232" s="213"/>
      <c r="N232" s="213"/>
      <c r="O232" s="215">
        <v>5</v>
      </c>
      <c r="P232" s="213"/>
      <c r="Q232" s="213">
        <v>3</v>
      </c>
      <c r="R232" s="213"/>
      <c r="S232" s="213"/>
      <c r="T232" s="213"/>
      <c r="U232" s="213"/>
      <c r="V232" s="213"/>
      <c r="W232" s="213"/>
      <c r="X232" s="643"/>
      <c r="Y232" s="616">
        <f t="shared" si="1"/>
        <v>8</v>
      </c>
      <c r="Z232" s="633"/>
      <c r="AA232" s="648"/>
      <c r="AB232" s="648"/>
      <c r="AC232" s="7"/>
      <c r="AD232" s="699">
        <v>8</v>
      </c>
      <c r="AE232" s="7"/>
      <c r="AF232" s="618">
        <f t="shared" si="20"/>
        <v>0</v>
      </c>
      <c r="AG232" s="7"/>
      <c r="AH232" s="7"/>
      <c r="AI232" s="7"/>
      <c r="AJ232" s="7"/>
      <c r="AK232" s="7"/>
      <c r="AL232" s="7"/>
    </row>
    <row r="233" spans="1:38" ht="28.5" customHeight="1">
      <c r="A233" s="503"/>
      <c r="B233" s="483" t="s">
        <v>536</v>
      </c>
      <c r="C233" s="629" t="s">
        <v>537</v>
      </c>
      <c r="D233" s="504" t="s">
        <v>194</v>
      </c>
      <c r="E233" s="214"/>
      <c r="F233" s="214"/>
      <c r="G233" s="215">
        <v>6</v>
      </c>
      <c r="H233" s="215"/>
      <c r="I233" s="215"/>
      <c r="J233" s="214"/>
      <c r="K233" s="214"/>
      <c r="L233" s="647"/>
      <c r="M233" s="213"/>
      <c r="N233" s="213"/>
      <c r="O233" s="215">
        <v>10</v>
      </c>
      <c r="P233" s="213"/>
      <c r="Q233" s="213">
        <v>127</v>
      </c>
      <c r="R233" s="213"/>
      <c r="S233" s="213"/>
      <c r="T233" s="213"/>
      <c r="U233" s="213"/>
      <c r="V233" s="213"/>
      <c r="W233" s="213"/>
      <c r="X233" s="643"/>
      <c r="Y233" s="616">
        <f t="shared" si="1"/>
        <v>143</v>
      </c>
      <c r="Z233" s="633"/>
      <c r="AA233" s="648"/>
      <c r="AB233" s="648"/>
      <c r="AC233" s="7"/>
      <c r="AD233" s="699">
        <v>143</v>
      </c>
      <c r="AE233" s="7"/>
      <c r="AF233" s="618">
        <f t="shared" si="20"/>
        <v>0</v>
      </c>
      <c r="AG233" s="7"/>
      <c r="AH233" s="7"/>
      <c r="AI233" s="7"/>
      <c r="AJ233" s="7"/>
      <c r="AK233" s="7"/>
      <c r="AL233" s="7"/>
    </row>
    <row r="234" spans="1:38" ht="20.25" customHeight="1">
      <c r="A234" s="503"/>
      <c r="B234" s="483" t="s">
        <v>539</v>
      </c>
      <c r="C234" s="629" t="s">
        <v>540</v>
      </c>
      <c r="D234" s="515" t="s">
        <v>183</v>
      </c>
      <c r="E234" s="214"/>
      <c r="F234" s="214"/>
      <c r="G234" s="215"/>
      <c r="H234" s="215"/>
      <c r="I234" s="215"/>
      <c r="J234" s="214"/>
      <c r="K234" s="214"/>
      <c r="L234" s="662"/>
      <c r="M234" s="213"/>
      <c r="N234" s="213"/>
      <c r="O234" s="215"/>
      <c r="P234" s="213"/>
      <c r="Q234" s="213">
        <v>0</v>
      </c>
      <c r="R234" s="213"/>
      <c r="S234" s="213"/>
      <c r="T234" s="213"/>
      <c r="U234" s="213"/>
      <c r="V234" s="213"/>
      <c r="W234" s="213"/>
      <c r="X234" s="643"/>
      <c r="Y234" s="616">
        <f t="shared" si="1"/>
        <v>0</v>
      </c>
      <c r="Z234" s="633"/>
      <c r="AA234" s="648"/>
      <c r="AB234" s="648"/>
      <c r="AC234" s="7"/>
      <c r="AD234" s="699"/>
      <c r="AE234" s="7"/>
      <c r="AF234" s="618">
        <f t="shared" si="20"/>
        <v>0</v>
      </c>
      <c r="AG234" s="7"/>
      <c r="AH234" s="7"/>
      <c r="AI234" s="7"/>
      <c r="AJ234" s="7"/>
      <c r="AK234" s="7"/>
      <c r="AL234" s="7"/>
    </row>
    <row r="235" spans="1:38" ht="20.25" customHeight="1">
      <c r="A235" s="503"/>
      <c r="B235" s="483" t="s">
        <v>542</v>
      </c>
      <c r="C235" s="629" t="s">
        <v>543</v>
      </c>
      <c r="D235" s="504" t="s">
        <v>132</v>
      </c>
      <c r="E235" s="214"/>
      <c r="F235" s="214"/>
      <c r="G235" s="215"/>
      <c r="H235" s="215"/>
      <c r="I235" s="215"/>
      <c r="J235" s="214"/>
      <c r="K235" s="214"/>
      <c r="L235" s="647"/>
      <c r="M235" s="213"/>
      <c r="N235" s="213"/>
      <c r="O235" s="215"/>
      <c r="P235" s="213"/>
      <c r="Q235" s="213">
        <v>0</v>
      </c>
      <c r="R235" s="213"/>
      <c r="S235" s="213"/>
      <c r="T235" s="213"/>
      <c r="U235" s="213"/>
      <c r="V235" s="213"/>
      <c r="W235" s="213"/>
      <c r="X235" s="643"/>
      <c r="Y235" s="616">
        <f t="shared" si="1"/>
        <v>0</v>
      </c>
      <c r="Z235" s="633"/>
      <c r="AA235" s="648"/>
      <c r="AB235" s="648"/>
      <c r="AC235" s="7"/>
      <c r="AD235" s="699"/>
      <c r="AE235" s="7"/>
      <c r="AF235" s="618">
        <f t="shared" si="20"/>
        <v>0</v>
      </c>
      <c r="AG235" s="7"/>
      <c r="AH235" s="7"/>
      <c r="AI235" s="7"/>
      <c r="AJ235" s="7"/>
      <c r="AK235" s="7"/>
      <c r="AL235" s="7"/>
    </row>
    <row r="236" spans="1:38" ht="15.75" customHeight="1">
      <c r="A236" s="486"/>
      <c r="B236" s="487" t="s">
        <v>545</v>
      </c>
      <c r="C236" s="635" t="s">
        <v>546</v>
      </c>
      <c r="D236" s="512"/>
      <c r="E236" s="214"/>
      <c r="F236" s="214"/>
      <c r="G236" s="215"/>
      <c r="H236" s="215"/>
      <c r="I236" s="215">
        <v>3</v>
      </c>
      <c r="J236" s="214"/>
      <c r="K236" s="214"/>
      <c r="L236" s="647"/>
      <c r="M236" s="213"/>
      <c r="N236" s="213"/>
      <c r="O236" s="215"/>
      <c r="P236" s="213"/>
      <c r="Q236" s="213"/>
      <c r="R236" s="213"/>
      <c r="S236" s="213"/>
      <c r="T236" s="213"/>
      <c r="U236" s="213"/>
      <c r="V236" s="213"/>
      <c r="W236" s="213"/>
      <c r="X236" s="643"/>
      <c r="Y236" s="616">
        <f t="shared" si="1"/>
        <v>3</v>
      </c>
      <c r="Z236" s="633"/>
      <c r="AA236" s="636"/>
      <c r="AB236" s="636"/>
      <c r="AC236" s="7"/>
      <c r="AD236" s="699"/>
      <c r="AE236" s="7"/>
      <c r="AF236" s="618"/>
      <c r="AG236" s="7"/>
      <c r="AH236" s="7"/>
      <c r="AI236" s="7"/>
      <c r="AJ236" s="7"/>
      <c r="AK236" s="7"/>
      <c r="AL236" s="7"/>
    </row>
    <row r="237" spans="1:38" ht="20.25" customHeight="1">
      <c r="A237" s="503"/>
      <c r="B237" s="483" t="s">
        <v>548</v>
      </c>
      <c r="C237" s="629" t="s">
        <v>447</v>
      </c>
      <c r="D237" s="504" t="s">
        <v>424</v>
      </c>
      <c r="E237" s="214">
        <f>200+200+800</f>
        <v>1200</v>
      </c>
      <c r="F237" s="214">
        <v>25</v>
      </c>
      <c r="G237" s="215"/>
      <c r="H237" s="215">
        <f>32+15+34</f>
        <v>81</v>
      </c>
      <c r="I237" s="215">
        <v>30</v>
      </c>
      <c r="J237" s="214"/>
      <c r="K237" s="214">
        <f>15+10+20+5+7+13+45+13+50+250+400</f>
        <v>828</v>
      </c>
      <c r="L237" s="647"/>
      <c r="M237" s="213">
        <f>15+10</f>
        <v>25</v>
      </c>
      <c r="N237" s="213"/>
      <c r="O237" s="215">
        <v>80</v>
      </c>
      <c r="P237" s="213"/>
      <c r="Q237" s="213"/>
      <c r="R237" s="213"/>
      <c r="S237" s="213"/>
      <c r="T237" s="213"/>
      <c r="U237" s="213"/>
      <c r="V237" s="213"/>
      <c r="W237" s="213"/>
      <c r="X237" s="643"/>
      <c r="Y237" s="616">
        <f t="shared" si="1"/>
        <v>2269</v>
      </c>
      <c r="Z237" s="633"/>
      <c r="AA237" s="648"/>
      <c r="AB237" s="648"/>
      <c r="AC237" s="7"/>
      <c r="AD237" s="702">
        <v>289</v>
      </c>
      <c r="AE237" s="7"/>
      <c r="AF237" s="618"/>
      <c r="AG237" s="7"/>
      <c r="AH237" s="7"/>
      <c r="AI237" s="7"/>
      <c r="AJ237" s="7"/>
      <c r="AK237" s="7"/>
      <c r="AL237" s="7"/>
    </row>
    <row r="238" spans="1:38" ht="20.25" customHeight="1">
      <c r="A238" s="503"/>
      <c r="B238" s="483" t="s">
        <v>550</v>
      </c>
      <c r="C238" s="629" t="s">
        <v>521</v>
      </c>
      <c r="D238" s="504" t="s">
        <v>424</v>
      </c>
      <c r="E238" s="214"/>
      <c r="F238" s="214"/>
      <c r="G238" s="215"/>
      <c r="H238" s="215"/>
      <c r="I238" s="215"/>
      <c r="J238" s="214"/>
      <c r="K238" s="214"/>
      <c r="L238" s="647"/>
      <c r="M238" s="213"/>
      <c r="N238" s="213"/>
      <c r="O238" s="215"/>
      <c r="P238" s="213"/>
      <c r="Q238" s="213">
        <v>0</v>
      </c>
      <c r="R238" s="213"/>
      <c r="S238" s="213"/>
      <c r="T238" s="213"/>
      <c r="U238" s="213"/>
      <c r="V238" s="213"/>
      <c r="W238" s="213"/>
      <c r="X238" s="643"/>
      <c r="Y238" s="616">
        <f t="shared" si="1"/>
        <v>0</v>
      </c>
      <c r="Z238" s="633"/>
      <c r="AA238" s="648"/>
      <c r="AB238" s="648"/>
      <c r="AC238" s="7"/>
      <c r="AD238" s="702"/>
      <c r="AE238" s="7"/>
      <c r="AF238" s="618">
        <f t="shared" ref="AF238:AF240" si="21">AD238-Y238</f>
        <v>0</v>
      </c>
      <c r="AG238" s="7"/>
      <c r="AH238" s="7"/>
      <c r="AI238" s="7"/>
      <c r="AJ238" s="7"/>
      <c r="AK238" s="7"/>
      <c r="AL238" s="7"/>
    </row>
    <row r="239" spans="1:38" ht="20.25" customHeight="1">
      <c r="A239" s="503"/>
      <c r="B239" s="483" t="s">
        <v>551</v>
      </c>
      <c r="C239" s="629" t="s">
        <v>524</v>
      </c>
      <c r="D239" s="504" t="s">
        <v>1806</v>
      </c>
      <c r="E239" s="214">
        <f>700+300+15+30+70</f>
        <v>1115</v>
      </c>
      <c r="F239" s="214">
        <v>100</v>
      </c>
      <c r="G239" s="215">
        <f>150+1000</f>
        <v>1150</v>
      </c>
      <c r="H239" s="215">
        <v>320</v>
      </c>
      <c r="I239" s="215"/>
      <c r="J239" s="214">
        <f>300+1400</f>
        <v>1700</v>
      </c>
      <c r="K239" s="214">
        <v>20000</v>
      </c>
      <c r="L239" s="647">
        <v>100</v>
      </c>
      <c r="M239" s="213">
        <f>60+50</f>
        <v>110</v>
      </c>
      <c r="N239" s="213">
        <v>200</v>
      </c>
      <c r="O239" s="215">
        <f>8527+6800</f>
        <v>15327</v>
      </c>
      <c r="P239" s="213"/>
      <c r="Q239" s="213">
        <v>418771</v>
      </c>
      <c r="R239" s="213"/>
      <c r="S239" s="213"/>
      <c r="T239" s="213"/>
      <c r="U239" s="213"/>
      <c r="V239" s="213"/>
      <c r="W239" s="213"/>
      <c r="X239" s="643"/>
      <c r="Y239" s="616">
        <f t="shared" si="1"/>
        <v>458893</v>
      </c>
      <c r="Z239" s="633"/>
      <c r="AA239" s="648"/>
      <c r="AB239" s="648"/>
      <c r="AC239" s="7"/>
      <c r="AD239" s="702">
        <v>458893</v>
      </c>
      <c r="AE239" s="7"/>
      <c r="AF239" s="618">
        <f t="shared" si="21"/>
        <v>0</v>
      </c>
      <c r="AG239" s="7"/>
      <c r="AH239" s="7"/>
      <c r="AI239" s="7"/>
      <c r="AJ239" s="7"/>
      <c r="AK239" s="7"/>
      <c r="AL239" s="7"/>
    </row>
    <row r="240" spans="1:38" ht="20.25" customHeight="1">
      <c r="A240" s="503"/>
      <c r="B240" s="483" t="s">
        <v>553</v>
      </c>
      <c r="C240" s="629" t="s">
        <v>527</v>
      </c>
      <c r="D240" s="504" t="s">
        <v>1807</v>
      </c>
      <c r="E240" s="214"/>
      <c r="F240" s="214"/>
      <c r="G240" s="215"/>
      <c r="H240" s="215"/>
      <c r="I240" s="215"/>
      <c r="J240" s="214"/>
      <c r="K240" s="214"/>
      <c r="L240" s="647"/>
      <c r="M240" s="213"/>
      <c r="N240" s="213"/>
      <c r="O240" s="215"/>
      <c r="P240" s="213"/>
      <c r="Q240" s="213">
        <v>0</v>
      </c>
      <c r="R240" s="213"/>
      <c r="S240" s="213"/>
      <c r="T240" s="213"/>
      <c r="U240" s="213"/>
      <c r="V240" s="213"/>
      <c r="W240" s="213"/>
      <c r="X240" s="643"/>
      <c r="Y240" s="616">
        <f t="shared" si="1"/>
        <v>0</v>
      </c>
      <c r="Z240" s="633"/>
      <c r="AA240" s="648"/>
      <c r="AB240" s="648"/>
      <c r="AC240" s="7"/>
      <c r="AD240" s="699"/>
      <c r="AE240" s="7"/>
      <c r="AF240" s="618">
        <f t="shared" si="21"/>
        <v>0</v>
      </c>
      <c r="AG240" s="7"/>
      <c r="AH240" s="7"/>
      <c r="AI240" s="7"/>
      <c r="AJ240" s="7"/>
      <c r="AK240" s="7"/>
      <c r="AL240" s="7"/>
    </row>
    <row r="241" spans="1:38" ht="20.25" customHeight="1">
      <c r="A241" s="503"/>
      <c r="B241" s="483" t="s">
        <v>555</v>
      </c>
      <c r="C241" s="629" t="s">
        <v>531</v>
      </c>
      <c r="D241" s="504" t="s">
        <v>132</v>
      </c>
      <c r="E241" s="214"/>
      <c r="F241" s="214"/>
      <c r="G241" s="215"/>
      <c r="H241" s="215"/>
      <c r="I241" s="215"/>
      <c r="J241" s="214"/>
      <c r="K241" s="214">
        <v>5</v>
      </c>
      <c r="L241" s="647"/>
      <c r="M241" s="213"/>
      <c r="N241" s="213"/>
      <c r="O241" s="215"/>
      <c r="P241" s="213"/>
      <c r="Q241" s="213"/>
      <c r="R241" s="213"/>
      <c r="S241" s="213"/>
      <c r="T241" s="213"/>
      <c r="U241" s="213"/>
      <c r="V241" s="213"/>
      <c r="W241" s="213"/>
      <c r="X241" s="643"/>
      <c r="Y241" s="616">
        <f t="shared" si="1"/>
        <v>5</v>
      </c>
      <c r="Z241" s="633"/>
      <c r="AA241" s="648"/>
      <c r="AB241" s="648"/>
      <c r="AC241" s="7"/>
      <c r="AD241" s="702"/>
      <c r="AE241" s="7"/>
      <c r="AF241" s="618"/>
      <c r="AG241" s="7"/>
      <c r="AH241" s="7"/>
      <c r="AI241" s="7"/>
      <c r="AJ241" s="7"/>
      <c r="AK241" s="7"/>
      <c r="AL241" s="7"/>
    </row>
    <row r="242" spans="1:38" ht="20.25" customHeight="1">
      <c r="A242" s="503"/>
      <c r="B242" s="483" t="s">
        <v>556</v>
      </c>
      <c r="C242" s="629" t="s">
        <v>534</v>
      </c>
      <c r="D242" s="504" t="s">
        <v>132</v>
      </c>
      <c r="E242" s="214"/>
      <c r="F242" s="214"/>
      <c r="G242" s="215"/>
      <c r="H242" s="215"/>
      <c r="I242" s="215"/>
      <c r="J242" s="214"/>
      <c r="K242" s="214"/>
      <c r="L242" s="647"/>
      <c r="M242" s="213"/>
      <c r="N242" s="213"/>
      <c r="O242" s="215"/>
      <c r="P242" s="213"/>
      <c r="Q242" s="213">
        <v>0</v>
      </c>
      <c r="R242" s="213"/>
      <c r="S242" s="213"/>
      <c r="T242" s="213"/>
      <c r="U242" s="213"/>
      <c r="V242" s="213"/>
      <c r="W242" s="213"/>
      <c r="X242" s="643"/>
      <c r="Y242" s="616">
        <f t="shared" si="1"/>
        <v>0</v>
      </c>
      <c r="Z242" s="633"/>
      <c r="AA242" s="648"/>
      <c r="AB242" s="648"/>
      <c r="AC242" s="7"/>
      <c r="AD242" s="702"/>
      <c r="AE242" s="7"/>
      <c r="AF242" s="618">
        <f t="shared" ref="AF242:AF370" si="22">AD242-Y242</f>
        <v>0</v>
      </c>
      <c r="AG242" s="7"/>
      <c r="AH242" s="7"/>
      <c r="AI242" s="7"/>
      <c r="AJ242" s="7"/>
      <c r="AK242" s="7"/>
      <c r="AL242" s="7"/>
    </row>
    <row r="243" spans="1:38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4"/>
      <c r="F243" s="214"/>
      <c r="G243" s="215">
        <f>4+8</f>
        <v>12</v>
      </c>
      <c r="H243" s="215">
        <v>3</v>
      </c>
      <c r="I243" s="215"/>
      <c r="J243" s="214"/>
      <c r="K243" s="214"/>
      <c r="L243" s="647"/>
      <c r="M243" s="213"/>
      <c r="N243" s="213">
        <v>4</v>
      </c>
      <c r="O243" s="215">
        <f>130+45</f>
        <v>175</v>
      </c>
      <c r="P243" s="213"/>
      <c r="Q243" s="213">
        <v>304</v>
      </c>
      <c r="R243" s="213"/>
      <c r="S243" s="213"/>
      <c r="T243" s="213"/>
      <c r="U243" s="213"/>
      <c r="V243" s="213"/>
      <c r="W243" s="213"/>
      <c r="X243" s="643"/>
      <c r="Y243" s="616">
        <f t="shared" si="1"/>
        <v>498</v>
      </c>
      <c r="Z243" s="633"/>
      <c r="AA243" s="648"/>
      <c r="AB243" s="648"/>
      <c r="AC243" s="7"/>
      <c r="AD243" s="699">
        <v>498</v>
      </c>
      <c r="AE243" s="7"/>
      <c r="AF243" s="618">
        <f t="shared" si="22"/>
        <v>0</v>
      </c>
      <c r="AG243" s="7"/>
      <c r="AH243" s="7"/>
      <c r="AI243" s="7"/>
      <c r="AJ243" s="7"/>
      <c r="AK243" s="7"/>
      <c r="AL243" s="7"/>
    </row>
    <row r="244" spans="1:38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4"/>
      <c r="F244" s="214"/>
      <c r="G244" s="215"/>
      <c r="H244" s="215"/>
      <c r="I244" s="215"/>
      <c r="J244" s="214"/>
      <c r="K244" s="214"/>
      <c r="L244" s="662"/>
      <c r="M244" s="213"/>
      <c r="N244" s="213"/>
      <c r="O244" s="215"/>
      <c r="P244" s="213"/>
      <c r="Q244" s="213">
        <v>0</v>
      </c>
      <c r="R244" s="213"/>
      <c r="S244" s="213"/>
      <c r="T244" s="213"/>
      <c r="U244" s="213"/>
      <c r="V244" s="213"/>
      <c r="W244" s="213"/>
      <c r="X244" s="643"/>
      <c r="Y244" s="616">
        <f t="shared" si="1"/>
        <v>0</v>
      </c>
      <c r="Z244" s="633"/>
      <c r="AA244" s="648"/>
      <c r="AB244" s="648"/>
      <c r="AC244" s="7"/>
      <c r="AD244" s="699"/>
      <c r="AE244" s="7"/>
      <c r="AF244" s="618">
        <f t="shared" si="22"/>
        <v>0</v>
      </c>
      <c r="AG244" s="7"/>
      <c r="AH244" s="7"/>
      <c r="AI244" s="7"/>
      <c r="AJ244" s="7"/>
      <c r="AK244" s="7"/>
      <c r="AL244" s="7"/>
    </row>
    <row r="245" spans="1:38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4"/>
      <c r="F245" s="214"/>
      <c r="G245" s="215"/>
      <c r="H245" s="215"/>
      <c r="I245" s="215"/>
      <c r="J245" s="214"/>
      <c r="K245" s="214"/>
      <c r="L245" s="647"/>
      <c r="M245" s="213"/>
      <c r="N245" s="213"/>
      <c r="O245" s="215"/>
      <c r="P245" s="213"/>
      <c r="Q245" s="213">
        <v>0</v>
      </c>
      <c r="R245" s="213"/>
      <c r="S245" s="213"/>
      <c r="T245" s="213"/>
      <c r="U245" s="213"/>
      <c r="V245" s="213"/>
      <c r="W245" s="213"/>
      <c r="X245" s="643"/>
      <c r="Y245" s="616">
        <f t="shared" si="1"/>
        <v>0</v>
      </c>
      <c r="Z245" s="633"/>
      <c r="AA245" s="648"/>
      <c r="AB245" s="648"/>
      <c r="AC245" s="7"/>
      <c r="AD245" s="699"/>
      <c r="AE245" s="7"/>
      <c r="AF245" s="618">
        <f t="shared" si="22"/>
        <v>0</v>
      </c>
      <c r="AG245" s="7"/>
      <c r="AH245" s="7"/>
      <c r="AI245" s="7"/>
      <c r="AJ245" s="7"/>
      <c r="AK245" s="7"/>
      <c r="AL245" s="7"/>
    </row>
    <row r="246" spans="1:38" ht="19.5" customHeight="1">
      <c r="A246" s="486">
        <v>9.3000000000000007</v>
      </c>
      <c r="B246" s="487" t="s">
        <v>560</v>
      </c>
      <c r="C246" s="635" t="s">
        <v>561</v>
      </c>
      <c r="D246" s="412"/>
      <c r="E246" s="214"/>
      <c r="F246" s="214"/>
      <c r="G246" s="215"/>
      <c r="H246" s="215"/>
      <c r="I246" s="215"/>
      <c r="J246" s="214"/>
      <c r="K246" s="214"/>
      <c r="L246" s="620"/>
      <c r="M246" s="213"/>
      <c r="N246" s="213"/>
      <c r="O246" s="215"/>
      <c r="P246" s="213"/>
      <c r="Q246" s="213">
        <v>0</v>
      </c>
      <c r="R246" s="213"/>
      <c r="S246" s="213"/>
      <c r="T246" s="213"/>
      <c r="U246" s="213"/>
      <c r="V246" s="213"/>
      <c r="W246" s="213"/>
      <c r="X246" s="643"/>
      <c r="Y246" s="616">
        <f t="shared" si="1"/>
        <v>0</v>
      </c>
      <c r="Z246" s="633"/>
      <c r="AA246" s="636"/>
      <c r="AB246" s="636"/>
      <c r="AC246" s="7"/>
      <c r="AD246" s="699"/>
      <c r="AE246" s="7"/>
      <c r="AF246" s="618">
        <f t="shared" si="22"/>
        <v>0</v>
      </c>
      <c r="AG246" s="7"/>
      <c r="AH246" s="7"/>
      <c r="AI246" s="7"/>
      <c r="AJ246" s="7"/>
      <c r="AK246" s="7"/>
      <c r="AL246" s="7"/>
    </row>
    <row r="247" spans="1:38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4"/>
      <c r="F247" s="214"/>
      <c r="G247" s="215"/>
      <c r="H247" s="215"/>
      <c r="I247" s="215"/>
      <c r="J247" s="214"/>
      <c r="K247" s="214"/>
      <c r="L247" s="620"/>
      <c r="M247" s="213"/>
      <c r="N247" s="213"/>
      <c r="O247" s="215"/>
      <c r="P247" s="213"/>
      <c r="Q247" s="213">
        <v>0</v>
      </c>
      <c r="R247" s="213"/>
      <c r="S247" s="213"/>
      <c r="T247" s="213"/>
      <c r="U247" s="213"/>
      <c r="V247" s="213"/>
      <c r="W247" s="213"/>
      <c r="X247" s="643"/>
      <c r="Y247" s="616">
        <f t="shared" si="1"/>
        <v>0</v>
      </c>
      <c r="Z247" s="633"/>
      <c r="AA247" s="636"/>
      <c r="AB247" s="636"/>
      <c r="AC247" s="7"/>
      <c r="AD247" s="699"/>
      <c r="AE247" s="7"/>
      <c r="AF247" s="618">
        <f t="shared" si="22"/>
        <v>0</v>
      </c>
      <c r="AG247" s="7"/>
      <c r="AH247" s="7"/>
      <c r="AI247" s="7"/>
      <c r="AJ247" s="7"/>
      <c r="AK247" s="7"/>
      <c r="AL247" s="7"/>
    </row>
    <row r="248" spans="1:38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4"/>
      <c r="F248" s="214"/>
      <c r="G248" s="215"/>
      <c r="H248" s="215"/>
      <c r="I248" s="215"/>
      <c r="J248" s="214"/>
      <c r="K248" s="214"/>
      <c r="L248" s="620"/>
      <c r="M248" s="213"/>
      <c r="N248" s="213"/>
      <c r="O248" s="215"/>
      <c r="P248" s="213"/>
      <c r="Q248" s="213">
        <v>0</v>
      </c>
      <c r="R248" s="213"/>
      <c r="S248" s="213"/>
      <c r="T248" s="213"/>
      <c r="U248" s="213"/>
      <c r="V248" s="213"/>
      <c r="W248" s="213"/>
      <c r="X248" s="643"/>
      <c r="Y248" s="616">
        <f t="shared" si="1"/>
        <v>0</v>
      </c>
      <c r="Z248" s="633"/>
      <c r="AA248" s="636"/>
      <c r="AB248" s="636"/>
      <c r="AC248" s="7"/>
      <c r="AD248" s="699"/>
      <c r="AE248" s="7"/>
      <c r="AF248" s="618">
        <f t="shared" si="22"/>
        <v>0</v>
      </c>
      <c r="AG248" s="7"/>
      <c r="AH248" s="7"/>
      <c r="AI248" s="7"/>
      <c r="AJ248" s="7"/>
      <c r="AK248" s="7"/>
      <c r="AL248" s="7"/>
    </row>
    <row r="249" spans="1:38" ht="20.25" customHeight="1">
      <c r="A249" s="503" t="s">
        <v>1020</v>
      </c>
      <c r="B249" s="483" t="s">
        <v>566</v>
      </c>
      <c r="C249" s="629" t="s">
        <v>567</v>
      </c>
      <c r="D249" s="485" t="s">
        <v>1808</v>
      </c>
      <c r="E249" s="214"/>
      <c r="F249" s="214"/>
      <c r="G249" s="215"/>
      <c r="H249" s="215"/>
      <c r="I249" s="215"/>
      <c r="J249" s="214"/>
      <c r="K249" s="214"/>
      <c r="L249" s="620"/>
      <c r="M249" s="213"/>
      <c r="N249" s="213"/>
      <c r="O249" s="215"/>
      <c r="P249" s="213"/>
      <c r="Q249" s="213">
        <v>0</v>
      </c>
      <c r="R249" s="213"/>
      <c r="S249" s="213"/>
      <c r="T249" s="213"/>
      <c r="U249" s="213"/>
      <c r="V249" s="213"/>
      <c r="W249" s="213"/>
      <c r="X249" s="643"/>
      <c r="Y249" s="616">
        <f t="shared" si="1"/>
        <v>0</v>
      </c>
      <c r="Z249" s="633"/>
      <c r="AA249" s="636"/>
      <c r="AB249" s="636"/>
      <c r="AC249" s="7"/>
      <c r="AD249" s="699"/>
      <c r="AE249" s="7"/>
      <c r="AF249" s="618">
        <f t="shared" si="22"/>
        <v>0</v>
      </c>
      <c r="AG249" s="7"/>
      <c r="AH249" s="7"/>
      <c r="AI249" s="7"/>
      <c r="AJ249" s="7"/>
      <c r="AK249" s="7"/>
      <c r="AL249" s="7"/>
    </row>
    <row r="250" spans="1:38" ht="20.25" customHeight="1">
      <c r="A250" s="503" t="s">
        <v>1022</v>
      </c>
      <c r="B250" s="483" t="s">
        <v>569</v>
      </c>
      <c r="C250" s="629" t="s">
        <v>570</v>
      </c>
      <c r="D250" s="485" t="s">
        <v>1809</v>
      </c>
      <c r="E250" s="214"/>
      <c r="F250" s="214"/>
      <c r="G250" s="215"/>
      <c r="H250" s="215"/>
      <c r="I250" s="215"/>
      <c r="J250" s="214"/>
      <c r="K250" s="214"/>
      <c r="L250" s="620"/>
      <c r="M250" s="213"/>
      <c r="N250" s="213"/>
      <c r="O250" s="215"/>
      <c r="P250" s="213"/>
      <c r="Q250" s="213">
        <v>0</v>
      </c>
      <c r="R250" s="213"/>
      <c r="S250" s="213"/>
      <c r="T250" s="213"/>
      <c r="U250" s="213"/>
      <c r="V250" s="213"/>
      <c r="W250" s="213"/>
      <c r="X250" s="643"/>
      <c r="Y250" s="616">
        <f t="shared" si="1"/>
        <v>0</v>
      </c>
      <c r="Z250" s="633"/>
      <c r="AA250" s="636"/>
      <c r="AB250" s="636"/>
      <c r="AC250" s="7"/>
      <c r="AD250" s="699"/>
      <c r="AE250" s="7"/>
      <c r="AF250" s="618">
        <f t="shared" si="22"/>
        <v>0</v>
      </c>
      <c r="AG250" s="7"/>
      <c r="AH250" s="7"/>
      <c r="AI250" s="7"/>
      <c r="AJ250" s="7"/>
      <c r="AK250" s="7"/>
      <c r="AL250" s="7"/>
    </row>
    <row r="251" spans="1:38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4"/>
      <c r="F251" s="214"/>
      <c r="G251" s="215"/>
      <c r="H251" s="215"/>
      <c r="I251" s="215"/>
      <c r="J251" s="214"/>
      <c r="K251" s="214"/>
      <c r="L251" s="647"/>
      <c r="M251" s="213"/>
      <c r="N251" s="213"/>
      <c r="O251" s="215"/>
      <c r="P251" s="213"/>
      <c r="Q251" s="213">
        <v>0</v>
      </c>
      <c r="R251" s="213"/>
      <c r="S251" s="213"/>
      <c r="T251" s="213"/>
      <c r="U251" s="213"/>
      <c r="V251" s="213"/>
      <c r="W251" s="213"/>
      <c r="X251" s="643"/>
      <c r="Y251" s="616">
        <f t="shared" si="1"/>
        <v>0</v>
      </c>
      <c r="Z251" s="633"/>
      <c r="AA251" s="636"/>
      <c r="AB251" s="636"/>
      <c r="AC251" s="7"/>
      <c r="AD251" s="699"/>
      <c r="AE251" s="7"/>
      <c r="AF251" s="618">
        <f t="shared" si="22"/>
        <v>0</v>
      </c>
      <c r="AG251" s="7"/>
      <c r="AH251" s="7"/>
      <c r="AI251" s="7"/>
      <c r="AJ251" s="7"/>
      <c r="AK251" s="7"/>
      <c r="AL251" s="7"/>
    </row>
    <row r="252" spans="1:38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4"/>
      <c r="F252" s="214"/>
      <c r="G252" s="215"/>
      <c r="H252" s="215"/>
      <c r="I252" s="215"/>
      <c r="J252" s="214"/>
      <c r="K252" s="214"/>
      <c r="L252" s="647"/>
      <c r="M252" s="213"/>
      <c r="N252" s="213"/>
      <c r="O252" s="215"/>
      <c r="P252" s="213"/>
      <c r="Q252" s="213">
        <v>0</v>
      </c>
      <c r="R252" s="213"/>
      <c r="S252" s="213"/>
      <c r="T252" s="213"/>
      <c r="U252" s="213"/>
      <c r="V252" s="213"/>
      <c r="W252" s="213"/>
      <c r="X252" s="643"/>
      <c r="Y252" s="616">
        <f t="shared" si="1"/>
        <v>0</v>
      </c>
      <c r="Z252" s="633"/>
      <c r="AA252" s="636"/>
      <c r="AB252" s="636"/>
      <c r="AC252" s="7"/>
      <c r="AD252" s="699"/>
      <c r="AE252" s="7"/>
      <c r="AF252" s="618">
        <f t="shared" si="22"/>
        <v>0</v>
      </c>
      <c r="AG252" s="7"/>
      <c r="AH252" s="7"/>
      <c r="AI252" s="7"/>
      <c r="AJ252" s="7"/>
      <c r="AK252" s="7"/>
      <c r="AL252" s="7"/>
    </row>
    <row r="253" spans="1:38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4"/>
      <c r="F253" s="214"/>
      <c r="G253" s="215"/>
      <c r="H253" s="215"/>
      <c r="I253" s="215"/>
      <c r="J253" s="214"/>
      <c r="K253" s="214"/>
      <c r="L253" s="662"/>
      <c r="M253" s="213"/>
      <c r="N253" s="213"/>
      <c r="O253" s="215"/>
      <c r="P253" s="213"/>
      <c r="Q253" s="213">
        <v>0</v>
      </c>
      <c r="R253" s="213"/>
      <c r="S253" s="213"/>
      <c r="T253" s="213"/>
      <c r="U253" s="213"/>
      <c r="V253" s="213"/>
      <c r="W253" s="213"/>
      <c r="X253" s="643"/>
      <c r="Y253" s="616">
        <f t="shared" si="1"/>
        <v>0</v>
      </c>
      <c r="Z253" s="633"/>
      <c r="AA253" s="636"/>
      <c r="AB253" s="636"/>
      <c r="AC253" s="7"/>
      <c r="AD253" s="699"/>
      <c r="AE253" s="7"/>
      <c r="AF253" s="618">
        <f t="shared" si="22"/>
        <v>0</v>
      </c>
      <c r="AG253" s="7"/>
      <c r="AH253" s="7"/>
      <c r="AI253" s="7"/>
      <c r="AJ253" s="7"/>
      <c r="AK253" s="7"/>
      <c r="AL253" s="7"/>
    </row>
    <row r="254" spans="1:38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4"/>
      <c r="F254" s="214"/>
      <c r="G254" s="215"/>
      <c r="H254" s="215"/>
      <c r="I254" s="215"/>
      <c r="J254" s="214"/>
      <c r="K254" s="214"/>
      <c r="L254" s="620"/>
      <c r="M254" s="213"/>
      <c r="N254" s="213"/>
      <c r="O254" s="215"/>
      <c r="P254" s="213"/>
      <c r="Q254" s="213">
        <v>0</v>
      </c>
      <c r="R254" s="213"/>
      <c r="S254" s="213"/>
      <c r="T254" s="213"/>
      <c r="U254" s="213"/>
      <c r="V254" s="213"/>
      <c r="W254" s="213"/>
      <c r="X254" s="643"/>
      <c r="Y254" s="616">
        <f t="shared" si="1"/>
        <v>0</v>
      </c>
      <c r="Z254" s="633"/>
      <c r="AA254" s="636"/>
      <c r="AB254" s="636"/>
      <c r="AC254" s="7"/>
      <c r="AD254" s="699"/>
      <c r="AE254" s="7"/>
      <c r="AF254" s="618">
        <f t="shared" si="22"/>
        <v>0</v>
      </c>
      <c r="AG254" s="7"/>
      <c r="AH254" s="7"/>
      <c r="AI254" s="7"/>
      <c r="AJ254" s="7"/>
      <c r="AK254" s="7"/>
      <c r="AL254" s="7"/>
    </row>
    <row r="255" spans="1:38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4"/>
      <c r="F255" s="214"/>
      <c r="G255" s="215"/>
      <c r="H255" s="215"/>
      <c r="I255" s="215"/>
      <c r="J255" s="214"/>
      <c r="K255" s="214"/>
      <c r="L255" s="647"/>
      <c r="M255" s="213"/>
      <c r="N255" s="213"/>
      <c r="O255" s="215"/>
      <c r="P255" s="213"/>
      <c r="Q255" s="213">
        <v>0</v>
      </c>
      <c r="R255" s="213"/>
      <c r="S255" s="213"/>
      <c r="T255" s="213"/>
      <c r="U255" s="213"/>
      <c r="V255" s="213"/>
      <c r="W255" s="213"/>
      <c r="X255" s="643"/>
      <c r="Y255" s="616">
        <f t="shared" si="1"/>
        <v>0</v>
      </c>
      <c r="Z255" s="633"/>
      <c r="AA255" s="636"/>
      <c r="AB255" s="636"/>
      <c r="AC255" s="7"/>
      <c r="AD255" s="699"/>
      <c r="AE255" s="7"/>
      <c r="AF255" s="618">
        <f t="shared" si="22"/>
        <v>0</v>
      </c>
      <c r="AG255" s="7"/>
      <c r="AH255" s="7"/>
      <c r="AI255" s="7"/>
      <c r="AJ255" s="7"/>
      <c r="AK255" s="7"/>
      <c r="AL255" s="7"/>
    </row>
    <row r="256" spans="1:38" ht="20.25" customHeight="1">
      <c r="A256" s="486">
        <v>9.4</v>
      </c>
      <c r="B256" s="487" t="s">
        <v>581</v>
      </c>
      <c r="C256" s="635" t="s">
        <v>582</v>
      </c>
      <c r="D256" s="512"/>
      <c r="E256" s="214"/>
      <c r="F256" s="214"/>
      <c r="G256" s="215"/>
      <c r="H256" s="215"/>
      <c r="I256" s="215"/>
      <c r="J256" s="214"/>
      <c r="K256" s="214"/>
      <c r="L256" s="647"/>
      <c r="M256" s="213"/>
      <c r="N256" s="213"/>
      <c r="O256" s="215"/>
      <c r="P256" s="213"/>
      <c r="Q256" s="213">
        <v>0</v>
      </c>
      <c r="R256" s="213"/>
      <c r="S256" s="213"/>
      <c r="T256" s="213"/>
      <c r="U256" s="213"/>
      <c r="V256" s="213"/>
      <c r="W256" s="213"/>
      <c r="X256" s="643"/>
      <c r="Y256" s="616">
        <f t="shared" si="1"/>
        <v>0</v>
      </c>
      <c r="Z256" s="633"/>
      <c r="AA256" s="636"/>
      <c r="AB256" s="636"/>
      <c r="AC256" s="7"/>
      <c r="AD256" s="699"/>
      <c r="AE256" s="7"/>
      <c r="AF256" s="618">
        <f t="shared" si="22"/>
        <v>0</v>
      </c>
      <c r="AG256" s="7"/>
      <c r="AH256" s="7"/>
      <c r="AI256" s="7"/>
      <c r="AJ256" s="7"/>
      <c r="AK256" s="7"/>
      <c r="AL256" s="7"/>
    </row>
    <row r="257" spans="1:38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4"/>
      <c r="F257" s="214"/>
      <c r="G257" s="215"/>
      <c r="H257" s="215"/>
      <c r="I257" s="215"/>
      <c r="J257" s="214"/>
      <c r="K257" s="214"/>
      <c r="L257" s="647"/>
      <c r="M257" s="213"/>
      <c r="N257" s="213"/>
      <c r="O257" s="215"/>
      <c r="P257" s="213"/>
      <c r="Q257" s="213">
        <v>0</v>
      </c>
      <c r="R257" s="213"/>
      <c r="S257" s="213"/>
      <c r="T257" s="213"/>
      <c r="U257" s="213"/>
      <c r="V257" s="213"/>
      <c r="W257" s="213"/>
      <c r="X257" s="643"/>
      <c r="Y257" s="616">
        <f t="shared" si="1"/>
        <v>0</v>
      </c>
      <c r="Z257" s="633"/>
      <c r="AA257" s="648"/>
      <c r="AB257" s="648"/>
      <c r="AC257" s="7"/>
      <c r="AD257" s="699"/>
      <c r="AE257" s="7"/>
      <c r="AF257" s="618">
        <f t="shared" si="22"/>
        <v>0</v>
      </c>
      <c r="AG257" s="7"/>
      <c r="AH257" s="7"/>
      <c r="AI257" s="7"/>
      <c r="AJ257" s="7"/>
      <c r="AK257" s="7"/>
      <c r="AL257" s="7"/>
    </row>
    <row r="258" spans="1:38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4"/>
      <c r="F258" s="214"/>
      <c r="G258" s="215"/>
      <c r="H258" s="215"/>
      <c r="I258" s="215"/>
      <c r="J258" s="214"/>
      <c r="K258" s="214"/>
      <c r="L258" s="647"/>
      <c r="M258" s="213"/>
      <c r="N258" s="213"/>
      <c r="O258" s="215"/>
      <c r="P258" s="213"/>
      <c r="Q258" s="213">
        <v>0</v>
      </c>
      <c r="R258" s="213"/>
      <c r="S258" s="213"/>
      <c r="T258" s="213"/>
      <c r="U258" s="213"/>
      <c r="V258" s="213"/>
      <c r="W258" s="213"/>
      <c r="X258" s="643"/>
      <c r="Y258" s="616">
        <f t="shared" si="1"/>
        <v>0</v>
      </c>
      <c r="Z258" s="633"/>
      <c r="AA258" s="648"/>
      <c r="AB258" s="648"/>
      <c r="AC258" s="7"/>
      <c r="AD258" s="699"/>
      <c r="AE258" s="7"/>
      <c r="AF258" s="618">
        <f t="shared" si="22"/>
        <v>0</v>
      </c>
      <c r="AG258" s="7"/>
      <c r="AH258" s="7"/>
      <c r="AI258" s="7"/>
      <c r="AJ258" s="7"/>
      <c r="AK258" s="7"/>
      <c r="AL258" s="7"/>
    </row>
    <row r="259" spans="1:38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4"/>
      <c r="F259" s="214"/>
      <c r="G259" s="215"/>
      <c r="H259" s="215"/>
      <c r="I259" s="215"/>
      <c r="J259" s="214"/>
      <c r="K259" s="214"/>
      <c r="L259" s="662"/>
      <c r="M259" s="213"/>
      <c r="N259" s="213"/>
      <c r="O259" s="215"/>
      <c r="P259" s="213"/>
      <c r="Q259" s="213">
        <v>0</v>
      </c>
      <c r="R259" s="213"/>
      <c r="S259" s="213"/>
      <c r="T259" s="213"/>
      <c r="U259" s="213"/>
      <c r="V259" s="213"/>
      <c r="W259" s="213"/>
      <c r="X259" s="643"/>
      <c r="Y259" s="616">
        <f t="shared" si="1"/>
        <v>0</v>
      </c>
      <c r="Z259" s="633"/>
      <c r="AA259" s="648"/>
      <c r="AB259" s="648"/>
      <c r="AC259" s="7"/>
      <c r="AD259" s="699"/>
      <c r="AE259" s="7"/>
      <c r="AF259" s="618">
        <f t="shared" si="22"/>
        <v>0</v>
      </c>
      <c r="AG259" s="7"/>
      <c r="AH259" s="7"/>
      <c r="AI259" s="7"/>
      <c r="AJ259" s="7"/>
      <c r="AK259" s="7"/>
      <c r="AL259" s="7"/>
    </row>
    <row r="260" spans="1:38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4"/>
      <c r="F260" s="214"/>
      <c r="G260" s="215"/>
      <c r="H260" s="215"/>
      <c r="I260" s="215"/>
      <c r="J260" s="214"/>
      <c r="K260" s="214"/>
      <c r="L260" s="647"/>
      <c r="M260" s="213"/>
      <c r="N260" s="213"/>
      <c r="O260" s="215"/>
      <c r="P260" s="213"/>
      <c r="Q260" s="213">
        <v>0</v>
      </c>
      <c r="R260" s="213"/>
      <c r="S260" s="213"/>
      <c r="T260" s="213"/>
      <c r="U260" s="213"/>
      <c r="V260" s="213"/>
      <c r="W260" s="213"/>
      <c r="X260" s="643"/>
      <c r="Y260" s="616">
        <f t="shared" si="1"/>
        <v>0</v>
      </c>
      <c r="Z260" s="633"/>
      <c r="AA260" s="648"/>
      <c r="AB260" s="648"/>
      <c r="AC260" s="7"/>
      <c r="AD260" s="699"/>
      <c r="AE260" s="7"/>
      <c r="AF260" s="618">
        <f t="shared" si="22"/>
        <v>0</v>
      </c>
      <c r="AG260" s="7"/>
      <c r="AH260" s="7"/>
      <c r="AI260" s="7"/>
      <c r="AJ260" s="7"/>
      <c r="AK260" s="7"/>
      <c r="AL260" s="7"/>
    </row>
    <row r="261" spans="1:38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4"/>
      <c r="F261" s="214"/>
      <c r="G261" s="215"/>
      <c r="H261" s="215"/>
      <c r="I261" s="215"/>
      <c r="J261" s="214"/>
      <c r="K261" s="214"/>
      <c r="L261" s="647"/>
      <c r="M261" s="213"/>
      <c r="N261" s="213"/>
      <c r="O261" s="215"/>
      <c r="P261" s="213"/>
      <c r="Q261" s="213">
        <v>0</v>
      </c>
      <c r="R261" s="213"/>
      <c r="S261" s="213"/>
      <c r="T261" s="213"/>
      <c r="U261" s="213"/>
      <c r="V261" s="213"/>
      <c r="W261" s="213"/>
      <c r="X261" s="643"/>
      <c r="Y261" s="616">
        <f t="shared" si="1"/>
        <v>0</v>
      </c>
      <c r="Z261" s="633"/>
      <c r="AA261" s="648"/>
      <c r="AB261" s="648"/>
      <c r="AC261" s="7"/>
      <c r="AD261" s="699"/>
      <c r="AE261" s="7"/>
      <c r="AF261" s="618">
        <f t="shared" si="22"/>
        <v>0</v>
      </c>
      <c r="AG261" s="7"/>
      <c r="AH261" s="7"/>
      <c r="AI261" s="7"/>
      <c r="AJ261" s="7"/>
      <c r="AK261" s="7"/>
      <c r="AL261" s="7"/>
    </row>
    <row r="262" spans="1:38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4"/>
      <c r="F262" s="214"/>
      <c r="G262" s="215"/>
      <c r="H262" s="215"/>
      <c r="I262" s="215"/>
      <c r="J262" s="214"/>
      <c r="K262" s="214"/>
      <c r="L262" s="647"/>
      <c r="M262" s="213"/>
      <c r="N262" s="213"/>
      <c r="O262" s="215"/>
      <c r="P262" s="213"/>
      <c r="Q262" s="213">
        <v>0</v>
      </c>
      <c r="R262" s="213"/>
      <c r="S262" s="213"/>
      <c r="T262" s="213"/>
      <c r="U262" s="213"/>
      <c r="V262" s="213"/>
      <c r="W262" s="213"/>
      <c r="X262" s="643"/>
      <c r="Y262" s="616">
        <f t="shared" si="1"/>
        <v>0</v>
      </c>
      <c r="Z262" s="633"/>
      <c r="AA262" s="648"/>
      <c r="AB262" s="648"/>
      <c r="AC262" s="7"/>
      <c r="AD262" s="699"/>
      <c r="AE262" s="7"/>
      <c r="AF262" s="618">
        <f t="shared" si="22"/>
        <v>0</v>
      </c>
      <c r="AG262" s="7"/>
      <c r="AH262" s="7"/>
      <c r="AI262" s="7"/>
      <c r="AJ262" s="7"/>
      <c r="AK262" s="7"/>
      <c r="AL262" s="7"/>
    </row>
    <row r="263" spans="1:38" ht="20.25" customHeight="1">
      <c r="A263" s="486">
        <v>9.5</v>
      </c>
      <c r="B263" s="487" t="s">
        <v>596</v>
      </c>
      <c r="C263" s="635" t="s">
        <v>597</v>
      </c>
      <c r="D263" s="504"/>
      <c r="E263" s="214"/>
      <c r="F263" s="214"/>
      <c r="G263" s="215"/>
      <c r="H263" s="215"/>
      <c r="I263" s="215"/>
      <c r="J263" s="214"/>
      <c r="K263" s="214"/>
      <c r="L263" s="647"/>
      <c r="M263" s="213"/>
      <c r="N263" s="213"/>
      <c r="O263" s="215"/>
      <c r="P263" s="213"/>
      <c r="Q263" s="213">
        <v>0</v>
      </c>
      <c r="R263" s="213"/>
      <c r="S263" s="213"/>
      <c r="T263" s="213"/>
      <c r="U263" s="213"/>
      <c r="V263" s="213"/>
      <c r="W263" s="213"/>
      <c r="X263" s="643"/>
      <c r="Y263" s="616">
        <f t="shared" si="1"/>
        <v>0</v>
      </c>
      <c r="Z263" s="633"/>
      <c r="AA263" s="636"/>
      <c r="AB263" s="636"/>
      <c r="AC263" s="7"/>
      <c r="AD263" s="699"/>
      <c r="AE263" s="7"/>
      <c r="AF263" s="618">
        <f t="shared" si="22"/>
        <v>0</v>
      </c>
      <c r="AG263" s="7"/>
      <c r="AH263" s="7"/>
      <c r="AI263" s="7"/>
      <c r="AJ263" s="7"/>
      <c r="AK263" s="7"/>
      <c r="AL263" s="7"/>
    </row>
    <row r="264" spans="1:38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4"/>
      <c r="F264" s="214"/>
      <c r="G264" s="215"/>
      <c r="H264" s="215"/>
      <c r="I264" s="215"/>
      <c r="J264" s="214"/>
      <c r="K264" s="214"/>
      <c r="L264" s="647"/>
      <c r="M264" s="213"/>
      <c r="N264" s="213"/>
      <c r="O264" s="215"/>
      <c r="P264" s="213"/>
      <c r="Q264" s="213">
        <v>0</v>
      </c>
      <c r="R264" s="213"/>
      <c r="S264" s="213"/>
      <c r="T264" s="213"/>
      <c r="U264" s="213"/>
      <c r="V264" s="213"/>
      <c r="W264" s="213"/>
      <c r="X264" s="643"/>
      <c r="Y264" s="616">
        <f t="shared" si="1"/>
        <v>0</v>
      </c>
      <c r="Z264" s="633"/>
      <c r="AA264" s="648"/>
      <c r="AB264" s="648"/>
      <c r="AC264" s="7"/>
      <c r="AD264" s="699"/>
      <c r="AE264" s="7"/>
      <c r="AF264" s="618">
        <f t="shared" si="22"/>
        <v>0</v>
      </c>
      <c r="AG264" s="7"/>
      <c r="AH264" s="7"/>
      <c r="AI264" s="7"/>
      <c r="AJ264" s="7"/>
      <c r="AK264" s="7"/>
      <c r="AL264" s="7"/>
    </row>
    <row r="265" spans="1:38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4"/>
      <c r="F265" s="214"/>
      <c r="G265" s="215"/>
      <c r="H265" s="215"/>
      <c r="I265" s="215"/>
      <c r="J265" s="214"/>
      <c r="K265" s="214"/>
      <c r="L265" s="662"/>
      <c r="M265" s="213"/>
      <c r="N265" s="213"/>
      <c r="O265" s="215"/>
      <c r="P265" s="213"/>
      <c r="Q265" s="213">
        <v>0</v>
      </c>
      <c r="R265" s="213"/>
      <c r="S265" s="213"/>
      <c r="T265" s="213"/>
      <c r="U265" s="213"/>
      <c r="V265" s="213"/>
      <c r="W265" s="213"/>
      <c r="X265" s="643"/>
      <c r="Y265" s="616">
        <f t="shared" si="1"/>
        <v>0</v>
      </c>
      <c r="Z265" s="633"/>
      <c r="AA265" s="648"/>
      <c r="AB265" s="648"/>
      <c r="AC265" s="7"/>
      <c r="AD265" s="699"/>
      <c r="AE265" s="7"/>
      <c r="AF265" s="618">
        <f t="shared" si="22"/>
        <v>0</v>
      </c>
      <c r="AG265" s="7"/>
      <c r="AH265" s="7"/>
      <c r="AI265" s="7"/>
      <c r="AJ265" s="7"/>
      <c r="AK265" s="7"/>
      <c r="AL265" s="7"/>
    </row>
    <row r="266" spans="1:38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4"/>
      <c r="F266" s="214"/>
      <c r="G266" s="215"/>
      <c r="H266" s="215"/>
      <c r="I266" s="215"/>
      <c r="J266" s="214"/>
      <c r="K266" s="214"/>
      <c r="L266" s="647"/>
      <c r="M266" s="213"/>
      <c r="N266" s="213"/>
      <c r="O266" s="215"/>
      <c r="P266" s="213"/>
      <c r="Q266" s="213">
        <v>0</v>
      </c>
      <c r="R266" s="213"/>
      <c r="S266" s="213"/>
      <c r="T266" s="213"/>
      <c r="U266" s="213"/>
      <c r="V266" s="213"/>
      <c r="W266" s="213"/>
      <c r="X266" s="643"/>
      <c r="Y266" s="616">
        <f t="shared" si="1"/>
        <v>0</v>
      </c>
      <c r="Z266" s="633"/>
      <c r="AA266" s="648"/>
      <c r="AB266" s="648"/>
      <c r="AC266" s="7"/>
      <c r="AD266" s="699"/>
      <c r="AE266" s="7"/>
      <c r="AF266" s="618">
        <f t="shared" si="22"/>
        <v>0</v>
      </c>
      <c r="AG266" s="7"/>
      <c r="AH266" s="7"/>
      <c r="AI266" s="7"/>
      <c r="AJ266" s="7"/>
      <c r="AK266" s="7"/>
      <c r="AL266" s="7"/>
    </row>
    <row r="267" spans="1:38" ht="20.25" customHeight="1">
      <c r="A267" s="503" t="s">
        <v>605</v>
      </c>
      <c r="B267" s="483" t="s">
        <v>606</v>
      </c>
      <c r="C267" s="629" t="s">
        <v>593</v>
      </c>
      <c r="D267" s="485" t="s">
        <v>1810</v>
      </c>
      <c r="E267" s="214"/>
      <c r="F267" s="214"/>
      <c r="G267" s="215"/>
      <c r="H267" s="215"/>
      <c r="I267" s="215"/>
      <c r="J267" s="214"/>
      <c r="K267" s="214"/>
      <c r="L267" s="620"/>
      <c r="M267" s="213"/>
      <c r="N267" s="213"/>
      <c r="O267" s="215"/>
      <c r="P267" s="213"/>
      <c r="Q267" s="213">
        <v>0</v>
      </c>
      <c r="R267" s="213"/>
      <c r="S267" s="213"/>
      <c r="T267" s="213"/>
      <c r="U267" s="213"/>
      <c r="V267" s="213"/>
      <c r="W267" s="213"/>
      <c r="X267" s="643"/>
      <c r="Y267" s="616">
        <f t="shared" si="1"/>
        <v>0</v>
      </c>
      <c r="Z267" s="633"/>
      <c r="AA267" s="648"/>
      <c r="AB267" s="648"/>
      <c r="AC267" s="7"/>
      <c r="AD267" s="699"/>
      <c r="AE267" s="7"/>
      <c r="AF267" s="618">
        <f t="shared" si="22"/>
        <v>0</v>
      </c>
      <c r="AG267" s="7"/>
      <c r="AH267" s="7"/>
      <c r="AI267" s="7"/>
      <c r="AJ267" s="7"/>
      <c r="AK267" s="7"/>
      <c r="AL267" s="7"/>
    </row>
    <row r="268" spans="1:38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4"/>
      <c r="F268" s="214"/>
      <c r="G268" s="215"/>
      <c r="H268" s="215"/>
      <c r="I268" s="215"/>
      <c r="J268" s="214"/>
      <c r="K268" s="214"/>
      <c r="L268" s="647"/>
      <c r="M268" s="213"/>
      <c r="N268" s="213"/>
      <c r="O268" s="215"/>
      <c r="P268" s="213"/>
      <c r="Q268" s="213">
        <v>0</v>
      </c>
      <c r="R268" s="213"/>
      <c r="S268" s="213"/>
      <c r="T268" s="213"/>
      <c r="U268" s="213"/>
      <c r="V268" s="213"/>
      <c r="W268" s="213"/>
      <c r="X268" s="643"/>
      <c r="Y268" s="616">
        <f t="shared" si="1"/>
        <v>0</v>
      </c>
      <c r="Z268" s="633"/>
      <c r="AA268" s="648"/>
      <c r="AB268" s="648"/>
      <c r="AC268" s="7"/>
      <c r="AD268" s="699"/>
      <c r="AE268" s="7"/>
      <c r="AF268" s="618">
        <f t="shared" si="22"/>
        <v>0</v>
      </c>
      <c r="AG268" s="7"/>
      <c r="AH268" s="7"/>
      <c r="AI268" s="7"/>
      <c r="AJ268" s="7"/>
      <c r="AK268" s="7"/>
      <c r="AL268" s="7"/>
    </row>
    <row r="269" spans="1:38" ht="20.25" customHeight="1">
      <c r="A269" s="486">
        <v>9.6</v>
      </c>
      <c r="B269" s="487" t="s">
        <v>610</v>
      </c>
      <c r="C269" s="635" t="s">
        <v>611</v>
      </c>
      <c r="D269" s="504"/>
      <c r="E269" s="214"/>
      <c r="F269" s="214"/>
      <c r="G269" s="215"/>
      <c r="H269" s="215"/>
      <c r="I269" s="215"/>
      <c r="J269" s="214"/>
      <c r="K269" s="214"/>
      <c r="L269" s="647"/>
      <c r="M269" s="213"/>
      <c r="N269" s="213"/>
      <c r="O269" s="215"/>
      <c r="P269" s="213"/>
      <c r="Q269" s="213">
        <v>0</v>
      </c>
      <c r="R269" s="213"/>
      <c r="S269" s="213"/>
      <c r="T269" s="213"/>
      <c r="U269" s="213"/>
      <c r="V269" s="213"/>
      <c r="W269" s="213"/>
      <c r="X269" s="643"/>
      <c r="Y269" s="616">
        <f t="shared" si="1"/>
        <v>0</v>
      </c>
      <c r="Z269" s="633"/>
      <c r="AA269" s="636"/>
      <c r="AB269" s="636"/>
      <c r="AC269" s="7"/>
      <c r="AD269" s="699"/>
      <c r="AE269" s="7"/>
      <c r="AF269" s="618">
        <f t="shared" si="22"/>
        <v>0</v>
      </c>
      <c r="AG269" s="7"/>
      <c r="AH269" s="7"/>
      <c r="AI269" s="7"/>
      <c r="AJ269" s="7"/>
      <c r="AK269" s="7"/>
      <c r="AL269" s="7"/>
    </row>
    <row r="270" spans="1:38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4"/>
      <c r="F270" s="214"/>
      <c r="G270" s="215"/>
      <c r="H270" s="215"/>
      <c r="I270" s="215"/>
      <c r="J270" s="214"/>
      <c r="K270" s="214"/>
      <c r="L270" s="647"/>
      <c r="M270" s="213"/>
      <c r="N270" s="213"/>
      <c r="O270" s="215"/>
      <c r="P270" s="213"/>
      <c r="Q270" s="213">
        <v>0</v>
      </c>
      <c r="R270" s="213"/>
      <c r="S270" s="213"/>
      <c r="T270" s="213"/>
      <c r="U270" s="213"/>
      <c r="V270" s="213"/>
      <c r="W270" s="213"/>
      <c r="X270" s="643"/>
      <c r="Y270" s="616">
        <f t="shared" si="1"/>
        <v>0</v>
      </c>
      <c r="Z270" s="633"/>
      <c r="AA270" s="648"/>
      <c r="AB270" s="648"/>
      <c r="AC270" s="7"/>
      <c r="AD270" s="699"/>
      <c r="AE270" s="7"/>
      <c r="AF270" s="618">
        <f t="shared" si="22"/>
        <v>0</v>
      </c>
      <c r="AG270" s="7"/>
      <c r="AH270" s="7"/>
      <c r="AI270" s="7"/>
      <c r="AJ270" s="7"/>
      <c r="AK270" s="7"/>
      <c r="AL270" s="7"/>
    </row>
    <row r="271" spans="1:38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4"/>
      <c r="F271" s="214"/>
      <c r="G271" s="215"/>
      <c r="H271" s="215"/>
      <c r="I271" s="215"/>
      <c r="J271" s="214"/>
      <c r="K271" s="214"/>
      <c r="L271" s="647"/>
      <c r="M271" s="213"/>
      <c r="N271" s="213"/>
      <c r="O271" s="215"/>
      <c r="P271" s="213"/>
      <c r="Q271" s="213">
        <v>0</v>
      </c>
      <c r="R271" s="213"/>
      <c r="S271" s="213"/>
      <c r="T271" s="213"/>
      <c r="U271" s="213"/>
      <c r="V271" s="213"/>
      <c r="W271" s="213"/>
      <c r="X271" s="643"/>
      <c r="Y271" s="616">
        <f t="shared" si="1"/>
        <v>0</v>
      </c>
      <c r="Z271" s="633"/>
      <c r="AA271" s="648"/>
      <c r="AB271" s="648"/>
      <c r="AC271" s="7"/>
      <c r="AD271" s="699"/>
      <c r="AE271" s="7"/>
      <c r="AF271" s="618">
        <f t="shared" si="22"/>
        <v>0</v>
      </c>
      <c r="AG271" s="7"/>
      <c r="AH271" s="7"/>
      <c r="AI271" s="7"/>
      <c r="AJ271" s="7"/>
      <c r="AK271" s="7"/>
      <c r="AL271" s="7"/>
    </row>
    <row r="272" spans="1:38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4"/>
      <c r="F272" s="214"/>
      <c r="G272" s="215"/>
      <c r="H272" s="215"/>
      <c r="I272" s="215"/>
      <c r="J272" s="214"/>
      <c r="K272" s="214"/>
      <c r="L272" s="662"/>
      <c r="M272" s="213"/>
      <c r="N272" s="213"/>
      <c r="O272" s="215"/>
      <c r="P272" s="213"/>
      <c r="Q272" s="213">
        <v>0</v>
      </c>
      <c r="R272" s="213"/>
      <c r="S272" s="213"/>
      <c r="T272" s="213"/>
      <c r="U272" s="213"/>
      <c r="V272" s="213"/>
      <c r="W272" s="213"/>
      <c r="X272" s="643"/>
      <c r="Y272" s="616">
        <f t="shared" si="1"/>
        <v>0</v>
      </c>
      <c r="Z272" s="633"/>
      <c r="AA272" s="648"/>
      <c r="AB272" s="648"/>
      <c r="AC272" s="7"/>
      <c r="AD272" s="699"/>
      <c r="AE272" s="7"/>
      <c r="AF272" s="618">
        <f t="shared" si="22"/>
        <v>0</v>
      </c>
      <c r="AG272" s="7"/>
      <c r="AH272" s="7"/>
      <c r="AI272" s="7"/>
      <c r="AJ272" s="7"/>
      <c r="AK272" s="7"/>
      <c r="AL272" s="7"/>
    </row>
    <row r="273" spans="1:38" ht="20.25" customHeight="1">
      <c r="A273" s="503" t="s">
        <v>620</v>
      </c>
      <c r="B273" s="483" t="s">
        <v>621</v>
      </c>
      <c r="C273" s="629" t="s">
        <v>622</v>
      </c>
      <c r="D273" s="485" t="s">
        <v>1811</v>
      </c>
      <c r="E273" s="214"/>
      <c r="F273" s="214"/>
      <c r="G273" s="215"/>
      <c r="H273" s="215"/>
      <c r="I273" s="215"/>
      <c r="J273" s="214"/>
      <c r="K273" s="214"/>
      <c r="L273" s="620"/>
      <c r="M273" s="213"/>
      <c r="N273" s="213"/>
      <c r="O273" s="215"/>
      <c r="P273" s="213"/>
      <c r="Q273" s="213">
        <v>0</v>
      </c>
      <c r="R273" s="213"/>
      <c r="S273" s="213"/>
      <c r="T273" s="213"/>
      <c r="U273" s="213"/>
      <c r="V273" s="213"/>
      <c r="W273" s="213"/>
      <c r="X273" s="643"/>
      <c r="Y273" s="616">
        <f t="shared" si="1"/>
        <v>0</v>
      </c>
      <c r="Z273" s="633"/>
      <c r="AA273" s="648"/>
      <c r="AB273" s="648"/>
      <c r="AC273" s="7"/>
      <c r="AD273" s="699"/>
      <c r="AE273" s="7"/>
      <c r="AF273" s="618">
        <f t="shared" si="22"/>
        <v>0</v>
      </c>
      <c r="AG273" s="7"/>
      <c r="AH273" s="7"/>
      <c r="AI273" s="7"/>
      <c r="AJ273" s="7"/>
      <c r="AK273" s="7"/>
      <c r="AL273" s="7"/>
    </row>
    <row r="274" spans="1:38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4"/>
      <c r="F274" s="214"/>
      <c r="G274" s="215"/>
      <c r="H274" s="215"/>
      <c r="I274" s="215"/>
      <c r="J274" s="214"/>
      <c r="K274" s="214"/>
      <c r="L274" s="647"/>
      <c r="M274" s="213"/>
      <c r="N274" s="213"/>
      <c r="O274" s="215"/>
      <c r="P274" s="213"/>
      <c r="Q274" s="213">
        <v>0</v>
      </c>
      <c r="R274" s="213"/>
      <c r="S274" s="213"/>
      <c r="T274" s="213"/>
      <c r="U274" s="213"/>
      <c r="V274" s="213"/>
      <c r="W274" s="213"/>
      <c r="X274" s="643"/>
      <c r="Y274" s="616">
        <f t="shared" si="1"/>
        <v>0</v>
      </c>
      <c r="Z274" s="633"/>
      <c r="AA274" s="648"/>
      <c r="AB274" s="648"/>
      <c r="AC274" s="7"/>
      <c r="AD274" s="699"/>
      <c r="AE274" s="7"/>
      <c r="AF274" s="618">
        <f t="shared" si="22"/>
        <v>0</v>
      </c>
      <c r="AG274" s="7"/>
      <c r="AH274" s="7"/>
      <c r="AI274" s="7"/>
      <c r="AJ274" s="7"/>
      <c r="AK274" s="7"/>
      <c r="AL274" s="7"/>
    </row>
    <row r="275" spans="1:38" ht="18" customHeight="1">
      <c r="A275" s="486">
        <v>9.6999999999999993</v>
      </c>
      <c r="B275" s="487" t="s">
        <v>626</v>
      </c>
      <c r="C275" s="635" t="s">
        <v>627</v>
      </c>
      <c r="D275" s="412"/>
      <c r="E275" s="214"/>
      <c r="F275" s="214"/>
      <c r="G275" s="215"/>
      <c r="H275" s="215"/>
      <c r="I275" s="215"/>
      <c r="J275" s="214"/>
      <c r="K275" s="214"/>
      <c r="L275" s="620"/>
      <c r="M275" s="213"/>
      <c r="N275" s="213"/>
      <c r="O275" s="215"/>
      <c r="P275" s="213"/>
      <c r="Q275" s="213">
        <v>0</v>
      </c>
      <c r="R275" s="213"/>
      <c r="S275" s="213"/>
      <c r="T275" s="213"/>
      <c r="U275" s="213"/>
      <c r="V275" s="213"/>
      <c r="W275" s="213"/>
      <c r="X275" s="643"/>
      <c r="Y275" s="616">
        <f t="shared" ref="Y275:Y447" si="23">+SUM(E275:X275)</f>
        <v>0</v>
      </c>
      <c r="Z275" s="633"/>
      <c r="AA275" s="636"/>
      <c r="AB275" s="636"/>
      <c r="AC275" s="7"/>
      <c r="AD275" s="699"/>
      <c r="AE275" s="7"/>
      <c r="AF275" s="618">
        <f t="shared" si="22"/>
        <v>0</v>
      </c>
      <c r="AG275" s="7"/>
      <c r="AH275" s="7"/>
      <c r="AI275" s="7"/>
      <c r="AJ275" s="7"/>
      <c r="AK275" s="7"/>
      <c r="AL275" s="7"/>
    </row>
    <row r="276" spans="1:38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4"/>
      <c r="F276" s="214"/>
      <c r="G276" s="215"/>
      <c r="H276" s="215"/>
      <c r="I276" s="215"/>
      <c r="J276" s="214"/>
      <c r="K276" s="214"/>
      <c r="L276" s="647"/>
      <c r="M276" s="213"/>
      <c r="N276" s="213"/>
      <c r="O276" s="215"/>
      <c r="P276" s="213"/>
      <c r="Q276" s="213">
        <v>0</v>
      </c>
      <c r="R276" s="213"/>
      <c r="S276" s="213"/>
      <c r="T276" s="213"/>
      <c r="U276" s="213"/>
      <c r="V276" s="213"/>
      <c r="W276" s="213"/>
      <c r="X276" s="643"/>
      <c r="Y276" s="616">
        <f t="shared" si="23"/>
        <v>0</v>
      </c>
      <c r="Z276" s="633"/>
      <c r="AA276" s="648"/>
      <c r="AB276" s="648"/>
      <c r="AC276" s="7"/>
      <c r="AD276" s="699"/>
      <c r="AE276" s="7"/>
      <c r="AF276" s="618">
        <f t="shared" si="22"/>
        <v>0</v>
      </c>
      <c r="AG276" s="7"/>
      <c r="AH276" s="7"/>
      <c r="AI276" s="7"/>
      <c r="AJ276" s="7"/>
      <c r="AK276" s="7"/>
      <c r="AL276" s="7"/>
    </row>
    <row r="277" spans="1:38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4"/>
      <c r="F277" s="214"/>
      <c r="G277" s="215"/>
      <c r="H277" s="215"/>
      <c r="I277" s="215"/>
      <c r="J277" s="214"/>
      <c r="K277" s="214"/>
      <c r="L277" s="662"/>
      <c r="M277" s="213"/>
      <c r="N277" s="213"/>
      <c r="O277" s="215"/>
      <c r="P277" s="213"/>
      <c r="Q277" s="213">
        <v>0</v>
      </c>
      <c r="R277" s="213"/>
      <c r="S277" s="213"/>
      <c r="T277" s="213"/>
      <c r="U277" s="213"/>
      <c r="V277" s="213"/>
      <c r="W277" s="213"/>
      <c r="X277" s="643"/>
      <c r="Y277" s="616">
        <f t="shared" si="23"/>
        <v>0</v>
      </c>
      <c r="Z277" s="633"/>
      <c r="AA277" s="648"/>
      <c r="AB277" s="648"/>
      <c r="AC277" s="7"/>
      <c r="AD277" s="699"/>
      <c r="AE277" s="7"/>
      <c r="AF277" s="618">
        <f t="shared" si="22"/>
        <v>0</v>
      </c>
      <c r="AG277" s="7"/>
      <c r="AH277" s="7"/>
      <c r="AI277" s="7"/>
      <c r="AJ277" s="7"/>
      <c r="AK277" s="7"/>
      <c r="AL277" s="7"/>
    </row>
    <row r="278" spans="1:38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4"/>
      <c r="F278" s="214"/>
      <c r="G278" s="215"/>
      <c r="H278" s="215"/>
      <c r="I278" s="215"/>
      <c r="J278" s="214"/>
      <c r="K278" s="214"/>
      <c r="L278" s="647"/>
      <c r="M278" s="213"/>
      <c r="N278" s="213"/>
      <c r="O278" s="215"/>
      <c r="P278" s="213"/>
      <c r="Q278" s="213">
        <v>0</v>
      </c>
      <c r="R278" s="213"/>
      <c r="S278" s="213"/>
      <c r="T278" s="213"/>
      <c r="U278" s="213"/>
      <c r="V278" s="213"/>
      <c r="W278" s="213"/>
      <c r="X278" s="643"/>
      <c r="Y278" s="616">
        <f t="shared" si="23"/>
        <v>0</v>
      </c>
      <c r="Z278" s="633"/>
      <c r="AA278" s="648"/>
      <c r="AB278" s="648"/>
      <c r="AC278" s="7"/>
      <c r="AD278" s="699"/>
      <c r="AE278" s="7"/>
      <c r="AF278" s="618">
        <f t="shared" si="22"/>
        <v>0</v>
      </c>
      <c r="AG278" s="7"/>
      <c r="AH278" s="7"/>
      <c r="AI278" s="7"/>
      <c r="AJ278" s="7"/>
      <c r="AK278" s="7"/>
      <c r="AL278" s="7"/>
    </row>
    <row r="279" spans="1:38" ht="20.25" customHeight="1">
      <c r="A279" s="503" t="s">
        <v>636</v>
      </c>
      <c r="B279" s="483" t="s">
        <v>637</v>
      </c>
      <c r="C279" s="629" t="s">
        <v>638</v>
      </c>
      <c r="D279" s="485" t="s">
        <v>1812</v>
      </c>
      <c r="E279" s="214"/>
      <c r="F279" s="214"/>
      <c r="G279" s="215"/>
      <c r="H279" s="215"/>
      <c r="I279" s="215"/>
      <c r="J279" s="214"/>
      <c r="K279" s="214"/>
      <c r="L279" s="620"/>
      <c r="M279" s="213"/>
      <c r="N279" s="213"/>
      <c r="O279" s="215"/>
      <c r="P279" s="213"/>
      <c r="Q279" s="213">
        <v>0</v>
      </c>
      <c r="R279" s="213"/>
      <c r="S279" s="213"/>
      <c r="T279" s="213"/>
      <c r="U279" s="213"/>
      <c r="V279" s="213"/>
      <c r="W279" s="213"/>
      <c r="X279" s="643"/>
      <c r="Y279" s="616">
        <f t="shared" si="23"/>
        <v>0</v>
      </c>
      <c r="Z279" s="633"/>
      <c r="AA279" s="648"/>
      <c r="AB279" s="648"/>
      <c r="AC279" s="7"/>
      <c r="AD279" s="699"/>
      <c r="AE279" s="7"/>
      <c r="AF279" s="618">
        <f t="shared" si="22"/>
        <v>0</v>
      </c>
      <c r="AG279" s="7"/>
      <c r="AH279" s="7"/>
      <c r="AI279" s="7"/>
      <c r="AJ279" s="7"/>
      <c r="AK279" s="7"/>
      <c r="AL279" s="7"/>
    </row>
    <row r="280" spans="1:38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4"/>
      <c r="F280" s="214"/>
      <c r="G280" s="215"/>
      <c r="H280" s="215"/>
      <c r="I280" s="215"/>
      <c r="J280" s="214"/>
      <c r="K280" s="214"/>
      <c r="L280" s="647"/>
      <c r="M280" s="213"/>
      <c r="N280" s="213"/>
      <c r="O280" s="215"/>
      <c r="P280" s="213"/>
      <c r="Q280" s="213">
        <v>0</v>
      </c>
      <c r="R280" s="213"/>
      <c r="S280" s="213"/>
      <c r="T280" s="213"/>
      <c r="U280" s="213"/>
      <c r="V280" s="213"/>
      <c r="W280" s="213"/>
      <c r="X280" s="643"/>
      <c r="Y280" s="616">
        <f t="shared" si="23"/>
        <v>0</v>
      </c>
      <c r="Z280" s="633"/>
      <c r="AA280" s="648"/>
      <c r="AB280" s="648"/>
      <c r="AC280" s="7"/>
      <c r="AD280" s="699"/>
      <c r="AE280" s="7"/>
      <c r="AF280" s="618">
        <f t="shared" si="22"/>
        <v>0</v>
      </c>
      <c r="AG280" s="7"/>
      <c r="AH280" s="7"/>
      <c r="AI280" s="7"/>
      <c r="AJ280" s="7"/>
      <c r="AK280" s="7"/>
      <c r="AL280" s="7"/>
    </row>
    <row r="281" spans="1:38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4"/>
      <c r="F281" s="214"/>
      <c r="G281" s="215"/>
      <c r="H281" s="215"/>
      <c r="I281" s="215"/>
      <c r="J281" s="214"/>
      <c r="K281" s="214"/>
      <c r="L281" s="662"/>
      <c r="M281" s="213"/>
      <c r="N281" s="213"/>
      <c r="O281" s="215"/>
      <c r="P281" s="213"/>
      <c r="Q281" s="213">
        <v>0</v>
      </c>
      <c r="R281" s="213"/>
      <c r="S281" s="213"/>
      <c r="T281" s="213"/>
      <c r="U281" s="213"/>
      <c r="V281" s="213"/>
      <c r="W281" s="213"/>
      <c r="X281" s="643"/>
      <c r="Y281" s="616">
        <f t="shared" si="23"/>
        <v>0</v>
      </c>
      <c r="Z281" s="633"/>
      <c r="AA281" s="648"/>
      <c r="AB281" s="648"/>
      <c r="AC281" s="7"/>
      <c r="AD281" s="699"/>
      <c r="AE281" s="7"/>
      <c r="AF281" s="618">
        <f t="shared" si="22"/>
        <v>0</v>
      </c>
      <c r="AG281" s="7"/>
      <c r="AH281" s="7"/>
      <c r="AI281" s="7"/>
      <c r="AJ281" s="7"/>
      <c r="AK281" s="7"/>
      <c r="AL281" s="7"/>
    </row>
    <row r="282" spans="1:38" ht="21" customHeight="1">
      <c r="A282" s="489">
        <v>7</v>
      </c>
      <c r="B282" s="490" t="s">
        <v>643</v>
      </c>
      <c r="C282" s="637" t="s">
        <v>644</v>
      </c>
      <c r="D282" s="516"/>
      <c r="E282" s="214"/>
      <c r="F282" s="214"/>
      <c r="G282" s="215"/>
      <c r="H282" s="215"/>
      <c r="I282" s="215"/>
      <c r="J282" s="214"/>
      <c r="K282" s="214"/>
      <c r="L282" s="662"/>
      <c r="M282" s="213"/>
      <c r="N282" s="213"/>
      <c r="O282" s="215"/>
      <c r="P282" s="213"/>
      <c r="Q282" s="213">
        <v>0</v>
      </c>
      <c r="R282" s="213"/>
      <c r="S282" s="213"/>
      <c r="T282" s="213"/>
      <c r="U282" s="213"/>
      <c r="V282" s="213"/>
      <c r="W282" s="213"/>
      <c r="X282" s="643"/>
      <c r="Y282" s="616">
        <f t="shared" si="23"/>
        <v>0</v>
      </c>
      <c r="Z282" s="633"/>
      <c r="AA282" s="640"/>
      <c r="AB282" s="640"/>
      <c r="AC282" s="7"/>
      <c r="AD282" s="699"/>
      <c r="AE282" s="7"/>
      <c r="AF282" s="618">
        <f t="shared" si="22"/>
        <v>0</v>
      </c>
      <c r="AG282" s="7"/>
      <c r="AH282" s="7"/>
      <c r="AI282" s="7"/>
      <c r="AJ282" s="7"/>
      <c r="AK282" s="7"/>
      <c r="AL282" s="7"/>
    </row>
    <row r="283" spans="1:38" ht="21" customHeight="1">
      <c r="A283" s="486"/>
      <c r="B283" s="487" t="s">
        <v>646</v>
      </c>
      <c r="C283" s="635" t="s">
        <v>647</v>
      </c>
      <c r="D283" s="412" t="s">
        <v>271</v>
      </c>
      <c r="E283" s="214">
        <v>18.739999999999998</v>
      </c>
      <c r="F283" s="214"/>
      <c r="G283" s="215">
        <v>0.36499999999999999</v>
      </c>
      <c r="H283" s="215">
        <v>0.57999999999999996</v>
      </c>
      <c r="I283" s="215">
        <v>2.2999999999999998</v>
      </c>
      <c r="J283" s="214">
        <v>0.5</v>
      </c>
      <c r="K283" s="214">
        <v>9.2100000000000009</v>
      </c>
      <c r="L283" s="620"/>
      <c r="M283" s="213"/>
      <c r="N283" s="213"/>
      <c r="O283" s="215">
        <v>12.89</v>
      </c>
      <c r="P283" s="213"/>
      <c r="Q283" s="213">
        <v>28.915000000000006</v>
      </c>
      <c r="R283" s="213"/>
      <c r="S283" s="213"/>
      <c r="T283" s="213"/>
      <c r="U283" s="213"/>
      <c r="V283" s="213"/>
      <c r="W283" s="213"/>
      <c r="X283" s="643"/>
      <c r="Y283" s="616">
        <f t="shared" si="23"/>
        <v>73.5</v>
      </c>
      <c r="Z283" s="633"/>
      <c r="AA283" s="636"/>
      <c r="AB283" s="636"/>
      <c r="AC283" s="7"/>
      <c r="AD283" s="702">
        <v>73.5</v>
      </c>
      <c r="AE283" s="7"/>
      <c r="AF283" s="618">
        <f t="shared" si="22"/>
        <v>0</v>
      </c>
      <c r="AG283" s="7"/>
      <c r="AH283" s="7"/>
      <c r="AI283" s="7"/>
      <c r="AJ283" s="7"/>
      <c r="AK283" s="7"/>
      <c r="AL283" s="7"/>
    </row>
    <row r="284" spans="1:38" ht="21" customHeight="1">
      <c r="A284" s="510"/>
      <c r="B284" s="505" t="s">
        <v>649</v>
      </c>
      <c r="C284" s="655" t="s">
        <v>650</v>
      </c>
      <c r="D284" s="512" t="s">
        <v>271</v>
      </c>
      <c r="E284" s="214"/>
      <c r="F284" s="214"/>
      <c r="G284" s="215"/>
      <c r="H284" s="215"/>
      <c r="I284" s="215"/>
      <c r="J284" s="214"/>
      <c r="K284" s="214"/>
      <c r="L284" s="647"/>
      <c r="M284" s="213"/>
      <c r="N284" s="213"/>
      <c r="O284" s="215"/>
      <c r="P284" s="213"/>
      <c r="Q284" s="213">
        <v>0</v>
      </c>
      <c r="R284" s="213"/>
      <c r="S284" s="213"/>
      <c r="T284" s="213"/>
      <c r="U284" s="213"/>
      <c r="V284" s="213"/>
      <c r="W284" s="213"/>
      <c r="X284" s="643"/>
      <c r="Y284" s="616">
        <f t="shared" si="23"/>
        <v>0</v>
      </c>
      <c r="Z284" s="633"/>
      <c r="AA284" s="654"/>
      <c r="AB284" s="654"/>
      <c r="AC284" s="7"/>
      <c r="AD284" s="702"/>
      <c r="AE284" s="7"/>
      <c r="AF284" s="618">
        <f t="shared" si="22"/>
        <v>0</v>
      </c>
      <c r="AG284" s="7"/>
      <c r="AH284" s="7"/>
      <c r="AI284" s="7"/>
      <c r="AJ284" s="7"/>
      <c r="AK284" s="7"/>
      <c r="AL284" s="7"/>
    </row>
    <row r="285" spans="1:38" ht="21" customHeight="1">
      <c r="A285" s="503"/>
      <c r="B285" s="483" t="s">
        <v>651</v>
      </c>
      <c r="C285" s="629" t="s">
        <v>131</v>
      </c>
      <c r="D285" s="504" t="s">
        <v>271</v>
      </c>
      <c r="E285" s="214"/>
      <c r="F285" s="214"/>
      <c r="G285" s="215"/>
      <c r="H285" s="215"/>
      <c r="I285" s="215"/>
      <c r="J285" s="214"/>
      <c r="K285" s="214"/>
      <c r="L285" s="647"/>
      <c r="M285" s="213"/>
      <c r="N285" s="213"/>
      <c r="O285" s="215"/>
      <c r="P285" s="213"/>
      <c r="Q285" s="213">
        <v>0</v>
      </c>
      <c r="R285" s="213"/>
      <c r="S285" s="213"/>
      <c r="T285" s="213"/>
      <c r="U285" s="213"/>
      <c r="V285" s="213"/>
      <c r="W285" s="213"/>
      <c r="X285" s="643"/>
      <c r="Y285" s="616">
        <f t="shared" si="23"/>
        <v>0</v>
      </c>
      <c r="Z285" s="633"/>
      <c r="AA285" s="654"/>
      <c r="AB285" s="654"/>
      <c r="AC285" s="7"/>
      <c r="AD285" s="702"/>
      <c r="AE285" s="7"/>
      <c r="AF285" s="618">
        <f t="shared" si="22"/>
        <v>0</v>
      </c>
      <c r="AG285" s="7"/>
      <c r="AH285" s="7"/>
      <c r="AI285" s="7"/>
      <c r="AJ285" s="7"/>
      <c r="AK285" s="7"/>
      <c r="AL285" s="7"/>
    </row>
    <row r="286" spans="1:38" ht="21" customHeight="1">
      <c r="A286" s="503"/>
      <c r="B286" s="483" t="s">
        <v>652</v>
      </c>
      <c r="C286" s="629" t="s">
        <v>200</v>
      </c>
      <c r="D286" s="504" t="s">
        <v>271</v>
      </c>
      <c r="E286" s="214"/>
      <c r="F286" s="214"/>
      <c r="G286" s="215"/>
      <c r="H286" s="215"/>
      <c r="I286" s="215"/>
      <c r="J286" s="214"/>
      <c r="K286" s="214"/>
      <c r="L286" s="647"/>
      <c r="M286" s="213"/>
      <c r="N286" s="213"/>
      <c r="O286" s="215"/>
      <c r="P286" s="213"/>
      <c r="Q286" s="213">
        <v>0</v>
      </c>
      <c r="R286" s="213"/>
      <c r="S286" s="213"/>
      <c r="T286" s="213"/>
      <c r="U286" s="213"/>
      <c r="V286" s="213"/>
      <c r="W286" s="213"/>
      <c r="X286" s="643"/>
      <c r="Y286" s="616">
        <f t="shared" si="23"/>
        <v>0</v>
      </c>
      <c r="Z286" s="633"/>
      <c r="AA286" s="654"/>
      <c r="AB286" s="654"/>
      <c r="AC286" s="7"/>
      <c r="AD286" s="702"/>
      <c r="AE286" s="7"/>
      <c r="AF286" s="618">
        <f t="shared" si="22"/>
        <v>0</v>
      </c>
      <c r="AG286" s="7"/>
      <c r="AH286" s="7"/>
      <c r="AI286" s="7"/>
      <c r="AJ286" s="7"/>
      <c r="AK286" s="7"/>
      <c r="AL286" s="7"/>
    </row>
    <row r="287" spans="1:38" ht="21" customHeight="1">
      <c r="A287" s="503"/>
      <c r="B287" s="483" t="s">
        <v>653</v>
      </c>
      <c r="C287" s="629" t="s">
        <v>203</v>
      </c>
      <c r="D287" s="504" t="s">
        <v>271</v>
      </c>
      <c r="E287" s="214"/>
      <c r="F287" s="214"/>
      <c r="G287" s="215"/>
      <c r="H287" s="215"/>
      <c r="I287" s="215"/>
      <c r="J287" s="214"/>
      <c r="K287" s="214"/>
      <c r="L287" s="647"/>
      <c r="M287" s="213"/>
      <c r="N287" s="213"/>
      <c r="O287" s="215"/>
      <c r="P287" s="213"/>
      <c r="Q287" s="213">
        <v>0</v>
      </c>
      <c r="R287" s="213"/>
      <c r="S287" s="213"/>
      <c r="T287" s="213"/>
      <c r="U287" s="213"/>
      <c r="V287" s="213"/>
      <c r="W287" s="213"/>
      <c r="X287" s="643"/>
      <c r="Y287" s="616">
        <f t="shared" si="23"/>
        <v>0</v>
      </c>
      <c r="Z287" s="633"/>
      <c r="AA287" s="654"/>
      <c r="AB287" s="654"/>
      <c r="AC287" s="7"/>
      <c r="AD287" s="702"/>
      <c r="AE287" s="7"/>
      <c r="AF287" s="618">
        <f t="shared" si="22"/>
        <v>0</v>
      </c>
      <c r="AG287" s="7"/>
      <c r="AH287" s="7"/>
      <c r="AI287" s="7"/>
      <c r="AJ287" s="7"/>
      <c r="AK287" s="7"/>
      <c r="AL287" s="7"/>
    </row>
    <row r="288" spans="1:38" ht="21" customHeight="1">
      <c r="A288" s="503"/>
      <c r="B288" s="483" t="s">
        <v>654</v>
      </c>
      <c r="C288" s="629" t="s">
        <v>159</v>
      </c>
      <c r="D288" s="504" t="s">
        <v>271</v>
      </c>
      <c r="E288" s="214"/>
      <c r="F288" s="214"/>
      <c r="G288" s="215"/>
      <c r="H288" s="215"/>
      <c r="I288" s="215"/>
      <c r="J288" s="214"/>
      <c r="K288" s="214"/>
      <c r="L288" s="647"/>
      <c r="M288" s="213"/>
      <c r="N288" s="213"/>
      <c r="O288" s="215"/>
      <c r="P288" s="213"/>
      <c r="Q288" s="213">
        <v>0</v>
      </c>
      <c r="R288" s="213"/>
      <c r="S288" s="213"/>
      <c r="T288" s="213"/>
      <c r="U288" s="213"/>
      <c r="V288" s="213"/>
      <c r="W288" s="213"/>
      <c r="X288" s="643"/>
      <c r="Y288" s="616">
        <f t="shared" si="23"/>
        <v>0</v>
      </c>
      <c r="Z288" s="633"/>
      <c r="AA288" s="654"/>
      <c r="AB288" s="654"/>
      <c r="AC288" s="7"/>
      <c r="AD288" s="702"/>
      <c r="AE288" s="7"/>
      <c r="AF288" s="618">
        <f t="shared" si="22"/>
        <v>0</v>
      </c>
      <c r="AG288" s="7"/>
      <c r="AH288" s="7"/>
      <c r="AI288" s="7"/>
      <c r="AJ288" s="7"/>
      <c r="AK288" s="7"/>
      <c r="AL288" s="7"/>
    </row>
    <row r="289" spans="1:38" ht="15.75" customHeight="1">
      <c r="A289" s="510"/>
      <c r="B289" s="505" t="s">
        <v>655</v>
      </c>
      <c r="C289" s="655" t="s">
        <v>656</v>
      </c>
      <c r="D289" s="512" t="s">
        <v>271</v>
      </c>
      <c r="E289" s="214"/>
      <c r="F289" s="214"/>
      <c r="G289" s="215"/>
      <c r="H289" s="215"/>
      <c r="I289" s="215"/>
      <c r="J289" s="214"/>
      <c r="K289" s="214"/>
      <c r="L289" s="647"/>
      <c r="M289" s="213"/>
      <c r="N289" s="213"/>
      <c r="O289" s="215"/>
      <c r="P289" s="213"/>
      <c r="Q289" s="213">
        <v>0</v>
      </c>
      <c r="R289" s="213"/>
      <c r="S289" s="213"/>
      <c r="T289" s="213"/>
      <c r="U289" s="213"/>
      <c r="V289" s="213"/>
      <c r="W289" s="213"/>
      <c r="X289" s="643"/>
      <c r="Y289" s="616">
        <f t="shared" si="23"/>
        <v>0</v>
      </c>
      <c r="Z289" s="633"/>
      <c r="AA289" s="654"/>
      <c r="AB289" s="654"/>
      <c r="AC289" s="7"/>
      <c r="AD289" s="699"/>
      <c r="AE289" s="7"/>
      <c r="AF289" s="618">
        <f t="shared" si="22"/>
        <v>0</v>
      </c>
      <c r="AG289" s="7"/>
      <c r="AH289" s="7"/>
      <c r="AI289" s="7"/>
      <c r="AJ289" s="7"/>
      <c r="AK289" s="7"/>
      <c r="AL289" s="7"/>
    </row>
    <row r="290" spans="1:38" ht="21" customHeight="1">
      <c r="A290" s="503"/>
      <c r="B290" s="483" t="s">
        <v>657</v>
      </c>
      <c r="C290" s="629" t="s">
        <v>131</v>
      </c>
      <c r="D290" s="504" t="s">
        <v>271</v>
      </c>
      <c r="E290" s="214"/>
      <c r="F290" s="214"/>
      <c r="G290" s="215"/>
      <c r="H290" s="215"/>
      <c r="I290" s="215"/>
      <c r="J290" s="214"/>
      <c r="K290" s="214"/>
      <c r="L290" s="647"/>
      <c r="M290" s="213"/>
      <c r="N290" s="213"/>
      <c r="O290" s="215"/>
      <c r="P290" s="213"/>
      <c r="Q290" s="213">
        <v>0</v>
      </c>
      <c r="R290" s="213"/>
      <c r="S290" s="213"/>
      <c r="T290" s="213"/>
      <c r="U290" s="213"/>
      <c r="V290" s="213"/>
      <c r="W290" s="213"/>
      <c r="X290" s="643"/>
      <c r="Y290" s="616">
        <f t="shared" si="23"/>
        <v>0</v>
      </c>
      <c r="Z290" s="633"/>
      <c r="AA290" s="648"/>
      <c r="AB290" s="648"/>
      <c r="AC290" s="7"/>
      <c r="AD290" s="699"/>
      <c r="AE290" s="7"/>
      <c r="AF290" s="618">
        <f t="shared" si="22"/>
        <v>0</v>
      </c>
      <c r="AG290" s="7"/>
      <c r="AH290" s="7"/>
      <c r="AI290" s="7"/>
      <c r="AJ290" s="7"/>
      <c r="AK290" s="7"/>
      <c r="AL290" s="7"/>
    </row>
    <row r="291" spans="1:38" ht="21" customHeight="1">
      <c r="A291" s="503"/>
      <c r="B291" s="483" t="s">
        <v>658</v>
      </c>
      <c r="C291" s="629" t="s">
        <v>200</v>
      </c>
      <c r="D291" s="504" t="s">
        <v>271</v>
      </c>
      <c r="E291" s="214"/>
      <c r="F291" s="214"/>
      <c r="G291" s="215"/>
      <c r="H291" s="215"/>
      <c r="I291" s="215"/>
      <c r="J291" s="214"/>
      <c r="K291" s="214"/>
      <c r="L291" s="647"/>
      <c r="M291" s="213"/>
      <c r="N291" s="213"/>
      <c r="O291" s="215"/>
      <c r="P291" s="213"/>
      <c r="Q291" s="213">
        <v>0</v>
      </c>
      <c r="R291" s="213"/>
      <c r="S291" s="213"/>
      <c r="T291" s="213"/>
      <c r="U291" s="213"/>
      <c r="V291" s="213"/>
      <c r="W291" s="213"/>
      <c r="X291" s="643"/>
      <c r="Y291" s="616">
        <f t="shared" si="23"/>
        <v>0</v>
      </c>
      <c r="Z291" s="633"/>
      <c r="AA291" s="648"/>
      <c r="AB291" s="648"/>
      <c r="AC291" s="7"/>
      <c r="AD291" s="699"/>
      <c r="AE291" s="7"/>
      <c r="AF291" s="618">
        <f t="shared" si="22"/>
        <v>0</v>
      </c>
      <c r="AG291" s="7"/>
      <c r="AH291" s="7"/>
      <c r="AI291" s="7"/>
      <c r="AJ291" s="7"/>
      <c r="AK291" s="7"/>
      <c r="AL291" s="7"/>
    </row>
    <row r="292" spans="1:38" ht="21" customHeight="1">
      <c r="A292" s="503"/>
      <c r="B292" s="483" t="s">
        <v>659</v>
      </c>
      <c r="C292" s="629" t="s">
        <v>203</v>
      </c>
      <c r="D292" s="504" t="s">
        <v>271</v>
      </c>
      <c r="E292" s="214"/>
      <c r="F292" s="214"/>
      <c r="G292" s="215"/>
      <c r="H292" s="215"/>
      <c r="I292" s="215"/>
      <c r="J292" s="214"/>
      <c r="K292" s="214"/>
      <c r="L292" s="647"/>
      <c r="M292" s="213"/>
      <c r="N292" s="213"/>
      <c r="O292" s="215"/>
      <c r="P292" s="213"/>
      <c r="Q292" s="213">
        <v>0</v>
      </c>
      <c r="R292" s="213"/>
      <c r="S292" s="213"/>
      <c r="T292" s="213"/>
      <c r="U292" s="213"/>
      <c r="V292" s="213"/>
      <c r="W292" s="213"/>
      <c r="X292" s="643"/>
      <c r="Y292" s="616">
        <f t="shared" si="23"/>
        <v>0</v>
      </c>
      <c r="Z292" s="633"/>
      <c r="AA292" s="648"/>
      <c r="AB292" s="648"/>
      <c r="AC292" s="7"/>
      <c r="AD292" s="699"/>
      <c r="AE292" s="7"/>
      <c r="AF292" s="618">
        <f t="shared" si="22"/>
        <v>0</v>
      </c>
      <c r="AG292" s="7"/>
      <c r="AH292" s="7"/>
      <c r="AI292" s="7"/>
      <c r="AJ292" s="7"/>
      <c r="AK292" s="7"/>
      <c r="AL292" s="7"/>
    </row>
    <row r="293" spans="1:38" ht="21" customHeight="1">
      <c r="A293" s="503"/>
      <c r="B293" s="483" t="s">
        <v>660</v>
      </c>
      <c r="C293" s="629" t="s">
        <v>159</v>
      </c>
      <c r="D293" s="504" t="s">
        <v>271</v>
      </c>
      <c r="E293" s="214"/>
      <c r="F293" s="214"/>
      <c r="G293" s="215"/>
      <c r="H293" s="215"/>
      <c r="I293" s="215"/>
      <c r="J293" s="214"/>
      <c r="K293" s="214"/>
      <c r="L293" s="647"/>
      <c r="M293" s="213"/>
      <c r="N293" s="213"/>
      <c r="O293" s="215"/>
      <c r="P293" s="213"/>
      <c r="Q293" s="213">
        <v>0</v>
      </c>
      <c r="R293" s="213"/>
      <c r="S293" s="213"/>
      <c r="T293" s="213"/>
      <c r="U293" s="213"/>
      <c r="V293" s="213"/>
      <c r="W293" s="213"/>
      <c r="X293" s="643"/>
      <c r="Y293" s="616">
        <f t="shared" si="23"/>
        <v>0</v>
      </c>
      <c r="Z293" s="633"/>
      <c r="AA293" s="648"/>
      <c r="AB293" s="648"/>
      <c r="AC293" s="7"/>
      <c r="AD293" s="699"/>
      <c r="AE293" s="7"/>
      <c r="AF293" s="618">
        <f t="shared" si="22"/>
        <v>0</v>
      </c>
      <c r="AG293" s="7"/>
      <c r="AH293" s="7"/>
      <c r="AI293" s="7"/>
      <c r="AJ293" s="7"/>
      <c r="AK293" s="7"/>
      <c r="AL293" s="7"/>
    </row>
    <row r="294" spans="1:38" ht="21" customHeight="1">
      <c r="A294" s="510"/>
      <c r="B294" s="487" t="s">
        <v>661</v>
      </c>
      <c r="C294" s="635" t="s">
        <v>662</v>
      </c>
      <c r="D294" s="412" t="s">
        <v>271</v>
      </c>
      <c r="E294" s="214"/>
      <c r="F294" s="214" t="s">
        <v>1813</v>
      </c>
      <c r="G294" s="215"/>
      <c r="H294" s="215"/>
      <c r="I294" s="215"/>
      <c r="J294" s="214"/>
      <c r="K294" s="214"/>
      <c r="L294" s="620"/>
      <c r="M294" s="213"/>
      <c r="N294" s="213"/>
      <c r="O294" s="215"/>
      <c r="P294" s="213"/>
      <c r="Q294" s="213">
        <v>0</v>
      </c>
      <c r="R294" s="213"/>
      <c r="S294" s="213"/>
      <c r="T294" s="213"/>
      <c r="U294" s="213"/>
      <c r="V294" s="213"/>
      <c r="W294" s="213"/>
      <c r="X294" s="643"/>
      <c r="Y294" s="616">
        <f t="shared" si="23"/>
        <v>0</v>
      </c>
      <c r="Z294" s="633"/>
      <c r="AA294" s="654"/>
      <c r="AB294" s="654"/>
      <c r="AC294" s="7"/>
      <c r="AD294" s="699"/>
      <c r="AE294" s="7"/>
      <c r="AF294" s="618">
        <f t="shared" si="22"/>
        <v>0</v>
      </c>
      <c r="AG294" s="7"/>
      <c r="AH294" s="7"/>
      <c r="AI294" s="7"/>
      <c r="AJ294" s="7"/>
      <c r="AK294" s="7"/>
      <c r="AL294" s="7"/>
    </row>
    <row r="295" spans="1:38" ht="21" customHeight="1">
      <c r="A295" s="503"/>
      <c r="B295" s="483" t="s">
        <v>664</v>
      </c>
      <c r="C295" s="629" t="s">
        <v>131</v>
      </c>
      <c r="D295" s="504" t="s">
        <v>271</v>
      </c>
      <c r="E295" s="214"/>
      <c r="F295" s="214"/>
      <c r="G295" s="215"/>
      <c r="H295" s="215"/>
      <c r="I295" s="215"/>
      <c r="J295" s="214"/>
      <c r="K295" s="214"/>
      <c r="L295" s="647"/>
      <c r="M295" s="213"/>
      <c r="N295" s="213"/>
      <c r="O295" s="215"/>
      <c r="P295" s="213"/>
      <c r="Q295" s="213">
        <v>0</v>
      </c>
      <c r="R295" s="213"/>
      <c r="S295" s="213"/>
      <c r="T295" s="213"/>
      <c r="U295" s="213"/>
      <c r="V295" s="213"/>
      <c r="W295" s="213"/>
      <c r="X295" s="643"/>
      <c r="Y295" s="616">
        <f t="shared" si="23"/>
        <v>0</v>
      </c>
      <c r="Z295" s="633"/>
      <c r="AA295" s="648"/>
      <c r="AB295" s="648"/>
      <c r="AC295" s="7"/>
      <c r="AD295" s="699"/>
      <c r="AE295" s="7"/>
      <c r="AF295" s="618">
        <f t="shared" si="22"/>
        <v>0</v>
      </c>
      <c r="AG295" s="7"/>
      <c r="AH295" s="7"/>
      <c r="AI295" s="7"/>
      <c r="AJ295" s="7"/>
      <c r="AK295" s="7"/>
      <c r="AL295" s="7"/>
    </row>
    <row r="296" spans="1:38" ht="21" customHeight="1">
      <c r="A296" s="503"/>
      <c r="B296" s="483" t="s">
        <v>665</v>
      </c>
      <c r="C296" s="629" t="s">
        <v>200</v>
      </c>
      <c r="D296" s="504" t="s">
        <v>271</v>
      </c>
      <c r="E296" s="214"/>
      <c r="F296" s="214"/>
      <c r="G296" s="215"/>
      <c r="H296" s="215"/>
      <c r="I296" s="215"/>
      <c r="J296" s="214"/>
      <c r="K296" s="214"/>
      <c r="L296" s="647"/>
      <c r="M296" s="213"/>
      <c r="N296" s="213"/>
      <c r="O296" s="215"/>
      <c r="P296" s="213"/>
      <c r="Q296" s="213">
        <v>0</v>
      </c>
      <c r="R296" s="213"/>
      <c r="S296" s="213"/>
      <c r="T296" s="213"/>
      <c r="U296" s="213"/>
      <c r="V296" s="213"/>
      <c r="W296" s="213"/>
      <c r="X296" s="643"/>
      <c r="Y296" s="616">
        <f t="shared" si="23"/>
        <v>0</v>
      </c>
      <c r="Z296" s="633"/>
      <c r="AA296" s="648"/>
      <c r="AB296" s="648"/>
      <c r="AC296" s="7"/>
      <c r="AD296" s="699"/>
      <c r="AE296" s="7"/>
      <c r="AF296" s="618">
        <f t="shared" si="22"/>
        <v>0</v>
      </c>
      <c r="AG296" s="7"/>
      <c r="AH296" s="7"/>
      <c r="AI296" s="7"/>
      <c r="AJ296" s="7"/>
      <c r="AK296" s="7"/>
      <c r="AL296" s="7"/>
    </row>
    <row r="297" spans="1:38" ht="21" customHeight="1">
      <c r="A297" s="503"/>
      <c r="B297" s="483" t="s">
        <v>666</v>
      </c>
      <c r="C297" s="629" t="s">
        <v>203</v>
      </c>
      <c r="D297" s="504" t="s">
        <v>271</v>
      </c>
      <c r="E297" s="214"/>
      <c r="F297" s="214"/>
      <c r="G297" s="215"/>
      <c r="H297" s="215"/>
      <c r="I297" s="215"/>
      <c r="J297" s="214"/>
      <c r="K297" s="214"/>
      <c r="L297" s="647"/>
      <c r="M297" s="213"/>
      <c r="N297" s="213"/>
      <c r="O297" s="215"/>
      <c r="P297" s="213"/>
      <c r="Q297" s="213">
        <v>0</v>
      </c>
      <c r="R297" s="213"/>
      <c r="S297" s="213"/>
      <c r="T297" s="213"/>
      <c r="U297" s="213"/>
      <c r="V297" s="213"/>
      <c r="W297" s="213"/>
      <c r="X297" s="643"/>
      <c r="Y297" s="616">
        <f t="shared" si="23"/>
        <v>0</v>
      </c>
      <c r="Z297" s="633"/>
      <c r="AA297" s="648"/>
      <c r="AB297" s="648"/>
      <c r="AC297" s="7"/>
      <c r="AD297" s="699"/>
      <c r="AE297" s="7"/>
      <c r="AF297" s="618">
        <f t="shared" si="22"/>
        <v>0</v>
      </c>
      <c r="AG297" s="7"/>
      <c r="AH297" s="7"/>
      <c r="AI297" s="7"/>
      <c r="AJ297" s="7"/>
      <c r="AK297" s="7"/>
      <c r="AL297" s="7"/>
    </row>
    <row r="298" spans="1:38" ht="21" customHeight="1">
      <c r="A298" s="503"/>
      <c r="B298" s="483" t="s">
        <v>667</v>
      </c>
      <c r="C298" s="629" t="s">
        <v>159</v>
      </c>
      <c r="D298" s="504" t="s">
        <v>271</v>
      </c>
      <c r="E298" s="214"/>
      <c r="F298" s="214"/>
      <c r="G298" s="215"/>
      <c r="H298" s="215"/>
      <c r="I298" s="215"/>
      <c r="J298" s="214"/>
      <c r="K298" s="214"/>
      <c r="L298" s="647"/>
      <c r="M298" s="213"/>
      <c r="N298" s="213"/>
      <c r="O298" s="215"/>
      <c r="P298" s="213"/>
      <c r="Q298" s="213">
        <v>0</v>
      </c>
      <c r="R298" s="213"/>
      <c r="S298" s="213"/>
      <c r="T298" s="213"/>
      <c r="U298" s="213"/>
      <c r="V298" s="213"/>
      <c r="W298" s="213"/>
      <c r="X298" s="643"/>
      <c r="Y298" s="616">
        <f t="shared" si="23"/>
        <v>0</v>
      </c>
      <c r="Z298" s="633"/>
      <c r="AA298" s="648"/>
      <c r="AB298" s="648"/>
      <c r="AC298" s="7"/>
      <c r="AD298" s="699"/>
      <c r="AE298" s="7"/>
      <c r="AF298" s="618">
        <f t="shared" si="22"/>
        <v>0</v>
      </c>
      <c r="AG298" s="7"/>
      <c r="AH298" s="7"/>
      <c r="AI298" s="7"/>
      <c r="AJ298" s="7"/>
      <c r="AK298" s="7"/>
      <c r="AL298" s="7"/>
    </row>
    <row r="299" spans="1:38" ht="21" customHeight="1">
      <c r="A299" s="486"/>
      <c r="B299" s="487" t="s">
        <v>668</v>
      </c>
      <c r="C299" s="635" t="s">
        <v>669</v>
      </c>
      <c r="D299" s="412" t="s">
        <v>271</v>
      </c>
      <c r="E299" s="214"/>
      <c r="F299" s="214"/>
      <c r="G299" s="215"/>
      <c r="H299" s="215"/>
      <c r="I299" s="215"/>
      <c r="J299" s="214"/>
      <c r="K299" s="214"/>
      <c r="L299" s="620"/>
      <c r="M299" s="213"/>
      <c r="N299" s="213"/>
      <c r="O299" s="215"/>
      <c r="P299" s="213"/>
      <c r="Q299" s="213">
        <v>0</v>
      </c>
      <c r="R299" s="213"/>
      <c r="S299" s="213"/>
      <c r="T299" s="213"/>
      <c r="U299" s="213"/>
      <c r="V299" s="213"/>
      <c r="W299" s="213"/>
      <c r="X299" s="643"/>
      <c r="Y299" s="616">
        <f t="shared" si="23"/>
        <v>0</v>
      </c>
      <c r="Z299" s="633"/>
      <c r="AA299" s="636"/>
      <c r="AB299" s="636"/>
      <c r="AC299" s="7"/>
      <c r="AD299" s="699"/>
      <c r="AE299" s="7"/>
      <c r="AF299" s="618">
        <f t="shared" si="22"/>
        <v>0</v>
      </c>
      <c r="AG299" s="7"/>
      <c r="AH299" s="7"/>
      <c r="AI299" s="7"/>
      <c r="AJ299" s="7"/>
      <c r="AK299" s="7"/>
      <c r="AL299" s="7"/>
    </row>
    <row r="300" spans="1:38" ht="18" customHeight="1">
      <c r="A300" s="486"/>
      <c r="B300" s="487" t="s">
        <v>671</v>
      </c>
      <c r="C300" s="655" t="s">
        <v>672</v>
      </c>
      <c r="D300" s="485" t="s">
        <v>271</v>
      </c>
      <c r="E300" s="214"/>
      <c r="F300" s="214"/>
      <c r="G300" s="215"/>
      <c r="H300" s="215"/>
      <c r="I300" s="215"/>
      <c r="J300" s="214"/>
      <c r="K300" s="214"/>
      <c r="L300" s="620"/>
      <c r="M300" s="213"/>
      <c r="N300" s="213"/>
      <c r="O300" s="215"/>
      <c r="P300" s="213"/>
      <c r="Q300" s="213">
        <v>0</v>
      </c>
      <c r="R300" s="213"/>
      <c r="S300" s="213"/>
      <c r="T300" s="213"/>
      <c r="U300" s="213"/>
      <c r="V300" s="213"/>
      <c r="W300" s="213"/>
      <c r="X300" s="643"/>
      <c r="Y300" s="616">
        <f t="shared" si="23"/>
        <v>0</v>
      </c>
      <c r="Z300" s="633"/>
      <c r="AA300" s="636"/>
      <c r="AB300" s="636"/>
      <c r="AC300" s="7"/>
      <c r="AD300" s="699"/>
      <c r="AE300" s="7"/>
      <c r="AF300" s="618">
        <f t="shared" si="22"/>
        <v>0</v>
      </c>
      <c r="AG300" s="7"/>
      <c r="AH300" s="7"/>
      <c r="AI300" s="7"/>
      <c r="AJ300" s="7"/>
      <c r="AK300" s="7"/>
      <c r="AL300" s="7"/>
    </row>
    <row r="301" spans="1:38" ht="26.25" customHeight="1">
      <c r="A301" s="503"/>
      <c r="B301" s="483" t="s">
        <v>673</v>
      </c>
      <c r="C301" s="629" t="s">
        <v>131</v>
      </c>
      <c r="D301" s="504" t="s">
        <v>271</v>
      </c>
      <c r="E301" s="214"/>
      <c r="F301" s="214"/>
      <c r="G301" s="215"/>
      <c r="H301" s="215"/>
      <c r="I301" s="215"/>
      <c r="J301" s="214"/>
      <c r="K301" s="214"/>
      <c r="L301" s="647"/>
      <c r="M301" s="213"/>
      <c r="N301" s="213"/>
      <c r="O301" s="215"/>
      <c r="P301" s="213"/>
      <c r="Q301" s="213">
        <v>0</v>
      </c>
      <c r="R301" s="213"/>
      <c r="S301" s="213"/>
      <c r="T301" s="213"/>
      <c r="U301" s="213"/>
      <c r="V301" s="213"/>
      <c r="W301" s="213"/>
      <c r="X301" s="643"/>
      <c r="Y301" s="616">
        <f t="shared" si="23"/>
        <v>0</v>
      </c>
      <c r="Z301" s="633"/>
      <c r="AA301" s="648"/>
      <c r="AB301" s="648"/>
      <c r="AC301" s="7"/>
      <c r="AD301" s="699"/>
      <c r="AE301" s="7"/>
      <c r="AF301" s="618">
        <f t="shared" si="22"/>
        <v>0</v>
      </c>
      <c r="AG301" s="7"/>
      <c r="AH301" s="7"/>
      <c r="AI301" s="7"/>
      <c r="AJ301" s="7"/>
      <c r="AK301" s="7"/>
      <c r="AL301" s="7"/>
    </row>
    <row r="302" spans="1:38" ht="21" customHeight="1">
      <c r="A302" s="503"/>
      <c r="B302" s="483" t="s">
        <v>674</v>
      </c>
      <c r="C302" s="629" t="s">
        <v>200</v>
      </c>
      <c r="D302" s="504" t="s">
        <v>271</v>
      </c>
      <c r="E302" s="214"/>
      <c r="F302" s="214"/>
      <c r="G302" s="215"/>
      <c r="H302" s="215"/>
      <c r="I302" s="215"/>
      <c r="J302" s="214"/>
      <c r="K302" s="214"/>
      <c r="L302" s="647"/>
      <c r="M302" s="213"/>
      <c r="N302" s="213"/>
      <c r="O302" s="215"/>
      <c r="P302" s="213"/>
      <c r="Q302" s="213">
        <v>0</v>
      </c>
      <c r="R302" s="213"/>
      <c r="S302" s="213"/>
      <c r="T302" s="213"/>
      <c r="U302" s="213"/>
      <c r="V302" s="213"/>
      <c r="W302" s="213"/>
      <c r="X302" s="643"/>
      <c r="Y302" s="616">
        <f t="shared" si="23"/>
        <v>0</v>
      </c>
      <c r="Z302" s="633"/>
      <c r="AA302" s="648"/>
      <c r="AB302" s="648"/>
      <c r="AC302" s="7"/>
      <c r="AD302" s="699"/>
      <c r="AE302" s="7"/>
      <c r="AF302" s="618">
        <f t="shared" si="22"/>
        <v>0</v>
      </c>
      <c r="AG302" s="7"/>
      <c r="AH302" s="7"/>
      <c r="AI302" s="7"/>
      <c r="AJ302" s="7"/>
      <c r="AK302" s="7"/>
      <c r="AL302" s="7"/>
    </row>
    <row r="303" spans="1:38" ht="21" customHeight="1">
      <c r="A303" s="503"/>
      <c r="B303" s="483" t="s">
        <v>675</v>
      </c>
      <c r="C303" s="629" t="s">
        <v>203</v>
      </c>
      <c r="D303" s="504" t="s">
        <v>271</v>
      </c>
      <c r="E303" s="214"/>
      <c r="F303" s="214"/>
      <c r="G303" s="215"/>
      <c r="H303" s="215"/>
      <c r="I303" s="215"/>
      <c r="J303" s="214"/>
      <c r="K303" s="214"/>
      <c r="L303" s="647"/>
      <c r="M303" s="213"/>
      <c r="N303" s="213"/>
      <c r="O303" s="215"/>
      <c r="P303" s="213"/>
      <c r="Q303" s="213">
        <v>0</v>
      </c>
      <c r="R303" s="213"/>
      <c r="S303" s="213"/>
      <c r="T303" s="213"/>
      <c r="U303" s="213"/>
      <c r="V303" s="213"/>
      <c r="W303" s="213"/>
      <c r="X303" s="643"/>
      <c r="Y303" s="616">
        <f t="shared" si="23"/>
        <v>0</v>
      </c>
      <c r="Z303" s="633"/>
      <c r="AA303" s="648"/>
      <c r="AB303" s="648"/>
      <c r="AC303" s="7"/>
      <c r="AD303" s="699"/>
      <c r="AE303" s="7"/>
      <c r="AF303" s="618">
        <f t="shared" si="22"/>
        <v>0</v>
      </c>
      <c r="AG303" s="7"/>
      <c r="AH303" s="7"/>
      <c r="AI303" s="7"/>
      <c r="AJ303" s="7"/>
      <c r="AK303" s="7"/>
      <c r="AL303" s="7"/>
    </row>
    <row r="304" spans="1:38" ht="21" customHeight="1">
      <c r="A304" s="503"/>
      <c r="B304" s="483" t="s">
        <v>676</v>
      </c>
      <c r="C304" s="629" t="s">
        <v>159</v>
      </c>
      <c r="D304" s="504" t="s">
        <v>271</v>
      </c>
      <c r="E304" s="214"/>
      <c r="F304" s="214"/>
      <c r="G304" s="215"/>
      <c r="H304" s="215"/>
      <c r="I304" s="215"/>
      <c r="J304" s="214"/>
      <c r="K304" s="214"/>
      <c r="L304" s="647"/>
      <c r="M304" s="213"/>
      <c r="N304" s="213"/>
      <c r="O304" s="215"/>
      <c r="P304" s="213"/>
      <c r="Q304" s="213">
        <v>0</v>
      </c>
      <c r="R304" s="213"/>
      <c r="S304" s="213"/>
      <c r="T304" s="213"/>
      <c r="U304" s="213"/>
      <c r="V304" s="213"/>
      <c r="W304" s="213"/>
      <c r="X304" s="643"/>
      <c r="Y304" s="616">
        <f t="shared" si="23"/>
        <v>0</v>
      </c>
      <c r="Z304" s="633"/>
      <c r="AA304" s="648"/>
      <c r="AB304" s="648"/>
      <c r="AC304" s="7"/>
      <c r="AD304" s="699"/>
      <c r="AE304" s="7"/>
      <c r="AF304" s="618">
        <f t="shared" si="22"/>
        <v>0</v>
      </c>
      <c r="AG304" s="7"/>
      <c r="AH304" s="7"/>
      <c r="AI304" s="7"/>
      <c r="AJ304" s="7"/>
      <c r="AK304" s="7"/>
      <c r="AL304" s="7"/>
    </row>
    <row r="305" spans="1:38" ht="21" customHeight="1">
      <c r="A305" s="486"/>
      <c r="B305" s="487" t="s">
        <v>677</v>
      </c>
      <c r="C305" s="655" t="s">
        <v>678</v>
      </c>
      <c r="D305" s="485" t="s">
        <v>271</v>
      </c>
      <c r="E305" s="214"/>
      <c r="F305" s="214"/>
      <c r="G305" s="215"/>
      <c r="H305" s="215"/>
      <c r="I305" s="215"/>
      <c r="J305" s="214"/>
      <c r="K305" s="214"/>
      <c r="L305" s="620"/>
      <c r="M305" s="213"/>
      <c r="N305" s="213"/>
      <c r="O305" s="215"/>
      <c r="P305" s="213"/>
      <c r="Q305" s="213">
        <v>0</v>
      </c>
      <c r="R305" s="213"/>
      <c r="S305" s="213"/>
      <c r="T305" s="213"/>
      <c r="U305" s="213"/>
      <c r="V305" s="213"/>
      <c r="W305" s="213"/>
      <c r="X305" s="643"/>
      <c r="Y305" s="616">
        <f t="shared" si="23"/>
        <v>0</v>
      </c>
      <c r="Z305" s="633"/>
      <c r="AA305" s="636"/>
      <c r="AB305" s="636"/>
      <c r="AC305" s="7"/>
      <c r="AD305" s="699"/>
      <c r="AE305" s="7"/>
      <c r="AF305" s="618">
        <f t="shared" si="22"/>
        <v>0</v>
      </c>
      <c r="AG305" s="7"/>
      <c r="AH305" s="7"/>
      <c r="AI305" s="7"/>
      <c r="AJ305" s="7"/>
      <c r="AK305" s="7"/>
      <c r="AL305" s="7"/>
    </row>
    <row r="306" spans="1:38" ht="21" customHeight="1">
      <c r="A306" s="503"/>
      <c r="B306" s="483" t="s">
        <v>679</v>
      </c>
      <c r="C306" s="629" t="s">
        <v>131</v>
      </c>
      <c r="D306" s="504" t="s">
        <v>271</v>
      </c>
      <c r="E306" s="214"/>
      <c r="F306" s="214"/>
      <c r="G306" s="215"/>
      <c r="H306" s="215"/>
      <c r="I306" s="215"/>
      <c r="J306" s="214"/>
      <c r="K306" s="214"/>
      <c r="L306" s="647"/>
      <c r="M306" s="213"/>
      <c r="N306" s="213"/>
      <c r="O306" s="215"/>
      <c r="P306" s="213"/>
      <c r="Q306" s="213">
        <v>0</v>
      </c>
      <c r="R306" s="213"/>
      <c r="S306" s="213"/>
      <c r="T306" s="213"/>
      <c r="U306" s="213"/>
      <c r="V306" s="213"/>
      <c r="W306" s="213"/>
      <c r="X306" s="643"/>
      <c r="Y306" s="616">
        <f t="shared" si="23"/>
        <v>0</v>
      </c>
      <c r="Z306" s="633"/>
      <c r="AA306" s="648"/>
      <c r="AB306" s="648"/>
      <c r="AC306" s="7"/>
      <c r="AD306" s="699"/>
      <c r="AE306" s="7"/>
      <c r="AF306" s="618">
        <f t="shared" si="22"/>
        <v>0</v>
      </c>
      <c r="AG306" s="7"/>
      <c r="AH306" s="7"/>
      <c r="AI306" s="7"/>
      <c r="AJ306" s="7"/>
      <c r="AK306" s="7"/>
      <c r="AL306" s="7"/>
    </row>
    <row r="307" spans="1:38" ht="21" customHeight="1">
      <c r="A307" s="503"/>
      <c r="B307" s="483" t="s">
        <v>680</v>
      </c>
      <c r="C307" s="629" t="s">
        <v>200</v>
      </c>
      <c r="D307" s="504" t="s">
        <v>271</v>
      </c>
      <c r="E307" s="214"/>
      <c r="F307" s="214"/>
      <c r="G307" s="215"/>
      <c r="H307" s="215"/>
      <c r="I307" s="215"/>
      <c r="J307" s="214"/>
      <c r="K307" s="214"/>
      <c r="L307" s="647"/>
      <c r="M307" s="213"/>
      <c r="N307" s="213"/>
      <c r="O307" s="215"/>
      <c r="P307" s="213"/>
      <c r="Q307" s="213">
        <v>0</v>
      </c>
      <c r="R307" s="213"/>
      <c r="S307" s="213"/>
      <c r="T307" s="213"/>
      <c r="U307" s="213"/>
      <c r="V307" s="213"/>
      <c r="W307" s="213"/>
      <c r="X307" s="643"/>
      <c r="Y307" s="616">
        <f t="shared" si="23"/>
        <v>0</v>
      </c>
      <c r="Z307" s="633"/>
      <c r="AA307" s="648"/>
      <c r="AB307" s="648"/>
      <c r="AC307" s="7"/>
      <c r="AD307" s="699"/>
      <c r="AE307" s="7"/>
      <c r="AF307" s="618">
        <f t="shared" si="22"/>
        <v>0</v>
      </c>
      <c r="AG307" s="7"/>
      <c r="AH307" s="7"/>
      <c r="AI307" s="7"/>
      <c r="AJ307" s="7"/>
      <c r="AK307" s="7"/>
      <c r="AL307" s="7"/>
    </row>
    <row r="308" spans="1:38" ht="21" customHeight="1">
      <c r="A308" s="503"/>
      <c r="B308" s="483" t="s">
        <v>681</v>
      </c>
      <c r="C308" s="629" t="s">
        <v>203</v>
      </c>
      <c r="D308" s="504" t="s">
        <v>271</v>
      </c>
      <c r="E308" s="214"/>
      <c r="F308" s="214"/>
      <c r="G308" s="215"/>
      <c r="H308" s="215"/>
      <c r="I308" s="215"/>
      <c r="J308" s="214"/>
      <c r="K308" s="214"/>
      <c r="L308" s="647"/>
      <c r="M308" s="213"/>
      <c r="N308" s="213"/>
      <c r="O308" s="215"/>
      <c r="P308" s="213"/>
      <c r="Q308" s="213">
        <v>0</v>
      </c>
      <c r="R308" s="213"/>
      <c r="S308" s="213"/>
      <c r="T308" s="213"/>
      <c r="U308" s="213"/>
      <c r="V308" s="213"/>
      <c r="W308" s="213"/>
      <c r="X308" s="643"/>
      <c r="Y308" s="616">
        <f t="shared" si="23"/>
        <v>0</v>
      </c>
      <c r="Z308" s="633"/>
      <c r="AA308" s="648"/>
      <c r="AB308" s="648"/>
      <c r="AC308" s="7"/>
      <c r="AD308" s="699"/>
      <c r="AE308" s="7"/>
      <c r="AF308" s="618">
        <f t="shared" si="22"/>
        <v>0</v>
      </c>
      <c r="AG308" s="7"/>
      <c r="AH308" s="7"/>
      <c r="AI308" s="7"/>
      <c r="AJ308" s="7"/>
      <c r="AK308" s="7"/>
      <c r="AL308" s="7"/>
    </row>
    <row r="309" spans="1:38" ht="21" customHeight="1">
      <c r="A309" s="503"/>
      <c r="B309" s="483" t="s">
        <v>682</v>
      </c>
      <c r="C309" s="629" t="s">
        <v>159</v>
      </c>
      <c r="D309" s="504" t="s">
        <v>271</v>
      </c>
      <c r="E309" s="214"/>
      <c r="F309" s="214"/>
      <c r="G309" s="215"/>
      <c r="H309" s="215"/>
      <c r="I309" s="215"/>
      <c r="J309" s="214"/>
      <c r="K309" s="214"/>
      <c r="L309" s="647"/>
      <c r="M309" s="213"/>
      <c r="N309" s="213"/>
      <c r="O309" s="215"/>
      <c r="P309" s="213"/>
      <c r="Q309" s="213">
        <v>0</v>
      </c>
      <c r="R309" s="213"/>
      <c r="S309" s="213"/>
      <c r="T309" s="213"/>
      <c r="U309" s="213"/>
      <c r="V309" s="213"/>
      <c r="W309" s="213"/>
      <c r="X309" s="643"/>
      <c r="Y309" s="616">
        <f t="shared" si="23"/>
        <v>0</v>
      </c>
      <c r="Z309" s="633"/>
      <c r="AA309" s="648"/>
      <c r="AB309" s="648"/>
      <c r="AC309" s="7"/>
      <c r="AD309" s="699"/>
      <c r="AE309" s="7"/>
      <c r="AF309" s="618">
        <f t="shared" si="22"/>
        <v>0</v>
      </c>
      <c r="AG309" s="7"/>
      <c r="AH309" s="7"/>
      <c r="AI309" s="7"/>
      <c r="AJ309" s="7"/>
      <c r="AK309" s="7"/>
      <c r="AL309" s="7"/>
    </row>
    <row r="310" spans="1:38" ht="21" customHeight="1">
      <c r="A310" s="486"/>
      <c r="B310" s="487" t="s">
        <v>683</v>
      </c>
      <c r="C310" s="655" t="s">
        <v>684</v>
      </c>
      <c r="D310" s="485" t="s">
        <v>271</v>
      </c>
      <c r="E310" s="214"/>
      <c r="F310" s="214"/>
      <c r="G310" s="215"/>
      <c r="H310" s="215"/>
      <c r="I310" s="215"/>
      <c r="J310" s="214"/>
      <c r="K310" s="214"/>
      <c r="L310" s="620"/>
      <c r="M310" s="213"/>
      <c r="N310" s="213"/>
      <c r="O310" s="215"/>
      <c r="P310" s="213"/>
      <c r="Q310" s="213">
        <v>0</v>
      </c>
      <c r="R310" s="213"/>
      <c r="S310" s="213"/>
      <c r="T310" s="213"/>
      <c r="U310" s="213"/>
      <c r="V310" s="213"/>
      <c r="W310" s="213"/>
      <c r="X310" s="643"/>
      <c r="Y310" s="616">
        <f t="shared" si="23"/>
        <v>0</v>
      </c>
      <c r="Z310" s="633"/>
      <c r="AA310" s="636"/>
      <c r="AB310" s="636"/>
      <c r="AC310" s="7"/>
      <c r="AD310" s="699"/>
      <c r="AE310" s="7"/>
      <c r="AF310" s="618">
        <f t="shared" si="22"/>
        <v>0</v>
      </c>
      <c r="AG310" s="7"/>
      <c r="AH310" s="7"/>
      <c r="AI310" s="7"/>
      <c r="AJ310" s="7"/>
      <c r="AK310" s="7"/>
      <c r="AL310" s="7"/>
    </row>
    <row r="311" spans="1:38" ht="21" customHeight="1">
      <c r="A311" s="503"/>
      <c r="B311" s="483" t="s">
        <v>685</v>
      </c>
      <c r="C311" s="629" t="s">
        <v>131</v>
      </c>
      <c r="D311" s="504" t="s">
        <v>271</v>
      </c>
      <c r="E311" s="214"/>
      <c r="F311" s="214"/>
      <c r="G311" s="215"/>
      <c r="H311" s="215"/>
      <c r="I311" s="215"/>
      <c r="J311" s="214"/>
      <c r="K311" s="214"/>
      <c r="L311" s="647"/>
      <c r="M311" s="213"/>
      <c r="N311" s="213"/>
      <c r="O311" s="215"/>
      <c r="P311" s="213"/>
      <c r="Q311" s="213">
        <v>0</v>
      </c>
      <c r="R311" s="213"/>
      <c r="S311" s="213"/>
      <c r="T311" s="213"/>
      <c r="U311" s="213"/>
      <c r="V311" s="213"/>
      <c r="W311" s="213"/>
      <c r="X311" s="643"/>
      <c r="Y311" s="616">
        <f t="shared" si="23"/>
        <v>0</v>
      </c>
      <c r="Z311" s="633"/>
      <c r="AA311" s="648"/>
      <c r="AB311" s="648"/>
      <c r="AC311" s="7"/>
      <c r="AD311" s="699"/>
      <c r="AE311" s="7"/>
      <c r="AF311" s="618">
        <f t="shared" si="22"/>
        <v>0</v>
      </c>
      <c r="AG311" s="7"/>
      <c r="AH311" s="7"/>
      <c r="AI311" s="7"/>
      <c r="AJ311" s="7"/>
      <c r="AK311" s="7"/>
      <c r="AL311" s="7"/>
    </row>
    <row r="312" spans="1:38" ht="21" customHeight="1">
      <c r="A312" s="503"/>
      <c r="B312" s="483" t="s">
        <v>686</v>
      </c>
      <c r="C312" s="629" t="s">
        <v>200</v>
      </c>
      <c r="D312" s="504" t="s">
        <v>271</v>
      </c>
      <c r="E312" s="214"/>
      <c r="F312" s="214"/>
      <c r="G312" s="215"/>
      <c r="H312" s="215"/>
      <c r="I312" s="215"/>
      <c r="J312" s="214"/>
      <c r="K312" s="214"/>
      <c r="L312" s="647"/>
      <c r="M312" s="213"/>
      <c r="N312" s="213"/>
      <c r="O312" s="215"/>
      <c r="P312" s="213"/>
      <c r="Q312" s="213">
        <v>0</v>
      </c>
      <c r="R312" s="213"/>
      <c r="S312" s="213"/>
      <c r="T312" s="213"/>
      <c r="U312" s="213"/>
      <c r="V312" s="213"/>
      <c r="W312" s="213"/>
      <c r="X312" s="643"/>
      <c r="Y312" s="616">
        <f t="shared" si="23"/>
        <v>0</v>
      </c>
      <c r="Z312" s="633"/>
      <c r="AA312" s="648"/>
      <c r="AB312" s="648"/>
      <c r="AC312" s="7"/>
      <c r="AD312" s="699"/>
      <c r="AE312" s="7"/>
      <c r="AF312" s="618">
        <f t="shared" si="22"/>
        <v>0</v>
      </c>
      <c r="AG312" s="7"/>
      <c r="AH312" s="7"/>
      <c r="AI312" s="7"/>
      <c r="AJ312" s="7"/>
      <c r="AK312" s="7"/>
      <c r="AL312" s="7"/>
    </row>
    <row r="313" spans="1:38" ht="21" customHeight="1">
      <c r="A313" s="503"/>
      <c r="B313" s="483" t="s">
        <v>687</v>
      </c>
      <c r="C313" s="629" t="s">
        <v>203</v>
      </c>
      <c r="D313" s="504" t="s">
        <v>271</v>
      </c>
      <c r="E313" s="214"/>
      <c r="F313" s="214"/>
      <c r="G313" s="215"/>
      <c r="H313" s="215"/>
      <c r="I313" s="215"/>
      <c r="J313" s="214"/>
      <c r="K313" s="214"/>
      <c r="L313" s="647"/>
      <c r="M313" s="213"/>
      <c r="N313" s="213"/>
      <c r="O313" s="215"/>
      <c r="P313" s="213"/>
      <c r="Q313" s="213">
        <v>0</v>
      </c>
      <c r="R313" s="213"/>
      <c r="S313" s="213"/>
      <c r="T313" s="213"/>
      <c r="U313" s="213"/>
      <c r="V313" s="213"/>
      <c r="W313" s="213"/>
      <c r="X313" s="643"/>
      <c r="Y313" s="616">
        <f t="shared" si="23"/>
        <v>0</v>
      </c>
      <c r="Z313" s="633"/>
      <c r="AA313" s="648"/>
      <c r="AB313" s="648"/>
      <c r="AC313" s="7"/>
      <c r="AD313" s="699"/>
      <c r="AE313" s="7"/>
      <c r="AF313" s="618">
        <f t="shared" si="22"/>
        <v>0</v>
      </c>
      <c r="AG313" s="7"/>
      <c r="AH313" s="7"/>
      <c r="AI313" s="7"/>
      <c r="AJ313" s="7"/>
      <c r="AK313" s="7"/>
      <c r="AL313" s="7"/>
    </row>
    <row r="314" spans="1:38" ht="21" customHeight="1">
      <c r="A314" s="503"/>
      <c r="B314" s="483" t="s">
        <v>688</v>
      </c>
      <c r="C314" s="629" t="s">
        <v>159</v>
      </c>
      <c r="D314" s="504" t="s">
        <v>271</v>
      </c>
      <c r="E314" s="214"/>
      <c r="F314" s="214"/>
      <c r="G314" s="215"/>
      <c r="H314" s="215"/>
      <c r="I314" s="215"/>
      <c r="J314" s="214"/>
      <c r="K314" s="214"/>
      <c r="L314" s="647"/>
      <c r="M314" s="213"/>
      <c r="N314" s="213"/>
      <c r="O314" s="215"/>
      <c r="P314" s="213"/>
      <c r="Q314" s="213">
        <v>0</v>
      </c>
      <c r="R314" s="213"/>
      <c r="S314" s="213"/>
      <c r="T314" s="213"/>
      <c r="U314" s="213"/>
      <c r="V314" s="213"/>
      <c r="W314" s="213"/>
      <c r="X314" s="643"/>
      <c r="Y314" s="616">
        <f t="shared" si="23"/>
        <v>0</v>
      </c>
      <c r="Z314" s="633"/>
      <c r="AA314" s="648"/>
      <c r="AB314" s="648"/>
      <c r="AC314" s="7"/>
      <c r="AD314" s="699"/>
      <c r="AE314" s="7"/>
      <c r="AF314" s="618">
        <f t="shared" si="22"/>
        <v>0</v>
      </c>
      <c r="AG314" s="7"/>
      <c r="AH314" s="7"/>
      <c r="AI314" s="7"/>
      <c r="AJ314" s="7"/>
      <c r="AK314" s="7"/>
      <c r="AL314" s="7"/>
    </row>
    <row r="315" spans="1:38" ht="21" customHeight="1">
      <c r="A315" s="486"/>
      <c r="B315" s="487" t="s">
        <v>689</v>
      </c>
      <c r="C315" s="635" t="s">
        <v>690</v>
      </c>
      <c r="D315" s="512" t="s">
        <v>271</v>
      </c>
      <c r="E315" s="214"/>
      <c r="F315" s="214"/>
      <c r="G315" s="215"/>
      <c r="H315" s="215"/>
      <c r="I315" s="215"/>
      <c r="J315" s="214"/>
      <c r="K315" s="214"/>
      <c r="L315" s="647"/>
      <c r="M315" s="213"/>
      <c r="N315" s="213"/>
      <c r="O315" s="215"/>
      <c r="P315" s="213"/>
      <c r="Q315" s="213">
        <v>0</v>
      </c>
      <c r="R315" s="213"/>
      <c r="S315" s="213"/>
      <c r="T315" s="213"/>
      <c r="U315" s="213"/>
      <c r="V315" s="213"/>
      <c r="W315" s="213"/>
      <c r="X315" s="643"/>
      <c r="Y315" s="616">
        <f t="shared" si="23"/>
        <v>0</v>
      </c>
      <c r="Z315" s="633"/>
      <c r="AA315" s="636"/>
      <c r="AB315" s="636"/>
      <c r="AC315" s="7"/>
      <c r="AD315" s="699"/>
      <c r="AE315" s="7"/>
      <c r="AF315" s="618">
        <f t="shared" si="22"/>
        <v>0</v>
      </c>
      <c r="AG315" s="7"/>
      <c r="AH315" s="7"/>
      <c r="AI315" s="7"/>
      <c r="AJ315" s="7"/>
      <c r="AK315" s="7"/>
      <c r="AL315" s="7"/>
    </row>
    <row r="316" spans="1:38" ht="21" customHeight="1">
      <c r="A316" s="503"/>
      <c r="B316" s="483" t="s">
        <v>692</v>
      </c>
      <c r="C316" s="629" t="s">
        <v>131</v>
      </c>
      <c r="D316" s="504" t="s">
        <v>271</v>
      </c>
      <c r="E316" s="214"/>
      <c r="F316" s="214"/>
      <c r="G316" s="215"/>
      <c r="H316" s="215"/>
      <c r="I316" s="215"/>
      <c r="J316" s="214"/>
      <c r="K316" s="214"/>
      <c r="L316" s="647"/>
      <c r="M316" s="213"/>
      <c r="N316" s="213"/>
      <c r="O316" s="215"/>
      <c r="P316" s="213"/>
      <c r="Q316" s="213">
        <v>0</v>
      </c>
      <c r="R316" s="213"/>
      <c r="S316" s="213"/>
      <c r="T316" s="213"/>
      <c r="U316" s="213"/>
      <c r="V316" s="213"/>
      <c r="W316" s="213"/>
      <c r="X316" s="643"/>
      <c r="Y316" s="616">
        <f t="shared" si="23"/>
        <v>0</v>
      </c>
      <c r="Z316" s="633"/>
      <c r="AA316" s="648"/>
      <c r="AB316" s="648"/>
      <c r="AC316" s="7"/>
      <c r="AD316" s="699"/>
      <c r="AE316" s="7"/>
      <c r="AF316" s="618">
        <f t="shared" si="22"/>
        <v>0</v>
      </c>
      <c r="AG316" s="7"/>
      <c r="AH316" s="7"/>
      <c r="AI316" s="7"/>
      <c r="AJ316" s="7"/>
      <c r="AK316" s="7"/>
      <c r="AL316" s="7"/>
    </row>
    <row r="317" spans="1:38" ht="21" customHeight="1">
      <c r="A317" s="503"/>
      <c r="B317" s="483" t="s">
        <v>693</v>
      </c>
      <c r="C317" s="629" t="s">
        <v>200</v>
      </c>
      <c r="D317" s="504" t="s">
        <v>271</v>
      </c>
      <c r="E317" s="214"/>
      <c r="F317" s="214"/>
      <c r="G317" s="215"/>
      <c r="H317" s="215"/>
      <c r="I317" s="215"/>
      <c r="J317" s="214"/>
      <c r="K317" s="214"/>
      <c r="L317" s="647"/>
      <c r="M317" s="213"/>
      <c r="N317" s="213"/>
      <c r="O317" s="215"/>
      <c r="P317" s="213"/>
      <c r="Q317" s="213">
        <v>0</v>
      </c>
      <c r="R317" s="213"/>
      <c r="S317" s="213"/>
      <c r="T317" s="213"/>
      <c r="U317" s="213"/>
      <c r="V317" s="213"/>
      <c r="W317" s="213"/>
      <c r="X317" s="643"/>
      <c r="Y317" s="616">
        <f t="shared" si="23"/>
        <v>0</v>
      </c>
      <c r="Z317" s="633"/>
      <c r="AA317" s="648"/>
      <c r="AB317" s="648"/>
      <c r="AC317" s="7"/>
      <c r="AD317" s="699"/>
      <c r="AE317" s="7"/>
      <c r="AF317" s="618">
        <f t="shared" si="22"/>
        <v>0</v>
      </c>
      <c r="AG317" s="7"/>
      <c r="AH317" s="7"/>
      <c r="AI317" s="7"/>
      <c r="AJ317" s="7"/>
      <c r="AK317" s="7"/>
      <c r="AL317" s="7"/>
    </row>
    <row r="318" spans="1:38" ht="21" customHeight="1">
      <c r="A318" s="503"/>
      <c r="B318" s="483" t="s">
        <v>694</v>
      </c>
      <c r="C318" s="629" t="s">
        <v>203</v>
      </c>
      <c r="D318" s="504" t="s">
        <v>271</v>
      </c>
      <c r="E318" s="214"/>
      <c r="F318" s="214"/>
      <c r="G318" s="215"/>
      <c r="H318" s="215"/>
      <c r="I318" s="215"/>
      <c r="J318" s="214"/>
      <c r="K318" s="214"/>
      <c r="L318" s="647"/>
      <c r="M318" s="213"/>
      <c r="N318" s="213"/>
      <c r="O318" s="215"/>
      <c r="P318" s="213"/>
      <c r="Q318" s="213">
        <v>0</v>
      </c>
      <c r="R318" s="213"/>
      <c r="S318" s="213"/>
      <c r="T318" s="213"/>
      <c r="U318" s="213"/>
      <c r="V318" s="213"/>
      <c r="W318" s="213"/>
      <c r="X318" s="643"/>
      <c r="Y318" s="616">
        <f t="shared" si="23"/>
        <v>0</v>
      </c>
      <c r="Z318" s="633"/>
      <c r="AA318" s="648"/>
      <c r="AB318" s="648"/>
      <c r="AC318" s="7"/>
      <c r="AD318" s="699"/>
      <c r="AE318" s="7"/>
      <c r="AF318" s="618">
        <f t="shared" si="22"/>
        <v>0</v>
      </c>
      <c r="AG318" s="7"/>
      <c r="AH318" s="7"/>
      <c r="AI318" s="7"/>
      <c r="AJ318" s="7"/>
      <c r="AK318" s="7"/>
      <c r="AL318" s="7"/>
    </row>
    <row r="319" spans="1:38" ht="21" customHeight="1">
      <c r="A319" s="503"/>
      <c r="B319" s="483" t="s">
        <v>695</v>
      </c>
      <c r="C319" s="629" t="s">
        <v>159</v>
      </c>
      <c r="D319" s="504" t="s">
        <v>271</v>
      </c>
      <c r="E319" s="214"/>
      <c r="F319" s="214"/>
      <c r="G319" s="215"/>
      <c r="H319" s="215"/>
      <c r="I319" s="215"/>
      <c r="J319" s="214"/>
      <c r="K319" s="214"/>
      <c r="L319" s="647"/>
      <c r="M319" s="213"/>
      <c r="N319" s="213"/>
      <c r="O319" s="215"/>
      <c r="P319" s="213"/>
      <c r="Q319" s="213">
        <v>0</v>
      </c>
      <c r="R319" s="213"/>
      <c r="S319" s="213"/>
      <c r="T319" s="213"/>
      <c r="U319" s="213"/>
      <c r="V319" s="213"/>
      <c r="W319" s="213"/>
      <c r="X319" s="643"/>
      <c r="Y319" s="616">
        <f t="shared" si="23"/>
        <v>0</v>
      </c>
      <c r="Z319" s="633"/>
      <c r="AA319" s="648"/>
      <c r="AB319" s="648"/>
      <c r="AC319" s="7"/>
      <c r="AD319" s="699"/>
      <c r="AE319" s="7"/>
      <c r="AF319" s="618">
        <f t="shared" si="22"/>
        <v>0</v>
      </c>
      <c r="AG319" s="7"/>
      <c r="AH319" s="7"/>
      <c r="AI319" s="7"/>
      <c r="AJ319" s="7"/>
      <c r="AK319" s="7"/>
      <c r="AL319" s="7"/>
    </row>
    <row r="320" spans="1:38" ht="21" customHeight="1">
      <c r="A320" s="486"/>
      <c r="B320" s="487" t="s">
        <v>696</v>
      </c>
      <c r="C320" s="635" t="s">
        <v>697</v>
      </c>
      <c r="D320" s="412" t="s">
        <v>271</v>
      </c>
      <c r="E320" s="214"/>
      <c r="F320" s="214"/>
      <c r="G320" s="215"/>
      <c r="H320" s="215"/>
      <c r="I320" s="215"/>
      <c r="J320" s="214"/>
      <c r="K320" s="214"/>
      <c r="L320" s="620"/>
      <c r="M320" s="213"/>
      <c r="N320" s="213"/>
      <c r="O320" s="215"/>
      <c r="P320" s="213"/>
      <c r="Q320" s="213">
        <v>0</v>
      </c>
      <c r="R320" s="213"/>
      <c r="S320" s="213"/>
      <c r="T320" s="213"/>
      <c r="U320" s="213"/>
      <c r="V320" s="213"/>
      <c r="W320" s="213"/>
      <c r="X320" s="643"/>
      <c r="Y320" s="616">
        <f t="shared" si="23"/>
        <v>0</v>
      </c>
      <c r="Z320" s="633"/>
      <c r="AA320" s="636"/>
      <c r="AB320" s="636"/>
      <c r="AC320" s="7"/>
      <c r="AD320" s="699"/>
      <c r="AE320" s="7"/>
      <c r="AF320" s="618">
        <f t="shared" si="22"/>
        <v>0</v>
      </c>
      <c r="AG320" s="7"/>
      <c r="AH320" s="7"/>
      <c r="AI320" s="7"/>
      <c r="AJ320" s="7"/>
      <c r="AK320" s="7"/>
      <c r="AL320" s="7"/>
    </row>
    <row r="321" spans="1:38" ht="21" customHeight="1">
      <c r="A321" s="503"/>
      <c r="B321" s="483" t="s">
        <v>699</v>
      </c>
      <c r="C321" s="629" t="s">
        <v>131</v>
      </c>
      <c r="D321" s="504" t="s">
        <v>271</v>
      </c>
      <c r="E321" s="214"/>
      <c r="F321" s="214"/>
      <c r="G321" s="215"/>
      <c r="H321" s="215"/>
      <c r="I321" s="215"/>
      <c r="J321" s="214"/>
      <c r="K321" s="214"/>
      <c r="L321" s="647"/>
      <c r="M321" s="213"/>
      <c r="N321" s="213"/>
      <c r="O321" s="215"/>
      <c r="P321" s="213"/>
      <c r="Q321" s="213">
        <v>0</v>
      </c>
      <c r="R321" s="213"/>
      <c r="S321" s="213"/>
      <c r="T321" s="213"/>
      <c r="U321" s="213"/>
      <c r="V321" s="213"/>
      <c r="W321" s="213"/>
      <c r="X321" s="643"/>
      <c r="Y321" s="616">
        <f t="shared" si="23"/>
        <v>0</v>
      </c>
      <c r="Z321" s="633"/>
      <c r="AA321" s="636"/>
      <c r="AB321" s="636"/>
      <c r="AC321" s="7"/>
      <c r="AD321" s="699"/>
      <c r="AE321" s="7"/>
      <c r="AF321" s="618">
        <f t="shared" si="22"/>
        <v>0</v>
      </c>
      <c r="AG321" s="7"/>
      <c r="AH321" s="7"/>
      <c r="AI321" s="7"/>
      <c r="AJ321" s="7"/>
      <c r="AK321" s="7"/>
      <c r="AL321" s="7"/>
    </row>
    <row r="322" spans="1:38" ht="21" customHeight="1">
      <c r="A322" s="503"/>
      <c r="B322" s="483" t="s">
        <v>700</v>
      </c>
      <c r="C322" s="629" t="s">
        <v>200</v>
      </c>
      <c r="D322" s="504" t="s">
        <v>271</v>
      </c>
      <c r="E322" s="214"/>
      <c r="F322" s="214"/>
      <c r="G322" s="215"/>
      <c r="H322" s="215"/>
      <c r="I322" s="215"/>
      <c r="J322" s="214"/>
      <c r="K322" s="214"/>
      <c r="L322" s="647"/>
      <c r="M322" s="213"/>
      <c r="N322" s="213"/>
      <c r="O322" s="215"/>
      <c r="P322" s="213"/>
      <c r="Q322" s="213">
        <v>0</v>
      </c>
      <c r="R322" s="213"/>
      <c r="S322" s="213"/>
      <c r="T322" s="213"/>
      <c r="U322" s="213"/>
      <c r="V322" s="213"/>
      <c r="W322" s="213"/>
      <c r="X322" s="643"/>
      <c r="Y322" s="616">
        <f t="shared" si="23"/>
        <v>0</v>
      </c>
      <c r="Z322" s="633"/>
      <c r="AA322" s="636"/>
      <c r="AB322" s="636"/>
      <c r="AC322" s="7"/>
      <c r="AD322" s="699"/>
      <c r="AE322" s="7"/>
      <c r="AF322" s="618">
        <f t="shared" si="22"/>
        <v>0</v>
      </c>
      <c r="AG322" s="7"/>
      <c r="AH322" s="7"/>
      <c r="AI322" s="7"/>
      <c r="AJ322" s="7"/>
      <c r="AK322" s="7"/>
      <c r="AL322" s="7"/>
    </row>
    <row r="323" spans="1:38" ht="21" customHeight="1">
      <c r="A323" s="503"/>
      <c r="B323" s="483" t="s">
        <v>701</v>
      </c>
      <c r="C323" s="629" t="s">
        <v>203</v>
      </c>
      <c r="D323" s="504" t="s">
        <v>271</v>
      </c>
      <c r="E323" s="214"/>
      <c r="F323" s="214"/>
      <c r="G323" s="215"/>
      <c r="H323" s="215"/>
      <c r="I323" s="215"/>
      <c r="J323" s="214"/>
      <c r="K323" s="214"/>
      <c r="L323" s="647"/>
      <c r="M323" s="213"/>
      <c r="N323" s="213"/>
      <c r="O323" s="215"/>
      <c r="P323" s="213"/>
      <c r="Q323" s="213">
        <v>0</v>
      </c>
      <c r="R323" s="213"/>
      <c r="S323" s="213"/>
      <c r="T323" s="213"/>
      <c r="U323" s="213"/>
      <c r="V323" s="213"/>
      <c r="W323" s="213"/>
      <c r="X323" s="643"/>
      <c r="Y323" s="616">
        <f t="shared" si="23"/>
        <v>0</v>
      </c>
      <c r="Z323" s="633"/>
      <c r="AA323" s="636"/>
      <c r="AB323" s="636"/>
      <c r="AC323" s="7"/>
      <c r="AD323" s="699"/>
      <c r="AE323" s="7"/>
      <c r="AF323" s="618">
        <f t="shared" si="22"/>
        <v>0</v>
      </c>
      <c r="AG323" s="7"/>
      <c r="AH323" s="7"/>
      <c r="AI323" s="7"/>
      <c r="AJ323" s="7"/>
      <c r="AK323" s="7"/>
      <c r="AL323" s="7"/>
    </row>
    <row r="324" spans="1:38" ht="21" customHeight="1">
      <c r="A324" s="503"/>
      <c r="B324" s="483" t="s">
        <v>702</v>
      </c>
      <c r="C324" s="629" t="s">
        <v>159</v>
      </c>
      <c r="D324" s="504" t="s">
        <v>271</v>
      </c>
      <c r="E324" s="214"/>
      <c r="F324" s="214"/>
      <c r="G324" s="215"/>
      <c r="H324" s="215"/>
      <c r="I324" s="215"/>
      <c r="J324" s="214"/>
      <c r="K324" s="214"/>
      <c r="L324" s="647"/>
      <c r="M324" s="213"/>
      <c r="N324" s="213"/>
      <c r="O324" s="215"/>
      <c r="P324" s="213"/>
      <c r="Q324" s="213">
        <v>0</v>
      </c>
      <c r="R324" s="213"/>
      <c r="S324" s="213"/>
      <c r="T324" s="213"/>
      <c r="U324" s="213"/>
      <c r="V324" s="213"/>
      <c r="W324" s="213"/>
      <c r="X324" s="643"/>
      <c r="Y324" s="616">
        <f t="shared" si="23"/>
        <v>0</v>
      </c>
      <c r="Z324" s="633"/>
      <c r="AA324" s="636"/>
      <c r="AB324" s="636"/>
      <c r="AC324" s="7"/>
      <c r="AD324" s="699"/>
      <c r="AE324" s="7"/>
      <c r="AF324" s="618">
        <f t="shared" si="22"/>
        <v>0</v>
      </c>
      <c r="AG324" s="7"/>
      <c r="AH324" s="7"/>
      <c r="AI324" s="7"/>
      <c r="AJ324" s="7"/>
      <c r="AK324" s="7"/>
      <c r="AL324" s="7"/>
    </row>
    <row r="325" spans="1:38" ht="33.75" customHeight="1">
      <c r="A325" s="486"/>
      <c r="B325" s="487" t="s">
        <v>703</v>
      </c>
      <c r="C325" s="656" t="s">
        <v>704</v>
      </c>
      <c r="D325" s="519" t="s">
        <v>1814</v>
      </c>
      <c r="E325" s="214"/>
      <c r="F325" s="214"/>
      <c r="G325" s="215"/>
      <c r="H325" s="215"/>
      <c r="I325" s="215"/>
      <c r="J325" s="214"/>
      <c r="K325" s="214"/>
      <c r="L325" s="193"/>
      <c r="M325" s="213"/>
      <c r="N325" s="213"/>
      <c r="O325" s="215"/>
      <c r="P325" s="213"/>
      <c r="Q325" s="213">
        <v>0</v>
      </c>
      <c r="R325" s="213"/>
      <c r="S325" s="213"/>
      <c r="T325" s="213"/>
      <c r="U325" s="213"/>
      <c r="V325" s="213"/>
      <c r="W325" s="213"/>
      <c r="X325" s="643"/>
      <c r="Y325" s="616">
        <f t="shared" si="23"/>
        <v>0</v>
      </c>
      <c r="Z325" s="633"/>
      <c r="AA325" s="636"/>
      <c r="AB325" s="636"/>
      <c r="AC325" s="7"/>
      <c r="AD325" s="699"/>
      <c r="AE325" s="7"/>
      <c r="AF325" s="618">
        <f t="shared" si="22"/>
        <v>0</v>
      </c>
      <c r="AG325" s="7"/>
      <c r="AH325" s="7"/>
      <c r="AI325" s="7"/>
      <c r="AJ325" s="7"/>
      <c r="AK325" s="7"/>
      <c r="AL325" s="7"/>
    </row>
    <row r="326" spans="1:38" ht="25.5" customHeight="1">
      <c r="A326" s="503"/>
      <c r="B326" s="483" t="s">
        <v>707</v>
      </c>
      <c r="C326" s="629" t="s">
        <v>131</v>
      </c>
      <c r="D326" s="354" t="s">
        <v>1815</v>
      </c>
      <c r="E326" s="214"/>
      <c r="F326" s="214"/>
      <c r="G326" s="215"/>
      <c r="H326" s="215"/>
      <c r="I326" s="215"/>
      <c r="J326" s="214"/>
      <c r="K326" s="214"/>
      <c r="L326" s="193"/>
      <c r="M326" s="213"/>
      <c r="N326" s="213"/>
      <c r="O326" s="215"/>
      <c r="P326" s="213"/>
      <c r="Q326" s="213">
        <v>0</v>
      </c>
      <c r="R326" s="213"/>
      <c r="S326" s="213"/>
      <c r="T326" s="213"/>
      <c r="U326" s="213"/>
      <c r="V326" s="213"/>
      <c r="W326" s="213"/>
      <c r="X326" s="643"/>
      <c r="Y326" s="616">
        <f t="shared" si="23"/>
        <v>0</v>
      </c>
      <c r="Z326" s="633"/>
      <c r="AA326" s="634"/>
      <c r="AB326" s="634"/>
      <c r="AC326" s="7"/>
      <c r="AD326" s="699"/>
      <c r="AE326" s="7"/>
      <c r="AF326" s="618">
        <f t="shared" si="22"/>
        <v>0</v>
      </c>
      <c r="AG326" s="7"/>
      <c r="AH326" s="7"/>
      <c r="AI326" s="7"/>
      <c r="AJ326" s="7"/>
      <c r="AK326" s="7"/>
      <c r="AL326" s="7"/>
    </row>
    <row r="327" spans="1:38" ht="21" customHeight="1">
      <c r="A327" s="503"/>
      <c r="B327" s="483" t="s">
        <v>709</v>
      </c>
      <c r="C327" s="629" t="s">
        <v>200</v>
      </c>
      <c r="D327" s="354" t="s">
        <v>1816</v>
      </c>
      <c r="E327" s="214"/>
      <c r="F327" s="214"/>
      <c r="G327" s="215"/>
      <c r="H327" s="215"/>
      <c r="I327" s="215"/>
      <c r="J327" s="214"/>
      <c r="K327" s="214"/>
      <c r="L327" s="193"/>
      <c r="M327" s="213"/>
      <c r="N327" s="213"/>
      <c r="O327" s="215"/>
      <c r="P327" s="213"/>
      <c r="Q327" s="213">
        <v>0</v>
      </c>
      <c r="R327" s="213"/>
      <c r="S327" s="213"/>
      <c r="T327" s="213"/>
      <c r="U327" s="213"/>
      <c r="V327" s="213"/>
      <c r="W327" s="213"/>
      <c r="X327" s="643"/>
      <c r="Y327" s="616">
        <f t="shared" si="23"/>
        <v>0</v>
      </c>
      <c r="Z327" s="633"/>
      <c r="AA327" s="636"/>
      <c r="AB327" s="636"/>
      <c r="AC327" s="7"/>
      <c r="AD327" s="699"/>
      <c r="AE327" s="7"/>
      <c r="AF327" s="618">
        <f t="shared" si="22"/>
        <v>0</v>
      </c>
      <c r="AG327" s="7"/>
      <c r="AH327" s="7"/>
      <c r="AI327" s="7"/>
      <c r="AJ327" s="7"/>
      <c r="AK327" s="7"/>
      <c r="AL327" s="7"/>
    </row>
    <row r="328" spans="1:38" ht="21" customHeight="1">
      <c r="A328" s="503"/>
      <c r="B328" s="483" t="s">
        <v>711</v>
      </c>
      <c r="C328" s="629" t="s">
        <v>203</v>
      </c>
      <c r="D328" s="354" t="s">
        <v>1817</v>
      </c>
      <c r="E328" s="214"/>
      <c r="F328" s="214"/>
      <c r="G328" s="215"/>
      <c r="H328" s="215"/>
      <c r="I328" s="215"/>
      <c r="J328" s="214"/>
      <c r="K328" s="214"/>
      <c r="L328" s="193"/>
      <c r="M328" s="213"/>
      <c r="N328" s="213"/>
      <c r="O328" s="215"/>
      <c r="P328" s="213"/>
      <c r="Q328" s="213">
        <v>0</v>
      </c>
      <c r="R328" s="213"/>
      <c r="S328" s="213"/>
      <c r="T328" s="213"/>
      <c r="U328" s="213"/>
      <c r="V328" s="213"/>
      <c r="W328" s="213"/>
      <c r="X328" s="643"/>
      <c r="Y328" s="616">
        <f t="shared" si="23"/>
        <v>0</v>
      </c>
      <c r="Z328" s="633"/>
      <c r="AA328" s="636"/>
      <c r="AB328" s="636"/>
      <c r="AC328" s="7"/>
      <c r="AD328" s="699"/>
      <c r="AE328" s="7"/>
      <c r="AF328" s="618">
        <f t="shared" si="22"/>
        <v>0</v>
      </c>
      <c r="AG328" s="7"/>
      <c r="AH328" s="7"/>
      <c r="AI328" s="7"/>
      <c r="AJ328" s="7"/>
      <c r="AK328" s="7"/>
      <c r="AL328" s="7"/>
    </row>
    <row r="329" spans="1:38" ht="21" customHeight="1">
      <c r="A329" s="503"/>
      <c r="B329" s="483" t="s">
        <v>713</v>
      </c>
      <c r="C329" s="629" t="s">
        <v>159</v>
      </c>
      <c r="D329" s="354" t="s">
        <v>1818</v>
      </c>
      <c r="E329" s="214"/>
      <c r="F329" s="214"/>
      <c r="G329" s="215"/>
      <c r="H329" s="215"/>
      <c r="I329" s="215"/>
      <c r="J329" s="214"/>
      <c r="K329" s="214"/>
      <c r="L329" s="193"/>
      <c r="M329" s="213"/>
      <c r="N329" s="213"/>
      <c r="O329" s="215"/>
      <c r="P329" s="213"/>
      <c r="Q329" s="213">
        <v>0</v>
      </c>
      <c r="R329" s="213"/>
      <c r="S329" s="213"/>
      <c r="T329" s="213"/>
      <c r="U329" s="213"/>
      <c r="V329" s="213"/>
      <c r="W329" s="213"/>
      <c r="X329" s="643"/>
      <c r="Y329" s="616">
        <f t="shared" si="23"/>
        <v>0</v>
      </c>
      <c r="Z329" s="633"/>
      <c r="AA329" s="636"/>
      <c r="AB329" s="636"/>
      <c r="AC329" s="7"/>
      <c r="AD329" s="699"/>
      <c r="AE329" s="7"/>
      <c r="AF329" s="618">
        <f t="shared" si="22"/>
        <v>0</v>
      </c>
      <c r="AG329" s="7"/>
      <c r="AH329" s="7"/>
      <c r="AI329" s="7"/>
      <c r="AJ329" s="7"/>
      <c r="AK329" s="7"/>
      <c r="AL329" s="7"/>
    </row>
    <row r="330" spans="1:38" ht="30.75" customHeight="1">
      <c r="A330" s="486"/>
      <c r="B330" s="487" t="s">
        <v>715</v>
      </c>
      <c r="C330" s="656" t="s">
        <v>716</v>
      </c>
      <c r="D330" s="412" t="s">
        <v>717</v>
      </c>
      <c r="E330" s="214"/>
      <c r="F330" s="214"/>
      <c r="G330" s="215"/>
      <c r="H330" s="215"/>
      <c r="I330" s="215"/>
      <c r="J330" s="214"/>
      <c r="K330" s="214"/>
      <c r="L330" s="620"/>
      <c r="M330" s="213"/>
      <c r="N330" s="213"/>
      <c r="O330" s="215"/>
      <c r="P330" s="213"/>
      <c r="Q330" s="213">
        <v>0</v>
      </c>
      <c r="R330" s="213"/>
      <c r="S330" s="213"/>
      <c r="T330" s="213"/>
      <c r="U330" s="213"/>
      <c r="V330" s="213"/>
      <c r="W330" s="213"/>
      <c r="X330" s="643"/>
      <c r="Y330" s="616">
        <f t="shared" si="23"/>
        <v>0</v>
      </c>
      <c r="Z330" s="633"/>
      <c r="AA330" s="636"/>
      <c r="AB330" s="636"/>
      <c r="AC330" s="7"/>
      <c r="AD330" s="699"/>
      <c r="AE330" s="7"/>
      <c r="AF330" s="618">
        <f t="shared" si="22"/>
        <v>0</v>
      </c>
      <c r="AG330" s="7"/>
      <c r="AH330" s="7"/>
      <c r="AI330" s="7"/>
      <c r="AJ330" s="7"/>
      <c r="AK330" s="7"/>
      <c r="AL330" s="7"/>
    </row>
    <row r="331" spans="1:38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4"/>
      <c r="F331" s="214"/>
      <c r="G331" s="215"/>
      <c r="H331" s="215"/>
      <c r="I331" s="215"/>
      <c r="J331" s="214"/>
      <c r="K331" s="214"/>
      <c r="L331" s="647"/>
      <c r="M331" s="213"/>
      <c r="N331" s="213"/>
      <c r="O331" s="215"/>
      <c r="P331" s="213"/>
      <c r="Q331" s="213">
        <v>0</v>
      </c>
      <c r="R331" s="213"/>
      <c r="S331" s="213"/>
      <c r="T331" s="213"/>
      <c r="U331" s="213"/>
      <c r="V331" s="213"/>
      <c r="W331" s="213"/>
      <c r="X331" s="643"/>
      <c r="Y331" s="616">
        <f t="shared" si="23"/>
        <v>0</v>
      </c>
      <c r="Z331" s="633"/>
      <c r="AA331" s="654"/>
      <c r="AB331" s="654"/>
      <c r="AC331" s="7"/>
      <c r="AD331" s="699"/>
      <c r="AE331" s="7"/>
      <c r="AF331" s="618">
        <f t="shared" si="22"/>
        <v>0</v>
      </c>
      <c r="AG331" s="7"/>
      <c r="AH331" s="7"/>
      <c r="AI331" s="7"/>
      <c r="AJ331" s="7"/>
      <c r="AK331" s="7"/>
      <c r="AL331" s="7"/>
    </row>
    <row r="332" spans="1:38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4"/>
      <c r="F332" s="214"/>
      <c r="G332" s="215"/>
      <c r="H332" s="215"/>
      <c r="I332" s="215"/>
      <c r="J332" s="214"/>
      <c r="K332" s="214"/>
      <c r="L332" s="647"/>
      <c r="M332" s="213"/>
      <c r="N332" s="213"/>
      <c r="O332" s="215"/>
      <c r="P332" s="213"/>
      <c r="Q332" s="213">
        <v>0</v>
      </c>
      <c r="R332" s="213"/>
      <c r="S332" s="213"/>
      <c r="T332" s="213"/>
      <c r="U332" s="213"/>
      <c r="V332" s="213"/>
      <c r="W332" s="213"/>
      <c r="X332" s="643"/>
      <c r="Y332" s="616">
        <f t="shared" si="23"/>
        <v>0</v>
      </c>
      <c r="Z332" s="633"/>
      <c r="AA332" s="648"/>
      <c r="AB332" s="648"/>
      <c r="AC332" s="7"/>
      <c r="AD332" s="699"/>
      <c r="AE332" s="7"/>
      <c r="AF332" s="618">
        <f t="shared" si="22"/>
        <v>0</v>
      </c>
      <c r="AG332" s="7"/>
      <c r="AH332" s="7"/>
      <c r="AI332" s="7"/>
      <c r="AJ332" s="7"/>
      <c r="AK332" s="7"/>
      <c r="AL332" s="7"/>
    </row>
    <row r="333" spans="1:38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4"/>
      <c r="F333" s="214"/>
      <c r="G333" s="215"/>
      <c r="H333" s="215"/>
      <c r="I333" s="215"/>
      <c r="J333" s="214"/>
      <c r="K333" s="214"/>
      <c r="L333" s="647"/>
      <c r="M333" s="213"/>
      <c r="N333" s="213"/>
      <c r="O333" s="215"/>
      <c r="P333" s="213"/>
      <c r="Q333" s="213">
        <v>0</v>
      </c>
      <c r="R333" s="213"/>
      <c r="S333" s="213"/>
      <c r="T333" s="213"/>
      <c r="U333" s="213"/>
      <c r="V333" s="213"/>
      <c r="W333" s="213"/>
      <c r="X333" s="643"/>
      <c r="Y333" s="616">
        <f t="shared" si="23"/>
        <v>0</v>
      </c>
      <c r="Z333" s="633"/>
      <c r="AA333" s="648"/>
      <c r="AB333" s="648"/>
      <c r="AC333" s="7"/>
      <c r="AD333" s="699"/>
      <c r="AE333" s="7"/>
      <c r="AF333" s="618">
        <f t="shared" si="22"/>
        <v>0</v>
      </c>
      <c r="AG333" s="7"/>
      <c r="AH333" s="7"/>
      <c r="AI333" s="7"/>
      <c r="AJ333" s="7"/>
      <c r="AK333" s="7"/>
      <c r="AL333" s="7"/>
    </row>
    <row r="334" spans="1:38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4"/>
      <c r="F334" s="214"/>
      <c r="G334" s="215"/>
      <c r="H334" s="215"/>
      <c r="I334" s="215"/>
      <c r="J334" s="214"/>
      <c r="K334" s="214"/>
      <c r="L334" s="647"/>
      <c r="M334" s="213"/>
      <c r="N334" s="213"/>
      <c r="O334" s="215"/>
      <c r="P334" s="213"/>
      <c r="Q334" s="213">
        <v>0</v>
      </c>
      <c r="R334" s="213"/>
      <c r="S334" s="213"/>
      <c r="T334" s="213"/>
      <c r="U334" s="213"/>
      <c r="V334" s="213"/>
      <c r="W334" s="213"/>
      <c r="X334" s="643"/>
      <c r="Y334" s="616">
        <f t="shared" si="23"/>
        <v>0</v>
      </c>
      <c r="Z334" s="633"/>
      <c r="AA334" s="648"/>
      <c r="AB334" s="648"/>
      <c r="AC334" s="7"/>
      <c r="AD334" s="699"/>
      <c r="AE334" s="7"/>
      <c r="AF334" s="618">
        <f t="shared" si="22"/>
        <v>0</v>
      </c>
      <c r="AG334" s="7"/>
      <c r="AH334" s="7"/>
      <c r="AI334" s="7"/>
      <c r="AJ334" s="7"/>
      <c r="AK334" s="7"/>
      <c r="AL334" s="7"/>
    </row>
    <row r="335" spans="1:38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4"/>
      <c r="F335" s="214"/>
      <c r="G335" s="215"/>
      <c r="H335" s="215"/>
      <c r="I335" s="215"/>
      <c r="J335" s="214"/>
      <c r="K335" s="214"/>
      <c r="L335" s="647"/>
      <c r="M335" s="213"/>
      <c r="N335" s="213"/>
      <c r="O335" s="215"/>
      <c r="P335" s="213"/>
      <c r="Q335" s="213">
        <v>0</v>
      </c>
      <c r="R335" s="213"/>
      <c r="S335" s="213"/>
      <c r="T335" s="213"/>
      <c r="U335" s="213"/>
      <c r="V335" s="213"/>
      <c r="W335" s="213"/>
      <c r="X335" s="643"/>
      <c r="Y335" s="616">
        <f t="shared" si="23"/>
        <v>0</v>
      </c>
      <c r="Z335" s="633"/>
      <c r="AA335" s="648"/>
      <c r="AB335" s="648"/>
      <c r="AC335" s="7"/>
      <c r="AD335" s="699"/>
      <c r="AE335" s="7"/>
      <c r="AF335" s="618">
        <f t="shared" si="22"/>
        <v>0</v>
      </c>
      <c r="AG335" s="7"/>
      <c r="AH335" s="7"/>
      <c r="AI335" s="7"/>
      <c r="AJ335" s="7"/>
      <c r="AK335" s="7"/>
      <c r="AL335" s="7"/>
    </row>
    <row r="336" spans="1:38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4"/>
      <c r="F336" s="214"/>
      <c r="G336" s="215"/>
      <c r="H336" s="215"/>
      <c r="I336" s="215"/>
      <c r="J336" s="214"/>
      <c r="K336" s="214"/>
      <c r="L336" s="647"/>
      <c r="M336" s="213"/>
      <c r="N336" s="213"/>
      <c r="O336" s="215"/>
      <c r="P336" s="213"/>
      <c r="Q336" s="213">
        <v>0</v>
      </c>
      <c r="R336" s="213"/>
      <c r="S336" s="213"/>
      <c r="T336" s="213"/>
      <c r="U336" s="213"/>
      <c r="V336" s="213"/>
      <c r="W336" s="213"/>
      <c r="X336" s="643"/>
      <c r="Y336" s="616">
        <f t="shared" si="23"/>
        <v>0</v>
      </c>
      <c r="Z336" s="633"/>
      <c r="AA336" s="654"/>
      <c r="AB336" s="654"/>
      <c r="AC336" s="7"/>
      <c r="AD336" s="699"/>
      <c r="AE336" s="7"/>
      <c r="AF336" s="618">
        <f t="shared" si="22"/>
        <v>0</v>
      </c>
      <c r="AG336" s="7"/>
      <c r="AH336" s="7"/>
      <c r="AI336" s="7"/>
      <c r="AJ336" s="7"/>
      <c r="AK336" s="7"/>
      <c r="AL336" s="7"/>
    </row>
    <row r="337" spans="1:38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4"/>
      <c r="F337" s="214"/>
      <c r="G337" s="215"/>
      <c r="H337" s="215"/>
      <c r="I337" s="215"/>
      <c r="J337" s="214"/>
      <c r="K337" s="214"/>
      <c r="L337" s="647"/>
      <c r="M337" s="213"/>
      <c r="N337" s="213"/>
      <c r="O337" s="215"/>
      <c r="P337" s="213"/>
      <c r="Q337" s="213">
        <v>0</v>
      </c>
      <c r="R337" s="213"/>
      <c r="S337" s="213"/>
      <c r="T337" s="213"/>
      <c r="U337" s="213"/>
      <c r="V337" s="213"/>
      <c r="W337" s="213"/>
      <c r="X337" s="643"/>
      <c r="Y337" s="616">
        <f t="shared" si="23"/>
        <v>0</v>
      </c>
      <c r="Z337" s="633"/>
      <c r="AA337" s="654"/>
      <c r="AB337" s="654"/>
      <c r="AC337" s="7"/>
      <c r="AD337" s="699"/>
      <c r="AE337" s="7"/>
      <c r="AF337" s="618">
        <f t="shared" si="22"/>
        <v>0</v>
      </c>
      <c r="AG337" s="7"/>
      <c r="AH337" s="7"/>
      <c r="AI337" s="7"/>
      <c r="AJ337" s="7"/>
      <c r="AK337" s="7"/>
      <c r="AL337" s="7"/>
    </row>
    <row r="338" spans="1:38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4"/>
      <c r="F338" s="214"/>
      <c r="G338" s="215"/>
      <c r="H338" s="215"/>
      <c r="I338" s="215"/>
      <c r="J338" s="214"/>
      <c r="K338" s="214"/>
      <c r="L338" s="647"/>
      <c r="M338" s="213"/>
      <c r="N338" s="213"/>
      <c r="O338" s="215"/>
      <c r="P338" s="213"/>
      <c r="Q338" s="213">
        <v>0</v>
      </c>
      <c r="R338" s="213"/>
      <c r="S338" s="213"/>
      <c r="T338" s="213"/>
      <c r="U338" s="213"/>
      <c r="V338" s="213"/>
      <c r="W338" s="213"/>
      <c r="X338" s="643"/>
      <c r="Y338" s="616">
        <f t="shared" si="23"/>
        <v>0</v>
      </c>
      <c r="Z338" s="633"/>
      <c r="AA338" s="654"/>
      <c r="AB338" s="654"/>
      <c r="AC338" s="7"/>
      <c r="AD338" s="699"/>
      <c r="AE338" s="7"/>
      <c r="AF338" s="618">
        <f t="shared" si="22"/>
        <v>0</v>
      </c>
      <c r="AG338" s="7"/>
      <c r="AH338" s="7"/>
      <c r="AI338" s="7"/>
      <c r="AJ338" s="7"/>
      <c r="AK338" s="7"/>
      <c r="AL338" s="7"/>
    </row>
    <row r="339" spans="1:38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4"/>
      <c r="F339" s="214"/>
      <c r="G339" s="215"/>
      <c r="H339" s="215"/>
      <c r="I339" s="215"/>
      <c r="J339" s="214"/>
      <c r="K339" s="214"/>
      <c r="L339" s="647"/>
      <c r="M339" s="213"/>
      <c r="N339" s="213"/>
      <c r="O339" s="215"/>
      <c r="P339" s="213"/>
      <c r="Q339" s="213">
        <v>0</v>
      </c>
      <c r="R339" s="213"/>
      <c r="S339" s="213"/>
      <c r="T339" s="213"/>
      <c r="U339" s="213"/>
      <c r="V339" s="213"/>
      <c r="W339" s="213"/>
      <c r="X339" s="643"/>
      <c r="Y339" s="616">
        <f t="shared" si="23"/>
        <v>0</v>
      </c>
      <c r="Z339" s="633"/>
      <c r="AA339" s="654"/>
      <c r="AB339" s="654"/>
      <c r="AC339" s="7"/>
      <c r="AD339" s="699"/>
      <c r="AE339" s="7"/>
      <c r="AF339" s="618">
        <f t="shared" si="22"/>
        <v>0</v>
      </c>
      <c r="AG339" s="7"/>
      <c r="AH339" s="7"/>
      <c r="AI339" s="7"/>
      <c r="AJ339" s="7"/>
      <c r="AK339" s="7"/>
      <c r="AL339" s="7"/>
    </row>
    <row r="340" spans="1:38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4"/>
      <c r="F340" s="214"/>
      <c r="G340" s="215"/>
      <c r="H340" s="215"/>
      <c r="I340" s="215"/>
      <c r="J340" s="214"/>
      <c r="K340" s="214"/>
      <c r="L340" s="647"/>
      <c r="M340" s="213"/>
      <c r="N340" s="213"/>
      <c r="O340" s="215"/>
      <c r="P340" s="213"/>
      <c r="Q340" s="213">
        <v>0</v>
      </c>
      <c r="R340" s="213"/>
      <c r="S340" s="213"/>
      <c r="T340" s="213"/>
      <c r="U340" s="213"/>
      <c r="V340" s="213"/>
      <c r="W340" s="213"/>
      <c r="X340" s="643"/>
      <c r="Y340" s="616">
        <f t="shared" si="23"/>
        <v>0</v>
      </c>
      <c r="Z340" s="633"/>
      <c r="AA340" s="648"/>
      <c r="AB340" s="648"/>
      <c r="AC340" s="7"/>
      <c r="AD340" s="699"/>
      <c r="AE340" s="7"/>
      <c r="AF340" s="618">
        <f t="shared" si="22"/>
        <v>0</v>
      </c>
      <c r="AG340" s="7"/>
      <c r="AH340" s="7"/>
      <c r="AI340" s="7"/>
      <c r="AJ340" s="7"/>
      <c r="AK340" s="7"/>
      <c r="AL340" s="7"/>
    </row>
    <row r="341" spans="1:38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4"/>
      <c r="F341" s="214"/>
      <c r="G341" s="215"/>
      <c r="H341" s="215"/>
      <c r="I341" s="215"/>
      <c r="J341" s="214"/>
      <c r="K341" s="214"/>
      <c r="L341" s="647"/>
      <c r="M341" s="213"/>
      <c r="N341" s="213"/>
      <c r="O341" s="215"/>
      <c r="P341" s="213"/>
      <c r="Q341" s="213">
        <v>0</v>
      </c>
      <c r="R341" s="213"/>
      <c r="S341" s="213"/>
      <c r="T341" s="213"/>
      <c r="U341" s="213"/>
      <c r="V341" s="213"/>
      <c r="W341" s="213"/>
      <c r="X341" s="643"/>
      <c r="Y341" s="616">
        <f t="shared" si="23"/>
        <v>0</v>
      </c>
      <c r="Z341" s="633"/>
      <c r="AA341" s="654"/>
      <c r="AB341" s="654"/>
      <c r="AC341" s="7"/>
      <c r="AD341" s="699"/>
      <c r="AE341" s="7"/>
      <c r="AF341" s="618">
        <f t="shared" si="22"/>
        <v>0</v>
      </c>
      <c r="AG341" s="7"/>
      <c r="AH341" s="7"/>
      <c r="AI341" s="7"/>
      <c r="AJ341" s="7"/>
      <c r="AK341" s="7"/>
      <c r="AL341" s="7"/>
    </row>
    <row r="342" spans="1:38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4"/>
      <c r="F342" s="214"/>
      <c r="G342" s="215"/>
      <c r="H342" s="215"/>
      <c r="I342" s="215"/>
      <c r="J342" s="214"/>
      <c r="K342" s="214"/>
      <c r="L342" s="647"/>
      <c r="M342" s="213"/>
      <c r="N342" s="213"/>
      <c r="O342" s="215"/>
      <c r="P342" s="213"/>
      <c r="Q342" s="213">
        <v>0</v>
      </c>
      <c r="R342" s="213"/>
      <c r="S342" s="213"/>
      <c r="T342" s="213"/>
      <c r="U342" s="213"/>
      <c r="V342" s="213"/>
      <c r="W342" s="213"/>
      <c r="X342" s="643"/>
      <c r="Y342" s="616">
        <f t="shared" si="23"/>
        <v>0</v>
      </c>
      <c r="Z342" s="633"/>
      <c r="AA342" s="654"/>
      <c r="AB342" s="654"/>
      <c r="AC342" s="7"/>
      <c r="AD342" s="699"/>
      <c r="AE342" s="7"/>
      <c r="AF342" s="618">
        <f t="shared" si="22"/>
        <v>0</v>
      </c>
      <c r="AG342" s="7"/>
      <c r="AH342" s="7"/>
      <c r="AI342" s="7"/>
      <c r="AJ342" s="7"/>
      <c r="AK342" s="7"/>
      <c r="AL342" s="7"/>
    </row>
    <row r="343" spans="1:38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4"/>
      <c r="F343" s="214"/>
      <c r="G343" s="215"/>
      <c r="H343" s="215"/>
      <c r="I343" s="215"/>
      <c r="J343" s="214"/>
      <c r="K343" s="214"/>
      <c r="L343" s="647"/>
      <c r="M343" s="213"/>
      <c r="N343" s="213"/>
      <c r="O343" s="215"/>
      <c r="P343" s="213"/>
      <c r="Q343" s="213">
        <v>0</v>
      </c>
      <c r="R343" s="213"/>
      <c r="S343" s="213"/>
      <c r="T343" s="213"/>
      <c r="U343" s="213"/>
      <c r="V343" s="213"/>
      <c r="W343" s="213"/>
      <c r="X343" s="643"/>
      <c r="Y343" s="616">
        <f t="shared" si="23"/>
        <v>0</v>
      </c>
      <c r="Z343" s="633"/>
      <c r="AA343" s="654"/>
      <c r="AB343" s="654"/>
      <c r="AC343" s="7"/>
      <c r="AD343" s="699"/>
      <c r="AE343" s="7"/>
      <c r="AF343" s="618">
        <f t="shared" si="22"/>
        <v>0</v>
      </c>
      <c r="AG343" s="7"/>
      <c r="AH343" s="7"/>
      <c r="AI343" s="7"/>
      <c r="AJ343" s="7"/>
      <c r="AK343" s="7"/>
      <c r="AL343" s="7"/>
    </row>
    <row r="344" spans="1:38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4"/>
      <c r="F344" s="214"/>
      <c r="G344" s="215"/>
      <c r="H344" s="215"/>
      <c r="I344" s="215"/>
      <c r="J344" s="214"/>
      <c r="K344" s="214"/>
      <c r="L344" s="647"/>
      <c r="M344" s="213"/>
      <c r="N344" s="213"/>
      <c r="O344" s="215"/>
      <c r="P344" s="213"/>
      <c r="Q344" s="213">
        <v>0</v>
      </c>
      <c r="R344" s="213"/>
      <c r="S344" s="213"/>
      <c r="T344" s="213"/>
      <c r="U344" s="213"/>
      <c r="V344" s="213"/>
      <c r="W344" s="213"/>
      <c r="X344" s="643"/>
      <c r="Y344" s="616">
        <f t="shared" si="23"/>
        <v>0</v>
      </c>
      <c r="Z344" s="633"/>
      <c r="AA344" s="654"/>
      <c r="AB344" s="654"/>
      <c r="AC344" s="7"/>
      <c r="AD344" s="699"/>
      <c r="AE344" s="7"/>
      <c r="AF344" s="618">
        <f t="shared" si="22"/>
        <v>0</v>
      </c>
      <c r="AG344" s="7"/>
      <c r="AH344" s="7"/>
      <c r="AI344" s="7"/>
      <c r="AJ344" s="7"/>
      <c r="AK344" s="7"/>
      <c r="AL344" s="7"/>
    </row>
    <row r="345" spans="1:38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4"/>
      <c r="F345" s="214"/>
      <c r="G345" s="215"/>
      <c r="H345" s="215"/>
      <c r="I345" s="215"/>
      <c r="J345" s="214"/>
      <c r="K345" s="214"/>
      <c r="L345" s="647"/>
      <c r="M345" s="213"/>
      <c r="N345" s="213"/>
      <c r="O345" s="215"/>
      <c r="P345" s="213"/>
      <c r="Q345" s="213">
        <v>0</v>
      </c>
      <c r="R345" s="213"/>
      <c r="S345" s="213"/>
      <c r="T345" s="213"/>
      <c r="U345" s="213"/>
      <c r="V345" s="213"/>
      <c r="W345" s="213"/>
      <c r="X345" s="643"/>
      <c r="Y345" s="616">
        <f t="shared" si="23"/>
        <v>0</v>
      </c>
      <c r="Z345" s="633"/>
      <c r="AA345" s="654"/>
      <c r="AB345" s="654"/>
      <c r="AC345" s="7"/>
      <c r="AD345" s="699"/>
      <c r="AE345" s="7"/>
      <c r="AF345" s="618">
        <f t="shared" si="22"/>
        <v>0</v>
      </c>
      <c r="AG345" s="7"/>
      <c r="AH345" s="7"/>
      <c r="AI345" s="7"/>
      <c r="AJ345" s="7"/>
      <c r="AK345" s="7"/>
      <c r="AL345" s="7"/>
    </row>
    <row r="346" spans="1:38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4"/>
      <c r="F346" s="214"/>
      <c r="G346" s="215"/>
      <c r="H346" s="215"/>
      <c r="I346" s="215"/>
      <c r="J346" s="214"/>
      <c r="K346" s="214"/>
      <c r="L346" s="662"/>
      <c r="M346" s="213"/>
      <c r="N346" s="213"/>
      <c r="O346" s="215"/>
      <c r="P346" s="213"/>
      <c r="Q346" s="213">
        <v>0</v>
      </c>
      <c r="R346" s="213"/>
      <c r="S346" s="213"/>
      <c r="T346" s="213"/>
      <c r="U346" s="213"/>
      <c r="V346" s="213"/>
      <c r="W346" s="213"/>
      <c r="X346" s="643"/>
      <c r="Y346" s="616">
        <f t="shared" si="23"/>
        <v>0</v>
      </c>
      <c r="Z346" s="633"/>
      <c r="AA346" s="636"/>
      <c r="AB346" s="636"/>
      <c r="AC346" s="7"/>
      <c r="AD346" s="699"/>
      <c r="AE346" s="7"/>
      <c r="AF346" s="618">
        <f t="shared" si="22"/>
        <v>0</v>
      </c>
      <c r="AG346" s="7"/>
      <c r="AH346" s="7"/>
      <c r="AI346" s="7"/>
      <c r="AJ346" s="7"/>
      <c r="AK346" s="7"/>
      <c r="AL346" s="7"/>
    </row>
    <row r="347" spans="1:38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4"/>
      <c r="F347" s="214"/>
      <c r="G347" s="215"/>
      <c r="H347" s="215"/>
      <c r="I347" s="215"/>
      <c r="J347" s="214"/>
      <c r="K347" s="214"/>
      <c r="L347" s="662"/>
      <c r="M347" s="213"/>
      <c r="N347" s="213"/>
      <c r="O347" s="215"/>
      <c r="P347" s="213"/>
      <c r="Q347" s="213">
        <v>0</v>
      </c>
      <c r="R347" s="213"/>
      <c r="S347" s="213"/>
      <c r="T347" s="213"/>
      <c r="U347" s="213"/>
      <c r="V347" s="213"/>
      <c r="W347" s="213"/>
      <c r="X347" s="643"/>
      <c r="Y347" s="616">
        <f t="shared" si="23"/>
        <v>0</v>
      </c>
      <c r="Z347" s="633"/>
      <c r="AA347" s="636"/>
      <c r="AB347" s="636"/>
      <c r="AC347" s="7"/>
      <c r="AD347" s="699"/>
      <c r="AE347" s="7"/>
      <c r="AF347" s="618">
        <f t="shared" si="22"/>
        <v>0</v>
      </c>
      <c r="AG347" s="7"/>
      <c r="AH347" s="7"/>
      <c r="AI347" s="7"/>
      <c r="AJ347" s="7"/>
      <c r="AK347" s="7"/>
      <c r="AL347" s="7"/>
    </row>
    <row r="348" spans="1:38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4"/>
      <c r="F348" s="214"/>
      <c r="G348" s="215"/>
      <c r="H348" s="215"/>
      <c r="I348" s="215"/>
      <c r="J348" s="214"/>
      <c r="K348" s="214"/>
      <c r="L348" s="662"/>
      <c r="M348" s="213"/>
      <c r="N348" s="213"/>
      <c r="O348" s="215"/>
      <c r="P348" s="213"/>
      <c r="Q348" s="213">
        <v>0</v>
      </c>
      <c r="R348" s="213"/>
      <c r="S348" s="213"/>
      <c r="T348" s="213"/>
      <c r="U348" s="213"/>
      <c r="V348" s="213"/>
      <c r="W348" s="213"/>
      <c r="X348" s="643"/>
      <c r="Y348" s="616">
        <f t="shared" si="23"/>
        <v>0</v>
      </c>
      <c r="Z348" s="633"/>
      <c r="AA348" s="636"/>
      <c r="AB348" s="636"/>
      <c r="AC348" s="7"/>
      <c r="AD348" s="699"/>
      <c r="AE348" s="7"/>
      <c r="AF348" s="618">
        <f t="shared" si="22"/>
        <v>0</v>
      </c>
      <c r="AG348" s="7"/>
      <c r="AH348" s="7"/>
      <c r="AI348" s="7"/>
      <c r="AJ348" s="7"/>
      <c r="AK348" s="7"/>
      <c r="AL348" s="7"/>
    </row>
    <row r="349" spans="1:38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4"/>
      <c r="F349" s="214"/>
      <c r="G349" s="215"/>
      <c r="H349" s="215"/>
      <c r="I349" s="215"/>
      <c r="J349" s="214"/>
      <c r="K349" s="214"/>
      <c r="L349" s="662"/>
      <c r="M349" s="213"/>
      <c r="N349" s="213"/>
      <c r="O349" s="215"/>
      <c r="P349" s="213"/>
      <c r="Q349" s="213">
        <v>0</v>
      </c>
      <c r="R349" s="213"/>
      <c r="S349" s="213"/>
      <c r="T349" s="213"/>
      <c r="U349" s="213"/>
      <c r="V349" s="213"/>
      <c r="W349" s="213"/>
      <c r="X349" s="643"/>
      <c r="Y349" s="616">
        <f t="shared" si="23"/>
        <v>0</v>
      </c>
      <c r="Z349" s="633"/>
      <c r="AA349" s="636"/>
      <c r="AB349" s="636"/>
      <c r="AC349" s="7"/>
      <c r="AD349" s="699"/>
      <c r="AE349" s="7"/>
      <c r="AF349" s="618">
        <f t="shared" si="22"/>
        <v>0</v>
      </c>
      <c r="AG349" s="7"/>
      <c r="AH349" s="7"/>
      <c r="AI349" s="7"/>
      <c r="AJ349" s="7"/>
      <c r="AK349" s="7"/>
      <c r="AL349" s="7"/>
    </row>
    <row r="350" spans="1:38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4"/>
      <c r="F350" s="214"/>
      <c r="G350" s="215"/>
      <c r="H350" s="215"/>
      <c r="I350" s="215"/>
      <c r="J350" s="214"/>
      <c r="K350" s="214"/>
      <c r="L350" s="662"/>
      <c r="M350" s="213"/>
      <c r="N350" s="213"/>
      <c r="O350" s="215"/>
      <c r="P350" s="213"/>
      <c r="Q350" s="213">
        <v>0</v>
      </c>
      <c r="R350" s="213"/>
      <c r="S350" s="213"/>
      <c r="T350" s="213"/>
      <c r="U350" s="213"/>
      <c r="V350" s="213"/>
      <c r="W350" s="213"/>
      <c r="X350" s="643"/>
      <c r="Y350" s="616">
        <f t="shared" si="23"/>
        <v>0</v>
      </c>
      <c r="Z350" s="633"/>
      <c r="AA350" s="636"/>
      <c r="AB350" s="636"/>
      <c r="AC350" s="7"/>
      <c r="AD350" s="699"/>
      <c r="AE350" s="7"/>
      <c r="AF350" s="618">
        <f t="shared" si="22"/>
        <v>0</v>
      </c>
      <c r="AG350" s="7"/>
      <c r="AH350" s="7"/>
      <c r="AI350" s="7"/>
      <c r="AJ350" s="7"/>
      <c r="AK350" s="7"/>
      <c r="AL350" s="7"/>
    </row>
    <row r="351" spans="1:38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4"/>
      <c r="F351" s="214"/>
      <c r="G351" s="215"/>
      <c r="H351" s="215"/>
      <c r="I351" s="215"/>
      <c r="J351" s="214"/>
      <c r="K351" s="214"/>
      <c r="L351" s="665"/>
      <c r="M351" s="213"/>
      <c r="N351" s="213"/>
      <c r="O351" s="215"/>
      <c r="P351" s="213"/>
      <c r="Q351" s="213">
        <v>0</v>
      </c>
      <c r="R351" s="213"/>
      <c r="S351" s="213"/>
      <c r="T351" s="213"/>
      <c r="U351" s="213"/>
      <c r="V351" s="213"/>
      <c r="W351" s="213"/>
      <c r="X351" s="643"/>
      <c r="Y351" s="616">
        <f t="shared" si="23"/>
        <v>0</v>
      </c>
      <c r="Z351" s="633"/>
      <c r="AA351" s="636"/>
      <c r="AB351" s="636"/>
      <c r="AC351" s="7"/>
      <c r="AD351" s="699"/>
      <c r="AE351" s="7"/>
      <c r="AF351" s="618">
        <f t="shared" si="22"/>
        <v>0</v>
      </c>
      <c r="AG351" s="7"/>
      <c r="AH351" s="7"/>
      <c r="AI351" s="7"/>
      <c r="AJ351" s="7"/>
      <c r="AK351" s="7"/>
      <c r="AL351" s="7"/>
    </row>
    <row r="352" spans="1:38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4"/>
      <c r="F352" s="214"/>
      <c r="G352" s="215"/>
      <c r="H352" s="215"/>
      <c r="I352" s="215"/>
      <c r="J352" s="214"/>
      <c r="K352" s="214"/>
      <c r="L352" s="662"/>
      <c r="M352" s="213"/>
      <c r="N352" s="213"/>
      <c r="O352" s="215"/>
      <c r="P352" s="213"/>
      <c r="Q352" s="213">
        <v>0</v>
      </c>
      <c r="R352" s="213"/>
      <c r="S352" s="213"/>
      <c r="T352" s="213"/>
      <c r="U352" s="213"/>
      <c r="V352" s="213"/>
      <c r="W352" s="213"/>
      <c r="X352" s="643"/>
      <c r="Y352" s="616">
        <f t="shared" si="23"/>
        <v>0</v>
      </c>
      <c r="Z352" s="633"/>
      <c r="AA352" s="636"/>
      <c r="AB352" s="636"/>
      <c r="AC352" s="7"/>
      <c r="AD352" s="699"/>
      <c r="AE352" s="7"/>
      <c r="AF352" s="618">
        <f t="shared" si="22"/>
        <v>0</v>
      </c>
      <c r="AG352" s="7"/>
      <c r="AH352" s="7"/>
      <c r="AI352" s="7"/>
      <c r="AJ352" s="7"/>
      <c r="AK352" s="7"/>
      <c r="AL352" s="7"/>
    </row>
    <row r="353" spans="1:38" ht="18.75" customHeight="1">
      <c r="A353" s="489">
        <v>8</v>
      </c>
      <c r="B353" s="490" t="s">
        <v>5</v>
      </c>
      <c r="C353" s="637" t="s">
        <v>764</v>
      </c>
      <c r="D353" s="516"/>
      <c r="E353" s="214"/>
      <c r="F353" s="214"/>
      <c r="G353" s="215"/>
      <c r="H353" s="215"/>
      <c r="I353" s="215"/>
      <c r="J353" s="214"/>
      <c r="K353" s="214"/>
      <c r="L353" s="662"/>
      <c r="M353" s="213"/>
      <c r="N353" s="213"/>
      <c r="O353" s="215"/>
      <c r="P353" s="213"/>
      <c r="Q353" s="213">
        <v>0</v>
      </c>
      <c r="R353" s="213"/>
      <c r="S353" s="213"/>
      <c r="T353" s="213"/>
      <c r="U353" s="213"/>
      <c r="V353" s="213"/>
      <c r="W353" s="213"/>
      <c r="X353" s="643"/>
      <c r="Y353" s="616">
        <f t="shared" si="23"/>
        <v>0</v>
      </c>
      <c r="Z353" s="633"/>
      <c r="AA353" s="640"/>
      <c r="AB353" s="640"/>
      <c r="AC353" s="7"/>
      <c r="AD353" s="699"/>
      <c r="AE353" s="7"/>
      <c r="AF353" s="618">
        <f t="shared" si="22"/>
        <v>0</v>
      </c>
      <c r="AG353" s="7"/>
      <c r="AH353" s="7"/>
      <c r="AI353" s="7"/>
      <c r="AJ353" s="7"/>
      <c r="AK353" s="7"/>
      <c r="AL353" s="7"/>
    </row>
    <row r="354" spans="1:38" ht="21.75" customHeight="1">
      <c r="A354" s="522"/>
      <c r="B354" s="488" t="s">
        <v>766</v>
      </c>
      <c r="C354" s="635" t="s">
        <v>1082</v>
      </c>
      <c r="D354" s="507" t="s">
        <v>132</v>
      </c>
      <c r="E354" s="214"/>
      <c r="F354" s="214"/>
      <c r="G354" s="215"/>
      <c r="H354" s="215"/>
      <c r="I354" s="215"/>
      <c r="J354" s="214"/>
      <c r="K354" s="214"/>
      <c r="L354" s="649"/>
      <c r="M354" s="213"/>
      <c r="N354" s="213"/>
      <c r="O354" s="215"/>
      <c r="P354" s="213"/>
      <c r="Q354" s="213">
        <v>0</v>
      </c>
      <c r="R354" s="213"/>
      <c r="S354" s="213"/>
      <c r="T354" s="213"/>
      <c r="U354" s="213"/>
      <c r="V354" s="213"/>
      <c r="W354" s="213"/>
      <c r="X354" s="643"/>
      <c r="Y354" s="616">
        <f t="shared" si="23"/>
        <v>0</v>
      </c>
      <c r="Z354" s="633"/>
      <c r="AA354" s="547"/>
      <c r="AB354" s="547"/>
      <c r="AC354" s="7"/>
      <c r="AD354" s="699"/>
      <c r="AE354" s="7"/>
      <c r="AF354" s="618">
        <f t="shared" si="22"/>
        <v>0</v>
      </c>
      <c r="AG354" s="7"/>
      <c r="AH354" s="7"/>
      <c r="AI354" s="7"/>
      <c r="AJ354" s="7"/>
      <c r="AK354" s="7"/>
      <c r="AL354" s="7"/>
    </row>
    <row r="355" spans="1:38" ht="21.75" customHeight="1">
      <c r="A355" s="523"/>
      <c r="B355" s="488" t="s">
        <v>769</v>
      </c>
      <c r="C355" s="635" t="s">
        <v>770</v>
      </c>
      <c r="D355" s="507" t="s">
        <v>132</v>
      </c>
      <c r="E355" s="214"/>
      <c r="F355" s="214"/>
      <c r="G355" s="215"/>
      <c r="H355" s="215"/>
      <c r="I355" s="215"/>
      <c r="J355" s="214"/>
      <c r="K355" s="214"/>
      <c r="L355" s="649"/>
      <c r="M355" s="213"/>
      <c r="N355" s="213"/>
      <c r="O355" s="215"/>
      <c r="P355" s="213"/>
      <c r="Q355" s="213">
        <v>93</v>
      </c>
      <c r="R355" s="213"/>
      <c r="S355" s="213"/>
      <c r="T355" s="213"/>
      <c r="U355" s="213"/>
      <c r="V355" s="213"/>
      <c r="W355" s="213"/>
      <c r="X355" s="643"/>
      <c r="Y355" s="616">
        <f t="shared" si="23"/>
        <v>93</v>
      </c>
      <c r="Z355" s="633"/>
      <c r="AA355" s="666"/>
      <c r="AB355" s="666"/>
      <c r="AC355" s="7"/>
      <c r="AD355" s="699">
        <v>93</v>
      </c>
      <c r="AE355" s="7"/>
      <c r="AF355" s="618">
        <f t="shared" si="22"/>
        <v>0</v>
      </c>
      <c r="AG355" s="7"/>
      <c r="AH355" s="7"/>
      <c r="AI355" s="7"/>
      <c r="AJ355" s="7"/>
      <c r="AK355" s="7"/>
      <c r="AL355" s="7"/>
    </row>
    <row r="356" spans="1:38" ht="21.75" customHeight="1">
      <c r="A356" s="522"/>
      <c r="B356" s="488" t="s">
        <v>772</v>
      </c>
      <c r="C356" s="635" t="s">
        <v>773</v>
      </c>
      <c r="D356" s="507" t="s">
        <v>132</v>
      </c>
      <c r="E356" s="214"/>
      <c r="F356" s="214"/>
      <c r="G356" s="215"/>
      <c r="H356" s="215"/>
      <c r="I356" s="215"/>
      <c r="J356" s="214"/>
      <c r="K356" s="214"/>
      <c r="L356" s="649"/>
      <c r="M356" s="213"/>
      <c r="N356" s="213"/>
      <c r="O356" s="215"/>
      <c r="P356" s="213"/>
      <c r="Q356" s="213">
        <v>10</v>
      </c>
      <c r="R356" s="213"/>
      <c r="S356" s="213"/>
      <c r="T356" s="213"/>
      <c r="U356" s="213"/>
      <c r="V356" s="213"/>
      <c r="W356" s="213"/>
      <c r="X356" s="643"/>
      <c r="Y356" s="616">
        <f t="shared" si="23"/>
        <v>10</v>
      </c>
      <c r="Z356" s="633"/>
      <c r="AA356" s="666"/>
      <c r="AB356" s="666"/>
      <c r="AC356" s="7"/>
      <c r="AD356" s="699">
        <v>10</v>
      </c>
      <c r="AE356" s="7"/>
      <c r="AF356" s="618">
        <f t="shared" si="22"/>
        <v>0</v>
      </c>
      <c r="AG356" s="7"/>
      <c r="AH356" s="7"/>
      <c r="AI356" s="7"/>
      <c r="AJ356" s="7"/>
      <c r="AK356" s="7"/>
      <c r="AL356" s="7"/>
    </row>
    <row r="357" spans="1:38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4"/>
      <c r="F357" s="214"/>
      <c r="G357" s="215"/>
      <c r="H357" s="215"/>
      <c r="I357" s="215"/>
      <c r="J357" s="214"/>
      <c r="K357" s="214"/>
      <c r="L357" s="649"/>
      <c r="M357" s="213"/>
      <c r="N357" s="213"/>
      <c r="O357" s="215"/>
      <c r="P357" s="213"/>
      <c r="Q357" s="213">
        <v>0</v>
      </c>
      <c r="R357" s="213"/>
      <c r="S357" s="213"/>
      <c r="T357" s="213"/>
      <c r="U357" s="213"/>
      <c r="V357" s="213"/>
      <c r="W357" s="213"/>
      <c r="X357" s="643"/>
      <c r="Y357" s="616">
        <f t="shared" si="23"/>
        <v>0</v>
      </c>
      <c r="Z357" s="633"/>
      <c r="AA357" s="542"/>
      <c r="AB357" s="542"/>
      <c r="AC357" s="7"/>
      <c r="AD357" s="699"/>
      <c r="AE357" s="7"/>
      <c r="AF357" s="618">
        <f t="shared" si="22"/>
        <v>0</v>
      </c>
      <c r="AG357" s="7"/>
      <c r="AH357" s="7"/>
      <c r="AI357" s="7"/>
      <c r="AJ357" s="7"/>
      <c r="AK357" s="7"/>
      <c r="AL357" s="7"/>
    </row>
    <row r="358" spans="1:38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4"/>
      <c r="F358" s="214"/>
      <c r="G358" s="215"/>
      <c r="H358" s="215"/>
      <c r="I358" s="215"/>
      <c r="J358" s="214"/>
      <c r="K358" s="214"/>
      <c r="L358" s="649"/>
      <c r="M358" s="213"/>
      <c r="N358" s="213"/>
      <c r="O358" s="215"/>
      <c r="P358" s="213"/>
      <c r="Q358" s="213">
        <v>0</v>
      </c>
      <c r="R358" s="213"/>
      <c r="S358" s="213"/>
      <c r="T358" s="213"/>
      <c r="U358" s="213"/>
      <c r="V358" s="213"/>
      <c r="W358" s="213"/>
      <c r="X358" s="643"/>
      <c r="Y358" s="616">
        <f t="shared" si="23"/>
        <v>0</v>
      </c>
      <c r="Z358" s="633"/>
      <c r="AA358" s="542"/>
      <c r="AB358" s="542"/>
      <c r="AC358" s="7"/>
      <c r="AD358" s="699"/>
      <c r="AE358" s="7"/>
      <c r="AF358" s="618">
        <f t="shared" si="22"/>
        <v>0</v>
      </c>
      <c r="AG358" s="7"/>
      <c r="AH358" s="7"/>
      <c r="AI358" s="7"/>
      <c r="AJ358" s="7"/>
      <c r="AK358" s="7"/>
      <c r="AL358" s="7"/>
    </row>
    <row r="359" spans="1:38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4"/>
      <c r="F359" s="214"/>
      <c r="G359" s="215"/>
      <c r="H359" s="215"/>
      <c r="I359" s="215"/>
      <c r="J359" s="214"/>
      <c r="K359" s="214"/>
      <c r="L359" s="649"/>
      <c r="M359" s="213"/>
      <c r="N359" s="213"/>
      <c r="O359" s="215"/>
      <c r="P359" s="213"/>
      <c r="Q359" s="213">
        <v>0</v>
      </c>
      <c r="R359" s="213"/>
      <c r="S359" s="213"/>
      <c r="T359" s="213"/>
      <c r="U359" s="213"/>
      <c r="V359" s="213"/>
      <c r="W359" s="213"/>
      <c r="X359" s="643"/>
      <c r="Y359" s="616">
        <f t="shared" si="23"/>
        <v>0</v>
      </c>
      <c r="Z359" s="633"/>
      <c r="AA359" s="542"/>
      <c r="AB359" s="542"/>
      <c r="AC359" s="7"/>
      <c r="AD359" s="699"/>
      <c r="AE359" s="7"/>
      <c r="AF359" s="618">
        <f t="shared" si="22"/>
        <v>0</v>
      </c>
      <c r="AG359" s="7"/>
      <c r="AH359" s="7"/>
      <c r="AI359" s="7"/>
      <c r="AJ359" s="7"/>
      <c r="AK359" s="7"/>
      <c r="AL359" s="7"/>
    </row>
    <row r="360" spans="1:38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4"/>
      <c r="F360" s="214"/>
      <c r="G360" s="215"/>
      <c r="H360" s="215"/>
      <c r="I360" s="215"/>
      <c r="J360" s="214"/>
      <c r="K360" s="214"/>
      <c r="L360" s="649"/>
      <c r="M360" s="213"/>
      <c r="N360" s="213"/>
      <c r="O360" s="215"/>
      <c r="P360" s="213"/>
      <c r="Q360" s="213">
        <v>0</v>
      </c>
      <c r="R360" s="213"/>
      <c r="S360" s="213"/>
      <c r="T360" s="213"/>
      <c r="U360" s="213"/>
      <c r="V360" s="213"/>
      <c r="W360" s="213"/>
      <c r="X360" s="643"/>
      <c r="Y360" s="616">
        <f t="shared" si="23"/>
        <v>0</v>
      </c>
      <c r="Z360" s="633"/>
      <c r="AA360" s="542"/>
      <c r="AB360" s="542"/>
      <c r="AC360" s="7"/>
      <c r="AD360" s="699"/>
      <c r="AE360" s="7"/>
      <c r="AF360" s="618">
        <f t="shared" si="22"/>
        <v>0</v>
      </c>
      <c r="AG360" s="7"/>
      <c r="AH360" s="7"/>
      <c r="AI360" s="7"/>
      <c r="AJ360" s="7"/>
      <c r="AK360" s="7"/>
      <c r="AL360" s="7"/>
    </row>
    <row r="361" spans="1:38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4"/>
      <c r="F361" s="214"/>
      <c r="G361" s="215"/>
      <c r="H361" s="215"/>
      <c r="I361" s="215"/>
      <c r="J361" s="214"/>
      <c r="K361" s="214"/>
      <c r="L361" s="662"/>
      <c r="M361" s="213"/>
      <c r="N361" s="213"/>
      <c r="O361" s="215"/>
      <c r="P361" s="213"/>
      <c r="Q361" s="213">
        <v>0</v>
      </c>
      <c r="R361" s="213"/>
      <c r="S361" s="213"/>
      <c r="T361" s="213"/>
      <c r="U361" s="213"/>
      <c r="V361" s="213"/>
      <c r="W361" s="213"/>
      <c r="X361" s="643"/>
      <c r="Y361" s="616">
        <f t="shared" si="23"/>
        <v>0</v>
      </c>
      <c r="Z361" s="633"/>
      <c r="AA361" s="547"/>
      <c r="AB361" s="547"/>
      <c r="AC361" s="7"/>
      <c r="AD361" s="699"/>
      <c r="AE361" s="7"/>
      <c r="AF361" s="618">
        <f t="shared" si="22"/>
        <v>0</v>
      </c>
      <c r="AG361" s="7"/>
      <c r="AH361" s="7"/>
      <c r="AI361" s="7"/>
      <c r="AJ361" s="7"/>
      <c r="AK361" s="7"/>
      <c r="AL361" s="7"/>
    </row>
    <row r="362" spans="1:38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4"/>
      <c r="F362" s="214"/>
      <c r="G362" s="215"/>
      <c r="H362" s="215"/>
      <c r="I362" s="215"/>
      <c r="J362" s="214"/>
      <c r="K362" s="214"/>
      <c r="L362" s="662"/>
      <c r="M362" s="213"/>
      <c r="N362" s="213"/>
      <c r="O362" s="215"/>
      <c r="P362" s="213"/>
      <c r="Q362" s="213">
        <v>0</v>
      </c>
      <c r="R362" s="213"/>
      <c r="S362" s="213"/>
      <c r="T362" s="213"/>
      <c r="U362" s="213"/>
      <c r="V362" s="213"/>
      <c r="W362" s="213"/>
      <c r="X362" s="643"/>
      <c r="Y362" s="616">
        <f t="shared" si="23"/>
        <v>0</v>
      </c>
      <c r="Z362" s="633"/>
      <c r="AA362" s="241"/>
      <c r="AB362" s="241"/>
      <c r="AC362" s="7"/>
      <c r="AD362" s="699"/>
      <c r="AE362" s="7"/>
      <c r="AF362" s="618">
        <f t="shared" si="22"/>
        <v>0</v>
      </c>
      <c r="AG362" s="7"/>
      <c r="AH362" s="7"/>
      <c r="AI362" s="7"/>
      <c r="AJ362" s="7"/>
      <c r="AK362" s="7"/>
      <c r="AL362" s="7"/>
    </row>
    <row r="363" spans="1:38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4"/>
      <c r="F363" s="214"/>
      <c r="G363" s="215"/>
      <c r="H363" s="215"/>
      <c r="I363" s="215"/>
      <c r="J363" s="214"/>
      <c r="K363" s="214"/>
      <c r="L363" s="662"/>
      <c r="M363" s="213"/>
      <c r="N363" s="213"/>
      <c r="O363" s="215"/>
      <c r="P363" s="213"/>
      <c r="Q363" s="213">
        <v>0</v>
      </c>
      <c r="R363" s="213"/>
      <c r="S363" s="213"/>
      <c r="T363" s="213"/>
      <c r="U363" s="213"/>
      <c r="V363" s="213"/>
      <c r="W363" s="213"/>
      <c r="X363" s="643"/>
      <c r="Y363" s="616">
        <f t="shared" si="23"/>
        <v>0</v>
      </c>
      <c r="Z363" s="633"/>
      <c r="AA363" s="241"/>
      <c r="AB363" s="241"/>
      <c r="AC363" s="7"/>
      <c r="AD363" s="699"/>
      <c r="AE363" s="7"/>
      <c r="AF363" s="618">
        <f t="shared" si="22"/>
        <v>0</v>
      </c>
      <c r="AG363" s="7"/>
      <c r="AH363" s="7"/>
      <c r="AI363" s="7"/>
      <c r="AJ363" s="7"/>
      <c r="AK363" s="7"/>
      <c r="AL363" s="7"/>
    </row>
    <row r="364" spans="1:38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4"/>
      <c r="F364" s="214"/>
      <c r="G364" s="215"/>
      <c r="H364" s="215"/>
      <c r="I364" s="215"/>
      <c r="J364" s="214"/>
      <c r="K364" s="214"/>
      <c r="L364" s="662"/>
      <c r="M364" s="213"/>
      <c r="N364" s="213"/>
      <c r="O364" s="215"/>
      <c r="P364" s="213"/>
      <c r="Q364" s="213">
        <v>0</v>
      </c>
      <c r="R364" s="213"/>
      <c r="S364" s="213"/>
      <c r="T364" s="213"/>
      <c r="U364" s="213"/>
      <c r="V364" s="213"/>
      <c r="W364" s="213"/>
      <c r="X364" s="643"/>
      <c r="Y364" s="616">
        <f t="shared" si="23"/>
        <v>0</v>
      </c>
      <c r="Z364" s="633"/>
      <c r="AA364" s="241"/>
      <c r="AB364" s="241"/>
      <c r="AC364" s="7"/>
      <c r="AD364" s="699"/>
      <c r="AE364" s="7"/>
      <c r="AF364" s="618">
        <f t="shared" si="22"/>
        <v>0</v>
      </c>
      <c r="AG364" s="7"/>
      <c r="AH364" s="7"/>
      <c r="AI364" s="7"/>
      <c r="AJ364" s="7"/>
      <c r="AK364" s="7"/>
      <c r="AL364" s="7"/>
    </row>
    <row r="365" spans="1:38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4"/>
      <c r="F365" s="214"/>
      <c r="G365" s="215"/>
      <c r="H365" s="215"/>
      <c r="I365" s="215"/>
      <c r="J365" s="214"/>
      <c r="K365" s="214"/>
      <c r="L365" s="662"/>
      <c r="M365" s="213"/>
      <c r="N365" s="213"/>
      <c r="O365" s="215"/>
      <c r="P365" s="213"/>
      <c r="Q365" s="213">
        <v>0</v>
      </c>
      <c r="R365" s="213"/>
      <c r="S365" s="213"/>
      <c r="T365" s="213"/>
      <c r="U365" s="213"/>
      <c r="V365" s="213"/>
      <c r="W365" s="213"/>
      <c r="X365" s="643"/>
      <c r="Y365" s="616">
        <f t="shared" si="23"/>
        <v>0</v>
      </c>
      <c r="Z365" s="633"/>
      <c r="AA365" s="241"/>
      <c r="AB365" s="241"/>
      <c r="AC365" s="7"/>
      <c r="AD365" s="699"/>
      <c r="AE365" s="7"/>
      <c r="AF365" s="618">
        <f t="shared" si="22"/>
        <v>0</v>
      </c>
      <c r="AG365" s="7"/>
      <c r="AH365" s="7"/>
      <c r="AI365" s="7"/>
      <c r="AJ365" s="7"/>
      <c r="AK365" s="7"/>
      <c r="AL365" s="7"/>
    </row>
    <row r="366" spans="1:38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4"/>
      <c r="F366" s="214"/>
      <c r="G366" s="215"/>
      <c r="H366" s="215"/>
      <c r="I366" s="215"/>
      <c r="J366" s="214"/>
      <c r="K366" s="214"/>
      <c r="L366" s="662"/>
      <c r="M366" s="213"/>
      <c r="N366" s="213"/>
      <c r="O366" s="215"/>
      <c r="P366" s="213"/>
      <c r="Q366" s="213">
        <v>0</v>
      </c>
      <c r="R366" s="213"/>
      <c r="S366" s="213"/>
      <c r="T366" s="213"/>
      <c r="U366" s="213"/>
      <c r="V366" s="213"/>
      <c r="W366" s="213"/>
      <c r="X366" s="643"/>
      <c r="Y366" s="616">
        <f t="shared" si="23"/>
        <v>0</v>
      </c>
      <c r="Z366" s="633"/>
      <c r="AA366" s="547"/>
      <c r="AB366" s="547"/>
      <c r="AC366" s="7"/>
      <c r="AD366" s="699"/>
      <c r="AE366" s="7"/>
      <c r="AF366" s="618">
        <f t="shared" si="22"/>
        <v>0</v>
      </c>
      <c r="AG366" s="7"/>
      <c r="AH366" s="7"/>
      <c r="AI366" s="7"/>
      <c r="AJ366" s="7"/>
      <c r="AK366" s="7"/>
      <c r="AL366" s="7"/>
    </row>
    <row r="367" spans="1:38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4"/>
      <c r="F367" s="214"/>
      <c r="G367" s="215"/>
      <c r="H367" s="215"/>
      <c r="I367" s="215"/>
      <c r="J367" s="214"/>
      <c r="K367" s="214"/>
      <c r="L367" s="662"/>
      <c r="M367" s="213"/>
      <c r="N367" s="213"/>
      <c r="O367" s="215"/>
      <c r="P367" s="213"/>
      <c r="Q367" s="213">
        <v>0</v>
      </c>
      <c r="R367" s="213"/>
      <c r="S367" s="213"/>
      <c r="T367" s="213"/>
      <c r="U367" s="213"/>
      <c r="V367" s="213"/>
      <c r="W367" s="213"/>
      <c r="X367" s="643"/>
      <c r="Y367" s="616">
        <f t="shared" si="23"/>
        <v>0</v>
      </c>
      <c r="Z367" s="633"/>
      <c r="AA367" s="547"/>
      <c r="AB367" s="547"/>
      <c r="AC367" s="7"/>
      <c r="AD367" s="699"/>
      <c r="AE367" s="7"/>
      <c r="AF367" s="618">
        <f t="shared" si="22"/>
        <v>0</v>
      </c>
      <c r="AG367" s="7"/>
      <c r="AH367" s="7"/>
      <c r="AI367" s="7"/>
      <c r="AJ367" s="7"/>
      <c r="AK367" s="7"/>
      <c r="AL367" s="7"/>
    </row>
    <row r="368" spans="1:38" ht="18.75" customHeight="1">
      <c r="A368" s="489">
        <v>9</v>
      </c>
      <c r="B368" s="490" t="s">
        <v>800</v>
      </c>
      <c r="C368" s="637" t="s">
        <v>801</v>
      </c>
      <c r="D368" s="516"/>
      <c r="E368" s="214"/>
      <c r="F368" s="214"/>
      <c r="G368" s="215"/>
      <c r="H368" s="215"/>
      <c r="I368" s="215"/>
      <c r="J368" s="214"/>
      <c r="K368" s="214"/>
      <c r="L368" s="662"/>
      <c r="M368" s="213"/>
      <c r="N368" s="213"/>
      <c r="O368" s="215"/>
      <c r="P368" s="213"/>
      <c r="Q368" s="213">
        <v>0</v>
      </c>
      <c r="R368" s="213"/>
      <c r="S368" s="213"/>
      <c r="T368" s="213"/>
      <c r="U368" s="213"/>
      <c r="V368" s="213"/>
      <c r="W368" s="213"/>
      <c r="X368" s="643"/>
      <c r="Y368" s="616">
        <f t="shared" si="23"/>
        <v>0</v>
      </c>
      <c r="Z368" s="633"/>
      <c r="AA368" s="640"/>
      <c r="AB368" s="640"/>
      <c r="AC368" s="7"/>
      <c r="AD368" s="699"/>
      <c r="AE368" s="7"/>
      <c r="AF368" s="618">
        <f t="shared" si="22"/>
        <v>0</v>
      </c>
      <c r="AG368" s="7"/>
      <c r="AH368" s="7"/>
      <c r="AI368" s="7"/>
      <c r="AJ368" s="7"/>
      <c r="AK368" s="7"/>
      <c r="AL368" s="7"/>
    </row>
    <row r="369" spans="1:38" ht="21.75" customHeight="1">
      <c r="A369" s="486"/>
      <c r="B369" s="487" t="s">
        <v>803</v>
      </c>
      <c r="C369" s="635" t="s">
        <v>1083</v>
      </c>
      <c r="D369" s="412" t="s">
        <v>805</v>
      </c>
      <c r="E369" s="214">
        <v>1</v>
      </c>
      <c r="F369" s="214"/>
      <c r="G369" s="215">
        <v>24</v>
      </c>
      <c r="H369" s="215"/>
      <c r="I369" s="215"/>
      <c r="J369" s="214"/>
      <c r="K369" s="214">
        <v>2</v>
      </c>
      <c r="L369" s="620"/>
      <c r="M369" s="213"/>
      <c r="N369" s="213"/>
      <c r="O369" s="215"/>
      <c r="P369" s="213"/>
      <c r="Q369" s="213">
        <v>11</v>
      </c>
      <c r="R369" s="213"/>
      <c r="S369" s="213"/>
      <c r="T369" s="213"/>
      <c r="U369" s="213"/>
      <c r="V369" s="213"/>
      <c r="W369" s="213"/>
      <c r="X369" s="657"/>
      <c r="Y369" s="616">
        <f t="shared" si="23"/>
        <v>38</v>
      </c>
      <c r="Z369" s="633"/>
      <c r="AA369" s="636"/>
      <c r="AB369" s="636"/>
      <c r="AC369" s="7"/>
      <c r="AD369" s="699">
        <v>38</v>
      </c>
      <c r="AE369" s="7"/>
      <c r="AF369" s="618">
        <f t="shared" si="22"/>
        <v>0</v>
      </c>
      <c r="AG369" s="7"/>
      <c r="AH369" s="7"/>
      <c r="AI369" s="7"/>
      <c r="AJ369" s="7"/>
      <c r="AK369" s="7"/>
      <c r="AL369" s="7"/>
    </row>
    <row r="370" spans="1:38" ht="21.75" customHeight="1">
      <c r="A370" s="503"/>
      <c r="B370" s="483" t="s">
        <v>807</v>
      </c>
      <c r="C370" s="629" t="s">
        <v>808</v>
      </c>
      <c r="D370" s="504" t="s">
        <v>132</v>
      </c>
      <c r="E370" s="214"/>
      <c r="F370" s="214"/>
      <c r="G370" s="215"/>
      <c r="H370" s="215"/>
      <c r="I370" s="215"/>
      <c r="J370" s="214"/>
      <c r="K370" s="214"/>
      <c r="L370" s="647"/>
      <c r="M370" s="213"/>
      <c r="N370" s="213"/>
      <c r="O370" s="215"/>
      <c r="P370" s="213"/>
      <c r="Q370" s="213">
        <v>0</v>
      </c>
      <c r="R370" s="213"/>
      <c r="S370" s="213"/>
      <c r="T370" s="213"/>
      <c r="U370" s="213"/>
      <c r="V370" s="213"/>
      <c r="W370" s="213"/>
      <c r="X370" s="643"/>
      <c r="Y370" s="616">
        <f t="shared" si="23"/>
        <v>0</v>
      </c>
      <c r="Z370" s="633"/>
      <c r="AA370" s="648"/>
      <c r="AB370" s="648"/>
      <c r="AC370" s="7"/>
      <c r="AD370" s="699"/>
      <c r="AE370" s="7"/>
      <c r="AF370" s="618">
        <f t="shared" si="22"/>
        <v>0</v>
      </c>
      <c r="AG370" s="7"/>
      <c r="AH370" s="7"/>
      <c r="AI370" s="7"/>
      <c r="AJ370" s="7"/>
      <c r="AK370" s="7"/>
      <c r="AL370" s="7"/>
    </row>
    <row r="371" spans="1:38" ht="21.75" customHeight="1">
      <c r="A371" s="503"/>
      <c r="B371" s="483" t="s">
        <v>810</v>
      </c>
      <c r="C371" s="629" t="s">
        <v>811</v>
      </c>
      <c r="D371" s="504" t="s">
        <v>132</v>
      </c>
      <c r="E371" s="214">
        <v>1</v>
      </c>
      <c r="F371" s="214"/>
      <c r="G371" s="215"/>
      <c r="H371" s="215"/>
      <c r="I371" s="215"/>
      <c r="J371" s="214"/>
      <c r="K371" s="214">
        <v>2</v>
      </c>
      <c r="L371" s="647"/>
      <c r="M371" s="213"/>
      <c r="N371" s="213"/>
      <c r="O371" s="215"/>
      <c r="P371" s="213"/>
      <c r="Q371" s="213"/>
      <c r="R371" s="213"/>
      <c r="S371" s="213"/>
      <c r="T371" s="213"/>
      <c r="U371" s="213"/>
      <c r="V371" s="213"/>
      <c r="W371" s="213"/>
      <c r="X371" s="643"/>
      <c r="Y371" s="616">
        <f t="shared" si="23"/>
        <v>3</v>
      </c>
      <c r="Z371" s="633"/>
      <c r="AA371" s="648"/>
      <c r="AB371" s="648"/>
      <c r="AC371" s="7"/>
      <c r="AD371" s="699"/>
      <c r="AE371" s="7"/>
      <c r="AF371" s="618"/>
      <c r="AG371" s="7"/>
      <c r="AH371" s="7"/>
      <c r="AI371" s="7"/>
      <c r="AJ371" s="7"/>
      <c r="AK371" s="7"/>
      <c r="AL371" s="7"/>
    </row>
    <row r="372" spans="1:38" ht="21.75" customHeight="1">
      <c r="A372" s="486"/>
      <c r="B372" s="487" t="s">
        <v>813</v>
      </c>
      <c r="C372" s="635" t="s">
        <v>814</v>
      </c>
      <c r="D372" s="412" t="s">
        <v>424</v>
      </c>
      <c r="E372" s="214"/>
      <c r="F372" s="214"/>
      <c r="G372" s="215">
        <v>300</v>
      </c>
      <c r="H372" s="215"/>
      <c r="I372" s="215"/>
      <c r="J372" s="214"/>
      <c r="K372" s="214"/>
      <c r="L372" s="620"/>
      <c r="M372" s="213"/>
      <c r="N372" s="213"/>
      <c r="O372" s="215"/>
      <c r="P372" s="213"/>
      <c r="Q372" s="213">
        <v>210</v>
      </c>
      <c r="R372" s="213"/>
      <c r="S372" s="213"/>
      <c r="T372" s="213"/>
      <c r="U372" s="213"/>
      <c r="V372" s="213"/>
      <c r="W372" s="213"/>
      <c r="X372" s="657"/>
      <c r="Y372" s="616">
        <f t="shared" si="23"/>
        <v>510</v>
      </c>
      <c r="Z372" s="633"/>
      <c r="AA372" s="636"/>
      <c r="AB372" s="636"/>
      <c r="AC372" s="7"/>
      <c r="AD372" s="699">
        <v>510</v>
      </c>
      <c r="AE372" s="7"/>
      <c r="AF372" s="618">
        <f t="shared" ref="AF372:AF447" si="24">AD372-Y372</f>
        <v>0</v>
      </c>
      <c r="AG372" s="7"/>
      <c r="AH372" s="7"/>
      <c r="AI372" s="7"/>
      <c r="AJ372" s="7"/>
      <c r="AK372" s="7"/>
      <c r="AL372" s="7"/>
    </row>
    <row r="373" spans="1:38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4"/>
      <c r="F373" s="214"/>
      <c r="G373" s="215"/>
      <c r="H373" s="215"/>
      <c r="I373" s="215"/>
      <c r="J373" s="214"/>
      <c r="K373" s="214"/>
      <c r="L373" s="647"/>
      <c r="M373" s="213"/>
      <c r="N373" s="213"/>
      <c r="O373" s="215"/>
      <c r="P373" s="213"/>
      <c r="Q373" s="213">
        <v>0</v>
      </c>
      <c r="R373" s="213"/>
      <c r="S373" s="213"/>
      <c r="T373" s="213"/>
      <c r="U373" s="213"/>
      <c r="V373" s="213"/>
      <c r="W373" s="213"/>
      <c r="X373" s="643"/>
      <c r="Y373" s="616">
        <f t="shared" si="23"/>
        <v>0</v>
      </c>
      <c r="Z373" s="633"/>
      <c r="AA373" s="648"/>
      <c r="AB373" s="648"/>
      <c r="AC373" s="7"/>
      <c r="AD373" s="699"/>
      <c r="AE373" s="7"/>
      <c r="AF373" s="618">
        <f t="shared" si="24"/>
        <v>0</v>
      </c>
      <c r="AG373" s="7"/>
      <c r="AH373" s="7"/>
      <c r="AI373" s="7"/>
      <c r="AJ373" s="7"/>
      <c r="AK373" s="7"/>
      <c r="AL373" s="7"/>
    </row>
    <row r="374" spans="1:38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4"/>
      <c r="F374" s="214"/>
      <c r="G374" s="215"/>
      <c r="H374" s="215"/>
      <c r="I374" s="215"/>
      <c r="J374" s="214"/>
      <c r="K374" s="214"/>
      <c r="L374" s="647"/>
      <c r="M374" s="213"/>
      <c r="N374" s="213"/>
      <c r="O374" s="215"/>
      <c r="P374" s="213"/>
      <c r="Q374" s="213">
        <v>0</v>
      </c>
      <c r="R374" s="213"/>
      <c r="S374" s="213"/>
      <c r="T374" s="213"/>
      <c r="U374" s="213"/>
      <c r="V374" s="213"/>
      <c r="W374" s="213"/>
      <c r="X374" s="643"/>
      <c r="Y374" s="616">
        <f t="shared" si="23"/>
        <v>0</v>
      </c>
      <c r="Z374" s="633"/>
      <c r="AA374" s="648"/>
      <c r="AB374" s="648"/>
      <c r="AC374" s="7"/>
      <c r="AD374" s="699"/>
      <c r="AE374" s="7"/>
      <c r="AF374" s="618">
        <f t="shared" si="24"/>
        <v>0</v>
      </c>
      <c r="AG374" s="7"/>
      <c r="AH374" s="7"/>
      <c r="AI374" s="7"/>
      <c r="AJ374" s="7"/>
      <c r="AK374" s="7"/>
      <c r="AL374" s="7"/>
    </row>
    <row r="375" spans="1:38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4"/>
      <c r="F375" s="214"/>
      <c r="G375" s="215"/>
      <c r="H375" s="215"/>
      <c r="I375" s="215"/>
      <c r="J375" s="214"/>
      <c r="K375" s="214"/>
      <c r="L375" s="620"/>
      <c r="M375" s="213"/>
      <c r="N375" s="213"/>
      <c r="O375" s="215"/>
      <c r="P375" s="213"/>
      <c r="Q375" s="213">
        <v>0</v>
      </c>
      <c r="R375" s="213"/>
      <c r="S375" s="213"/>
      <c r="T375" s="213"/>
      <c r="U375" s="213"/>
      <c r="V375" s="213"/>
      <c r="W375" s="213"/>
      <c r="X375" s="643"/>
      <c r="Y375" s="616">
        <f t="shared" si="23"/>
        <v>0</v>
      </c>
      <c r="Z375" s="633"/>
      <c r="AA375" s="636"/>
      <c r="AB375" s="636"/>
      <c r="AC375" s="7"/>
      <c r="AD375" s="704"/>
      <c r="AE375" s="7"/>
      <c r="AF375" s="618">
        <f t="shared" si="24"/>
        <v>0</v>
      </c>
      <c r="AG375" s="7"/>
      <c r="AH375" s="7"/>
      <c r="AI375" s="7"/>
      <c r="AJ375" s="7"/>
      <c r="AK375" s="7"/>
      <c r="AL375" s="7"/>
    </row>
    <row r="376" spans="1:38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4"/>
      <c r="F376" s="214"/>
      <c r="G376" s="215"/>
      <c r="H376" s="215"/>
      <c r="I376" s="215"/>
      <c r="J376" s="214"/>
      <c r="K376" s="214"/>
      <c r="L376" s="647"/>
      <c r="M376" s="213"/>
      <c r="N376" s="213"/>
      <c r="O376" s="215"/>
      <c r="P376" s="213"/>
      <c r="Q376" s="213">
        <v>0</v>
      </c>
      <c r="R376" s="213"/>
      <c r="S376" s="213"/>
      <c r="T376" s="213"/>
      <c r="U376" s="213"/>
      <c r="V376" s="213"/>
      <c r="W376" s="213"/>
      <c r="X376" s="643"/>
      <c r="Y376" s="616">
        <f t="shared" si="23"/>
        <v>0</v>
      </c>
      <c r="Z376" s="633"/>
      <c r="AA376" s="648"/>
      <c r="AB376" s="648"/>
      <c r="AC376" s="7"/>
      <c r="AD376" s="704"/>
      <c r="AE376" s="7"/>
      <c r="AF376" s="618">
        <f t="shared" si="24"/>
        <v>0</v>
      </c>
      <c r="AG376" s="7"/>
      <c r="AH376" s="7"/>
      <c r="AI376" s="7"/>
      <c r="AJ376" s="7"/>
      <c r="AK376" s="7"/>
      <c r="AL376" s="7"/>
    </row>
    <row r="377" spans="1:38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4"/>
      <c r="F377" s="214"/>
      <c r="G377" s="215"/>
      <c r="H377" s="215"/>
      <c r="I377" s="215"/>
      <c r="J377" s="214"/>
      <c r="K377" s="214"/>
      <c r="L377" s="647"/>
      <c r="M377" s="213"/>
      <c r="N377" s="213"/>
      <c r="O377" s="215"/>
      <c r="P377" s="213"/>
      <c r="Q377" s="213">
        <v>0</v>
      </c>
      <c r="R377" s="213"/>
      <c r="S377" s="213"/>
      <c r="T377" s="213"/>
      <c r="U377" s="213"/>
      <c r="V377" s="213"/>
      <c r="W377" s="213"/>
      <c r="X377" s="643"/>
      <c r="Y377" s="616">
        <f t="shared" si="23"/>
        <v>0</v>
      </c>
      <c r="Z377" s="633"/>
      <c r="AA377" s="648"/>
      <c r="AB377" s="648"/>
      <c r="AC377" s="7"/>
      <c r="AD377" s="704"/>
      <c r="AE377" s="7"/>
      <c r="AF377" s="618">
        <f t="shared" si="24"/>
        <v>0</v>
      </c>
      <c r="AG377" s="7"/>
      <c r="AH377" s="7"/>
      <c r="AI377" s="7"/>
      <c r="AJ377" s="7"/>
      <c r="AK377" s="7"/>
      <c r="AL377" s="7"/>
    </row>
    <row r="378" spans="1:38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4"/>
      <c r="F378" s="214"/>
      <c r="G378" s="215"/>
      <c r="H378" s="215"/>
      <c r="I378" s="215"/>
      <c r="J378" s="214"/>
      <c r="K378" s="214"/>
      <c r="L378" s="620"/>
      <c r="M378" s="213"/>
      <c r="N378" s="213"/>
      <c r="O378" s="215"/>
      <c r="P378" s="213"/>
      <c r="Q378" s="213">
        <v>0</v>
      </c>
      <c r="R378" s="213"/>
      <c r="S378" s="213"/>
      <c r="T378" s="213"/>
      <c r="U378" s="213"/>
      <c r="V378" s="213"/>
      <c r="W378" s="213"/>
      <c r="X378" s="643"/>
      <c r="Y378" s="616">
        <f t="shared" si="23"/>
        <v>0</v>
      </c>
      <c r="Z378" s="633"/>
      <c r="AA378" s="636"/>
      <c r="AB378" s="636"/>
      <c r="AC378" s="7"/>
      <c r="AD378" s="704"/>
      <c r="AE378" s="7"/>
      <c r="AF378" s="618">
        <f t="shared" si="24"/>
        <v>0</v>
      </c>
      <c r="AG378" s="7"/>
      <c r="AH378" s="7"/>
      <c r="AI378" s="7"/>
      <c r="AJ378" s="7"/>
      <c r="AK378" s="7"/>
      <c r="AL378" s="7"/>
    </row>
    <row r="379" spans="1:38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4"/>
      <c r="F379" s="214"/>
      <c r="G379" s="215"/>
      <c r="H379" s="215"/>
      <c r="I379" s="215"/>
      <c r="J379" s="214"/>
      <c r="K379" s="214"/>
      <c r="L379" s="647"/>
      <c r="M379" s="213"/>
      <c r="N379" s="213"/>
      <c r="O379" s="215"/>
      <c r="P379" s="213"/>
      <c r="Q379" s="213">
        <v>0</v>
      </c>
      <c r="R379" s="213"/>
      <c r="S379" s="213"/>
      <c r="T379" s="213"/>
      <c r="U379" s="213"/>
      <c r="V379" s="213"/>
      <c r="W379" s="213"/>
      <c r="X379" s="643"/>
      <c r="Y379" s="616">
        <f t="shared" si="23"/>
        <v>0</v>
      </c>
      <c r="Z379" s="633"/>
      <c r="AA379" s="648"/>
      <c r="AB379" s="648"/>
      <c r="AC379" s="7"/>
      <c r="AD379" s="704"/>
      <c r="AE379" s="7"/>
      <c r="AF379" s="618">
        <f t="shared" si="24"/>
        <v>0</v>
      </c>
      <c r="AG379" s="7"/>
      <c r="AH379" s="7"/>
      <c r="AI379" s="7"/>
      <c r="AJ379" s="7"/>
      <c r="AK379" s="7"/>
      <c r="AL379" s="7"/>
    </row>
    <row r="380" spans="1:38" ht="21.75" customHeight="1">
      <c r="A380" s="503" t="s">
        <v>1499</v>
      </c>
      <c r="B380" s="483" t="s">
        <v>828</v>
      </c>
      <c r="C380" s="658" t="s">
        <v>829</v>
      </c>
      <c r="D380" s="504" t="s">
        <v>1819</v>
      </c>
      <c r="E380" s="214"/>
      <c r="F380" s="214"/>
      <c r="G380" s="215"/>
      <c r="H380" s="215"/>
      <c r="I380" s="215"/>
      <c r="J380" s="214"/>
      <c r="K380" s="214"/>
      <c r="L380" s="647"/>
      <c r="M380" s="213"/>
      <c r="N380" s="213"/>
      <c r="O380" s="215"/>
      <c r="P380" s="213"/>
      <c r="Q380" s="213">
        <v>0</v>
      </c>
      <c r="R380" s="213"/>
      <c r="S380" s="213"/>
      <c r="T380" s="213"/>
      <c r="U380" s="213"/>
      <c r="V380" s="213"/>
      <c r="W380" s="213"/>
      <c r="X380" s="643"/>
      <c r="Y380" s="616">
        <f t="shared" si="23"/>
        <v>0</v>
      </c>
      <c r="Z380" s="633"/>
      <c r="AA380" s="648"/>
      <c r="AB380" s="648"/>
      <c r="AC380" s="7"/>
      <c r="AD380" s="704"/>
      <c r="AE380" s="7"/>
      <c r="AF380" s="618">
        <f t="shared" si="24"/>
        <v>0</v>
      </c>
      <c r="AG380" s="7"/>
      <c r="AH380" s="7"/>
      <c r="AI380" s="7"/>
      <c r="AJ380" s="7"/>
      <c r="AK380" s="7"/>
      <c r="AL380" s="7"/>
    </row>
    <row r="381" spans="1:38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4"/>
      <c r="F381" s="214"/>
      <c r="G381" s="215"/>
      <c r="H381" s="215"/>
      <c r="I381" s="215"/>
      <c r="J381" s="214"/>
      <c r="K381" s="214"/>
      <c r="L381" s="647"/>
      <c r="M381" s="213"/>
      <c r="N381" s="213"/>
      <c r="O381" s="215"/>
      <c r="P381" s="213"/>
      <c r="Q381" s="213">
        <v>0</v>
      </c>
      <c r="R381" s="213"/>
      <c r="S381" s="213"/>
      <c r="T381" s="213"/>
      <c r="U381" s="213"/>
      <c r="V381" s="213"/>
      <c r="W381" s="213"/>
      <c r="X381" s="643"/>
      <c r="Y381" s="616">
        <f t="shared" si="23"/>
        <v>0</v>
      </c>
      <c r="Z381" s="633"/>
      <c r="AA381" s="648"/>
      <c r="AB381" s="648"/>
      <c r="AC381" s="7"/>
      <c r="AD381" s="704"/>
      <c r="AE381" s="7"/>
      <c r="AF381" s="618">
        <f t="shared" si="24"/>
        <v>0</v>
      </c>
      <c r="AG381" s="7"/>
      <c r="AH381" s="7"/>
      <c r="AI381" s="7"/>
      <c r="AJ381" s="7"/>
      <c r="AK381" s="7"/>
      <c r="AL381" s="7"/>
    </row>
    <row r="382" spans="1:38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4"/>
      <c r="F382" s="214"/>
      <c r="G382" s="215"/>
      <c r="H382" s="215"/>
      <c r="I382" s="215"/>
      <c r="J382" s="214"/>
      <c r="K382" s="214"/>
      <c r="L382" s="620"/>
      <c r="M382" s="213"/>
      <c r="N382" s="213"/>
      <c r="O382" s="215"/>
      <c r="P382" s="213"/>
      <c r="Q382" s="213">
        <v>0</v>
      </c>
      <c r="R382" s="213"/>
      <c r="S382" s="213"/>
      <c r="T382" s="213"/>
      <c r="U382" s="213"/>
      <c r="V382" s="213"/>
      <c r="W382" s="213"/>
      <c r="X382" s="643"/>
      <c r="Y382" s="616">
        <f t="shared" si="23"/>
        <v>0</v>
      </c>
      <c r="Z382" s="633"/>
      <c r="AA382" s="636"/>
      <c r="AB382" s="636"/>
      <c r="AC382" s="7"/>
      <c r="AD382" s="704"/>
      <c r="AE382" s="7"/>
      <c r="AF382" s="618">
        <f t="shared" si="24"/>
        <v>0</v>
      </c>
      <c r="AG382" s="7"/>
      <c r="AH382" s="7"/>
      <c r="AI382" s="7"/>
      <c r="AJ382" s="7"/>
      <c r="AK382" s="7"/>
      <c r="AL382" s="7"/>
    </row>
    <row r="383" spans="1:38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4"/>
      <c r="F383" s="214"/>
      <c r="G383" s="215"/>
      <c r="H383" s="215"/>
      <c r="I383" s="215"/>
      <c r="J383" s="214"/>
      <c r="K383" s="214"/>
      <c r="L383" s="620"/>
      <c r="M383" s="213"/>
      <c r="N383" s="213"/>
      <c r="O383" s="215"/>
      <c r="P383" s="213"/>
      <c r="Q383" s="213">
        <v>0</v>
      </c>
      <c r="R383" s="213"/>
      <c r="S383" s="213"/>
      <c r="T383" s="213"/>
      <c r="U383" s="213"/>
      <c r="V383" s="213"/>
      <c r="W383" s="213"/>
      <c r="X383" s="643"/>
      <c r="Y383" s="616">
        <f t="shared" si="23"/>
        <v>0</v>
      </c>
      <c r="Z383" s="633"/>
      <c r="AA383" s="636"/>
      <c r="AB383" s="636"/>
      <c r="AC383" s="7"/>
      <c r="AD383" s="704"/>
      <c r="AE383" s="7"/>
      <c r="AF383" s="618">
        <f t="shared" si="24"/>
        <v>0</v>
      </c>
      <c r="AG383" s="7"/>
      <c r="AH383" s="7"/>
      <c r="AI383" s="7"/>
      <c r="AJ383" s="7"/>
      <c r="AK383" s="7"/>
      <c r="AL383" s="7"/>
    </row>
    <row r="384" spans="1:38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4"/>
      <c r="F384" s="214"/>
      <c r="G384" s="215"/>
      <c r="H384" s="215"/>
      <c r="I384" s="215"/>
      <c r="J384" s="214"/>
      <c r="K384" s="214"/>
      <c r="L384" s="620"/>
      <c r="M384" s="213"/>
      <c r="N384" s="213"/>
      <c r="O384" s="215"/>
      <c r="P384" s="213"/>
      <c r="Q384" s="213">
        <v>0</v>
      </c>
      <c r="R384" s="213"/>
      <c r="S384" s="213"/>
      <c r="T384" s="213"/>
      <c r="U384" s="213"/>
      <c r="V384" s="213"/>
      <c r="W384" s="213"/>
      <c r="X384" s="643"/>
      <c r="Y384" s="616">
        <f t="shared" si="23"/>
        <v>0</v>
      </c>
      <c r="Z384" s="633"/>
      <c r="AA384" s="648"/>
      <c r="AB384" s="648"/>
      <c r="AC384" s="7"/>
      <c r="AD384" s="704"/>
      <c r="AE384" s="7"/>
      <c r="AF384" s="618">
        <f t="shared" si="24"/>
        <v>0</v>
      </c>
      <c r="AG384" s="7"/>
      <c r="AH384" s="7"/>
      <c r="AI384" s="7"/>
      <c r="AJ384" s="7"/>
      <c r="AK384" s="7"/>
      <c r="AL384" s="7"/>
    </row>
    <row r="385" spans="1:38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4"/>
      <c r="F385" s="214"/>
      <c r="G385" s="215"/>
      <c r="H385" s="215"/>
      <c r="I385" s="215"/>
      <c r="J385" s="214"/>
      <c r="K385" s="214"/>
      <c r="L385" s="620"/>
      <c r="M385" s="213"/>
      <c r="N385" s="213"/>
      <c r="O385" s="215"/>
      <c r="P385" s="213"/>
      <c r="Q385" s="213">
        <v>0</v>
      </c>
      <c r="R385" s="213"/>
      <c r="S385" s="213"/>
      <c r="T385" s="213"/>
      <c r="U385" s="213"/>
      <c r="V385" s="213"/>
      <c r="W385" s="213"/>
      <c r="X385" s="643"/>
      <c r="Y385" s="616">
        <f t="shared" si="23"/>
        <v>0</v>
      </c>
      <c r="Z385" s="633"/>
      <c r="AA385" s="648"/>
      <c r="AB385" s="648"/>
      <c r="AC385" s="7"/>
      <c r="AD385" s="704"/>
      <c r="AE385" s="7"/>
      <c r="AF385" s="618">
        <f t="shared" si="24"/>
        <v>0</v>
      </c>
      <c r="AG385" s="7"/>
      <c r="AH385" s="7"/>
      <c r="AI385" s="7"/>
      <c r="AJ385" s="7"/>
      <c r="AK385" s="7"/>
      <c r="AL385" s="7"/>
    </row>
    <row r="386" spans="1:38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4"/>
      <c r="F386" s="214"/>
      <c r="G386" s="215"/>
      <c r="H386" s="215"/>
      <c r="I386" s="215"/>
      <c r="J386" s="214"/>
      <c r="K386" s="214"/>
      <c r="L386" s="620"/>
      <c r="M386" s="213"/>
      <c r="N386" s="213"/>
      <c r="O386" s="215"/>
      <c r="P386" s="213"/>
      <c r="Q386" s="213">
        <v>0</v>
      </c>
      <c r="R386" s="213"/>
      <c r="S386" s="213"/>
      <c r="T386" s="213"/>
      <c r="U386" s="213"/>
      <c r="V386" s="213"/>
      <c r="W386" s="213"/>
      <c r="X386" s="643"/>
      <c r="Y386" s="616">
        <f t="shared" si="23"/>
        <v>0</v>
      </c>
      <c r="Z386" s="633"/>
      <c r="AA386" s="648"/>
      <c r="AB386" s="648"/>
      <c r="AC386" s="7"/>
      <c r="AD386" s="704"/>
      <c r="AE386" s="7"/>
      <c r="AF386" s="618">
        <f t="shared" si="24"/>
        <v>0</v>
      </c>
      <c r="AG386" s="7"/>
      <c r="AH386" s="7"/>
      <c r="AI386" s="7"/>
      <c r="AJ386" s="7"/>
      <c r="AK386" s="7"/>
      <c r="AL386" s="7"/>
    </row>
    <row r="387" spans="1:38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4"/>
      <c r="F387" s="214"/>
      <c r="G387" s="215"/>
      <c r="H387" s="215"/>
      <c r="I387" s="215"/>
      <c r="J387" s="214"/>
      <c r="K387" s="214"/>
      <c r="L387" s="620"/>
      <c r="M387" s="213"/>
      <c r="N387" s="213"/>
      <c r="O387" s="215"/>
      <c r="P387" s="213"/>
      <c r="Q387" s="213">
        <v>0</v>
      </c>
      <c r="R387" s="213"/>
      <c r="S387" s="213"/>
      <c r="T387" s="213"/>
      <c r="U387" s="213"/>
      <c r="V387" s="213"/>
      <c r="W387" s="213"/>
      <c r="X387" s="643"/>
      <c r="Y387" s="616">
        <f t="shared" si="23"/>
        <v>0</v>
      </c>
      <c r="Z387" s="633"/>
      <c r="AA387" s="648"/>
      <c r="AB387" s="648"/>
      <c r="AC387" s="7"/>
      <c r="AD387" s="704"/>
      <c r="AE387" s="7"/>
      <c r="AF387" s="618">
        <f t="shared" si="24"/>
        <v>0</v>
      </c>
      <c r="AG387" s="7"/>
      <c r="AH387" s="7"/>
      <c r="AI387" s="7"/>
      <c r="AJ387" s="7"/>
      <c r="AK387" s="7"/>
      <c r="AL387" s="7"/>
    </row>
    <row r="388" spans="1:38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4"/>
      <c r="F388" s="214"/>
      <c r="G388" s="215"/>
      <c r="H388" s="215"/>
      <c r="I388" s="215"/>
      <c r="J388" s="214"/>
      <c r="K388" s="214"/>
      <c r="L388" s="620"/>
      <c r="M388" s="213"/>
      <c r="N388" s="213"/>
      <c r="O388" s="215"/>
      <c r="P388" s="213"/>
      <c r="Q388" s="213">
        <v>0</v>
      </c>
      <c r="R388" s="213"/>
      <c r="S388" s="213"/>
      <c r="T388" s="213"/>
      <c r="U388" s="213"/>
      <c r="V388" s="213"/>
      <c r="W388" s="213"/>
      <c r="X388" s="643"/>
      <c r="Y388" s="616">
        <f t="shared" si="23"/>
        <v>0</v>
      </c>
      <c r="Z388" s="633"/>
      <c r="AA388" s="636"/>
      <c r="AB388" s="636"/>
      <c r="AC388" s="7"/>
      <c r="AD388" s="704"/>
      <c r="AE388" s="7"/>
      <c r="AF388" s="618">
        <f t="shared" si="24"/>
        <v>0</v>
      </c>
      <c r="AG388" s="7"/>
      <c r="AH388" s="7"/>
      <c r="AI388" s="7"/>
      <c r="AJ388" s="7"/>
      <c r="AK388" s="7"/>
      <c r="AL388" s="7"/>
    </row>
    <row r="389" spans="1:38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4"/>
      <c r="F389" s="214"/>
      <c r="G389" s="215"/>
      <c r="H389" s="215"/>
      <c r="I389" s="215"/>
      <c r="J389" s="214"/>
      <c r="K389" s="214"/>
      <c r="L389" s="620"/>
      <c r="M389" s="213"/>
      <c r="N389" s="213"/>
      <c r="O389" s="215"/>
      <c r="P389" s="213"/>
      <c r="Q389" s="213">
        <v>0</v>
      </c>
      <c r="R389" s="213"/>
      <c r="S389" s="213"/>
      <c r="T389" s="213"/>
      <c r="U389" s="213"/>
      <c r="V389" s="213"/>
      <c r="W389" s="213"/>
      <c r="X389" s="643"/>
      <c r="Y389" s="616">
        <f t="shared" si="23"/>
        <v>0</v>
      </c>
      <c r="Z389" s="633"/>
      <c r="AA389" s="636"/>
      <c r="AB389" s="636"/>
      <c r="AC389" s="7"/>
      <c r="AD389" s="704"/>
      <c r="AE389" s="7"/>
      <c r="AF389" s="618">
        <f t="shared" si="24"/>
        <v>0</v>
      </c>
      <c r="AG389" s="7"/>
      <c r="AH389" s="7"/>
      <c r="AI389" s="7"/>
      <c r="AJ389" s="7"/>
      <c r="AK389" s="7"/>
      <c r="AL389" s="7"/>
    </row>
    <row r="390" spans="1:38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4"/>
      <c r="F390" s="214"/>
      <c r="G390" s="215"/>
      <c r="H390" s="215"/>
      <c r="I390" s="215"/>
      <c r="J390" s="214"/>
      <c r="K390" s="214"/>
      <c r="L390" s="662"/>
      <c r="M390" s="213"/>
      <c r="N390" s="213"/>
      <c r="O390" s="215"/>
      <c r="P390" s="213"/>
      <c r="Q390" s="213">
        <v>0</v>
      </c>
      <c r="R390" s="213"/>
      <c r="S390" s="213"/>
      <c r="T390" s="213"/>
      <c r="U390" s="213"/>
      <c r="V390" s="213"/>
      <c r="W390" s="213"/>
      <c r="X390" s="643"/>
      <c r="Y390" s="616">
        <f t="shared" si="23"/>
        <v>0</v>
      </c>
      <c r="Z390" s="633"/>
      <c r="AA390" s="636"/>
      <c r="AB390" s="636"/>
      <c r="AC390" s="7"/>
      <c r="AD390" s="704"/>
      <c r="AE390" s="7"/>
      <c r="AF390" s="618">
        <f t="shared" si="24"/>
        <v>0</v>
      </c>
      <c r="AG390" s="7"/>
      <c r="AH390" s="7"/>
      <c r="AI390" s="7"/>
      <c r="AJ390" s="7"/>
      <c r="AK390" s="7"/>
      <c r="AL390" s="7"/>
    </row>
    <row r="391" spans="1:38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4"/>
      <c r="F391" s="214"/>
      <c r="G391" s="215"/>
      <c r="H391" s="215"/>
      <c r="I391" s="215"/>
      <c r="J391" s="214"/>
      <c r="K391" s="214"/>
      <c r="L391" s="662"/>
      <c r="M391" s="213"/>
      <c r="N391" s="213"/>
      <c r="O391" s="215"/>
      <c r="P391" s="213"/>
      <c r="Q391" s="213">
        <v>0</v>
      </c>
      <c r="R391" s="213"/>
      <c r="S391" s="213"/>
      <c r="T391" s="213"/>
      <c r="U391" s="213"/>
      <c r="V391" s="213"/>
      <c r="W391" s="213"/>
      <c r="X391" s="643"/>
      <c r="Y391" s="616">
        <f t="shared" si="23"/>
        <v>0</v>
      </c>
      <c r="Z391" s="633"/>
      <c r="AA391" s="636"/>
      <c r="AB391" s="636"/>
      <c r="AC391" s="7"/>
      <c r="AD391" s="704"/>
      <c r="AE391" s="7"/>
      <c r="AF391" s="618">
        <f t="shared" si="24"/>
        <v>0</v>
      </c>
      <c r="AG391" s="7"/>
      <c r="AH391" s="7"/>
      <c r="AI391" s="7"/>
      <c r="AJ391" s="7"/>
      <c r="AK391" s="7"/>
      <c r="AL391" s="7"/>
    </row>
    <row r="392" spans="1:38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4"/>
      <c r="F392" s="214"/>
      <c r="G392" s="215"/>
      <c r="H392" s="215"/>
      <c r="I392" s="215"/>
      <c r="J392" s="214"/>
      <c r="K392" s="214"/>
      <c r="L392" s="662"/>
      <c r="M392" s="213"/>
      <c r="N392" s="213"/>
      <c r="O392" s="215"/>
      <c r="P392" s="213"/>
      <c r="Q392" s="213">
        <v>0</v>
      </c>
      <c r="R392" s="213"/>
      <c r="S392" s="213"/>
      <c r="T392" s="213"/>
      <c r="U392" s="213"/>
      <c r="V392" s="213"/>
      <c r="W392" s="213"/>
      <c r="X392" s="643"/>
      <c r="Y392" s="616">
        <f t="shared" si="23"/>
        <v>0</v>
      </c>
      <c r="Z392" s="633"/>
      <c r="AA392" s="636"/>
      <c r="AB392" s="636"/>
      <c r="AC392" s="7"/>
      <c r="AD392" s="704"/>
      <c r="AE392" s="7"/>
      <c r="AF392" s="618">
        <f t="shared" si="24"/>
        <v>0</v>
      </c>
      <c r="AG392" s="7"/>
      <c r="AH392" s="7"/>
      <c r="AI392" s="7"/>
      <c r="AJ392" s="7"/>
      <c r="AK392" s="7"/>
      <c r="AL392" s="7"/>
    </row>
    <row r="393" spans="1:38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4"/>
      <c r="F393" s="214"/>
      <c r="G393" s="215"/>
      <c r="H393" s="215"/>
      <c r="I393" s="215"/>
      <c r="J393" s="214"/>
      <c r="K393" s="214"/>
      <c r="L393" s="662"/>
      <c r="M393" s="213"/>
      <c r="N393" s="213"/>
      <c r="O393" s="215"/>
      <c r="P393" s="213"/>
      <c r="Q393" s="213">
        <v>0</v>
      </c>
      <c r="R393" s="213"/>
      <c r="S393" s="213"/>
      <c r="T393" s="213"/>
      <c r="U393" s="213"/>
      <c r="V393" s="213"/>
      <c r="W393" s="213"/>
      <c r="X393" s="643"/>
      <c r="Y393" s="616">
        <f t="shared" si="23"/>
        <v>0</v>
      </c>
      <c r="Z393" s="633"/>
      <c r="AA393" s="636"/>
      <c r="AB393" s="636"/>
      <c r="AC393" s="7"/>
      <c r="AD393" s="704"/>
      <c r="AE393" s="7"/>
      <c r="AF393" s="618">
        <f t="shared" si="24"/>
        <v>0</v>
      </c>
      <c r="AG393" s="7"/>
      <c r="AH393" s="7"/>
      <c r="AI393" s="7"/>
      <c r="AJ393" s="7"/>
      <c r="AK393" s="7"/>
      <c r="AL393" s="7"/>
    </row>
    <row r="394" spans="1:38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4"/>
      <c r="F394" s="214"/>
      <c r="G394" s="215"/>
      <c r="H394" s="215"/>
      <c r="I394" s="215"/>
      <c r="J394" s="214"/>
      <c r="K394" s="214"/>
      <c r="L394" s="620"/>
      <c r="M394" s="213"/>
      <c r="N394" s="213"/>
      <c r="O394" s="215"/>
      <c r="P394" s="213"/>
      <c r="Q394" s="213">
        <v>0</v>
      </c>
      <c r="R394" s="213"/>
      <c r="S394" s="213"/>
      <c r="T394" s="213"/>
      <c r="U394" s="213"/>
      <c r="V394" s="213"/>
      <c r="W394" s="213"/>
      <c r="X394" s="643"/>
      <c r="Y394" s="616">
        <f t="shared" si="23"/>
        <v>0</v>
      </c>
      <c r="Z394" s="633"/>
      <c r="AA394" s="634"/>
      <c r="AB394" s="634"/>
      <c r="AC394" s="7"/>
      <c r="AD394" s="704"/>
      <c r="AE394" s="7"/>
      <c r="AF394" s="618">
        <f t="shared" si="24"/>
        <v>0</v>
      </c>
      <c r="AG394" s="7"/>
      <c r="AH394" s="7"/>
      <c r="AI394" s="7"/>
      <c r="AJ394" s="7"/>
      <c r="AK394" s="7"/>
      <c r="AL394" s="7"/>
    </row>
    <row r="395" spans="1:38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4"/>
      <c r="F395" s="214"/>
      <c r="G395" s="215"/>
      <c r="H395" s="215"/>
      <c r="I395" s="215"/>
      <c r="J395" s="214"/>
      <c r="K395" s="214"/>
      <c r="L395" s="620"/>
      <c r="M395" s="213"/>
      <c r="N395" s="213"/>
      <c r="O395" s="215"/>
      <c r="P395" s="213"/>
      <c r="Q395" s="213">
        <v>0</v>
      </c>
      <c r="R395" s="213"/>
      <c r="S395" s="213"/>
      <c r="T395" s="213"/>
      <c r="U395" s="213"/>
      <c r="V395" s="213"/>
      <c r="W395" s="213"/>
      <c r="X395" s="643"/>
      <c r="Y395" s="616">
        <f t="shared" si="23"/>
        <v>0</v>
      </c>
      <c r="Z395" s="633"/>
      <c r="AA395" s="634"/>
      <c r="AB395" s="634"/>
      <c r="AC395" s="7"/>
      <c r="AD395" s="704"/>
      <c r="AE395" s="7"/>
      <c r="AF395" s="618">
        <f t="shared" si="24"/>
        <v>0</v>
      </c>
      <c r="AG395" s="7"/>
      <c r="AH395" s="7"/>
      <c r="AI395" s="7"/>
      <c r="AJ395" s="7"/>
      <c r="AK395" s="7"/>
      <c r="AL395" s="7"/>
    </row>
    <row r="396" spans="1:38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4"/>
      <c r="F396" s="214"/>
      <c r="G396" s="215"/>
      <c r="H396" s="215"/>
      <c r="I396" s="215"/>
      <c r="J396" s="214"/>
      <c r="K396" s="214"/>
      <c r="L396" s="620"/>
      <c r="M396" s="213"/>
      <c r="N396" s="213"/>
      <c r="O396" s="215"/>
      <c r="P396" s="213"/>
      <c r="Q396" s="213">
        <v>0</v>
      </c>
      <c r="R396" s="213"/>
      <c r="S396" s="213"/>
      <c r="T396" s="213"/>
      <c r="U396" s="213"/>
      <c r="V396" s="213"/>
      <c r="W396" s="213"/>
      <c r="X396" s="643"/>
      <c r="Y396" s="616">
        <f t="shared" si="23"/>
        <v>0</v>
      </c>
      <c r="Z396" s="633"/>
      <c r="AA396" s="634"/>
      <c r="AB396" s="634"/>
      <c r="AC396" s="7"/>
      <c r="AD396" s="704"/>
      <c r="AE396" s="7"/>
      <c r="AF396" s="618">
        <f t="shared" si="24"/>
        <v>0</v>
      </c>
      <c r="AG396" s="7"/>
      <c r="AH396" s="7"/>
      <c r="AI396" s="7"/>
      <c r="AJ396" s="7"/>
      <c r="AK396" s="7"/>
      <c r="AL396" s="7"/>
    </row>
    <row r="397" spans="1:38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4"/>
      <c r="F397" s="214"/>
      <c r="G397" s="215"/>
      <c r="H397" s="215"/>
      <c r="I397" s="215"/>
      <c r="J397" s="214"/>
      <c r="K397" s="214"/>
      <c r="L397" s="620"/>
      <c r="M397" s="213"/>
      <c r="N397" s="213"/>
      <c r="O397" s="215"/>
      <c r="P397" s="213"/>
      <c r="Q397" s="213">
        <v>0</v>
      </c>
      <c r="R397" s="213"/>
      <c r="S397" s="213"/>
      <c r="T397" s="213"/>
      <c r="U397" s="213"/>
      <c r="V397" s="213"/>
      <c r="W397" s="213"/>
      <c r="X397" s="643"/>
      <c r="Y397" s="616">
        <f t="shared" si="23"/>
        <v>0</v>
      </c>
      <c r="Z397" s="633"/>
      <c r="AA397" s="636"/>
      <c r="AB397" s="636"/>
      <c r="AC397" s="7"/>
      <c r="AD397" s="704"/>
      <c r="AE397" s="7"/>
      <c r="AF397" s="618">
        <f t="shared" si="24"/>
        <v>0</v>
      </c>
      <c r="AG397" s="7"/>
      <c r="AH397" s="7"/>
      <c r="AI397" s="7"/>
      <c r="AJ397" s="7"/>
      <c r="AK397" s="7"/>
      <c r="AL397" s="7"/>
    </row>
    <row r="398" spans="1:38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4"/>
      <c r="F398" s="214"/>
      <c r="G398" s="215"/>
      <c r="H398" s="215"/>
      <c r="I398" s="215"/>
      <c r="J398" s="214"/>
      <c r="K398" s="214"/>
      <c r="L398" s="620"/>
      <c r="M398" s="213"/>
      <c r="N398" s="213"/>
      <c r="O398" s="215"/>
      <c r="P398" s="213"/>
      <c r="Q398" s="213">
        <v>0</v>
      </c>
      <c r="R398" s="213"/>
      <c r="S398" s="213"/>
      <c r="T398" s="213"/>
      <c r="U398" s="213"/>
      <c r="V398" s="213"/>
      <c r="W398" s="213"/>
      <c r="X398" s="643"/>
      <c r="Y398" s="616">
        <f t="shared" si="23"/>
        <v>0</v>
      </c>
      <c r="Z398" s="633"/>
      <c r="AA398" s="634"/>
      <c r="AB398" s="634"/>
      <c r="AC398" s="7"/>
      <c r="AD398" s="704"/>
      <c r="AE398" s="7"/>
      <c r="AF398" s="618">
        <f t="shared" si="24"/>
        <v>0</v>
      </c>
      <c r="AG398" s="7"/>
      <c r="AH398" s="7"/>
      <c r="AI398" s="7"/>
      <c r="AJ398" s="7"/>
      <c r="AK398" s="7"/>
      <c r="AL398" s="7"/>
    </row>
    <row r="399" spans="1:38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4"/>
      <c r="F399" s="214"/>
      <c r="G399" s="215"/>
      <c r="H399" s="215"/>
      <c r="I399" s="215"/>
      <c r="J399" s="214"/>
      <c r="K399" s="214"/>
      <c r="L399" s="620"/>
      <c r="M399" s="213"/>
      <c r="N399" s="213"/>
      <c r="O399" s="215"/>
      <c r="P399" s="213"/>
      <c r="Q399" s="213">
        <v>0</v>
      </c>
      <c r="R399" s="213"/>
      <c r="S399" s="213"/>
      <c r="T399" s="213"/>
      <c r="U399" s="213"/>
      <c r="V399" s="213"/>
      <c r="W399" s="213"/>
      <c r="X399" s="643"/>
      <c r="Y399" s="616">
        <f t="shared" si="23"/>
        <v>0</v>
      </c>
      <c r="Z399" s="633"/>
      <c r="AA399" s="634"/>
      <c r="AB399" s="634"/>
      <c r="AC399" s="7"/>
      <c r="AD399" s="704"/>
      <c r="AE399" s="7"/>
      <c r="AF399" s="618">
        <f t="shared" si="24"/>
        <v>0</v>
      </c>
      <c r="AG399" s="7"/>
      <c r="AH399" s="7"/>
      <c r="AI399" s="7"/>
      <c r="AJ399" s="7"/>
      <c r="AK399" s="7"/>
      <c r="AL399" s="7"/>
    </row>
    <row r="400" spans="1:38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4"/>
      <c r="F400" s="214"/>
      <c r="G400" s="215"/>
      <c r="H400" s="215"/>
      <c r="I400" s="215"/>
      <c r="J400" s="214"/>
      <c r="K400" s="214"/>
      <c r="L400" s="620"/>
      <c r="M400" s="213"/>
      <c r="N400" s="213"/>
      <c r="O400" s="215"/>
      <c r="P400" s="213"/>
      <c r="Q400" s="213">
        <v>0</v>
      </c>
      <c r="R400" s="213"/>
      <c r="S400" s="213"/>
      <c r="T400" s="213"/>
      <c r="U400" s="213"/>
      <c r="V400" s="213"/>
      <c r="W400" s="213"/>
      <c r="X400" s="643"/>
      <c r="Y400" s="616">
        <f t="shared" si="23"/>
        <v>0</v>
      </c>
      <c r="Z400" s="633"/>
      <c r="AA400" s="636"/>
      <c r="AB400" s="636"/>
      <c r="AC400" s="7"/>
      <c r="AD400" s="704"/>
      <c r="AE400" s="7"/>
      <c r="AF400" s="618">
        <f t="shared" si="24"/>
        <v>0</v>
      </c>
      <c r="AG400" s="7"/>
      <c r="AH400" s="7"/>
      <c r="AI400" s="7"/>
      <c r="AJ400" s="7"/>
      <c r="AK400" s="7"/>
      <c r="AL400" s="7"/>
    </row>
    <row r="401" spans="1:38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4"/>
      <c r="F401" s="214"/>
      <c r="G401" s="215"/>
      <c r="H401" s="215"/>
      <c r="I401" s="215"/>
      <c r="J401" s="214"/>
      <c r="K401" s="214"/>
      <c r="L401" s="620"/>
      <c r="M401" s="213"/>
      <c r="N401" s="213"/>
      <c r="O401" s="215"/>
      <c r="P401" s="213"/>
      <c r="Q401" s="213">
        <v>0</v>
      </c>
      <c r="R401" s="213"/>
      <c r="S401" s="213"/>
      <c r="T401" s="213"/>
      <c r="U401" s="213"/>
      <c r="V401" s="213"/>
      <c r="W401" s="213"/>
      <c r="X401" s="643"/>
      <c r="Y401" s="616">
        <f t="shared" si="23"/>
        <v>0</v>
      </c>
      <c r="Z401" s="633"/>
      <c r="AA401" s="634"/>
      <c r="AB401" s="634"/>
      <c r="AC401" s="7"/>
      <c r="AD401" s="704"/>
      <c r="AE401" s="7"/>
      <c r="AF401" s="618">
        <f t="shared" si="24"/>
        <v>0</v>
      </c>
      <c r="AG401" s="7"/>
      <c r="AH401" s="7"/>
      <c r="AI401" s="7"/>
      <c r="AJ401" s="7"/>
      <c r="AK401" s="7"/>
      <c r="AL401" s="7"/>
    </row>
    <row r="402" spans="1:38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4"/>
      <c r="F402" s="214"/>
      <c r="G402" s="215"/>
      <c r="H402" s="215"/>
      <c r="I402" s="215"/>
      <c r="J402" s="214"/>
      <c r="K402" s="214"/>
      <c r="L402" s="620"/>
      <c r="M402" s="213"/>
      <c r="N402" s="213"/>
      <c r="O402" s="215"/>
      <c r="P402" s="213"/>
      <c r="Q402" s="213">
        <v>0</v>
      </c>
      <c r="R402" s="213"/>
      <c r="S402" s="213"/>
      <c r="T402" s="213"/>
      <c r="U402" s="213"/>
      <c r="V402" s="213"/>
      <c r="W402" s="213"/>
      <c r="X402" s="643"/>
      <c r="Y402" s="616">
        <f t="shared" si="23"/>
        <v>0</v>
      </c>
      <c r="Z402" s="633"/>
      <c r="AA402" s="634"/>
      <c r="AB402" s="634"/>
      <c r="AC402" s="7"/>
      <c r="AD402" s="704"/>
      <c r="AE402" s="7"/>
      <c r="AF402" s="618">
        <f t="shared" si="24"/>
        <v>0</v>
      </c>
      <c r="AG402" s="7"/>
      <c r="AH402" s="7"/>
      <c r="AI402" s="7"/>
      <c r="AJ402" s="7"/>
      <c r="AK402" s="7"/>
      <c r="AL402" s="7"/>
    </row>
    <row r="403" spans="1:38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4"/>
      <c r="F403" s="214"/>
      <c r="G403" s="215"/>
      <c r="H403" s="215"/>
      <c r="I403" s="215"/>
      <c r="J403" s="214"/>
      <c r="K403" s="214"/>
      <c r="L403" s="662"/>
      <c r="M403" s="213"/>
      <c r="N403" s="213"/>
      <c r="O403" s="215"/>
      <c r="P403" s="213"/>
      <c r="Q403" s="213">
        <v>0</v>
      </c>
      <c r="R403" s="213"/>
      <c r="S403" s="213"/>
      <c r="T403" s="213"/>
      <c r="U403" s="213"/>
      <c r="V403" s="213"/>
      <c r="W403" s="213"/>
      <c r="X403" s="643"/>
      <c r="Y403" s="616">
        <f t="shared" si="23"/>
        <v>0</v>
      </c>
      <c r="Z403" s="633"/>
      <c r="AA403" s="634"/>
      <c r="AB403" s="634"/>
      <c r="AC403" s="7"/>
      <c r="AD403" s="704"/>
      <c r="AE403" s="7"/>
      <c r="AF403" s="618">
        <f t="shared" si="24"/>
        <v>0</v>
      </c>
      <c r="AG403" s="7"/>
      <c r="AH403" s="7"/>
      <c r="AI403" s="7"/>
      <c r="AJ403" s="7"/>
      <c r="AK403" s="7"/>
      <c r="AL403" s="7"/>
    </row>
    <row r="404" spans="1:38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4"/>
      <c r="F404" s="214"/>
      <c r="G404" s="215"/>
      <c r="H404" s="215"/>
      <c r="I404" s="215"/>
      <c r="J404" s="214"/>
      <c r="K404" s="214"/>
      <c r="L404" s="662"/>
      <c r="M404" s="213"/>
      <c r="N404" s="213"/>
      <c r="O404" s="215"/>
      <c r="P404" s="213"/>
      <c r="Q404" s="213">
        <v>0</v>
      </c>
      <c r="R404" s="213"/>
      <c r="S404" s="213"/>
      <c r="T404" s="213"/>
      <c r="U404" s="213"/>
      <c r="V404" s="213"/>
      <c r="W404" s="213"/>
      <c r="X404" s="643"/>
      <c r="Y404" s="616">
        <f t="shared" si="23"/>
        <v>0</v>
      </c>
      <c r="Z404" s="633"/>
      <c r="AA404" s="640"/>
      <c r="AB404" s="640"/>
      <c r="AC404" s="7"/>
      <c r="AD404" s="704"/>
      <c r="AE404" s="7"/>
      <c r="AF404" s="618">
        <f t="shared" si="24"/>
        <v>0</v>
      </c>
      <c r="AG404" s="7"/>
      <c r="AH404" s="7"/>
      <c r="AI404" s="7"/>
      <c r="AJ404" s="7"/>
      <c r="AK404" s="7"/>
      <c r="AL404" s="7"/>
    </row>
    <row r="405" spans="1:38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4"/>
      <c r="F405" s="214"/>
      <c r="G405" s="215"/>
      <c r="H405" s="215"/>
      <c r="I405" s="215"/>
      <c r="J405" s="214"/>
      <c r="K405" s="214"/>
      <c r="L405" s="662"/>
      <c r="M405" s="213"/>
      <c r="N405" s="213"/>
      <c r="O405" s="215"/>
      <c r="P405" s="213"/>
      <c r="Q405" s="213">
        <v>0</v>
      </c>
      <c r="R405" s="213"/>
      <c r="S405" s="213"/>
      <c r="T405" s="213"/>
      <c r="U405" s="213"/>
      <c r="V405" s="213"/>
      <c r="W405" s="213"/>
      <c r="X405" s="643"/>
      <c r="Y405" s="616">
        <f t="shared" si="23"/>
        <v>0</v>
      </c>
      <c r="Z405" s="633"/>
      <c r="AA405" s="636"/>
      <c r="AB405" s="636"/>
      <c r="AC405" s="7"/>
      <c r="AD405" s="704"/>
      <c r="AE405" s="7"/>
      <c r="AF405" s="618">
        <f t="shared" si="24"/>
        <v>0</v>
      </c>
      <c r="AG405" s="7"/>
      <c r="AH405" s="7"/>
      <c r="AI405" s="7"/>
      <c r="AJ405" s="7"/>
      <c r="AK405" s="7"/>
      <c r="AL405" s="7"/>
    </row>
    <row r="406" spans="1:38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4"/>
      <c r="F406" s="214"/>
      <c r="G406" s="215"/>
      <c r="H406" s="215"/>
      <c r="I406" s="215"/>
      <c r="J406" s="214"/>
      <c r="K406" s="214"/>
      <c r="L406" s="662"/>
      <c r="M406" s="213"/>
      <c r="N406" s="213"/>
      <c r="O406" s="215"/>
      <c r="P406" s="213"/>
      <c r="Q406" s="213">
        <v>0</v>
      </c>
      <c r="R406" s="213"/>
      <c r="S406" s="213"/>
      <c r="T406" s="213"/>
      <c r="U406" s="213"/>
      <c r="V406" s="213"/>
      <c r="W406" s="213"/>
      <c r="X406" s="643"/>
      <c r="Y406" s="616">
        <f t="shared" si="23"/>
        <v>0</v>
      </c>
      <c r="Z406" s="633"/>
      <c r="AA406" s="636"/>
      <c r="AB406" s="636"/>
      <c r="AC406" s="7"/>
      <c r="AD406" s="704"/>
      <c r="AE406" s="7"/>
      <c r="AF406" s="618">
        <f t="shared" si="24"/>
        <v>0</v>
      </c>
      <c r="AG406" s="7"/>
      <c r="AH406" s="7"/>
      <c r="AI406" s="7"/>
      <c r="AJ406" s="7"/>
      <c r="AK406" s="7"/>
      <c r="AL406" s="7"/>
    </row>
    <row r="407" spans="1:38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4"/>
      <c r="F407" s="214"/>
      <c r="G407" s="215"/>
      <c r="H407" s="215"/>
      <c r="I407" s="215"/>
      <c r="J407" s="214"/>
      <c r="K407" s="214"/>
      <c r="L407" s="662"/>
      <c r="M407" s="213"/>
      <c r="N407" s="213"/>
      <c r="O407" s="215"/>
      <c r="P407" s="213"/>
      <c r="Q407" s="213">
        <v>0</v>
      </c>
      <c r="R407" s="213"/>
      <c r="S407" s="213"/>
      <c r="T407" s="213"/>
      <c r="U407" s="213"/>
      <c r="V407" s="213"/>
      <c r="W407" s="213"/>
      <c r="X407" s="643"/>
      <c r="Y407" s="616">
        <f t="shared" si="23"/>
        <v>0</v>
      </c>
      <c r="Z407" s="633"/>
      <c r="AA407" s="636"/>
      <c r="AB407" s="636"/>
      <c r="AC407" s="7"/>
      <c r="AD407" s="704"/>
      <c r="AE407" s="7"/>
      <c r="AF407" s="618">
        <f t="shared" si="24"/>
        <v>0</v>
      </c>
      <c r="AG407" s="7"/>
      <c r="AH407" s="7"/>
      <c r="AI407" s="7"/>
      <c r="AJ407" s="7"/>
      <c r="AK407" s="7"/>
      <c r="AL407" s="7"/>
    </row>
    <row r="408" spans="1:38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4"/>
      <c r="F408" s="214"/>
      <c r="G408" s="215"/>
      <c r="H408" s="215"/>
      <c r="I408" s="215"/>
      <c r="J408" s="214"/>
      <c r="K408" s="214"/>
      <c r="L408" s="662"/>
      <c r="M408" s="213"/>
      <c r="N408" s="213"/>
      <c r="O408" s="215"/>
      <c r="P408" s="213"/>
      <c r="Q408" s="213">
        <v>0</v>
      </c>
      <c r="R408" s="213"/>
      <c r="S408" s="213"/>
      <c r="T408" s="213"/>
      <c r="U408" s="213"/>
      <c r="V408" s="213"/>
      <c r="W408" s="213"/>
      <c r="X408" s="643"/>
      <c r="Y408" s="616">
        <f t="shared" si="23"/>
        <v>0</v>
      </c>
      <c r="Z408" s="633"/>
      <c r="AA408" s="636"/>
      <c r="AB408" s="636"/>
      <c r="AC408" s="7"/>
      <c r="AD408" s="704"/>
      <c r="AE408" s="7"/>
      <c r="AF408" s="618">
        <f t="shared" si="24"/>
        <v>0</v>
      </c>
      <c r="AG408" s="7"/>
      <c r="AH408" s="7"/>
      <c r="AI408" s="7"/>
      <c r="AJ408" s="7"/>
      <c r="AK408" s="7"/>
      <c r="AL408" s="7"/>
    </row>
    <row r="409" spans="1:38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4"/>
      <c r="F409" s="214"/>
      <c r="G409" s="215"/>
      <c r="H409" s="215"/>
      <c r="I409" s="215"/>
      <c r="J409" s="214"/>
      <c r="K409" s="214"/>
      <c r="L409" s="662"/>
      <c r="M409" s="213"/>
      <c r="N409" s="213"/>
      <c r="O409" s="215"/>
      <c r="P409" s="213"/>
      <c r="Q409" s="213">
        <v>0</v>
      </c>
      <c r="R409" s="213"/>
      <c r="S409" s="213"/>
      <c r="T409" s="213"/>
      <c r="U409" s="213"/>
      <c r="V409" s="213"/>
      <c r="W409" s="213"/>
      <c r="X409" s="643"/>
      <c r="Y409" s="616">
        <f t="shared" si="23"/>
        <v>0</v>
      </c>
      <c r="Z409" s="633"/>
      <c r="AA409" s="636"/>
      <c r="AB409" s="636"/>
      <c r="AC409" s="7"/>
      <c r="AD409" s="704"/>
      <c r="AE409" s="7"/>
      <c r="AF409" s="618">
        <f t="shared" si="24"/>
        <v>0</v>
      </c>
      <c r="AG409" s="7"/>
      <c r="AH409" s="7"/>
      <c r="AI409" s="7"/>
      <c r="AJ409" s="7"/>
      <c r="AK409" s="7"/>
      <c r="AL409" s="7"/>
    </row>
    <row r="410" spans="1:38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4"/>
      <c r="F410" s="214"/>
      <c r="G410" s="215"/>
      <c r="H410" s="215"/>
      <c r="I410" s="215"/>
      <c r="J410" s="214"/>
      <c r="K410" s="214"/>
      <c r="L410" s="662"/>
      <c r="M410" s="213"/>
      <c r="N410" s="213"/>
      <c r="O410" s="215"/>
      <c r="P410" s="213"/>
      <c r="Q410" s="213">
        <v>0</v>
      </c>
      <c r="R410" s="213"/>
      <c r="S410" s="213"/>
      <c r="T410" s="213"/>
      <c r="U410" s="213"/>
      <c r="V410" s="213"/>
      <c r="W410" s="213"/>
      <c r="X410" s="643"/>
      <c r="Y410" s="616">
        <f t="shared" si="23"/>
        <v>0</v>
      </c>
      <c r="Z410" s="633"/>
      <c r="AA410" s="636"/>
      <c r="AB410" s="636"/>
      <c r="AC410" s="7"/>
      <c r="AD410" s="704"/>
      <c r="AE410" s="7"/>
      <c r="AF410" s="618">
        <f t="shared" si="24"/>
        <v>0</v>
      </c>
      <c r="AG410" s="7"/>
      <c r="AH410" s="7"/>
      <c r="AI410" s="7"/>
      <c r="AJ410" s="7"/>
      <c r="AK410" s="7"/>
      <c r="AL410" s="7"/>
    </row>
    <row r="411" spans="1:38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4"/>
      <c r="F411" s="214"/>
      <c r="G411" s="215"/>
      <c r="H411" s="215"/>
      <c r="I411" s="215"/>
      <c r="J411" s="214"/>
      <c r="K411" s="214"/>
      <c r="L411" s="662"/>
      <c r="M411" s="213"/>
      <c r="N411" s="213"/>
      <c r="O411" s="215"/>
      <c r="P411" s="213"/>
      <c r="Q411" s="213">
        <v>0</v>
      </c>
      <c r="R411" s="213"/>
      <c r="S411" s="213"/>
      <c r="T411" s="213"/>
      <c r="U411" s="213"/>
      <c r="V411" s="213"/>
      <c r="W411" s="213"/>
      <c r="X411" s="643"/>
      <c r="Y411" s="616">
        <f t="shared" si="23"/>
        <v>0</v>
      </c>
      <c r="Z411" s="633"/>
      <c r="AA411" s="636"/>
      <c r="AB411" s="636"/>
      <c r="AC411" s="7"/>
      <c r="AD411" s="704"/>
      <c r="AE411" s="7"/>
      <c r="AF411" s="618">
        <f t="shared" si="24"/>
        <v>0</v>
      </c>
      <c r="AG411" s="7"/>
      <c r="AH411" s="7"/>
      <c r="AI411" s="7"/>
      <c r="AJ411" s="7"/>
      <c r="AK411" s="7"/>
      <c r="AL411" s="7"/>
    </row>
    <row r="412" spans="1:38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4"/>
      <c r="F412" s="214"/>
      <c r="G412" s="215"/>
      <c r="H412" s="215"/>
      <c r="I412" s="215"/>
      <c r="J412" s="214"/>
      <c r="K412" s="214"/>
      <c r="L412" s="662"/>
      <c r="M412" s="213"/>
      <c r="N412" s="213"/>
      <c r="O412" s="215"/>
      <c r="P412" s="213"/>
      <c r="Q412" s="213">
        <v>0</v>
      </c>
      <c r="R412" s="213"/>
      <c r="S412" s="213"/>
      <c r="T412" s="213"/>
      <c r="U412" s="213"/>
      <c r="V412" s="213"/>
      <c r="W412" s="213"/>
      <c r="X412" s="643"/>
      <c r="Y412" s="616">
        <f t="shared" si="23"/>
        <v>0</v>
      </c>
      <c r="Z412" s="633"/>
      <c r="AA412" s="636"/>
      <c r="AB412" s="636"/>
      <c r="AC412" s="7"/>
      <c r="AD412" s="704"/>
      <c r="AE412" s="7"/>
      <c r="AF412" s="618">
        <f t="shared" si="24"/>
        <v>0</v>
      </c>
      <c r="AG412" s="7"/>
      <c r="AH412" s="7"/>
      <c r="AI412" s="7"/>
      <c r="AJ412" s="7"/>
      <c r="AK412" s="7"/>
      <c r="AL412" s="7"/>
    </row>
    <row r="413" spans="1:38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4"/>
      <c r="F413" s="214"/>
      <c r="G413" s="215"/>
      <c r="H413" s="215"/>
      <c r="I413" s="215"/>
      <c r="J413" s="214"/>
      <c r="K413" s="214"/>
      <c r="L413" s="662"/>
      <c r="M413" s="213"/>
      <c r="N413" s="213"/>
      <c r="O413" s="215"/>
      <c r="P413" s="213"/>
      <c r="Q413" s="213">
        <v>0</v>
      </c>
      <c r="R413" s="213"/>
      <c r="S413" s="213"/>
      <c r="T413" s="213"/>
      <c r="U413" s="213"/>
      <c r="V413" s="213"/>
      <c r="W413" s="213"/>
      <c r="X413" s="643"/>
      <c r="Y413" s="616">
        <f t="shared" si="23"/>
        <v>0</v>
      </c>
      <c r="Z413" s="633"/>
      <c r="AA413" s="636"/>
      <c r="AB413" s="636"/>
      <c r="AC413" s="7"/>
      <c r="AD413" s="704"/>
      <c r="AE413" s="7"/>
      <c r="AF413" s="618">
        <f t="shared" si="24"/>
        <v>0</v>
      </c>
      <c r="AG413" s="7"/>
      <c r="AH413" s="7"/>
      <c r="AI413" s="7"/>
      <c r="AJ413" s="7"/>
      <c r="AK413" s="7"/>
      <c r="AL413" s="7"/>
    </row>
    <row r="414" spans="1:38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4"/>
      <c r="F414" s="214"/>
      <c r="G414" s="215"/>
      <c r="H414" s="215"/>
      <c r="I414" s="215"/>
      <c r="J414" s="214"/>
      <c r="K414" s="214"/>
      <c r="L414" s="662"/>
      <c r="M414" s="213"/>
      <c r="N414" s="213"/>
      <c r="O414" s="215"/>
      <c r="P414" s="213"/>
      <c r="Q414" s="213">
        <v>0</v>
      </c>
      <c r="R414" s="213"/>
      <c r="S414" s="213"/>
      <c r="T414" s="213"/>
      <c r="U414" s="213"/>
      <c r="V414" s="213"/>
      <c r="W414" s="213"/>
      <c r="X414" s="643"/>
      <c r="Y414" s="616">
        <f t="shared" si="23"/>
        <v>0</v>
      </c>
      <c r="Z414" s="633"/>
      <c r="AA414" s="636"/>
      <c r="AB414" s="636"/>
      <c r="AC414" s="7"/>
      <c r="AD414" s="704"/>
      <c r="AE414" s="7"/>
      <c r="AF414" s="618">
        <f t="shared" si="24"/>
        <v>0</v>
      </c>
      <c r="AG414" s="7"/>
      <c r="AH414" s="7"/>
      <c r="AI414" s="7"/>
      <c r="AJ414" s="7"/>
      <c r="AK414" s="7"/>
      <c r="AL414" s="7"/>
    </row>
    <row r="415" spans="1:38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4"/>
      <c r="F415" s="214"/>
      <c r="G415" s="215"/>
      <c r="H415" s="215"/>
      <c r="I415" s="215"/>
      <c r="J415" s="214"/>
      <c r="K415" s="214"/>
      <c r="L415" s="662"/>
      <c r="M415" s="213"/>
      <c r="N415" s="213"/>
      <c r="O415" s="215"/>
      <c r="P415" s="213"/>
      <c r="Q415" s="213">
        <v>0</v>
      </c>
      <c r="R415" s="213"/>
      <c r="S415" s="213"/>
      <c r="T415" s="213"/>
      <c r="U415" s="213"/>
      <c r="V415" s="213"/>
      <c r="W415" s="213"/>
      <c r="X415" s="643"/>
      <c r="Y415" s="616">
        <f t="shared" si="23"/>
        <v>0</v>
      </c>
      <c r="Z415" s="633"/>
      <c r="AA415" s="636"/>
      <c r="AB415" s="636"/>
      <c r="AC415" s="7"/>
      <c r="AD415" s="704"/>
      <c r="AE415" s="7"/>
      <c r="AF415" s="618">
        <f t="shared" si="24"/>
        <v>0</v>
      </c>
      <c r="AG415" s="7"/>
      <c r="AH415" s="7"/>
      <c r="AI415" s="7"/>
      <c r="AJ415" s="7"/>
      <c r="AK415" s="7"/>
      <c r="AL415" s="7"/>
    </row>
    <row r="416" spans="1:38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4"/>
      <c r="F416" s="214"/>
      <c r="G416" s="215"/>
      <c r="H416" s="215"/>
      <c r="I416" s="215"/>
      <c r="J416" s="214"/>
      <c r="K416" s="214"/>
      <c r="L416" s="662"/>
      <c r="M416" s="213"/>
      <c r="N416" s="213"/>
      <c r="O416" s="215"/>
      <c r="P416" s="213"/>
      <c r="Q416" s="213">
        <v>0</v>
      </c>
      <c r="R416" s="213"/>
      <c r="S416" s="213"/>
      <c r="T416" s="213"/>
      <c r="U416" s="213"/>
      <c r="V416" s="213"/>
      <c r="W416" s="213"/>
      <c r="X416" s="643"/>
      <c r="Y416" s="616">
        <f t="shared" si="23"/>
        <v>0</v>
      </c>
      <c r="Z416" s="633"/>
      <c r="AA416" s="636"/>
      <c r="AB416" s="636"/>
      <c r="AC416" s="7"/>
      <c r="AD416" s="704"/>
      <c r="AE416" s="7"/>
      <c r="AF416" s="618">
        <f t="shared" si="24"/>
        <v>0</v>
      </c>
      <c r="AG416" s="7"/>
      <c r="AH416" s="7"/>
      <c r="AI416" s="7"/>
      <c r="AJ416" s="7"/>
      <c r="AK416" s="7"/>
      <c r="AL416" s="7"/>
    </row>
    <row r="417" spans="1:38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4"/>
      <c r="F417" s="214"/>
      <c r="G417" s="215"/>
      <c r="H417" s="215"/>
      <c r="I417" s="215"/>
      <c r="J417" s="214"/>
      <c r="K417" s="214"/>
      <c r="L417" s="662"/>
      <c r="M417" s="213"/>
      <c r="N417" s="213"/>
      <c r="O417" s="215"/>
      <c r="P417" s="213"/>
      <c r="Q417" s="213">
        <v>0</v>
      </c>
      <c r="R417" s="213"/>
      <c r="S417" s="213"/>
      <c r="T417" s="213"/>
      <c r="U417" s="213"/>
      <c r="V417" s="213"/>
      <c r="W417" s="213"/>
      <c r="X417" s="643"/>
      <c r="Y417" s="616">
        <f t="shared" si="23"/>
        <v>0</v>
      </c>
      <c r="Z417" s="633"/>
      <c r="AA417" s="636"/>
      <c r="AB417" s="636"/>
      <c r="AC417" s="7"/>
      <c r="AD417" s="704"/>
      <c r="AE417" s="7"/>
      <c r="AF417" s="618">
        <f t="shared" si="24"/>
        <v>0</v>
      </c>
      <c r="AG417" s="7"/>
      <c r="AH417" s="7"/>
      <c r="AI417" s="7"/>
      <c r="AJ417" s="7"/>
      <c r="AK417" s="7"/>
      <c r="AL417" s="7"/>
    </row>
    <row r="418" spans="1:38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4"/>
      <c r="F418" s="214"/>
      <c r="G418" s="215"/>
      <c r="H418" s="215"/>
      <c r="I418" s="215"/>
      <c r="J418" s="214"/>
      <c r="K418" s="214"/>
      <c r="L418" s="662"/>
      <c r="M418" s="213"/>
      <c r="N418" s="213"/>
      <c r="O418" s="215"/>
      <c r="P418" s="213"/>
      <c r="Q418" s="213">
        <v>0</v>
      </c>
      <c r="R418" s="213"/>
      <c r="S418" s="213"/>
      <c r="T418" s="213"/>
      <c r="U418" s="213"/>
      <c r="V418" s="213"/>
      <c r="W418" s="213"/>
      <c r="X418" s="643"/>
      <c r="Y418" s="616">
        <f t="shared" si="23"/>
        <v>0</v>
      </c>
      <c r="Z418" s="633"/>
      <c r="AA418" s="636"/>
      <c r="AB418" s="636"/>
      <c r="AC418" s="7"/>
      <c r="AD418" s="704"/>
      <c r="AE418" s="7"/>
      <c r="AF418" s="618">
        <f t="shared" si="24"/>
        <v>0</v>
      </c>
      <c r="AG418" s="7"/>
      <c r="AH418" s="7"/>
      <c r="AI418" s="7"/>
      <c r="AJ418" s="7"/>
      <c r="AK418" s="7"/>
      <c r="AL418" s="7"/>
    </row>
    <row r="419" spans="1:38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4"/>
      <c r="F419" s="214"/>
      <c r="G419" s="215"/>
      <c r="H419" s="215"/>
      <c r="I419" s="215"/>
      <c r="J419" s="214"/>
      <c r="K419" s="214"/>
      <c r="L419" s="662"/>
      <c r="M419" s="213"/>
      <c r="N419" s="213"/>
      <c r="O419" s="215"/>
      <c r="P419" s="213"/>
      <c r="Q419" s="213">
        <v>0</v>
      </c>
      <c r="R419" s="213"/>
      <c r="S419" s="213"/>
      <c r="T419" s="213"/>
      <c r="U419" s="213"/>
      <c r="V419" s="213"/>
      <c r="W419" s="213"/>
      <c r="X419" s="643"/>
      <c r="Y419" s="616">
        <f t="shared" si="23"/>
        <v>0</v>
      </c>
      <c r="Z419" s="633"/>
      <c r="AA419" s="636"/>
      <c r="AB419" s="636"/>
      <c r="AC419" s="7"/>
      <c r="AD419" s="704"/>
      <c r="AE419" s="7"/>
      <c r="AF419" s="618">
        <f t="shared" si="24"/>
        <v>0</v>
      </c>
      <c r="AG419" s="7"/>
      <c r="AH419" s="7"/>
      <c r="AI419" s="7"/>
      <c r="AJ419" s="7"/>
      <c r="AK419" s="7"/>
      <c r="AL419" s="7"/>
    </row>
    <row r="420" spans="1:38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4"/>
      <c r="F420" s="214"/>
      <c r="G420" s="215"/>
      <c r="H420" s="215"/>
      <c r="I420" s="215"/>
      <c r="J420" s="214"/>
      <c r="K420" s="214"/>
      <c r="L420" s="662"/>
      <c r="M420" s="213"/>
      <c r="N420" s="213"/>
      <c r="O420" s="215"/>
      <c r="P420" s="213"/>
      <c r="Q420" s="213">
        <v>0</v>
      </c>
      <c r="R420" s="213"/>
      <c r="S420" s="213"/>
      <c r="T420" s="213"/>
      <c r="U420" s="213"/>
      <c r="V420" s="213"/>
      <c r="W420" s="213"/>
      <c r="X420" s="643"/>
      <c r="Y420" s="616">
        <f t="shared" si="23"/>
        <v>0</v>
      </c>
      <c r="Z420" s="633"/>
      <c r="AA420" s="636"/>
      <c r="AB420" s="636"/>
      <c r="AC420" s="7"/>
      <c r="AD420" s="704"/>
      <c r="AE420" s="7"/>
      <c r="AF420" s="618">
        <f t="shared" si="24"/>
        <v>0</v>
      </c>
      <c r="AG420" s="7"/>
      <c r="AH420" s="7"/>
      <c r="AI420" s="7"/>
      <c r="AJ420" s="7"/>
      <c r="AK420" s="7"/>
      <c r="AL420" s="7"/>
    </row>
    <row r="421" spans="1:38" ht="39" customHeight="1">
      <c r="A421" s="489">
        <v>10</v>
      </c>
      <c r="B421" s="490" t="s">
        <v>915</v>
      </c>
      <c r="C421" s="637" t="s">
        <v>916</v>
      </c>
      <c r="D421" s="516"/>
      <c r="E421" s="214"/>
      <c r="F421" s="214"/>
      <c r="G421" s="215"/>
      <c r="H421" s="215"/>
      <c r="I421" s="215"/>
      <c r="J421" s="214"/>
      <c r="K421" s="214"/>
      <c r="L421" s="662"/>
      <c r="M421" s="213"/>
      <c r="N421" s="213"/>
      <c r="O421" s="215"/>
      <c r="P421" s="213"/>
      <c r="Q421" s="213">
        <v>0</v>
      </c>
      <c r="R421" s="213"/>
      <c r="S421" s="213"/>
      <c r="T421" s="213"/>
      <c r="U421" s="213"/>
      <c r="V421" s="213"/>
      <c r="W421" s="213"/>
      <c r="X421" s="643"/>
      <c r="Y421" s="616">
        <f t="shared" si="23"/>
        <v>0</v>
      </c>
      <c r="Z421" s="633"/>
      <c r="AA421" s="640"/>
      <c r="AB421" s="640"/>
      <c r="AC421" s="7"/>
      <c r="AD421" s="704"/>
      <c r="AE421" s="7"/>
      <c r="AF421" s="618">
        <f t="shared" si="24"/>
        <v>0</v>
      </c>
      <c r="AG421" s="7"/>
      <c r="AH421" s="7"/>
      <c r="AI421" s="7"/>
      <c r="AJ421" s="7"/>
      <c r="AK421" s="7"/>
      <c r="AL421" s="7"/>
    </row>
    <row r="422" spans="1:38" ht="15.75" customHeight="1">
      <c r="A422" s="482"/>
      <c r="B422" s="496" t="s">
        <v>918</v>
      </c>
      <c r="C422" s="555" t="s">
        <v>919</v>
      </c>
      <c r="D422" s="527" t="s">
        <v>271</v>
      </c>
      <c r="E422" s="214"/>
      <c r="F422" s="214"/>
      <c r="G422" s="215"/>
      <c r="H422" s="215"/>
      <c r="I422" s="215"/>
      <c r="J422" s="214"/>
      <c r="K422" s="214"/>
      <c r="L422" s="672"/>
      <c r="M422" s="213"/>
      <c r="N422" s="213"/>
      <c r="O422" s="215"/>
      <c r="P422" s="213"/>
      <c r="Q422" s="213">
        <v>0</v>
      </c>
      <c r="R422" s="213"/>
      <c r="S422" s="213"/>
      <c r="T422" s="213"/>
      <c r="U422" s="213"/>
      <c r="V422" s="213"/>
      <c r="W422" s="213"/>
      <c r="X422" s="643"/>
      <c r="Y422" s="616">
        <f t="shared" si="23"/>
        <v>0</v>
      </c>
      <c r="Z422" s="633"/>
      <c r="AA422" s="634"/>
      <c r="AB422" s="634"/>
      <c r="AC422" s="7"/>
      <c r="AD422" s="704"/>
      <c r="AE422" s="7"/>
      <c r="AF422" s="618">
        <f t="shared" si="24"/>
        <v>0</v>
      </c>
      <c r="AG422" s="7"/>
      <c r="AH422" s="7"/>
      <c r="AI422" s="7"/>
      <c r="AJ422" s="7"/>
      <c r="AK422" s="7"/>
      <c r="AL422" s="7"/>
    </row>
    <row r="423" spans="1:38" ht="21" customHeight="1">
      <c r="A423" s="482"/>
      <c r="B423" s="496" t="s">
        <v>920</v>
      </c>
      <c r="C423" s="555" t="s">
        <v>921</v>
      </c>
      <c r="D423" s="527" t="s">
        <v>271</v>
      </c>
      <c r="E423" s="214"/>
      <c r="F423" s="214"/>
      <c r="G423" s="215"/>
      <c r="H423" s="215"/>
      <c r="I423" s="215"/>
      <c r="J423" s="214"/>
      <c r="K423" s="214"/>
      <c r="L423" s="672"/>
      <c r="M423" s="213"/>
      <c r="N423" s="213"/>
      <c r="O423" s="215"/>
      <c r="P423" s="213"/>
      <c r="Q423" s="213">
        <v>0</v>
      </c>
      <c r="R423" s="213"/>
      <c r="S423" s="213"/>
      <c r="T423" s="213"/>
      <c r="U423" s="213"/>
      <c r="V423" s="213"/>
      <c r="W423" s="213"/>
      <c r="X423" s="643"/>
      <c r="Y423" s="616">
        <f t="shared" si="23"/>
        <v>0</v>
      </c>
      <c r="Z423" s="633"/>
      <c r="AA423" s="634"/>
      <c r="AB423" s="634"/>
      <c r="AC423" s="7"/>
      <c r="AD423" s="704"/>
      <c r="AE423" s="7"/>
      <c r="AF423" s="618">
        <f t="shared" si="24"/>
        <v>0</v>
      </c>
      <c r="AG423" s="7"/>
      <c r="AH423" s="7"/>
      <c r="AI423" s="7"/>
      <c r="AJ423" s="7"/>
      <c r="AK423" s="7"/>
      <c r="AL423" s="7"/>
    </row>
    <row r="424" spans="1:38" ht="21" customHeight="1">
      <c r="A424" s="482"/>
      <c r="B424" s="496" t="s">
        <v>922</v>
      </c>
      <c r="C424" s="555" t="s">
        <v>923</v>
      </c>
      <c r="D424" s="527" t="s">
        <v>122</v>
      </c>
      <c r="E424" s="214"/>
      <c r="F424" s="214"/>
      <c r="G424" s="215"/>
      <c r="H424" s="215"/>
      <c r="I424" s="215"/>
      <c r="J424" s="214"/>
      <c r="K424" s="214"/>
      <c r="L424" s="672"/>
      <c r="M424" s="213"/>
      <c r="N424" s="213"/>
      <c r="O424" s="215"/>
      <c r="P424" s="213"/>
      <c r="Q424" s="213">
        <v>0</v>
      </c>
      <c r="R424" s="213"/>
      <c r="S424" s="213"/>
      <c r="T424" s="213"/>
      <c r="U424" s="213"/>
      <c r="V424" s="213"/>
      <c r="W424" s="213"/>
      <c r="X424" s="643"/>
      <c r="Y424" s="616">
        <f t="shared" si="23"/>
        <v>0</v>
      </c>
      <c r="Z424" s="633"/>
      <c r="AA424" s="634"/>
      <c r="AB424" s="634"/>
      <c r="AC424" s="7"/>
      <c r="AD424" s="704"/>
      <c r="AE424" s="7"/>
      <c r="AF424" s="618">
        <f t="shared" si="24"/>
        <v>0</v>
      </c>
      <c r="AG424" s="7"/>
      <c r="AH424" s="7"/>
      <c r="AI424" s="7"/>
      <c r="AJ424" s="7"/>
      <c r="AK424" s="7"/>
      <c r="AL424" s="7"/>
    </row>
    <row r="425" spans="1:38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4"/>
      <c r="F425" s="214"/>
      <c r="G425" s="215"/>
      <c r="H425" s="215"/>
      <c r="I425" s="215"/>
      <c r="J425" s="214"/>
      <c r="K425" s="214"/>
      <c r="L425" s="672"/>
      <c r="M425" s="213"/>
      <c r="N425" s="213"/>
      <c r="O425" s="215"/>
      <c r="P425" s="213"/>
      <c r="Q425" s="213">
        <v>3</v>
      </c>
      <c r="R425" s="213"/>
      <c r="S425" s="213"/>
      <c r="T425" s="213"/>
      <c r="U425" s="213"/>
      <c r="V425" s="213"/>
      <c r="W425" s="213"/>
      <c r="X425" s="643"/>
      <c r="Y425" s="616">
        <f t="shared" si="23"/>
        <v>3</v>
      </c>
      <c r="Z425" s="633"/>
      <c r="AA425" s="636"/>
      <c r="AB425" s="636"/>
      <c r="AC425" s="7"/>
      <c r="AD425" s="704">
        <v>3</v>
      </c>
      <c r="AE425" s="7"/>
      <c r="AF425" s="618">
        <f t="shared" si="24"/>
        <v>0</v>
      </c>
      <c r="AG425" s="7"/>
      <c r="AH425" s="7"/>
      <c r="AI425" s="7"/>
      <c r="AJ425" s="7"/>
      <c r="AK425" s="7"/>
      <c r="AL425" s="7"/>
    </row>
    <row r="426" spans="1:38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4"/>
      <c r="F426" s="214"/>
      <c r="G426" s="215"/>
      <c r="H426" s="215"/>
      <c r="I426" s="215"/>
      <c r="J426" s="214"/>
      <c r="K426" s="214"/>
      <c r="L426" s="662"/>
      <c r="M426" s="213"/>
      <c r="N426" s="213"/>
      <c r="O426" s="215"/>
      <c r="P426" s="213"/>
      <c r="Q426" s="213">
        <v>0</v>
      </c>
      <c r="R426" s="213"/>
      <c r="S426" s="213"/>
      <c r="T426" s="213"/>
      <c r="U426" s="213"/>
      <c r="V426" s="213"/>
      <c r="W426" s="213"/>
      <c r="X426" s="643"/>
      <c r="Y426" s="616">
        <f t="shared" si="23"/>
        <v>0</v>
      </c>
      <c r="Z426" s="633"/>
      <c r="AA426" s="634"/>
      <c r="AB426" s="634"/>
      <c r="AC426" s="7"/>
      <c r="AD426" s="704"/>
      <c r="AE426" s="7"/>
      <c r="AF426" s="618">
        <f t="shared" si="24"/>
        <v>0</v>
      </c>
      <c r="AG426" s="7"/>
      <c r="AH426" s="7"/>
      <c r="AI426" s="7"/>
      <c r="AJ426" s="7"/>
      <c r="AK426" s="7"/>
      <c r="AL426" s="7"/>
    </row>
    <row r="427" spans="1:38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4"/>
      <c r="F427" s="214"/>
      <c r="G427" s="215"/>
      <c r="H427" s="215"/>
      <c r="I427" s="215"/>
      <c r="J427" s="214"/>
      <c r="K427" s="214"/>
      <c r="L427" s="662"/>
      <c r="M427" s="213"/>
      <c r="N427" s="213"/>
      <c r="O427" s="215"/>
      <c r="P427" s="213"/>
      <c r="Q427" s="213">
        <v>0</v>
      </c>
      <c r="R427" s="213"/>
      <c r="S427" s="213"/>
      <c r="T427" s="213"/>
      <c r="U427" s="213"/>
      <c r="V427" s="213"/>
      <c r="W427" s="213"/>
      <c r="X427" s="643"/>
      <c r="Y427" s="616">
        <f t="shared" si="23"/>
        <v>0</v>
      </c>
      <c r="Z427" s="633"/>
      <c r="AA427" s="640"/>
      <c r="AB427" s="640"/>
      <c r="AC427" s="7"/>
      <c r="AD427" s="704"/>
      <c r="AE427" s="7"/>
      <c r="AF427" s="618">
        <f t="shared" si="24"/>
        <v>0</v>
      </c>
      <c r="AG427" s="7"/>
      <c r="AH427" s="7"/>
      <c r="AI427" s="7"/>
      <c r="AJ427" s="7"/>
      <c r="AK427" s="7"/>
      <c r="AL427" s="7"/>
    </row>
    <row r="428" spans="1:38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4"/>
      <c r="F428" s="214"/>
      <c r="G428" s="215">
        <v>4</v>
      </c>
      <c r="H428" s="215"/>
      <c r="I428" s="215"/>
      <c r="J428" s="214"/>
      <c r="K428" s="214"/>
      <c r="L428" s="620"/>
      <c r="M428" s="213"/>
      <c r="N428" s="213"/>
      <c r="O428" s="215"/>
      <c r="P428" s="213"/>
      <c r="Q428" s="213">
        <v>0</v>
      </c>
      <c r="R428" s="213"/>
      <c r="S428" s="213"/>
      <c r="T428" s="213"/>
      <c r="U428" s="213"/>
      <c r="V428" s="213"/>
      <c r="W428" s="213"/>
      <c r="X428" s="643"/>
      <c r="Y428" s="616">
        <f t="shared" si="23"/>
        <v>4</v>
      </c>
      <c r="Z428" s="633"/>
      <c r="AA428" s="636"/>
      <c r="AB428" s="636"/>
      <c r="AC428" s="7"/>
      <c r="AD428" s="704">
        <v>4</v>
      </c>
      <c r="AE428" s="7"/>
      <c r="AF428" s="618">
        <f t="shared" si="24"/>
        <v>0</v>
      </c>
      <c r="AG428" s="7"/>
      <c r="AH428" s="7"/>
      <c r="AI428" s="7"/>
      <c r="AJ428" s="7"/>
      <c r="AK428" s="7"/>
      <c r="AL428" s="7"/>
    </row>
    <row r="429" spans="1:38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4"/>
      <c r="F429" s="214"/>
      <c r="G429" s="215"/>
      <c r="H429" s="215"/>
      <c r="I429" s="215"/>
      <c r="J429" s="214"/>
      <c r="K429" s="214"/>
      <c r="L429" s="620"/>
      <c r="M429" s="213"/>
      <c r="N429" s="213"/>
      <c r="O429" s="215"/>
      <c r="P429" s="213"/>
      <c r="Q429" s="213">
        <v>0</v>
      </c>
      <c r="R429" s="213"/>
      <c r="S429" s="213"/>
      <c r="T429" s="213"/>
      <c r="U429" s="213"/>
      <c r="V429" s="213"/>
      <c r="W429" s="213"/>
      <c r="X429" s="643"/>
      <c r="Y429" s="616">
        <f t="shared" si="23"/>
        <v>0</v>
      </c>
      <c r="Z429" s="633"/>
      <c r="AA429" s="636"/>
      <c r="AB429" s="636"/>
      <c r="AC429" s="7"/>
      <c r="AD429" s="704"/>
      <c r="AE429" s="7"/>
      <c r="AF429" s="618">
        <f t="shared" si="24"/>
        <v>0</v>
      </c>
      <c r="AG429" s="7"/>
      <c r="AH429" s="7"/>
      <c r="AI429" s="7"/>
      <c r="AJ429" s="7"/>
      <c r="AK429" s="7"/>
      <c r="AL429" s="7"/>
    </row>
    <row r="430" spans="1:38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4"/>
      <c r="F430" s="214"/>
      <c r="G430" s="215"/>
      <c r="H430" s="215"/>
      <c r="I430" s="215"/>
      <c r="J430" s="214"/>
      <c r="K430" s="214"/>
      <c r="L430" s="620"/>
      <c r="M430" s="213"/>
      <c r="N430" s="213"/>
      <c r="O430" s="215"/>
      <c r="P430" s="213"/>
      <c r="Q430" s="213">
        <v>0</v>
      </c>
      <c r="R430" s="213"/>
      <c r="S430" s="213"/>
      <c r="T430" s="213"/>
      <c r="U430" s="213"/>
      <c r="V430" s="213"/>
      <c r="W430" s="213"/>
      <c r="X430" s="643"/>
      <c r="Y430" s="616">
        <f t="shared" si="23"/>
        <v>0</v>
      </c>
      <c r="Z430" s="633"/>
      <c r="AA430" s="636"/>
      <c r="AB430" s="636"/>
      <c r="AC430" s="7"/>
      <c r="AD430" s="704"/>
      <c r="AE430" s="7"/>
      <c r="AF430" s="618">
        <f t="shared" si="24"/>
        <v>0</v>
      </c>
      <c r="AG430" s="7"/>
      <c r="AH430" s="7"/>
      <c r="AI430" s="7"/>
      <c r="AJ430" s="7"/>
      <c r="AK430" s="7"/>
      <c r="AL430" s="7"/>
    </row>
    <row r="431" spans="1:38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4"/>
      <c r="F431" s="214"/>
      <c r="G431" s="215"/>
      <c r="H431" s="215"/>
      <c r="I431" s="215"/>
      <c r="J431" s="214"/>
      <c r="K431" s="214"/>
      <c r="L431" s="620"/>
      <c r="M431" s="213"/>
      <c r="N431" s="213"/>
      <c r="O431" s="215"/>
      <c r="P431" s="213"/>
      <c r="Q431" s="213">
        <v>0</v>
      </c>
      <c r="R431" s="213"/>
      <c r="S431" s="213"/>
      <c r="T431" s="213"/>
      <c r="U431" s="213"/>
      <c r="V431" s="213"/>
      <c r="W431" s="213"/>
      <c r="X431" s="643"/>
      <c r="Y431" s="616">
        <f t="shared" si="23"/>
        <v>0</v>
      </c>
      <c r="Z431" s="633"/>
      <c r="AA431" s="636"/>
      <c r="AB431" s="636"/>
      <c r="AC431" s="7"/>
      <c r="AD431" s="704"/>
      <c r="AE431" s="7"/>
      <c r="AF431" s="618">
        <f t="shared" si="24"/>
        <v>0</v>
      </c>
      <c r="AG431" s="7"/>
      <c r="AH431" s="7"/>
      <c r="AI431" s="7"/>
      <c r="AJ431" s="7"/>
      <c r="AK431" s="7"/>
      <c r="AL431" s="7"/>
    </row>
    <row r="432" spans="1:38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4"/>
      <c r="F432" s="214"/>
      <c r="G432" s="215"/>
      <c r="H432" s="215"/>
      <c r="I432" s="215"/>
      <c r="J432" s="214"/>
      <c r="K432" s="214"/>
      <c r="L432" s="620"/>
      <c r="M432" s="213"/>
      <c r="N432" s="213"/>
      <c r="O432" s="215"/>
      <c r="P432" s="213"/>
      <c r="Q432" s="213">
        <v>0</v>
      </c>
      <c r="R432" s="213"/>
      <c r="S432" s="213"/>
      <c r="T432" s="213"/>
      <c r="U432" s="213"/>
      <c r="V432" s="213"/>
      <c r="W432" s="213"/>
      <c r="X432" s="643"/>
      <c r="Y432" s="616">
        <f t="shared" si="23"/>
        <v>0</v>
      </c>
      <c r="Z432" s="633"/>
      <c r="AA432" s="636"/>
      <c r="AB432" s="636"/>
      <c r="AC432" s="7"/>
      <c r="AD432" s="704"/>
      <c r="AE432" s="7"/>
      <c r="AF432" s="618">
        <f t="shared" si="24"/>
        <v>0</v>
      </c>
      <c r="AG432" s="7"/>
      <c r="AH432" s="7"/>
      <c r="AI432" s="7"/>
      <c r="AJ432" s="7"/>
      <c r="AK432" s="7"/>
      <c r="AL432" s="7"/>
    </row>
    <row r="433" spans="1:38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4"/>
      <c r="F433" s="214"/>
      <c r="G433" s="215"/>
      <c r="H433" s="215"/>
      <c r="I433" s="215"/>
      <c r="J433" s="214"/>
      <c r="K433" s="214"/>
      <c r="L433" s="620"/>
      <c r="M433" s="213"/>
      <c r="N433" s="213"/>
      <c r="O433" s="215"/>
      <c r="P433" s="213"/>
      <c r="Q433" s="213">
        <v>0</v>
      </c>
      <c r="R433" s="213"/>
      <c r="S433" s="213"/>
      <c r="T433" s="213"/>
      <c r="U433" s="213"/>
      <c r="V433" s="213"/>
      <c r="W433" s="213"/>
      <c r="X433" s="643"/>
      <c r="Y433" s="616">
        <f t="shared" si="23"/>
        <v>0</v>
      </c>
      <c r="Z433" s="633"/>
      <c r="AA433" s="636"/>
      <c r="AB433" s="636"/>
      <c r="AC433" s="7"/>
      <c r="AD433" s="704"/>
      <c r="AE433" s="7"/>
      <c r="AF433" s="618">
        <f t="shared" si="24"/>
        <v>0</v>
      </c>
      <c r="AG433" s="7"/>
      <c r="AH433" s="7"/>
      <c r="AI433" s="7"/>
      <c r="AJ433" s="7"/>
      <c r="AK433" s="7"/>
      <c r="AL433" s="7"/>
    </row>
    <row r="434" spans="1:38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4"/>
      <c r="F434" s="214"/>
      <c r="G434" s="215"/>
      <c r="H434" s="215"/>
      <c r="I434" s="215"/>
      <c r="J434" s="214"/>
      <c r="K434" s="214"/>
      <c r="L434" s="620"/>
      <c r="M434" s="213"/>
      <c r="N434" s="213"/>
      <c r="O434" s="215"/>
      <c r="P434" s="213"/>
      <c r="Q434" s="213">
        <v>0</v>
      </c>
      <c r="R434" s="213"/>
      <c r="S434" s="213"/>
      <c r="T434" s="213"/>
      <c r="U434" s="213"/>
      <c r="V434" s="213"/>
      <c r="W434" s="213"/>
      <c r="X434" s="643"/>
      <c r="Y434" s="616">
        <f t="shared" si="23"/>
        <v>0</v>
      </c>
      <c r="Z434" s="633"/>
      <c r="AA434" s="636"/>
      <c r="AB434" s="636"/>
      <c r="AC434" s="7"/>
      <c r="AD434" s="704"/>
      <c r="AE434" s="7"/>
      <c r="AF434" s="618">
        <f t="shared" si="24"/>
        <v>0</v>
      </c>
      <c r="AG434" s="7"/>
      <c r="AH434" s="7"/>
      <c r="AI434" s="7"/>
      <c r="AJ434" s="7"/>
      <c r="AK434" s="7"/>
      <c r="AL434" s="7"/>
    </row>
    <row r="435" spans="1:38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4"/>
      <c r="F435" s="214"/>
      <c r="G435" s="215"/>
      <c r="H435" s="215"/>
      <c r="I435" s="215"/>
      <c r="J435" s="214"/>
      <c r="K435" s="214"/>
      <c r="L435" s="620"/>
      <c r="M435" s="213"/>
      <c r="N435" s="213"/>
      <c r="O435" s="215"/>
      <c r="P435" s="213"/>
      <c r="Q435" s="213">
        <v>0</v>
      </c>
      <c r="R435" s="213"/>
      <c r="S435" s="213"/>
      <c r="T435" s="213"/>
      <c r="U435" s="213"/>
      <c r="V435" s="213"/>
      <c r="W435" s="213"/>
      <c r="X435" s="643"/>
      <c r="Y435" s="616">
        <f t="shared" si="23"/>
        <v>0</v>
      </c>
      <c r="Z435" s="633"/>
      <c r="AA435" s="636"/>
      <c r="AB435" s="636"/>
      <c r="AC435" s="7"/>
      <c r="AD435" s="704"/>
      <c r="AE435" s="7"/>
      <c r="AF435" s="618">
        <f t="shared" si="24"/>
        <v>0</v>
      </c>
      <c r="AG435" s="7"/>
      <c r="AH435" s="7"/>
      <c r="AI435" s="7"/>
      <c r="AJ435" s="7"/>
      <c r="AK435" s="7"/>
      <c r="AL435" s="7"/>
    </row>
    <row r="436" spans="1:38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4"/>
      <c r="F436" s="214"/>
      <c r="G436" s="215"/>
      <c r="H436" s="215"/>
      <c r="I436" s="215"/>
      <c r="J436" s="214"/>
      <c r="K436" s="214"/>
      <c r="L436" s="620"/>
      <c r="M436" s="213"/>
      <c r="N436" s="213"/>
      <c r="O436" s="215"/>
      <c r="P436" s="213"/>
      <c r="Q436" s="213">
        <v>0</v>
      </c>
      <c r="R436" s="213"/>
      <c r="S436" s="213"/>
      <c r="T436" s="213"/>
      <c r="U436" s="213"/>
      <c r="V436" s="213"/>
      <c r="W436" s="213"/>
      <c r="X436" s="643"/>
      <c r="Y436" s="616">
        <f t="shared" si="23"/>
        <v>0</v>
      </c>
      <c r="Z436" s="633"/>
      <c r="AA436" s="636"/>
      <c r="AB436" s="636"/>
      <c r="AC436" s="7"/>
      <c r="AD436" s="704"/>
      <c r="AE436" s="7"/>
      <c r="AF436" s="618">
        <f t="shared" si="24"/>
        <v>0</v>
      </c>
      <c r="AG436" s="7"/>
      <c r="AH436" s="7"/>
      <c r="AI436" s="7"/>
      <c r="AJ436" s="7"/>
      <c r="AK436" s="7"/>
      <c r="AL436" s="7"/>
    </row>
    <row r="437" spans="1:38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4"/>
      <c r="F437" s="214"/>
      <c r="G437" s="215"/>
      <c r="H437" s="215"/>
      <c r="I437" s="215"/>
      <c r="J437" s="214"/>
      <c r="K437" s="214"/>
      <c r="L437" s="620"/>
      <c r="M437" s="213"/>
      <c r="N437" s="213"/>
      <c r="O437" s="215"/>
      <c r="P437" s="213"/>
      <c r="Q437" s="213">
        <v>0</v>
      </c>
      <c r="R437" s="213"/>
      <c r="S437" s="213"/>
      <c r="T437" s="213"/>
      <c r="U437" s="213"/>
      <c r="V437" s="213"/>
      <c r="W437" s="213"/>
      <c r="X437" s="643"/>
      <c r="Y437" s="616">
        <f t="shared" si="23"/>
        <v>0</v>
      </c>
      <c r="Z437" s="633"/>
      <c r="AA437" s="636"/>
      <c r="AB437" s="636"/>
      <c r="AC437" s="7"/>
      <c r="AD437" s="704"/>
      <c r="AE437" s="7"/>
      <c r="AF437" s="618">
        <f t="shared" si="24"/>
        <v>0</v>
      </c>
      <c r="AG437" s="7"/>
      <c r="AH437" s="7"/>
      <c r="AI437" s="7"/>
      <c r="AJ437" s="7"/>
      <c r="AK437" s="7"/>
      <c r="AL437" s="7"/>
    </row>
    <row r="438" spans="1:38" ht="21.75" customHeight="1">
      <c r="A438" s="486">
        <v>15.3</v>
      </c>
      <c r="B438" s="487" t="s">
        <v>947</v>
      </c>
      <c r="C438" s="635" t="s">
        <v>948</v>
      </c>
      <c r="D438" s="412" t="s">
        <v>1820</v>
      </c>
      <c r="E438" s="214"/>
      <c r="F438" s="214"/>
      <c r="G438" s="215"/>
      <c r="H438" s="215"/>
      <c r="I438" s="215"/>
      <c r="J438" s="214"/>
      <c r="K438" s="214"/>
      <c r="L438" s="620"/>
      <c r="M438" s="213"/>
      <c r="N438" s="213"/>
      <c r="O438" s="215"/>
      <c r="P438" s="213"/>
      <c r="Q438" s="213">
        <v>0</v>
      </c>
      <c r="R438" s="213"/>
      <c r="S438" s="213"/>
      <c r="T438" s="213"/>
      <c r="U438" s="213"/>
      <c r="V438" s="213"/>
      <c r="W438" s="213"/>
      <c r="X438" s="643"/>
      <c r="Y438" s="616">
        <f t="shared" si="23"/>
        <v>0</v>
      </c>
      <c r="Z438" s="633"/>
      <c r="AA438" s="636"/>
      <c r="AB438" s="636"/>
      <c r="AC438" s="7"/>
      <c r="AD438" s="704"/>
      <c r="AE438" s="7"/>
      <c r="AF438" s="618">
        <f t="shared" si="24"/>
        <v>0</v>
      </c>
      <c r="AG438" s="7"/>
      <c r="AH438" s="7"/>
      <c r="AI438" s="7"/>
      <c r="AJ438" s="7"/>
      <c r="AK438" s="7"/>
      <c r="AL438" s="7"/>
    </row>
    <row r="439" spans="1:38" ht="21.75" customHeight="1">
      <c r="A439" s="503" t="s">
        <v>1515</v>
      </c>
      <c r="B439" s="483" t="s">
        <v>951</v>
      </c>
      <c r="C439" s="629" t="s">
        <v>131</v>
      </c>
      <c r="D439" s="485" t="s">
        <v>1821</v>
      </c>
      <c r="E439" s="214"/>
      <c r="F439" s="214"/>
      <c r="G439" s="215"/>
      <c r="H439" s="215"/>
      <c r="I439" s="215"/>
      <c r="J439" s="214"/>
      <c r="K439" s="214"/>
      <c r="L439" s="620"/>
      <c r="M439" s="213"/>
      <c r="N439" s="213"/>
      <c r="O439" s="215"/>
      <c r="P439" s="213"/>
      <c r="Q439" s="213">
        <v>0</v>
      </c>
      <c r="R439" s="213"/>
      <c r="S439" s="213"/>
      <c r="T439" s="213"/>
      <c r="U439" s="213"/>
      <c r="V439" s="213"/>
      <c r="W439" s="213"/>
      <c r="X439" s="643"/>
      <c r="Y439" s="616">
        <f t="shared" si="23"/>
        <v>0</v>
      </c>
      <c r="Z439" s="633"/>
      <c r="AA439" s="636"/>
      <c r="AB439" s="636"/>
      <c r="AC439" s="7"/>
      <c r="AD439" s="704"/>
      <c r="AE439" s="7"/>
      <c r="AF439" s="618">
        <f t="shared" si="24"/>
        <v>0</v>
      </c>
      <c r="AG439" s="7"/>
      <c r="AH439" s="7"/>
      <c r="AI439" s="7"/>
      <c r="AJ439" s="7"/>
      <c r="AK439" s="7"/>
      <c r="AL439" s="7"/>
    </row>
    <row r="440" spans="1:38" ht="21.75" customHeight="1">
      <c r="A440" s="503" t="s">
        <v>1517</v>
      </c>
      <c r="B440" s="483" t="s">
        <v>953</v>
      </c>
      <c r="C440" s="629" t="s">
        <v>200</v>
      </c>
      <c r="D440" s="485" t="s">
        <v>1822</v>
      </c>
      <c r="E440" s="214"/>
      <c r="F440" s="214"/>
      <c r="G440" s="215"/>
      <c r="H440" s="215"/>
      <c r="I440" s="215"/>
      <c r="J440" s="214"/>
      <c r="K440" s="214"/>
      <c r="L440" s="620"/>
      <c r="M440" s="213"/>
      <c r="N440" s="213"/>
      <c r="O440" s="215"/>
      <c r="P440" s="213"/>
      <c r="Q440" s="213">
        <v>0</v>
      </c>
      <c r="R440" s="213"/>
      <c r="S440" s="213"/>
      <c r="T440" s="213"/>
      <c r="U440" s="213"/>
      <c r="V440" s="213"/>
      <c r="W440" s="213"/>
      <c r="X440" s="643"/>
      <c r="Y440" s="616">
        <f t="shared" si="23"/>
        <v>0</v>
      </c>
      <c r="Z440" s="633"/>
      <c r="AA440" s="636"/>
      <c r="AB440" s="636"/>
      <c r="AC440" s="7"/>
      <c r="AD440" s="704"/>
      <c r="AE440" s="7"/>
      <c r="AF440" s="618">
        <f t="shared" si="24"/>
        <v>0</v>
      </c>
      <c r="AG440" s="7"/>
      <c r="AH440" s="7"/>
      <c r="AI440" s="7"/>
      <c r="AJ440" s="7"/>
      <c r="AK440" s="7"/>
      <c r="AL440" s="7"/>
    </row>
    <row r="441" spans="1:38" ht="21.75" customHeight="1">
      <c r="A441" s="503" t="s">
        <v>1519</v>
      </c>
      <c r="B441" s="483" t="s">
        <v>955</v>
      </c>
      <c r="C441" s="629" t="s">
        <v>203</v>
      </c>
      <c r="D441" s="485" t="s">
        <v>1823</v>
      </c>
      <c r="E441" s="214"/>
      <c r="F441" s="214"/>
      <c r="G441" s="215"/>
      <c r="H441" s="215"/>
      <c r="I441" s="215"/>
      <c r="J441" s="214"/>
      <c r="K441" s="214"/>
      <c r="L441" s="620"/>
      <c r="M441" s="213"/>
      <c r="N441" s="213"/>
      <c r="O441" s="215"/>
      <c r="P441" s="213"/>
      <c r="Q441" s="213">
        <v>0</v>
      </c>
      <c r="R441" s="213"/>
      <c r="S441" s="213"/>
      <c r="T441" s="213"/>
      <c r="U441" s="213"/>
      <c r="V441" s="213"/>
      <c r="W441" s="213"/>
      <c r="X441" s="643"/>
      <c r="Y441" s="616">
        <f t="shared" si="23"/>
        <v>0</v>
      </c>
      <c r="Z441" s="633"/>
      <c r="AA441" s="636"/>
      <c r="AB441" s="636"/>
      <c r="AC441" s="7"/>
      <c r="AD441" s="704"/>
      <c r="AE441" s="7"/>
      <c r="AF441" s="618">
        <f t="shared" si="24"/>
        <v>0</v>
      </c>
      <c r="AG441" s="7"/>
      <c r="AH441" s="7"/>
      <c r="AI441" s="7"/>
      <c r="AJ441" s="7"/>
      <c r="AK441" s="7"/>
      <c r="AL441" s="7"/>
    </row>
    <row r="442" spans="1:38" ht="21.75" customHeight="1">
      <c r="A442" s="503" t="s">
        <v>1521</v>
      </c>
      <c r="B442" s="483" t="s">
        <v>957</v>
      </c>
      <c r="C442" s="629" t="s">
        <v>159</v>
      </c>
      <c r="D442" s="485" t="s">
        <v>1824</v>
      </c>
      <c r="E442" s="214"/>
      <c r="F442" s="214"/>
      <c r="G442" s="215"/>
      <c r="H442" s="215"/>
      <c r="I442" s="215"/>
      <c r="J442" s="214"/>
      <c r="K442" s="214"/>
      <c r="L442" s="620"/>
      <c r="M442" s="213"/>
      <c r="N442" s="213"/>
      <c r="O442" s="215"/>
      <c r="P442" s="213"/>
      <c r="Q442" s="213">
        <v>0</v>
      </c>
      <c r="R442" s="213"/>
      <c r="S442" s="213"/>
      <c r="T442" s="213"/>
      <c r="U442" s="213"/>
      <c r="V442" s="213"/>
      <c r="W442" s="213"/>
      <c r="X442" s="643"/>
      <c r="Y442" s="616">
        <f t="shared" si="23"/>
        <v>0</v>
      </c>
      <c r="Z442" s="633"/>
      <c r="AA442" s="636"/>
      <c r="AB442" s="636"/>
      <c r="AC442" s="7"/>
      <c r="AD442" s="704"/>
      <c r="AE442" s="7"/>
      <c r="AF442" s="618">
        <f t="shared" si="24"/>
        <v>0</v>
      </c>
      <c r="AG442" s="7"/>
      <c r="AH442" s="7"/>
      <c r="AI442" s="7"/>
      <c r="AJ442" s="7"/>
      <c r="AK442" s="7"/>
      <c r="AL442" s="7"/>
    </row>
    <row r="443" spans="1:38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4"/>
      <c r="F443" s="214"/>
      <c r="G443" s="215"/>
      <c r="H443" s="215"/>
      <c r="I443" s="215"/>
      <c r="J443" s="214"/>
      <c r="K443" s="214"/>
      <c r="L443" s="620"/>
      <c r="M443" s="213"/>
      <c r="N443" s="213"/>
      <c r="O443" s="215"/>
      <c r="P443" s="213"/>
      <c r="Q443" s="213">
        <v>0</v>
      </c>
      <c r="R443" s="213"/>
      <c r="S443" s="213"/>
      <c r="T443" s="213"/>
      <c r="U443" s="213"/>
      <c r="V443" s="213"/>
      <c r="W443" s="213"/>
      <c r="X443" s="643"/>
      <c r="Y443" s="616">
        <f t="shared" si="23"/>
        <v>0</v>
      </c>
      <c r="Z443" s="633"/>
      <c r="AA443" s="636"/>
      <c r="AB443" s="636"/>
      <c r="AC443" s="7"/>
      <c r="AD443" s="704"/>
      <c r="AE443" s="7"/>
      <c r="AF443" s="618">
        <f t="shared" si="24"/>
        <v>0</v>
      </c>
      <c r="AG443" s="7"/>
      <c r="AH443" s="7"/>
      <c r="AI443" s="7"/>
      <c r="AJ443" s="7"/>
      <c r="AK443" s="7"/>
      <c r="AL443" s="7"/>
    </row>
    <row r="444" spans="1:38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4"/>
      <c r="F444" s="214"/>
      <c r="G444" s="215"/>
      <c r="H444" s="215"/>
      <c r="I444" s="215"/>
      <c r="J444" s="214"/>
      <c r="K444" s="214"/>
      <c r="L444" s="662"/>
      <c r="M444" s="213"/>
      <c r="N444" s="213"/>
      <c r="O444" s="215"/>
      <c r="P444" s="213"/>
      <c r="Q444" s="213">
        <v>0</v>
      </c>
      <c r="R444" s="213"/>
      <c r="S444" s="213"/>
      <c r="T444" s="213"/>
      <c r="U444" s="213"/>
      <c r="V444" s="213"/>
      <c r="W444" s="213"/>
      <c r="X444" s="643"/>
      <c r="Y444" s="616">
        <f t="shared" si="23"/>
        <v>0</v>
      </c>
      <c r="Z444" s="633"/>
      <c r="AA444" s="636"/>
      <c r="AB444" s="636"/>
      <c r="AC444" s="7"/>
      <c r="AD444" s="704"/>
      <c r="AE444" s="7"/>
      <c r="AF444" s="618">
        <f t="shared" si="24"/>
        <v>0</v>
      </c>
      <c r="AG444" s="7"/>
      <c r="AH444" s="7"/>
      <c r="AI444" s="7"/>
      <c r="AJ444" s="7"/>
      <c r="AK444" s="7"/>
      <c r="AL444" s="7"/>
    </row>
    <row r="445" spans="1:38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4"/>
      <c r="F445" s="214"/>
      <c r="G445" s="215"/>
      <c r="H445" s="215"/>
      <c r="I445" s="215"/>
      <c r="J445" s="214"/>
      <c r="K445" s="214"/>
      <c r="L445" s="662"/>
      <c r="M445" s="213"/>
      <c r="N445" s="213"/>
      <c r="O445" s="215"/>
      <c r="P445" s="213"/>
      <c r="Q445" s="213">
        <v>0</v>
      </c>
      <c r="R445" s="213"/>
      <c r="S445" s="213"/>
      <c r="T445" s="213"/>
      <c r="U445" s="213"/>
      <c r="V445" s="213"/>
      <c r="W445" s="213"/>
      <c r="X445" s="643"/>
      <c r="Y445" s="616">
        <f t="shared" si="23"/>
        <v>0</v>
      </c>
      <c r="Z445" s="633"/>
      <c r="AA445" s="636"/>
      <c r="AB445" s="636"/>
      <c r="AC445" s="7"/>
      <c r="AD445" s="704"/>
      <c r="AE445" s="7"/>
      <c r="AF445" s="618">
        <f t="shared" si="24"/>
        <v>0</v>
      </c>
      <c r="AG445" s="7"/>
      <c r="AH445" s="7"/>
      <c r="AI445" s="7"/>
      <c r="AJ445" s="7"/>
      <c r="AK445" s="7"/>
      <c r="AL445" s="7"/>
    </row>
    <row r="446" spans="1:38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4"/>
      <c r="F446" s="214"/>
      <c r="G446" s="215"/>
      <c r="H446" s="215"/>
      <c r="I446" s="215"/>
      <c r="J446" s="214"/>
      <c r="K446" s="214"/>
      <c r="L446" s="662"/>
      <c r="M446" s="213"/>
      <c r="N446" s="213"/>
      <c r="O446" s="215"/>
      <c r="P446" s="213"/>
      <c r="Q446" s="213">
        <v>0</v>
      </c>
      <c r="R446" s="213"/>
      <c r="S446" s="213"/>
      <c r="T446" s="213"/>
      <c r="U446" s="213"/>
      <c r="V446" s="213"/>
      <c r="W446" s="213"/>
      <c r="X446" s="643"/>
      <c r="Y446" s="616">
        <f t="shared" si="23"/>
        <v>0</v>
      </c>
      <c r="Z446" s="633"/>
      <c r="AA446" s="636"/>
      <c r="AB446" s="636"/>
      <c r="AC446" s="7"/>
      <c r="AD446" s="704"/>
      <c r="AE446" s="7"/>
      <c r="AF446" s="618">
        <f t="shared" si="24"/>
        <v>0</v>
      </c>
      <c r="AG446" s="7"/>
      <c r="AH446" s="7"/>
      <c r="AI446" s="7"/>
      <c r="AJ446" s="7"/>
      <c r="AK446" s="7"/>
      <c r="AL446" s="7"/>
    </row>
    <row r="447" spans="1:38" ht="42" customHeight="1">
      <c r="A447" s="519"/>
      <c r="B447" s="801" t="s">
        <v>969</v>
      </c>
      <c r="C447" s="771"/>
      <c r="D447" s="491" t="s">
        <v>970</v>
      </c>
      <c r="E447" s="374">
        <v>7000</v>
      </c>
      <c r="F447" s="374">
        <v>1500</v>
      </c>
      <c r="G447" s="235">
        <v>21000</v>
      </c>
      <c r="H447" s="235">
        <v>850</v>
      </c>
      <c r="I447" s="235"/>
      <c r="J447" s="374">
        <v>3500</v>
      </c>
      <c r="K447" s="374">
        <v>9000</v>
      </c>
      <c r="L447" s="675">
        <v>9250</v>
      </c>
      <c r="M447" s="219">
        <v>200</v>
      </c>
      <c r="N447" s="219">
        <v>150</v>
      </c>
      <c r="O447" s="235">
        <v>16500</v>
      </c>
      <c r="P447" s="231"/>
      <c r="Q447" s="231">
        <v>495728</v>
      </c>
      <c r="R447" s="231"/>
      <c r="S447" s="231"/>
      <c r="T447" s="231"/>
      <c r="U447" s="231"/>
      <c r="V447" s="231"/>
      <c r="W447" s="231"/>
      <c r="X447" s="678"/>
      <c r="Y447" s="616">
        <f t="shared" si="23"/>
        <v>564678</v>
      </c>
      <c r="Z447" s="633"/>
      <c r="AA447" s="537"/>
      <c r="AB447" s="537"/>
      <c r="AC447" s="7"/>
      <c r="AD447" s="679">
        <v>564678</v>
      </c>
      <c r="AE447" s="7"/>
      <c r="AF447" s="618">
        <f t="shared" si="24"/>
        <v>0</v>
      </c>
      <c r="AG447" s="7"/>
      <c r="AH447" s="7"/>
      <c r="AI447" s="7"/>
      <c r="AJ447" s="7"/>
      <c r="AK447" s="7"/>
      <c r="AL447" s="7"/>
    </row>
    <row r="448" spans="1:38" ht="21.75" customHeight="1">
      <c r="A448" s="534"/>
      <c r="B448" s="535"/>
      <c r="C448" s="680"/>
      <c r="D448" s="536"/>
      <c r="E448" s="539"/>
      <c r="F448" s="537"/>
      <c r="G448" s="539"/>
      <c r="H448" s="539"/>
      <c r="I448" s="239"/>
      <c r="J448" s="239"/>
      <c r="K448" s="539"/>
      <c r="L448" s="7"/>
      <c r="M448" s="7"/>
      <c r="N448" s="7"/>
      <c r="O448" s="7"/>
      <c r="P448" s="239"/>
      <c r="Q448" s="7"/>
      <c r="R448" s="7"/>
      <c r="S448" s="7"/>
      <c r="T448" s="7"/>
      <c r="U448" s="7"/>
      <c r="V448" s="7"/>
      <c r="W448" s="7"/>
      <c r="X448" s="7"/>
      <c r="Y448" s="7"/>
      <c r="Z448" s="705"/>
      <c r="AA448" s="7"/>
      <c r="AB448" s="7"/>
      <c r="AC448" s="7"/>
      <c r="AD448" s="7"/>
      <c r="AE448" s="7"/>
      <c r="AF448" s="7"/>
      <c r="AG448" s="7"/>
      <c r="AH448" s="7"/>
    </row>
    <row r="449" spans="1:34" ht="15.75" customHeight="1">
      <c r="A449" s="541"/>
      <c r="B449" s="542" t="s">
        <v>1523</v>
      </c>
      <c r="C449" s="542"/>
      <c r="D449" s="541"/>
      <c r="E449" s="539"/>
      <c r="F449" s="706"/>
      <c r="G449" s="539"/>
      <c r="H449" s="539"/>
      <c r="I449" s="239"/>
      <c r="J449" s="239"/>
      <c r="K449" s="539"/>
      <c r="L449" s="7"/>
      <c r="M449" s="7"/>
      <c r="N449" s="7"/>
      <c r="O449" s="7"/>
      <c r="P449" s="239"/>
      <c r="Q449" s="7"/>
      <c r="R449" s="7"/>
      <c r="S449" s="7"/>
      <c r="T449" s="7"/>
      <c r="U449" s="7"/>
      <c r="V449" s="7"/>
      <c r="W449" s="7"/>
      <c r="X449" s="7"/>
      <c r="Y449" s="7"/>
      <c r="Z449" s="707"/>
      <c r="AA449" s="7"/>
      <c r="AB449" s="7"/>
      <c r="AC449" s="7"/>
      <c r="AD449" s="7"/>
      <c r="AE449" s="7"/>
      <c r="AF449" s="7"/>
      <c r="AG449" s="7"/>
      <c r="AH449" s="7"/>
    </row>
    <row r="450" spans="1:34" ht="15.75" customHeight="1">
      <c r="A450" s="541"/>
      <c r="B450" s="545" t="s">
        <v>1524</v>
      </c>
      <c r="C450" s="542" t="s">
        <v>1525</v>
      </c>
      <c r="D450" s="541"/>
      <c r="E450" s="539"/>
      <c r="F450" s="541"/>
      <c r="G450" s="539"/>
      <c r="H450" s="539"/>
      <c r="I450" s="239"/>
      <c r="J450" s="239"/>
      <c r="K450" s="539"/>
      <c r="L450" s="7"/>
      <c r="M450" s="7"/>
      <c r="N450" s="7"/>
      <c r="O450" s="7"/>
      <c r="P450" s="239"/>
      <c r="Q450" s="7"/>
      <c r="R450" s="7"/>
      <c r="S450" s="7"/>
      <c r="T450" s="7"/>
      <c r="U450" s="7"/>
      <c r="V450" s="7"/>
      <c r="W450" s="7"/>
      <c r="X450" s="7"/>
      <c r="Y450" s="7"/>
      <c r="Z450" s="708"/>
      <c r="AA450" s="7"/>
      <c r="AB450" s="7"/>
      <c r="AC450" s="7"/>
      <c r="AD450" s="7"/>
      <c r="AE450" s="7"/>
      <c r="AF450" s="7"/>
      <c r="AG450" s="7"/>
      <c r="AH450" s="7"/>
    </row>
    <row r="451" spans="1:34" ht="15.75" customHeight="1">
      <c r="A451" s="541"/>
      <c r="B451" s="545" t="s">
        <v>1526</v>
      </c>
      <c r="C451" s="542" t="s">
        <v>1527</v>
      </c>
      <c r="D451" s="541"/>
      <c r="E451" s="681"/>
      <c r="F451" s="541"/>
      <c r="G451" s="681"/>
      <c r="H451" s="681"/>
      <c r="I451" s="239"/>
      <c r="J451" s="239"/>
      <c r="K451" s="681"/>
      <c r="L451" s="7"/>
      <c r="M451" s="7"/>
      <c r="N451" s="7"/>
      <c r="O451" s="7"/>
      <c r="P451" s="239"/>
      <c r="Q451" s="7"/>
      <c r="R451" s="7"/>
      <c r="S451" s="7"/>
      <c r="T451" s="7"/>
      <c r="U451" s="7"/>
      <c r="V451" s="7"/>
      <c r="W451" s="7"/>
      <c r="X451" s="7"/>
      <c r="Y451" s="7"/>
      <c r="Z451" s="708"/>
      <c r="AA451" s="7"/>
      <c r="AB451" s="7"/>
      <c r="AC451" s="7"/>
      <c r="AD451" s="7"/>
      <c r="AE451" s="7"/>
      <c r="AF451" s="7"/>
      <c r="AG451" s="7"/>
      <c r="AH451" s="7"/>
    </row>
    <row r="452" spans="1:34" ht="15.75" customHeight="1">
      <c r="A452" s="541"/>
      <c r="B452" s="545"/>
      <c r="C452" s="542"/>
      <c r="D452" s="541"/>
      <c r="E452" s="681"/>
      <c r="F452" s="541"/>
      <c r="G452" s="681"/>
      <c r="H452" s="681"/>
      <c r="I452" s="239"/>
      <c r="J452" s="239"/>
      <c r="K452" s="681"/>
      <c r="L452" s="7"/>
      <c r="M452" s="7"/>
      <c r="N452" s="7"/>
      <c r="O452" s="7"/>
      <c r="P452" s="239"/>
      <c r="Q452" s="7"/>
      <c r="R452" s="7"/>
      <c r="S452" s="7"/>
      <c r="T452" s="7"/>
      <c r="U452" s="7"/>
      <c r="V452" s="7"/>
      <c r="W452" s="7"/>
      <c r="X452" s="7"/>
      <c r="Y452" s="7"/>
      <c r="Z452" s="708"/>
      <c r="AA452" s="7"/>
      <c r="AB452" s="7"/>
      <c r="AC452" s="7"/>
      <c r="AD452" s="7"/>
      <c r="AE452" s="7"/>
      <c r="AF452" s="7"/>
      <c r="AG452" s="7"/>
      <c r="AH452" s="7"/>
    </row>
    <row r="453" spans="1:34" ht="15.75" customHeight="1">
      <c r="A453" s="541"/>
      <c r="B453" s="802" t="s">
        <v>1528</v>
      </c>
      <c r="C453" s="791"/>
      <c r="D453" s="541"/>
      <c r="E453" s="681"/>
      <c r="F453" s="541"/>
      <c r="G453" s="681"/>
      <c r="H453" s="681"/>
      <c r="I453" s="239"/>
      <c r="J453" s="239"/>
      <c r="K453" s="681"/>
      <c r="L453" s="7"/>
      <c r="M453" s="7"/>
      <c r="N453" s="7"/>
      <c r="O453" s="7"/>
      <c r="P453" s="239"/>
      <c r="Q453" s="7"/>
      <c r="R453" s="7"/>
      <c r="S453" s="7"/>
      <c r="T453" s="7"/>
      <c r="U453" s="7"/>
      <c r="V453" s="7"/>
      <c r="W453" s="7"/>
      <c r="X453" s="7"/>
      <c r="Y453" s="7"/>
      <c r="Z453" s="708"/>
      <c r="AA453" s="7"/>
      <c r="AB453" s="7"/>
      <c r="AC453" s="7"/>
      <c r="AD453" s="7"/>
      <c r="AE453" s="7"/>
      <c r="AF453" s="7"/>
      <c r="AG453" s="7"/>
      <c r="AH453" s="7"/>
    </row>
    <row r="454" spans="1:34" ht="15.75" customHeight="1">
      <c r="A454" s="541"/>
      <c r="B454" s="790" t="s">
        <v>1529</v>
      </c>
      <c r="C454" s="791"/>
      <c r="D454" s="541" t="s">
        <v>1530</v>
      </c>
      <c r="E454" s="681"/>
      <c r="F454" s="541"/>
      <c r="G454" s="681"/>
      <c r="H454" s="681"/>
      <c r="I454" s="239"/>
      <c r="J454" s="239"/>
      <c r="K454" s="681"/>
      <c r="L454" s="7"/>
      <c r="M454" s="7"/>
      <c r="N454" s="7"/>
      <c r="O454" s="7"/>
      <c r="P454" s="239"/>
      <c r="Q454" s="7"/>
      <c r="R454" s="7"/>
      <c r="S454" s="7"/>
      <c r="T454" s="7"/>
      <c r="U454" s="7"/>
      <c r="V454" s="7"/>
      <c r="W454" s="7"/>
      <c r="X454" s="7"/>
      <c r="Y454" s="7"/>
      <c r="Z454" s="708"/>
      <c r="AA454" s="7"/>
      <c r="AB454" s="7"/>
      <c r="AC454" s="7"/>
      <c r="AD454" s="7"/>
      <c r="AE454" s="7"/>
      <c r="AF454" s="7"/>
      <c r="AG454" s="7"/>
      <c r="AH454" s="7"/>
    </row>
    <row r="455" spans="1:34" ht="15.75" customHeight="1">
      <c r="A455" s="541"/>
      <c r="B455" s="545"/>
      <c r="C455" s="542"/>
      <c r="D455" s="541"/>
      <c r="E455" s="681"/>
      <c r="F455" s="541"/>
      <c r="G455" s="681"/>
      <c r="H455" s="681"/>
      <c r="I455" s="239"/>
      <c r="J455" s="239"/>
      <c r="K455" s="681"/>
      <c r="L455" s="7"/>
      <c r="M455" s="7"/>
      <c r="N455" s="7"/>
      <c r="O455" s="7"/>
      <c r="P455" s="239"/>
      <c r="Q455" s="7"/>
      <c r="R455" s="7"/>
      <c r="S455" s="7"/>
      <c r="T455" s="7"/>
      <c r="U455" s="7"/>
      <c r="V455" s="7"/>
      <c r="W455" s="7"/>
      <c r="X455" s="7"/>
      <c r="Y455" s="7"/>
      <c r="Z455" s="708"/>
      <c r="AA455" s="7"/>
      <c r="AB455" s="7"/>
      <c r="AC455" s="7"/>
      <c r="AD455" s="7"/>
      <c r="AE455" s="7"/>
      <c r="AF455" s="7"/>
      <c r="AG455" s="7"/>
      <c r="AH455" s="7"/>
    </row>
    <row r="456" spans="1:34" ht="15.75" customHeight="1">
      <c r="A456" s="546" t="s">
        <v>971</v>
      </c>
      <c r="B456" s="547"/>
      <c r="C456" s="547"/>
      <c r="D456" s="547"/>
      <c r="E456" s="682"/>
      <c r="F456" s="547"/>
      <c r="G456" s="682"/>
      <c r="H456" s="682"/>
      <c r="I456" s="239"/>
      <c r="J456" s="239"/>
      <c r="K456" s="682"/>
      <c r="L456" s="7"/>
      <c r="M456" s="7"/>
      <c r="N456" s="7"/>
      <c r="O456" s="7"/>
      <c r="P456" s="239"/>
      <c r="Q456" s="7"/>
      <c r="R456" s="7"/>
      <c r="S456" s="7"/>
      <c r="T456" s="7"/>
      <c r="U456" s="7"/>
      <c r="V456" s="7"/>
      <c r="W456" s="7"/>
      <c r="X456" s="7"/>
      <c r="Y456" s="7"/>
      <c r="Z456" s="708"/>
      <c r="AA456" s="7"/>
      <c r="AB456" s="7"/>
      <c r="AC456" s="7"/>
      <c r="AD456" s="7"/>
      <c r="AE456" s="7"/>
      <c r="AF456" s="7"/>
      <c r="AG456" s="7"/>
      <c r="AH456" s="7"/>
    </row>
    <row r="457" spans="1:34" ht="15.75" customHeight="1">
      <c r="A457" s="549" t="s">
        <v>972</v>
      </c>
      <c r="B457" s="550"/>
      <c r="C457" s="550"/>
      <c r="D457" s="550"/>
      <c r="E457" s="684"/>
      <c r="F457" s="550"/>
      <c r="G457" s="684"/>
      <c r="H457" s="684"/>
      <c r="I457" s="239"/>
      <c r="J457" s="239"/>
      <c r="K457" s="684"/>
      <c r="L457" s="7"/>
      <c r="M457" s="7"/>
      <c r="N457" s="7"/>
      <c r="O457" s="7"/>
      <c r="P457" s="239"/>
      <c r="Q457" s="7"/>
      <c r="R457" s="7"/>
      <c r="S457" s="7"/>
      <c r="T457" s="7"/>
      <c r="U457" s="7"/>
      <c r="V457" s="7"/>
      <c r="W457" s="7"/>
      <c r="X457" s="7"/>
      <c r="Y457" s="7"/>
      <c r="Z457" s="708"/>
      <c r="AA457" s="7"/>
      <c r="AB457" s="7"/>
      <c r="AC457" s="7"/>
      <c r="AD457" s="7"/>
      <c r="AE457" s="7"/>
      <c r="AF457" s="7"/>
      <c r="AG457" s="7"/>
      <c r="AH457" s="7"/>
    </row>
    <row r="458" spans="1:34" ht="15.75" customHeight="1">
      <c r="A458" s="546"/>
      <c r="B458" s="547"/>
      <c r="C458" s="241" t="s">
        <v>12</v>
      </c>
      <c r="D458" s="242">
        <f>COUNTIF($D$11:$Y$11,"Hà Giang")</f>
        <v>0</v>
      </c>
      <c r="E458" s="539"/>
      <c r="F458" s="546"/>
      <c r="G458" s="539"/>
      <c r="H458" s="539"/>
      <c r="I458" s="239"/>
      <c r="J458" s="239"/>
      <c r="K458" s="539"/>
      <c r="L458" s="7"/>
      <c r="M458" s="7"/>
      <c r="N458" s="7"/>
      <c r="O458" s="7"/>
      <c r="P458" s="239"/>
      <c r="Q458" s="7"/>
      <c r="R458" s="7"/>
      <c r="S458" s="7"/>
      <c r="T458" s="7"/>
      <c r="U458" s="7"/>
      <c r="V458" s="7"/>
      <c r="W458" s="7"/>
      <c r="X458" s="7"/>
      <c r="Y458" s="7"/>
      <c r="Z458" s="708"/>
      <c r="AA458" s="7"/>
      <c r="AB458" s="7"/>
      <c r="AC458" s="7"/>
      <c r="AD458" s="7"/>
      <c r="AE458" s="7"/>
      <c r="AF458" s="7"/>
      <c r="AG458" s="7"/>
      <c r="AH458" s="7"/>
    </row>
    <row r="459" spans="1:34" ht="15.75" customHeight="1">
      <c r="A459" s="546"/>
      <c r="B459" s="547"/>
      <c r="C459" s="241" t="s">
        <v>14</v>
      </c>
      <c r="D459" s="242">
        <f>COUNTIF($D$11:$Y$11,"Lào Cai")</f>
        <v>13</v>
      </c>
      <c r="E459" s="539"/>
      <c r="F459" s="546"/>
      <c r="G459" s="539"/>
      <c r="H459" s="539"/>
      <c r="I459" s="239"/>
      <c r="J459" s="239"/>
      <c r="K459" s="539"/>
      <c r="L459" s="7"/>
      <c r="M459" s="7"/>
      <c r="N459" s="7"/>
      <c r="O459" s="7"/>
      <c r="P459" s="239"/>
      <c r="Q459" s="7"/>
      <c r="R459" s="7"/>
      <c r="S459" s="7"/>
      <c r="T459" s="7"/>
      <c r="U459" s="7"/>
      <c r="V459" s="7"/>
      <c r="W459" s="7"/>
      <c r="X459" s="7"/>
      <c r="Y459" s="7"/>
      <c r="Z459" s="708"/>
      <c r="AA459" s="7"/>
      <c r="AB459" s="7"/>
      <c r="AC459" s="7"/>
      <c r="AD459" s="7"/>
      <c r="AE459" s="7"/>
      <c r="AF459" s="7"/>
      <c r="AG459" s="7"/>
      <c r="AH459" s="7"/>
    </row>
    <row r="460" spans="1:34" ht="15.75" customHeight="1">
      <c r="A460" s="546"/>
      <c r="B460" s="552"/>
      <c r="C460" s="241" t="s">
        <v>23</v>
      </c>
      <c r="D460" s="242">
        <f>COUNTIF($D$11:$Y$11,"Lai Châu")</f>
        <v>0</v>
      </c>
      <c r="E460" s="539"/>
      <c r="F460" s="546"/>
      <c r="G460" s="539"/>
      <c r="H460" s="539"/>
      <c r="I460" s="239"/>
      <c r="J460" s="239"/>
      <c r="K460" s="539"/>
      <c r="L460" s="7"/>
      <c r="M460" s="7"/>
      <c r="N460" s="7"/>
      <c r="O460" s="7"/>
      <c r="P460" s="239"/>
      <c r="Q460" s="7"/>
      <c r="R460" s="7"/>
      <c r="S460" s="7"/>
      <c r="T460" s="7"/>
      <c r="U460" s="7"/>
      <c r="V460" s="7"/>
      <c r="W460" s="7"/>
      <c r="X460" s="7"/>
      <c r="Y460" s="7"/>
      <c r="Z460" s="708"/>
      <c r="AA460" s="7"/>
      <c r="AB460" s="7"/>
      <c r="AC460" s="7"/>
      <c r="AD460" s="7"/>
      <c r="AE460" s="7"/>
      <c r="AF460" s="7"/>
      <c r="AG460" s="7"/>
      <c r="AH460" s="7"/>
    </row>
    <row r="461" spans="1:34" ht="15.75" customHeight="1">
      <c r="A461" s="686"/>
      <c r="B461" s="687"/>
      <c r="C461" s="243" t="s">
        <v>17</v>
      </c>
      <c r="D461" s="242">
        <f>COUNTIF($D$11:$Y$11,"Điện Biên")</f>
        <v>0</v>
      </c>
      <c r="E461" s="688"/>
      <c r="F461" s="244"/>
      <c r="G461" s="688"/>
      <c r="H461" s="688"/>
      <c r="I461" s="239"/>
      <c r="J461" s="239"/>
      <c r="K461" s="688"/>
      <c r="L461" s="7"/>
      <c r="M461" s="7"/>
      <c r="N461" s="7"/>
      <c r="O461" s="7"/>
      <c r="P461" s="239"/>
      <c r="Q461" s="7"/>
      <c r="R461" s="7"/>
      <c r="S461" s="7"/>
      <c r="T461" s="7"/>
      <c r="U461" s="7"/>
      <c r="V461" s="7"/>
      <c r="W461" s="7"/>
      <c r="X461" s="7"/>
      <c r="Y461" s="7"/>
      <c r="Z461" s="708"/>
      <c r="AA461" s="7"/>
      <c r="AB461" s="7"/>
      <c r="AC461" s="7"/>
      <c r="AD461" s="7"/>
      <c r="AE461" s="7"/>
      <c r="AF461" s="7"/>
      <c r="AG461" s="7"/>
      <c r="AH461" s="7"/>
    </row>
    <row r="462" spans="1:34" ht="15.75" customHeight="1">
      <c r="A462" s="686"/>
      <c r="B462" s="687"/>
      <c r="C462" s="243" t="s">
        <v>16</v>
      </c>
      <c r="D462" s="242">
        <f>COUNTIF($D$11:$Y$11,"Lạng Sơn")</f>
        <v>0</v>
      </c>
      <c r="E462" s="688"/>
      <c r="F462" s="244"/>
      <c r="G462" s="688"/>
      <c r="H462" s="688"/>
      <c r="I462" s="239"/>
      <c r="J462" s="239"/>
      <c r="K462" s="688"/>
      <c r="L462" s="7"/>
      <c r="M462" s="7"/>
      <c r="N462" s="7"/>
      <c r="O462" s="7"/>
      <c r="P462" s="239"/>
      <c r="Q462" s="7"/>
      <c r="R462" s="7"/>
      <c r="S462" s="7"/>
      <c r="T462" s="7"/>
      <c r="U462" s="7"/>
      <c r="V462" s="7"/>
      <c r="W462" s="7"/>
      <c r="X462" s="7"/>
      <c r="Y462" s="7"/>
      <c r="Z462" s="708"/>
      <c r="AA462" s="7"/>
      <c r="AB462" s="7"/>
      <c r="AC462" s="7"/>
      <c r="AD462" s="7"/>
      <c r="AE462" s="7"/>
      <c r="AF462" s="7"/>
      <c r="AG462" s="7"/>
      <c r="AH462" s="7"/>
    </row>
    <row r="463" spans="1:34" ht="15.75" customHeight="1">
      <c r="A463" s="686"/>
      <c r="B463" s="687"/>
      <c r="C463" s="243" t="s">
        <v>13</v>
      </c>
      <c r="D463" s="242">
        <f>COUNTIF($D$11:$Y$11,"Cao Bằng")</f>
        <v>0</v>
      </c>
      <c r="E463" s="688"/>
      <c r="F463" s="244"/>
      <c r="G463" s="688"/>
      <c r="H463" s="688"/>
      <c r="I463" s="239"/>
      <c r="J463" s="239"/>
      <c r="K463" s="688"/>
      <c r="L463" s="7"/>
      <c r="M463" s="7"/>
      <c r="N463" s="7"/>
      <c r="O463" s="7"/>
      <c r="P463" s="239"/>
      <c r="Q463" s="7"/>
      <c r="R463" s="7"/>
      <c r="S463" s="7"/>
      <c r="T463" s="7"/>
      <c r="U463" s="7"/>
      <c r="V463" s="7"/>
      <c r="W463" s="7"/>
      <c r="X463" s="7"/>
      <c r="Y463" s="7"/>
      <c r="Z463" s="708"/>
      <c r="AA463" s="7"/>
      <c r="AB463" s="7"/>
      <c r="AC463" s="7"/>
      <c r="AD463" s="7"/>
      <c r="AE463" s="7"/>
      <c r="AF463" s="7"/>
      <c r="AG463" s="7"/>
      <c r="AH463" s="7"/>
    </row>
    <row r="464" spans="1:34" ht="15.75" customHeight="1">
      <c r="A464" s="686"/>
      <c r="B464" s="687"/>
      <c r="C464" s="243" t="s">
        <v>1090</v>
      </c>
      <c r="D464" s="242">
        <f>COUNTIF($D$11:$Y$11,"Sơn La")</f>
        <v>0</v>
      </c>
      <c r="E464" s="688"/>
      <c r="F464" s="244"/>
      <c r="G464" s="688"/>
      <c r="H464" s="688"/>
      <c r="I464" s="239"/>
      <c r="J464" s="239"/>
      <c r="K464" s="688"/>
      <c r="L464" s="7"/>
      <c r="M464" s="7"/>
      <c r="N464" s="7"/>
      <c r="O464" s="7"/>
      <c r="P464" s="239"/>
      <c r="Q464" s="7"/>
      <c r="R464" s="7"/>
      <c r="S464" s="7"/>
      <c r="T464" s="7"/>
      <c r="U464" s="7"/>
      <c r="V464" s="7"/>
      <c r="W464" s="7"/>
      <c r="X464" s="7"/>
      <c r="Y464" s="7"/>
      <c r="Z464" s="708"/>
      <c r="AA464" s="7"/>
      <c r="AB464" s="7"/>
      <c r="AC464" s="7"/>
      <c r="AD464" s="7"/>
      <c r="AE464" s="7"/>
      <c r="AF464" s="7"/>
      <c r="AG464" s="7"/>
      <c r="AH464" s="7"/>
    </row>
    <row r="465" spans="1:34" ht="15.75" customHeight="1">
      <c r="A465" s="686"/>
      <c r="B465" s="687"/>
      <c r="C465" s="243" t="s">
        <v>19</v>
      </c>
      <c r="D465" s="242">
        <f>COUNTIF($D$11:$Y$11,"Yên Bái")</f>
        <v>0</v>
      </c>
      <c r="E465" s="688"/>
      <c r="F465" s="244"/>
      <c r="G465" s="688"/>
      <c r="H465" s="688"/>
      <c r="I465" s="239"/>
      <c r="J465" s="239"/>
      <c r="K465" s="688"/>
      <c r="L465" s="7"/>
      <c r="M465" s="7"/>
      <c r="N465" s="7"/>
      <c r="O465" s="7"/>
      <c r="P465" s="239"/>
      <c r="Q465" s="7"/>
      <c r="R465" s="7"/>
      <c r="S465" s="7"/>
      <c r="T465" s="7"/>
      <c r="U465" s="7"/>
      <c r="V465" s="7"/>
      <c r="W465" s="7"/>
      <c r="X465" s="7"/>
      <c r="Y465" s="7"/>
      <c r="Z465" s="708"/>
      <c r="AA465" s="7"/>
      <c r="AB465" s="7"/>
      <c r="AC465" s="7"/>
      <c r="AD465" s="7"/>
      <c r="AE465" s="7"/>
      <c r="AF465" s="7"/>
      <c r="AG465" s="7"/>
      <c r="AH465" s="7"/>
    </row>
    <row r="466" spans="1:34" ht="15.75" customHeight="1">
      <c r="A466" s="686"/>
      <c r="B466" s="687"/>
      <c r="C466" s="243" t="s">
        <v>18</v>
      </c>
      <c r="D466" s="242">
        <f>COUNTIF($D$11:$Y$11,"Tuyên Quang")</f>
        <v>0</v>
      </c>
      <c r="E466" s="688"/>
      <c r="F466" s="244"/>
      <c r="G466" s="688"/>
      <c r="H466" s="688"/>
      <c r="I466" s="239"/>
      <c r="J466" s="239"/>
      <c r="K466" s="688"/>
      <c r="L466" s="7"/>
      <c r="M466" s="7"/>
      <c r="N466" s="7"/>
      <c r="O466" s="7"/>
      <c r="P466" s="239"/>
      <c r="Q466" s="7"/>
      <c r="R466" s="7"/>
      <c r="S466" s="7"/>
      <c r="T466" s="7"/>
      <c r="U466" s="7"/>
      <c r="V466" s="7"/>
      <c r="W466" s="7"/>
      <c r="X466" s="7"/>
      <c r="Y466" s="7"/>
      <c r="Z466" s="708"/>
      <c r="AA466" s="7"/>
      <c r="AB466" s="7"/>
      <c r="AC466" s="7"/>
      <c r="AD466" s="7"/>
      <c r="AE466" s="7"/>
      <c r="AF466" s="7"/>
      <c r="AG466" s="7"/>
      <c r="AH466" s="7"/>
    </row>
    <row r="467" spans="1:34" ht="15.75" customHeight="1">
      <c r="A467" s="686"/>
      <c r="B467" s="687"/>
      <c r="C467" s="243" t="s">
        <v>1091</v>
      </c>
      <c r="D467" s="242">
        <f>COUNTIF($D$11:$Y$11,"Thái Nguyên")</f>
        <v>0</v>
      </c>
      <c r="E467" s="688"/>
      <c r="F467" s="244"/>
      <c r="G467" s="688"/>
      <c r="H467" s="688"/>
      <c r="I467" s="239"/>
      <c r="J467" s="239"/>
      <c r="K467" s="688"/>
      <c r="L467" s="7"/>
      <c r="M467" s="7"/>
      <c r="N467" s="7"/>
      <c r="O467" s="7"/>
      <c r="P467" s="239"/>
      <c r="Q467" s="7"/>
      <c r="R467" s="7"/>
      <c r="S467" s="7"/>
      <c r="T467" s="7"/>
      <c r="U467" s="7"/>
      <c r="V467" s="7"/>
      <c r="W467" s="7"/>
      <c r="X467" s="7"/>
      <c r="Y467" s="7"/>
      <c r="Z467" s="708"/>
      <c r="AA467" s="7"/>
      <c r="AB467" s="7"/>
      <c r="AC467" s="7"/>
      <c r="AD467" s="7"/>
      <c r="AE467" s="7"/>
      <c r="AF467" s="7"/>
      <c r="AG467" s="7"/>
      <c r="AH467" s="7"/>
    </row>
    <row r="468" spans="1:34" ht="15.75" customHeight="1">
      <c r="A468" s="686"/>
      <c r="B468" s="687"/>
      <c r="C468" s="243" t="s">
        <v>15</v>
      </c>
      <c r="D468" s="242">
        <f>COUNTIF($D$11:$Y$11,"Bắc Kạn")</f>
        <v>0</v>
      </c>
      <c r="E468" s="688"/>
      <c r="F468" s="244"/>
      <c r="G468" s="688"/>
      <c r="H468" s="688"/>
      <c r="I468" s="239"/>
      <c r="J468" s="239"/>
      <c r="K468" s="688"/>
      <c r="L468" s="7"/>
      <c r="M468" s="7"/>
      <c r="N468" s="7"/>
      <c r="O468" s="7"/>
      <c r="P468" s="239"/>
      <c r="Q468" s="7"/>
      <c r="R468" s="7"/>
      <c r="S468" s="7"/>
      <c r="T468" s="7"/>
      <c r="U468" s="7"/>
      <c r="V468" s="7"/>
      <c r="W468" s="7"/>
      <c r="X468" s="7"/>
      <c r="Y468" s="7"/>
      <c r="Z468" s="708"/>
      <c r="AA468" s="7"/>
      <c r="AB468" s="7"/>
      <c r="AC468" s="7"/>
      <c r="AD468" s="7"/>
      <c r="AE468" s="7"/>
      <c r="AF468" s="7"/>
      <c r="AG468" s="7"/>
      <c r="AH468" s="7"/>
    </row>
    <row r="469" spans="1:34" ht="15.75" customHeight="1">
      <c r="A469" s="686"/>
      <c r="B469" s="687"/>
      <c r="C469" s="243" t="s">
        <v>25</v>
      </c>
      <c r="D469" s="242">
        <f>COUNTIF($D$11:$Y$11,"Hoà Bình")</f>
        <v>0</v>
      </c>
      <c r="E469" s="688"/>
      <c r="F469" s="244"/>
      <c r="G469" s="688"/>
      <c r="H469" s="688"/>
      <c r="I469" s="239"/>
      <c r="J469" s="239"/>
      <c r="K469" s="688"/>
      <c r="L469" s="7"/>
      <c r="M469" s="7"/>
      <c r="N469" s="7"/>
      <c r="O469" s="7"/>
      <c r="P469" s="239"/>
      <c r="Q469" s="7"/>
      <c r="R469" s="7"/>
      <c r="S469" s="7"/>
      <c r="T469" s="7"/>
      <c r="U469" s="7"/>
      <c r="V469" s="7"/>
      <c r="W469" s="7"/>
      <c r="X469" s="7"/>
      <c r="Y469" s="7"/>
      <c r="Z469" s="708"/>
      <c r="AA469" s="7"/>
      <c r="AB469" s="7"/>
      <c r="AC469" s="7"/>
      <c r="AD469" s="7"/>
      <c r="AE469" s="7"/>
      <c r="AF469" s="7"/>
      <c r="AG469" s="7"/>
      <c r="AH469" s="7"/>
    </row>
    <row r="470" spans="1:34" ht="15.75" customHeight="1">
      <c r="A470" s="686"/>
      <c r="B470" s="687"/>
      <c r="C470" s="243" t="s">
        <v>1092</v>
      </c>
      <c r="D470" s="242">
        <f>COUNTIF($D$11:$Y$11,"Bắc Giang")</f>
        <v>0</v>
      </c>
      <c r="E470" s="688"/>
      <c r="F470" s="244"/>
      <c r="G470" s="688"/>
      <c r="H470" s="688"/>
      <c r="I470" s="239"/>
      <c r="J470" s="239"/>
      <c r="K470" s="688"/>
      <c r="L470" s="7"/>
      <c r="M470" s="7"/>
      <c r="N470" s="7"/>
      <c r="O470" s="7"/>
      <c r="P470" s="239"/>
      <c r="Q470" s="7"/>
      <c r="R470" s="7"/>
      <c r="S470" s="7"/>
      <c r="T470" s="7"/>
      <c r="U470" s="7"/>
      <c r="V470" s="7"/>
      <c r="W470" s="7"/>
      <c r="X470" s="7"/>
      <c r="Y470" s="7"/>
      <c r="Z470" s="708"/>
      <c r="AA470" s="7"/>
      <c r="AB470" s="7"/>
      <c r="AC470" s="7"/>
      <c r="AD470" s="7"/>
      <c r="AE470" s="7"/>
      <c r="AF470" s="7"/>
      <c r="AG470" s="7"/>
      <c r="AH470" s="7"/>
    </row>
    <row r="471" spans="1:34" ht="15.75" customHeight="1">
      <c r="A471" s="686"/>
      <c r="B471" s="687"/>
      <c r="C471" s="243" t="s">
        <v>28</v>
      </c>
      <c r="D471" s="242">
        <f>COUNTIF($D$11:$Y$11,"Quảng Ninh")</f>
        <v>0</v>
      </c>
      <c r="E471" s="688"/>
      <c r="F471" s="244"/>
      <c r="G471" s="688"/>
      <c r="H471" s="688"/>
      <c r="I471" s="239"/>
      <c r="J471" s="239"/>
      <c r="K471" s="688"/>
      <c r="L471" s="7"/>
      <c r="M471" s="7"/>
      <c r="N471" s="7"/>
      <c r="O471" s="7"/>
      <c r="P471" s="239"/>
      <c r="Q471" s="7"/>
      <c r="R471" s="7"/>
      <c r="S471" s="7"/>
      <c r="T471" s="7"/>
      <c r="U471" s="7"/>
      <c r="V471" s="7"/>
      <c r="W471" s="7"/>
      <c r="X471" s="7"/>
      <c r="Y471" s="7"/>
      <c r="Z471" s="708"/>
      <c r="AA471" s="7"/>
      <c r="AB471" s="7"/>
      <c r="AC471" s="7"/>
      <c r="AD471" s="7"/>
      <c r="AE471" s="7"/>
      <c r="AF471" s="7"/>
      <c r="AG471" s="7"/>
      <c r="AH471" s="7"/>
    </row>
    <row r="472" spans="1:34" ht="15.75" customHeight="1">
      <c r="A472" s="686"/>
      <c r="B472" s="687"/>
      <c r="C472" s="243" t="s">
        <v>26</v>
      </c>
      <c r="D472" s="242">
        <f>COUNTIF($D$11:$Y$11,"Hà Nội")</f>
        <v>0</v>
      </c>
      <c r="E472" s="688"/>
      <c r="F472" s="244"/>
      <c r="G472" s="688"/>
      <c r="H472" s="688"/>
      <c r="I472" s="239"/>
      <c r="J472" s="239"/>
      <c r="K472" s="688"/>
      <c r="L472" s="7"/>
      <c r="M472" s="7"/>
      <c r="N472" s="7"/>
      <c r="O472" s="7"/>
      <c r="P472" s="239"/>
      <c r="Q472" s="7"/>
      <c r="R472" s="7"/>
      <c r="S472" s="7"/>
      <c r="T472" s="7"/>
      <c r="U472" s="7"/>
      <c r="V472" s="7"/>
      <c r="W472" s="7"/>
      <c r="X472" s="7"/>
      <c r="Y472" s="7"/>
      <c r="Z472" s="708"/>
      <c r="AA472" s="7"/>
      <c r="AB472" s="7"/>
      <c r="AC472" s="7"/>
      <c r="AD472" s="7"/>
      <c r="AE472" s="7"/>
      <c r="AF472" s="7"/>
      <c r="AG472" s="7"/>
      <c r="AH472" s="7"/>
    </row>
    <row r="473" spans="1:34" ht="15.75" customHeight="1">
      <c r="A473" s="686"/>
      <c r="B473" s="687"/>
      <c r="C473" s="243" t="s">
        <v>21</v>
      </c>
      <c r="D473" s="242">
        <f>COUNTIF($D$11:$Y$11,"Phú Thọ")</f>
        <v>0</v>
      </c>
      <c r="E473" s="688"/>
      <c r="F473" s="244"/>
      <c r="G473" s="688"/>
      <c r="H473" s="688"/>
      <c r="I473" s="239"/>
      <c r="J473" s="239"/>
      <c r="K473" s="688"/>
      <c r="L473" s="7"/>
      <c r="M473" s="7"/>
      <c r="N473" s="7"/>
      <c r="O473" s="7"/>
      <c r="P473" s="239"/>
      <c r="Q473" s="7"/>
      <c r="R473" s="7"/>
      <c r="S473" s="7"/>
      <c r="T473" s="7"/>
      <c r="U473" s="7"/>
      <c r="V473" s="7"/>
      <c r="W473" s="7"/>
      <c r="X473" s="7"/>
      <c r="Y473" s="7"/>
      <c r="Z473" s="708"/>
      <c r="AA473" s="7"/>
      <c r="AB473" s="7"/>
      <c r="AC473" s="7"/>
      <c r="AD473" s="7"/>
      <c r="AE473" s="7"/>
      <c r="AF473" s="7"/>
      <c r="AG473" s="7"/>
      <c r="AH473" s="7"/>
    </row>
    <row r="474" spans="1:34" ht="15.75" customHeight="1">
      <c r="A474" s="686"/>
      <c r="B474" s="687"/>
      <c r="C474" s="243" t="s">
        <v>1093</v>
      </c>
      <c r="D474" s="242">
        <f>COUNTIF($D$11:$Y$11,"Vĩnh Phúc")</f>
        <v>0</v>
      </c>
      <c r="E474" s="688"/>
      <c r="F474" s="244"/>
      <c r="G474" s="688"/>
      <c r="H474" s="688"/>
      <c r="I474" s="239"/>
      <c r="J474" s="239"/>
      <c r="K474" s="688"/>
      <c r="L474" s="7"/>
      <c r="M474" s="7"/>
      <c r="N474" s="7"/>
      <c r="O474" s="7"/>
      <c r="P474" s="239"/>
      <c r="Q474" s="7"/>
      <c r="R474" s="7"/>
      <c r="S474" s="7"/>
      <c r="T474" s="7"/>
      <c r="U474" s="7"/>
      <c r="V474" s="7"/>
      <c r="W474" s="7"/>
      <c r="X474" s="7"/>
      <c r="Y474" s="7"/>
      <c r="Z474" s="708"/>
      <c r="AA474" s="7"/>
      <c r="AB474" s="7"/>
      <c r="AC474" s="7"/>
      <c r="AD474" s="7"/>
      <c r="AE474" s="7"/>
      <c r="AF474" s="7"/>
      <c r="AG474" s="7"/>
      <c r="AH474" s="7"/>
    </row>
    <row r="475" spans="1:34" ht="15.75" customHeight="1">
      <c r="A475" s="686"/>
      <c r="B475" s="687"/>
      <c r="C475" s="243" t="s">
        <v>32</v>
      </c>
      <c r="D475" s="242">
        <f>COUNTIF($D$11:$Y$11,"Bắc Ninh")</f>
        <v>0</v>
      </c>
      <c r="E475" s="688"/>
      <c r="F475" s="244"/>
      <c r="G475" s="688"/>
      <c r="H475" s="688"/>
      <c r="I475" s="239"/>
      <c r="J475" s="239"/>
      <c r="K475" s="688"/>
      <c r="L475" s="7"/>
      <c r="M475" s="7"/>
      <c r="N475" s="7"/>
      <c r="O475" s="7"/>
      <c r="P475" s="239"/>
      <c r="Q475" s="7"/>
      <c r="R475" s="7"/>
      <c r="S475" s="7"/>
      <c r="T475" s="7"/>
      <c r="U475" s="7"/>
      <c r="V475" s="7"/>
      <c r="W475" s="7"/>
      <c r="X475" s="7"/>
      <c r="Y475" s="7"/>
      <c r="Z475" s="708"/>
      <c r="AA475" s="7"/>
      <c r="AB475" s="7"/>
      <c r="AC475" s="7"/>
      <c r="AD475" s="7"/>
      <c r="AE475" s="7"/>
      <c r="AF475" s="7"/>
      <c r="AG475" s="7"/>
      <c r="AH475" s="7"/>
    </row>
    <row r="476" spans="1:34" ht="15.75" customHeight="1">
      <c r="A476" s="686"/>
      <c r="B476" s="687"/>
      <c r="C476" s="243" t="s">
        <v>29</v>
      </c>
      <c r="D476" s="242">
        <f>COUNTIF($D$11:$Y$11,"Hải Dương")</f>
        <v>0</v>
      </c>
      <c r="E476" s="688"/>
      <c r="F476" s="244"/>
      <c r="G476" s="688"/>
      <c r="H476" s="688"/>
      <c r="I476" s="239"/>
      <c r="J476" s="239"/>
      <c r="K476" s="688"/>
      <c r="L476" s="7"/>
      <c r="M476" s="7"/>
      <c r="N476" s="7"/>
      <c r="O476" s="7"/>
      <c r="P476" s="239"/>
      <c r="Q476" s="7"/>
      <c r="R476" s="7"/>
      <c r="S476" s="7"/>
      <c r="T476" s="7"/>
      <c r="U476" s="7"/>
      <c r="V476" s="7"/>
      <c r="W476" s="7"/>
      <c r="X476" s="7"/>
      <c r="Y476" s="7"/>
      <c r="Z476" s="708"/>
      <c r="AA476" s="7"/>
      <c r="AB476" s="7"/>
      <c r="AC476" s="7"/>
      <c r="AD476" s="7"/>
      <c r="AE476" s="7"/>
      <c r="AF476" s="7"/>
      <c r="AG476" s="7"/>
      <c r="AH476" s="7"/>
    </row>
    <row r="477" spans="1:34" ht="15.75" customHeight="1">
      <c r="A477" s="686"/>
      <c r="B477" s="687"/>
      <c r="C477" s="243" t="s">
        <v>30</v>
      </c>
      <c r="D477" s="242">
        <f>COUNTIF($D$11:$Y$11,"Hưng Yên")</f>
        <v>0</v>
      </c>
      <c r="E477" s="688"/>
      <c r="F477" s="244"/>
      <c r="G477" s="688"/>
      <c r="H477" s="688"/>
      <c r="I477" s="239"/>
      <c r="J477" s="239"/>
      <c r="K477" s="688"/>
      <c r="L477" s="7"/>
      <c r="M477" s="7"/>
      <c r="N477" s="7"/>
      <c r="O477" s="7"/>
      <c r="P477" s="239"/>
      <c r="Q477" s="7"/>
      <c r="R477" s="7"/>
      <c r="S477" s="7"/>
      <c r="T477" s="7"/>
      <c r="U477" s="7"/>
      <c r="V477" s="7"/>
      <c r="W477" s="7"/>
      <c r="X477" s="7"/>
      <c r="Y477" s="7"/>
      <c r="Z477" s="708"/>
      <c r="AA477" s="7"/>
      <c r="AB477" s="7"/>
      <c r="AC477" s="7"/>
      <c r="AD477" s="7"/>
      <c r="AE477" s="7"/>
      <c r="AF477" s="7"/>
      <c r="AG477" s="7"/>
      <c r="AH477" s="7"/>
    </row>
    <row r="478" spans="1:34" ht="15.75" customHeight="1">
      <c r="A478" s="686"/>
      <c r="B478" s="687"/>
      <c r="C478" s="243" t="s">
        <v>27</v>
      </c>
      <c r="D478" s="242">
        <f>COUNTIF($D$11:$Y$11,"Hải Phòng")</f>
        <v>0</v>
      </c>
      <c r="E478" s="688"/>
      <c r="F478" s="244"/>
      <c r="G478" s="688"/>
      <c r="H478" s="688"/>
      <c r="I478" s="239"/>
      <c r="J478" s="239"/>
      <c r="K478" s="688"/>
      <c r="L478" s="7"/>
      <c r="M478" s="7"/>
      <c r="N478" s="7"/>
      <c r="O478" s="7"/>
      <c r="P478" s="239"/>
      <c r="Q478" s="7"/>
      <c r="R478" s="7"/>
      <c r="S478" s="7"/>
      <c r="T478" s="7"/>
      <c r="U478" s="7"/>
      <c r="V478" s="7"/>
      <c r="W478" s="7"/>
      <c r="X478" s="7"/>
      <c r="Y478" s="7"/>
      <c r="Z478" s="708"/>
      <c r="AA478" s="7"/>
      <c r="AB478" s="7"/>
      <c r="AC478" s="7"/>
      <c r="AD478" s="7"/>
      <c r="AE478" s="7"/>
      <c r="AF478" s="7"/>
      <c r="AG478" s="7"/>
      <c r="AH478" s="7"/>
    </row>
    <row r="479" spans="1:34" ht="15.75" customHeight="1">
      <c r="A479" s="686"/>
      <c r="B479" s="687"/>
      <c r="C479" s="243" t="s">
        <v>33</v>
      </c>
      <c r="D479" s="242">
        <f>COUNTIF($D$11:$Y$11,"Hà Nam")</f>
        <v>0</v>
      </c>
      <c r="E479" s="688"/>
      <c r="F479" s="244"/>
      <c r="G479" s="688"/>
      <c r="H479" s="688"/>
      <c r="I479" s="239"/>
      <c r="J479" s="239"/>
      <c r="K479" s="688"/>
      <c r="L479" s="7"/>
      <c r="M479" s="7"/>
      <c r="N479" s="7"/>
      <c r="O479" s="7"/>
      <c r="P479" s="239"/>
      <c r="Q479" s="7"/>
      <c r="R479" s="7"/>
      <c r="S479" s="7"/>
      <c r="T479" s="7"/>
      <c r="U479" s="7"/>
      <c r="V479" s="7"/>
      <c r="W479" s="7"/>
      <c r="X479" s="7"/>
      <c r="Y479" s="7"/>
      <c r="Z479" s="708"/>
      <c r="AA479" s="7"/>
      <c r="AB479" s="7"/>
      <c r="AC479" s="7"/>
      <c r="AD479" s="7"/>
      <c r="AE479" s="7"/>
      <c r="AF479" s="7"/>
      <c r="AG479" s="7"/>
      <c r="AH479" s="7"/>
    </row>
    <row r="480" spans="1:34" ht="15.75" customHeight="1">
      <c r="A480" s="686"/>
      <c r="B480" s="687"/>
      <c r="C480" s="243" t="s">
        <v>36</v>
      </c>
      <c r="D480" s="242">
        <f>COUNTIF($D$11:$Y$11,"Nam Định")</f>
        <v>0</v>
      </c>
      <c r="E480" s="688"/>
      <c r="F480" s="244"/>
      <c r="G480" s="688"/>
      <c r="H480" s="688"/>
      <c r="I480" s="239"/>
      <c r="J480" s="239"/>
      <c r="K480" s="688"/>
      <c r="L480" s="7"/>
      <c r="M480" s="7"/>
      <c r="N480" s="7"/>
      <c r="O480" s="7"/>
      <c r="P480" s="239"/>
      <c r="Q480" s="7"/>
      <c r="R480" s="7"/>
      <c r="S480" s="7"/>
      <c r="T480" s="7"/>
      <c r="U480" s="7"/>
      <c r="V480" s="7"/>
      <c r="W480" s="7"/>
      <c r="X480" s="7"/>
      <c r="Y480" s="7"/>
      <c r="Z480" s="708"/>
      <c r="AA480" s="7"/>
      <c r="AB480" s="7"/>
      <c r="AC480" s="7"/>
      <c r="AD480" s="7"/>
      <c r="AE480" s="7"/>
      <c r="AF480" s="7"/>
      <c r="AG480" s="7"/>
      <c r="AH480" s="7"/>
    </row>
    <row r="481" spans="1:34" ht="15.75" customHeight="1">
      <c r="A481" s="686"/>
      <c r="B481" s="687"/>
      <c r="C481" s="243" t="s">
        <v>1094</v>
      </c>
      <c r="D481" s="242">
        <f>COUNTIF($D$11:$Y$11,"Thái Bình")</f>
        <v>0</v>
      </c>
      <c r="E481" s="688"/>
      <c r="F481" s="244"/>
      <c r="G481" s="688"/>
      <c r="H481" s="688"/>
      <c r="I481" s="239"/>
      <c r="J481" s="239"/>
      <c r="K481" s="688"/>
      <c r="L481" s="7"/>
      <c r="M481" s="7"/>
      <c r="N481" s="7"/>
      <c r="O481" s="7"/>
      <c r="P481" s="239"/>
      <c r="Q481" s="7"/>
      <c r="R481" s="7"/>
      <c r="S481" s="7"/>
      <c r="T481" s="7"/>
      <c r="U481" s="7"/>
      <c r="V481" s="7"/>
      <c r="W481" s="7"/>
      <c r="X481" s="7"/>
      <c r="Y481" s="7"/>
      <c r="Z481" s="708"/>
      <c r="AA481" s="7"/>
      <c r="AB481" s="7"/>
      <c r="AC481" s="7"/>
      <c r="AD481" s="7"/>
      <c r="AE481" s="7"/>
      <c r="AF481" s="7"/>
      <c r="AG481" s="7"/>
      <c r="AH481" s="7"/>
    </row>
    <row r="482" spans="1:34" ht="15.75" customHeight="1">
      <c r="A482" s="686"/>
      <c r="B482" s="687"/>
      <c r="C482" s="243" t="s">
        <v>34</v>
      </c>
      <c r="D482" s="242">
        <f>COUNTIF($D$11:$Y$11,"Ninh Bình")</f>
        <v>0</v>
      </c>
      <c r="E482" s="688"/>
      <c r="F482" s="244"/>
      <c r="G482" s="688"/>
      <c r="H482" s="688"/>
      <c r="I482" s="239"/>
      <c r="J482" s="239"/>
      <c r="K482" s="688"/>
      <c r="L482" s="7"/>
      <c r="M482" s="7"/>
      <c r="N482" s="7"/>
      <c r="O482" s="7"/>
      <c r="P482" s="239"/>
      <c r="Q482" s="7"/>
      <c r="R482" s="7"/>
      <c r="S482" s="7"/>
      <c r="T482" s="7"/>
      <c r="U482" s="7"/>
      <c r="V482" s="7"/>
      <c r="W482" s="7"/>
      <c r="X482" s="7"/>
      <c r="Y482" s="7"/>
      <c r="Z482" s="708"/>
      <c r="AA482" s="7"/>
      <c r="AB482" s="7"/>
      <c r="AC482" s="7"/>
      <c r="AD482" s="7"/>
      <c r="AE482" s="7"/>
      <c r="AF482" s="7"/>
      <c r="AG482" s="7"/>
      <c r="AH482" s="7"/>
    </row>
    <row r="483" spans="1:34" ht="15.75" customHeight="1">
      <c r="A483" s="686"/>
      <c r="B483" s="687"/>
      <c r="C483" s="243" t="s">
        <v>37</v>
      </c>
      <c r="D483" s="242">
        <f>COUNTIF($D$11:$Y$11,"Thanh Hoá")</f>
        <v>0</v>
      </c>
      <c r="E483" s="688"/>
      <c r="F483" s="244"/>
      <c r="G483" s="688"/>
      <c r="H483" s="688"/>
      <c r="I483" s="239"/>
      <c r="J483" s="239"/>
      <c r="K483" s="688"/>
      <c r="L483" s="7"/>
      <c r="M483" s="7"/>
      <c r="N483" s="7"/>
      <c r="O483" s="7"/>
      <c r="P483" s="239"/>
      <c r="Q483" s="7"/>
      <c r="R483" s="7"/>
      <c r="S483" s="7"/>
      <c r="T483" s="7"/>
      <c r="U483" s="7"/>
      <c r="V483" s="7"/>
      <c r="W483" s="7"/>
      <c r="X483" s="7"/>
      <c r="Y483" s="7"/>
      <c r="Z483" s="708"/>
      <c r="AA483" s="7"/>
      <c r="AB483" s="7"/>
      <c r="AC483" s="7"/>
      <c r="AD483" s="7"/>
      <c r="AE483" s="7"/>
      <c r="AF483" s="7"/>
      <c r="AG483" s="7"/>
      <c r="AH483" s="7"/>
    </row>
    <row r="484" spans="1:34" ht="15.75" customHeight="1">
      <c r="A484" s="686"/>
      <c r="B484" s="687"/>
      <c r="C484" s="243" t="s">
        <v>1095</v>
      </c>
      <c r="D484" s="242">
        <f>COUNTIF($D$11:$Y$11,"Nghệ An")</f>
        <v>0</v>
      </c>
      <c r="E484" s="688"/>
      <c r="F484" s="244"/>
      <c r="G484" s="688"/>
      <c r="H484" s="688"/>
      <c r="I484" s="239"/>
      <c r="J484" s="239"/>
      <c r="K484" s="688"/>
      <c r="L484" s="7"/>
      <c r="M484" s="7"/>
      <c r="N484" s="7"/>
      <c r="O484" s="7"/>
      <c r="P484" s="239"/>
      <c r="Q484" s="7"/>
      <c r="R484" s="7"/>
      <c r="S484" s="7"/>
      <c r="T484" s="7"/>
      <c r="U484" s="7"/>
      <c r="V484" s="7"/>
      <c r="W484" s="7"/>
      <c r="X484" s="7"/>
      <c r="Y484" s="7"/>
      <c r="Z484" s="708"/>
      <c r="AA484" s="7"/>
      <c r="AB484" s="7"/>
      <c r="AC484" s="7"/>
      <c r="AD484" s="7"/>
      <c r="AE484" s="7"/>
      <c r="AF484" s="7"/>
      <c r="AG484" s="7"/>
      <c r="AH484" s="7"/>
    </row>
    <row r="485" spans="1:34" ht="15.75" customHeight="1">
      <c r="A485" s="686"/>
      <c r="B485" s="687"/>
      <c r="C485" s="243" t="s">
        <v>1096</v>
      </c>
      <c r="D485" s="242">
        <f>COUNTIF($D$11:$Y$11,"Hà Tĩnh")</f>
        <v>0</v>
      </c>
      <c r="E485" s="688"/>
      <c r="F485" s="244"/>
      <c r="G485" s="688"/>
      <c r="H485" s="688"/>
      <c r="I485" s="239"/>
      <c r="J485" s="239"/>
      <c r="K485" s="688"/>
      <c r="L485" s="7"/>
      <c r="M485" s="7"/>
      <c r="N485" s="7"/>
      <c r="O485" s="7"/>
      <c r="P485" s="239"/>
      <c r="Q485" s="7"/>
      <c r="R485" s="7"/>
      <c r="S485" s="7"/>
      <c r="T485" s="7"/>
      <c r="U485" s="7"/>
      <c r="V485" s="7"/>
      <c r="W485" s="7"/>
      <c r="X485" s="7"/>
      <c r="Y485" s="7"/>
      <c r="Z485" s="708"/>
      <c r="AA485" s="7"/>
      <c r="AB485" s="7"/>
      <c r="AC485" s="7"/>
      <c r="AD485" s="7"/>
      <c r="AE485" s="7"/>
      <c r="AF485" s="7"/>
      <c r="AG485" s="7"/>
      <c r="AH485" s="7"/>
    </row>
    <row r="486" spans="1:34" ht="15.75" customHeight="1">
      <c r="A486" s="686"/>
      <c r="B486" s="687"/>
      <c r="C486" s="243" t="s">
        <v>1097</v>
      </c>
      <c r="D486" s="242">
        <f>COUNTIF($D$11:$Y$11,"Quảng Bình")</f>
        <v>0</v>
      </c>
      <c r="E486" s="688"/>
      <c r="F486" s="244"/>
      <c r="G486" s="688"/>
      <c r="H486" s="688"/>
      <c r="I486" s="239"/>
      <c r="J486" s="239"/>
      <c r="K486" s="688"/>
      <c r="L486" s="7"/>
      <c r="M486" s="7"/>
      <c r="N486" s="7"/>
      <c r="O486" s="7"/>
      <c r="P486" s="239"/>
      <c r="Q486" s="7"/>
      <c r="R486" s="7"/>
      <c r="S486" s="7"/>
      <c r="T486" s="7"/>
      <c r="U486" s="7"/>
      <c r="V486" s="7"/>
      <c r="W486" s="7"/>
      <c r="X486" s="7"/>
      <c r="Y486" s="7"/>
      <c r="Z486" s="708"/>
      <c r="AA486" s="7"/>
      <c r="AB486" s="7"/>
      <c r="AC486" s="7"/>
      <c r="AD486" s="7"/>
      <c r="AE486" s="7"/>
      <c r="AF486" s="7"/>
      <c r="AG486" s="7"/>
      <c r="AH486" s="7"/>
    </row>
    <row r="487" spans="1:34" ht="15.75" customHeight="1">
      <c r="A487" s="686"/>
      <c r="B487" s="687"/>
      <c r="C487" s="243" t="s">
        <v>1098</v>
      </c>
      <c r="D487" s="242">
        <f>COUNTIF($D$11:$Y$11,"Quảng Trị")</f>
        <v>0</v>
      </c>
      <c r="E487" s="688"/>
      <c r="F487" s="244"/>
      <c r="G487" s="688"/>
      <c r="H487" s="688"/>
      <c r="I487" s="239"/>
      <c r="J487" s="239"/>
      <c r="K487" s="688"/>
      <c r="L487" s="7"/>
      <c r="M487" s="7"/>
      <c r="N487" s="7"/>
      <c r="O487" s="7"/>
      <c r="P487" s="239"/>
      <c r="Q487" s="7"/>
      <c r="R487" s="7"/>
      <c r="S487" s="7"/>
      <c r="T487" s="7"/>
      <c r="U487" s="7"/>
      <c r="V487" s="7"/>
      <c r="W487" s="7"/>
      <c r="X487" s="7"/>
      <c r="Y487" s="7"/>
      <c r="Z487" s="708"/>
      <c r="AA487" s="7"/>
      <c r="AB487" s="7"/>
      <c r="AC487" s="7"/>
      <c r="AD487" s="7"/>
      <c r="AE487" s="7"/>
      <c r="AF487" s="7"/>
      <c r="AG487" s="7"/>
      <c r="AH487" s="7"/>
    </row>
    <row r="488" spans="1:34" ht="15.75" customHeight="1">
      <c r="A488" s="686"/>
      <c r="B488" s="687"/>
      <c r="C488" s="243" t="s">
        <v>1099</v>
      </c>
      <c r="D488" s="242">
        <f>COUNTIF($D$11:$Y$11,"Thừa Thiên Huế")</f>
        <v>0</v>
      </c>
      <c r="E488" s="688"/>
      <c r="F488" s="244"/>
      <c r="G488" s="688"/>
      <c r="H488" s="688"/>
      <c r="I488" s="239"/>
      <c r="J488" s="239"/>
      <c r="K488" s="688"/>
      <c r="L488" s="7"/>
      <c r="M488" s="7"/>
      <c r="N488" s="7"/>
      <c r="O488" s="7"/>
      <c r="P488" s="239"/>
      <c r="Q488" s="7"/>
      <c r="R488" s="7"/>
      <c r="S488" s="7"/>
      <c r="T488" s="7"/>
      <c r="U488" s="7"/>
      <c r="V488" s="7"/>
      <c r="W488" s="7"/>
      <c r="X488" s="7"/>
      <c r="Y488" s="7"/>
      <c r="Z488" s="708"/>
      <c r="AA488" s="7"/>
      <c r="AB488" s="7"/>
      <c r="AC488" s="7"/>
      <c r="AD488" s="7"/>
      <c r="AE488" s="7"/>
      <c r="AF488" s="7"/>
      <c r="AG488" s="7"/>
      <c r="AH488" s="7"/>
    </row>
    <row r="489" spans="1:34" ht="15.75" customHeight="1">
      <c r="A489" s="686"/>
      <c r="B489" s="687"/>
      <c r="C489" s="243" t="s">
        <v>1100</v>
      </c>
      <c r="D489" s="242">
        <f>COUNTIF($D$11:$Y$11,"Đà Nẵng")</f>
        <v>0</v>
      </c>
      <c r="E489" s="688"/>
      <c r="F489" s="244"/>
      <c r="G489" s="688"/>
      <c r="H489" s="688"/>
      <c r="I489" s="239"/>
      <c r="J489" s="239"/>
      <c r="K489" s="688"/>
      <c r="L489" s="7"/>
      <c r="M489" s="7"/>
      <c r="N489" s="7"/>
      <c r="O489" s="7"/>
      <c r="P489" s="239"/>
      <c r="Q489" s="7"/>
      <c r="R489" s="7"/>
      <c r="S489" s="7"/>
      <c r="T489" s="7"/>
      <c r="U489" s="7"/>
      <c r="V489" s="7"/>
      <c r="W489" s="7"/>
      <c r="X489" s="7"/>
      <c r="Y489" s="7"/>
      <c r="Z489" s="708"/>
      <c r="AA489" s="7"/>
      <c r="AB489" s="7"/>
      <c r="AC489" s="7"/>
      <c r="AD489" s="7"/>
      <c r="AE489" s="7"/>
      <c r="AF489" s="7"/>
      <c r="AG489" s="7"/>
      <c r="AH489" s="7"/>
    </row>
    <row r="490" spans="1:34" ht="15.75" customHeight="1">
      <c r="A490" s="686"/>
      <c r="B490" s="687"/>
      <c r="C490" s="243" t="s">
        <v>1101</v>
      </c>
      <c r="D490" s="242">
        <f>COUNTIF($D$11:$Y$11,"Quảng Nam")</f>
        <v>0</v>
      </c>
      <c r="E490" s="688"/>
      <c r="F490" s="244"/>
      <c r="G490" s="688"/>
      <c r="H490" s="688"/>
      <c r="I490" s="239"/>
      <c r="J490" s="239"/>
      <c r="K490" s="688"/>
      <c r="L490" s="7"/>
      <c r="M490" s="7"/>
      <c r="N490" s="7"/>
      <c r="O490" s="7"/>
      <c r="P490" s="239"/>
      <c r="Q490" s="7"/>
      <c r="R490" s="7"/>
      <c r="S490" s="7"/>
      <c r="T490" s="7"/>
      <c r="U490" s="7"/>
      <c r="V490" s="7"/>
      <c r="W490" s="7"/>
      <c r="X490" s="7"/>
      <c r="Y490" s="7"/>
      <c r="Z490" s="708"/>
      <c r="AA490" s="7"/>
      <c r="AB490" s="7"/>
      <c r="AC490" s="7"/>
      <c r="AD490" s="7"/>
      <c r="AE490" s="7"/>
      <c r="AF490" s="7"/>
      <c r="AG490" s="7"/>
      <c r="AH490" s="7"/>
    </row>
    <row r="491" spans="1:34" ht="15.75" customHeight="1">
      <c r="A491" s="686"/>
      <c r="B491" s="687"/>
      <c r="C491" s="243" t="s">
        <v>1102</v>
      </c>
      <c r="D491" s="242">
        <f>COUNTIF($D$11:$Y$11,"Quảng Ngãi")</f>
        <v>0</v>
      </c>
      <c r="E491" s="688"/>
      <c r="F491" s="244"/>
      <c r="G491" s="688"/>
      <c r="H491" s="688"/>
      <c r="I491" s="239"/>
      <c r="J491" s="239"/>
      <c r="K491" s="688"/>
      <c r="L491" s="7"/>
      <c r="M491" s="7"/>
      <c r="N491" s="7"/>
      <c r="O491" s="7"/>
      <c r="P491" s="239"/>
      <c r="Q491" s="7"/>
      <c r="R491" s="7"/>
      <c r="S491" s="7"/>
      <c r="T491" s="7"/>
      <c r="U491" s="7"/>
      <c r="V491" s="7"/>
      <c r="W491" s="7"/>
      <c r="X491" s="7"/>
      <c r="Y491" s="7"/>
      <c r="Z491" s="708"/>
      <c r="AA491" s="7"/>
      <c r="AB491" s="7"/>
      <c r="AC491" s="7"/>
      <c r="AD491" s="7"/>
      <c r="AE491" s="7"/>
      <c r="AF491" s="7"/>
      <c r="AG491" s="7"/>
      <c r="AH491" s="7"/>
    </row>
    <row r="492" spans="1:34" ht="15.75" customHeight="1">
      <c r="A492" s="686"/>
      <c r="B492" s="687"/>
      <c r="C492" s="243" t="s">
        <v>1103</v>
      </c>
      <c r="D492" s="242">
        <f>COUNTIF($D$11:$Y$11,"Bình Định")</f>
        <v>0</v>
      </c>
      <c r="E492" s="688"/>
      <c r="F492" s="244"/>
      <c r="G492" s="688"/>
      <c r="H492" s="688"/>
      <c r="I492" s="239"/>
      <c r="J492" s="239"/>
      <c r="K492" s="688"/>
      <c r="L492" s="7"/>
      <c r="M492" s="7"/>
      <c r="N492" s="7"/>
      <c r="O492" s="7"/>
      <c r="P492" s="239"/>
      <c r="Q492" s="7"/>
      <c r="R492" s="7"/>
      <c r="S492" s="7"/>
      <c r="T492" s="7"/>
      <c r="U492" s="7"/>
      <c r="V492" s="7"/>
      <c r="W492" s="7"/>
      <c r="X492" s="7"/>
      <c r="Y492" s="7"/>
      <c r="Z492" s="708"/>
      <c r="AA492" s="7"/>
      <c r="AB492" s="7"/>
      <c r="AC492" s="7"/>
      <c r="AD492" s="7"/>
      <c r="AE492" s="7"/>
      <c r="AF492" s="7"/>
      <c r="AG492" s="7"/>
      <c r="AH492" s="7"/>
    </row>
    <row r="493" spans="1:34" ht="15.75" customHeight="1">
      <c r="A493" s="686"/>
      <c r="B493" s="687"/>
      <c r="C493" s="243" t="s">
        <v>1104</v>
      </c>
      <c r="D493" s="242">
        <f>COUNTIF($D$11:$Y$11,"Phú Yên")</f>
        <v>0</v>
      </c>
      <c r="E493" s="688"/>
      <c r="F493" s="244"/>
      <c r="G493" s="688"/>
      <c r="H493" s="688"/>
      <c r="I493" s="239"/>
      <c r="J493" s="239"/>
      <c r="K493" s="688"/>
      <c r="L493" s="7"/>
      <c r="M493" s="7"/>
      <c r="N493" s="7"/>
      <c r="O493" s="7"/>
      <c r="P493" s="239"/>
      <c r="Q493" s="7"/>
      <c r="R493" s="7"/>
      <c r="S493" s="7"/>
      <c r="T493" s="7"/>
      <c r="U493" s="7"/>
      <c r="V493" s="7"/>
      <c r="W493" s="7"/>
      <c r="X493" s="7"/>
      <c r="Y493" s="7"/>
      <c r="Z493" s="708"/>
      <c r="AA493" s="7"/>
      <c r="AB493" s="7"/>
      <c r="AC493" s="7"/>
      <c r="AD493" s="7"/>
      <c r="AE493" s="7"/>
      <c r="AF493" s="7"/>
      <c r="AG493" s="7"/>
      <c r="AH493" s="7"/>
    </row>
    <row r="494" spans="1:34" ht="15.75" customHeight="1">
      <c r="A494" s="686"/>
      <c r="B494" s="687"/>
      <c r="C494" s="243" t="s">
        <v>1105</v>
      </c>
      <c r="D494" s="242">
        <f>COUNTIF($D$11:$Y$11,"Khánh Hoà")</f>
        <v>0</v>
      </c>
      <c r="E494" s="688"/>
      <c r="F494" s="244"/>
      <c r="G494" s="688"/>
      <c r="H494" s="688"/>
      <c r="I494" s="239"/>
      <c r="J494" s="239"/>
      <c r="K494" s="688"/>
      <c r="L494" s="7"/>
      <c r="M494" s="7"/>
      <c r="N494" s="7"/>
      <c r="O494" s="7"/>
      <c r="P494" s="239"/>
      <c r="Q494" s="7"/>
      <c r="R494" s="7"/>
      <c r="S494" s="7"/>
      <c r="T494" s="7"/>
      <c r="U494" s="7"/>
      <c r="V494" s="7"/>
      <c r="W494" s="7"/>
      <c r="X494" s="7"/>
      <c r="Y494" s="7"/>
      <c r="Z494" s="708"/>
      <c r="AA494" s="7"/>
      <c r="AB494" s="7"/>
      <c r="AC494" s="7"/>
      <c r="AD494" s="7"/>
      <c r="AE494" s="7"/>
      <c r="AF494" s="7"/>
      <c r="AG494" s="7"/>
      <c r="AH494" s="7"/>
    </row>
    <row r="495" spans="1:34" ht="15.75" customHeight="1">
      <c r="A495" s="686"/>
      <c r="B495" s="687"/>
      <c r="C495" s="243" t="s">
        <v>1106</v>
      </c>
      <c r="D495" s="242">
        <f>COUNTIF($D$11:$Y$11,"Ninh Thuận")</f>
        <v>0</v>
      </c>
      <c r="E495" s="688"/>
      <c r="F495" s="244"/>
      <c r="G495" s="688"/>
      <c r="H495" s="688"/>
      <c r="I495" s="239"/>
      <c r="J495" s="239"/>
      <c r="K495" s="688"/>
      <c r="L495" s="7"/>
      <c r="M495" s="7"/>
      <c r="N495" s="7"/>
      <c r="O495" s="7"/>
      <c r="P495" s="239"/>
      <c r="Q495" s="7"/>
      <c r="R495" s="7"/>
      <c r="S495" s="7"/>
      <c r="T495" s="7"/>
      <c r="U495" s="7"/>
      <c r="V495" s="7"/>
      <c r="W495" s="7"/>
      <c r="X495" s="7"/>
      <c r="Y495" s="7"/>
      <c r="Z495" s="708"/>
      <c r="AA495" s="7"/>
      <c r="AB495" s="7"/>
      <c r="AC495" s="7"/>
      <c r="AD495" s="7"/>
      <c r="AE495" s="7"/>
      <c r="AF495" s="7"/>
      <c r="AG495" s="7"/>
      <c r="AH495" s="7"/>
    </row>
    <row r="496" spans="1:34" ht="15.75" customHeight="1">
      <c r="A496" s="686"/>
      <c r="B496" s="687"/>
      <c r="C496" s="243" t="s">
        <v>1107</v>
      </c>
      <c r="D496" s="242">
        <f>COUNTIF($D$11:$Y$11,"Bình Thuận")</f>
        <v>0</v>
      </c>
      <c r="E496" s="688"/>
      <c r="F496" s="244"/>
      <c r="G496" s="688"/>
      <c r="H496" s="688"/>
      <c r="I496" s="239"/>
      <c r="J496" s="239"/>
      <c r="K496" s="688"/>
      <c r="L496" s="7"/>
      <c r="M496" s="7"/>
      <c r="N496" s="7"/>
      <c r="O496" s="7"/>
      <c r="P496" s="239"/>
      <c r="Q496" s="7"/>
      <c r="R496" s="7"/>
      <c r="S496" s="7"/>
      <c r="T496" s="7"/>
      <c r="U496" s="7"/>
      <c r="V496" s="7"/>
      <c r="W496" s="7"/>
      <c r="X496" s="7"/>
      <c r="Y496" s="7"/>
      <c r="Z496" s="708"/>
      <c r="AA496" s="7"/>
      <c r="AB496" s="7"/>
      <c r="AC496" s="7"/>
      <c r="AD496" s="7"/>
      <c r="AE496" s="7"/>
      <c r="AF496" s="7"/>
      <c r="AG496" s="7"/>
      <c r="AH496" s="7"/>
    </row>
    <row r="497" spans="1:34" ht="15.75" customHeight="1">
      <c r="A497" s="686"/>
      <c r="B497" s="687"/>
      <c r="C497" s="243" t="s">
        <v>1108</v>
      </c>
      <c r="D497" s="242">
        <f>COUNTIF($D$11:$Y$11,"Kon Tum")</f>
        <v>0</v>
      </c>
      <c r="E497" s="688"/>
      <c r="F497" s="244"/>
      <c r="G497" s="688"/>
      <c r="H497" s="688"/>
      <c r="I497" s="239"/>
      <c r="J497" s="239"/>
      <c r="K497" s="688"/>
      <c r="L497" s="7"/>
      <c r="M497" s="7"/>
      <c r="N497" s="7"/>
      <c r="O497" s="7"/>
      <c r="P497" s="239"/>
      <c r="Q497" s="7"/>
      <c r="R497" s="7"/>
      <c r="S497" s="7"/>
      <c r="T497" s="7"/>
      <c r="U497" s="7"/>
      <c r="V497" s="7"/>
      <c r="W497" s="7"/>
      <c r="X497" s="7"/>
      <c r="Y497" s="7"/>
      <c r="Z497" s="708"/>
      <c r="AA497" s="7"/>
      <c r="AB497" s="7"/>
      <c r="AC497" s="7"/>
      <c r="AD497" s="7"/>
      <c r="AE497" s="7"/>
      <c r="AF497" s="7"/>
      <c r="AG497" s="7"/>
      <c r="AH497" s="7"/>
    </row>
    <row r="498" spans="1:34" ht="15.75" customHeight="1">
      <c r="A498" s="686"/>
      <c r="B498" s="687"/>
      <c r="C498" s="243" t="s">
        <v>1109</v>
      </c>
      <c r="D498" s="242">
        <f>COUNTIF($D$11:$Y$11,"Gia Lai")</f>
        <v>0</v>
      </c>
      <c r="E498" s="688"/>
      <c r="F498" s="244"/>
      <c r="G498" s="688"/>
      <c r="H498" s="688"/>
      <c r="I498" s="239"/>
      <c r="J498" s="239"/>
      <c r="K498" s="688"/>
      <c r="L498" s="7"/>
      <c r="M498" s="7"/>
      <c r="N498" s="7"/>
      <c r="O498" s="7"/>
      <c r="P498" s="239"/>
      <c r="Q498" s="7"/>
      <c r="R498" s="7"/>
      <c r="S498" s="7"/>
      <c r="T498" s="7"/>
      <c r="U498" s="7"/>
      <c r="V498" s="7"/>
      <c r="W498" s="7"/>
      <c r="X498" s="7"/>
      <c r="Y498" s="7"/>
      <c r="Z498" s="708"/>
      <c r="AA498" s="7"/>
      <c r="AB498" s="7"/>
      <c r="AC498" s="7"/>
      <c r="AD498" s="7"/>
      <c r="AE498" s="7"/>
      <c r="AF498" s="7"/>
      <c r="AG498" s="7"/>
      <c r="AH498" s="7"/>
    </row>
    <row r="499" spans="1:34" ht="15.75" customHeight="1">
      <c r="A499" s="686"/>
      <c r="B499" s="687"/>
      <c r="C499" s="243" t="s">
        <v>1110</v>
      </c>
      <c r="D499" s="242">
        <f>COUNTIF($D$11:$Y$11,"Đắk Lắk")</f>
        <v>0</v>
      </c>
      <c r="E499" s="688"/>
      <c r="F499" s="244"/>
      <c r="G499" s="688"/>
      <c r="H499" s="688"/>
      <c r="I499" s="239"/>
      <c r="J499" s="239"/>
      <c r="K499" s="688"/>
      <c r="L499" s="7"/>
      <c r="M499" s="7"/>
      <c r="N499" s="7"/>
      <c r="O499" s="7"/>
      <c r="P499" s="239"/>
      <c r="Q499" s="7"/>
      <c r="R499" s="7"/>
      <c r="S499" s="7"/>
      <c r="T499" s="7"/>
      <c r="U499" s="7"/>
      <c r="V499" s="7"/>
      <c r="W499" s="7"/>
      <c r="X499" s="7"/>
      <c r="Y499" s="7"/>
      <c r="Z499" s="708"/>
      <c r="AA499" s="7"/>
      <c r="AB499" s="7"/>
      <c r="AC499" s="7"/>
      <c r="AD499" s="7"/>
      <c r="AE499" s="7"/>
      <c r="AF499" s="7"/>
      <c r="AG499" s="7"/>
      <c r="AH499" s="7"/>
    </row>
    <row r="500" spans="1:34" ht="15.75" customHeight="1">
      <c r="A500" s="686"/>
      <c r="B500" s="687"/>
      <c r="C500" s="243" t="s">
        <v>1111</v>
      </c>
      <c r="D500" s="242">
        <f>COUNTIF($D$11:$Y$11,"Đắk Nông")</f>
        <v>0</v>
      </c>
      <c r="E500" s="688"/>
      <c r="F500" s="244"/>
      <c r="G500" s="688"/>
      <c r="H500" s="688"/>
      <c r="I500" s="239"/>
      <c r="J500" s="239"/>
      <c r="K500" s="688"/>
      <c r="L500" s="7"/>
      <c r="M500" s="7"/>
      <c r="N500" s="7"/>
      <c r="O500" s="7"/>
      <c r="P500" s="239"/>
      <c r="Q500" s="7"/>
      <c r="R500" s="7"/>
      <c r="S500" s="7"/>
      <c r="T500" s="7"/>
      <c r="U500" s="7"/>
      <c r="V500" s="7"/>
      <c r="W500" s="7"/>
      <c r="X500" s="7"/>
      <c r="Y500" s="7"/>
      <c r="Z500" s="708"/>
      <c r="AA500" s="7"/>
      <c r="AB500" s="7"/>
      <c r="AC500" s="7"/>
      <c r="AD500" s="7"/>
      <c r="AE500" s="7"/>
      <c r="AF500" s="7"/>
      <c r="AG500" s="7"/>
      <c r="AH500" s="7"/>
    </row>
    <row r="501" spans="1:34" ht="15.75" customHeight="1">
      <c r="A501" s="686"/>
      <c r="B501" s="687"/>
      <c r="C501" s="243" t="s">
        <v>1112</v>
      </c>
      <c r="D501" s="242">
        <f>COUNTIF($D$11:$Y$11,"Lâm Đồng")</f>
        <v>0</v>
      </c>
      <c r="E501" s="688"/>
      <c r="F501" s="244"/>
      <c r="G501" s="688"/>
      <c r="H501" s="688"/>
      <c r="I501" s="239"/>
      <c r="J501" s="239"/>
      <c r="K501" s="688"/>
      <c r="L501" s="7"/>
      <c r="M501" s="7"/>
      <c r="N501" s="7"/>
      <c r="O501" s="7"/>
      <c r="P501" s="239"/>
      <c r="Q501" s="7"/>
      <c r="R501" s="7"/>
      <c r="S501" s="7"/>
      <c r="T501" s="7"/>
      <c r="U501" s="7"/>
      <c r="V501" s="7"/>
      <c r="W501" s="7"/>
      <c r="X501" s="7"/>
      <c r="Y501" s="7"/>
      <c r="Z501" s="708"/>
      <c r="AA501" s="7"/>
      <c r="AB501" s="7"/>
      <c r="AC501" s="7"/>
      <c r="AD501" s="7"/>
      <c r="AE501" s="7"/>
      <c r="AF501" s="7"/>
      <c r="AG501" s="7"/>
      <c r="AH501" s="7"/>
    </row>
    <row r="502" spans="1:34" ht="15.75" customHeight="1">
      <c r="A502" s="686"/>
      <c r="B502" s="687"/>
      <c r="C502" s="243" t="s">
        <v>1113</v>
      </c>
      <c r="D502" s="242">
        <f>COUNTIF($D$11:$Y$11,"Tây Ninh")</f>
        <v>0</v>
      </c>
      <c r="E502" s="688"/>
      <c r="F502" s="244"/>
      <c r="G502" s="688"/>
      <c r="H502" s="688"/>
      <c r="I502" s="239"/>
      <c r="J502" s="239"/>
      <c r="K502" s="688"/>
      <c r="L502" s="7"/>
      <c r="M502" s="7"/>
      <c r="N502" s="7"/>
      <c r="O502" s="7"/>
      <c r="P502" s="239"/>
      <c r="Q502" s="7"/>
      <c r="R502" s="7"/>
      <c r="S502" s="7"/>
      <c r="T502" s="7"/>
      <c r="U502" s="7"/>
      <c r="V502" s="7"/>
      <c r="W502" s="7"/>
      <c r="X502" s="7"/>
      <c r="Y502" s="7"/>
      <c r="Z502" s="708"/>
      <c r="AA502" s="7"/>
      <c r="AB502" s="7"/>
      <c r="AC502" s="7"/>
      <c r="AD502" s="7"/>
      <c r="AE502" s="7"/>
      <c r="AF502" s="7"/>
      <c r="AG502" s="7"/>
      <c r="AH502" s="7"/>
    </row>
    <row r="503" spans="1:34" ht="15.75" customHeight="1">
      <c r="A503" s="686"/>
      <c r="B503" s="687"/>
      <c r="C503" s="243" t="s">
        <v>1114</v>
      </c>
      <c r="D503" s="242">
        <f>COUNTIF($D$11:$Y$11,"Bình Phước")</f>
        <v>0</v>
      </c>
      <c r="E503" s="688"/>
      <c r="F503" s="244"/>
      <c r="G503" s="688"/>
      <c r="H503" s="688"/>
      <c r="I503" s="239"/>
      <c r="J503" s="239"/>
      <c r="K503" s="688"/>
      <c r="L503" s="7"/>
      <c r="M503" s="7"/>
      <c r="N503" s="7"/>
      <c r="O503" s="7"/>
      <c r="P503" s="239"/>
      <c r="Q503" s="7"/>
      <c r="R503" s="7"/>
      <c r="S503" s="7"/>
      <c r="T503" s="7"/>
      <c r="U503" s="7"/>
      <c r="V503" s="7"/>
      <c r="W503" s="7"/>
      <c r="X503" s="7"/>
      <c r="Y503" s="7"/>
      <c r="Z503" s="708"/>
      <c r="AA503" s="7"/>
      <c r="AB503" s="7"/>
      <c r="AC503" s="7"/>
      <c r="AD503" s="7"/>
      <c r="AE503" s="7"/>
      <c r="AF503" s="7"/>
      <c r="AG503" s="7"/>
      <c r="AH503" s="7"/>
    </row>
    <row r="504" spans="1:34" ht="15.75" customHeight="1">
      <c r="A504" s="686"/>
      <c r="B504" s="687"/>
      <c r="C504" s="243" t="s">
        <v>1115</v>
      </c>
      <c r="D504" s="242">
        <f>COUNTIF($D$11:$Y$11,"Bình Dương")</f>
        <v>0</v>
      </c>
      <c r="E504" s="688"/>
      <c r="F504" s="244"/>
      <c r="G504" s="688"/>
      <c r="H504" s="688"/>
      <c r="I504" s="239"/>
      <c r="J504" s="239"/>
      <c r="K504" s="688"/>
      <c r="L504" s="7"/>
      <c r="M504" s="7"/>
      <c r="N504" s="7"/>
      <c r="O504" s="7"/>
      <c r="P504" s="239"/>
      <c r="Q504" s="7"/>
      <c r="R504" s="7"/>
      <c r="S504" s="7"/>
      <c r="T504" s="7"/>
      <c r="U504" s="7"/>
      <c r="V504" s="7"/>
      <c r="W504" s="7"/>
      <c r="X504" s="7"/>
      <c r="Y504" s="7"/>
      <c r="Z504" s="708"/>
      <c r="AA504" s="7"/>
      <c r="AB504" s="7"/>
      <c r="AC504" s="7"/>
      <c r="AD504" s="7"/>
      <c r="AE504" s="7"/>
      <c r="AF504" s="7"/>
      <c r="AG504" s="7"/>
      <c r="AH504" s="7"/>
    </row>
    <row r="505" spans="1:34" ht="15.75" customHeight="1">
      <c r="A505" s="686"/>
      <c r="B505" s="687"/>
      <c r="C505" s="243" t="s">
        <v>1116</v>
      </c>
      <c r="D505" s="242">
        <f>COUNTIF($D$11:$Y$11,"Bà Rịa - Vũng Tàu")</f>
        <v>0</v>
      </c>
      <c r="E505" s="688"/>
      <c r="F505" s="244"/>
      <c r="G505" s="688"/>
      <c r="H505" s="688"/>
      <c r="I505" s="239"/>
      <c r="J505" s="239"/>
      <c r="K505" s="688"/>
      <c r="L505" s="7"/>
      <c r="M505" s="7"/>
      <c r="N505" s="7"/>
      <c r="O505" s="7"/>
      <c r="P505" s="239"/>
      <c r="Q505" s="7"/>
      <c r="R505" s="7"/>
      <c r="S505" s="7"/>
      <c r="T505" s="7"/>
      <c r="U505" s="7"/>
      <c r="V505" s="7"/>
      <c r="W505" s="7"/>
      <c r="X505" s="7"/>
      <c r="Y505" s="7"/>
      <c r="Z505" s="708"/>
      <c r="AA505" s="7"/>
      <c r="AB505" s="7"/>
      <c r="AC505" s="7"/>
      <c r="AD505" s="7"/>
      <c r="AE505" s="7"/>
      <c r="AF505" s="7"/>
      <c r="AG505" s="7"/>
      <c r="AH505" s="7"/>
    </row>
    <row r="506" spans="1:34" ht="15.75" customHeight="1">
      <c r="A506" s="686"/>
      <c r="B506" s="687"/>
      <c r="C506" s="243" t="s">
        <v>1117</v>
      </c>
      <c r="D506" s="242">
        <f>COUNTIF($D$11:$Y$11,"Bến Tre")</f>
        <v>0</v>
      </c>
      <c r="E506" s="688"/>
      <c r="F506" s="244"/>
      <c r="G506" s="688"/>
      <c r="H506" s="688"/>
      <c r="I506" s="239"/>
      <c r="J506" s="239"/>
      <c r="K506" s="688"/>
      <c r="L506" s="7"/>
      <c r="M506" s="7"/>
      <c r="N506" s="7"/>
      <c r="O506" s="7"/>
      <c r="P506" s="239"/>
      <c r="Q506" s="7"/>
      <c r="R506" s="7"/>
      <c r="S506" s="7"/>
      <c r="T506" s="7"/>
      <c r="U506" s="7"/>
      <c r="V506" s="7"/>
      <c r="W506" s="7"/>
      <c r="X506" s="7"/>
      <c r="Y506" s="7"/>
      <c r="Z506" s="708"/>
      <c r="AA506" s="7"/>
      <c r="AB506" s="7"/>
      <c r="AC506" s="7"/>
      <c r="AD506" s="7"/>
      <c r="AE506" s="7"/>
      <c r="AF506" s="7"/>
      <c r="AG506" s="7"/>
      <c r="AH506" s="7"/>
    </row>
    <row r="507" spans="1:34" ht="15.75" customHeight="1">
      <c r="A507" s="686"/>
      <c r="B507" s="687"/>
      <c r="C507" s="243" t="s">
        <v>1118</v>
      </c>
      <c r="D507" s="242">
        <f>COUNTIF($D$11:$Y$11,"An Giang")</f>
        <v>0</v>
      </c>
      <c r="E507" s="688"/>
      <c r="F507" s="244"/>
      <c r="G507" s="688"/>
      <c r="H507" s="688"/>
      <c r="I507" s="239"/>
      <c r="J507" s="239"/>
      <c r="K507" s="688"/>
      <c r="L507" s="7"/>
      <c r="M507" s="7"/>
      <c r="N507" s="7"/>
      <c r="O507" s="7"/>
      <c r="P507" s="239"/>
      <c r="Q507" s="7"/>
      <c r="R507" s="7"/>
      <c r="S507" s="7"/>
      <c r="T507" s="7"/>
      <c r="U507" s="7"/>
      <c r="V507" s="7"/>
      <c r="W507" s="7"/>
      <c r="X507" s="7"/>
      <c r="Y507" s="7"/>
      <c r="Z507" s="708"/>
      <c r="AA507" s="7"/>
      <c r="AB507" s="7"/>
      <c r="AC507" s="7"/>
      <c r="AD507" s="7"/>
      <c r="AE507" s="7"/>
      <c r="AF507" s="7"/>
      <c r="AG507" s="7"/>
      <c r="AH507" s="7"/>
    </row>
    <row r="508" spans="1:34" ht="15.75" customHeight="1">
      <c r="A508" s="686"/>
      <c r="B508" s="687"/>
      <c r="C508" s="243" t="s">
        <v>1119</v>
      </c>
      <c r="D508" s="242">
        <f>COUNTIF($D$11:$Y$11,"Vĩnh Long")</f>
        <v>0</v>
      </c>
      <c r="E508" s="688"/>
      <c r="F508" s="244"/>
      <c r="G508" s="688"/>
      <c r="H508" s="688"/>
      <c r="I508" s="239"/>
      <c r="J508" s="239"/>
      <c r="K508" s="688"/>
      <c r="L508" s="7"/>
      <c r="M508" s="7"/>
      <c r="N508" s="7"/>
      <c r="O508" s="7"/>
      <c r="P508" s="239"/>
      <c r="Q508" s="7"/>
      <c r="R508" s="7"/>
      <c r="S508" s="7"/>
      <c r="T508" s="7"/>
      <c r="U508" s="7"/>
      <c r="V508" s="7"/>
      <c r="W508" s="7"/>
      <c r="X508" s="7"/>
      <c r="Y508" s="7"/>
      <c r="Z508" s="708"/>
      <c r="AA508" s="7"/>
      <c r="AB508" s="7"/>
      <c r="AC508" s="7"/>
      <c r="AD508" s="7"/>
      <c r="AE508" s="7"/>
      <c r="AF508" s="7"/>
      <c r="AG508" s="7"/>
      <c r="AH508" s="7"/>
    </row>
    <row r="509" spans="1:34" ht="15.75" customHeight="1">
      <c r="A509" s="686"/>
      <c r="B509" s="687"/>
      <c r="C509" s="243" t="s">
        <v>1120</v>
      </c>
      <c r="D509" s="242">
        <f>COUNTIF($D$11:$Y$11,"Cần Thơ")</f>
        <v>0</v>
      </c>
      <c r="E509" s="688"/>
      <c r="F509" s="244"/>
      <c r="G509" s="688"/>
      <c r="H509" s="688"/>
      <c r="I509" s="239"/>
      <c r="J509" s="239"/>
      <c r="K509" s="688"/>
      <c r="L509" s="7"/>
      <c r="M509" s="7"/>
      <c r="N509" s="7"/>
      <c r="O509" s="7"/>
      <c r="P509" s="239"/>
      <c r="Q509" s="7"/>
      <c r="R509" s="7"/>
      <c r="S509" s="7"/>
      <c r="T509" s="7"/>
      <c r="U509" s="7"/>
      <c r="V509" s="7"/>
      <c r="W509" s="7"/>
      <c r="X509" s="7"/>
      <c r="Y509" s="7"/>
      <c r="Z509" s="708"/>
      <c r="AA509" s="7"/>
      <c r="AB509" s="7"/>
      <c r="AC509" s="7"/>
      <c r="AD509" s="7"/>
      <c r="AE509" s="7"/>
      <c r="AF509" s="7"/>
      <c r="AG509" s="7"/>
      <c r="AH509" s="7"/>
    </row>
    <row r="510" spans="1:34" ht="15.75" customHeight="1">
      <c r="A510" s="686"/>
      <c r="B510" s="687"/>
      <c r="C510" s="243" t="s">
        <v>1121</v>
      </c>
      <c r="D510" s="242">
        <f>COUNTIF($D$11:$Y$11,"Hậu Giang")</f>
        <v>0</v>
      </c>
      <c r="E510" s="688"/>
      <c r="F510" s="244"/>
      <c r="G510" s="688"/>
      <c r="H510" s="688"/>
      <c r="I510" s="239"/>
      <c r="J510" s="239"/>
      <c r="K510" s="688"/>
      <c r="L510" s="7"/>
      <c r="M510" s="7"/>
      <c r="N510" s="7"/>
      <c r="O510" s="7"/>
      <c r="P510" s="239"/>
      <c r="Q510" s="7"/>
      <c r="R510" s="7"/>
      <c r="S510" s="7"/>
      <c r="T510" s="7"/>
      <c r="U510" s="7"/>
      <c r="V510" s="7"/>
      <c r="W510" s="7"/>
      <c r="X510" s="7"/>
      <c r="Y510" s="7"/>
      <c r="Z510" s="708"/>
      <c r="AA510" s="7"/>
      <c r="AB510" s="7"/>
      <c r="AC510" s="7"/>
      <c r="AD510" s="7"/>
      <c r="AE510" s="7"/>
      <c r="AF510" s="7"/>
      <c r="AG510" s="7"/>
      <c r="AH510" s="7"/>
    </row>
    <row r="511" spans="1:34" ht="15.75" customHeight="1">
      <c r="A511" s="686"/>
      <c r="B511" s="687"/>
      <c r="C511" s="243" t="s">
        <v>1122</v>
      </c>
      <c r="D511" s="242">
        <f>COUNTIF($D$11:$Y$11,"Sóc Trăng")</f>
        <v>0</v>
      </c>
      <c r="E511" s="688"/>
      <c r="F511" s="244"/>
      <c r="G511" s="688"/>
      <c r="H511" s="688"/>
      <c r="I511" s="239"/>
      <c r="J511" s="239"/>
      <c r="K511" s="688"/>
      <c r="L511" s="7"/>
      <c r="M511" s="7"/>
      <c r="N511" s="7"/>
      <c r="O511" s="7"/>
      <c r="P511" s="239"/>
      <c r="Q511" s="7"/>
      <c r="R511" s="7"/>
      <c r="S511" s="7"/>
      <c r="T511" s="7"/>
      <c r="U511" s="7"/>
      <c r="V511" s="7"/>
      <c r="W511" s="7"/>
      <c r="X511" s="7"/>
      <c r="Y511" s="7"/>
      <c r="Z511" s="708"/>
      <c r="AA511" s="7"/>
      <c r="AB511" s="7"/>
      <c r="AC511" s="7"/>
      <c r="AD511" s="7"/>
      <c r="AE511" s="7"/>
      <c r="AF511" s="7"/>
      <c r="AG511" s="7"/>
      <c r="AH511" s="7"/>
    </row>
    <row r="512" spans="1:34" ht="15.75" customHeight="1">
      <c r="A512" s="686"/>
      <c r="B512" s="687"/>
      <c r="C512" s="243" t="s">
        <v>1123</v>
      </c>
      <c r="D512" s="242">
        <f>COUNTIF($D$11:$Y$11,"Bạc Liêu")</f>
        <v>0</v>
      </c>
      <c r="E512" s="688"/>
      <c r="F512" s="244"/>
      <c r="G512" s="688"/>
      <c r="H512" s="688"/>
      <c r="I512" s="239"/>
      <c r="J512" s="239"/>
      <c r="K512" s="688"/>
      <c r="L512" s="7"/>
      <c r="M512" s="7"/>
      <c r="N512" s="7"/>
      <c r="O512" s="7"/>
      <c r="P512" s="239"/>
      <c r="Q512" s="7"/>
      <c r="R512" s="7"/>
      <c r="S512" s="7"/>
      <c r="T512" s="7"/>
      <c r="U512" s="7"/>
      <c r="V512" s="7"/>
      <c r="W512" s="7"/>
      <c r="X512" s="7"/>
      <c r="Y512" s="7"/>
      <c r="Z512" s="708"/>
      <c r="AA512" s="7"/>
      <c r="AB512" s="7"/>
      <c r="AC512" s="7"/>
      <c r="AD512" s="7"/>
      <c r="AE512" s="7"/>
      <c r="AF512" s="7"/>
      <c r="AG512" s="7"/>
      <c r="AH512" s="7"/>
    </row>
    <row r="513" spans="1:34" ht="15.75" customHeight="1">
      <c r="A513" s="686"/>
      <c r="B513" s="687"/>
      <c r="C513" s="243" t="s">
        <v>1124</v>
      </c>
      <c r="D513" s="242">
        <f>COUNTIF($D$11:$Y$11,"Cà Mau")</f>
        <v>0</v>
      </c>
      <c r="E513" s="688"/>
      <c r="F513" s="244"/>
      <c r="G513" s="688"/>
      <c r="H513" s="688"/>
      <c r="I513" s="239"/>
      <c r="J513" s="239"/>
      <c r="K513" s="688"/>
      <c r="L513" s="7"/>
      <c r="M513" s="7"/>
      <c r="N513" s="7"/>
      <c r="O513" s="7"/>
      <c r="P513" s="239"/>
      <c r="Q513" s="7"/>
      <c r="R513" s="7"/>
      <c r="S513" s="7"/>
      <c r="T513" s="7"/>
      <c r="U513" s="7"/>
      <c r="V513" s="7"/>
      <c r="W513" s="7"/>
      <c r="X513" s="7"/>
      <c r="Y513" s="7"/>
      <c r="Z513" s="708"/>
      <c r="AA513" s="7"/>
      <c r="AB513" s="7"/>
      <c r="AC513" s="7"/>
      <c r="AD513" s="7"/>
      <c r="AE513" s="7"/>
      <c r="AF513" s="7"/>
      <c r="AG513" s="7"/>
      <c r="AH513" s="7"/>
    </row>
    <row r="514" spans="1:34" ht="15.75" customHeight="1">
      <c r="A514" s="686"/>
      <c r="B514" s="687"/>
      <c r="C514" s="243" t="s">
        <v>1125</v>
      </c>
      <c r="D514" s="242">
        <f>COUNTIF($D$11:$Y$11,"Kiên Giang")</f>
        <v>0</v>
      </c>
      <c r="E514" s="688"/>
      <c r="F514" s="244"/>
      <c r="G514" s="688"/>
      <c r="H514" s="688"/>
      <c r="I514" s="239"/>
      <c r="J514" s="239"/>
      <c r="K514" s="688"/>
      <c r="L514" s="7"/>
      <c r="M514" s="7"/>
      <c r="N514" s="7"/>
      <c r="O514" s="7"/>
      <c r="P514" s="239"/>
      <c r="Q514" s="7"/>
      <c r="R514" s="7"/>
      <c r="S514" s="7"/>
      <c r="T514" s="7"/>
      <c r="U514" s="7"/>
      <c r="V514" s="7"/>
      <c r="W514" s="7"/>
      <c r="X514" s="7"/>
      <c r="Y514" s="7"/>
      <c r="Z514" s="708"/>
      <c r="AA514" s="7"/>
      <c r="AB514" s="7"/>
      <c r="AC514" s="7"/>
      <c r="AD514" s="7"/>
      <c r="AE514" s="7"/>
      <c r="AF514" s="7"/>
      <c r="AG514" s="7"/>
      <c r="AH514" s="7"/>
    </row>
    <row r="515" spans="1:34" ht="15.75" customHeight="1">
      <c r="A515" s="686"/>
      <c r="B515" s="687"/>
      <c r="C515" s="243" t="s">
        <v>1126</v>
      </c>
      <c r="D515" s="242">
        <f>COUNTIF($D$11:$Y$11,"Đồng Tháp")</f>
        <v>0</v>
      </c>
      <c r="E515" s="688"/>
      <c r="F515" s="244"/>
      <c r="G515" s="688"/>
      <c r="H515" s="688"/>
      <c r="I515" s="239"/>
      <c r="J515" s="239"/>
      <c r="K515" s="688"/>
      <c r="L515" s="7"/>
      <c r="M515" s="7"/>
      <c r="N515" s="7"/>
      <c r="O515" s="7"/>
      <c r="P515" s="239"/>
      <c r="Q515" s="7"/>
      <c r="R515" s="7"/>
      <c r="S515" s="7"/>
      <c r="T515" s="7"/>
      <c r="U515" s="7"/>
      <c r="V515" s="7"/>
      <c r="W515" s="7"/>
      <c r="X515" s="7"/>
      <c r="Y515" s="7"/>
      <c r="Z515" s="708"/>
      <c r="AA515" s="7"/>
      <c r="AB515" s="7"/>
      <c r="AC515" s="7"/>
      <c r="AD515" s="7"/>
      <c r="AE515" s="7"/>
      <c r="AF515" s="7"/>
      <c r="AG515" s="7"/>
      <c r="AH515" s="7"/>
    </row>
    <row r="516" spans="1:34" ht="15.75" customHeight="1">
      <c r="A516" s="686"/>
      <c r="B516" s="687"/>
      <c r="C516" s="243" t="s">
        <v>1127</v>
      </c>
      <c r="D516" s="242">
        <f>COUNTIF($D$11:$Y$11,"Trà Vinh")</f>
        <v>0</v>
      </c>
      <c r="E516" s="688"/>
      <c r="F516" s="244"/>
      <c r="G516" s="688"/>
      <c r="H516" s="688"/>
      <c r="I516" s="239"/>
      <c r="J516" s="239"/>
      <c r="K516" s="688"/>
      <c r="L516" s="7"/>
      <c r="M516" s="7"/>
      <c r="N516" s="7"/>
      <c r="O516" s="7"/>
      <c r="P516" s="239"/>
      <c r="Q516" s="7"/>
      <c r="R516" s="7"/>
      <c r="S516" s="7"/>
      <c r="T516" s="7"/>
      <c r="U516" s="7"/>
      <c r="V516" s="7"/>
      <c r="W516" s="7"/>
      <c r="X516" s="7"/>
      <c r="Y516" s="7"/>
      <c r="Z516" s="708"/>
      <c r="AA516" s="7"/>
      <c r="AB516" s="7"/>
      <c r="AC516" s="7"/>
      <c r="AD516" s="7"/>
      <c r="AE516" s="7"/>
      <c r="AF516" s="7"/>
      <c r="AG516" s="7"/>
      <c r="AH516" s="7"/>
    </row>
    <row r="517" spans="1:34" ht="15.75" customHeight="1">
      <c r="A517" s="686"/>
      <c r="B517" s="687"/>
      <c r="C517" s="243" t="s">
        <v>1128</v>
      </c>
      <c r="D517" s="242">
        <f>COUNTIF($D$11:$Y$11,"Tiền Giang")</f>
        <v>0</v>
      </c>
      <c r="E517" s="688"/>
      <c r="F517" s="244"/>
      <c r="G517" s="688"/>
      <c r="H517" s="688"/>
      <c r="I517" s="239"/>
      <c r="J517" s="239"/>
      <c r="K517" s="688"/>
      <c r="L517" s="7"/>
      <c r="M517" s="7"/>
      <c r="N517" s="7"/>
      <c r="O517" s="7"/>
      <c r="P517" s="239"/>
      <c r="Q517" s="7"/>
      <c r="R517" s="7"/>
      <c r="S517" s="7"/>
      <c r="T517" s="7"/>
      <c r="U517" s="7"/>
      <c r="V517" s="7"/>
      <c r="W517" s="7"/>
      <c r="X517" s="7"/>
      <c r="Y517" s="7"/>
      <c r="Z517" s="708"/>
      <c r="AA517" s="7"/>
      <c r="AB517" s="7"/>
      <c r="AC517" s="7"/>
      <c r="AD517" s="7"/>
      <c r="AE517" s="7"/>
      <c r="AF517" s="7"/>
      <c r="AG517" s="7"/>
      <c r="AH517" s="7"/>
    </row>
    <row r="518" spans="1:34" ht="15.75" customHeight="1">
      <c r="A518" s="686"/>
      <c r="B518" s="687"/>
      <c r="C518" s="243" t="s">
        <v>1129</v>
      </c>
      <c r="D518" s="242">
        <f>COUNTIF($D$11:$Y$11,"Long An")</f>
        <v>0</v>
      </c>
      <c r="E518" s="688"/>
      <c r="F518" s="244"/>
      <c r="G518" s="688"/>
      <c r="H518" s="688"/>
      <c r="I518" s="239"/>
      <c r="J518" s="239"/>
      <c r="K518" s="688"/>
      <c r="L518" s="7"/>
      <c r="M518" s="7"/>
      <c r="N518" s="7"/>
      <c r="O518" s="7"/>
      <c r="P518" s="239"/>
      <c r="Q518" s="7"/>
      <c r="R518" s="7"/>
      <c r="S518" s="7"/>
      <c r="T518" s="7"/>
      <c r="U518" s="7"/>
      <c r="V518" s="7"/>
      <c r="W518" s="7"/>
      <c r="X518" s="7"/>
      <c r="Y518" s="7"/>
      <c r="Z518" s="708"/>
      <c r="AA518" s="7"/>
      <c r="AB518" s="7"/>
      <c r="AC518" s="7"/>
      <c r="AD518" s="7"/>
      <c r="AE518" s="7"/>
      <c r="AF518" s="7"/>
      <c r="AG518" s="7"/>
      <c r="AH518" s="7"/>
    </row>
    <row r="519" spans="1:34" ht="15.75" customHeight="1">
      <c r="A519" s="686"/>
      <c r="B519" s="687"/>
      <c r="C519" s="243" t="s">
        <v>1130</v>
      </c>
      <c r="D519" s="242">
        <f>COUNTIF($D$11:$Y$11,"Đồng Nai")</f>
        <v>0</v>
      </c>
      <c r="E519" s="688"/>
      <c r="F519" s="244"/>
      <c r="G519" s="688"/>
      <c r="H519" s="688"/>
      <c r="I519" s="239"/>
      <c r="J519" s="239"/>
      <c r="K519" s="688"/>
      <c r="L519" s="7"/>
      <c r="M519" s="7"/>
      <c r="N519" s="7"/>
      <c r="O519" s="7"/>
      <c r="P519" s="239"/>
      <c r="Q519" s="7"/>
      <c r="R519" s="7"/>
      <c r="S519" s="7"/>
      <c r="T519" s="7"/>
      <c r="U519" s="7"/>
      <c r="V519" s="7"/>
      <c r="W519" s="7"/>
      <c r="X519" s="7"/>
      <c r="Y519" s="7"/>
      <c r="Z519" s="708"/>
      <c r="AA519" s="7"/>
      <c r="AB519" s="7"/>
      <c r="AC519" s="7"/>
      <c r="AD519" s="7"/>
      <c r="AE519" s="7"/>
      <c r="AF519" s="7"/>
      <c r="AG519" s="7"/>
      <c r="AH519" s="7"/>
    </row>
    <row r="520" spans="1:34" ht="15.75" customHeight="1">
      <c r="A520" s="686"/>
      <c r="B520" s="687"/>
      <c r="C520" s="243" t="s">
        <v>1131</v>
      </c>
      <c r="D520" s="242">
        <f>COUNTIF($D$11:$Y$11,"TP Hồ Chí Minh")</f>
        <v>0</v>
      </c>
      <c r="E520" s="688"/>
      <c r="F520" s="244"/>
      <c r="G520" s="688"/>
      <c r="H520" s="688"/>
      <c r="I520" s="239"/>
      <c r="J520" s="239"/>
      <c r="K520" s="688"/>
      <c r="L520" s="7"/>
      <c r="M520" s="7"/>
      <c r="N520" s="7"/>
      <c r="O520" s="7"/>
      <c r="P520" s="239"/>
      <c r="Q520" s="7"/>
      <c r="R520" s="7"/>
      <c r="S520" s="7"/>
      <c r="T520" s="7"/>
      <c r="U520" s="7"/>
      <c r="V520" s="7"/>
      <c r="W520" s="7"/>
      <c r="X520" s="7"/>
      <c r="Y520" s="7"/>
      <c r="Z520" s="708"/>
      <c r="AA520" s="7"/>
      <c r="AB520" s="7"/>
      <c r="AC520" s="7"/>
      <c r="AD520" s="7"/>
      <c r="AE520" s="7"/>
      <c r="AF520" s="7"/>
      <c r="AG520" s="7"/>
      <c r="AH520" s="7"/>
    </row>
    <row r="521" spans="1:34" ht="15.75" customHeight="1">
      <c r="A521" s="686"/>
      <c r="B521" s="687"/>
      <c r="C521" s="243"/>
      <c r="D521" s="244"/>
      <c r="E521" s="688"/>
      <c r="F521" s="244"/>
      <c r="G521" s="688"/>
      <c r="H521" s="688"/>
      <c r="I521" s="239"/>
      <c r="J521" s="239"/>
      <c r="K521" s="688"/>
      <c r="L521" s="7"/>
      <c r="M521" s="7"/>
      <c r="N521" s="7"/>
      <c r="O521" s="7"/>
      <c r="P521" s="239"/>
      <c r="Q521" s="7"/>
      <c r="R521" s="7"/>
      <c r="S521" s="7"/>
      <c r="T521" s="7"/>
      <c r="U521" s="7"/>
      <c r="V521" s="7"/>
      <c r="W521" s="7"/>
      <c r="X521" s="7"/>
      <c r="Y521" s="7"/>
      <c r="Z521" s="708"/>
      <c r="AA521" s="7"/>
      <c r="AB521" s="7"/>
      <c r="AC521" s="7"/>
      <c r="AD521" s="7"/>
      <c r="AE521" s="7"/>
      <c r="AF521" s="7"/>
      <c r="AG521" s="7"/>
      <c r="AH521" s="7"/>
    </row>
    <row r="522" spans="1:34" ht="15.75" customHeight="1">
      <c r="A522" s="686"/>
      <c r="B522" s="687"/>
      <c r="C522" s="243"/>
      <c r="D522" s="245">
        <f>SUM(D458:D520)</f>
        <v>13</v>
      </c>
      <c r="E522" s="688"/>
      <c r="F522" s="244"/>
      <c r="G522" s="688"/>
      <c r="H522" s="688"/>
      <c r="I522" s="239"/>
      <c r="J522" s="239"/>
      <c r="K522" s="688"/>
      <c r="L522" s="7"/>
      <c r="M522" s="7"/>
      <c r="N522" s="7"/>
      <c r="O522" s="7"/>
      <c r="P522" s="239"/>
      <c r="Q522" s="7"/>
      <c r="R522" s="7"/>
      <c r="S522" s="7"/>
      <c r="T522" s="7"/>
      <c r="U522" s="7"/>
      <c r="V522" s="7"/>
      <c r="W522" s="7"/>
      <c r="X522" s="7"/>
      <c r="Y522" s="7"/>
      <c r="Z522" s="708"/>
      <c r="AA522" s="7"/>
      <c r="AB522" s="7"/>
      <c r="AC522" s="7"/>
      <c r="AD522" s="7"/>
      <c r="AE522" s="7"/>
      <c r="AF522" s="7"/>
      <c r="AG522" s="7"/>
      <c r="AH522" s="7"/>
    </row>
    <row r="523" spans="1:34" ht="15.75" customHeight="1">
      <c r="A523" s="686"/>
      <c r="B523" s="687"/>
      <c r="C523" s="243"/>
      <c r="D523" s="244"/>
      <c r="E523" s="688"/>
      <c r="F523" s="244"/>
      <c r="G523" s="688"/>
      <c r="H523" s="688"/>
      <c r="I523" s="239"/>
      <c r="J523" s="239"/>
      <c r="K523" s="688"/>
      <c r="L523" s="7"/>
      <c r="M523" s="7"/>
      <c r="N523" s="7"/>
      <c r="O523" s="7"/>
      <c r="P523" s="239"/>
      <c r="Q523" s="7"/>
      <c r="R523" s="7"/>
      <c r="S523" s="7"/>
      <c r="T523" s="7"/>
      <c r="U523" s="7"/>
      <c r="V523" s="7"/>
      <c r="W523" s="7"/>
      <c r="X523" s="7"/>
      <c r="Y523" s="7"/>
      <c r="Z523" s="708"/>
      <c r="AA523" s="7"/>
      <c r="AB523" s="7"/>
      <c r="AC523" s="7"/>
      <c r="AD523" s="7"/>
      <c r="AE523" s="7"/>
      <c r="AF523" s="7"/>
      <c r="AG523" s="7"/>
      <c r="AH523" s="7"/>
    </row>
    <row r="524" spans="1:34" ht="15.75" customHeight="1">
      <c r="A524" s="686"/>
      <c r="B524" s="687"/>
      <c r="C524" s="243"/>
      <c r="D524" s="244"/>
      <c r="E524" s="688"/>
      <c r="F524" s="244"/>
      <c r="G524" s="688"/>
      <c r="H524" s="688"/>
      <c r="I524" s="239"/>
      <c r="J524" s="239"/>
      <c r="K524" s="688"/>
      <c r="L524" s="7"/>
      <c r="M524" s="7"/>
      <c r="N524" s="7"/>
      <c r="O524" s="7"/>
      <c r="P524" s="239"/>
      <c r="Q524" s="7"/>
      <c r="R524" s="7"/>
      <c r="S524" s="7"/>
      <c r="T524" s="7"/>
      <c r="U524" s="7"/>
      <c r="V524" s="7"/>
      <c r="W524" s="7"/>
      <c r="X524" s="7"/>
      <c r="Y524" s="7"/>
      <c r="Z524" s="708"/>
      <c r="AA524" s="7"/>
      <c r="AB524" s="7"/>
      <c r="AC524" s="7"/>
      <c r="AD524" s="7"/>
      <c r="AE524" s="7"/>
      <c r="AF524" s="7"/>
      <c r="AG524" s="7"/>
      <c r="AH524" s="7"/>
    </row>
    <row r="525" spans="1:34" ht="15.75" customHeight="1">
      <c r="A525" s="686"/>
      <c r="B525" s="687"/>
      <c r="C525" s="243"/>
      <c r="D525" s="244"/>
      <c r="E525" s="688"/>
      <c r="F525" s="244"/>
      <c r="G525" s="688"/>
      <c r="H525" s="688"/>
      <c r="I525" s="239"/>
      <c r="J525" s="239"/>
      <c r="K525" s="688"/>
      <c r="L525" s="7"/>
      <c r="M525" s="7"/>
      <c r="N525" s="7"/>
      <c r="O525" s="7"/>
      <c r="P525" s="239"/>
      <c r="Q525" s="7"/>
      <c r="R525" s="7"/>
      <c r="S525" s="7"/>
      <c r="T525" s="7"/>
      <c r="U525" s="7"/>
      <c r="V525" s="7"/>
      <c r="W525" s="7"/>
      <c r="X525" s="7"/>
      <c r="Y525" s="7"/>
      <c r="Z525" s="708"/>
      <c r="AA525" s="7"/>
      <c r="AB525" s="7"/>
      <c r="AC525" s="7"/>
      <c r="AD525" s="7"/>
      <c r="AE525" s="7"/>
      <c r="AF525" s="7"/>
      <c r="AG525" s="7"/>
      <c r="AH525" s="7"/>
    </row>
    <row r="526" spans="1:34" ht="15.75" customHeight="1">
      <c r="A526" s="686"/>
      <c r="B526" s="687"/>
      <c r="C526" s="243"/>
      <c r="D526" s="244"/>
      <c r="E526" s="688"/>
      <c r="F526" s="244"/>
      <c r="G526" s="688"/>
      <c r="H526" s="688"/>
      <c r="I526" s="239"/>
      <c r="J526" s="239"/>
      <c r="K526" s="688"/>
      <c r="L526" s="7"/>
      <c r="M526" s="7"/>
      <c r="N526" s="7"/>
      <c r="O526" s="7"/>
      <c r="P526" s="239"/>
      <c r="Q526" s="7"/>
      <c r="R526" s="7"/>
      <c r="S526" s="7"/>
      <c r="T526" s="7"/>
      <c r="U526" s="7"/>
      <c r="V526" s="7"/>
      <c r="W526" s="7"/>
      <c r="X526" s="7"/>
      <c r="Y526" s="7"/>
      <c r="Z526" s="708"/>
      <c r="AA526" s="7"/>
      <c r="AB526" s="7"/>
      <c r="AC526" s="7"/>
      <c r="AD526" s="7"/>
      <c r="AE526" s="7"/>
      <c r="AF526" s="7"/>
      <c r="AG526" s="7"/>
      <c r="AH526" s="7"/>
    </row>
    <row r="527" spans="1:34" ht="15.75" customHeight="1">
      <c r="A527" s="686"/>
      <c r="B527" s="687"/>
      <c r="C527" s="243"/>
      <c r="D527" s="244"/>
      <c r="E527" s="688"/>
      <c r="F527" s="244"/>
      <c r="G527" s="688"/>
      <c r="H527" s="688"/>
      <c r="I527" s="239"/>
      <c r="J527" s="239"/>
      <c r="K527" s="688"/>
      <c r="L527" s="7"/>
      <c r="M527" s="7"/>
      <c r="N527" s="7"/>
      <c r="O527" s="7"/>
      <c r="P527" s="239"/>
      <c r="Q527" s="7"/>
      <c r="R527" s="7"/>
      <c r="S527" s="7"/>
      <c r="T527" s="7"/>
      <c r="U527" s="7"/>
      <c r="V527" s="7"/>
      <c r="W527" s="7"/>
      <c r="X527" s="7"/>
      <c r="Y527" s="7"/>
      <c r="Z527" s="708"/>
      <c r="AA527" s="7"/>
      <c r="AB527" s="7"/>
      <c r="AC527" s="7"/>
      <c r="AD527" s="7"/>
      <c r="AE527" s="7"/>
      <c r="AF527" s="7"/>
      <c r="AG527" s="7"/>
      <c r="AH527" s="7"/>
    </row>
    <row r="528" spans="1:34" ht="15.75" customHeight="1">
      <c r="A528" s="686"/>
      <c r="B528" s="687"/>
      <c r="C528" s="243"/>
      <c r="D528" s="244"/>
      <c r="E528" s="688"/>
      <c r="F528" s="244"/>
      <c r="G528" s="688"/>
      <c r="H528" s="688"/>
      <c r="I528" s="239"/>
      <c r="J528" s="239"/>
      <c r="K528" s="688"/>
      <c r="L528" s="7"/>
      <c r="M528" s="7"/>
      <c r="N528" s="7"/>
      <c r="O528" s="7"/>
      <c r="P528" s="239"/>
      <c r="Q528" s="7"/>
      <c r="R528" s="7"/>
      <c r="S528" s="7"/>
      <c r="T528" s="7"/>
      <c r="U528" s="7"/>
      <c r="V528" s="7"/>
      <c r="W528" s="7"/>
      <c r="X528" s="7"/>
      <c r="Y528" s="7"/>
      <c r="Z528" s="708"/>
      <c r="AA528" s="7"/>
      <c r="AB528" s="7"/>
      <c r="AC528" s="7"/>
      <c r="AD528" s="7"/>
      <c r="AE528" s="7"/>
      <c r="AF528" s="7"/>
      <c r="AG528" s="7"/>
      <c r="AH528" s="7"/>
    </row>
    <row r="529" spans="1:34" ht="15.75" customHeight="1">
      <c r="A529" s="686"/>
      <c r="B529" s="687"/>
      <c r="C529" s="243"/>
      <c r="D529" s="244"/>
      <c r="E529" s="688"/>
      <c r="F529" s="244"/>
      <c r="G529" s="688"/>
      <c r="H529" s="688"/>
      <c r="I529" s="239"/>
      <c r="J529" s="239"/>
      <c r="K529" s="688"/>
      <c r="L529" s="7"/>
      <c r="M529" s="7"/>
      <c r="N529" s="7"/>
      <c r="O529" s="7"/>
      <c r="P529" s="239"/>
      <c r="Q529" s="7"/>
      <c r="R529" s="7"/>
      <c r="S529" s="7"/>
      <c r="T529" s="7"/>
      <c r="U529" s="7"/>
      <c r="V529" s="7"/>
      <c r="W529" s="7"/>
      <c r="X529" s="7"/>
      <c r="Y529" s="7"/>
      <c r="Z529" s="708"/>
      <c r="AA529" s="7"/>
      <c r="AB529" s="7"/>
      <c r="AC529" s="7"/>
      <c r="AD529" s="7"/>
      <c r="AE529" s="7"/>
      <c r="AF529" s="7"/>
      <c r="AG529" s="7"/>
      <c r="AH529" s="7"/>
    </row>
    <row r="530" spans="1:34" ht="15.75" customHeight="1">
      <c r="A530" s="686"/>
      <c r="B530" s="687"/>
      <c r="C530" s="243"/>
      <c r="D530" s="244"/>
      <c r="E530" s="688"/>
      <c r="F530" s="244"/>
      <c r="G530" s="688"/>
      <c r="H530" s="688"/>
      <c r="I530" s="239"/>
      <c r="J530" s="239"/>
      <c r="K530" s="688"/>
      <c r="L530" s="7"/>
      <c r="M530" s="7"/>
      <c r="N530" s="7"/>
      <c r="O530" s="7"/>
      <c r="P530" s="239"/>
      <c r="Q530" s="7"/>
      <c r="R530" s="7"/>
      <c r="S530" s="7"/>
      <c r="T530" s="7"/>
      <c r="U530" s="7"/>
      <c r="V530" s="7"/>
      <c r="W530" s="7"/>
      <c r="X530" s="7"/>
      <c r="Y530" s="7"/>
      <c r="Z530" s="708"/>
      <c r="AA530" s="7"/>
      <c r="AB530" s="7"/>
      <c r="AC530" s="7"/>
      <c r="AD530" s="7"/>
      <c r="AE530" s="7"/>
      <c r="AF530" s="7"/>
      <c r="AG530" s="7"/>
      <c r="AH530" s="7"/>
    </row>
    <row r="531" spans="1:34" ht="15.75" customHeight="1">
      <c r="A531" s="686"/>
      <c r="B531" s="687"/>
      <c r="C531" s="243"/>
      <c r="D531" s="244"/>
      <c r="E531" s="688"/>
      <c r="F531" s="244"/>
      <c r="G531" s="688"/>
      <c r="H531" s="688"/>
      <c r="I531" s="239"/>
      <c r="J531" s="239"/>
      <c r="K531" s="688"/>
      <c r="L531" s="7"/>
      <c r="M531" s="7"/>
      <c r="N531" s="7"/>
      <c r="O531" s="7"/>
      <c r="P531" s="239"/>
      <c r="Q531" s="7"/>
      <c r="R531" s="7"/>
      <c r="S531" s="7"/>
      <c r="T531" s="7"/>
      <c r="U531" s="7"/>
      <c r="V531" s="7"/>
      <c r="W531" s="7"/>
      <c r="X531" s="7"/>
      <c r="Y531" s="7"/>
      <c r="Z531" s="708"/>
      <c r="AA531" s="7"/>
      <c r="AB531" s="7"/>
      <c r="AC531" s="7"/>
      <c r="AD531" s="7"/>
      <c r="AE531" s="7"/>
      <c r="AF531" s="7"/>
      <c r="AG531" s="7"/>
      <c r="AH531" s="7"/>
    </row>
    <row r="532" spans="1:34" ht="15.75" customHeight="1">
      <c r="A532" s="686"/>
      <c r="B532" s="687"/>
      <c r="C532" s="243"/>
      <c r="D532" s="244"/>
      <c r="E532" s="688"/>
      <c r="F532" s="244"/>
      <c r="G532" s="688"/>
      <c r="H532" s="688"/>
      <c r="I532" s="239"/>
      <c r="J532" s="239"/>
      <c r="K532" s="688"/>
      <c r="L532" s="7"/>
      <c r="M532" s="7"/>
      <c r="N532" s="7"/>
      <c r="O532" s="7"/>
      <c r="P532" s="239"/>
      <c r="Q532" s="7"/>
      <c r="R532" s="7"/>
      <c r="S532" s="7"/>
      <c r="T532" s="7"/>
      <c r="U532" s="7"/>
      <c r="V532" s="7"/>
      <c r="W532" s="7"/>
      <c r="X532" s="7"/>
      <c r="Y532" s="7"/>
      <c r="Z532" s="708"/>
      <c r="AA532" s="7"/>
      <c r="AB532" s="7"/>
      <c r="AC532" s="7"/>
      <c r="AD532" s="7"/>
      <c r="AE532" s="7"/>
      <c r="AF532" s="7"/>
      <c r="AG532" s="7"/>
      <c r="AH532" s="7"/>
    </row>
    <row r="533" spans="1:34" ht="15.75" customHeight="1">
      <c r="A533" s="686"/>
      <c r="B533" s="687"/>
      <c r="C533" s="243"/>
      <c r="D533" s="244"/>
      <c r="E533" s="688"/>
      <c r="F533" s="244"/>
      <c r="G533" s="688"/>
      <c r="H533" s="688"/>
      <c r="I533" s="239"/>
      <c r="J533" s="239"/>
      <c r="K533" s="688"/>
      <c r="L533" s="7"/>
      <c r="M533" s="7"/>
      <c r="N533" s="7"/>
      <c r="O533" s="7"/>
      <c r="P533" s="239"/>
      <c r="Q533" s="7"/>
      <c r="R533" s="7"/>
      <c r="S533" s="7"/>
      <c r="T533" s="7"/>
      <c r="U533" s="7"/>
      <c r="V533" s="7"/>
      <c r="W533" s="7"/>
      <c r="X533" s="7"/>
      <c r="Y533" s="7"/>
      <c r="Z533" s="708"/>
      <c r="AA533" s="7"/>
      <c r="AB533" s="7"/>
      <c r="AC533" s="7"/>
      <c r="AD533" s="7"/>
      <c r="AE533" s="7"/>
      <c r="AF533" s="7"/>
      <c r="AG533" s="7"/>
      <c r="AH533" s="7"/>
    </row>
    <row r="534" spans="1:34" ht="15.75" customHeight="1">
      <c r="A534" s="686"/>
      <c r="B534" s="687"/>
      <c r="C534" s="243"/>
      <c r="D534" s="244"/>
      <c r="E534" s="688"/>
      <c r="F534" s="244"/>
      <c r="G534" s="688"/>
      <c r="H534" s="688"/>
      <c r="I534" s="239"/>
      <c r="J534" s="239"/>
      <c r="K534" s="688"/>
      <c r="L534" s="7"/>
      <c r="M534" s="7"/>
      <c r="N534" s="7"/>
      <c r="O534" s="7"/>
      <c r="P534" s="239"/>
      <c r="Q534" s="7"/>
      <c r="R534" s="7"/>
      <c r="S534" s="7"/>
      <c r="T534" s="7"/>
      <c r="U534" s="7"/>
      <c r="V534" s="7"/>
      <c r="W534" s="7"/>
      <c r="X534" s="7"/>
      <c r="Y534" s="7"/>
      <c r="Z534" s="708"/>
      <c r="AA534" s="7"/>
      <c r="AB534" s="7"/>
      <c r="AC534" s="7"/>
      <c r="AD534" s="7"/>
      <c r="AE534" s="7"/>
      <c r="AF534" s="7"/>
      <c r="AG534" s="7"/>
      <c r="AH534" s="7"/>
    </row>
    <row r="535" spans="1:34" ht="15.75" customHeight="1">
      <c r="A535" s="686"/>
      <c r="B535" s="687"/>
      <c r="C535" s="243"/>
      <c r="D535" s="244"/>
      <c r="E535" s="688"/>
      <c r="F535" s="244"/>
      <c r="G535" s="688"/>
      <c r="H535" s="688"/>
      <c r="I535" s="239"/>
      <c r="J535" s="239"/>
      <c r="K535" s="688"/>
      <c r="L535" s="7"/>
      <c r="M535" s="7"/>
      <c r="N535" s="7"/>
      <c r="O535" s="7"/>
      <c r="P535" s="239"/>
      <c r="Q535" s="7"/>
      <c r="R535" s="7"/>
      <c r="S535" s="7"/>
      <c r="T535" s="7"/>
      <c r="U535" s="7"/>
      <c r="V535" s="7"/>
      <c r="W535" s="7"/>
      <c r="X535" s="7"/>
      <c r="Y535" s="7"/>
      <c r="Z535" s="708"/>
      <c r="AA535" s="7"/>
      <c r="AB535" s="7"/>
      <c r="AC535" s="7"/>
      <c r="AD535" s="7"/>
      <c r="AE535" s="7"/>
      <c r="AF535" s="7"/>
      <c r="AG535" s="7"/>
      <c r="AH535" s="7"/>
    </row>
    <row r="536" spans="1:34" ht="15.75" customHeight="1">
      <c r="A536" s="686"/>
      <c r="B536" s="687"/>
      <c r="C536" s="243"/>
      <c r="D536" s="244"/>
      <c r="E536" s="688"/>
      <c r="F536" s="244"/>
      <c r="G536" s="688"/>
      <c r="H536" s="688"/>
      <c r="I536" s="239"/>
      <c r="J536" s="239"/>
      <c r="K536" s="688"/>
      <c r="L536" s="7"/>
      <c r="M536" s="7"/>
      <c r="N536" s="7"/>
      <c r="O536" s="7"/>
      <c r="P536" s="239"/>
      <c r="Q536" s="7"/>
      <c r="R536" s="7"/>
      <c r="S536" s="7"/>
      <c r="T536" s="7"/>
      <c r="U536" s="7"/>
      <c r="V536" s="7"/>
      <c r="W536" s="7"/>
      <c r="X536" s="7"/>
      <c r="Y536" s="7"/>
      <c r="Z536" s="708"/>
      <c r="AA536" s="7"/>
      <c r="AB536" s="7"/>
      <c r="AC536" s="7"/>
      <c r="AD536" s="7"/>
      <c r="AE536" s="7"/>
      <c r="AF536" s="7"/>
      <c r="AG536" s="7"/>
      <c r="AH536" s="7"/>
    </row>
    <row r="537" spans="1:34" ht="15.75" customHeight="1">
      <c r="A537" s="686"/>
      <c r="B537" s="687"/>
      <c r="C537" s="243"/>
      <c r="D537" s="244"/>
      <c r="E537" s="688"/>
      <c r="F537" s="244"/>
      <c r="G537" s="688"/>
      <c r="H537" s="688"/>
      <c r="I537" s="239"/>
      <c r="J537" s="239"/>
      <c r="K537" s="688"/>
      <c r="L537" s="7"/>
      <c r="M537" s="7"/>
      <c r="N537" s="7"/>
      <c r="O537" s="7"/>
      <c r="P537" s="239"/>
      <c r="Q537" s="7"/>
      <c r="R537" s="7"/>
      <c r="S537" s="7"/>
      <c r="T537" s="7"/>
      <c r="U537" s="7"/>
      <c r="V537" s="7"/>
      <c r="W537" s="7"/>
      <c r="X537" s="7"/>
      <c r="Y537" s="7"/>
      <c r="Z537" s="708"/>
      <c r="AA537" s="7"/>
      <c r="AB537" s="7"/>
      <c r="AC537" s="7"/>
      <c r="AD537" s="7"/>
      <c r="AE537" s="7"/>
      <c r="AF537" s="7"/>
      <c r="AG537" s="7"/>
      <c r="AH537" s="7"/>
    </row>
    <row r="538" spans="1:34" ht="15.75" customHeight="1">
      <c r="A538" s="686"/>
      <c r="B538" s="687"/>
      <c r="C538" s="243"/>
      <c r="D538" s="244"/>
      <c r="E538" s="688"/>
      <c r="F538" s="244"/>
      <c r="G538" s="688"/>
      <c r="H538" s="688"/>
      <c r="I538" s="239"/>
      <c r="J538" s="239"/>
      <c r="K538" s="688"/>
      <c r="L538" s="7"/>
      <c r="M538" s="7"/>
      <c r="N538" s="7"/>
      <c r="O538" s="7"/>
      <c r="P538" s="239"/>
      <c r="Q538" s="7"/>
      <c r="R538" s="7"/>
      <c r="S538" s="7"/>
      <c r="T538" s="7"/>
      <c r="U538" s="7"/>
      <c r="V538" s="7"/>
      <c r="W538" s="7"/>
      <c r="X538" s="7"/>
      <c r="Y538" s="7"/>
      <c r="Z538" s="708"/>
      <c r="AA538" s="7"/>
      <c r="AB538" s="7"/>
      <c r="AC538" s="7"/>
      <c r="AD538" s="7"/>
      <c r="AE538" s="7"/>
      <c r="AF538" s="7"/>
      <c r="AG538" s="7"/>
      <c r="AH538" s="7"/>
    </row>
    <row r="539" spans="1:34" ht="15.75" customHeight="1">
      <c r="A539" s="686"/>
      <c r="B539" s="687"/>
      <c r="C539" s="243"/>
      <c r="D539" s="244"/>
      <c r="E539" s="688"/>
      <c r="F539" s="244"/>
      <c r="G539" s="688"/>
      <c r="H539" s="688"/>
      <c r="I539" s="239"/>
      <c r="J539" s="239"/>
      <c r="K539" s="688"/>
      <c r="L539" s="7"/>
      <c r="M539" s="7"/>
      <c r="N539" s="7"/>
      <c r="O539" s="7"/>
      <c r="P539" s="239"/>
      <c r="Q539" s="7"/>
      <c r="R539" s="7"/>
      <c r="S539" s="7"/>
      <c r="T539" s="7"/>
      <c r="U539" s="7"/>
      <c r="V539" s="7"/>
      <c r="W539" s="7"/>
      <c r="X539" s="7"/>
      <c r="Y539" s="7"/>
      <c r="Z539" s="708"/>
      <c r="AA539" s="7"/>
      <c r="AB539" s="7"/>
      <c r="AC539" s="7"/>
      <c r="AD539" s="7"/>
      <c r="AE539" s="7"/>
      <c r="AF539" s="7"/>
      <c r="AG539" s="7"/>
      <c r="AH539" s="7"/>
    </row>
    <row r="540" spans="1:34" ht="15.75" customHeight="1">
      <c r="A540" s="686"/>
      <c r="B540" s="687"/>
      <c r="C540" s="243"/>
      <c r="D540" s="244"/>
      <c r="E540" s="688"/>
      <c r="F540" s="244"/>
      <c r="G540" s="688"/>
      <c r="H540" s="688"/>
      <c r="I540" s="239"/>
      <c r="J540" s="239"/>
      <c r="K540" s="688"/>
      <c r="L540" s="7"/>
      <c r="M540" s="7"/>
      <c r="N540" s="7"/>
      <c r="O540" s="7"/>
      <c r="P540" s="239"/>
      <c r="Q540" s="7"/>
      <c r="R540" s="7"/>
      <c r="S540" s="7"/>
      <c r="T540" s="7"/>
      <c r="U540" s="7"/>
      <c r="V540" s="7"/>
      <c r="W540" s="7"/>
      <c r="X540" s="7"/>
      <c r="Y540" s="7"/>
      <c r="Z540" s="708"/>
      <c r="AA540" s="7"/>
      <c r="AB540" s="7"/>
      <c r="AC540" s="7"/>
      <c r="AD540" s="7"/>
      <c r="AE540" s="7"/>
      <c r="AF540" s="7"/>
      <c r="AG540" s="7"/>
      <c r="AH540" s="7"/>
    </row>
    <row r="541" spans="1:34" ht="15.75" customHeight="1">
      <c r="A541" s="686"/>
      <c r="B541" s="687"/>
      <c r="C541" s="243"/>
      <c r="D541" s="244"/>
      <c r="E541" s="688"/>
      <c r="F541" s="244"/>
      <c r="G541" s="688"/>
      <c r="H541" s="688"/>
      <c r="I541" s="239"/>
      <c r="J541" s="239"/>
      <c r="K541" s="688"/>
      <c r="L541" s="7"/>
      <c r="M541" s="7"/>
      <c r="N541" s="7"/>
      <c r="O541" s="7"/>
      <c r="P541" s="239"/>
      <c r="Q541" s="7"/>
      <c r="R541" s="7"/>
      <c r="S541" s="7"/>
      <c r="T541" s="7"/>
      <c r="U541" s="7"/>
      <c r="V541" s="7"/>
      <c r="W541" s="7"/>
      <c r="X541" s="7"/>
      <c r="Y541" s="7"/>
      <c r="Z541" s="708"/>
      <c r="AA541" s="7"/>
      <c r="AB541" s="7"/>
      <c r="AC541" s="7"/>
      <c r="AD541" s="7"/>
      <c r="AE541" s="7"/>
      <c r="AF541" s="7"/>
      <c r="AG541" s="7"/>
      <c r="AH541" s="7"/>
    </row>
    <row r="542" spans="1:34" ht="15.75" customHeight="1">
      <c r="A542" s="686"/>
      <c r="B542" s="687"/>
      <c r="C542" s="243"/>
      <c r="D542" s="244"/>
      <c r="E542" s="688"/>
      <c r="F542" s="244"/>
      <c r="G542" s="688"/>
      <c r="H542" s="688"/>
      <c r="I542" s="239"/>
      <c r="J542" s="239"/>
      <c r="K542" s="688"/>
      <c r="L542" s="7"/>
      <c r="M542" s="7"/>
      <c r="N542" s="7"/>
      <c r="O542" s="7"/>
      <c r="P542" s="239"/>
      <c r="Q542" s="7"/>
      <c r="R542" s="7"/>
      <c r="S542" s="7"/>
      <c r="T542" s="7"/>
      <c r="U542" s="7"/>
      <c r="V542" s="7"/>
      <c r="W542" s="7"/>
      <c r="X542" s="7"/>
      <c r="Y542" s="7"/>
      <c r="Z542" s="708"/>
      <c r="AA542" s="7"/>
      <c r="AB542" s="7"/>
      <c r="AC542" s="7"/>
      <c r="AD542" s="7"/>
      <c r="AE542" s="7"/>
      <c r="AF542" s="7"/>
      <c r="AG542" s="7"/>
      <c r="AH542" s="7"/>
    </row>
    <row r="543" spans="1:34" ht="15.75" customHeight="1">
      <c r="A543" s="686"/>
      <c r="B543" s="687"/>
      <c r="C543" s="243"/>
      <c r="D543" s="244"/>
      <c r="E543" s="688"/>
      <c r="F543" s="244"/>
      <c r="G543" s="688"/>
      <c r="H543" s="688"/>
      <c r="I543" s="239"/>
      <c r="J543" s="239"/>
      <c r="K543" s="688"/>
      <c r="L543" s="7"/>
      <c r="M543" s="7"/>
      <c r="N543" s="7"/>
      <c r="O543" s="7"/>
      <c r="P543" s="239"/>
      <c r="Q543" s="7"/>
      <c r="R543" s="7"/>
      <c r="S543" s="7"/>
      <c r="T543" s="7"/>
      <c r="U543" s="7"/>
      <c r="V543" s="7"/>
      <c r="W543" s="7"/>
      <c r="X543" s="7"/>
      <c r="Y543" s="7"/>
      <c r="Z543" s="708"/>
      <c r="AA543" s="7"/>
      <c r="AB543" s="7"/>
      <c r="AC543" s="7"/>
      <c r="AD543" s="7"/>
      <c r="AE543" s="7"/>
      <c r="AF543" s="7"/>
      <c r="AG543" s="7"/>
      <c r="AH543" s="7"/>
    </row>
    <row r="544" spans="1:34" ht="15.75" customHeight="1">
      <c r="A544" s="686"/>
      <c r="B544" s="687"/>
      <c r="C544" s="243"/>
      <c r="D544" s="244"/>
      <c r="E544" s="688"/>
      <c r="F544" s="244"/>
      <c r="G544" s="688"/>
      <c r="H544" s="688"/>
      <c r="I544" s="239"/>
      <c r="J544" s="239"/>
      <c r="K544" s="688"/>
      <c r="L544" s="7"/>
      <c r="M544" s="7"/>
      <c r="N544" s="7"/>
      <c r="O544" s="7"/>
      <c r="P544" s="239"/>
      <c r="Q544" s="7"/>
      <c r="R544" s="7"/>
      <c r="S544" s="7"/>
      <c r="T544" s="7"/>
      <c r="U544" s="7"/>
      <c r="V544" s="7"/>
      <c r="W544" s="7"/>
      <c r="X544" s="7"/>
      <c r="Y544" s="7"/>
      <c r="Z544" s="708"/>
      <c r="AA544" s="7"/>
      <c r="AB544" s="7"/>
      <c r="AC544" s="7"/>
      <c r="AD544" s="7"/>
      <c r="AE544" s="7"/>
      <c r="AF544" s="7"/>
      <c r="AG544" s="7"/>
      <c r="AH544" s="7"/>
    </row>
    <row r="545" spans="1:34" ht="15.75" customHeight="1">
      <c r="A545" s="686"/>
      <c r="B545" s="687"/>
      <c r="C545" s="243"/>
      <c r="D545" s="244"/>
      <c r="E545" s="688"/>
      <c r="F545" s="244"/>
      <c r="G545" s="688"/>
      <c r="H545" s="688"/>
      <c r="I545" s="239"/>
      <c r="J545" s="239"/>
      <c r="K545" s="688"/>
      <c r="L545" s="7"/>
      <c r="M545" s="7"/>
      <c r="N545" s="7"/>
      <c r="O545" s="7"/>
      <c r="P545" s="239"/>
      <c r="Q545" s="7"/>
      <c r="R545" s="7"/>
      <c r="S545" s="7"/>
      <c r="T545" s="7"/>
      <c r="U545" s="7"/>
      <c r="V545" s="7"/>
      <c r="W545" s="7"/>
      <c r="X545" s="7"/>
      <c r="Y545" s="7"/>
      <c r="Z545" s="708"/>
      <c r="AA545" s="7"/>
      <c r="AB545" s="7"/>
      <c r="AC545" s="7"/>
      <c r="AD545" s="7"/>
      <c r="AE545" s="7"/>
      <c r="AF545" s="7"/>
      <c r="AG545" s="7"/>
      <c r="AH545" s="7"/>
    </row>
    <row r="546" spans="1:34" ht="15.75" customHeight="1">
      <c r="A546" s="686"/>
      <c r="B546" s="687"/>
      <c r="C546" s="243"/>
      <c r="D546" s="244"/>
      <c r="E546" s="688"/>
      <c r="F546" s="244"/>
      <c r="G546" s="688"/>
      <c r="H546" s="688"/>
      <c r="I546" s="239"/>
      <c r="J546" s="239"/>
      <c r="K546" s="688"/>
      <c r="L546" s="7"/>
      <c r="M546" s="7"/>
      <c r="N546" s="7"/>
      <c r="O546" s="7"/>
      <c r="P546" s="239"/>
      <c r="Q546" s="7"/>
      <c r="R546" s="7"/>
      <c r="S546" s="7"/>
      <c r="T546" s="7"/>
      <c r="U546" s="7"/>
      <c r="V546" s="7"/>
      <c r="W546" s="7"/>
      <c r="X546" s="7"/>
      <c r="Y546" s="7"/>
      <c r="Z546" s="708"/>
      <c r="AA546" s="7"/>
      <c r="AB546" s="7"/>
      <c r="AC546" s="7"/>
      <c r="AD546" s="7"/>
      <c r="AE546" s="7"/>
      <c r="AF546" s="7"/>
      <c r="AG546" s="7"/>
      <c r="AH546" s="7"/>
    </row>
    <row r="547" spans="1:34" ht="15.75" customHeight="1">
      <c r="A547" s="686"/>
      <c r="B547" s="687"/>
      <c r="C547" s="243"/>
      <c r="D547" s="244"/>
      <c r="E547" s="688"/>
      <c r="F547" s="244"/>
      <c r="G547" s="688"/>
      <c r="H547" s="688"/>
      <c r="I547" s="239"/>
      <c r="J547" s="239"/>
      <c r="K547" s="688"/>
      <c r="L547" s="7"/>
      <c r="M547" s="7"/>
      <c r="N547" s="7"/>
      <c r="O547" s="7"/>
      <c r="P547" s="239"/>
      <c r="Q547" s="7"/>
      <c r="R547" s="7"/>
      <c r="S547" s="7"/>
      <c r="T547" s="7"/>
      <c r="U547" s="7"/>
      <c r="V547" s="7"/>
      <c r="W547" s="7"/>
      <c r="X547" s="7"/>
      <c r="Y547" s="7"/>
      <c r="Z547" s="708"/>
      <c r="AA547" s="7"/>
      <c r="AB547" s="7"/>
      <c r="AC547" s="7"/>
      <c r="AD547" s="7"/>
      <c r="AE547" s="7"/>
      <c r="AF547" s="7"/>
      <c r="AG547" s="7"/>
      <c r="AH547" s="7"/>
    </row>
    <row r="548" spans="1:34" ht="15.75" customHeight="1">
      <c r="A548" s="686"/>
      <c r="B548" s="687"/>
      <c r="C548" s="243"/>
      <c r="D548" s="244"/>
      <c r="E548" s="688"/>
      <c r="F548" s="244"/>
      <c r="G548" s="688"/>
      <c r="H548" s="688"/>
      <c r="I548" s="239"/>
      <c r="J548" s="239"/>
      <c r="K548" s="688"/>
      <c r="L548" s="7"/>
      <c r="M548" s="7"/>
      <c r="N548" s="7"/>
      <c r="O548" s="7"/>
      <c r="P548" s="239"/>
      <c r="Q548" s="7"/>
      <c r="R548" s="7"/>
      <c r="S548" s="7"/>
      <c r="T548" s="7"/>
      <c r="U548" s="7"/>
      <c r="V548" s="7"/>
      <c r="W548" s="7"/>
      <c r="X548" s="7"/>
      <c r="Y548" s="7"/>
      <c r="Z548" s="708"/>
      <c r="AA548" s="7"/>
      <c r="AB548" s="7"/>
      <c r="AC548" s="7"/>
      <c r="AD548" s="7"/>
      <c r="AE548" s="7"/>
      <c r="AF548" s="7"/>
      <c r="AG548" s="7"/>
      <c r="AH548" s="7"/>
    </row>
    <row r="549" spans="1:34" ht="15.75" customHeight="1">
      <c r="A549" s="686"/>
      <c r="B549" s="687"/>
      <c r="C549" s="243"/>
      <c r="D549" s="244"/>
      <c r="E549" s="688"/>
      <c r="F549" s="244"/>
      <c r="G549" s="688"/>
      <c r="H549" s="688"/>
      <c r="I549" s="239"/>
      <c r="J549" s="239"/>
      <c r="K549" s="688"/>
      <c r="L549" s="7"/>
      <c r="M549" s="7"/>
      <c r="N549" s="7"/>
      <c r="O549" s="7"/>
      <c r="P549" s="239"/>
      <c r="Q549" s="7"/>
      <c r="R549" s="7"/>
      <c r="S549" s="7"/>
      <c r="T549" s="7"/>
      <c r="U549" s="7"/>
      <c r="V549" s="7"/>
      <c r="W549" s="7"/>
      <c r="X549" s="7"/>
      <c r="Y549" s="7"/>
      <c r="Z549" s="708"/>
      <c r="AA549" s="7"/>
      <c r="AB549" s="7"/>
      <c r="AC549" s="7"/>
      <c r="AD549" s="7"/>
      <c r="AE549" s="7"/>
      <c r="AF549" s="7"/>
      <c r="AG549" s="7"/>
      <c r="AH549" s="7"/>
    </row>
    <row r="550" spans="1:34" ht="15.75" customHeight="1">
      <c r="A550" s="686"/>
      <c r="B550" s="687"/>
      <c r="C550" s="243"/>
      <c r="D550" s="244"/>
      <c r="E550" s="688"/>
      <c r="F550" s="244"/>
      <c r="G550" s="688"/>
      <c r="H550" s="688"/>
      <c r="I550" s="239"/>
      <c r="J550" s="239"/>
      <c r="K550" s="688"/>
      <c r="L550" s="7"/>
      <c r="M550" s="7"/>
      <c r="N550" s="7"/>
      <c r="O550" s="7"/>
      <c r="P550" s="239"/>
      <c r="Q550" s="7"/>
      <c r="R550" s="7"/>
      <c r="S550" s="7"/>
      <c r="T550" s="7"/>
      <c r="U550" s="7"/>
      <c r="V550" s="7"/>
      <c r="W550" s="7"/>
      <c r="X550" s="7"/>
      <c r="Y550" s="7"/>
      <c r="Z550" s="708"/>
      <c r="AA550" s="7"/>
      <c r="AB550" s="7"/>
      <c r="AC550" s="7"/>
      <c r="AD550" s="7"/>
      <c r="AE550" s="7"/>
      <c r="AF550" s="7"/>
      <c r="AG550" s="7"/>
      <c r="AH550" s="7"/>
    </row>
    <row r="551" spans="1:34" ht="15.75" customHeight="1">
      <c r="A551" s="686"/>
      <c r="B551" s="687"/>
      <c r="C551" s="243"/>
      <c r="D551" s="244"/>
      <c r="E551" s="688"/>
      <c r="F551" s="244"/>
      <c r="G551" s="688"/>
      <c r="H551" s="688"/>
      <c r="I551" s="239"/>
      <c r="J551" s="239"/>
      <c r="K551" s="688"/>
      <c r="L551" s="7"/>
      <c r="M551" s="7"/>
      <c r="N551" s="7"/>
      <c r="O551" s="7"/>
      <c r="P551" s="239"/>
      <c r="Q551" s="7"/>
      <c r="R551" s="7"/>
      <c r="S551" s="7"/>
      <c r="T551" s="7"/>
      <c r="U551" s="7"/>
      <c r="V551" s="7"/>
      <c r="W551" s="7"/>
      <c r="X551" s="7"/>
      <c r="Y551" s="7"/>
      <c r="Z551" s="708"/>
      <c r="AA551" s="7"/>
      <c r="AB551" s="7"/>
      <c r="AC551" s="7"/>
      <c r="AD551" s="7"/>
      <c r="AE551" s="7"/>
      <c r="AF551" s="7"/>
      <c r="AG551" s="7"/>
      <c r="AH551" s="7"/>
    </row>
    <row r="552" spans="1:34" ht="15.75" customHeight="1">
      <c r="A552" s="686"/>
      <c r="B552" s="687"/>
      <c r="C552" s="243"/>
      <c r="D552" s="244"/>
      <c r="E552" s="688"/>
      <c r="F552" s="244"/>
      <c r="G552" s="688"/>
      <c r="H552" s="688"/>
      <c r="I552" s="239"/>
      <c r="J552" s="239"/>
      <c r="K552" s="688"/>
      <c r="L552" s="7"/>
      <c r="M552" s="7"/>
      <c r="N552" s="7"/>
      <c r="O552" s="7"/>
      <c r="P552" s="239"/>
      <c r="Q552" s="7"/>
      <c r="R552" s="7"/>
      <c r="S552" s="7"/>
      <c r="T552" s="7"/>
      <c r="U552" s="7"/>
      <c r="V552" s="7"/>
      <c r="W552" s="7"/>
      <c r="X552" s="7"/>
      <c r="Y552" s="7"/>
      <c r="Z552" s="708"/>
      <c r="AA552" s="7"/>
      <c r="AB552" s="7"/>
      <c r="AC552" s="7"/>
      <c r="AD552" s="7"/>
      <c r="AE552" s="7"/>
      <c r="AF552" s="7"/>
      <c r="AG552" s="7"/>
      <c r="AH552" s="7"/>
    </row>
    <row r="553" spans="1:34" ht="15.75" customHeight="1">
      <c r="A553" s="686"/>
      <c r="B553" s="687"/>
      <c r="C553" s="243"/>
      <c r="D553" s="244"/>
      <c r="E553" s="688"/>
      <c r="F553" s="244"/>
      <c r="G553" s="688"/>
      <c r="H553" s="688"/>
      <c r="I553" s="239"/>
      <c r="J553" s="239"/>
      <c r="K553" s="688"/>
      <c r="L553" s="7"/>
      <c r="M553" s="7"/>
      <c r="N553" s="7"/>
      <c r="O553" s="7"/>
      <c r="P553" s="239"/>
      <c r="Q553" s="7"/>
      <c r="R553" s="7"/>
      <c r="S553" s="7"/>
      <c r="T553" s="7"/>
      <c r="U553" s="7"/>
      <c r="V553" s="7"/>
      <c r="W553" s="7"/>
      <c r="X553" s="7"/>
      <c r="Y553" s="7"/>
      <c r="Z553" s="708"/>
      <c r="AA553" s="7"/>
      <c r="AB553" s="7"/>
      <c r="AC553" s="7"/>
      <c r="AD553" s="7"/>
      <c r="AE553" s="7"/>
      <c r="AF553" s="7"/>
      <c r="AG553" s="7"/>
      <c r="AH553" s="7"/>
    </row>
    <row r="554" spans="1:34" ht="15.75" customHeight="1">
      <c r="A554" s="686"/>
      <c r="B554" s="687"/>
      <c r="C554" s="243"/>
      <c r="D554" s="244"/>
      <c r="E554" s="688"/>
      <c r="F554" s="244"/>
      <c r="G554" s="688"/>
      <c r="H554" s="688"/>
      <c r="I554" s="239"/>
      <c r="J554" s="239"/>
      <c r="K554" s="688"/>
      <c r="L554" s="7"/>
      <c r="M554" s="7"/>
      <c r="N554" s="7"/>
      <c r="O554" s="7"/>
      <c r="P554" s="239"/>
      <c r="Q554" s="7"/>
      <c r="R554" s="7"/>
      <c r="S554" s="7"/>
      <c r="T554" s="7"/>
      <c r="U554" s="7"/>
      <c r="V554" s="7"/>
      <c r="W554" s="7"/>
      <c r="X554" s="7"/>
      <c r="Y554" s="7"/>
      <c r="Z554" s="708"/>
      <c r="AA554" s="7"/>
      <c r="AB554" s="7"/>
      <c r="AC554" s="7"/>
      <c r="AD554" s="7"/>
      <c r="AE554" s="7"/>
      <c r="AF554" s="7"/>
      <c r="AG554" s="7"/>
      <c r="AH554" s="7"/>
    </row>
    <row r="555" spans="1:34" ht="15.75" customHeight="1">
      <c r="A555" s="686"/>
      <c r="B555" s="687"/>
      <c r="C555" s="243"/>
      <c r="D555" s="244"/>
      <c r="E555" s="688"/>
      <c r="F555" s="244"/>
      <c r="G555" s="688"/>
      <c r="H555" s="688"/>
      <c r="I555" s="239"/>
      <c r="J555" s="239"/>
      <c r="K555" s="688"/>
      <c r="L555" s="7"/>
      <c r="M555" s="7"/>
      <c r="N555" s="7"/>
      <c r="O555" s="7"/>
      <c r="P555" s="239"/>
      <c r="Q555" s="7"/>
      <c r="R555" s="7"/>
      <c r="S555" s="7"/>
      <c r="T555" s="7"/>
      <c r="U555" s="7"/>
      <c r="V555" s="7"/>
      <c r="W555" s="7"/>
      <c r="X555" s="7"/>
      <c r="Y555" s="7"/>
      <c r="Z555" s="708"/>
      <c r="AA555" s="7"/>
      <c r="AB555" s="7"/>
      <c r="AC555" s="7"/>
      <c r="AD555" s="7"/>
      <c r="AE555" s="7"/>
      <c r="AF555" s="7"/>
      <c r="AG555" s="7"/>
      <c r="AH555" s="7"/>
    </row>
    <row r="556" spans="1:34" ht="15.75" customHeight="1">
      <c r="A556" s="686"/>
      <c r="B556" s="687"/>
      <c r="C556" s="243"/>
      <c r="D556" s="244"/>
      <c r="E556" s="688"/>
      <c r="F556" s="244"/>
      <c r="G556" s="688"/>
      <c r="H556" s="688"/>
      <c r="I556" s="239"/>
      <c r="J556" s="239"/>
      <c r="K556" s="688"/>
      <c r="L556" s="7"/>
      <c r="M556" s="7"/>
      <c r="N556" s="7"/>
      <c r="O556" s="7"/>
      <c r="P556" s="239"/>
      <c r="Q556" s="7"/>
      <c r="R556" s="7"/>
      <c r="S556" s="7"/>
      <c r="T556" s="7"/>
      <c r="U556" s="7"/>
      <c r="V556" s="7"/>
      <c r="W556" s="7"/>
      <c r="X556" s="7"/>
      <c r="Y556" s="7"/>
      <c r="Z556" s="708"/>
      <c r="AA556" s="7"/>
      <c r="AB556" s="7"/>
      <c r="AC556" s="7"/>
      <c r="AD556" s="7"/>
      <c r="AE556" s="7"/>
      <c r="AF556" s="7"/>
      <c r="AG556" s="7"/>
      <c r="AH556" s="7"/>
    </row>
    <row r="557" spans="1:34" ht="15.75" customHeight="1">
      <c r="A557" s="686"/>
      <c r="B557" s="687"/>
      <c r="C557" s="243"/>
      <c r="D557" s="244"/>
      <c r="E557" s="688"/>
      <c r="F557" s="244"/>
      <c r="G557" s="688"/>
      <c r="H557" s="688"/>
      <c r="I557" s="239"/>
      <c r="J557" s="239"/>
      <c r="K557" s="688"/>
      <c r="L557" s="7"/>
      <c r="M557" s="7"/>
      <c r="N557" s="7"/>
      <c r="O557" s="7"/>
      <c r="P557" s="239"/>
      <c r="Q557" s="7"/>
      <c r="R557" s="7"/>
      <c r="S557" s="7"/>
      <c r="T557" s="7"/>
      <c r="U557" s="7"/>
      <c r="V557" s="7"/>
      <c r="W557" s="7"/>
      <c r="X557" s="7"/>
      <c r="Y557" s="7"/>
      <c r="Z557" s="708"/>
      <c r="AA557" s="7"/>
      <c r="AB557" s="7"/>
      <c r="AC557" s="7"/>
      <c r="AD557" s="7"/>
      <c r="AE557" s="7"/>
      <c r="AF557" s="7"/>
      <c r="AG557" s="7"/>
      <c r="AH557" s="7"/>
    </row>
    <row r="558" spans="1:34" ht="15.75" customHeight="1">
      <c r="A558" s="686"/>
      <c r="B558" s="687"/>
      <c r="C558" s="243"/>
      <c r="D558" s="244"/>
      <c r="E558" s="688"/>
      <c r="F558" s="244"/>
      <c r="G558" s="688"/>
      <c r="H558" s="688"/>
      <c r="I558" s="239"/>
      <c r="J558" s="239"/>
      <c r="K558" s="688"/>
      <c r="L558" s="7"/>
      <c r="M558" s="7"/>
      <c r="N558" s="7"/>
      <c r="O558" s="7"/>
      <c r="P558" s="239"/>
      <c r="Q558" s="7"/>
      <c r="R558" s="7"/>
      <c r="S558" s="7"/>
      <c r="T558" s="7"/>
      <c r="U558" s="7"/>
      <c r="V558" s="7"/>
      <c r="W558" s="7"/>
      <c r="X558" s="7"/>
      <c r="Y558" s="7"/>
      <c r="Z558" s="708"/>
      <c r="AA558" s="7"/>
      <c r="AB558" s="7"/>
      <c r="AC558" s="7"/>
      <c r="AD558" s="7"/>
      <c r="AE558" s="7"/>
      <c r="AF558" s="7"/>
      <c r="AG558" s="7"/>
      <c r="AH558" s="7"/>
    </row>
    <row r="559" spans="1:34" ht="15.75" customHeight="1">
      <c r="A559" s="686"/>
      <c r="B559" s="687"/>
      <c r="C559" s="243"/>
      <c r="D559" s="244"/>
      <c r="E559" s="688"/>
      <c r="F559" s="244"/>
      <c r="G559" s="688"/>
      <c r="H559" s="688"/>
      <c r="I559" s="239"/>
      <c r="J559" s="239"/>
      <c r="K559" s="688"/>
      <c r="L559" s="7"/>
      <c r="M559" s="7"/>
      <c r="N559" s="7"/>
      <c r="O559" s="7"/>
      <c r="P559" s="239"/>
      <c r="Q559" s="7"/>
      <c r="R559" s="7"/>
      <c r="S559" s="7"/>
      <c r="T559" s="7"/>
      <c r="U559" s="7"/>
      <c r="V559" s="7"/>
      <c r="W559" s="7"/>
      <c r="X559" s="7"/>
      <c r="Y559" s="7"/>
      <c r="Z559" s="708"/>
      <c r="AA559" s="7"/>
      <c r="AB559" s="7"/>
      <c r="AC559" s="7"/>
      <c r="AD559" s="7"/>
      <c r="AE559" s="7"/>
      <c r="AF559" s="7"/>
      <c r="AG559" s="7"/>
      <c r="AH559" s="7"/>
    </row>
    <row r="560" spans="1:34" ht="15.75" customHeight="1">
      <c r="A560" s="686"/>
      <c r="B560" s="687"/>
      <c r="C560" s="243"/>
      <c r="D560" s="244"/>
      <c r="E560" s="688"/>
      <c r="F560" s="244"/>
      <c r="G560" s="688"/>
      <c r="H560" s="688"/>
      <c r="I560" s="239"/>
      <c r="J560" s="239"/>
      <c r="K560" s="688"/>
      <c r="L560" s="7"/>
      <c r="M560" s="7"/>
      <c r="N560" s="7"/>
      <c r="O560" s="7"/>
      <c r="P560" s="239"/>
      <c r="Q560" s="7"/>
      <c r="R560" s="7"/>
      <c r="S560" s="7"/>
      <c r="T560" s="7"/>
      <c r="U560" s="7"/>
      <c r="V560" s="7"/>
      <c r="W560" s="7"/>
      <c r="X560" s="7"/>
      <c r="Y560" s="7"/>
      <c r="Z560" s="708"/>
      <c r="AA560" s="7"/>
      <c r="AB560" s="7"/>
      <c r="AC560" s="7"/>
      <c r="AD560" s="7"/>
      <c r="AE560" s="7"/>
      <c r="AF560" s="7"/>
      <c r="AG560" s="7"/>
      <c r="AH560" s="7"/>
    </row>
    <row r="561" spans="1:34" ht="15.75" customHeight="1">
      <c r="A561" s="686"/>
      <c r="B561" s="687"/>
      <c r="C561" s="243"/>
      <c r="D561" s="244"/>
      <c r="E561" s="688"/>
      <c r="F561" s="244"/>
      <c r="G561" s="688"/>
      <c r="H561" s="688"/>
      <c r="I561" s="239"/>
      <c r="J561" s="239"/>
      <c r="K561" s="688"/>
      <c r="L561" s="7"/>
      <c r="M561" s="7"/>
      <c r="N561" s="7"/>
      <c r="O561" s="7"/>
      <c r="P561" s="239"/>
      <c r="Q561" s="7"/>
      <c r="R561" s="7"/>
      <c r="S561" s="7"/>
      <c r="T561" s="7"/>
      <c r="U561" s="7"/>
      <c r="V561" s="7"/>
      <c r="W561" s="7"/>
      <c r="X561" s="7"/>
      <c r="Y561" s="7"/>
      <c r="Z561" s="708"/>
      <c r="AA561" s="7"/>
      <c r="AB561" s="7"/>
      <c r="AC561" s="7"/>
      <c r="AD561" s="7"/>
      <c r="AE561" s="7"/>
      <c r="AF561" s="7"/>
      <c r="AG561" s="7"/>
      <c r="AH561" s="7"/>
    </row>
    <row r="562" spans="1:34" ht="15.75" customHeight="1">
      <c r="A562" s="686"/>
      <c r="B562" s="687"/>
      <c r="C562" s="243"/>
      <c r="D562" s="244"/>
      <c r="E562" s="688"/>
      <c r="F562" s="244"/>
      <c r="G562" s="688"/>
      <c r="H562" s="688"/>
      <c r="I562" s="239"/>
      <c r="J562" s="239"/>
      <c r="K562" s="688"/>
      <c r="L562" s="7"/>
      <c r="M562" s="7"/>
      <c r="N562" s="7"/>
      <c r="O562" s="7"/>
      <c r="P562" s="239"/>
      <c r="Q562" s="7"/>
      <c r="R562" s="7"/>
      <c r="S562" s="7"/>
      <c r="T562" s="7"/>
      <c r="U562" s="7"/>
      <c r="V562" s="7"/>
      <c r="W562" s="7"/>
      <c r="X562" s="7"/>
      <c r="Y562" s="7"/>
      <c r="Z562" s="708"/>
      <c r="AA562" s="7"/>
      <c r="AB562" s="7"/>
      <c r="AC562" s="7"/>
      <c r="AD562" s="7"/>
      <c r="AE562" s="7"/>
      <c r="AF562" s="7"/>
      <c r="AG562" s="7"/>
      <c r="AH562" s="7"/>
    </row>
    <row r="563" spans="1:34" ht="15.75" customHeight="1">
      <c r="A563" s="686"/>
      <c r="B563" s="687"/>
      <c r="C563" s="243"/>
      <c r="D563" s="244"/>
      <c r="E563" s="688"/>
      <c r="F563" s="244"/>
      <c r="G563" s="688"/>
      <c r="H563" s="688"/>
      <c r="I563" s="239"/>
      <c r="J563" s="239"/>
      <c r="K563" s="688"/>
      <c r="L563" s="7"/>
      <c r="M563" s="7"/>
      <c r="N563" s="7"/>
      <c r="O563" s="7"/>
      <c r="P563" s="239"/>
      <c r="Q563" s="7"/>
      <c r="R563" s="7"/>
      <c r="S563" s="7"/>
      <c r="T563" s="7"/>
      <c r="U563" s="7"/>
      <c r="V563" s="7"/>
      <c r="W563" s="7"/>
      <c r="X563" s="7"/>
      <c r="Y563" s="7"/>
      <c r="Z563" s="708"/>
      <c r="AA563" s="7"/>
      <c r="AB563" s="7"/>
      <c r="AC563" s="7"/>
      <c r="AD563" s="7"/>
      <c r="AE563" s="7"/>
      <c r="AF563" s="7"/>
      <c r="AG563" s="7"/>
      <c r="AH563" s="7"/>
    </row>
    <row r="564" spans="1:34" ht="15.75" customHeight="1">
      <c r="A564" s="686"/>
      <c r="B564" s="687"/>
      <c r="C564" s="243"/>
      <c r="D564" s="244"/>
      <c r="E564" s="688"/>
      <c r="F564" s="244"/>
      <c r="G564" s="688"/>
      <c r="H564" s="688"/>
      <c r="I564" s="239"/>
      <c r="J564" s="239"/>
      <c r="K564" s="688"/>
      <c r="L564" s="7"/>
      <c r="M564" s="7"/>
      <c r="N564" s="7"/>
      <c r="O564" s="7"/>
      <c r="P564" s="239"/>
      <c r="Q564" s="7"/>
      <c r="R564" s="7"/>
      <c r="S564" s="7"/>
      <c r="T564" s="7"/>
      <c r="U564" s="7"/>
      <c r="V564" s="7"/>
      <c r="W564" s="7"/>
      <c r="X564" s="7"/>
      <c r="Y564" s="7"/>
      <c r="Z564" s="708"/>
      <c r="AA564" s="7"/>
      <c r="AB564" s="7"/>
      <c r="AC564" s="7"/>
      <c r="AD564" s="7"/>
      <c r="AE564" s="7"/>
      <c r="AF564" s="7"/>
      <c r="AG564" s="7"/>
      <c r="AH564" s="7"/>
    </row>
    <row r="565" spans="1:34" ht="15.75" customHeight="1">
      <c r="A565" s="686"/>
      <c r="B565" s="687"/>
      <c r="C565" s="243"/>
      <c r="D565" s="244"/>
      <c r="E565" s="688"/>
      <c r="F565" s="244"/>
      <c r="G565" s="688"/>
      <c r="H565" s="688"/>
      <c r="I565" s="239"/>
      <c r="J565" s="239"/>
      <c r="K565" s="688"/>
      <c r="L565" s="7"/>
      <c r="M565" s="7"/>
      <c r="N565" s="7"/>
      <c r="O565" s="7"/>
      <c r="P565" s="239"/>
      <c r="Q565" s="7"/>
      <c r="R565" s="7"/>
      <c r="S565" s="7"/>
      <c r="T565" s="7"/>
      <c r="U565" s="7"/>
      <c r="V565" s="7"/>
      <c r="W565" s="7"/>
      <c r="X565" s="7"/>
      <c r="Y565" s="7"/>
      <c r="Z565" s="708"/>
      <c r="AA565" s="7"/>
      <c r="AB565" s="7"/>
      <c r="AC565" s="7"/>
      <c r="AD565" s="7"/>
      <c r="AE565" s="7"/>
      <c r="AF565" s="7"/>
      <c r="AG565" s="7"/>
      <c r="AH565" s="7"/>
    </row>
    <row r="566" spans="1:34" ht="15.75" customHeight="1">
      <c r="A566" s="686"/>
      <c r="B566" s="687"/>
      <c r="C566" s="243"/>
      <c r="D566" s="244"/>
      <c r="E566" s="688"/>
      <c r="F566" s="244"/>
      <c r="G566" s="688"/>
      <c r="H566" s="688"/>
      <c r="I566" s="239"/>
      <c r="J566" s="239"/>
      <c r="K566" s="688"/>
      <c r="L566" s="7"/>
      <c r="M566" s="7"/>
      <c r="N566" s="7"/>
      <c r="O566" s="7"/>
      <c r="P566" s="239"/>
      <c r="Q566" s="7"/>
      <c r="R566" s="7"/>
      <c r="S566" s="7"/>
      <c r="T566" s="7"/>
      <c r="U566" s="7"/>
      <c r="V566" s="7"/>
      <c r="W566" s="7"/>
      <c r="X566" s="7"/>
      <c r="Y566" s="7"/>
      <c r="Z566" s="708"/>
      <c r="AA566" s="7"/>
      <c r="AB566" s="7"/>
      <c r="AC566" s="7"/>
      <c r="AD566" s="7"/>
      <c r="AE566" s="7"/>
      <c r="AF566" s="7"/>
      <c r="AG566" s="7"/>
      <c r="AH566" s="7"/>
    </row>
    <row r="567" spans="1:34" ht="15.75" customHeight="1">
      <c r="A567" s="686"/>
      <c r="B567" s="687"/>
      <c r="C567" s="243"/>
      <c r="D567" s="244"/>
      <c r="E567" s="688"/>
      <c r="F567" s="244"/>
      <c r="G567" s="688"/>
      <c r="H567" s="688"/>
      <c r="I567" s="239"/>
      <c r="J567" s="239"/>
      <c r="K567" s="688"/>
      <c r="L567" s="7"/>
      <c r="M567" s="7"/>
      <c r="N567" s="7"/>
      <c r="O567" s="7"/>
      <c r="P567" s="239"/>
      <c r="Q567" s="7"/>
      <c r="R567" s="7"/>
      <c r="S567" s="7"/>
      <c r="T567" s="7"/>
      <c r="U567" s="7"/>
      <c r="V567" s="7"/>
      <c r="W567" s="7"/>
      <c r="X567" s="7"/>
      <c r="Y567" s="7"/>
      <c r="Z567" s="708"/>
      <c r="AA567" s="7"/>
      <c r="AB567" s="7"/>
      <c r="AC567" s="7"/>
      <c r="AD567" s="7"/>
      <c r="AE567" s="7"/>
      <c r="AF567" s="7"/>
      <c r="AG567" s="7"/>
      <c r="AH567" s="7"/>
    </row>
    <row r="568" spans="1:34" ht="15.75" customHeight="1">
      <c r="A568" s="686"/>
      <c r="B568" s="687"/>
      <c r="C568" s="243"/>
      <c r="D568" s="244"/>
      <c r="E568" s="688"/>
      <c r="F568" s="244"/>
      <c r="G568" s="688"/>
      <c r="H568" s="688"/>
      <c r="I568" s="239"/>
      <c r="J568" s="239"/>
      <c r="K568" s="688"/>
      <c r="L568" s="7"/>
      <c r="M568" s="7"/>
      <c r="N568" s="7"/>
      <c r="O568" s="7"/>
      <c r="P568" s="239"/>
      <c r="Q568" s="7"/>
      <c r="R568" s="7"/>
      <c r="S568" s="7"/>
      <c r="T568" s="7"/>
      <c r="U568" s="7"/>
      <c r="V568" s="7"/>
      <c r="W568" s="7"/>
      <c r="X568" s="7"/>
      <c r="Y568" s="7"/>
      <c r="Z568" s="708"/>
      <c r="AA568" s="7"/>
      <c r="AB568" s="7"/>
      <c r="AC568" s="7"/>
      <c r="AD568" s="7"/>
      <c r="AE568" s="7"/>
      <c r="AF568" s="7"/>
      <c r="AG568" s="7"/>
      <c r="AH568" s="7"/>
    </row>
    <row r="569" spans="1:34" ht="15.75" customHeight="1">
      <c r="A569" s="686"/>
      <c r="B569" s="687"/>
      <c r="C569" s="243"/>
      <c r="D569" s="244"/>
      <c r="E569" s="688"/>
      <c r="F569" s="244"/>
      <c r="G569" s="688"/>
      <c r="H569" s="688"/>
      <c r="I569" s="239"/>
      <c r="J569" s="239"/>
      <c r="K569" s="688"/>
      <c r="L569" s="7"/>
      <c r="M569" s="7"/>
      <c r="N569" s="7"/>
      <c r="O569" s="7"/>
      <c r="P569" s="239"/>
      <c r="Q569" s="7"/>
      <c r="R569" s="7"/>
      <c r="S569" s="7"/>
      <c r="T569" s="7"/>
      <c r="U569" s="7"/>
      <c r="V569" s="7"/>
      <c r="W569" s="7"/>
      <c r="X569" s="7"/>
      <c r="Y569" s="7"/>
      <c r="Z569" s="708"/>
      <c r="AA569" s="7"/>
      <c r="AB569" s="7"/>
      <c r="AC569" s="7"/>
      <c r="AD569" s="7"/>
      <c r="AE569" s="7"/>
      <c r="AF569" s="7"/>
      <c r="AG569" s="7"/>
      <c r="AH569" s="7"/>
    </row>
    <row r="570" spans="1:34" ht="15.75" customHeight="1">
      <c r="A570" s="686"/>
      <c r="B570" s="687"/>
      <c r="C570" s="243"/>
      <c r="D570" s="244"/>
      <c r="E570" s="688"/>
      <c r="F570" s="244"/>
      <c r="G570" s="688"/>
      <c r="H570" s="688"/>
      <c r="I570" s="239"/>
      <c r="J570" s="239"/>
      <c r="K570" s="688"/>
      <c r="L570" s="7"/>
      <c r="M570" s="7"/>
      <c r="N570" s="7"/>
      <c r="O570" s="7"/>
      <c r="P570" s="239"/>
      <c r="Q570" s="7"/>
      <c r="R570" s="7"/>
      <c r="S570" s="7"/>
      <c r="T570" s="7"/>
      <c r="U570" s="7"/>
      <c r="V570" s="7"/>
      <c r="W570" s="7"/>
      <c r="X570" s="7"/>
      <c r="Y570" s="7"/>
      <c r="Z570" s="708"/>
      <c r="AA570" s="7"/>
      <c r="AB570" s="7"/>
      <c r="AC570" s="7"/>
      <c r="AD570" s="7"/>
      <c r="AE570" s="7"/>
      <c r="AF570" s="7"/>
      <c r="AG570" s="7"/>
      <c r="AH570" s="7"/>
    </row>
    <row r="571" spans="1:34" ht="15.75" customHeight="1">
      <c r="A571" s="686"/>
      <c r="B571" s="687"/>
      <c r="C571" s="243"/>
      <c r="D571" s="244"/>
      <c r="E571" s="688"/>
      <c r="F571" s="244"/>
      <c r="G571" s="688"/>
      <c r="H571" s="688"/>
      <c r="I571" s="239"/>
      <c r="J571" s="239"/>
      <c r="K571" s="688"/>
      <c r="L571" s="7"/>
      <c r="M571" s="7"/>
      <c r="N571" s="7"/>
      <c r="O571" s="7"/>
      <c r="P571" s="239"/>
      <c r="Q571" s="7"/>
      <c r="R571" s="7"/>
      <c r="S571" s="7"/>
      <c r="T571" s="7"/>
      <c r="U571" s="7"/>
      <c r="V571" s="7"/>
      <c r="W571" s="7"/>
      <c r="X571" s="7"/>
      <c r="Y571" s="7"/>
      <c r="Z571" s="708"/>
      <c r="AA571" s="7"/>
      <c r="AB571" s="7"/>
      <c r="AC571" s="7"/>
      <c r="AD571" s="7"/>
      <c r="AE571" s="7"/>
      <c r="AF571" s="7"/>
      <c r="AG571" s="7"/>
      <c r="AH571" s="7"/>
    </row>
    <row r="572" spans="1:34" ht="15.75" customHeight="1">
      <c r="A572" s="686"/>
      <c r="B572" s="687"/>
      <c r="C572" s="243"/>
      <c r="D572" s="244"/>
      <c r="E572" s="688"/>
      <c r="F572" s="244"/>
      <c r="G572" s="688"/>
      <c r="H572" s="688"/>
      <c r="I572" s="239"/>
      <c r="J572" s="239"/>
      <c r="K572" s="688"/>
      <c r="L572" s="7"/>
      <c r="M572" s="7"/>
      <c r="N572" s="7"/>
      <c r="O572" s="7"/>
      <c r="P572" s="239"/>
      <c r="Q572" s="7"/>
      <c r="R572" s="7"/>
      <c r="S572" s="7"/>
      <c r="T572" s="7"/>
      <c r="U572" s="7"/>
      <c r="V572" s="7"/>
      <c r="W572" s="7"/>
      <c r="X572" s="7"/>
      <c r="Y572" s="7"/>
      <c r="Z572" s="708"/>
      <c r="AA572" s="7"/>
      <c r="AB572" s="7"/>
      <c r="AC572" s="7"/>
      <c r="AD572" s="7"/>
      <c r="AE572" s="7"/>
      <c r="AF572" s="7"/>
      <c r="AG572" s="7"/>
      <c r="AH572" s="7"/>
    </row>
    <row r="573" spans="1:34" ht="15.75" customHeight="1">
      <c r="A573" s="686"/>
      <c r="B573" s="687"/>
      <c r="C573" s="243"/>
      <c r="D573" s="244"/>
      <c r="E573" s="688"/>
      <c r="F573" s="244"/>
      <c r="G573" s="688"/>
      <c r="H573" s="688"/>
      <c r="I573" s="239"/>
      <c r="J573" s="239"/>
      <c r="K573" s="688"/>
      <c r="L573" s="7"/>
      <c r="M573" s="7"/>
      <c r="N573" s="7"/>
      <c r="O573" s="7"/>
      <c r="P573" s="239"/>
      <c r="Q573" s="7"/>
      <c r="R573" s="7"/>
      <c r="S573" s="7"/>
      <c r="T573" s="7"/>
      <c r="U573" s="7"/>
      <c r="V573" s="7"/>
      <c r="W573" s="7"/>
      <c r="X573" s="7"/>
      <c r="Y573" s="7"/>
      <c r="Z573" s="708"/>
      <c r="AA573" s="7"/>
      <c r="AB573" s="7"/>
      <c r="AC573" s="7"/>
      <c r="AD573" s="7"/>
      <c r="AE573" s="7"/>
      <c r="AF573" s="7"/>
      <c r="AG573" s="7"/>
      <c r="AH573" s="7"/>
    </row>
    <row r="574" spans="1:34" ht="15.75" customHeight="1">
      <c r="A574" s="686"/>
      <c r="B574" s="687"/>
      <c r="C574" s="243"/>
      <c r="D574" s="244"/>
      <c r="E574" s="688"/>
      <c r="F574" s="244"/>
      <c r="G574" s="688"/>
      <c r="H574" s="688"/>
      <c r="I574" s="239"/>
      <c r="J574" s="239"/>
      <c r="K574" s="688"/>
      <c r="L574" s="7"/>
      <c r="M574" s="7"/>
      <c r="N574" s="7"/>
      <c r="O574" s="7"/>
      <c r="P574" s="239"/>
      <c r="Q574" s="7"/>
      <c r="R574" s="7"/>
      <c r="S574" s="7"/>
      <c r="T574" s="7"/>
      <c r="U574" s="7"/>
      <c r="V574" s="7"/>
      <c r="W574" s="7"/>
      <c r="X574" s="7"/>
      <c r="Y574" s="7"/>
      <c r="Z574" s="708"/>
      <c r="AA574" s="7"/>
      <c r="AB574" s="7"/>
      <c r="AC574" s="7"/>
      <c r="AD574" s="7"/>
      <c r="AE574" s="7"/>
      <c r="AF574" s="7"/>
      <c r="AG574" s="7"/>
      <c r="AH574" s="7"/>
    </row>
    <row r="575" spans="1:34" ht="15.75" customHeight="1">
      <c r="A575" s="686"/>
      <c r="B575" s="687"/>
      <c r="C575" s="243"/>
      <c r="D575" s="244"/>
      <c r="E575" s="688"/>
      <c r="F575" s="244"/>
      <c r="G575" s="688"/>
      <c r="H575" s="688"/>
      <c r="I575" s="239"/>
      <c r="J575" s="239"/>
      <c r="K575" s="688"/>
      <c r="L575" s="7"/>
      <c r="M575" s="7"/>
      <c r="N575" s="7"/>
      <c r="O575" s="7"/>
      <c r="P575" s="239"/>
      <c r="Q575" s="7"/>
      <c r="R575" s="7"/>
      <c r="S575" s="7"/>
      <c r="T575" s="7"/>
      <c r="U575" s="7"/>
      <c r="V575" s="7"/>
      <c r="W575" s="7"/>
      <c r="X575" s="7"/>
      <c r="Y575" s="7"/>
      <c r="Z575" s="708"/>
      <c r="AA575" s="7"/>
      <c r="AB575" s="7"/>
      <c r="AC575" s="7"/>
      <c r="AD575" s="7"/>
      <c r="AE575" s="7"/>
      <c r="AF575" s="7"/>
      <c r="AG575" s="7"/>
      <c r="AH575" s="7"/>
    </row>
    <row r="576" spans="1:34" ht="15.75" customHeight="1">
      <c r="A576" s="686"/>
      <c r="B576" s="687"/>
      <c r="C576" s="243"/>
      <c r="D576" s="244"/>
      <c r="E576" s="688"/>
      <c r="F576" s="244"/>
      <c r="G576" s="688"/>
      <c r="H576" s="688"/>
      <c r="I576" s="239"/>
      <c r="J576" s="239"/>
      <c r="K576" s="688"/>
      <c r="L576" s="7"/>
      <c r="M576" s="7"/>
      <c r="N576" s="7"/>
      <c r="O576" s="7"/>
      <c r="P576" s="239"/>
      <c r="Q576" s="7"/>
      <c r="R576" s="7"/>
      <c r="S576" s="7"/>
      <c r="T576" s="7"/>
      <c r="U576" s="7"/>
      <c r="V576" s="7"/>
      <c r="W576" s="7"/>
      <c r="X576" s="7"/>
      <c r="Y576" s="7"/>
      <c r="Z576" s="708"/>
      <c r="AA576" s="7"/>
      <c r="AB576" s="7"/>
      <c r="AC576" s="7"/>
      <c r="AD576" s="7"/>
      <c r="AE576" s="7"/>
      <c r="AF576" s="7"/>
      <c r="AG576" s="7"/>
      <c r="AH576" s="7"/>
    </row>
    <row r="577" spans="1:34" ht="15.75" customHeight="1">
      <c r="A577" s="686"/>
      <c r="B577" s="687"/>
      <c r="C577" s="243"/>
      <c r="D577" s="244"/>
      <c r="E577" s="688"/>
      <c r="F577" s="244"/>
      <c r="G577" s="688"/>
      <c r="H577" s="688"/>
      <c r="I577" s="239"/>
      <c r="J577" s="239"/>
      <c r="K577" s="688"/>
      <c r="L577" s="7"/>
      <c r="M577" s="7"/>
      <c r="N577" s="7"/>
      <c r="O577" s="7"/>
      <c r="P577" s="239"/>
      <c r="Q577" s="7"/>
      <c r="R577" s="7"/>
      <c r="S577" s="7"/>
      <c r="T577" s="7"/>
      <c r="U577" s="7"/>
      <c r="V577" s="7"/>
      <c r="W577" s="7"/>
      <c r="X577" s="7"/>
      <c r="Y577" s="7"/>
      <c r="Z577" s="708"/>
      <c r="AA577" s="7"/>
      <c r="AB577" s="7"/>
      <c r="AC577" s="7"/>
      <c r="AD577" s="7"/>
      <c r="AE577" s="7"/>
      <c r="AF577" s="7"/>
      <c r="AG577" s="7"/>
      <c r="AH577" s="7"/>
    </row>
    <row r="578" spans="1:34" ht="15.75" customHeight="1">
      <c r="A578" s="686"/>
      <c r="B578" s="687"/>
      <c r="C578" s="243"/>
      <c r="D578" s="244"/>
      <c r="E578" s="688"/>
      <c r="F578" s="244"/>
      <c r="G578" s="688"/>
      <c r="H578" s="688"/>
      <c r="I578" s="239"/>
      <c r="J578" s="239"/>
      <c r="K578" s="688"/>
      <c r="L578" s="7"/>
      <c r="M578" s="7"/>
      <c r="N578" s="7"/>
      <c r="O578" s="7"/>
      <c r="P578" s="239"/>
      <c r="Q578" s="7"/>
      <c r="R578" s="7"/>
      <c r="S578" s="7"/>
      <c r="T578" s="7"/>
      <c r="U578" s="7"/>
      <c r="V578" s="7"/>
      <c r="W578" s="7"/>
      <c r="X578" s="7"/>
      <c r="Y578" s="7"/>
      <c r="Z578" s="708"/>
      <c r="AA578" s="7"/>
      <c r="AB578" s="7"/>
      <c r="AC578" s="7"/>
      <c r="AD578" s="7"/>
      <c r="AE578" s="7"/>
      <c r="AF578" s="7"/>
      <c r="AG578" s="7"/>
      <c r="AH578" s="7"/>
    </row>
    <row r="579" spans="1:34" ht="15.75" customHeight="1">
      <c r="A579" s="686"/>
      <c r="B579" s="687"/>
      <c r="C579" s="243"/>
      <c r="D579" s="244"/>
      <c r="E579" s="688"/>
      <c r="F579" s="244"/>
      <c r="G579" s="688"/>
      <c r="H579" s="688"/>
      <c r="I579" s="239"/>
      <c r="J579" s="239"/>
      <c r="K579" s="688"/>
      <c r="L579" s="7"/>
      <c r="M579" s="7"/>
      <c r="N579" s="7"/>
      <c r="O579" s="7"/>
      <c r="P579" s="239"/>
      <c r="Q579" s="7"/>
      <c r="R579" s="7"/>
      <c r="S579" s="7"/>
      <c r="T579" s="7"/>
      <c r="U579" s="7"/>
      <c r="V579" s="7"/>
      <c r="W579" s="7"/>
      <c r="X579" s="7"/>
      <c r="Y579" s="7"/>
      <c r="Z579" s="708"/>
      <c r="AA579" s="7"/>
      <c r="AB579" s="7"/>
      <c r="AC579" s="7"/>
      <c r="AD579" s="7"/>
      <c r="AE579" s="7"/>
      <c r="AF579" s="7"/>
      <c r="AG579" s="7"/>
      <c r="AH579" s="7"/>
    </row>
    <row r="580" spans="1:34" ht="15.75" customHeight="1">
      <c r="A580" s="686"/>
      <c r="B580" s="687"/>
      <c r="C580" s="243"/>
      <c r="D580" s="244"/>
      <c r="E580" s="688"/>
      <c r="F580" s="244"/>
      <c r="G580" s="688"/>
      <c r="H580" s="688"/>
      <c r="I580" s="239"/>
      <c r="J580" s="239"/>
      <c r="K580" s="688"/>
      <c r="L580" s="7"/>
      <c r="M580" s="7"/>
      <c r="N580" s="7"/>
      <c r="O580" s="7"/>
      <c r="P580" s="239"/>
      <c r="Q580" s="7"/>
      <c r="R580" s="7"/>
      <c r="S580" s="7"/>
      <c r="T580" s="7"/>
      <c r="U580" s="7"/>
      <c r="V580" s="7"/>
      <c r="W580" s="7"/>
      <c r="X580" s="7"/>
      <c r="Y580" s="7"/>
      <c r="Z580" s="708"/>
      <c r="AA580" s="7"/>
      <c r="AB580" s="7"/>
      <c r="AC580" s="7"/>
      <c r="AD580" s="7"/>
      <c r="AE580" s="7"/>
      <c r="AF580" s="7"/>
      <c r="AG580" s="7"/>
      <c r="AH580" s="7"/>
    </row>
    <row r="581" spans="1:34" ht="15.75" customHeight="1">
      <c r="A581" s="686"/>
      <c r="B581" s="687"/>
      <c r="C581" s="243"/>
      <c r="D581" s="244"/>
      <c r="E581" s="688"/>
      <c r="F581" s="244"/>
      <c r="G581" s="688"/>
      <c r="H581" s="688"/>
      <c r="I581" s="239"/>
      <c r="J581" s="239"/>
      <c r="K581" s="688"/>
      <c r="L581" s="7"/>
      <c r="M581" s="7"/>
      <c r="N581" s="7"/>
      <c r="O581" s="7"/>
      <c r="P581" s="239"/>
      <c r="Q581" s="7"/>
      <c r="R581" s="7"/>
      <c r="S581" s="7"/>
      <c r="T581" s="7"/>
      <c r="U581" s="7"/>
      <c r="V581" s="7"/>
      <c r="W581" s="7"/>
      <c r="X581" s="7"/>
      <c r="Y581" s="7"/>
      <c r="Z581" s="708"/>
      <c r="AA581" s="7"/>
      <c r="AB581" s="7"/>
      <c r="AC581" s="7"/>
      <c r="AD581" s="7"/>
      <c r="AE581" s="7"/>
      <c r="AF581" s="7"/>
      <c r="AG581" s="7"/>
      <c r="AH581" s="7"/>
    </row>
    <row r="582" spans="1:34" ht="15.75" customHeight="1">
      <c r="A582" s="686"/>
      <c r="B582" s="687"/>
      <c r="C582" s="243"/>
      <c r="D582" s="244"/>
      <c r="E582" s="688"/>
      <c r="F582" s="244"/>
      <c r="G582" s="688"/>
      <c r="H582" s="688"/>
      <c r="I582" s="239"/>
      <c r="J582" s="239"/>
      <c r="K582" s="688"/>
      <c r="L582" s="7"/>
      <c r="M582" s="7"/>
      <c r="N582" s="7"/>
      <c r="O582" s="7"/>
      <c r="P582" s="239"/>
      <c r="Q582" s="7"/>
      <c r="R582" s="7"/>
      <c r="S582" s="7"/>
      <c r="T582" s="7"/>
      <c r="U582" s="7"/>
      <c r="V582" s="7"/>
      <c r="W582" s="7"/>
      <c r="X582" s="7"/>
      <c r="Y582" s="7"/>
      <c r="Z582" s="708"/>
      <c r="AA582" s="7"/>
      <c r="AB582" s="7"/>
      <c r="AC582" s="7"/>
      <c r="AD582" s="7"/>
      <c r="AE582" s="7"/>
      <c r="AF582" s="7"/>
      <c r="AG582" s="7"/>
      <c r="AH582" s="7"/>
    </row>
    <row r="583" spans="1:34" ht="15.75" customHeight="1">
      <c r="A583" s="686"/>
      <c r="B583" s="687"/>
      <c r="C583" s="243"/>
      <c r="D583" s="244"/>
      <c r="E583" s="688"/>
      <c r="F583" s="244"/>
      <c r="G583" s="688"/>
      <c r="H583" s="688"/>
      <c r="I583" s="239"/>
      <c r="J583" s="239"/>
      <c r="K583" s="688"/>
      <c r="L583" s="7"/>
      <c r="M583" s="7"/>
      <c r="N583" s="7"/>
      <c r="O583" s="7"/>
      <c r="P583" s="239"/>
      <c r="Q583" s="7"/>
      <c r="R583" s="7"/>
      <c r="S583" s="7"/>
      <c r="T583" s="7"/>
      <c r="U583" s="7"/>
      <c r="V583" s="7"/>
      <c r="W583" s="7"/>
      <c r="X583" s="7"/>
      <c r="Y583" s="7"/>
      <c r="Z583" s="708"/>
      <c r="AA583" s="7"/>
      <c r="AB583" s="7"/>
      <c r="AC583" s="7"/>
      <c r="AD583" s="7"/>
      <c r="AE583" s="7"/>
      <c r="AF583" s="7"/>
      <c r="AG583" s="7"/>
      <c r="AH583" s="7"/>
    </row>
    <row r="584" spans="1:34" ht="15.75" customHeight="1">
      <c r="A584" s="686"/>
      <c r="B584" s="687"/>
      <c r="C584" s="243"/>
      <c r="D584" s="244"/>
      <c r="E584" s="688"/>
      <c r="F584" s="244"/>
      <c r="G584" s="688"/>
      <c r="H584" s="688"/>
      <c r="I584" s="239"/>
      <c r="J584" s="239"/>
      <c r="K584" s="688"/>
      <c r="L584" s="7"/>
      <c r="M584" s="7"/>
      <c r="N584" s="7"/>
      <c r="O584" s="7"/>
      <c r="P584" s="239"/>
      <c r="Q584" s="7"/>
      <c r="R584" s="7"/>
      <c r="S584" s="7"/>
      <c r="T584" s="7"/>
      <c r="U584" s="7"/>
      <c r="V584" s="7"/>
      <c r="W584" s="7"/>
      <c r="X584" s="7"/>
      <c r="Y584" s="7"/>
      <c r="Z584" s="708"/>
      <c r="AA584" s="7"/>
      <c r="AB584" s="7"/>
      <c r="AC584" s="7"/>
      <c r="AD584" s="7"/>
      <c r="AE584" s="7"/>
      <c r="AF584" s="7"/>
      <c r="AG584" s="7"/>
      <c r="AH584" s="7"/>
    </row>
    <row r="585" spans="1:34" ht="15.75" customHeight="1">
      <c r="A585" s="686"/>
      <c r="B585" s="687"/>
      <c r="C585" s="243"/>
      <c r="D585" s="244"/>
      <c r="E585" s="688"/>
      <c r="F585" s="244"/>
      <c r="G585" s="688"/>
      <c r="H585" s="688"/>
      <c r="I585" s="239"/>
      <c r="J585" s="239"/>
      <c r="K585" s="688"/>
      <c r="L585" s="7"/>
      <c r="M585" s="7"/>
      <c r="N585" s="7"/>
      <c r="O585" s="7"/>
      <c r="P585" s="239"/>
      <c r="Q585" s="7"/>
      <c r="R585" s="7"/>
      <c r="S585" s="7"/>
      <c r="T585" s="7"/>
      <c r="U585" s="7"/>
      <c r="V585" s="7"/>
      <c r="W585" s="7"/>
      <c r="X585" s="7"/>
      <c r="Y585" s="7"/>
      <c r="Z585" s="708"/>
      <c r="AA585" s="7"/>
      <c r="AB585" s="7"/>
      <c r="AC585" s="7"/>
      <c r="AD585" s="7"/>
      <c r="AE585" s="7"/>
      <c r="AF585" s="7"/>
      <c r="AG585" s="7"/>
      <c r="AH585" s="7"/>
    </row>
    <row r="586" spans="1:34" ht="15.75" customHeight="1">
      <c r="A586" s="686"/>
      <c r="B586" s="687"/>
      <c r="C586" s="243"/>
      <c r="D586" s="244"/>
      <c r="E586" s="688"/>
      <c r="F586" s="244"/>
      <c r="G586" s="688"/>
      <c r="H586" s="688"/>
      <c r="I586" s="239"/>
      <c r="J586" s="239"/>
      <c r="K586" s="688"/>
      <c r="L586" s="7"/>
      <c r="M586" s="7"/>
      <c r="N586" s="7"/>
      <c r="O586" s="7"/>
      <c r="P586" s="239"/>
      <c r="Q586" s="7"/>
      <c r="R586" s="7"/>
      <c r="S586" s="7"/>
      <c r="T586" s="7"/>
      <c r="U586" s="7"/>
      <c r="V586" s="7"/>
      <c r="W586" s="7"/>
      <c r="X586" s="7"/>
      <c r="Y586" s="7"/>
      <c r="Z586" s="708"/>
      <c r="AA586" s="7"/>
      <c r="AB586" s="7"/>
      <c r="AC586" s="7"/>
      <c r="AD586" s="7"/>
      <c r="AE586" s="7"/>
      <c r="AF586" s="7"/>
      <c r="AG586" s="7"/>
      <c r="AH586" s="7"/>
    </row>
    <row r="587" spans="1:34" ht="15.75" customHeight="1">
      <c r="A587" s="686"/>
      <c r="B587" s="687"/>
      <c r="C587" s="243"/>
      <c r="D587" s="244"/>
      <c r="E587" s="688"/>
      <c r="F587" s="244"/>
      <c r="G587" s="688"/>
      <c r="H587" s="688"/>
      <c r="I587" s="239"/>
      <c r="J587" s="239"/>
      <c r="K587" s="688"/>
      <c r="L587" s="7"/>
      <c r="M587" s="7"/>
      <c r="N587" s="7"/>
      <c r="O587" s="7"/>
      <c r="P587" s="239"/>
      <c r="Q587" s="7"/>
      <c r="R587" s="7"/>
      <c r="S587" s="7"/>
      <c r="T587" s="7"/>
      <c r="U587" s="7"/>
      <c r="V587" s="7"/>
      <c r="W587" s="7"/>
      <c r="X587" s="7"/>
      <c r="Y587" s="7"/>
      <c r="Z587" s="708"/>
      <c r="AA587" s="7"/>
      <c r="AB587" s="7"/>
      <c r="AC587" s="7"/>
      <c r="AD587" s="7"/>
      <c r="AE587" s="7"/>
      <c r="AF587" s="7"/>
      <c r="AG587" s="7"/>
      <c r="AH587" s="7"/>
    </row>
    <row r="588" spans="1:34" ht="15.75" customHeight="1">
      <c r="A588" s="686"/>
      <c r="B588" s="687"/>
      <c r="C588" s="243"/>
      <c r="D588" s="244"/>
      <c r="E588" s="688"/>
      <c r="F588" s="244"/>
      <c r="G588" s="688"/>
      <c r="H588" s="688"/>
      <c r="I588" s="239"/>
      <c r="J588" s="239"/>
      <c r="K588" s="688"/>
      <c r="L588" s="7"/>
      <c r="M588" s="7"/>
      <c r="N588" s="7"/>
      <c r="O588" s="7"/>
      <c r="P588" s="239"/>
      <c r="Q588" s="7"/>
      <c r="R588" s="7"/>
      <c r="S588" s="7"/>
      <c r="T588" s="7"/>
      <c r="U588" s="7"/>
      <c r="V588" s="7"/>
      <c r="W588" s="7"/>
      <c r="X588" s="7"/>
      <c r="Y588" s="7"/>
      <c r="Z588" s="708"/>
      <c r="AA588" s="7"/>
      <c r="AB588" s="7"/>
      <c r="AC588" s="7"/>
      <c r="AD588" s="7"/>
      <c r="AE588" s="7"/>
      <c r="AF588" s="7"/>
      <c r="AG588" s="7"/>
      <c r="AH588" s="7"/>
    </row>
    <row r="589" spans="1:34" ht="15.75" customHeight="1">
      <c r="A589" s="686"/>
      <c r="B589" s="687"/>
      <c r="C589" s="243"/>
      <c r="D589" s="244"/>
      <c r="E589" s="688"/>
      <c r="F589" s="244"/>
      <c r="G589" s="688"/>
      <c r="H589" s="688"/>
      <c r="I589" s="239"/>
      <c r="J589" s="239"/>
      <c r="K589" s="688"/>
      <c r="L589" s="7"/>
      <c r="M589" s="7"/>
      <c r="N589" s="7"/>
      <c r="O589" s="7"/>
      <c r="P589" s="239"/>
      <c r="Q589" s="7"/>
      <c r="R589" s="7"/>
      <c r="S589" s="7"/>
      <c r="T589" s="7"/>
      <c r="U589" s="7"/>
      <c r="V589" s="7"/>
      <c r="W589" s="7"/>
      <c r="X589" s="7"/>
      <c r="Y589" s="7"/>
      <c r="Z589" s="708"/>
      <c r="AA589" s="7"/>
      <c r="AB589" s="7"/>
      <c r="AC589" s="7"/>
      <c r="AD589" s="7"/>
      <c r="AE589" s="7"/>
      <c r="AF589" s="7"/>
      <c r="AG589" s="7"/>
      <c r="AH589" s="7"/>
    </row>
    <row r="590" spans="1:34" ht="15.75" customHeight="1">
      <c r="A590" s="686"/>
      <c r="B590" s="687"/>
      <c r="C590" s="243"/>
      <c r="D590" s="244"/>
      <c r="E590" s="688"/>
      <c r="F590" s="244"/>
      <c r="G590" s="688"/>
      <c r="H590" s="688"/>
      <c r="I590" s="239"/>
      <c r="J590" s="239"/>
      <c r="K590" s="688"/>
      <c r="L590" s="7"/>
      <c r="M590" s="7"/>
      <c r="N590" s="7"/>
      <c r="O590" s="7"/>
      <c r="P590" s="239"/>
      <c r="Q590" s="7"/>
      <c r="R590" s="7"/>
      <c r="S590" s="7"/>
      <c r="T590" s="7"/>
      <c r="U590" s="7"/>
      <c r="V590" s="7"/>
      <c r="W590" s="7"/>
      <c r="X590" s="7"/>
      <c r="Y590" s="7"/>
      <c r="Z590" s="708"/>
      <c r="AA590" s="7"/>
      <c r="AB590" s="7"/>
      <c r="AC590" s="7"/>
      <c r="AD590" s="7"/>
      <c r="AE590" s="7"/>
      <c r="AF590" s="7"/>
      <c r="AG590" s="7"/>
      <c r="AH590" s="7"/>
    </row>
    <row r="591" spans="1:34" ht="15.75" customHeight="1">
      <c r="A591" s="686"/>
      <c r="B591" s="687"/>
      <c r="C591" s="243"/>
      <c r="D591" s="244"/>
      <c r="E591" s="688"/>
      <c r="F591" s="244"/>
      <c r="G591" s="688"/>
      <c r="H591" s="688"/>
      <c r="I591" s="239"/>
      <c r="J591" s="239"/>
      <c r="K591" s="688"/>
      <c r="L591" s="7"/>
      <c r="M591" s="7"/>
      <c r="N591" s="7"/>
      <c r="O591" s="7"/>
      <c r="P591" s="239"/>
      <c r="Q591" s="7"/>
      <c r="R591" s="7"/>
      <c r="S591" s="7"/>
      <c r="T591" s="7"/>
      <c r="U591" s="7"/>
      <c r="V591" s="7"/>
      <c r="W591" s="7"/>
      <c r="X591" s="7"/>
      <c r="Y591" s="7"/>
      <c r="Z591" s="708"/>
      <c r="AA591" s="7"/>
      <c r="AB591" s="7"/>
      <c r="AC591" s="7"/>
      <c r="AD591" s="7"/>
      <c r="AE591" s="7"/>
      <c r="AF591" s="7"/>
      <c r="AG591" s="7"/>
      <c r="AH591" s="7"/>
    </row>
    <row r="592" spans="1:34" ht="15.75" customHeight="1">
      <c r="A592" s="686"/>
      <c r="B592" s="687"/>
      <c r="C592" s="243"/>
      <c r="D592" s="244"/>
      <c r="E592" s="688"/>
      <c r="F592" s="244"/>
      <c r="G592" s="688"/>
      <c r="H592" s="688"/>
      <c r="I592" s="239"/>
      <c r="J592" s="239"/>
      <c r="K592" s="688"/>
      <c r="L592" s="7"/>
      <c r="M592" s="7"/>
      <c r="N592" s="7"/>
      <c r="O592" s="7"/>
      <c r="P592" s="239"/>
      <c r="Q592" s="7"/>
      <c r="R592" s="7"/>
      <c r="S592" s="7"/>
      <c r="T592" s="7"/>
      <c r="U592" s="7"/>
      <c r="V592" s="7"/>
      <c r="W592" s="7"/>
      <c r="X592" s="7"/>
      <c r="Y592" s="7"/>
      <c r="Z592" s="708"/>
      <c r="AA592" s="7"/>
      <c r="AB592" s="7"/>
      <c r="AC592" s="7"/>
      <c r="AD592" s="7"/>
      <c r="AE592" s="7"/>
      <c r="AF592" s="7"/>
      <c r="AG592" s="7"/>
      <c r="AH592" s="7"/>
    </row>
    <row r="593" spans="1:34" ht="15.75" customHeight="1">
      <c r="A593" s="686"/>
      <c r="B593" s="687"/>
      <c r="C593" s="243"/>
      <c r="D593" s="244"/>
      <c r="E593" s="688"/>
      <c r="F593" s="244"/>
      <c r="G593" s="688"/>
      <c r="H593" s="688"/>
      <c r="I593" s="239"/>
      <c r="J593" s="239"/>
      <c r="K593" s="688"/>
      <c r="L593" s="7"/>
      <c r="M593" s="7"/>
      <c r="N593" s="7"/>
      <c r="O593" s="7"/>
      <c r="P593" s="239"/>
      <c r="Q593" s="7"/>
      <c r="R593" s="7"/>
      <c r="S593" s="7"/>
      <c r="T593" s="7"/>
      <c r="U593" s="7"/>
      <c r="V593" s="7"/>
      <c r="W593" s="7"/>
      <c r="X593" s="7"/>
      <c r="Y593" s="7"/>
      <c r="Z593" s="708"/>
      <c r="AA593" s="7"/>
      <c r="AB593" s="7"/>
      <c r="AC593" s="7"/>
      <c r="AD593" s="7"/>
      <c r="AE593" s="7"/>
      <c r="AF593" s="7"/>
      <c r="AG593" s="7"/>
      <c r="AH593" s="7"/>
    </row>
    <row r="594" spans="1:34" ht="15.75" customHeight="1">
      <c r="A594" s="686"/>
      <c r="B594" s="687"/>
      <c r="C594" s="243"/>
      <c r="D594" s="244"/>
      <c r="E594" s="688"/>
      <c r="F594" s="244"/>
      <c r="G594" s="688"/>
      <c r="H594" s="688"/>
      <c r="I594" s="239"/>
      <c r="J594" s="239"/>
      <c r="K594" s="688"/>
      <c r="L594" s="7"/>
      <c r="M594" s="7"/>
      <c r="N594" s="7"/>
      <c r="O594" s="7"/>
      <c r="P594" s="239"/>
      <c r="Q594" s="7"/>
      <c r="R594" s="7"/>
      <c r="S594" s="7"/>
      <c r="T594" s="7"/>
      <c r="U594" s="7"/>
      <c r="V594" s="7"/>
      <c r="W594" s="7"/>
      <c r="X594" s="7"/>
      <c r="Y594" s="7"/>
      <c r="Z594" s="708"/>
      <c r="AA594" s="7"/>
      <c r="AB594" s="7"/>
      <c r="AC594" s="7"/>
      <c r="AD594" s="7"/>
      <c r="AE594" s="7"/>
      <c r="AF594" s="7"/>
      <c r="AG594" s="7"/>
      <c r="AH594" s="7"/>
    </row>
    <row r="595" spans="1:34" ht="15.75" customHeight="1">
      <c r="A595" s="686"/>
      <c r="B595" s="687"/>
      <c r="C595" s="243"/>
      <c r="D595" s="244"/>
      <c r="E595" s="688"/>
      <c r="F595" s="244"/>
      <c r="G595" s="688"/>
      <c r="H595" s="688"/>
      <c r="I595" s="239"/>
      <c r="J595" s="239"/>
      <c r="K595" s="688"/>
      <c r="L595" s="7"/>
      <c r="M595" s="7"/>
      <c r="N595" s="7"/>
      <c r="O595" s="7"/>
      <c r="P595" s="239"/>
      <c r="Q595" s="7"/>
      <c r="R595" s="7"/>
      <c r="S595" s="7"/>
      <c r="T595" s="7"/>
      <c r="U595" s="7"/>
      <c r="V595" s="7"/>
      <c r="W595" s="7"/>
      <c r="X595" s="7"/>
      <c r="Y595" s="7"/>
      <c r="Z595" s="708"/>
      <c r="AA595" s="7"/>
      <c r="AB595" s="7"/>
      <c r="AC595" s="7"/>
      <c r="AD595" s="7"/>
      <c r="AE595" s="7"/>
      <c r="AF595" s="7"/>
      <c r="AG595" s="7"/>
      <c r="AH595" s="7"/>
    </row>
    <row r="596" spans="1:34" ht="15.75" customHeight="1">
      <c r="A596" s="686"/>
      <c r="B596" s="687"/>
      <c r="C596" s="243"/>
      <c r="D596" s="244"/>
      <c r="E596" s="688"/>
      <c r="F596" s="244"/>
      <c r="G596" s="688"/>
      <c r="H596" s="688"/>
      <c r="I596" s="239"/>
      <c r="J596" s="239"/>
      <c r="K596" s="688"/>
      <c r="L596" s="7"/>
      <c r="M596" s="7"/>
      <c r="N596" s="7"/>
      <c r="O596" s="7"/>
      <c r="P596" s="239"/>
      <c r="Q596" s="7"/>
      <c r="R596" s="7"/>
      <c r="S596" s="7"/>
      <c r="T596" s="7"/>
      <c r="U596" s="7"/>
      <c r="V596" s="7"/>
      <c r="W596" s="7"/>
      <c r="X596" s="7"/>
      <c r="Y596" s="7"/>
      <c r="Z596" s="708"/>
      <c r="AA596" s="7"/>
      <c r="AB596" s="7"/>
      <c r="AC596" s="7"/>
      <c r="AD596" s="7"/>
      <c r="AE596" s="7"/>
      <c r="AF596" s="7"/>
      <c r="AG596" s="7"/>
      <c r="AH596" s="7"/>
    </row>
    <row r="597" spans="1:34" ht="15.75" customHeight="1">
      <c r="A597" s="686"/>
      <c r="B597" s="687"/>
      <c r="C597" s="243"/>
      <c r="D597" s="244"/>
      <c r="E597" s="688"/>
      <c r="F597" s="244"/>
      <c r="G597" s="688"/>
      <c r="H597" s="688"/>
      <c r="I597" s="239"/>
      <c r="J597" s="239"/>
      <c r="K597" s="688"/>
      <c r="L597" s="7"/>
      <c r="M597" s="7"/>
      <c r="N597" s="7"/>
      <c r="O597" s="7"/>
      <c r="P597" s="239"/>
      <c r="Q597" s="7"/>
      <c r="R597" s="7"/>
      <c r="S597" s="7"/>
      <c r="T597" s="7"/>
      <c r="U597" s="7"/>
      <c r="V597" s="7"/>
      <c r="W597" s="7"/>
      <c r="X597" s="7"/>
      <c r="Y597" s="7"/>
      <c r="Z597" s="708"/>
      <c r="AA597" s="7"/>
      <c r="AB597" s="7"/>
      <c r="AC597" s="7"/>
      <c r="AD597" s="7"/>
      <c r="AE597" s="7"/>
      <c r="AF597" s="7"/>
      <c r="AG597" s="7"/>
      <c r="AH597" s="7"/>
    </row>
    <row r="598" spans="1:34" ht="15.75" customHeight="1">
      <c r="A598" s="686"/>
      <c r="B598" s="687"/>
      <c r="C598" s="243"/>
      <c r="D598" s="244"/>
      <c r="E598" s="688"/>
      <c r="F598" s="244"/>
      <c r="G598" s="688"/>
      <c r="H598" s="688"/>
      <c r="I598" s="239"/>
      <c r="J598" s="239"/>
      <c r="K598" s="688"/>
      <c r="L598" s="7"/>
      <c r="M598" s="7"/>
      <c r="N598" s="7"/>
      <c r="O598" s="7"/>
      <c r="P598" s="239"/>
      <c r="Q598" s="7"/>
      <c r="R598" s="7"/>
      <c r="S598" s="7"/>
      <c r="T598" s="7"/>
      <c r="U598" s="7"/>
      <c r="V598" s="7"/>
      <c r="W598" s="7"/>
      <c r="X598" s="7"/>
      <c r="Y598" s="7"/>
      <c r="Z598" s="708"/>
      <c r="AA598" s="7"/>
      <c r="AB598" s="7"/>
      <c r="AC598" s="7"/>
      <c r="AD598" s="7"/>
      <c r="AE598" s="7"/>
      <c r="AF598" s="7"/>
      <c r="AG598" s="7"/>
      <c r="AH598" s="7"/>
    </row>
    <row r="599" spans="1:34" ht="15.75" customHeight="1">
      <c r="A599" s="686"/>
      <c r="B599" s="687"/>
      <c r="C599" s="243"/>
      <c r="D599" s="244"/>
      <c r="E599" s="688"/>
      <c r="F599" s="244"/>
      <c r="G599" s="688"/>
      <c r="H599" s="688"/>
      <c r="I599" s="239"/>
      <c r="J599" s="239"/>
      <c r="K599" s="688"/>
      <c r="L599" s="7"/>
      <c r="M599" s="7"/>
      <c r="N599" s="7"/>
      <c r="O599" s="7"/>
      <c r="P599" s="239"/>
      <c r="Q599" s="7"/>
      <c r="R599" s="7"/>
      <c r="S599" s="7"/>
      <c r="T599" s="7"/>
      <c r="U599" s="7"/>
      <c r="V599" s="7"/>
      <c r="W599" s="7"/>
      <c r="X599" s="7"/>
      <c r="Y599" s="7"/>
      <c r="Z599" s="708"/>
      <c r="AA599" s="7"/>
      <c r="AB599" s="7"/>
      <c r="AC599" s="7"/>
      <c r="AD599" s="7"/>
      <c r="AE599" s="7"/>
      <c r="AF599" s="7"/>
      <c r="AG599" s="7"/>
      <c r="AH599" s="7"/>
    </row>
    <row r="600" spans="1:34" ht="15.75" customHeight="1">
      <c r="A600" s="686"/>
      <c r="B600" s="687"/>
      <c r="C600" s="243"/>
      <c r="D600" s="244"/>
      <c r="E600" s="688"/>
      <c r="F600" s="244"/>
      <c r="G600" s="688"/>
      <c r="H600" s="688"/>
      <c r="I600" s="239"/>
      <c r="J600" s="239"/>
      <c r="K600" s="688"/>
      <c r="L600" s="7"/>
      <c r="M600" s="7"/>
      <c r="N600" s="7"/>
      <c r="O600" s="7"/>
      <c r="P600" s="239"/>
      <c r="Q600" s="7"/>
      <c r="R600" s="7"/>
      <c r="S600" s="7"/>
      <c r="T600" s="7"/>
      <c r="U600" s="7"/>
      <c r="V600" s="7"/>
      <c r="W600" s="7"/>
      <c r="X600" s="7"/>
      <c r="Y600" s="7"/>
      <c r="Z600" s="708"/>
      <c r="AA600" s="7"/>
      <c r="AB600" s="7"/>
      <c r="AC600" s="7"/>
      <c r="AD600" s="7"/>
      <c r="AE600" s="7"/>
      <c r="AF600" s="7"/>
      <c r="AG600" s="7"/>
      <c r="AH600" s="7"/>
    </row>
    <row r="601" spans="1:34" ht="15.75" customHeight="1">
      <c r="A601" s="686"/>
      <c r="B601" s="687"/>
      <c r="C601" s="243"/>
      <c r="D601" s="244"/>
      <c r="E601" s="688"/>
      <c r="F601" s="244"/>
      <c r="G601" s="688"/>
      <c r="H601" s="688"/>
      <c r="I601" s="239"/>
      <c r="J601" s="239"/>
      <c r="K601" s="688"/>
      <c r="L601" s="7"/>
      <c r="M601" s="7"/>
      <c r="N601" s="7"/>
      <c r="O601" s="7"/>
      <c r="P601" s="239"/>
      <c r="Q601" s="7"/>
      <c r="R601" s="7"/>
      <c r="S601" s="7"/>
      <c r="T601" s="7"/>
      <c r="U601" s="7"/>
      <c r="V601" s="7"/>
      <c r="W601" s="7"/>
      <c r="X601" s="7"/>
      <c r="Y601" s="7"/>
      <c r="Z601" s="708"/>
      <c r="AA601" s="7"/>
      <c r="AB601" s="7"/>
      <c r="AC601" s="7"/>
      <c r="AD601" s="7"/>
      <c r="AE601" s="7"/>
      <c r="AF601" s="7"/>
      <c r="AG601" s="7"/>
      <c r="AH601" s="7"/>
    </row>
    <row r="602" spans="1:34" ht="15.75" customHeight="1">
      <c r="A602" s="686"/>
      <c r="B602" s="687"/>
      <c r="C602" s="243"/>
      <c r="D602" s="244"/>
      <c r="E602" s="688"/>
      <c r="F602" s="244"/>
      <c r="G602" s="688"/>
      <c r="H602" s="688"/>
      <c r="I602" s="239"/>
      <c r="J602" s="239"/>
      <c r="K602" s="688"/>
      <c r="L602" s="7"/>
      <c r="M602" s="7"/>
      <c r="N602" s="7"/>
      <c r="O602" s="7"/>
      <c r="P602" s="239"/>
      <c r="Q602" s="7"/>
      <c r="R602" s="7"/>
      <c r="S602" s="7"/>
      <c r="T602" s="7"/>
      <c r="U602" s="7"/>
      <c r="V602" s="7"/>
      <c r="W602" s="7"/>
      <c r="X602" s="7"/>
      <c r="Y602" s="7"/>
      <c r="Z602" s="708"/>
      <c r="AA602" s="7"/>
      <c r="AB602" s="7"/>
      <c r="AC602" s="7"/>
      <c r="AD602" s="7"/>
      <c r="AE602" s="7"/>
      <c r="AF602" s="7"/>
      <c r="AG602" s="7"/>
      <c r="AH602" s="7"/>
    </row>
    <row r="603" spans="1:34" ht="15.75" customHeight="1">
      <c r="A603" s="686"/>
      <c r="B603" s="687"/>
      <c r="C603" s="243"/>
      <c r="D603" s="244"/>
      <c r="E603" s="688"/>
      <c r="F603" s="244"/>
      <c r="G603" s="688"/>
      <c r="H603" s="688"/>
      <c r="I603" s="239"/>
      <c r="J603" s="239"/>
      <c r="K603" s="688"/>
      <c r="L603" s="7"/>
      <c r="M603" s="7"/>
      <c r="N603" s="7"/>
      <c r="O603" s="7"/>
      <c r="P603" s="239"/>
      <c r="Q603" s="7"/>
      <c r="R603" s="7"/>
      <c r="S603" s="7"/>
      <c r="T603" s="7"/>
      <c r="U603" s="7"/>
      <c r="V603" s="7"/>
      <c r="W603" s="7"/>
      <c r="X603" s="7"/>
      <c r="Y603" s="7"/>
      <c r="Z603" s="708"/>
      <c r="AA603" s="7"/>
      <c r="AB603" s="7"/>
      <c r="AC603" s="7"/>
      <c r="AD603" s="7"/>
      <c r="AE603" s="7"/>
      <c r="AF603" s="7"/>
      <c r="AG603" s="7"/>
      <c r="AH603" s="7"/>
    </row>
    <row r="604" spans="1:34" ht="15.75" customHeight="1">
      <c r="A604" s="686"/>
      <c r="B604" s="687"/>
      <c r="C604" s="243"/>
      <c r="D604" s="244"/>
      <c r="E604" s="688"/>
      <c r="F604" s="244"/>
      <c r="G604" s="688"/>
      <c r="H604" s="688"/>
      <c r="I604" s="239"/>
      <c r="J604" s="239"/>
      <c r="K604" s="688"/>
      <c r="L604" s="7"/>
      <c r="M604" s="7"/>
      <c r="N604" s="7"/>
      <c r="O604" s="7"/>
      <c r="P604" s="239"/>
      <c r="Q604" s="7"/>
      <c r="R604" s="7"/>
      <c r="S604" s="7"/>
      <c r="T604" s="7"/>
      <c r="U604" s="7"/>
      <c r="V604" s="7"/>
      <c r="W604" s="7"/>
      <c r="X604" s="7"/>
      <c r="Y604" s="7"/>
      <c r="Z604" s="708"/>
      <c r="AA604" s="7"/>
      <c r="AB604" s="7"/>
      <c r="AC604" s="7"/>
      <c r="AD604" s="7"/>
      <c r="AE604" s="7"/>
      <c r="AF604" s="7"/>
      <c r="AG604" s="7"/>
      <c r="AH604" s="7"/>
    </row>
    <row r="605" spans="1:34" ht="15.75" customHeight="1">
      <c r="A605" s="686"/>
      <c r="B605" s="687"/>
      <c r="C605" s="243"/>
      <c r="D605" s="244"/>
      <c r="E605" s="688"/>
      <c r="F605" s="244"/>
      <c r="G605" s="688"/>
      <c r="H605" s="688"/>
      <c r="I605" s="239"/>
      <c r="J605" s="239"/>
      <c r="K605" s="688"/>
      <c r="L605" s="7"/>
      <c r="M605" s="7"/>
      <c r="N605" s="7"/>
      <c r="O605" s="7"/>
      <c r="P605" s="239"/>
      <c r="Q605" s="7"/>
      <c r="R605" s="7"/>
      <c r="S605" s="7"/>
      <c r="T605" s="7"/>
      <c r="U605" s="7"/>
      <c r="V605" s="7"/>
      <c r="W605" s="7"/>
      <c r="X605" s="7"/>
      <c r="Y605" s="7"/>
      <c r="Z605" s="708"/>
      <c r="AA605" s="7"/>
      <c r="AB605" s="7"/>
      <c r="AC605" s="7"/>
      <c r="AD605" s="7"/>
      <c r="AE605" s="7"/>
      <c r="AF605" s="7"/>
      <c r="AG605" s="7"/>
      <c r="AH605" s="7"/>
    </row>
    <row r="606" spans="1:34" ht="15.75" customHeight="1">
      <c r="A606" s="686"/>
      <c r="B606" s="687"/>
      <c r="C606" s="243"/>
      <c r="D606" s="244"/>
      <c r="E606" s="688"/>
      <c r="F606" s="244"/>
      <c r="G606" s="688"/>
      <c r="H606" s="688"/>
      <c r="I606" s="239"/>
      <c r="J606" s="239"/>
      <c r="K606" s="688"/>
      <c r="L606" s="7"/>
      <c r="M606" s="7"/>
      <c r="N606" s="7"/>
      <c r="O606" s="7"/>
      <c r="P606" s="239"/>
      <c r="Q606" s="7"/>
      <c r="R606" s="7"/>
      <c r="S606" s="7"/>
      <c r="T606" s="7"/>
      <c r="U606" s="7"/>
      <c r="V606" s="7"/>
      <c r="W606" s="7"/>
      <c r="X606" s="7"/>
      <c r="Y606" s="7"/>
      <c r="Z606" s="708"/>
      <c r="AA606" s="7"/>
      <c r="AB606" s="7"/>
      <c r="AC606" s="7"/>
      <c r="AD606" s="7"/>
      <c r="AE606" s="7"/>
      <c r="AF606" s="7"/>
      <c r="AG606" s="7"/>
      <c r="AH606" s="7"/>
    </row>
    <row r="607" spans="1:34" ht="15.75" customHeight="1">
      <c r="A607" s="686"/>
      <c r="B607" s="687"/>
      <c r="C607" s="243"/>
      <c r="D607" s="244"/>
      <c r="E607" s="688"/>
      <c r="F607" s="244"/>
      <c r="G607" s="688"/>
      <c r="H607" s="688"/>
      <c r="I607" s="239"/>
      <c r="J607" s="239"/>
      <c r="K607" s="688"/>
      <c r="L607" s="7"/>
      <c r="M607" s="7"/>
      <c r="N607" s="7"/>
      <c r="O607" s="7"/>
      <c r="P607" s="239"/>
      <c r="Q607" s="7"/>
      <c r="R607" s="7"/>
      <c r="S607" s="7"/>
      <c r="T607" s="7"/>
      <c r="U607" s="7"/>
      <c r="V607" s="7"/>
      <c r="W607" s="7"/>
      <c r="X607" s="7"/>
      <c r="Y607" s="7"/>
      <c r="Z607" s="708"/>
      <c r="AA607" s="7"/>
      <c r="AB607" s="7"/>
      <c r="AC607" s="7"/>
      <c r="AD607" s="7"/>
      <c r="AE607" s="7"/>
      <c r="AF607" s="7"/>
      <c r="AG607" s="7"/>
      <c r="AH607" s="7"/>
    </row>
    <row r="608" spans="1:34" ht="15.75" customHeight="1">
      <c r="A608" s="686"/>
      <c r="B608" s="687"/>
      <c r="C608" s="243"/>
      <c r="D608" s="244"/>
      <c r="E608" s="688"/>
      <c r="F608" s="244"/>
      <c r="G608" s="688"/>
      <c r="H608" s="688"/>
      <c r="I608" s="239"/>
      <c r="J608" s="239"/>
      <c r="K608" s="688"/>
      <c r="L608" s="7"/>
      <c r="M608" s="7"/>
      <c r="N608" s="7"/>
      <c r="O608" s="7"/>
      <c r="P608" s="239"/>
      <c r="Q608" s="7"/>
      <c r="R608" s="7"/>
      <c r="S608" s="7"/>
      <c r="T608" s="7"/>
      <c r="U608" s="7"/>
      <c r="V608" s="7"/>
      <c r="W608" s="7"/>
      <c r="X608" s="7"/>
      <c r="Y608" s="7"/>
      <c r="Z608" s="708"/>
      <c r="AA608" s="7"/>
      <c r="AB608" s="7"/>
      <c r="AC608" s="7"/>
      <c r="AD608" s="7"/>
      <c r="AE608" s="7"/>
      <c r="AF608" s="7"/>
      <c r="AG608" s="7"/>
      <c r="AH608" s="7"/>
    </row>
    <row r="609" spans="1:34" ht="15.75" customHeight="1">
      <c r="A609" s="686"/>
      <c r="B609" s="687"/>
      <c r="C609" s="243"/>
      <c r="D609" s="244"/>
      <c r="E609" s="688"/>
      <c r="F609" s="244"/>
      <c r="G609" s="688"/>
      <c r="H609" s="688"/>
      <c r="I609" s="239"/>
      <c r="J609" s="239"/>
      <c r="K609" s="688"/>
      <c r="L609" s="7"/>
      <c r="M609" s="7"/>
      <c r="N609" s="7"/>
      <c r="O609" s="7"/>
      <c r="P609" s="239"/>
      <c r="Q609" s="7"/>
      <c r="R609" s="7"/>
      <c r="S609" s="7"/>
      <c r="T609" s="7"/>
      <c r="U609" s="7"/>
      <c r="V609" s="7"/>
      <c r="W609" s="7"/>
      <c r="X609" s="7"/>
      <c r="Y609" s="7"/>
      <c r="Z609" s="708"/>
      <c r="AA609" s="7"/>
      <c r="AB609" s="7"/>
      <c r="AC609" s="7"/>
      <c r="AD609" s="7"/>
      <c r="AE609" s="7"/>
      <c r="AF609" s="7"/>
      <c r="AG609" s="7"/>
      <c r="AH609" s="7"/>
    </row>
    <row r="610" spans="1:34" ht="15.75" customHeight="1">
      <c r="A610" s="686"/>
      <c r="B610" s="687"/>
      <c r="C610" s="243"/>
      <c r="D610" s="244"/>
      <c r="E610" s="688"/>
      <c r="F610" s="244"/>
      <c r="G610" s="688"/>
      <c r="H610" s="688"/>
      <c r="I610" s="239"/>
      <c r="J610" s="239"/>
      <c r="K610" s="688"/>
      <c r="L610" s="7"/>
      <c r="M610" s="7"/>
      <c r="N610" s="7"/>
      <c r="O610" s="7"/>
      <c r="P610" s="239"/>
      <c r="Q610" s="7"/>
      <c r="R610" s="7"/>
      <c r="S610" s="7"/>
      <c r="T610" s="7"/>
      <c r="U610" s="7"/>
      <c r="V610" s="7"/>
      <c r="W610" s="7"/>
      <c r="X610" s="7"/>
      <c r="Y610" s="7"/>
      <c r="Z610" s="708"/>
      <c r="AA610" s="7"/>
      <c r="AB610" s="7"/>
      <c r="AC610" s="7"/>
      <c r="AD610" s="7"/>
      <c r="AE610" s="7"/>
      <c r="AF610" s="7"/>
      <c r="AG610" s="7"/>
      <c r="AH610" s="7"/>
    </row>
    <row r="611" spans="1:34" ht="15.75" customHeight="1">
      <c r="A611" s="686"/>
      <c r="B611" s="687"/>
      <c r="C611" s="243"/>
      <c r="D611" s="244"/>
      <c r="E611" s="688"/>
      <c r="F611" s="244"/>
      <c r="G611" s="688"/>
      <c r="H611" s="688"/>
      <c r="I611" s="239"/>
      <c r="J611" s="239"/>
      <c r="K611" s="688"/>
      <c r="L611" s="7"/>
      <c r="M611" s="7"/>
      <c r="N611" s="7"/>
      <c r="O611" s="7"/>
      <c r="P611" s="239"/>
      <c r="Q611" s="7"/>
      <c r="R611" s="7"/>
      <c r="S611" s="7"/>
      <c r="T611" s="7"/>
      <c r="U611" s="7"/>
      <c r="V611" s="7"/>
      <c r="W611" s="7"/>
      <c r="X611" s="7"/>
      <c r="Y611" s="7"/>
      <c r="Z611" s="708"/>
      <c r="AA611" s="7"/>
      <c r="AB611" s="7"/>
      <c r="AC611" s="7"/>
      <c r="AD611" s="7"/>
      <c r="AE611" s="7"/>
      <c r="AF611" s="7"/>
      <c r="AG611" s="7"/>
      <c r="AH611" s="7"/>
    </row>
    <row r="612" spans="1:34" ht="15.75" customHeight="1">
      <c r="A612" s="686"/>
      <c r="B612" s="687"/>
      <c r="C612" s="243"/>
      <c r="D612" s="244"/>
      <c r="E612" s="688"/>
      <c r="F612" s="244"/>
      <c r="G612" s="688"/>
      <c r="H612" s="688"/>
      <c r="I612" s="239"/>
      <c r="J612" s="239"/>
      <c r="K612" s="688"/>
      <c r="L612" s="7"/>
      <c r="M612" s="7"/>
      <c r="N612" s="7"/>
      <c r="O612" s="7"/>
      <c r="P612" s="239"/>
      <c r="Q612" s="7"/>
      <c r="R612" s="7"/>
      <c r="S612" s="7"/>
      <c r="T612" s="7"/>
      <c r="U612" s="7"/>
      <c r="V612" s="7"/>
      <c r="W612" s="7"/>
      <c r="X612" s="7"/>
      <c r="Y612" s="7"/>
      <c r="Z612" s="708"/>
      <c r="AA612" s="7"/>
      <c r="AB612" s="7"/>
      <c r="AC612" s="7"/>
      <c r="AD612" s="7"/>
      <c r="AE612" s="7"/>
      <c r="AF612" s="7"/>
      <c r="AG612" s="7"/>
      <c r="AH612" s="7"/>
    </row>
    <row r="613" spans="1:34" ht="15.75" customHeight="1">
      <c r="A613" s="686"/>
      <c r="B613" s="687"/>
      <c r="C613" s="243"/>
      <c r="D613" s="244"/>
      <c r="E613" s="688"/>
      <c r="F613" s="244"/>
      <c r="G613" s="688"/>
      <c r="H613" s="688"/>
      <c r="I613" s="239"/>
      <c r="J613" s="239"/>
      <c r="K613" s="688"/>
      <c r="L613" s="7"/>
      <c r="M613" s="7"/>
      <c r="N613" s="7"/>
      <c r="O613" s="7"/>
      <c r="P613" s="239"/>
      <c r="Q613" s="7"/>
      <c r="R613" s="7"/>
      <c r="S613" s="7"/>
      <c r="T613" s="7"/>
      <c r="U613" s="7"/>
      <c r="V613" s="7"/>
      <c r="W613" s="7"/>
      <c r="X613" s="7"/>
      <c r="Y613" s="7"/>
      <c r="Z613" s="708"/>
      <c r="AA613" s="7"/>
      <c r="AB613" s="7"/>
      <c r="AC613" s="7"/>
      <c r="AD613" s="7"/>
      <c r="AE613" s="7"/>
      <c r="AF613" s="7"/>
      <c r="AG613" s="7"/>
      <c r="AH613" s="7"/>
    </row>
    <row r="614" spans="1:34" ht="15.75" customHeight="1">
      <c r="A614" s="686"/>
      <c r="B614" s="687"/>
      <c r="C614" s="243"/>
      <c r="D614" s="244"/>
      <c r="E614" s="688"/>
      <c r="F614" s="244"/>
      <c r="G614" s="688"/>
      <c r="H614" s="688"/>
      <c r="I614" s="239"/>
      <c r="J614" s="239"/>
      <c r="K614" s="688"/>
      <c r="L614" s="7"/>
      <c r="M614" s="7"/>
      <c r="N614" s="7"/>
      <c r="O614" s="7"/>
      <c r="P614" s="239"/>
      <c r="Q614" s="7"/>
      <c r="R614" s="7"/>
      <c r="S614" s="7"/>
      <c r="T614" s="7"/>
      <c r="U614" s="7"/>
      <c r="V614" s="7"/>
      <c r="W614" s="7"/>
      <c r="X614" s="7"/>
      <c r="Y614" s="7"/>
      <c r="Z614" s="708"/>
      <c r="AA614" s="7"/>
      <c r="AB614" s="7"/>
      <c r="AC614" s="7"/>
      <c r="AD614" s="7"/>
      <c r="AE614" s="7"/>
      <c r="AF614" s="7"/>
      <c r="AG614" s="7"/>
      <c r="AH614" s="7"/>
    </row>
    <row r="615" spans="1:34" ht="15.75" customHeight="1">
      <c r="A615" s="686"/>
      <c r="B615" s="687"/>
      <c r="C615" s="243"/>
      <c r="D615" s="244"/>
      <c r="E615" s="688"/>
      <c r="F615" s="244"/>
      <c r="G615" s="688"/>
      <c r="H615" s="688"/>
      <c r="I615" s="239"/>
      <c r="J615" s="239"/>
      <c r="K615" s="688"/>
      <c r="L615" s="7"/>
      <c r="M615" s="7"/>
      <c r="N615" s="7"/>
      <c r="O615" s="7"/>
      <c r="P615" s="239"/>
      <c r="Q615" s="7"/>
      <c r="R615" s="7"/>
      <c r="S615" s="7"/>
      <c r="T615" s="7"/>
      <c r="U615" s="7"/>
      <c r="V615" s="7"/>
      <c r="W615" s="7"/>
      <c r="X615" s="7"/>
      <c r="Y615" s="7"/>
      <c r="Z615" s="708"/>
      <c r="AA615" s="7"/>
      <c r="AB615" s="7"/>
      <c r="AC615" s="7"/>
      <c r="AD615" s="7"/>
      <c r="AE615" s="7"/>
      <c r="AF615" s="7"/>
      <c r="AG615" s="7"/>
      <c r="AH615" s="7"/>
    </row>
    <row r="616" spans="1:34" ht="15.75" customHeight="1">
      <c r="A616" s="686"/>
      <c r="B616" s="687"/>
      <c r="C616" s="243"/>
      <c r="D616" s="244"/>
      <c r="E616" s="688"/>
      <c r="F616" s="244"/>
      <c r="G616" s="688"/>
      <c r="H616" s="688"/>
      <c r="I616" s="239"/>
      <c r="J616" s="239"/>
      <c r="K616" s="688"/>
      <c r="L616" s="7"/>
      <c r="M616" s="7"/>
      <c r="N616" s="7"/>
      <c r="O616" s="7"/>
      <c r="P616" s="239"/>
      <c r="Q616" s="7"/>
      <c r="R616" s="7"/>
      <c r="S616" s="7"/>
      <c r="T616" s="7"/>
      <c r="U616" s="7"/>
      <c r="V616" s="7"/>
      <c r="W616" s="7"/>
      <c r="X616" s="7"/>
      <c r="Y616" s="7"/>
      <c r="Z616" s="708"/>
      <c r="AA616" s="7"/>
      <c r="AB616" s="7"/>
      <c r="AC616" s="7"/>
      <c r="AD616" s="7"/>
      <c r="AE616" s="7"/>
      <c r="AF616" s="7"/>
      <c r="AG616" s="7"/>
      <c r="AH616" s="7"/>
    </row>
    <row r="617" spans="1:34" ht="15.75" customHeight="1">
      <c r="A617" s="686"/>
      <c r="B617" s="687"/>
      <c r="C617" s="243"/>
      <c r="D617" s="244"/>
      <c r="E617" s="688"/>
      <c r="F617" s="244"/>
      <c r="G617" s="688"/>
      <c r="H617" s="688"/>
      <c r="I617" s="239"/>
      <c r="J617" s="239"/>
      <c r="K617" s="688"/>
      <c r="L617" s="7"/>
      <c r="M617" s="7"/>
      <c r="N617" s="7"/>
      <c r="O617" s="7"/>
      <c r="P617" s="239"/>
      <c r="Q617" s="7"/>
      <c r="R617" s="7"/>
      <c r="S617" s="7"/>
      <c r="T617" s="7"/>
      <c r="U617" s="7"/>
      <c r="V617" s="7"/>
      <c r="W617" s="7"/>
      <c r="X617" s="7"/>
      <c r="Y617" s="7"/>
      <c r="Z617" s="708"/>
      <c r="AA617" s="7"/>
      <c r="AB617" s="7"/>
      <c r="AC617" s="7"/>
      <c r="AD617" s="7"/>
      <c r="AE617" s="7"/>
      <c r="AF617" s="7"/>
      <c r="AG617" s="7"/>
      <c r="AH617" s="7"/>
    </row>
    <row r="618" spans="1:34" ht="15.75" customHeight="1">
      <c r="A618" s="686"/>
      <c r="B618" s="687"/>
      <c r="C618" s="243"/>
      <c r="D618" s="244"/>
      <c r="E618" s="688"/>
      <c r="F618" s="244"/>
      <c r="G618" s="688"/>
      <c r="H618" s="688"/>
      <c r="I618" s="239"/>
      <c r="J618" s="239"/>
      <c r="K618" s="688"/>
      <c r="L618" s="7"/>
      <c r="M618" s="7"/>
      <c r="N618" s="7"/>
      <c r="O618" s="7"/>
      <c r="P618" s="239"/>
      <c r="Q618" s="7"/>
      <c r="R618" s="7"/>
      <c r="S618" s="7"/>
      <c r="T618" s="7"/>
      <c r="U618" s="7"/>
      <c r="V618" s="7"/>
      <c r="W618" s="7"/>
      <c r="X618" s="7"/>
      <c r="Y618" s="7"/>
      <c r="Z618" s="708"/>
      <c r="AA618" s="7"/>
      <c r="AB618" s="7"/>
      <c r="AC618" s="7"/>
      <c r="AD618" s="7"/>
      <c r="AE618" s="7"/>
      <c r="AF618" s="7"/>
      <c r="AG618" s="7"/>
      <c r="AH618" s="7"/>
    </row>
    <row r="619" spans="1:34" ht="15.75" customHeight="1">
      <c r="A619" s="686"/>
      <c r="B619" s="687"/>
      <c r="C619" s="243"/>
      <c r="D619" s="244"/>
      <c r="E619" s="688"/>
      <c r="F619" s="244"/>
      <c r="G619" s="688"/>
      <c r="H619" s="688"/>
      <c r="I619" s="239"/>
      <c r="J619" s="239"/>
      <c r="K619" s="688"/>
      <c r="L619" s="7"/>
      <c r="M619" s="7"/>
      <c r="N619" s="7"/>
      <c r="O619" s="7"/>
      <c r="P619" s="239"/>
      <c r="Q619" s="7"/>
      <c r="R619" s="7"/>
      <c r="S619" s="7"/>
      <c r="T619" s="7"/>
      <c r="U619" s="7"/>
      <c r="V619" s="7"/>
      <c r="W619" s="7"/>
      <c r="X619" s="7"/>
      <c r="Y619" s="7"/>
      <c r="Z619" s="708"/>
      <c r="AA619" s="7"/>
      <c r="AB619" s="7"/>
      <c r="AC619" s="7"/>
      <c r="AD619" s="7"/>
      <c r="AE619" s="7"/>
      <c r="AF619" s="7"/>
      <c r="AG619" s="7"/>
      <c r="AH619" s="7"/>
    </row>
    <row r="620" spans="1:34" ht="15.75" customHeight="1">
      <c r="A620" s="686"/>
      <c r="B620" s="687"/>
      <c r="C620" s="243"/>
      <c r="D620" s="244"/>
      <c r="E620" s="688"/>
      <c r="F620" s="244"/>
      <c r="G620" s="688"/>
      <c r="H620" s="688"/>
      <c r="I620" s="239"/>
      <c r="J620" s="239"/>
      <c r="K620" s="688"/>
      <c r="L620" s="7"/>
      <c r="M620" s="7"/>
      <c r="N620" s="7"/>
      <c r="O620" s="7"/>
      <c r="P620" s="239"/>
      <c r="Q620" s="7"/>
      <c r="R620" s="7"/>
      <c r="S620" s="7"/>
      <c r="T620" s="7"/>
      <c r="U620" s="7"/>
      <c r="V620" s="7"/>
      <c r="W620" s="7"/>
      <c r="X620" s="7"/>
      <c r="Y620" s="7"/>
      <c r="Z620" s="708"/>
      <c r="AA620" s="7"/>
      <c r="AB620" s="7"/>
      <c r="AC620" s="7"/>
      <c r="AD620" s="7"/>
      <c r="AE620" s="7"/>
      <c r="AF620" s="7"/>
      <c r="AG620" s="7"/>
      <c r="AH620" s="7"/>
    </row>
    <row r="621" spans="1:34" ht="15.75" customHeight="1">
      <c r="A621" s="686"/>
      <c r="B621" s="687"/>
      <c r="C621" s="243"/>
      <c r="D621" s="244"/>
      <c r="E621" s="688"/>
      <c r="F621" s="244"/>
      <c r="G621" s="688"/>
      <c r="H621" s="688"/>
      <c r="I621" s="239"/>
      <c r="J621" s="239"/>
      <c r="K621" s="688"/>
      <c r="L621" s="7"/>
      <c r="M621" s="7"/>
      <c r="N621" s="7"/>
      <c r="O621" s="7"/>
      <c r="P621" s="239"/>
      <c r="Q621" s="7"/>
      <c r="R621" s="7"/>
      <c r="S621" s="7"/>
      <c r="T621" s="7"/>
      <c r="U621" s="7"/>
      <c r="V621" s="7"/>
      <c r="W621" s="7"/>
      <c r="X621" s="7"/>
      <c r="Y621" s="7"/>
      <c r="Z621" s="708"/>
      <c r="AA621" s="7"/>
      <c r="AB621" s="7"/>
      <c r="AC621" s="7"/>
      <c r="AD621" s="7"/>
      <c r="AE621" s="7"/>
      <c r="AF621" s="7"/>
      <c r="AG621" s="7"/>
      <c r="AH621" s="7"/>
    </row>
    <row r="622" spans="1:34" ht="15.75" customHeight="1">
      <c r="A622" s="686"/>
      <c r="B622" s="687"/>
      <c r="C622" s="243"/>
      <c r="D622" s="244"/>
      <c r="E622" s="688"/>
      <c r="F622" s="244"/>
      <c r="G622" s="688"/>
      <c r="H622" s="688"/>
      <c r="I622" s="239"/>
      <c r="J622" s="239"/>
      <c r="K622" s="688"/>
      <c r="L622" s="7"/>
      <c r="M622" s="7"/>
      <c r="N622" s="7"/>
      <c r="O622" s="7"/>
      <c r="P622" s="239"/>
      <c r="Q622" s="7"/>
      <c r="R622" s="7"/>
      <c r="S622" s="7"/>
      <c r="T622" s="7"/>
      <c r="U622" s="7"/>
      <c r="V622" s="7"/>
      <c r="W622" s="7"/>
      <c r="X622" s="7"/>
      <c r="Y622" s="7"/>
      <c r="Z622" s="708"/>
      <c r="AA622" s="7"/>
      <c r="AB622" s="7"/>
      <c r="AC622" s="7"/>
      <c r="AD622" s="7"/>
      <c r="AE622" s="7"/>
      <c r="AF622" s="7"/>
      <c r="AG622" s="7"/>
      <c r="AH622" s="7"/>
    </row>
    <row r="623" spans="1:34" ht="15.75" customHeight="1">
      <c r="A623" s="686"/>
      <c r="B623" s="687"/>
      <c r="C623" s="243"/>
      <c r="D623" s="244"/>
      <c r="E623" s="688"/>
      <c r="F623" s="244"/>
      <c r="G623" s="688"/>
      <c r="H623" s="688"/>
      <c r="I623" s="239"/>
      <c r="J623" s="239"/>
      <c r="K623" s="688"/>
      <c r="L623" s="7"/>
      <c r="M623" s="7"/>
      <c r="N623" s="7"/>
      <c r="O623" s="7"/>
      <c r="P623" s="239"/>
      <c r="Q623" s="7"/>
      <c r="R623" s="7"/>
      <c r="S623" s="7"/>
      <c r="T623" s="7"/>
      <c r="U623" s="7"/>
      <c r="V623" s="7"/>
      <c r="W623" s="7"/>
      <c r="X623" s="7"/>
      <c r="Y623" s="7"/>
      <c r="Z623" s="708"/>
      <c r="AA623" s="7"/>
      <c r="AB623" s="7"/>
      <c r="AC623" s="7"/>
      <c r="AD623" s="7"/>
      <c r="AE623" s="7"/>
      <c r="AF623" s="7"/>
      <c r="AG623" s="7"/>
      <c r="AH623" s="7"/>
    </row>
    <row r="624" spans="1:34" ht="15.75" customHeight="1">
      <c r="A624" s="686"/>
      <c r="B624" s="687"/>
      <c r="C624" s="243"/>
      <c r="D624" s="244"/>
      <c r="E624" s="688"/>
      <c r="F624" s="244"/>
      <c r="G624" s="688"/>
      <c r="H624" s="688"/>
      <c r="I624" s="239"/>
      <c r="J624" s="239"/>
      <c r="K624" s="688"/>
      <c r="L624" s="7"/>
      <c r="M624" s="7"/>
      <c r="N624" s="7"/>
      <c r="O624" s="7"/>
      <c r="P624" s="239"/>
      <c r="Q624" s="7"/>
      <c r="R624" s="7"/>
      <c r="S624" s="7"/>
      <c r="T624" s="7"/>
      <c r="U624" s="7"/>
      <c r="V624" s="7"/>
      <c r="W624" s="7"/>
      <c r="X624" s="7"/>
      <c r="Y624" s="7"/>
      <c r="Z624" s="708"/>
      <c r="AA624" s="7"/>
      <c r="AB624" s="7"/>
      <c r="AC624" s="7"/>
      <c r="AD624" s="7"/>
      <c r="AE624" s="7"/>
      <c r="AF624" s="7"/>
      <c r="AG624" s="7"/>
      <c r="AH624" s="7"/>
    </row>
    <row r="625" spans="1:34" ht="15.75" customHeight="1">
      <c r="A625" s="686"/>
      <c r="B625" s="687"/>
      <c r="C625" s="243"/>
      <c r="D625" s="244"/>
      <c r="E625" s="688"/>
      <c r="F625" s="244"/>
      <c r="G625" s="688"/>
      <c r="H625" s="688"/>
      <c r="I625" s="239"/>
      <c r="J625" s="239"/>
      <c r="K625" s="688"/>
      <c r="L625" s="7"/>
      <c r="M625" s="7"/>
      <c r="N625" s="7"/>
      <c r="O625" s="7"/>
      <c r="P625" s="239"/>
      <c r="Q625" s="7"/>
      <c r="R625" s="7"/>
      <c r="S625" s="7"/>
      <c r="T625" s="7"/>
      <c r="U625" s="7"/>
      <c r="V625" s="7"/>
      <c r="W625" s="7"/>
      <c r="X625" s="7"/>
      <c r="Y625" s="7"/>
      <c r="Z625" s="708"/>
      <c r="AA625" s="7"/>
      <c r="AB625" s="7"/>
      <c r="AC625" s="7"/>
      <c r="AD625" s="7"/>
      <c r="AE625" s="7"/>
      <c r="AF625" s="7"/>
      <c r="AG625" s="7"/>
      <c r="AH625" s="7"/>
    </row>
    <row r="626" spans="1:34" ht="15.75" customHeight="1">
      <c r="A626" s="686"/>
      <c r="B626" s="687"/>
      <c r="C626" s="243"/>
      <c r="D626" s="244"/>
      <c r="E626" s="688"/>
      <c r="F626" s="244"/>
      <c r="G626" s="688"/>
      <c r="H626" s="688"/>
      <c r="I626" s="239"/>
      <c r="J626" s="239"/>
      <c r="K626" s="688"/>
      <c r="L626" s="7"/>
      <c r="M626" s="7"/>
      <c r="N626" s="7"/>
      <c r="O626" s="7"/>
      <c r="P626" s="239"/>
      <c r="Q626" s="7"/>
      <c r="R626" s="7"/>
      <c r="S626" s="7"/>
      <c r="T626" s="7"/>
      <c r="U626" s="7"/>
      <c r="V626" s="7"/>
      <c r="W626" s="7"/>
      <c r="X626" s="7"/>
      <c r="Y626" s="7"/>
      <c r="Z626" s="708"/>
      <c r="AA626" s="7"/>
      <c r="AB626" s="7"/>
      <c r="AC626" s="7"/>
      <c r="AD626" s="7"/>
      <c r="AE626" s="7"/>
      <c r="AF626" s="7"/>
      <c r="AG626" s="7"/>
      <c r="AH626" s="7"/>
    </row>
    <row r="627" spans="1:34" ht="15.75" customHeight="1">
      <c r="A627" s="686"/>
      <c r="B627" s="687"/>
      <c r="C627" s="243"/>
      <c r="D627" s="244"/>
      <c r="E627" s="688"/>
      <c r="F627" s="244"/>
      <c r="G627" s="688"/>
      <c r="H627" s="688"/>
      <c r="I627" s="239"/>
      <c r="J627" s="239"/>
      <c r="K627" s="688"/>
      <c r="L627" s="7"/>
      <c r="M627" s="7"/>
      <c r="N627" s="7"/>
      <c r="O627" s="7"/>
      <c r="P627" s="239"/>
      <c r="Q627" s="7"/>
      <c r="R627" s="7"/>
      <c r="S627" s="7"/>
      <c r="T627" s="7"/>
      <c r="U627" s="7"/>
      <c r="V627" s="7"/>
      <c r="W627" s="7"/>
      <c r="X627" s="7"/>
      <c r="Y627" s="7"/>
      <c r="Z627" s="708"/>
      <c r="AA627" s="7"/>
      <c r="AB627" s="7"/>
      <c r="AC627" s="7"/>
      <c r="AD627" s="7"/>
      <c r="AE627" s="7"/>
      <c r="AF627" s="7"/>
      <c r="AG627" s="7"/>
      <c r="AH627" s="7"/>
    </row>
    <row r="628" spans="1:34" ht="15.75" customHeight="1">
      <c r="A628" s="686"/>
      <c r="B628" s="687"/>
      <c r="C628" s="243"/>
      <c r="D628" s="244"/>
      <c r="E628" s="688"/>
      <c r="F628" s="244"/>
      <c r="G628" s="688"/>
      <c r="H628" s="688"/>
      <c r="I628" s="239"/>
      <c r="J628" s="239"/>
      <c r="K628" s="688"/>
      <c r="L628" s="7"/>
      <c r="M628" s="7"/>
      <c r="N628" s="7"/>
      <c r="O628" s="7"/>
      <c r="P628" s="239"/>
      <c r="Q628" s="7"/>
      <c r="R628" s="7"/>
      <c r="S628" s="7"/>
      <c r="T628" s="7"/>
      <c r="U628" s="7"/>
      <c r="V628" s="7"/>
      <c r="W628" s="7"/>
      <c r="X628" s="7"/>
      <c r="Y628" s="7"/>
      <c r="Z628" s="708"/>
      <c r="AA628" s="7"/>
      <c r="AB628" s="7"/>
      <c r="AC628" s="7"/>
      <c r="AD628" s="7"/>
      <c r="AE628" s="7"/>
      <c r="AF628" s="7"/>
      <c r="AG628" s="7"/>
      <c r="AH628" s="7"/>
    </row>
    <row r="629" spans="1:34" ht="15.75" customHeight="1">
      <c r="A629" s="686"/>
      <c r="B629" s="687"/>
      <c r="C629" s="243"/>
      <c r="D629" s="244"/>
      <c r="E629" s="688"/>
      <c r="F629" s="244"/>
      <c r="G629" s="688"/>
      <c r="H629" s="688"/>
      <c r="I629" s="239"/>
      <c r="J629" s="239"/>
      <c r="K629" s="688"/>
      <c r="L629" s="7"/>
      <c r="M629" s="7"/>
      <c r="N629" s="7"/>
      <c r="O629" s="7"/>
      <c r="P629" s="239"/>
      <c r="Q629" s="7"/>
      <c r="R629" s="7"/>
      <c r="S629" s="7"/>
      <c r="T629" s="7"/>
      <c r="U629" s="7"/>
      <c r="V629" s="7"/>
      <c r="W629" s="7"/>
      <c r="X629" s="7"/>
      <c r="Y629" s="7"/>
      <c r="Z629" s="708"/>
      <c r="AA629" s="7"/>
      <c r="AB629" s="7"/>
      <c r="AC629" s="7"/>
      <c r="AD629" s="7"/>
      <c r="AE629" s="7"/>
      <c r="AF629" s="7"/>
      <c r="AG629" s="7"/>
      <c r="AH629" s="7"/>
    </row>
    <row r="630" spans="1:34" ht="15.75" customHeight="1">
      <c r="A630" s="686"/>
      <c r="B630" s="687"/>
      <c r="C630" s="243"/>
      <c r="D630" s="244"/>
      <c r="E630" s="688"/>
      <c r="F630" s="244"/>
      <c r="G630" s="688"/>
      <c r="H630" s="688"/>
      <c r="I630" s="239"/>
      <c r="J630" s="239"/>
      <c r="K630" s="688"/>
      <c r="L630" s="7"/>
      <c r="M630" s="7"/>
      <c r="N630" s="7"/>
      <c r="O630" s="7"/>
      <c r="P630" s="239"/>
      <c r="Q630" s="7"/>
      <c r="R630" s="7"/>
      <c r="S630" s="7"/>
      <c r="T630" s="7"/>
      <c r="U630" s="7"/>
      <c r="V630" s="7"/>
      <c r="W630" s="7"/>
      <c r="X630" s="7"/>
      <c r="Y630" s="7"/>
      <c r="Z630" s="708"/>
      <c r="AA630" s="7"/>
      <c r="AB630" s="7"/>
      <c r="AC630" s="7"/>
      <c r="AD630" s="7"/>
      <c r="AE630" s="7"/>
      <c r="AF630" s="7"/>
      <c r="AG630" s="7"/>
      <c r="AH630" s="7"/>
    </row>
    <row r="631" spans="1:34" ht="15.75" customHeight="1">
      <c r="A631" s="686"/>
      <c r="B631" s="687"/>
      <c r="C631" s="243"/>
      <c r="D631" s="244"/>
      <c r="E631" s="688"/>
      <c r="F631" s="244"/>
      <c r="G631" s="688"/>
      <c r="H631" s="688"/>
      <c r="I631" s="239"/>
      <c r="J631" s="239"/>
      <c r="K631" s="688"/>
      <c r="L631" s="7"/>
      <c r="M631" s="7"/>
      <c r="N631" s="7"/>
      <c r="O631" s="7"/>
      <c r="P631" s="239"/>
      <c r="Q631" s="7"/>
      <c r="R631" s="7"/>
      <c r="S631" s="7"/>
      <c r="T631" s="7"/>
      <c r="U631" s="7"/>
      <c r="V631" s="7"/>
      <c r="W631" s="7"/>
      <c r="X631" s="7"/>
      <c r="Y631" s="7"/>
      <c r="Z631" s="708"/>
      <c r="AA631" s="7"/>
      <c r="AB631" s="7"/>
      <c r="AC631" s="7"/>
      <c r="AD631" s="7"/>
      <c r="AE631" s="7"/>
      <c r="AF631" s="7"/>
      <c r="AG631" s="7"/>
      <c r="AH631" s="7"/>
    </row>
    <row r="632" spans="1:34" ht="15.75" customHeight="1">
      <c r="A632" s="686"/>
      <c r="B632" s="687"/>
      <c r="C632" s="243"/>
      <c r="D632" s="244"/>
      <c r="E632" s="688"/>
      <c r="F632" s="244"/>
      <c r="G632" s="688"/>
      <c r="H632" s="688"/>
      <c r="I632" s="239"/>
      <c r="J632" s="239"/>
      <c r="K632" s="688"/>
      <c r="L632" s="7"/>
      <c r="M632" s="7"/>
      <c r="N632" s="7"/>
      <c r="O632" s="7"/>
      <c r="P632" s="239"/>
      <c r="Q632" s="7"/>
      <c r="R632" s="7"/>
      <c r="S632" s="7"/>
      <c r="T632" s="7"/>
      <c r="U632" s="7"/>
      <c r="V632" s="7"/>
      <c r="W632" s="7"/>
      <c r="X632" s="7"/>
      <c r="Y632" s="7"/>
      <c r="Z632" s="708"/>
      <c r="AA632" s="7"/>
      <c r="AB632" s="7"/>
      <c r="AC632" s="7"/>
      <c r="AD632" s="7"/>
      <c r="AE632" s="7"/>
      <c r="AF632" s="7"/>
      <c r="AG632" s="7"/>
      <c r="AH632" s="7"/>
    </row>
    <row r="633" spans="1:34" ht="15.75" customHeight="1">
      <c r="A633" s="686"/>
      <c r="B633" s="687"/>
      <c r="C633" s="243"/>
      <c r="D633" s="244"/>
      <c r="E633" s="688"/>
      <c r="F633" s="244"/>
      <c r="G633" s="688"/>
      <c r="H633" s="688"/>
      <c r="I633" s="239"/>
      <c r="J633" s="239"/>
      <c r="K633" s="688"/>
      <c r="L633" s="7"/>
      <c r="M633" s="7"/>
      <c r="N633" s="7"/>
      <c r="O633" s="7"/>
      <c r="P633" s="239"/>
      <c r="Q633" s="7"/>
      <c r="R633" s="7"/>
      <c r="S633" s="7"/>
      <c r="T633" s="7"/>
      <c r="U633" s="7"/>
      <c r="V633" s="7"/>
      <c r="W633" s="7"/>
      <c r="X633" s="7"/>
      <c r="Y633" s="7"/>
      <c r="Z633" s="708"/>
      <c r="AA633" s="7"/>
      <c r="AB633" s="7"/>
      <c r="AC633" s="7"/>
      <c r="AD633" s="7"/>
      <c r="AE633" s="7"/>
      <c r="AF633" s="7"/>
      <c r="AG633" s="7"/>
      <c r="AH633" s="7"/>
    </row>
    <row r="634" spans="1:34" ht="15.75" customHeight="1">
      <c r="A634" s="686"/>
      <c r="B634" s="687"/>
      <c r="C634" s="243"/>
      <c r="D634" s="244"/>
      <c r="E634" s="688"/>
      <c r="F634" s="244"/>
      <c r="G634" s="688"/>
      <c r="H634" s="688"/>
      <c r="I634" s="239"/>
      <c r="J634" s="239"/>
      <c r="K634" s="688"/>
      <c r="L634" s="7"/>
      <c r="M634" s="7"/>
      <c r="N634" s="7"/>
      <c r="O634" s="7"/>
      <c r="P634" s="239"/>
      <c r="Q634" s="7"/>
      <c r="R634" s="7"/>
      <c r="S634" s="7"/>
      <c r="T634" s="7"/>
      <c r="U634" s="7"/>
      <c r="V634" s="7"/>
      <c r="W634" s="7"/>
      <c r="X634" s="7"/>
      <c r="Y634" s="7"/>
      <c r="Z634" s="708"/>
      <c r="AA634" s="7"/>
      <c r="AB634" s="7"/>
      <c r="AC634" s="7"/>
      <c r="AD634" s="7"/>
      <c r="AE634" s="7"/>
      <c r="AF634" s="7"/>
      <c r="AG634" s="7"/>
      <c r="AH634" s="7"/>
    </row>
    <row r="635" spans="1:34" ht="15.75" customHeight="1">
      <c r="A635" s="686"/>
      <c r="B635" s="687"/>
      <c r="C635" s="243"/>
      <c r="D635" s="244"/>
      <c r="E635" s="688"/>
      <c r="F635" s="244"/>
      <c r="G635" s="688"/>
      <c r="H635" s="688"/>
      <c r="I635" s="239"/>
      <c r="J635" s="239"/>
      <c r="K635" s="688"/>
      <c r="L635" s="7"/>
      <c r="M635" s="7"/>
      <c r="N635" s="7"/>
      <c r="O635" s="7"/>
      <c r="P635" s="239"/>
      <c r="Q635" s="7"/>
      <c r="R635" s="7"/>
      <c r="S635" s="7"/>
      <c r="T635" s="7"/>
      <c r="U635" s="7"/>
      <c r="V635" s="7"/>
      <c r="W635" s="7"/>
      <c r="X635" s="7"/>
      <c r="Y635" s="7"/>
      <c r="Z635" s="708"/>
      <c r="AA635" s="7"/>
      <c r="AB635" s="7"/>
      <c r="AC635" s="7"/>
      <c r="AD635" s="7"/>
      <c r="AE635" s="7"/>
      <c r="AF635" s="7"/>
      <c r="AG635" s="7"/>
      <c r="AH635" s="7"/>
    </row>
    <row r="636" spans="1:34" ht="15.75" customHeight="1">
      <c r="A636" s="686"/>
      <c r="B636" s="687"/>
      <c r="C636" s="243"/>
      <c r="D636" s="244"/>
      <c r="E636" s="688"/>
      <c r="F636" s="244"/>
      <c r="G636" s="688"/>
      <c r="H636" s="688"/>
      <c r="I636" s="239"/>
      <c r="J636" s="239"/>
      <c r="K636" s="688"/>
      <c r="L636" s="7"/>
      <c r="M636" s="7"/>
      <c r="N636" s="7"/>
      <c r="O636" s="7"/>
      <c r="P636" s="239"/>
      <c r="Q636" s="7"/>
      <c r="R636" s="7"/>
      <c r="S636" s="7"/>
      <c r="T636" s="7"/>
      <c r="U636" s="7"/>
      <c r="V636" s="7"/>
      <c r="W636" s="7"/>
      <c r="X636" s="7"/>
      <c r="Y636" s="7"/>
      <c r="Z636" s="708"/>
      <c r="AA636" s="7"/>
      <c r="AB636" s="7"/>
      <c r="AC636" s="7"/>
      <c r="AD636" s="7"/>
      <c r="AE636" s="7"/>
      <c r="AF636" s="7"/>
      <c r="AG636" s="7"/>
      <c r="AH636" s="7"/>
    </row>
    <row r="637" spans="1:34" ht="15.75" customHeight="1">
      <c r="A637" s="686"/>
      <c r="B637" s="687"/>
      <c r="C637" s="243"/>
      <c r="D637" s="244"/>
      <c r="E637" s="688"/>
      <c r="F637" s="244"/>
      <c r="G637" s="688"/>
      <c r="H637" s="688"/>
      <c r="I637" s="239"/>
      <c r="J637" s="239"/>
      <c r="K637" s="688"/>
      <c r="L637" s="7"/>
      <c r="M637" s="7"/>
      <c r="N637" s="7"/>
      <c r="O637" s="7"/>
      <c r="P637" s="239"/>
      <c r="Q637" s="7"/>
      <c r="R637" s="7"/>
      <c r="S637" s="7"/>
      <c r="T637" s="7"/>
      <c r="U637" s="7"/>
      <c r="V637" s="7"/>
      <c r="W637" s="7"/>
      <c r="X637" s="7"/>
      <c r="Y637" s="7"/>
      <c r="Z637" s="708"/>
      <c r="AA637" s="7"/>
      <c r="AB637" s="7"/>
      <c r="AC637" s="7"/>
      <c r="AD637" s="7"/>
      <c r="AE637" s="7"/>
      <c r="AF637" s="7"/>
      <c r="AG637" s="7"/>
      <c r="AH637" s="7"/>
    </row>
    <row r="638" spans="1:34" ht="15.75" customHeight="1">
      <c r="A638" s="686"/>
      <c r="B638" s="687"/>
      <c r="C638" s="243"/>
      <c r="D638" s="244"/>
      <c r="E638" s="688"/>
      <c r="F638" s="244"/>
      <c r="G638" s="688"/>
      <c r="H638" s="688"/>
      <c r="I638" s="167"/>
      <c r="J638" s="167"/>
      <c r="K638" s="688"/>
      <c r="L638" s="7"/>
      <c r="M638" s="7"/>
      <c r="N638" s="7"/>
      <c r="O638" s="7"/>
      <c r="P638" s="239"/>
      <c r="Q638" s="7"/>
      <c r="R638" s="7"/>
      <c r="S638" s="7"/>
      <c r="T638" s="7"/>
      <c r="U638" s="7"/>
      <c r="V638" s="7"/>
      <c r="W638" s="7"/>
      <c r="X638" s="7"/>
      <c r="Y638" s="7"/>
      <c r="Z638" s="708"/>
      <c r="AA638" s="7"/>
      <c r="AB638" s="7"/>
      <c r="AC638" s="7"/>
      <c r="AD638" s="7"/>
      <c r="AE638" s="7"/>
      <c r="AF638" s="7"/>
      <c r="AG638" s="7"/>
      <c r="AH638" s="7"/>
    </row>
    <row r="639" spans="1:34" ht="15.75" customHeight="1">
      <c r="A639" s="686"/>
      <c r="B639" s="687"/>
      <c r="C639" s="243"/>
      <c r="D639" s="244"/>
      <c r="E639" s="688"/>
      <c r="F639" s="244"/>
      <c r="G639" s="688"/>
      <c r="H639" s="688"/>
      <c r="I639" s="167"/>
      <c r="J639" s="167"/>
      <c r="K639" s="688"/>
      <c r="L639" s="7"/>
      <c r="M639" s="7"/>
      <c r="N639" s="7"/>
      <c r="O639" s="7"/>
      <c r="P639" s="239"/>
      <c r="Q639" s="7"/>
      <c r="R639" s="7"/>
      <c r="S639" s="7"/>
      <c r="T639" s="7"/>
      <c r="U639" s="7"/>
      <c r="V639" s="7"/>
      <c r="W639" s="7"/>
      <c r="X639" s="7"/>
      <c r="Y639" s="7"/>
      <c r="Z639" s="708"/>
      <c r="AA639" s="7"/>
      <c r="AB639" s="7"/>
      <c r="AC639" s="7"/>
      <c r="AD639" s="7"/>
      <c r="AE639" s="7"/>
      <c r="AF639" s="7"/>
      <c r="AG639" s="7"/>
      <c r="AH639" s="7"/>
    </row>
    <row r="640" spans="1:34" ht="15.75" customHeight="1">
      <c r="A640" s="686"/>
      <c r="B640" s="687"/>
      <c r="C640" s="243"/>
      <c r="D640" s="244"/>
      <c r="E640" s="688"/>
      <c r="F640" s="244"/>
      <c r="G640" s="688"/>
      <c r="H640" s="688"/>
      <c r="I640" s="167"/>
      <c r="J640" s="167"/>
      <c r="K640" s="688"/>
      <c r="L640" s="7"/>
      <c r="M640" s="7"/>
      <c r="N640" s="7"/>
      <c r="O640" s="7"/>
      <c r="P640" s="239"/>
      <c r="Q640" s="7"/>
      <c r="R640" s="7"/>
      <c r="S640" s="7"/>
      <c r="T640" s="7"/>
      <c r="U640" s="7"/>
      <c r="V640" s="7"/>
      <c r="W640" s="7"/>
      <c r="X640" s="7"/>
      <c r="Y640" s="7"/>
      <c r="Z640" s="708"/>
      <c r="AA640" s="7"/>
      <c r="AB640" s="7"/>
      <c r="AC640" s="7"/>
      <c r="AD640" s="7"/>
      <c r="AE640" s="7"/>
      <c r="AF640" s="7"/>
      <c r="AG640" s="7"/>
      <c r="AH640" s="7"/>
    </row>
    <row r="641" spans="1:34" ht="15.75" customHeight="1">
      <c r="A641" s="686"/>
      <c r="B641" s="687"/>
      <c r="C641" s="243"/>
      <c r="D641" s="244"/>
      <c r="E641" s="688"/>
      <c r="F641" s="244"/>
      <c r="G641" s="688"/>
      <c r="H641" s="688"/>
      <c r="I641" s="167"/>
      <c r="J641" s="167"/>
      <c r="K641" s="688"/>
      <c r="L641" s="7"/>
      <c r="M641" s="7"/>
      <c r="N641" s="7"/>
      <c r="O641" s="7"/>
      <c r="P641" s="239"/>
      <c r="Q641" s="7"/>
      <c r="R641" s="7"/>
      <c r="S641" s="7"/>
      <c r="T641" s="7"/>
      <c r="U641" s="7"/>
      <c r="V641" s="7"/>
      <c r="W641" s="7"/>
      <c r="X641" s="7"/>
      <c r="Y641" s="7"/>
      <c r="Z641" s="708"/>
      <c r="AA641" s="7"/>
      <c r="AB641" s="7"/>
      <c r="AC641" s="7"/>
      <c r="AD641" s="7"/>
      <c r="AE641" s="7"/>
      <c r="AF641" s="7"/>
      <c r="AG641" s="7"/>
      <c r="AH641" s="7"/>
    </row>
    <row r="642" spans="1:34" ht="15.75" customHeight="1">
      <c r="A642" s="686"/>
      <c r="B642" s="687"/>
      <c r="C642" s="243"/>
      <c r="D642" s="244"/>
      <c r="E642" s="688"/>
      <c r="F642" s="244"/>
      <c r="G642" s="688"/>
      <c r="H642" s="688"/>
      <c r="I642" s="167"/>
      <c r="J642" s="167"/>
      <c r="K642" s="688"/>
      <c r="L642" s="7"/>
      <c r="M642" s="7"/>
      <c r="N642" s="7"/>
      <c r="O642" s="7"/>
      <c r="P642" s="239"/>
      <c r="Q642" s="7"/>
      <c r="R642" s="7"/>
      <c r="S642" s="7"/>
      <c r="T642" s="7"/>
      <c r="U642" s="7"/>
      <c r="V642" s="7"/>
      <c r="W642" s="7"/>
      <c r="X642" s="7"/>
      <c r="Y642" s="7"/>
      <c r="Z642" s="708"/>
      <c r="AA642" s="7"/>
      <c r="AB642" s="7"/>
      <c r="AC642" s="7"/>
      <c r="AD642" s="7"/>
      <c r="AE642" s="7"/>
      <c r="AF642" s="7"/>
      <c r="AG642" s="7"/>
      <c r="AH642" s="7"/>
    </row>
    <row r="643" spans="1:34" ht="15.75" customHeight="1">
      <c r="A643" s="686"/>
      <c r="B643" s="687"/>
      <c r="C643" s="243"/>
      <c r="D643" s="244"/>
      <c r="E643" s="688"/>
      <c r="F643" s="244"/>
      <c r="G643" s="688"/>
      <c r="H643" s="688"/>
      <c r="I643" s="167"/>
      <c r="J643" s="167"/>
      <c r="K643" s="688"/>
      <c r="L643" s="7"/>
      <c r="M643" s="7"/>
      <c r="N643" s="7"/>
      <c r="O643" s="7"/>
      <c r="P643" s="239"/>
      <c r="Q643" s="7"/>
      <c r="R643" s="7"/>
      <c r="S643" s="7"/>
      <c r="T643" s="7"/>
      <c r="U643" s="7"/>
      <c r="V643" s="7"/>
      <c r="W643" s="7"/>
      <c r="X643" s="7"/>
      <c r="Y643" s="7"/>
      <c r="Z643" s="708"/>
      <c r="AA643" s="7"/>
      <c r="AB643" s="7"/>
      <c r="AC643" s="7"/>
      <c r="AD643" s="7"/>
      <c r="AE643" s="7"/>
      <c r="AF643" s="7"/>
      <c r="AG643" s="7"/>
      <c r="AH643" s="7"/>
    </row>
    <row r="644" spans="1:34" ht="15.75" customHeight="1">
      <c r="A644" s="686"/>
      <c r="B644" s="687"/>
      <c r="C644" s="243"/>
      <c r="D644" s="244"/>
      <c r="E644" s="688"/>
      <c r="F644" s="244"/>
      <c r="G644" s="688"/>
      <c r="H644" s="688"/>
      <c r="I644" s="167"/>
      <c r="J644" s="167"/>
      <c r="K644" s="688"/>
      <c r="L644" s="7"/>
      <c r="M644" s="7"/>
      <c r="N644" s="7"/>
      <c r="O644" s="7"/>
      <c r="P644" s="239"/>
      <c r="Q644" s="7"/>
      <c r="R644" s="7"/>
      <c r="S644" s="7"/>
      <c r="T644" s="7"/>
      <c r="U644" s="7"/>
      <c r="V644" s="7"/>
      <c r="W644" s="7"/>
      <c r="X644" s="7"/>
      <c r="Y644" s="7"/>
      <c r="Z644" s="708"/>
      <c r="AA644" s="7"/>
      <c r="AB644" s="7"/>
      <c r="AC644" s="7"/>
      <c r="AD644" s="7"/>
      <c r="AE644" s="7"/>
      <c r="AF644" s="7"/>
      <c r="AG644" s="7"/>
      <c r="AH644" s="7"/>
    </row>
    <row r="645" spans="1:34" ht="15.75" customHeight="1">
      <c r="A645" s="686"/>
      <c r="B645" s="687"/>
      <c r="C645" s="243"/>
      <c r="D645" s="244"/>
      <c r="E645" s="688"/>
      <c r="F645" s="244"/>
      <c r="G645" s="688"/>
      <c r="H645" s="688"/>
      <c r="I645" s="167"/>
      <c r="J645" s="167"/>
      <c r="K645" s="688"/>
      <c r="L645" s="7"/>
      <c r="M645" s="7"/>
      <c r="N645" s="7"/>
      <c r="O645" s="7"/>
      <c r="P645" s="239"/>
      <c r="Q645" s="7"/>
      <c r="R645" s="7"/>
      <c r="S645" s="7"/>
      <c r="T645" s="7"/>
      <c r="U645" s="7"/>
      <c r="V645" s="7"/>
      <c r="W645" s="7"/>
      <c r="X645" s="7"/>
      <c r="Y645" s="7"/>
      <c r="Z645" s="708"/>
      <c r="AA645" s="7"/>
      <c r="AB645" s="7"/>
      <c r="AC645" s="7"/>
      <c r="AD645" s="7"/>
      <c r="AE645" s="7"/>
      <c r="AF645" s="7"/>
      <c r="AG645" s="7"/>
      <c r="AH645" s="7"/>
    </row>
    <row r="646" spans="1:34" ht="15.75" customHeight="1">
      <c r="A646" s="686"/>
      <c r="B646" s="687"/>
      <c r="C646" s="243"/>
      <c r="D646" s="244"/>
      <c r="E646" s="688"/>
      <c r="F646" s="244"/>
      <c r="G646" s="688"/>
      <c r="H646" s="688"/>
      <c r="I646" s="167"/>
      <c r="J646" s="167"/>
      <c r="K646" s="688"/>
      <c r="L646" s="7"/>
      <c r="M646" s="7"/>
      <c r="N646" s="7"/>
      <c r="O646" s="7"/>
      <c r="P646" s="239"/>
      <c r="Q646" s="7"/>
      <c r="R646" s="7"/>
      <c r="S646" s="7"/>
      <c r="T646" s="7"/>
      <c r="U646" s="7"/>
      <c r="V646" s="7"/>
      <c r="W646" s="7"/>
      <c r="X646" s="7"/>
      <c r="Y646" s="7"/>
      <c r="Z646" s="708"/>
      <c r="AA646" s="7"/>
      <c r="AB646" s="7"/>
      <c r="AC646" s="7"/>
      <c r="AD646" s="7"/>
      <c r="AE646" s="7"/>
      <c r="AF646" s="7"/>
      <c r="AG646" s="7"/>
      <c r="AH646" s="7"/>
    </row>
    <row r="647" spans="1:34" ht="15.75" customHeight="1">
      <c r="A647" s="686"/>
      <c r="B647" s="687"/>
      <c r="C647" s="243"/>
      <c r="D647" s="244"/>
      <c r="E647" s="688"/>
      <c r="F647" s="244"/>
      <c r="G647" s="688"/>
      <c r="H647" s="688"/>
      <c r="I647" s="167"/>
      <c r="J647" s="167"/>
      <c r="K647" s="688"/>
      <c r="L647" s="7"/>
      <c r="M647" s="7"/>
      <c r="N647" s="7"/>
      <c r="O647" s="7"/>
      <c r="P647" s="239"/>
      <c r="Q647" s="7"/>
      <c r="R647" s="7"/>
      <c r="S647" s="7"/>
      <c r="T647" s="7"/>
      <c r="U647" s="7"/>
      <c r="V647" s="7"/>
      <c r="W647" s="7"/>
      <c r="X647" s="7"/>
      <c r="Y647" s="7"/>
      <c r="Z647" s="708"/>
      <c r="AA647" s="7"/>
      <c r="AB647" s="7"/>
      <c r="AC647" s="7"/>
      <c r="AD647" s="7"/>
      <c r="AE647" s="7"/>
      <c r="AF647" s="7"/>
      <c r="AG647" s="7"/>
      <c r="AH647" s="7"/>
    </row>
    <row r="648" spans="1:34" ht="15.75" customHeight="1">
      <c r="A648" s="686"/>
      <c r="B648" s="687"/>
      <c r="C648" s="243"/>
      <c r="D648" s="244"/>
      <c r="E648" s="688"/>
      <c r="F648" s="244"/>
      <c r="G648" s="688"/>
      <c r="H648" s="688"/>
      <c r="I648" s="167"/>
      <c r="J648" s="7"/>
      <c r="K648" s="688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08"/>
      <c r="AA648" s="7"/>
      <c r="AB648" s="7"/>
      <c r="AC648" s="7"/>
      <c r="AD648" s="7"/>
      <c r="AE648" s="7"/>
      <c r="AF648" s="7"/>
      <c r="AG648" s="7"/>
      <c r="AH648" s="7"/>
    </row>
    <row r="649" spans="1:34" ht="15.75" customHeight="1">
      <c r="A649" s="686"/>
      <c r="B649" s="687"/>
      <c r="C649" s="243"/>
      <c r="D649" s="244"/>
      <c r="E649" s="688"/>
      <c r="F649" s="244"/>
      <c r="G649" s="688"/>
      <c r="H649" s="688"/>
      <c r="I649" s="167"/>
      <c r="J649" s="7"/>
      <c r="K649" s="688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08"/>
      <c r="AA649" s="7"/>
      <c r="AB649" s="7"/>
      <c r="AC649" s="7"/>
      <c r="AD649" s="7"/>
      <c r="AE649" s="7"/>
      <c r="AF649" s="7"/>
      <c r="AG649" s="7"/>
      <c r="AH649" s="7"/>
    </row>
    <row r="650" spans="1:34" ht="15.75" customHeight="1">
      <c r="A650" s="686"/>
      <c r="B650" s="687"/>
      <c r="C650" s="243"/>
      <c r="D650" s="244"/>
      <c r="E650" s="688"/>
      <c r="F650" s="244"/>
      <c r="G650" s="688"/>
      <c r="H650" s="688"/>
      <c r="I650" s="167"/>
      <c r="J650" s="7"/>
      <c r="K650" s="688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08"/>
      <c r="AA650" s="7"/>
      <c r="AB650" s="7"/>
      <c r="AC650" s="7"/>
      <c r="AD650" s="7"/>
      <c r="AE650" s="7"/>
      <c r="AF650" s="7"/>
      <c r="AG650" s="7"/>
      <c r="AH650" s="7"/>
    </row>
    <row r="651" spans="1:34" ht="15.75" customHeight="1">
      <c r="A651" s="686"/>
      <c r="B651" s="687"/>
      <c r="C651" s="243"/>
      <c r="D651" s="244"/>
      <c r="E651" s="688"/>
      <c r="F651" s="244"/>
      <c r="G651" s="688"/>
      <c r="H651" s="688"/>
      <c r="I651" s="167"/>
      <c r="J651" s="7"/>
      <c r="K651" s="688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08"/>
      <c r="AA651" s="7"/>
      <c r="AB651" s="7"/>
      <c r="AC651" s="7"/>
      <c r="AD651" s="7"/>
      <c r="AE651" s="7"/>
      <c r="AF651" s="7"/>
      <c r="AG651" s="7"/>
      <c r="AH651" s="7"/>
    </row>
    <row r="652" spans="1:34" ht="15.75" customHeight="1">
      <c r="A652" s="686"/>
      <c r="B652" s="687"/>
      <c r="C652" s="243"/>
      <c r="D652" s="244"/>
      <c r="E652" s="688"/>
      <c r="F652" s="244"/>
      <c r="G652" s="688"/>
      <c r="H652" s="688"/>
      <c r="I652" s="167"/>
      <c r="J652" s="7"/>
      <c r="K652" s="688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08"/>
      <c r="AA652" s="7"/>
      <c r="AB652" s="7"/>
      <c r="AC652" s="7"/>
      <c r="AD652" s="7"/>
      <c r="AE652" s="7"/>
      <c r="AF652" s="7"/>
      <c r="AG652" s="7"/>
      <c r="AH652" s="7"/>
    </row>
    <row r="653" spans="1:34" ht="15.75" customHeight="1">
      <c r="A653" s="686"/>
      <c r="B653" s="687"/>
      <c r="C653" s="243"/>
      <c r="D653" s="244"/>
      <c r="E653" s="688"/>
      <c r="F653" s="244"/>
      <c r="G653" s="688"/>
      <c r="H653" s="688"/>
      <c r="I653" s="167"/>
      <c r="J653" s="7"/>
      <c r="K653" s="688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08"/>
      <c r="AA653" s="7"/>
      <c r="AB653" s="7"/>
      <c r="AC653" s="7"/>
      <c r="AD653" s="7"/>
      <c r="AE653" s="7"/>
      <c r="AF653" s="7"/>
      <c r="AG653" s="7"/>
      <c r="AH653" s="7"/>
    </row>
    <row r="654" spans="1:34" ht="15.75" customHeight="1">
      <c r="A654" s="686"/>
      <c r="B654" s="687"/>
      <c r="C654" s="243"/>
      <c r="D654" s="244"/>
      <c r="E654" s="688"/>
      <c r="F654" s="244"/>
      <c r="G654" s="688"/>
      <c r="H654" s="688"/>
      <c r="I654" s="167"/>
      <c r="J654" s="7"/>
      <c r="K654" s="688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08"/>
      <c r="AA654" s="7"/>
      <c r="AB654" s="7"/>
      <c r="AC654" s="7"/>
      <c r="AD654" s="7"/>
      <c r="AE654" s="7"/>
      <c r="AF654" s="7"/>
      <c r="AG654" s="7"/>
      <c r="AH654" s="7"/>
    </row>
    <row r="655" spans="1:34" ht="15.75" customHeight="1">
      <c r="A655" s="686"/>
      <c r="B655" s="687"/>
      <c r="C655" s="243"/>
      <c r="D655" s="244"/>
      <c r="E655" s="688"/>
      <c r="F655" s="244"/>
      <c r="G655" s="688"/>
      <c r="H655" s="688"/>
      <c r="I655" s="167"/>
      <c r="J655" s="7"/>
      <c r="K655" s="688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08"/>
      <c r="AA655" s="7"/>
      <c r="AB655" s="7"/>
      <c r="AC655" s="7"/>
      <c r="AD655" s="7"/>
      <c r="AE655" s="7"/>
      <c r="AF655" s="7"/>
      <c r="AG655" s="7"/>
      <c r="AH655" s="7"/>
    </row>
    <row r="656" spans="1:34" ht="15.75" customHeight="1">
      <c r="A656" s="686"/>
      <c r="B656" s="687"/>
      <c r="C656" s="243"/>
      <c r="D656" s="244"/>
      <c r="E656" s="688"/>
      <c r="F656" s="244"/>
      <c r="G656" s="688"/>
      <c r="H656" s="688"/>
      <c r="I656" s="167"/>
      <c r="J656" s="7"/>
      <c r="K656" s="688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08"/>
      <c r="AA656" s="7"/>
      <c r="AB656" s="7"/>
      <c r="AC656" s="7"/>
      <c r="AD656" s="7"/>
      <c r="AE656" s="7"/>
      <c r="AF656" s="7"/>
      <c r="AG656" s="7"/>
      <c r="AH656" s="7"/>
    </row>
    <row r="657" spans="1:34" ht="15.75" customHeight="1">
      <c r="A657" s="686"/>
      <c r="B657" s="687"/>
      <c r="C657" s="243"/>
      <c r="D657" s="244"/>
      <c r="E657" s="688"/>
      <c r="F657" s="244"/>
      <c r="G657" s="688"/>
      <c r="H657" s="688"/>
      <c r="I657" s="167"/>
      <c r="J657" s="7"/>
      <c r="K657" s="688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08"/>
      <c r="AA657" s="7"/>
      <c r="AB657" s="7"/>
      <c r="AC657" s="7"/>
      <c r="AD657" s="7"/>
      <c r="AE657" s="7"/>
      <c r="AF657" s="7"/>
      <c r="AG657" s="7"/>
      <c r="AH657" s="7"/>
    </row>
    <row r="658" spans="1:34" ht="14.25" customHeight="1">
      <c r="A658" s="7"/>
      <c r="B658" s="7"/>
      <c r="C658" s="7"/>
      <c r="D658" s="7"/>
      <c r="E658" s="7"/>
      <c r="F658" s="7"/>
      <c r="G658" s="7"/>
      <c r="H658" s="7"/>
      <c r="I658" s="16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08"/>
      <c r="AA658" s="7"/>
      <c r="AB658" s="7"/>
      <c r="AC658" s="7"/>
      <c r="AD658" s="7"/>
      <c r="AE658" s="7"/>
      <c r="AF658" s="7"/>
      <c r="AG658" s="7"/>
      <c r="AH658" s="7"/>
    </row>
    <row r="659" spans="1:34" ht="14.25" customHeight="1">
      <c r="A659" s="7"/>
      <c r="B659" s="7"/>
      <c r="C659" s="7"/>
      <c r="D659" s="7"/>
      <c r="E659" s="7"/>
      <c r="F659" s="7"/>
      <c r="G659" s="7"/>
      <c r="H659" s="7"/>
      <c r="I659" s="16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08"/>
      <c r="AA659" s="7"/>
      <c r="AB659" s="7"/>
      <c r="AC659" s="7"/>
      <c r="AD659" s="7"/>
      <c r="AE659" s="7"/>
      <c r="AF659" s="7"/>
      <c r="AG659" s="7"/>
      <c r="AH659" s="7"/>
    </row>
    <row r="660" spans="1:34" ht="14.25" customHeight="1">
      <c r="A660" s="7"/>
      <c r="B660" s="7"/>
      <c r="C660" s="7"/>
      <c r="D660" s="7"/>
      <c r="E660" s="7"/>
      <c r="F660" s="7"/>
      <c r="G660" s="7"/>
      <c r="H660" s="7"/>
      <c r="I660" s="16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08"/>
      <c r="AA660" s="7"/>
      <c r="AB660" s="7"/>
      <c r="AC660" s="7"/>
      <c r="AD660" s="7"/>
      <c r="AE660" s="7"/>
      <c r="AF660" s="7"/>
      <c r="AG660" s="7"/>
      <c r="AH660" s="7"/>
    </row>
    <row r="661" spans="1:34" ht="14.25" customHeight="1">
      <c r="A661" s="7"/>
      <c r="B661" s="7"/>
      <c r="C661" s="7"/>
      <c r="D661" s="7"/>
      <c r="E661" s="7"/>
      <c r="F661" s="7"/>
      <c r="G661" s="7"/>
      <c r="H661" s="7"/>
      <c r="I661" s="16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08"/>
      <c r="AA661" s="7"/>
      <c r="AB661" s="7"/>
      <c r="AC661" s="7"/>
      <c r="AD661" s="7"/>
      <c r="AE661" s="7"/>
      <c r="AF661" s="7"/>
      <c r="AG661" s="7"/>
      <c r="AH661" s="7"/>
    </row>
    <row r="662" spans="1:34" ht="14.25" customHeight="1">
      <c r="A662" s="7"/>
      <c r="B662" s="7"/>
      <c r="C662" s="7"/>
      <c r="D662" s="7"/>
      <c r="E662" s="7"/>
      <c r="F662" s="7"/>
      <c r="G662" s="7"/>
      <c r="H662" s="7"/>
      <c r="I662" s="16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08"/>
      <c r="AA662" s="7"/>
      <c r="AB662" s="7"/>
      <c r="AC662" s="7"/>
      <c r="AD662" s="7"/>
      <c r="AE662" s="7"/>
      <c r="AF662" s="7"/>
      <c r="AG662" s="7"/>
      <c r="AH662" s="7"/>
    </row>
    <row r="663" spans="1:34" ht="14.25" customHeight="1">
      <c r="A663" s="7"/>
      <c r="B663" s="7"/>
      <c r="C663" s="7"/>
      <c r="D663" s="7"/>
      <c r="E663" s="7"/>
      <c r="F663" s="7"/>
      <c r="G663" s="7"/>
      <c r="H663" s="7"/>
      <c r="I663" s="16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08"/>
      <c r="AA663" s="7"/>
      <c r="AB663" s="7"/>
      <c r="AC663" s="7"/>
      <c r="AD663" s="7"/>
      <c r="AE663" s="7"/>
      <c r="AF663" s="7"/>
      <c r="AG663" s="7"/>
      <c r="AH663" s="7"/>
    </row>
    <row r="664" spans="1:34" ht="14.25" customHeight="1">
      <c r="A664" s="7"/>
      <c r="B664" s="7"/>
      <c r="C664" s="7"/>
      <c r="D664" s="7"/>
      <c r="E664" s="7"/>
      <c r="F664" s="7"/>
      <c r="G664" s="7"/>
      <c r="H664" s="7"/>
      <c r="I664" s="16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08"/>
      <c r="AA664" s="7"/>
      <c r="AB664" s="7"/>
      <c r="AC664" s="7"/>
      <c r="AD664" s="7"/>
      <c r="AE664" s="7"/>
      <c r="AF664" s="7"/>
      <c r="AG664" s="7"/>
      <c r="AH664" s="7"/>
    </row>
    <row r="665" spans="1:34" ht="14.25" customHeight="1">
      <c r="A665" s="7"/>
      <c r="B665" s="7"/>
      <c r="C665" s="7"/>
      <c r="D665" s="7"/>
      <c r="E665" s="7"/>
      <c r="F665" s="7"/>
      <c r="G665" s="7"/>
      <c r="H665" s="7"/>
      <c r="I665" s="16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08"/>
      <c r="AA665" s="7"/>
      <c r="AB665" s="7"/>
      <c r="AC665" s="7"/>
      <c r="AD665" s="7"/>
      <c r="AE665" s="7"/>
      <c r="AF665" s="7"/>
      <c r="AG665" s="7"/>
      <c r="AH665" s="7"/>
    </row>
    <row r="666" spans="1:34" ht="14.25" customHeight="1">
      <c r="A666" s="7"/>
      <c r="B666" s="7"/>
      <c r="C666" s="7"/>
      <c r="D666" s="7"/>
      <c r="E666" s="7"/>
      <c r="F666" s="7"/>
      <c r="G666" s="7"/>
      <c r="H666" s="7"/>
      <c r="I666" s="16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08"/>
      <c r="AA666" s="7"/>
      <c r="AB666" s="7"/>
      <c r="AC666" s="7"/>
      <c r="AD666" s="7"/>
      <c r="AE666" s="7"/>
      <c r="AF666" s="7"/>
      <c r="AG666" s="7"/>
      <c r="AH666" s="7"/>
    </row>
    <row r="667" spans="1:34" ht="14.25" customHeight="1">
      <c r="A667" s="7"/>
      <c r="B667" s="7"/>
      <c r="C667" s="7"/>
      <c r="D667" s="7"/>
      <c r="E667" s="7"/>
      <c r="F667" s="7"/>
      <c r="G667" s="7"/>
      <c r="H667" s="7"/>
      <c r="I667" s="16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08"/>
      <c r="AA667" s="7"/>
      <c r="AB667" s="7"/>
      <c r="AC667" s="7"/>
      <c r="AD667" s="7"/>
      <c r="AE667" s="7"/>
      <c r="AF667" s="7"/>
      <c r="AG667" s="7"/>
      <c r="AH667" s="7"/>
    </row>
    <row r="668" spans="1:34" ht="14.25" customHeight="1">
      <c r="A668" s="7"/>
      <c r="B668" s="7"/>
      <c r="C668" s="7"/>
      <c r="D668" s="7"/>
      <c r="E668" s="7"/>
      <c r="F668" s="7"/>
      <c r="G668" s="7"/>
      <c r="H668" s="7"/>
      <c r="I668" s="16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08"/>
      <c r="AA668" s="7"/>
      <c r="AB668" s="7"/>
      <c r="AC668" s="7"/>
      <c r="AD668" s="7"/>
      <c r="AE668" s="7"/>
      <c r="AF668" s="7"/>
      <c r="AG668" s="7"/>
      <c r="AH668" s="7"/>
    </row>
    <row r="669" spans="1:34" ht="14.25" customHeight="1">
      <c r="A669" s="7"/>
      <c r="B669" s="7"/>
      <c r="C669" s="7"/>
      <c r="D669" s="7"/>
      <c r="E669" s="7"/>
      <c r="F669" s="7"/>
      <c r="G669" s="7"/>
      <c r="H669" s="7"/>
      <c r="I669" s="16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08"/>
      <c r="AA669" s="7"/>
      <c r="AB669" s="7"/>
      <c r="AC669" s="7"/>
      <c r="AD669" s="7"/>
      <c r="AE669" s="7"/>
      <c r="AF669" s="7"/>
      <c r="AG669" s="7"/>
      <c r="AH669" s="7"/>
    </row>
    <row r="670" spans="1:34" ht="14.25" customHeight="1">
      <c r="A670" s="7"/>
      <c r="B670" s="7"/>
      <c r="C670" s="7"/>
      <c r="D670" s="7"/>
      <c r="E670" s="7"/>
      <c r="F670" s="7"/>
      <c r="G670" s="7"/>
      <c r="H670" s="7"/>
      <c r="I670" s="16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08"/>
      <c r="AA670" s="7"/>
      <c r="AB670" s="7"/>
      <c r="AC670" s="7"/>
      <c r="AD670" s="7"/>
      <c r="AE670" s="7"/>
      <c r="AF670" s="7"/>
      <c r="AG670" s="7"/>
      <c r="AH670" s="7"/>
    </row>
    <row r="671" spans="1:34" ht="14.25" customHeight="1">
      <c r="A671" s="7"/>
      <c r="B671" s="7"/>
      <c r="C671" s="7"/>
      <c r="D671" s="7"/>
      <c r="E671" s="7"/>
      <c r="F671" s="7"/>
      <c r="G671" s="7"/>
      <c r="H671" s="7"/>
      <c r="I671" s="16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08"/>
      <c r="AA671" s="7"/>
      <c r="AB671" s="7"/>
      <c r="AC671" s="7"/>
      <c r="AD671" s="7"/>
      <c r="AE671" s="7"/>
      <c r="AF671" s="7"/>
      <c r="AG671" s="7"/>
      <c r="AH671" s="7"/>
    </row>
    <row r="672" spans="1:34" ht="14.25" customHeight="1">
      <c r="A672" s="7"/>
      <c r="B672" s="7"/>
      <c r="C672" s="7"/>
      <c r="D672" s="7"/>
      <c r="E672" s="7"/>
      <c r="F672" s="7"/>
      <c r="G672" s="7"/>
      <c r="H672" s="7"/>
      <c r="I672" s="16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08"/>
      <c r="AA672" s="7"/>
      <c r="AB672" s="7"/>
      <c r="AC672" s="7"/>
      <c r="AD672" s="7"/>
      <c r="AE672" s="7"/>
      <c r="AF672" s="7"/>
      <c r="AG672" s="7"/>
      <c r="AH672" s="7"/>
    </row>
    <row r="673" spans="1:34" ht="14.25" customHeight="1">
      <c r="A673" s="7"/>
      <c r="B673" s="7"/>
      <c r="C673" s="7"/>
      <c r="D673" s="7"/>
      <c r="E673" s="7"/>
      <c r="F673" s="7"/>
      <c r="G673" s="7"/>
      <c r="H673" s="7"/>
      <c r="I673" s="16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08"/>
      <c r="AA673" s="7"/>
      <c r="AB673" s="7"/>
      <c r="AC673" s="7"/>
      <c r="AD673" s="7"/>
      <c r="AE673" s="7"/>
      <c r="AF673" s="7"/>
      <c r="AG673" s="7"/>
      <c r="AH673" s="7"/>
    </row>
    <row r="674" spans="1:34" ht="14.25" customHeight="1">
      <c r="A674" s="7"/>
      <c r="B674" s="7"/>
      <c r="C674" s="7"/>
      <c r="D674" s="7"/>
      <c r="E674" s="7"/>
      <c r="F674" s="7"/>
      <c r="G674" s="7"/>
      <c r="H674" s="7"/>
      <c r="I674" s="16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08"/>
      <c r="AA674" s="7"/>
      <c r="AB674" s="7"/>
      <c r="AC674" s="7"/>
      <c r="AD674" s="7"/>
      <c r="AE674" s="7"/>
      <c r="AF674" s="7"/>
      <c r="AG674" s="7"/>
      <c r="AH674" s="7"/>
    </row>
    <row r="675" spans="1:34" ht="14.25" customHeight="1">
      <c r="A675" s="7"/>
      <c r="B675" s="7"/>
      <c r="C675" s="7"/>
      <c r="D675" s="7"/>
      <c r="E675" s="7"/>
      <c r="F675" s="7"/>
      <c r="G675" s="7"/>
      <c r="H675" s="7"/>
      <c r="I675" s="16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08"/>
      <c r="AA675" s="7"/>
      <c r="AB675" s="7"/>
      <c r="AC675" s="7"/>
      <c r="AD675" s="7"/>
      <c r="AE675" s="7"/>
      <c r="AF675" s="7"/>
      <c r="AG675" s="7"/>
      <c r="AH675" s="7"/>
    </row>
    <row r="676" spans="1:34" ht="14.25" customHeight="1">
      <c r="A676" s="7"/>
      <c r="B676" s="7"/>
      <c r="C676" s="7"/>
      <c r="D676" s="7"/>
      <c r="E676" s="7"/>
      <c r="F676" s="7"/>
      <c r="G676" s="7"/>
      <c r="H676" s="7"/>
      <c r="I676" s="16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08"/>
      <c r="AA676" s="7"/>
      <c r="AB676" s="7"/>
      <c r="AC676" s="7"/>
      <c r="AD676" s="7"/>
      <c r="AE676" s="7"/>
      <c r="AF676" s="7"/>
      <c r="AG676" s="7"/>
      <c r="AH676" s="7"/>
    </row>
    <row r="677" spans="1:34" ht="14.25" customHeight="1">
      <c r="A677" s="7"/>
      <c r="B677" s="7"/>
      <c r="C677" s="7"/>
      <c r="D677" s="7"/>
      <c r="E677" s="7"/>
      <c r="F677" s="7"/>
      <c r="G677" s="7"/>
      <c r="H677" s="7"/>
      <c r="I677" s="16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08"/>
      <c r="AA677" s="7"/>
      <c r="AB677" s="7"/>
      <c r="AC677" s="7"/>
      <c r="AD677" s="7"/>
      <c r="AE677" s="7"/>
      <c r="AF677" s="7"/>
      <c r="AG677" s="7"/>
      <c r="AH677" s="7"/>
    </row>
    <row r="678" spans="1:34" ht="14.25" customHeight="1">
      <c r="A678" s="7"/>
      <c r="B678" s="7"/>
      <c r="C678" s="7"/>
      <c r="D678" s="7"/>
      <c r="E678" s="7"/>
      <c r="F678" s="7"/>
      <c r="G678" s="7"/>
      <c r="H678" s="7"/>
      <c r="I678" s="16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08"/>
      <c r="AA678" s="7"/>
      <c r="AB678" s="7"/>
      <c r="AC678" s="7"/>
      <c r="AD678" s="7"/>
      <c r="AE678" s="7"/>
      <c r="AF678" s="7"/>
      <c r="AG678" s="7"/>
      <c r="AH678" s="7"/>
    </row>
    <row r="679" spans="1:34" ht="14.25" customHeight="1">
      <c r="A679" s="7"/>
      <c r="B679" s="7"/>
      <c r="C679" s="7"/>
      <c r="D679" s="7"/>
      <c r="E679" s="7"/>
      <c r="F679" s="7"/>
      <c r="G679" s="7"/>
      <c r="H679" s="7"/>
      <c r="I679" s="16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08"/>
      <c r="AA679" s="7"/>
      <c r="AB679" s="7"/>
      <c r="AC679" s="7"/>
      <c r="AD679" s="7"/>
      <c r="AE679" s="7"/>
      <c r="AF679" s="7"/>
      <c r="AG679" s="7"/>
      <c r="AH679" s="7"/>
    </row>
    <row r="680" spans="1:34" ht="14.25" customHeight="1">
      <c r="A680" s="7"/>
      <c r="B680" s="7"/>
      <c r="C680" s="7"/>
      <c r="D680" s="7"/>
      <c r="E680" s="7"/>
      <c r="F680" s="7"/>
      <c r="G680" s="7"/>
      <c r="H680" s="7"/>
      <c r="I680" s="16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08"/>
      <c r="AA680" s="7"/>
      <c r="AB680" s="7"/>
      <c r="AC680" s="7"/>
      <c r="AD680" s="7"/>
      <c r="AE680" s="7"/>
      <c r="AF680" s="7"/>
      <c r="AG680" s="7"/>
      <c r="AH680" s="7"/>
    </row>
    <row r="681" spans="1:34" ht="14.25" customHeight="1">
      <c r="A681" s="7"/>
      <c r="B681" s="7"/>
      <c r="C681" s="7"/>
      <c r="D681" s="7"/>
      <c r="E681" s="7"/>
      <c r="F681" s="7"/>
      <c r="G681" s="7"/>
      <c r="H681" s="7"/>
      <c r="I681" s="16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08"/>
      <c r="AA681" s="7"/>
      <c r="AB681" s="7"/>
      <c r="AC681" s="7"/>
      <c r="AD681" s="7"/>
      <c r="AE681" s="7"/>
      <c r="AF681" s="7"/>
      <c r="AG681" s="7"/>
      <c r="AH681" s="7"/>
    </row>
    <row r="682" spans="1:34" ht="14.25" customHeight="1">
      <c r="A682" s="7"/>
      <c r="B682" s="7"/>
      <c r="C682" s="7"/>
      <c r="D682" s="7"/>
      <c r="E682" s="7"/>
      <c r="F682" s="7"/>
      <c r="G682" s="7"/>
      <c r="H682" s="7"/>
      <c r="I682" s="16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08"/>
      <c r="AA682" s="7"/>
      <c r="AB682" s="7"/>
      <c r="AC682" s="7"/>
      <c r="AD682" s="7"/>
      <c r="AE682" s="7"/>
      <c r="AF682" s="7"/>
      <c r="AG682" s="7"/>
      <c r="AH682" s="7"/>
    </row>
    <row r="683" spans="1:34" ht="14.25" customHeight="1">
      <c r="A683" s="7"/>
      <c r="B683" s="7"/>
      <c r="C683" s="7"/>
      <c r="D683" s="7"/>
      <c r="E683" s="7"/>
      <c r="F683" s="7"/>
      <c r="G683" s="7"/>
      <c r="H683" s="7"/>
      <c r="I683" s="16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08"/>
      <c r="AA683" s="7"/>
      <c r="AB683" s="7"/>
      <c r="AC683" s="7"/>
      <c r="AD683" s="7"/>
      <c r="AE683" s="7"/>
      <c r="AF683" s="7"/>
      <c r="AG683" s="7"/>
      <c r="AH683" s="7"/>
    </row>
    <row r="684" spans="1:34" ht="14.25" customHeight="1">
      <c r="A684" s="7"/>
      <c r="B684" s="7"/>
      <c r="C684" s="7"/>
      <c r="D684" s="7"/>
      <c r="E684" s="7"/>
      <c r="F684" s="7"/>
      <c r="G684" s="7"/>
      <c r="H684" s="7"/>
      <c r="I684" s="16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08"/>
      <c r="AA684" s="7"/>
      <c r="AB684" s="7"/>
      <c r="AC684" s="7"/>
      <c r="AD684" s="7"/>
      <c r="AE684" s="7"/>
      <c r="AF684" s="7"/>
      <c r="AG684" s="7"/>
      <c r="AH684" s="7"/>
    </row>
    <row r="685" spans="1:34" ht="14.25" customHeight="1">
      <c r="A685" s="7"/>
      <c r="B685" s="7"/>
      <c r="C685" s="7"/>
      <c r="D685" s="7"/>
      <c r="E685" s="7"/>
      <c r="F685" s="7"/>
      <c r="G685" s="7"/>
      <c r="H685" s="7"/>
      <c r="I685" s="16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08"/>
      <c r="AA685" s="7"/>
      <c r="AB685" s="7"/>
      <c r="AC685" s="7"/>
      <c r="AD685" s="7"/>
      <c r="AE685" s="7"/>
      <c r="AF685" s="7"/>
      <c r="AG685" s="7"/>
      <c r="AH685" s="7"/>
    </row>
    <row r="686" spans="1:34" ht="14.25" customHeight="1">
      <c r="A686" s="7"/>
      <c r="B686" s="7"/>
      <c r="C686" s="7"/>
      <c r="D686" s="7"/>
      <c r="E686" s="7"/>
      <c r="F686" s="7"/>
      <c r="G686" s="7"/>
      <c r="H686" s="7"/>
      <c r="I686" s="16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08"/>
      <c r="AA686" s="7"/>
      <c r="AB686" s="7"/>
      <c r="AC686" s="7"/>
      <c r="AD686" s="7"/>
      <c r="AE686" s="7"/>
      <c r="AF686" s="7"/>
      <c r="AG686" s="7"/>
      <c r="AH686" s="7"/>
    </row>
    <row r="687" spans="1:34" ht="14.25" customHeight="1">
      <c r="A687" s="7"/>
      <c r="B687" s="7"/>
      <c r="C687" s="7"/>
      <c r="D687" s="7"/>
      <c r="E687" s="7"/>
      <c r="F687" s="7"/>
      <c r="G687" s="7"/>
      <c r="H687" s="7"/>
      <c r="I687" s="16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08"/>
      <c r="AA687" s="7"/>
      <c r="AB687" s="7"/>
      <c r="AC687" s="7"/>
      <c r="AD687" s="7"/>
      <c r="AE687" s="7"/>
      <c r="AF687" s="7"/>
      <c r="AG687" s="7"/>
      <c r="AH687" s="7"/>
    </row>
    <row r="688" spans="1:34" ht="14.25" customHeight="1">
      <c r="A688" s="7"/>
      <c r="B688" s="7"/>
      <c r="C688" s="7"/>
      <c r="D688" s="7"/>
      <c r="E688" s="7"/>
      <c r="F688" s="7"/>
      <c r="G688" s="7"/>
      <c r="H688" s="7"/>
      <c r="I688" s="16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08"/>
      <c r="AA688" s="7"/>
      <c r="AB688" s="7"/>
      <c r="AC688" s="7"/>
      <c r="AD688" s="7"/>
      <c r="AE688" s="7"/>
      <c r="AF688" s="7"/>
      <c r="AG688" s="7"/>
      <c r="AH688" s="7"/>
    </row>
    <row r="689" spans="1:34" ht="14.25" customHeight="1">
      <c r="A689" s="7"/>
      <c r="B689" s="7"/>
      <c r="C689" s="7"/>
      <c r="D689" s="7"/>
      <c r="E689" s="7"/>
      <c r="F689" s="7"/>
      <c r="G689" s="7"/>
      <c r="H689" s="7"/>
      <c r="I689" s="16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08"/>
      <c r="AA689" s="7"/>
      <c r="AB689" s="7"/>
      <c r="AC689" s="7"/>
      <c r="AD689" s="7"/>
      <c r="AE689" s="7"/>
      <c r="AF689" s="7"/>
      <c r="AG689" s="7"/>
      <c r="AH689" s="7"/>
    </row>
    <row r="690" spans="1:34" ht="14.25" customHeight="1">
      <c r="A690" s="7"/>
      <c r="B690" s="7"/>
      <c r="C690" s="7"/>
      <c r="D690" s="7"/>
      <c r="E690" s="7"/>
      <c r="F690" s="7"/>
      <c r="G690" s="7"/>
      <c r="H690" s="7"/>
      <c r="I690" s="16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08"/>
      <c r="AA690" s="7"/>
      <c r="AB690" s="7"/>
      <c r="AC690" s="7"/>
      <c r="AD690" s="7"/>
      <c r="AE690" s="7"/>
      <c r="AF690" s="7"/>
      <c r="AG690" s="7"/>
      <c r="AH690" s="7"/>
    </row>
    <row r="691" spans="1:34" ht="14.25" customHeight="1">
      <c r="A691" s="7"/>
      <c r="B691" s="7"/>
      <c r="C691" s="7"/>
      <c r="D691" s="7"/>
      <c r="E691" s="7"/>
      <c r="F691" s="7"/>
      <c r="G691" s="7"/>
      <c r="H691" s="7"/>
      <c r="I691" s="16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08"/>
      <c r="AA691" s="7"/>
      <c r="AB691" s="7"/>
      <c r="AC691" s="7"/>
      <c r="AD691" s="7"/>
      <c r="AE691" s="7"/>
      <c r="AF691" s="7"/>
      <c r="AG691" s="7"/>
      <c r="AH691" s="7"/>
    </row>
    <row r="692" spans="1:34" ht="14.25" customHeight="1">
      <c r="A692" s="7"/>
      <c r="B692" s="7"/>
      <c r="C692" s="7"/>
      <c r="D692" s="7"/>
      <c r="E692" s="7"/>
      <c r="F692" s="7"/>
      <c r="G692" s="7"/>
      <c r="H692" s="7"/>
      <c r="I692" s="16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08"/>
      <c r="AA692" s="7"/>
      <c r="AB692" s="7"/>
      <c r="AC692" s="7"/>
      <c r="AD692" s="7"/>
      <c r="AE692" s="7"/>
      <c r="AF692" s="7"/>
      <c r="AG692" s="7"/>
      <c r="AH692" s="7"/>
    </row>
    <row r="693" spans="1:34" ht="14.25" customHeight="1">
      <c r="A693" s="7"/>
      <c r="B693" s="7"/>
      <c r="C693" s="7"/>
      <c r="D693" s="7"/>
      <c r="E693" s="7"/>
      <c r="F693" s="7"/>
      <c r="G693" s="7"/>
      <c r="H693" s="7"/>
      <c r="I693" s="16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08"/>
      <c r="AA693" s="7"/>
      <c r="AB693" s="7"/>
      <c r="AC693" s="7"/>
      <c r="AD693" s="7"/>
      <c r="AE693" s="7"/>
      <c r="AF693" s="7"/>
      <c r="AG693" s="7"/>
      <c r="AH693" s="7"/>
    </row>
    <row r="694" spans="1:34" ht="14.25" customHeight="1">
      <c r="A694" s="7"/>
      <c r="B694" s="7"/>
      <c r="C694" s="7"/>
      <c r="D694" s="7"/>
      <c r="E694" s="7"/>
      <c r="F694" s="7"/>
      <c r="G694" s="7"/>
      <c r="H694" s="7"/>
      <c r="I694" s="16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08"/>
      <c r="AA694" s="7"/>
      <c r="AB694" s="7"/>
      <c r="AC694" s="7"/>
      <c r="AD694" s="7"/>
      <c r="AE694" s="7"/>
      <c r="AF694" s="7"/>
      <c r="AG694" s="7"/>
      <c r="AH694" s="7"/>
    </row>
    <row r="695" spans="1:34" ht="14.25" customHeight="1">
      <c r="A695" s="7"/>
      <c r="B695" s="7"/>
      <c r="C695" s="7"/>
      <c r="D695" s="7"/>
      <c r="E695" s="7"/>
      <c r="F695" s="7"/>
      <c r="G695" s="7"/>
      <c r="H695" s="7"/>
      <c r="I695" s="16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08"/>
      <c r="AA695" s="7"/>
      <c r="AB695" s="7"/>
      <c r="AC695" s="7"/>
      <c r="AD695" s="7"/>
      <c r="AE695" s="7"/>
      <c r="AF695" s="7"/>
      <c r="AG695" s="7"/>
      <c r="AH695" s="7"/>
    </row>
    <row r="696" spans="1:34" ht="14.25" customHeight="1">
      <c r="A696" s="7"/>
      <c r="B696" s="7"/>
      <c r="C696" s="7"/>
      <c r="D696" s="7"/>
      <c r="E696" s="7"/>
      <c r="F696" s="7"/>
      <c r="G696" s="7"/>
      <c r="H696" s="7"/>
      <c r="I696" s="16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08"/>
      <c r="AA696" s="7"/>
      <c r="AB696" s="7"/>
      <c r="AC696" s="7"/>
      <c r="AD696" s="7"/>
      <c r="AE696" s="7"/>
      <c r="AF696" s="7"/>
      <c r="AG696" s="7"/>
      <c r="AH696" s="7"/>
    </row>
    <row r="697" spans="1:34" ht="14.25" customHeight="1">
      <c r="A697" s="7"/>
      <c r="B697" s="7"/>
      <c r="C697" s="7"/>
      <c r="D697" s="7"/>
      <c r="E697" s="7"/>
      <c r="F697" s="7"/>
      <c r="G697" s="7"/>
      <c r="H697" s="7"/>
      <c r="I697" s="16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08"/>
      <c r="AA697" s="7"/>
      <c r="AB697" s="7"/>
      <c r="AC697" s="7"/>
      <c r="AD697" s="7"/>
      <c r="AE697" s="7"/>
      <c r="AF697" s="7"/>
      <c r="AG697" s="7"/>
      <c r="AH697" s="7"/>
    </row>
    <row r="698" spans="1:34" ht="14.25" customHeight="1">
      <c r="A698" s="7"/>
      <c r="B698" s="7"/>
      <c r="C698" s="7"/>
      <c r="D698" s="7"/>
      <c r="E698" s="7"/>
      <c r="F698" s="7"/>
      <c r="G698" s="7"/>
      <c r="H698" s="7"/>
      <c r="I698" s="16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08"/>
      <c r="AA698" s="7"/>
      <c r="AB698" s="7"/>
      <c r="AC698" s="7"/>
      <c r="AD698" s="7"/>
      <c r="AE698" s="7"/>
      <c r="AF698" s="7"/>
      <c r="AG698" s="7"/>
      <c r="AH698" s="7"/>
    </row>
    <row r="699" spans="1:34" ht="14.25" customHeight="1">
      <c r="A699" s="7"/>
      <c r="B699" s="7"/>
      <c r="C699" s="7"/>
      <c r="D699" s="7"/>
      <c r="E699" s="7"/>
      <c r="F699" s="7"/>
      <c r="G699" s="7"/>
      <c r="H699" s="7"/>
      <c r="I699" s="16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08"/>
      <c r="AA699" s="7"/>
      <c r="AB699" s="7"/>
      <c r="AC699" s="7"/>
      <c r="AD699" s="7"/>
      <c r="AE699" s="7"/>
      <c r="AF699" s="7"/>
      <c r="AG699" s="7"/>
      <c r="AH699" s="7"/>
    </row>
    <row r="700" spans="1:34" ht="14.25" customHeight="1">
      <c r="A700" s="7"/>
      <c r="B700" s="7"/>
      <c r="C700" s="7"/>
      <c r="D700" s="7"/>
      <c r="E700" s="7"/>
      <c r="F700" s="7"/>
      <c r="G700" s="7"/>
      <c r="H700" s="7"/>
      <c r="I700" s="16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08"/>
      <c r="AA700" s="7"/>
      <c r="AB700" s="7"/>
      <c r="AC700" s="7"/>
      <c r="AD700" s="7"/>
      <c r="AE700" s="7"/>
      <c r="AF700" s="7"/>
      <c r="AG700" s="7"/>
      <c r="AH700" s="7"/>
    </row>
    <row r="701" spans="1:34" ht="14.25" customHeight="1">
      <c r="A701" s="7"/>
      <c r="B701" s="7"/>
      <c r="C701" s="7"/>
      <c r="D701" s="7"/>
      <c r="E701" s="7"/>
      <c r="F701" s="7"/>
      <c r="G701" s="7"/>
      <c r="H701" s="7"/>
      <c r="I701" s="16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08"/>
      <c r="AA701" s="7"/>
      <c r="AB701" s="7"/>
      <c r="AC701" s="7"/>
      <c r="AD701" s="7"/>
      <c r="AE701" s="7"/>
      <c r="AF701" s="7"/>
      <c r="AG701" s="7"/>
      <c r="AH701" s="7"/>
    </row>
    <row r="702" spans="1:34" ht="14.25" customHeight="1">
      <c r="A702" s="7"/>
      <c r="B702" s="7"/>
      <c r="C702" s="7"/>
      <c r="D702" s="7"/>
      <c r="E702" s="7"/>
      <c r="F702" s="7"/>
      <c r="G702" s="7"/>
      <c r="H702" s="7"/>
      <c r="I702" s="16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08"/>
      <c r="AA702" s="7"/>
      <c r="AB702" s="7"/>
      <c r="AC702" s="7"/>
      <c r="AD702" s="7"/>
      <c r="AE702" s="7"/>
      <c r="AF702" s="7"/>
      <c r="AG702" s="7"/>
      <c r="AH702" s="7"/>
    </row>
    <row r="703" spans="1:34" ht="14.25" customHeight="1">
      <c r="A703" s="7"/>
      <c r="B703" s="7"/>
      <c r="C703" s="7"/>
      <c r="D703" s="7"/>
      <c r="E703" s="7"/>
      <c r="F703" s="7"/>
      <c r="G703" s="7"/>
      <c r="H703" s="7"/>
      <c r="I703" s="16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08"/>
      <c r="AA703" s="7"/>
      <c r="AB703" s="7"/>
      <c r="AC703" s="7"/>
      <c r="AD703" s="7"/>
      <c r="AE703" s="7"/>
      <c r="AF703" s="7"/>
      <c r="AG703" s="7"/>
      <c r="AH703" s="7"/>
    </row>
    <row r="704" spans="1:34" ht="14.25" customHeight="1">
      <c r="A704" s="7"/>
      <c r="B704" s="7"/>
      <c r="C704" s="7"/>
      <c r="D704" s="7"/>
      <c r="E704" s="7"/>
      <c r="F704" s="7"/>
      <c r="G704" s="7"/>
      <c r="H704" s="7"/>
      <c r="I704" s="16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08"/>
      <c r="AA704" s="7"/>
      <c r="AB704" s="7"/>
      <c r="AC704" s="7"/>
      <c r="AD704" s="7"/>
      <c r="AE704" s="7"/>
      <c r="AF704" s="7"/>
      <c r="AG704" s="7"/>
      <c r="AH704" s="7"/>
    </row>
    <row r="705" spans="1:34" ht="14.25" customHeight="1">
      <c r="A705" s="7"/>
      <c r="B705" s="7"/>
      <c r="C705" s="7"/>
      <c r="D705" s="7"/>
      <c r="E705" s="7"/>
      <c r="F705" s="7"/>
      <c r="G705" s="7"/>
      <c r="H705" s="7"/>
      <c r="I705" s="16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08"/>
      <c r="AA705" s="7"/>
      <c r="AB705" s="7"/>
      <c r="AC705" s="7"/>
      <c r="AD705" s="7"/>
      <c r="AE705" s="7"/>
      <c r="AF705" s="7"/>
      <c r="AG705" s="7"/>
      <c r="AH705" s="7"/>
    </row>
    <row r="706" spans="1:34" ht="14.25" customHeight="1">
      <c r="A706" s="7"/>
      <c r="B706" s="7"/>
      <c r="C706" s="7"/>
      <c r="D706" s="7"/>
      <c r="E706" s="7"/>
      <c r="F706" s="7"/>
      <c r="G706" s="7"/>
      <c r="H706" s="7"/>
      <c r="I706" s="16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08"/>
      <c r="AA706" s="7"/>
      <c r="AB706" s="7"/>
      <c r="AC706" s="7"/>
      <c r="AD706" s="7"/>
      <c r="AE706" s="7"/>
      <c r="AF706" s="7"/>
      <c r="AG706" s="7"/>
      <c r="AH706" s="7"/>
    </row>
    <row r="707" spans="1:34" ht="14.25" customHeight="1">
      <c r="A707" s="7"/>
      <c r="B707" s="7"/>
      <c r="C707" s="7"/>
      <c r="D707" s="7"/>
      <c r="E707" s="7"/>
      <c r="F707" s="7"/>
      <c r="G707" s="7"/>
      <c r="H707" s="7"/>
      <c r="I707" s="16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08"/>
      <c r="AA707" s="7"/>
      <c r="AB707" s="7"/>
      <c r="AC707" s="7"/>
      <c r="AD707" s="7"/>
      <c r="AE707" s="7"/>
      <c r="AF707" s="7"/>
      <c r="AG707" s="7"/>
      <c r="AH707" s="7"/>
    </row>
    <row r="708" spans="1:34" ht="14.25" customHeight="1">
      <c r="A708" s="7"/>
      <c r="B708" s="7"/>
      <c r="C708" s="7"/>
      <c r="D708" s="7"/>
      <c r="E708" s="7"/>
      <c r="F708" s="7"/>
      <c r="G708" s="7"/>
      <c r="H708" s="7"/>
      <c r="I708" s="16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08"/>
      <c r="AA708" s="7"/>
      <c r="AB708" s="7"/>
      <c r="AC708" s="7"/>
      <c r="AD708" s="7"/>
      <c r="AE708" s="7"/>
      <c r="AF708" s="7"/>
      <c r="AG708" s="7"/>
      <c r="AH708" s="7"/>
    </row>
    <row r="709" spans="1:34" ht="14.25" customHeight="1">
      <c r="A709" s="7"/>
      <c r="B709" s="7"/>
      <c r="C709" s="7"/>
      <c r="D709" s="7"/>
      <c r="E709" s="7"/>
      <c r="F709" s="7"/>
      <c r="G709" s="7"/>
      <c r="H709" s="7"/>
      <c r="I709" s="16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08"/>
      <c r="AA709" s="7"/>
      <c r="AB709" s="7"/>
      <c r="AC709" s="7"/>
      <c r="AD709" s="7"/>
      <c r="AE709" s="7"/>
      <c r="AF709" s="7"/>
      <c r="AG709" s="7"/>
      <c r="AH709" s="7"/>
    </row>
    <row r="710" spans="1:34" ht="14.25" customHeight="1">
      <c r="A710" s="7"/>
      <c r="B710" s="7"/>
      <c r="C710" s="7"/>
      <c r="D710" s="7"/>
      <c r="E710" s="7"/>
      <c r="F710" s="7"/>
      <c r="G710" s="7"/>
      <c r="H710" s="7"/>
      <c r="I710" s="16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08"/>
      <c r="AA710" s="7"/>
      <c r="AB710" s="7"/>
      <c r="AC710" s="7"/>
      <c r="AD710" s="7"/>
      <c r="AE710" s="7"/>
      <c r="AF710" s="7"/>
      <c r="AG710" s="7"/>
      <c r="AH710" s="7"/>
    </row>
    <row r="711" spans="1:34" ht="14.25" customHeight="1">
      <c r="A711" s="7"/>
      <c r="B711" s="7"/>
      <c r="C711" s="7"/>
      <c r="D711" s="7"/>
      <c r="E711" s="7"/>
      <c r="F711" s="7"/>
      <c r="G711" s="7"/>
      <c r="H711" s="7"/>
      <c r="I711" s="16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08"/>
      <c r="AA711" s="7"/>
      <c r="AB711" s="7"/>
      <c r="AC711" s="7"/>
      <c r="AD711" s="7"/>
      <c r="AE711" s="7"/>
      <c r="AF711" s="7"/>
      <c r="AG711" s="7"/>
      <c r="AH711" s="7"/>
    </row>
    <row r="712" spans="1:34" ht="14.25" customHeight="1">
      <c r="A712" s="7"/>
      <c r="B712" s="7"/>
      <c r="C712" s="7"/>
      <c r="D712" s="7"/>
      <c r="E712" s="7"/>
      <c r="F712" s="7"/>
      <c r="G712" s="7"/>
      <c r="H712" s="7"/>
      <c r="I712" s="16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08"/>
      <c r="AA712" s="7"/>
      <c r="AB712" s="7"/>
      <c r="AC712" s="7"/>
      <c r="AD712" s="7"/>
      <c r="AE712" s="7"/>
      <c r="AF712" s="7"/>
      <c r="AG712" s="7"/>
      <c r="AH712" s="7"/>
    </row>
    <row r="713" spans="1:34" ht="14.25" customHeight="1">
      <c r="A713" s="7"/>
      <c r="B713" s="7"/>
      <c r="C713" s="7"/>
      <c r="D713" s="7"/>
      <c r="E713" s="7"/>
      <c r="F713" s="7"/>
      <c r="G713" s="7"/>
      <c r="H713" s="7"/>
      <c r="I713" s="16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08"/>
      <c r="AA713" s="7"/>
      <c r="AB713" s="7"/>
      <c r="AC713" s="7"/>
      <c r="AD713" s="7"/>
      <c r="AE713" s="7"/>
      <c r="AF713" s="7"/>
      <c r="AG713" s="7"/>
      <c r="AH713" s="7"/>
    </row>
    <row r="714" spans="1:34" ht="14.25" customHeight="1">
      <c r="A714" s="7"/>
      <c r="B714" s="7"/>
      <c r="C714" s="7"/>
      <c r="D714" s="7"/>
      <c r="E714" s="7"/>
      <c r="F714" s="7"/>
      <c r="G714" s="7"/>
      <c r="H714" s="7"/>
      <c r="I714" s="16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08"/>
      <c r="AA714" s="7"/>
      <c r="AB714" s="7"/>
      <c r="AC714" s="7"/>
      <c r="AD714" s="7"/>
      <c r="AE714" s="7"/>
      <c r="AF714" s="7"/>
      <c r="AG714" s="7"/>
      <c r="AH714" s="7"/>
    </row>
    <row r="715" spans="1:34" ht="14.25" customHeight="1">
      <c r="A715" s="7"/>
      <c r="B715" s="7"/>
      <c r="C715" s="7"/>
      <c r="D715" s="7"/>
      <c r="E715" s="7"/>
      <c r="F715" s="7"/>
      <c r="G715" s="7"/>
      <c r="H715" s="7"/>
      <c r="I715" s="16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08"/>
      <c r="AA715" s="7"/>
      <c r="AB715" s="7"/>
      <c r="AC715" s="7"/>
      <c r="AD715" s="7"/>
      <c r="AE715" s="7"/>
      <c r="AF715" s="7"/>
      <c r="AG715" s="7"/>
      <c r="AH715" s="7"/>
    </row>
    <row r="716" spans="1:34" ht="14.25" customHeight="1">
      <c r="A716" s="7"/>
      <c r="B716" s="7"/>
      <c r="C716" s="7"/>
      <c r="D716" s="7"/>
      <c r="E716" s="7"/>
      <c r="F716" s="7"/>
      <c r="G716" s="7"/>
      <c r="H716" s="7"/>
      <c r="I716" s="16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08"/>
      <c r="AA716" s="7"/>
      <c r="AB716" s="7"/>
      <c r="AC716" s="7"/>
      <c r="AD716" s="7"/>
      <c r="AE716" s="7"/>
      <c r="AF716" s="7"/>
      <c r="AG716" s="7"/>
      <c r="AH716" s="7"/>
    </row>
    <row r="717" spans="1:34" ht="14.25" customHeight="1">
      <c r="A717" s="7"/>
      <c r="B717" s="7"/>
      <c r="C717" s="7"/>
      <c r="D717" s="7"/>
      <c r="E717" s="7"/>
      <c r="F717" s="7"/>
      <c r="G717" s="7"/>
      <c r="H717" s="7"/>
      <c r="I717" s="16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08"/>
      <c r="AA717" s="7"/>
      <c r="AB717" s="7"/>
      <c r="AC717" s="7"/>
      <c r="AD717" s="7"/>
      <c r="AE717" s="7"/>
      <c r="AF717" s="7"/>
      <c r="AG717" s="7"/>
      <c r="AH717" s="7"/>
    </row>
    <row r="718" spans="1:34" ht="14.25" customHeight="1">
      <c r="A718" s="7"/>
      <c r="B718" s="7"/>
      <c r="C718" s="7"/>
      <c r="D718" s="7"/>
      <c r="E718" s="7"/>
      <c r="F718" s="7"/>
      <c r="G718" s="7"/>
      <c r="H718" s="7"/>
      <c r="I718" s="16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08"/>
      <c r="AA718" s="7"/>
      <c r="AB718" s="7"/>
      <c r="AC718" s="7"/>
      <c r="AD718" s="7"/>
      <c r="AE718" s="7"/>
      <c r="AF718" s="7"/>
      <c r="AG718" s="7"/>
      <c r="AH718" s="7"/>
    </row>
    <row r="719" spans="1:34" ht="14.25" customHeight="1">
      <c r="A719" s="7"/>
      <c r="B719" s="7"/>
      <c r="C719" s="7"/>
      <c r="D719" s="7"/>
      <c r="E719" s="7"/>
      <c r="F719" s="7"/>
      <c r="G719" s="7"/>
      <c r="H719" s="7"/>
      <c r="I719" s="16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08"/>
      <c r="AA719" s="7"/>
      <c r="AB719" s="7"/>
      <c r="AC719" s="7"/>
      <c r="AD719" s="7"/>
      <c r="AE719" s="7"/>
      <c r="AF719" s="7"/>
      <c r="AG719" s="7"/>
      <c r="AH719" s="7"/>
    </row>
    <row r="720" spans="1:34" ht="14.25" customHeight="1">
      <c r="A720" s="7"/>
      <c r="B720" s="7"/>
      <c r="C720" s="7"/>
      <c r="D720" s="7"/>
      <c r="E720" s="7"/>
      <c r="F720" s="7"/>
      <c r="G720" s="7"/>
      <c r="H720" s="7"/>
      <c r="I720" s="16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08"/>
      <c r="AA720" s="7"/>
      <c r="AB720" s="7"/>
      <c r="AC720" s="7"/>
      <c r="AD720" s="7"/>
      <c r="AE720" s="7"/>
      <c r="AF720" s="7"/>
      <c r="AG720" s="7"/>
      <c r="AH720" s="7"/>
    </row>
    <row r="721" spans="1:34" ht="14.25" customHeight="1">
      <c r="A721" s="7"/>
      <c r="B721" s="7"/>
      <c r="C721" s="7"/>
      <c r="D721" s="7"/>
      <c r="E721" s="7"/>
      <c r="F721" s="7"/>
      <c r="G721" s="7"/>
      <c r="H721" s="7"/>
      <c r="I721" s="16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08"/>
      <c r="AA721" s="7"/>
      <c r="AB721" s="7"/>
      <c r="AC721" s="7"/>
      <c r="AD721" s="7"/>
      <c r="AE721" s="7"/>
      <c r="AF721" s="7"/>
      <c r="AG721" s="7"/>
      <c r="AH721" s="7"/>
    </row>
    <row r="722" spans="1:34" ht="14.25" customHeight="1">
      <c r="A722" s="7"/>
      <c r="B722" s="7"/>
      <c r="C722" s="7"/>
      <c r="D722" s="7"/>
      <c r="E722" s="7"/>
      <c r="F722" s="7"/>
      <c r="G722" s="7"/>
      <c r="H722" s="7"/>
      <c r="I722" s="16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08"/>
      <c r="AA722" s="7"/>
      <c r="AB722" s="7"/>
      <c r="AC722" s="7"/>
      <c r="AD722" s="7"/>
      <c r="AE722" s="7"/>
      <c r="AF722" s="7"/>
      <c r="AG722" s="7"/>
      <c r="AH722" s="7"/>
    </row>
  </sheetData>
  <mergeCells count="9">
    <mergeCell ref="B453:C453"/>
    <mergeCell ref="B454:C454"/>
    <mergeCell ref="A2:C2"/>
    <mergeCell ref="A3:C3"/>
    <mergeCell ref="A4:K4"/>
    <mergeCell ref="A5:D5"/>
    <mergeCell ref="A6:K6"/>
    <mergeCell ref="C9:D9"/>
    <mergeCell ref="B447:C447"/>
  </mergeCells>
  <conditionalFormatting sqref="E11:J11">
    <cfRule type="containsText" dxfId="43" priority="1" operator="containsText" text="lào cai">
      <formula>NOT(ISERROR(SEARCH(("lào cai"),(E11))))</formula>
    </cfRule>
  </conditionalFormatting>
  <conditionalFormatting sqref="P11:Q11">
    <cfRule type="containsText" dxfId="42" priority="2" operator="containsText" text="&quot;quảng ngãi&quot;">
      <formula>NOT(ISERROR(SEARCH(("""quảng ngãi"""),(P11))))</formula>
    </cfRule>
  </conditionalFormatting>
  <conditionalFormatting sqref="W11:X11">
    <cfRule type="containsText" dxfId="41" priority="3" operator="containsText" text="&quot;quảng ngãi&quot;">
      <formula>NOT(ISERROR(SEARCH(("""quảng ngãi"""),(W11))))</formula>
    </cfRule>
  </conditionalFormatting>
  <conditionalFormatting sqref="W11:AL11 A11:D11">
    <cfRule type="containsText" dxfId="40" priority="4" operator="containsText" text="tây ninh">
      <formula>NOT(ISERROR(SEARCH(("tây ninh"),(A11))))</formula>
    </cfRule>
  </conditionalFormatting>
  <conditionalFormatting sqref="AF17:AF447">
    <cfRule type="cellIs" dxfId="39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L722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11" width="12.453125" customWidth="1"/>
  </cols>
  <sheetData>
    <row r="1" spans="1:38" ht="24.75" hidden="1" customHeight="1">
      <c r="A1" s="397" t="s">
        <v>0</v>
      </c>
      <c r="B1" s="398"/>
      <c r="C1" s="398"/>
      <c r="D1" s="399"/>
      <c r="E1" s="562"/>
      <c r="F1" s="562"/>
      <c r="G1" s="562"/>
      <c r="H1" s="562"/>
      <c r="I1" s="562"/>
      <c r="J1" s="562"/>
      <c r="K1" s="56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8" ht="33" hidden="1" customHeight="1">
      <c r="A2" s="792" t="s">
        <v>1</v>
      </c>
      <c r="B2" s="793"/>
      <c r="C2" s="791"/>
      <c r="D2" s="399"/>
      <c r="E2" s="562"/>
      <c r="F2" s="562"/>
      <c r="G2" s="562"/>
      <c r="H2" s="562"/>
      <c r="I2" s="562"/>
      <c r="J2" s="562"/>
      <c r="K2" s="56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8" ht="23.25" hidden="1" customHeight="1">
      <c r="A3" s="794" t="s">
        <v>2</v>
      </c>
      <c r="B3" s="793"/>
      <c r="C3" s="791"/>
      <c r="D3" s="399"/>
      <c r="E3" s="562"/>
      <c r="F3" s="562"/>
      <c r="G3" s="562"/>
      <c r="H3" s="562"/>
      <c r="I3" s="562"/>
      <c r="J3" s="562"/>
      <c r="K3" s="56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8" ht="39.75" customHeight="1">
      <c r="A4" s="803" t="s">
        <v>1537</v>
      </c>
      <c r="B4" s="793"/>
      <c r="C4" s="793"/>
      <c r="D4" s="793"/>
      <c r="E4" s="793"/>
      <c r="F4" s="793"/>
      <c r="G4" s="793"/>
      <c r="H4" s="793"/>
      <c r="I4" s="793"/>
      <c r="J4" s="793"/>
      <c r="K4" s="791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8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563"/>
      <c r="I5" s="563"/>
      <c r="J5" s="563"/>
      <c r="K5" s="563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8" ht="21" hidden="1" customHeight="1">
      <c r="A6" s="804" t="s">
        <v>1338</v>
      </c>
      <c r="B6" s="793"/>
      <c r="C6" s="793"/>
      <c r="D6" s="793"/>
      <c r="E6" s="793"/>
      <c r="F6" s="793"/>
      <c r="G6" s="793"/>
      <c r="H6" s="793"/>
      <c r="I6" s="793"/>
      <c r="J6" s="793"/>
      <c r="K6" s="791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8" ht="18.75" hidden="1" customHeight="1">
      <c r="A7" s="244"/>
      <c r="B7" s="401"/>
      <c r="C7" s="564" t="s">
        <v>1339</v>
      </c>
      <c r="D7" s="403"/>
      <c r="E7" s="565"/>
      <c r="F7" s="565"/>
      <c r="G7" s="565"/>
      <c r="H7" s="565"/>
      <c r="I7" s="565"/>
      <c r="J7" s="565"/>
      <c r="K7" s="565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8" ht="14.25" hidden="1" customHeight="1">
      <c r="A8" s="244"/>
      <c r="B8" s="404"/>
      <c r="C8" s="564" t="s">
        <v>1340</v>
      </c>
      <c r="D8" s="405"/>
      <c r="E8" s="566"/>
      <c r="F8" s="566"/>
      <c r="G8" s="566"/>
      <c r="H8" s="566"/>
      <c r="I8" s="566"/>
      <c r="J8" s="566"/>
      <c r="K8" s="56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8" ht="14.25" hidden="1" customHeight="1">
      <c r="A9" s="244"/>
      <c r="B9" s="404"/>
      <c r="C9" s="798" t="s">
        <v>1341</v>
      </c>
      <c r="D9" s="791"/>
      <c r="E9" s="567"/>
      <c r="F9" s="567"/>
      <c r="G9" s="567"/>
      <c r="H9" s="567"/>
      <c r="I9" s="567"/>
      <c r="J9" s="567"/>
      <c r="K9" s="56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8" ht="25.5" customHeight="1">
      <c r="A10" s="568"/>
      <c r="B10" s="569"/>
      <c r="C10" s="570"/>
      <c r="D10" s="571"/>
      <c r="E10" s="572"/>
      <c r="F10" s="572"/>
      <c r="G10" s="572"/>
      <c r="H10" s="572"/>
      <c r="I10" s="572"/>
      <c r="J10" s="572"/>
      <c r="K10" s="57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8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1095</v>
      </c>
      <c r="F11" s="414" t="s">
        <v>1095</v>
      </c>
      <c r="G11" s="414" t="s">
        <v>1095</v>
      </c>
      <c r="H11" s="289" t="s">
        <v>1095</v>
      </c>
      <c r="I11" s="289"/>
      <c r="J11" s="21"/>
      <c r="K11" s="21"/>
      <c r="L11" s="611"/>
      <c r="M11" s="22"/>
      <c r="N11" s="22"/>
      <c r="O11" s="289"/>
      <c r="P11" s="180"/>
      <c r="Q11" s="180"/>
      <c r="R11" s="22"/>
      <c r="S11" s="22"/>
      <c r="T11" s="22"/>
      <c r="U11" s="22"/>
      <c r="V11" s="22"/>
      <c r="W11" s="414"/>
      <c r="X11" s="201"/>
      <c r="Y11" s="576" t="s">
        <v>38</v>
      </c>
      <c r="Z11" s="577"/>
      <c r="AA11" s="535"/>
      <c r="AB11" s="535"/>
      <c r="AC11" s="7"/>
      <c r="AD11" s="7"/>
      <c r="AE11" s="7"/>
      <c r="AF11" s="7"/>
      <c r="AG11" s="7"/>
      <c r="AH11" s="7"/>
      <c r="AI11" s="7"/>
      <c r="AJ11" s="7"/>
      <c r="AK11" s="7"/>
      <c r="AL11" s="7"/>
    </row>
    <row r="12" spans="1:38" ht="29.25" customHeight="1">
      <c r="A12" s="578"/>
      <c r="B12" s="430"/>
      <c r="C12" s="579" t="s">
        <v>39</v>
      </c>
      <c r="D12" s="186"/>
      <c r="E12" s="29">
        <v>1</v>
      </c>
      <c r="F12" s="185">
        <v>1</v>
      </c>
      <c r="G12" s="185">
        <v>1</v>
      </c>
      <c r="H12" s="187">
        <v>1</v>
      </c>
      <c r="I12" s="187"/>
      <c r="J12" s="293"/>
      <c r="K12" s="293"/>
      <c r="L12" s="185"/>
      <c r="M12" s="29"/>
      <c r="N12" s="29"/>
      <c r="O12" s="187"/>
      <c r="P12" s="185"/>
      <c r="Q12" s="29"/>
      <c r="R12" s="29"/>
      <c r="S12" s="29"/>
      <c r="T12" s="29"/>
      <c r="U12" s="29"/>
      <c r="V12" s="29"/>
      <c r="W12" s="293"/>
      <c r="X12" s="352"/>
      <c r="Y12" s="581">
        <f>SUM(E12:X12)</f>
        <v>4</v>
      </c>
      <c r="Z12" s="582"/>
      <c r="AA12" s="582"/>
      <c r="AB12" s="582"/>
      <c r="AC12" s="7"/>
      <c r="AD12" s="7"/>
      <c r="AE12" s="7"/>
      <c r="AF12" s="7">
        <v>6</v>
      </c>
      <c r="AG12" s="7"/>
      <c r="AH12" s="7"/>
      <c r="AI12" s="7"/>
      <c r="AJ12" s="7"/>
      <c r="AK12" s="7"/>
      <c r="AL12" s="7"/>
    </row>
    <row r="13" spans="1:38" ht="37.5" customHeight="1">
      <c r="A13" s="583"/>
      <c r="B13" s="584"/>
      <c r="C13" s="585" t="s">
        <v>40</v>
      </c>
      <c r="D13" s="584"/>
      <c r="E13" s="32" t="s">
        <v>1825</v>
      </c>
      <c r="F13" s="40" t="s">
        <v>1826</v>
      </c>
      <c r="G13" s="40" t="s">
        <v>1827</v>
      </c>
      <c r="H13" s="587" t="s">
        <v>1541</v>
      </c>
      <c r="I13" s="300"/>
      <c r="J13" s="300"/>
      <c r="K13" s="300"/>
      <c r="L13" s="191"/>
      <c r="M13" s="32"/>
      <c r="N13" s="189"/>
      <c r="O13" s="189"/>
      <c r="P13" s="32"/>
      <c r="Q13" s="189"/>
      <c r="R13" s="189"/>
      <c r="S13" s="189"/>
      <c r="T13" s="189"/>
      <c r="U13" s="189"/>
      <c r="V13" s="189"/>
      <c r="W13" s="189"/>
      <c r="X13" s="32"/>
      <c r="Y13" s="581"/>
      <c r="Z13" s="591"/>
      <c r="AA13" s="582"/>
      <c r="AB13" s="591"/>
      <c r="AC13" s="7"/>
      <c r="AD13" s="7"/>
      <c r="AE13" s="7"/>
      <c r="AF13" s="7"/>
      <c r="AG13" s="7"/>
      <c r="AH13" s="7"/>
      <c r="AI13" s="7"/>
      <c r="AJ13" s="7"/>
      <c r="AK13" s="7"/>
      <c r="AL13" s="7"/>
    </row>
    <row r="14" spans="1:38" ht="53.25" customHeight="1">
      <c r="A14" s="578"/>
      <c r="B14" s="430"/>
      <c r="C14" s="579" t="s">
        <v>41</v>
      </c>
      <c r="D14" s="430"/>
      <c r="E14" s="30"/>
      <c r="F14" s="185"/>
      <c r="G14" s="185" t="s">
        <v>1828</v>
      </c>
      <c r="H14" s="190" t="s">
        <v>1388</v>
      </c>
      <c r="I14" s="190"/>
      <c r="J14" s="186"/>
      <c r="K14" s="185"/>
      <c r="L14" s="592"/>
      <c r="M14" s="30"/>
      <c r="N14" s="30"/>
      <c r="O14" s="190"/>
      <c r="P14" s="185"/>
      <c r="Q14" s="30"/>
      <c r="R14" s="30"/>
      <c r="S14" s="30"/>
      <c r="T14" s="30"/>
      <c r="U14" s="30"/>
      <c r="V14" s="30"/>
      <c r="W14" s="185"/>
      <c r="X14" s="593"/>
      <c r="Y14" s="581"/>
      <c r="Z14" s="582"/>
      <c r="AA14" s="582"/>
      <c r="AB14" s="582"/>
      <c r="AC14" s="7"/>
      <c r="AD14" s="7"/>
      <c r="AE14" s="7"/>
      <c r="AF14" s="7"/>
      <c r="AG14" s="7"/>
      <c r="AH14" s="7"/>
      <c r="AI14" s="7"/>
      <c r="AJ14" s="7"/>
      <c r="AK14" s="7"/>
      <c r="AL14" s="7"/>
    </row>
    <row r="15" spans="1:38" ht="51" customHeight="1">
      <c r="A15" s="578"/>
      <c r="B15" s="430"/>
      <c r="C15" s="579" t="s">
        <v>42</v>
      </c>
      <c r="D15" s="430"/>
      <c r="E15" s="594" t="s">
        <v>1829</v>
      </c>
      <c r="F15" s="191" t="s">
        <v>1830</v>
      </c>
      <c r="G15" s="191" t="s">
        <v>1830</v>
      </c>
      <c r="H15" s="190" t="s">
        <v>1394</v>
      </c>
      <c r="I15" s="190"/>
      <c r="J15" s="190"/>
      <c r="K15" s="190"/>
      <c r="L15" s="185"/>
      <c r="M15" s="30"/>
      <c r="N15" s="30"/>
      <c r="O15" s="190"/>
      <c r="P15" s="191"/>
      <c r="Q15" s="30"/>
      <c r="R15" s="30"/>
      <c r="S15" s="30"/>
      <c r="T15" s="30"/>
      <c r="U15" s="30"/>
      <c r="V15" s="30"/>
      <c r="W15" s="191"/>
      <c r="X15" s="353"/>
      <c r="Y15" s="576"/>
      <c r="Z15" s="582"/>
      <c r="AA15" s="582"/>
      <c r="AB15" s="582"/>
      <c r="AC15" s="7"/>
      <c r="AD15" s="7"/>
      <c r="AE15" s="7"/>
      <c r="AF15" s="7"/>
      <c r="AG15" s="7"/>
      <c r="AH15" s="7"/>
      <c r="AI15" s="7"/>
      <c r="AJ15" s="7"/>
      <c r="AK15" s="7"/>
      <c r="AL15" s="7"/>
    </row>
    <row r="16" spans="1:38" ht="30.75" customHeight="1">
      <c r="A16" s="579"/>
      <c r="B16" s="186"/>
      <c r="C16" s="579" t="s">
        <v>43</v>
      </c>
      <c r="D16" s="186"/>
      <c r="E16" s="34" t="s">
        <v>1831</v>
      </c>
      <c r="F16" s="193" t="s">
        <v>1832</v>
      </c>
      <c r="G16" s="193" t="s">
        <v>1833</v>
      </c>
      <c r="H16" s="194" t="s">
        <v>1834</v>
      </c>
      <c r="I16" s="194"/>
      <c r="J16" s="713"/>
      <c r="K16" s="193"/>
      <c r="L16" s="185"/>
      <c r="M16" s="34"/>
      <c r="N16" s="34"/>
      <c r="O16" s="190"/>
      <c r="P16" s="193"/>
      <c r="Q16" s="34"/>
      <c r="R16" s="34"/>
      <c r="S16" s="34"/>
      <c r="T16" s="34"/>
      <c r="U16" s="34"/>
      <c r="V16" s="34"/>
      <c r="W16" s="193"/>
      <c r="X16" s="597"/>
      <c r="Y16" s="598"/>
      <c r="Z16" s="599"/>
      <c r="AA16" s="599"/>
      <c r="AB16" s="599"/>
      <c r="AC16" s="7"/>
      <c r="AD16" s="7"/>
      <c r="AE16" s="7"/>
      <c r="AF16" s="7"/>
      <c r="AG16" s="7"/>
      <c r="AH16" s="7"/>
      <c r="AI16" s="7"/>
      <c r="AJ16" s="7"/>
      <c r="AK16" s="7"/>
      <c r="AL16" s="7"/>
    </row>
    <row r="17" spans="1:38" ht="33.75" customHeight="1">
      <c r="A17" s="583"/>
      <c r="B17" s="584"/>
      <c r="C17" s="585" t="s">
        <v>70</v>
      </c>
      <c r="D17" s="584"/>
      <c r="E17" s="32" t="s">
        <v>1835</v>
      </c>
      <c r="F17" s="40" t="s">
        <v>1836</v>
      </c>
      <c r="G17" s="40" t="s">
        <v>1837</v>
      </c>
      <c r="H17" s="587" t="s">
        <v>1570</v>
      </c>
      <c r="I17" s="300"/>
      <c r="J17" s="300"/>
      <c r="K17" s="300"/>
      <c r="L17" s="586"/>
      <c r="M17" s="32"/>
      <c r="N17" s="189"/>
      <c r="O17" s="189"/>
      <c r="P17" s="32"/>
      <c r="Q17" s="189"/>
      <c r="R17" s="189"/>
      <c r="S17" s="189"/>
      <c r="T17" s="189"/>
      <c r="U17" s="189"/>
      <c r="V17" s="189"/>
      <c r="W17" s="32"/>
      <c r="X17" s="32"/>
      <c r="Y17" s="581"/>
      <c r="Z17" s="591"/>
      <c r="AA17" s="591"/>
      <c r="AB17" s="591"/>
      <c r="AC17" s="7"/>
      <c r="AD17" s="7"/>
      <c r="AE17" s="7"/>
      <c r="AF17" s="7"/>
      <c r="AG17" s="7"/>
      <c r="AH17" s="7"/>
      <c r="AI17" s="7"/>
      <c r="AJ17" s="7"/>
      <c r="AK17" s="7"/>
      <c r="AL17" s="7"/>
    </row>
    <row r="18" spans="1:38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198"/>
      <c r="I18" s="198"/>
      <c r="J18" s="196"/>
      <c r="K18" s="197"/>
      <c r="L18" s="197"/>
      <c r="M18" s="43"/>
      <c r="N18" s="43"/>
      <c r="O18" s="198"/>
      <c r="P18" s="43"/>
      <c r="Q18" s="43"/>
      <c r="R18" s="43"/>
      <c r="S18" s="43"/>
      <c r="T18" s="43"/>
      <c r="U18" s="43"/>
      <c r="V18" s="43"/>
      <c r="W18" s="43"/>
      <c r="X18" s="606"/>
      <c r="Y18" s="607"/>
      <c r="Z18" s="608"/>
      <c r="AA18" s="609"/>
      <c r="AB18" s="609"/>
      <c r="AC18" s="7"/>
      <c r="AD18" s="7"/>
      <c r="AE18" s="7"/>
      <c r="AF18" s="7"/>
      <c r="AG18" s="7"/>
      <c r="AH18" s="7"/>
      <c r="AI18" s="7"/>
      <c r="AJ18" s="7"/>
      <c r="AK18" s="7"/>
      <c r="AL18" s="7"/>
    </row>
    <row r="19" spans="1:38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4"/>
      <c r="I19" s="204"/>
      <c r="J19" s="202"/>
      <c r="K19" s="203"/>
      <c r="L19" s="611"/>
      <c r="M19" s="201"/>
      <c r="N19" s="201"/>
      <c r="O19" s="204"/>
      <c r="P19" s="201"/>
      <c r="Q19" s="201"/>
      <c r="R19" s="201"/>
      <c r="S19" s="201"/>
      <c r="T19" s="201"/>
      <c r="U19" s="201"/>
      <c r="V19" s="201"/>
      <c r="W19" s="201"/>
      <c r="X19" s="615"/>
      <c r="Y19" s="616"/>
      <c r="Z19" s="617"/>
      <c r="AA19" s="577"/>
      <c r="AB19" s="577"/>
      <c r="AC19" s="7"/>
      <c r="AD19" s="363"/>
      <c r="AE19" s="7"/>
      <c r="AF19" s="618">
        <f t="shared" ref="AF19:AF36" si="0">AD19-Y19</f>
        <v>0</v>
      </c>
      <c r="AG19" s="7"/>
      <c r="AH19" s="7"/>
      <c r="AI19" s="7"/>
      <c r="AJ19" s="7"/>
      <c r="AK19" s="7"/>
      <c r="AL19" s="7"/>
    </row>
    <row r="20" spans="1:38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209"/>
      <c r="H20" s="211"/>
      <c r="I20" s="211"/>
      <c r="J20" s="210"/>
      <c r="K20" s="221"/>
      <c r="L20" s="620"/>
      <c r="M20" s="213"/>
      <c r="N20" s="213"/>
      <c r="O20" s="215"/>
      <c r="P20" s="213"/>
      <c r="Q20" s="213"/>
      <c r="R20" s="712"/>
      <c r="S20" s="712"/>
      <c r="T20" s="712"/>
      <c r="U20" s="712"/>
      <c r="V20" s="712"/>
      <c r="W20" s="209"/>
      <c r="X20" s="624"/>
      <c r="Y20" s="625">
        <f t="shared" ref="Y20:Y274" si="1">+SUM(E20:X20)</f>
        <v>0</v>
      </c>
      <c r="Z20" s="626"/>
      <c r="AA20" s="627"/>
      <c r="AB20" s="627"/>
      <c r="AC20" s="7"/>
      <c r="AD20" s="699">
        <v>4</v>
      </c>
      <c r="AE20" s="7"/>
      <c r="AF20" s="618">
        <f t="shared" si="0"/>
        <v>4</v>
      </c>
      <c r="AG20" s="7"/>
      <c r="AH20" s="7"/>
      <c r="AI20" s="7"/>
      <c r="AJ20" s="7"/>
      <c r="AK20" s="7"/>
      <c r="AL20" s="7"/>
    </row>
    <row r="21" spans="1:38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5"/>
      <c r="I21" s="215"/>
      <c r="J21" s="214"/>
      <c r="K21" s="221"/>
      <c r="L21" s="620"/>
      <c r="M21" s="213"/>
      <c r="N21" s="213"/>
      <c r="O21" s="215"/>
      <c r="P21" s="213"/>
      <c r="Q21" s="213"/>
      <c r="R21" s="213"/>
      <c r="S21" s="213"/>
      <c r="T21" s="213"/>
      <c r="U21" s="213"/>
      <c r="V21" s="213"/>
      <c r="W21" s="213"/>
      <c r="X21" s="615"/>
      <c r="Y21" s="616">
        <f t="shared" si="1"/>
        <v>0</v>
      </c>
      <c r="Z21" s="633"/>
      <c r="AA21" s="634"/>
      <c r="AB21" s="634"/>
      <c r="AC21" s="7"/>
      <c r="AD21" s="699"/>
      <c r="AE21" s="7"/>
      <c r="AF21" s="618">
        <f t="shared" si="0"/>
        <v>0</v>
      </c>
      <c r="AG21" s="7"/>
      <c r="AH21" s="7"/>
      <c r="AI21" s="7"/>
      <c r="AJ21" s="7"/>
      <c r="AK21" s="7"/>
      <c r="AL21" s="7"/>
    </row>
    <row r="22" spans="1:38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5"/>
      <c r="I22" s="215"/>
      <c r="J22" s="214"/>
      <c r="K22" s="221"/>
      <c r="L22" s="620"/>
      <c r="M22" s="213"/>
      <c r="N22" s="213"/>
      <c r="O22" s="215"/>
      <c r="P22" s="213"/>
      <c r="Q22" s="213"/>
      <c r="R22" s="213"/>
      <c r="S22" s="213"/>
      <c r="T22" s="213"/>
      <c r="U22" s="213"/>
      <c r="V22" s="213"/>
      <c r="W22" s="213"/>
      <c r="X22" s="615"/>
      <c r="Y22" s="616">
        <f t="shared" si="1"/>
        <v>0</v>
      </c>
      <c r="Z22" s="633"/>
      <c r="AA22" s="634"/>
      <c r="AB22" s="634"/>
      <c r="AC22" s="7"/>
      <c r="AD22" s="699"/>
      <c r="AE22" s="7"/>
      <c r="AF22" s="618">
        <f t="shared" si="0"/>
        <v>0</v>
      </c>
      <c r="AG22" s="7"/>
      <c r="AH22" s="7"/>
      <c r="AI22" s="7"/>
      <c r="AJ22" s="7"/>
      <c r="AK22" s="7"/>
      <c r="AL22" s="7"/>
    </row>
    <row r="23" spans="1:38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5"/>
      <c r="I23" s="215"/>
      <c r="J23" s="214"/>
      <c r="K23" s="221"/>
      <c r="L23" s="620"/>
      <c r="M23" s="213"/>
      <c r="N23" s="213"/>
      <c r="O23" s="215"/>
      <c r="P23" s="213"/>
      <c r="Q23" s="213"/>
      <c r="R23" s="213"/>
      <c r="S23" s="213"/>
      <c r="T23" s="213"/>
      <c r="U23" s="213"/>
      <c r="V23" s="213"/>
      <c r="W23" s="213"/>
      <c r="X23" s="615"/>
      <c r="Y23" s="616">
        <f t="shared" si="1"/>
        <v>0</v>
      </c>
      <c r="Z23" s="633"/>
      <c r="AA23" s="634"/>
      <c r="AB23" s="634"/>
      <c r="AC23" s="7"/>
      <c r="AD23" s="699"/>
      <c r="AE23" s="7"/>
      <c r="AF23" s="618">
        <f t="shared" si="0"/>
        <v>0</v>
      </c>
      <c r="AG23" s="7"/>
      <c r="AH23" s="7"/>
      <c r="AI23" s="7"/>
      <c r="AJ23" s="7"/>
      <c r="AK23" s="7"/>
      <c r="AL23" s="7"/>
    </row>
    <row r="24" spans="1:38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5"/>
      <c r="I24" s="215"/>
      <c r="J24" s="214"/>
      <c r="K24" s="221"/>
      <c r="L24" s="620"/>
      <c r="M24" s="213"/>
      <c r="N24" s="213"/>
      <c r="O24" s="215"/>
      <c r="P24" s="213"/>
      <c r="Q24" s="213"/>
      <c r="R24" s="213"/>
      <c r="S24" s="213"/>
      <c r="T24" s="213"/>
      <c r="U24" s="213"/>
      <c r="V24" s="213"/>
      <c r="W24" s="213"/>
      <c r="X24" s="615"/>
      <c r="Y24" s="616">
        <f t="shared" si="1"/>
        <v>0</v>
      </c>
      <c r="Z24" s="633"/>
      <c r="AA24" s="634"/>
      <c r="AB24" s="634"/>
      <c r="AC24" s="7"/>
      <c r="AD24" s="699"/>
      <c r="AE24" s="7"/>
      <c r="AF24" s="618">
        <f t="shared" si="0"/>
        <v>0</v>
      </c>
      <c r="AG24" s="7"/>
      <c r="AH24" s="7"/>
      <c r="AI24" s="7"/>
      <c r="AJ24" s="7"/>
      <c r="AK24" s="7"/>
      <c r="AL24" s="7"/>
    </row>
    <row r="25" spans="1:38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11"/>
      <c r="I25" s="211"/>
      <c r="J25" s="210"/>
      <c r="K25" s="221"/>
      <c r="L25" s="620"/>
      <c r="M25" s="213"/>
      <c r="N25" s="213"/>
      <c r="O25" s="215"/>
      <c r="P25" s="213"/>
      <c r="Q25" s="213"/>
      <c r="R25" s="209"/>
      <c r="S25" s="209"/>
      <c r="T25" s="209"/>
      <c r="U25" s="209"/>
      <c r="V25" s="209"/>
      <c r="W25" s="209"/>
      <c r="X25" s="624"/>
      <c r="Y25" s="625">
        <f t="shared" si="1"/>
        <v>0</v>
      </c>
      <c r="Z25" s="626"/>
      <c r="AA25" s="627"/>
      <c r="AB25" s="627"/>
      <c r="AC25" s="7"/>
      <c r="AD25" s="699">
        <v>1</v>
      </c>
      <c r="AE25" s="7"/>
      <c r="AF25" s="618">
        <f t="shared" si="0"/>
        <v>1</v>
      </c>
      <c r="AG25" s="7"/>
      <c r="AH25" s="7"/>
      <c r="AI25" s="7"/>
      <c r="AJ25" s="7"/>
      <c r="AK25" s="7"/>
      <c r="AL25" s="7"/>
    </row>
    <row r="26" spans="1:38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5"/>
      <c r="I26" s="215"/>
      <c r="J26" s="214"/>
      <c r="K26" s="221"/>
      <c r="L26" s="620"/>
      <c r="M26" s="213"/>
      <c r="N26" s="213"/>
      <c r="O26" s="215"/>
      <c r="P26" s="213"/>
      <c r="Q26" s="213"/>
      <c r="R26" s="213"/>
      <c r="S26" s="213"/>
      <c r="T26" s="213"/>
      <c r="U26" s="213"/>
      <c r="V26" s="213"/>
      <c r="W26" s="213"/>
      <c r="X26" s="615"/>
      <c r="Y26" s="616">
        <f t="shared" si="1"/>
        <v>0</v>
      </c>
      <c r="Z26" s="633"/>
      <c r="AA26" s="634"/>
      <c r="AB26" s="634"/>
      <c r="AC26" s="7"/>
      <c r="AD26" s="699"/>
      <c r="AE26" s="7"/>
      <c r="AF26" s="618">
        <f t="shared" si="0"/>
        <v>0</v>
      </c>
      <c r="AG26" s="7"/>
      <c r="AH26" s="7"/>
      <c r="AI26" s="7"/>
      <c r="AJ26" s="7"/>
      <c r="AK26" s="7"/>
      <c r="AL26" s="7"/>
    </row>
    <row r="27" spans="1:38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5"/>
      <c r="I27" s="215"/>
      <c r="J27" s="214"/>
      <c r="K27" s="221"/>
      <c r="L27" s="620"/>
      <c r="M27" s="213"/>
      <c r="N27" s="213"/>
      <c r="O27" s="215"/>
      <c r="P27" s="213"/>
      <c r="Q27" s="213"/>
      <c r="R27" s="213"/>
      <c r="S27" s="213"/>
      <c r="T27" s="213"/>
      <c r="U27" s="213"/>
      <c r="V27" s="213"/>
      <c r="W27" s="213"/>
      <c r="X27" s="615"/>
      <c r="Y27" s="616">
        <f t="shared" si="1"/>
        <v>0</v>
      </c>
      <c r="Z27" s="633"/>
      <c r="AA27" s="634"/>
      <c r="AB27" s="634"/>
      <c r="AC27" s="7"/>
      <c r="AD27" s="699"/>
      <c r="AE27" s="7"/>
      <c r="AF27" s="618">
        <f t="shared" si="0"/>
        <v>0</v>
      </c>
      <c r="AG27" s="7"/>
      <c r="AH27" s="7"/>
      <c r="AI27" s="7"/>
      <c r="AJ27" s="7"/>
      <c r="AK27" s="7"/>
      <c r="AL27" s="7"/>
    </row>
    <row r="28" spans="1:38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5"/>
      <c r="I28" s="215"/>
      <c r="J28" s="214"/>
      <c r="K28" s="221"/>
      <c r="L28" s="620"/>
      <c r="M28" s="213"/>
      <c r="N28" s="213"/>
      <c r="O28" s="215"/>
      <c r="P28" s="213"/>
      <c r="Q28" s="213"/>
      <c r="R28" s="213"/>
      <c r="S28" s="213"/>
      <c r="T28" s="213"/>
      <c r="U28" s="213"/>
      <c r="V28" s="213"/>
      <c r="W28" s="213"/>
      <c r="X28" s="615"/>
      <c r="Y28" s="616">
        <f t="shared" si="1"/>
        <v>0</v>
      </c>
      <c r="Z28" s="633"/>
      <c r="AA28" s="634"/>
      <c r="AB28" s="634"/>
      <c r="AC28" s="7"/>
      <c r="AD28" s="699"/>
      <c r="AE28" s="7"/>
      <c r="AF28" s="618">
        <f t="shared" si="0"/>
        <v>0</v>
      </c>
      <c r="AG28" s="7"/>
      <c r="AH28" s="7"/>
      <c r="AI28" s="7"/>
      <c r="AJ28" s="7"/>
      <c r="AK28" s="7"/>
      <c r="AL28" s="7"/>
    </row>
    <row r="29" spans="1:38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5"/>
      <c r="I29" s="215"/>
      <c r="J29" s="214"/>
      <c r="K29" s="221"/>
      <c r="L29" s="620"/>
      <c r="M29" s="213"/>
      <c r="N29" s="213"/>
      <c r="O29" s="215"/>
      <c r="P29" s="213"/>
      <c r="Q29" s="213"/>
      <c r="R29" s="213"/>
      <c r="S29" s="213"/>
      <c r="T29" s="213"/>
      <c r="U29" s="213"/>
      <c r="V29" s="213"/>
      <c r="W29" s="213"/>
      <c r="X29" s="615"/>
      <c r="Y29" s="616">
        <f t="shared" si="1"/>
        <v>0</v>
      </c>
      <c r="Z29" s="633"/>
      <c r="AA29" s="634"/>
      <c r="AB29" s="634"/>
      <c r="AC29" s="7"/>
      <c r="AD29" s="699"/>
      <c r="AE29" s="7"/>
      <c r="AF29" s="618">
        <f t="shared" si="0"/>
        <v>0</v>
      </c>
      <c r="AG29" s="7"/>
      <c r="AH29" s="7"/>
      <c r="AI29" s="7"/>
      <c r="AJ29" s="7"/>
      <c r="AK29" s="7"/>
      <c r="AL29" s="7"/>
    </row>
    <row r="30" spans="1:38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11"/>
      <c r="I30" s="211"/>
      <c r="J30" s="210"/>
      <c r="K30" s="221"/>
      <c r="L30" s="620"/>
      <c r="M30" s="213"/>
      <c r="N30" s="213"/>
      <c r="O30" s="215"/>
      <c r="P30" s="213"/>
      <c r="Q30" s="213"/>
      <c r="R30" s="209"/>
      <c r="S30" s="209"/>
      <c r="T30" s="209"/>
      <c r="U30" s="209"/>
      <c r="V30" s="209"/>
      <c r="W30" s="209"/>
      <c r="X30" s="624"/>
      <c r="Y30" s="625">
        <f t="shared" si="1"/>
        <v>0</v>
      </c>
      <c r="Z30" s="626"/>
      <c r="AA30" s="627"/>
      <c r="AB30" s="627"/>
      <c r="AC30" s="7"/>
      <c r="AD30" s="699">
        <v>3</v>
      </c>
      <c r="AE30" s="7"/>
      <c r="AF30" s="618">
        <f t="shared" si="0"/>
        <v>3</v>
      </c>
      <c r="AG30" s="7"/>
      <c r="AH30" s="7"/>
      <c r="AI30" s="7"/>
      <c r="AJ30" s="7"/>
      <c r="AK30" s="7"/>
      <c r="AL30" s="7"/>
    </row>
    <row r="31" spans="1:38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5"/>
      <c r="I31" s="215"/>
      <c r="J31" s="214"/>
      <c r="K31" s="221"/>
      <c r="L31" s="620"/>
      <c r="M31" s="213"/>
      <c r="N31" s="213"/>
      <c r="O31" s="215"/>
      <c r="P31" s="213"/>
      <c r="Q31" s="213"/>
      <c r="R31" s="213"/>
      <c r="S31" s="213"/>
      <c r="T31" s="213"/>
      <c r="U31" s="213"/>
      <c r="V31" s="213"/>
      <c r="W31" s="213"/>
      <c r="X31" s="615"/>
      <c r="Y31" s="616">
        <f t="shared" si="1"/>
        <v>0</v>
      </c>
      <c r="Z31" s="633"/>
      <c r="AA31" s="634"/>
      <c r="AB31" s="634"/>
      <c r="AC31" s="7"/>
      <c r="AD31" s="699"/>
      <c r="AE31" s="7"/>
      <c r="AF31" s="618">
        <f t="shared" si="0"/>
        <v>0</v>
      </c>
      <c r="AG31" s="7"/>
      <c r="AH31" s="7"/>
      <c r="AI31" s="7"/>
      <c r="AJ31" s="7"/>
      <c r="AK31" s="7"/>
      <c r="AL31" s="7"/>
    </row>
    <row r="32" spans="1:38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5"/>
      <c r="I32" s="215"/>
      <c r="J32" s="214"/>
      <c r="K32" s="221"/>
      <c r="L32" s="620"/>
      <c r="M32" s="213"/>
      <c r="N32" s="213"/>
      <c r="O32" s="215"/>
      <c r="P32" s="213"/>
      <c r="Q32" s="213"/>
      <c r="R32" s="213"/>
      <c r="S32" s="213"/>
      <c r="T32" s="213"/>
      <c r="U32" s="213"/>
      <c r="V32" s="213"/>
      <c r="W32" s="213"/>
      <c r="X32" s="615"/>
      <c r="Y32" s="616">
        <f t="shared" si="1"/>
        <v>0</v>
      </c>
      <c r="Z32" s="633"/>
      <c r="AA32" s="634"/>
      <c r="AB32" s="634"/>
      <c r="AC32" s="7"/>
      <c r="AD32" s="699"/>
      <c r="AE32" s="7"/>
      <c r="AF32" s="618">
        <f t="shared" si="0"/>
        <v>0</v>
      </c>
      <c r="AG32" s="7"/>
      <c r="AH32" s="7"/>
      <c r="AI32" s="7"/>
      <c r="AJ32" s="7"/>
      <c r="AK32" s="7"/>
      <c r="AL32" s="7"/>
    </row>
    <row r="33" spans="1:38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5"/>
      <c r="I33" s="215"/>
      <c r="J33" s="214"/>
      <c r="K33" s="221"/>
      <c r="L33" s="620"/>
      <c r="M33" s="213"/>
      <c r="N33" s="213"/>
      <c r="O33" s="215"/>
      <c r="P33" s="213"/>
      <c r="Q33" s="213"/>
      <c r="R33" s="213"/>
      <c r="S33" s="213"/>
      <c r="T33" s="213"/>
      <c r="U33" s="213"/>
      <c r="V33" s="213"/>
      <c r="W33" s="213"/>
      <c r="X33" s="615"/>
      <c r="Y33" s="616">
        <f t="shared" si="1"/>
        <v>0</v>
      </c>
      <c r="Z33" s="633"/>
      <c r="AA33" s="634"/>
      <c r="AB33" s="634"/>
      <c r="AC33" s="7"/>
      <c r="AD33" s="699"/>
      <c r="AE33" s="7"/>
      <c r="AF33" s="618">
        <f t="shared" si="0"/>
        <v>0</v>
      </c>
      <c r="AG33" s="7"/>
      <c r="AH33" s="7"/>
      <c r="AI33" s="7"/>
      <c r="AJ33" s="7"/>
      <c r="AK33" s="7"/>
      <c r="AL33" s="7"/>
    </row>
    <row r="34" spans="1:38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5"/>
      <c r="I34" s="215"/>
      <c r="J34" s="214"/>
      <c r="K34" s="221"/>
      <c r="L34" s="620"/>
      <c r="M34" s="213"/>
      <c r="N34" s="213"/>
      <c r="O34" s="215"/>
      <c r="P34" s="213"/>
      <c r="Q34" s="213"/>
      <c r="R34" s="213"/>
      <c r="S34" s="213"/>
      <c r="T34" s="213"/>
      <c r="U34" s="213"/>
      <c r="V34" s="213"/>
      <c r="W34" s="213"/>
      <c r="X34" s="615"/>
      <c r="Y34" s="616">
        <f t="shared" si="1"/>
        <v>0</v>
      </c>
      <c r="Z34" s="633"/>
      <c r="AA34" s="634"/>
      <c r="AB34" s="634"/>
      <c r="AC34" s="7"/>
      <c r="AD34" s="699"/>
      <c r="AE34" s="7"/>
      <c r="AF34" s="618">
        <f t="shared" si="0"/>
        <v>0</v>
      </c>
      <c r="AG34" s="7"/>
      <c r="AH34" s="7"/>
      <c r="AI34" s="7"/>
      <c r="AJ34" s="7"/>
      <c r="AK34" s="7"/>
      <c r="AL34" s="7"/>
    </row>
    <row r="35" spans="1:38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5"/>
      <c r="I35" s="215"/>
      <c r="J35" s="214"/>
      <c r="K35" s="221"/>
      <c r="L35" s="620"/>
      <c r="M35" s="213"/>
      <c r="N35" s="213"/>
      <c r="O35" s="215"/>
      <c r="P35" s="213"/>
      <c r="Q35" s="213"/>
      <c r="R35" s="213"/>
      <c r="S35" s="213"/>
      <c r="T35" s="213"/>
      <c r="U35" s="213"/>
      <c r="V35" s="213"/>
      <c r="W35" s="213"/>
      <c r="X35" s="615"/>
      <c r="Y35" s="616">
        <f t="shared" si="1"/>
        <v>0</v>
      </c>
      <c r="Z35" s="633"/>
      <c r="AA35" s="636"/>
      <c r="AB35" s="636"/>
      <c r="AC35" s="7"/>
      <c r="AD35" s="699"/>
      <c r="AE35" s="7"/>
      <c r="AF35" s="618">
        <f t="shared" si="0"/>
        <v>0</v>
      </c>
      <c r="AG35" s="7"/>
      <c r="AH35" s="7"/>
      <c r="AI35" s="7"/>
      <c r="AJ35" s="7"/>
      <c r="AK35" s="7"/>
      <c r="AL35" s="7"/>
    </row>
    <row r="36" spans="1:38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5"/>
      <c r="I36" s="215"/>
      <c r="J36" s="214"/>
      <c r="K36" s="221"/>
      <c r="L36" s="620"/>
      <c r="M36" s="213"/>
      <c r="N36" s="213"/>
      <c r="O36" s="215"/>
      <c r="P36" s="213"/>
      <c r="Q36" s="213"/>
      <c r="R36" s="213"/>
      <c r="S36" s="213"/>
      <c r="T36" s="213"/>
      <c r="U36" s="213"/>
      <c r="V36" s="213"/>
      <c r="W36" s="213"/>
      <c r="X36" s="615"/>
      <c r="Y36" s="616">
        <f t="shared" si="1"/>
        <v>0</v>
      </c>
      <c r="Z36" s="633"/>
      <c r="AA36" s="547" t="s">
        <v>1576</v>
      </c>
      <c r="AB36" s="636"/>
      <c r="AC36" s="7"/>
      <c r="AD36" s="699"/>
      <c r="AE36" s="7"/>
      <c r="AF36" s="618">
        <f t="shared" si="0"/>
        <v>0</v>
      </c>
      <c r="AG36" s="7"/>
      <c r="AH36" s="7"/>
      <c r="AI36" s="7"/>
      <c r="AJ36" s="7"/>
      <c r="AK36" s="7"/>
      <c r="AL36" s="7"/>
    </row>
    <row r="37" spans="1:38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5"/>
      <c r="I37" s="215"/>
      <c r="J37" s="214"/>
      <c r="K37" s="221"/>
      <c r="L37" s="638"/>
      <c r="M37" s="677"/>
      <c r="N37" s="213"/>
      <c r="O37" s="215"/>
      <c r="P37" s="213"/>
      <c r="Q37" s="213"/>
      <c r="R37" s="213"/>
      <c r="S37" s="213"/>
      <c r="T37" s="213"/>
      <c r="U37" s="213"/>
      <c r="V37" s="213"/>
      <c r="W37" s="213"/>
      <c r="X37" s="639"/>
      <c r="Y37" s="616">
        <f t="shared" si="1"/>
        <v>0</v>
      </c>
      <c r="Z37" s="633"/>
      <c r="AA37" s="640"/>
      <c r="AB37" s="640"/>
      <c r="AC37" s="7"/>
      <c r="AD37" s="700"/>
      <c r="AE37" s="7"/>
      <c r="AF37" s="618"/>
      <c r="AG37" s="7"/>
      <c r="AH37" s="7"/>
      <c r="AI37" s="7"/>
      <c r="AJ37" s="7"/>
      <c r="AK37" s="7"/>
      <c r="AL37" s="7"/>
    </row>
    <row r="38" spans="1:38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4</v>
      </c>
      <c r="F38" s="209"/>
      <c r="G38" s="209"/>
      <c r="H38" s="211"/>
      <c r="I38" s="211"/>
      <c r="J38" s="210"/>
      <c r="K38" s="221"/>
      <c r="L38" s="620"/>
      <c r="M38" s="213"/>
      <c r="N38" s="213"/>
      <c r="O38" s="215"/>
      <c r="P38" s="213"/>
      <c r="Q38" s="213"/>
      <c r="R38" s="209"/>
      <c r="S38" s="209"/>
      <c r="T38" s="209"/>
      <c r="U38" s="209"/>
      <c r="V38" s="209"/>
      <c r="W38" s="209"/>
      <c r="X38" s="624"/>
      <c r="Y38" s="625">
        <f t="shared" si="1"/>
        <v>4</v>
      </c>
      <c r="Z38" s="626"/>
      <c r="AA38" s="627" t="s">
        <v>1577</v>
      </c>
      <c r="AB38" s="642">
        <f>Y38</f>
        <v>4</v>
      </c>
      <c r="AC38" s="7"/>
      <c r="AD38" s="699">
        <v>13</v>
      </c>
      <c r="AE38" s="7"/>
      <c r="AF38" s="618">
        <f t="shared" ref="AF38:AF42" si="2">AD38-Y38</f>
        <v>9</v>
      </c>
      <c r="AG38" s="7"/>
      <c r="AH38" s="7"/>
      <c r="AI38" s="7"/>
      <c r="AJ38" s="7"/>
      <c r="AK38" s="7"/>
      <c r="AL38" s="7"/>
    </row>
    <row r="39" spans="1:38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5"/>
      <c r="I39" s="215"/>
      <c r="J39" s="214"/>
      <c r="K39" s="221"/>
      <c r="L39" s="620"/>
      <c r="M39" s="213"/>
      <c r="N39" s="213"/>
      <c r="O39" s="215"/>
      <c r="P39" s="213"/>
      <c r="Q39" s="213"/>
      <c r="R39" s="213"/>
      <c r="S39" s="213"/>
      <c r="T39" s="213"/>
      <c r="U39" s="213"/>
      <c r="V39" s="213"/>
      <c r="W39" s="213"/>
      <c r="X39" s="643"/>
      <c r="Y39" s="616">
        <f t="shared" si="1"/>
        <v>0</v>
      </c>
      <c r="Z39" s="633"/>
      <c r="AA39" s="644" t="s">
        <v>1578</v>
      </c>
      <c r="AB39" s="645">
        <f>Z43</f>
        <v>258</v>
      </c>
      <c r="AC39" s="7"/>
      <c r="AD39" s="699"/>
      <c r="AE39" s="7"/>
      <c r="AF39" s="618">
        <f t="shared" si="2"/>
        <v>0</v>
      </c>
      <c r="AG39" s="7"/>
      <c r="AH39" s="7"/>
      <c r="AI39" s="7"/>
      <c r="AJ39" s="7"/>
      <c r="AK39" s="7"/>
      <c r="AL39" s="7"/>
    </row>
    <row r="40" spans="1:38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5"/>
      <c r="I40" s="215"/>
      <c r="J40" s="214"/>
      <c r="K40" s="221"/>
      <c r="L40" s="620"/>
      <c r="M40" s="213"/>
      <c r="N40" s="213"/>
      <c r="O40" s="215"/>
      <c r="P40" s="213"/>
      <c r="Q40" s="213"/>
      <c r="R40" s="213"/>
      <c r="S40" s="213"/>
      <c r="T40" s="213"/>
      <c r="U40" s="213"/>
      <c r="V40" s="213"/>
      <c r="W40" s="213"/>
      <c r="X40" s="643"/>
      <c r="Y40" s="616">
        <f t="shared" si="1"/>
        <v>0</v>
      </c>
      <c r="Z40" s="633"/>
      <c r="AA40" s="636"/>
      <c r="AB40" s="636"/>
      <c r="AC40" s="7"/>
      <c r="AD40" s="699"/>
      <c r="AE40" s="7"/>
      <c r="AF40" s="618">
        <f t="shared" si="2"/>
        <v>0</v>
      </c>
      <c r="AG40" s="7"/>
      <c r="AH40" s="7"/>
      <c r="AI40" s="7"/>
      <c r="AJ40" s="7"/>
      <c r="AK40" s="7"/>
      <c r="AL40" s="7"/>
    </row>
    <row r="41" spans="1:38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5"/>
      <c r="I41" s="215"/>
      <c r="J41" s="214"/>
      <c r="K41" s="221"/>
      <c r="L41" s="620"/>
      <c r="M41" s="213"/>
      <c r="N41" s="213"/>
      <c r="O41" s="215"/>
      <c r="P41" s="213"/>
      <c r="Q41" s="213"/>
      <c r="R41" s="213"/>
      <c r="S41" s="213"/>
      <c r="T41" s="213"/>
      <c r="U41" s="213"/>
      <c r="V41" s="213"/>
      <c r="W41" s="213"/>
      <c r="X41" s="643"/>
      <c r="Y41" s="616">
        <f t="shared" si="1"/>
        <v>0</v>
      </c>
      <c r="Z41" s="633"/>
      <c r="AA41" s="636"/>
      <c r="AB41" s="636"/>
      <c r="AC41" s="7"/>
      <c r="AD41" s="699"/>
      <c r="AE41" s="7"/>
      <c r="AF41" s="618">
        <f t="shared" si="2"/>
        <v>0</v>
      </c>
      <c r="AG41" s="7"/>
      <c r="AH41" s="7"/>
      <c r="AI41" s="7"/>
      <c r="AJ41" s="7"/>
      <c r="AK41" s="7"/>
      <c r="AL41" s="7"/>
    </row>
    <row r="42" spans="1:38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5"/>
      <c r="I42" s="215"/>
      <c r="J42" s="214"/>
      <c r="K42" s="221"/>
      <c r="L42" s="620"/>
      <c r="M42" s="213"/>
      <c r="N42" s="213"/>
      <c r="O42" s="215"/>
      <c r="P42" s="213"/>
      <c r="Q42" s="213"/>
      <c r="R42" s="213"/>
      <c r="S42" s="213"/>
      <c r="T42" s="213"/>
      <c r="U42" s="213"/>
      <c r="V42" s="213"/>
      <c r="W42" s="213"/>
      <c r="X42" s="643"/>
      <c r="Y42" s="616">
        <f t="shared" si="1"/>
        <v>0</v>
      </c>
      <c r="Z42" s="633"/>
      <c r="AA42" s="636"/>
      <c r="AB42" s="636"/>
      <c r="AC42" s="7"/>
      <c r="AD42" s="699"/>
      <c r="AE42" s="7"/>
      <c r="AF42" s="618">
        <f t="shared" si="2"/>
        <v>0</v>
      </c>
      <c r="AG42" s="7"/>
      <c r="AH42" s="7"/>
      <c r="AI42" s="7"/>
      <c r="AJ42" s="7"/>
      <c r="AK42" s="7"/>
      <c r="AL42" s="7"/>
    </row>
    <row r="43" spans="1:38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3"/>
      <c r="H43" s="215"/>
      <c r="I43" s="215"/>
      <c r="J43" s="214"/>
      <c r="K43" s="221"/>
      <c r="L43" s="620"/>
      <c r="M43" s="213"/>
      <c r="N43" s="213"/>
      <c r="O43" s="215"/>
      <c r="P43" s="213"/>
      <c r="Q43" s="213"/>
      <c r="R43" s="213"/>
      <c r="S43" s="213"/>
      <c r="T43" s="213"/>
      <c r="U43" s="213"/>
      <c r="V43" s="213"/>
      <c r="W43" s="213"/>
      <c r="X43" s="643"/>
      <c r="Y43" s="616">
        <f t="shared" si="1"/>
        <v>0</v>
      </c>
      <c r="Z43" s="633">
        <f>Y43+Y48+Y53+Y62</f>
        <v>258</v>
      </c>
      <c r="AA43" s="634"/>
      <c r="AB43" s="634"/>
      <c r="AC43" s="7"/>
      <c r="AD43" s="699">
        <v>24</v>
      </c>
      <c r="AE43" s="7"/>
      <c r="AF43" s="618"/>
      <c r="AG43" s="7"/>
      <c r="AH43" s="7"/>
      <c r="AI43" s="7"/>
      <c r="AJ43" s="7"/>
      <c r="AK43" s="7"/>
      <c r="AL43" s="7"/>
    </row>
    <row r="44" spans="1:38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5"/>
      <c r="I44" s="215"/>
      <c r="J44" s="214"/>
      <c r="K44" s="221"/>
      <c r="L44" s="620"/>
      <c r="M44" s="213"/>
      <c r="N44" s="213"/>
      <c r="O44" s="215"/>
      <c r="P44" s="213"/>
      <c r="Q44" s="213"/>
      <c r="R44" s="213"/>
      <c r="S44" s="213"/>
      <c r="T44" s="213"/>
      <c r="U44" s="213"/>
      <c r="V44" s="213"/>
      <c r="W44" s="213"/>
      <c r="X44" s="643"/>
      <c r="Y44" s="616">
        <f t="shared" si="1"/>
        <v>0</v>
      </c>
      <c r="Z44" s="633"/>
      <c r="AA44" s="634"/>
      <c r="AB44" s="634"/>
      <c r="AC44" s="7"/>
      <c r="AD44" s="699"/>
      <c r="AE44" s="7"/>
      <c r="AF44" s="618"/>
      <c r="AG44" s="7"/>
      <c r="AH44" s="7"/>
      <c r="AI44" s="7"/>
      <c r="AJ44" s="7"/>
      <c r="AK44" s="7"/>
      <c r="AL44" s="7"/>
    </row>
    <row r="45" spans="1:38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5"/>
      <c r="I45" s="215"/>
      <c r="J45" s="214"/>
      <c r="K45" s="221"/>
      <c r="L45" s="620"/>
      <c r="M45" s="213"/>
      <c r="N45" s="213"/>
      <c r="O45" s="215"/>
      <c r="P45" s="213"/>
      <c r="Q45" s="213"/>
      <c r="R45" s="213"/>
      <c r="S45" s="213"/>
      <c r="T45" s="213"/>
      <c r="U45" s="213"/>
      <c r="V45" s="213"/>
      <c r="W45" s="213"/>
      <c r="X45" s="643"/>
      <c r="Y45" s="616">
        <f t="shared" si="1"/>
        <v>0</v>
      </c>
      <c r="Z45" s="633"/>
      <c r="AA45" s="634"/>
      <c r="AB45" s="634"/>
      <c r="AC45" s="7"/>
      <c r="AD45" s="699"/>
      <c r="AE45" s="7"/>
      <c r="AF45" s="618"/>
      <c r="AG45" s="7"/>
      <c r="AH45" s="7"/>
      <c r="AI45" s="7"/>
      <c r="AJ45" s="7"/>
      <c r="AK45" s="7"/>
      <c r="AL45" s="7"/>
    </row>
    <row r="46" spans="1:38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5"/>
      <c r="I46" s="215"/>
      <c r="J46" s="214"/>
      <c r="K46" s="221"/>
      <c r="L46" s="620"/>
      <c r="M46" s="213"/>
      <c r="N46" s="213"/>
      <c r="O46" s="215"/>
      <c r="P46" s="213"/>
      <c r="Q46" s="213"/>
      <c r="R46" s="213"/>
      <c r="S46" s="213"/>
      <c r="T46" s="213"/>
      <c r="U46" s="213"/>
      <c r="V46" s="213"/>
      <c r="W46" s="213"/>
      <c r="X46" s="643"/>
      <c r="Y46" s="616">
        <f t="shared" si="1"/>
        <v>0</v>
      </c>
      <c r="Z46" s="633"/>
      <c r="AA46" s="634"/>
      <c r="AB46" s="634"/>
      <c r="AC46" s="7"/>
      <c r="AD46" s="699"/>
      <c r="AE46" s="7"/>
      <c r="AF46" s="618"/>
      <c r="AG46" s="7"/>
      <c r="AH46" s="7"/>
      <c r="AI46" s="7"/>
      <c r="AJ46" s="7"/>
      <c r="AK46" s="7"/>
      <c r="AL46" s="7"/>
    </row>
    <row r="47" spans="1:38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5"/>
      <c r="I47" s="215"/>
      <c r="J47" s="214"/>
      <c r="K47" s="221"/>
      <c r="L47" s="620"/>
      <c r="M47" s="213"/>
      <c r="N47" s="213"/>
      <c r="O47" s="215"/>
      <c r="P47" s="213"/>
      <c r="Q47" s="213"/>
      <c r="R47" s="213"/>
      <c r="S47" s="213"/>
      <c r="T47" s="213"/>
      <c r="U47" s="213"/>
      <c r="V47" s="213"/>
      <c r="W47" s="213"/>
      <c r="X47" s="643"/>
      <c r="Y47" s="616">
        <f t="shared" si="1"/>
        <v>0</v>
      </c>
      <c r="Z47" s="633"/>
      <c r="AA47" s="634"/>
      <c r="AB47" s="634"/>
      <c r="AC47" s="7"/>
      <c r="AD47" s="699"/>
      <c r="AE47" s="7"/>
      <c r="AF47" s="618"/>
      <c r="AG47" s="7"/>
      <c r="AH47" s="7"/>
      <c r="AI47" s="7"/>
      <c r="AJ47" s="7"/>
      <c r="AK47" s="7"/>
      <c r="AL47" s="7"/>
    </row>
    <row r="48" spans="1:38" ht="20.25" customHeight="1">
      <c r="A48" s="482"/>
      <c r="B48" s="496" t="s">
        <v>151</v>
      </c>
      <c r="C48" s="555" t="s">
        <v>152</v>
      </c>
      <c r="D48" s="485" t="s">
        <v>132</v>
      </c>
      <c r="E48" s="213"/>
      <c r="F48" s="213">
        <v>1</v>
      </c>
      <c r="G48" s="213">
        <v>5</v>
      </c>
      <c r="H48" s="215"/>
      <c r="I48" s="215"/>
      <c r="J48" s="214"/>
      <c r="K48" s="221"/>
      <c r="L48" s="620"/>
      <c r="M48" s="213"/>
      <c r="N48" s="213"/>
      <c r="O48" s="215"/>
      <c r="P48" s="213"/>
      <c r="Q48" s="213"/>
      <c r="R48" s="213"/>
      <c r="S48" s="213"/>
      <c r="T48" s="213"/>
      <c r="U48" s="213"/>
      <c r="V48" s="213"/>
      <c r="W48" s="213"/>
      <c r="X48" s="643"/>
      <c r="Y48" s="616">
        <f t="shared" si="1"/>
        <v>6</v>
      </c>
      <c r="Z48" s="633"/>
      <c r="AA48" s="634"/>
      <c r="AB48" s="634"/>
      <c r="AC48" s="7"/>
      <c r="AD48" s="699">
        <v>89</v>
      </c>
      <c r="AE48" s="7"/>
      <c r="AF48" s="618"/>
      <c r="AG48" s="7"/>
      <c r="AH48" s="7"/>
      <c r="AI48" s="7"/>
      <c r="AJ48" s="7"/>
      <c r="AK48" s="7"/>
      <c r="AL48" s="7"/>
    </row>
    <row r="49" spans="1:38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5"/>
      <c r="I49" s="215"/>
      <c r="J49" s="214"/>
      <c r="K49" s="221"/>
      <c r="L49" s="620"/>
      <c r="M49" s="213"/>
      <c r="N49" s="213"/>
      <c r="O49" s="215"/>
      <c r="P49" s="213"/>
      <c r="Q49" s="213"/>
      <c r="R49" s="213"/>
      <c r="S49" s="213"/>
      <c r="T49" s="213"/>
      <c r="U49" s="213"/>
      <c r="V49" s="213"/>
      <c r="W49" s="213"/>
      <c r="X49" s="643"/>
      <c r="Y49" s="616">
        <f t="shared" si="1"/>
        <v>0</v>
      </c>
      <c r="Z49" s="633"/>
      <c r="AA49" s="634"/>
      <c r="AB49" s="634"/>
      <c r="AC49" s="7"/>
      <c r="AD49" s="699"/>
      <c r="AE49" s="7"/>
      <c r="AF49" s="618"/>
      <c r="AG49" s="7"/>
      <c r="AH49" s="7"/>
      <c r="AI49" s="7"/>
      <c r="AJ49" s="7"/>
      <c r="AK49" s="7"/>
      <c r="AL49" s="7"/>
    </row>
    <row r="50" spans="1:38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5"/>
      <c r="I50" s="215"/>
      <c r="J50" s="214"/>
      <c r="K50" s="221"/>
      <c r="L50" s="620"/>
      <c r="M50" s="213"/>
      <c r="N50" s="213"/>
      <c r="O50" s="215"/>
      <c r="P50" s="213"/>
      <c r="Q50" s="213"/>
      <c r="R50" s="213"/>
      <c r="S50" s="213"/>
      <c r="T50" s="213"/>
      <c r="U50" s="213"/>
      <c r="V50" s="213"/>
      <c r="W50" s="213"/>
      <c r="X50" s="643"/>
      <c r="Y50" s="616">
        <f t="shared" si="1"/>
        <v>0</v>
      </c>
      <c r="Z50" s="633"/>
      <c r="AA50" s="634"/>
      <c r="AB50" s="634"/>
      <c r="AC50" s="7"/>
      <c r="AD50" s="699"/>
      <c r="AE50" s="7"/>
      <c r="AF50" s="618"/>
      <c r="AG50" s="7"/>
      <c r="AH50" s="7"/>
      <c r="AI50" s="7"/>
      <c r="AJ50" s="7"/>
      <c r="AK50" s="7"/>
      <c r="AL50" s="7"/>
    </row>
    <row r="51" spans="1:38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5"/>
      <c r="I51" s="215"/>
      <c r="J51" s="214"/>
      <c r="K51" s="221"/>
      <c r="L51" s="620"/>
      <c r="M51" s="213"/>
      <c r="N51" s="213"/>
      <c r="O51" s="215"/>
      <c r="P51" s="213"/>
      <c r="Q51" s="213"/>
      <c r="R51" s="213"/>
      <c r="S51" s="213"/>
      <c r="T51" s="213"/>
      <c r="U51" s="213"/>
      <c r="V51" s="213"/>
      <c r="W51" s="213"/>
      <c r="X51" s="643"/>
      <c r="Y51" s="616">
        <f t="shared" si="1"/>
        <v>0</v>
      </c>
      <c r="Z51" s="633"/>
      <c r="AA51" s="634"/>
      <c r="AB51" s="634"/>
      <c r="AC51" s="7"/>
      <c r="AD51" s="699"/>
      <c r="AE51" s="7"/>
      <c r="AF51" s="618"/>
      <c r="AG51" s="7"/>
      <c r="AH51" s="7"/>
      <c r="AI51" s="7"/>
      <c r="AJ51" s="7"/>
      <c r="AK51" s="7"/>
      <c r="AL51" s="7"/>
    </row>
    <row r="52" spans="1:38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5"/>
      <c r="I52" s="215"/>
      <c r="J52" s="214"/>
      <c r="K52" s="221"/>
      <c r="L52" s="620"/>
      <c r="M52" s="213"/>
      <c r="N52" s="213"/>
      <c r="O52" s="215"/>
      <c r="P52" s="213"/>
      <c r="Q52" s="213"/>
      <c r="R52" s="213"/>
      <c r="S52" s="213"/>
      <c r="T52" s="213"/>
      <c r="U52" s="213"/>
      <c r="V52" s="213"/>
      <c r="W52" s="213"/>
      <c r="X52" s="643"/>
      <c r="Y52" s="616">
        <f t="shared" si="1"/>
        <v>0</v>
      </c>
      <c r="Z52" s="633"/>
      <c r="AA52" s="634"/>
      <c r="AB52" s="634"/>
      <c r="AC52" s="7"/>
      <c r="AD52" s="699"/>
      <c r="AE52" s="7"/>
      <c r="AF52" s="618"/>
      <c r="AG52" s="7"/>
      <c r="AH52" s="7"/>
      <c r="AI52" s="7"/>
      <c r="AJ52" s="7"/>
      <c r="AK52" s="7"/>
      <c r="AL52" s="7"/>
    </row>
    <row r="53" spans="1:38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221</v>
      </c>
      <c r="F53" s="213">
        <v>7</v>
      </c>
      <c r="G53" s="213">
        <v>24</v>
      </c>
      <c r="H53" s="215"/>
      <c r="I53" s="215"/>
      <c r="J53" s="214"/>
      <c r="K53" s="221"/>
      <c r="L53" s="620"/>
      <c r="M53" s="213"/>
      <c r="N53" s="213"/>
      <c r="O53" s="215"/>
      <c r="P53" s="213"/>
      <c r="Q53" s="213"/>
      <c r="R53" s="213"/>
      <c r="S53" s="213"/>
      <c r="T53" s="213"/>
      <c r="U53" s="213"/>
      <c r="V53" s="213"/>
      <c r="W53" s="213"/>
      <c r="X53" s="643"/>
      <c r="Y53" s="616">
        <f t="shared" si="1"/>
        <v>252</v>
      </c>
      <c r="Z53" s="633"/>
      <c r="AA53" s="634"/>
      <c r="AB53" s="634"/>
      <c r="AC53" s="7"/>
      <c r="AD53" s="699">
        <v>848</v>
      </c>
      <c r="AE53" s="7"/>
      <c r="AF53" s="618">
        <v>1</v>
      </c>
      <c r="AG53" s="7"/>
      <c r="AH53" s="7"/>
      <c r="AI53" s="7"/>
      <c r="AJ53" s="7"/>
      <c r="AK53" s="7"/>
      <c r="AL53" s="7"/>
    </row>
    <row r="54" spans="1:38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5"/>
      <c r="I54" s="215"/>
      <c r="J54" s="214"/>
      <c r="K54" s="221"/>
      <c r="L54" s="620"/>
      <c r="M54" s="213"/>
      <c r="N54" s="213"/>
      <c r="O54" s="215"/>
      <c r="P54" s="213"/>
      <c r="Q54" s="213"/>
      <c r="R54" s="213"/>
      <c r="S54" s="213"/>
      <c r="T54" s="213"/>
      <c r="U54" s="213"/>
      <c r="V54" s="213"/>
      <c r="W54" s="213"/>
      <c r="X54" s="643"/>
      <c r="Y54" s="616">
        <f t="shared" si="1"/>
        <v>0</v>
      </c>
      <c r="Z54" s="633"/>
      <c r="AA54" s="634"/>
      <c r="AB54" s="634"/>
      <c r="AC54" s="7"/>
      <c r="AD54" s="699"/>
      <c r="AE54" s="7"/>
      <c r="AF54" s="618">
        <f t="shared" ref="AF54:AF57" si="3">AD54-Y54</f>
        <v>0</v>
      </c>
      <c r="AG54" s="7"/>
      <c r="AH54" s="7"/>
      <c r="AI54" s="7"/>
      <c r="AJ54" s="7"/>
      <c r="AK54" s="7"/>
      <c r="AL54" s="7"/>
    </row>
    <row r="55" spans="1:38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5"/>
      <c r="I55" s="215"/>
      <c r="J55" s="214"/>
      <c r="K55" s="221"/>
      <c r="L55" s="620"/>
      <c r="M55" s="213"/>
      <c r="N55" s="213"/>
      <c r="O55" s="215"/>
      <c r="P55" s="213"/>
      <c r="Q55" s="213"/>
      <c r="R55" s="213"/>
      <c r="S55" s="213"/>
      <c r="T55" s="213"/>
      <c r="U55" s="213"/>
      <c r="V55" s="213"/>
      <c r="W55" s="213"/>
      <c r="X55" s="643"/>
      <c r="Y55" s="616">
        <f t="shared" si="1"/>
        <v>0</v>
      </c>
      <c r="Z55" s="633"/>
      <c r="AA55" s="634"/>
      <c r="AB55" s="634"/>
      <c r="AC55" s="7"/>
      <c r="AD55" s="699"/>
      <c r="AE55" s="7"/>
      <c r="AF55" s="618">
        <f t="shared" si="3"/>
        <v>0</v>
      </c>
      <c r="AG55" s="7"/>
      <c r="AH55" s="7"/>
      <c r="AI55" s="7"/>
      <c r="AJ55" s="7"/>
      <c r="AK55" s="7"/>
      <c r="AL55" s="7"/>
    </row>
    <row r="56" spans="1:38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5"/>
      <c r="I56" s="215"/>
      <c r="J56" s="214"/>
      <c r="K56" s="221"/>
      <c r="L56" s="620"/>
      <c r="M56" s="213"/>
      <c r="N56" s="213"/>
      <c r="O56" s="215"/>
      <c r="P56" s="213"/>
      <c r="Q56" s="213"/>
      <c r="R56" s="213"/>
      <c r="S56" s="213"/>
      <c r="T56" s="213"/>
      <c r="U56" s="213"/>
      <c r="V56" s="213"/>
      <c r="W56" s="213"/>
      <c r="X56" s="643"/>
      <c r="Y56" s="616">
        <f t="shared" si="1"/>
        <v>0</v>
      </c>
      <c r="Z56" s="633"/>
      <c r="AA56" s="634"/>
      <c r="AB56" s="634"/>
      <c r="AC56" s="7"/>
      <c r="AD56" s="699"/>
      <c r="AE56" s="7"/>
      <c r="AF56" s="618">
        <f t="shared" si="3"/>
        <v>0</v>
      </c>
      <c r="AG56" s="7"/>
      <c r="AH56" s="7"/>
      <c r="AI56" s="7"/>
      <c r="AJ56" s="7"/>
      <c r="AK56" s="7"/>
      <c r="AL56" s="7"/>
    </row>
    <row r="57" spans="1:38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5"/>
      <c r="I57" s="215"/>
      <c r="J57" s="214"/>
      <c r="K57" s="221"/>
      <c r="L57" s="620"/>
      <c r="M57" s="213"/>
      <c r="N57" s="213"/>
      <c r="O57" s="215"/>
      <c r="P57" s="213"/>
      <c r="Q57" s="213"/>
      <c r="R57" s="213"/>
      <c r="S57" s="213"/>
      <c r="T57" s="213"/>
      <c r="U57" s="213"/>
      <c r="V57" s="213"/>
      <c r="W57" s="213"/>
      <c r="X57" s="643"/>
      <c r="Y57" s="616">
        <f t="shared" si="1"/>
        <v>0</v>
      </c>
      <c r="Z57" s="633"/>
      <c r="AA57" s="634"/>
      <c r="AB57" s="634"/>
      <c r="AC57" s="7"/>
      <c r="AD57" s="699"/>
      <c r="AE57" s="7"/>
      <c r="AF57" s="618">
        <f t="shared" si="3"/>
        <v>0</v>
      </c>
      <c r="AG57" s="7"/>
      <c r="AH57" s="7"/>
      <c r="AI57" s="7"/>
      <c r="AJ57" s="7"/>
      <c r="AK57" s="7"/>
      <c r="AL57" s="7"/>
    </row>
    <row r="58" spans="1:38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215"/>
      <c r="I58" s="215"/>
      <c r="J58" s="374"/>
      <c r="K58" s="310"/>
      <c r="L58" s="620"/>
      <c r="M58" s="213"/>
      <c r="N58" s="219"/>
      <c r="O58" s="215"/>
      <c r="P58" s="213"/>
      <c r="Q58" s="219"/>
      <c r="R58" s="219"/>
      <c r="S58" s="219"/>
      <c r="T58" s="219"/>
      <c r="U58" s="219"/>
      <c r="V58" s="219"/>
      <c r="W58" s="219"/>
      <c r="X58" s="643"/>
      <c r="Y58" s="616">
        <f t="shared" si="1"/>
        <v>0</v>
      </c>
      <c r="Z58" s="633"/>
      <c r="AA58" s="634"/>
      <c r="AB58" s="634"/>
      <c r="AC58" s="7"/>
      <c r="AD58" s="699">
        <v>675</v>
      </c>
      <c r="AE58" s="7"/>
      <c r="AF58" s="618"/>
      <c r="AG58" s="7"/>
      <c r="AH58" s="7"/>
      <c r="AI58" s="7"/>
      <c r="AJ58" s="7"/>
      <c r="AK58" s="7"/>
      <c r="AL58" s="7"/>
    </row>
    <row r="59" spans="1:38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5"/>
      <c r="I59" s="215"/>
      <c r="J59" s="214"/>
      <c r="K59" s="221"/>
      <c r="L59" s="647"/>
      <c r="M59" s="213"/>
      <c r="N59" s="213"/>
      <c r="O59" s="215"/>
      <c r="P59" s="213"/>
      <c r="Q59" s="213"/>
      <c r="R59" s="213"/>
      <c r="S59" s="213"/>
      <c r="T59" s="213"/>
      <c r="U59" s="213"/>
      <c r="V59" s="213"/>
      <c r="W59" s="213"/>
      <c r="X59" s="643"/>
      <c r="Y59" s="616">
        <f t="shared" si="1"/>
        <v>0</v>
      </c>
      <c r="Z59" s="633"/>
      <c r="AA59" s="648"/>
      <c r="AB59" s="648"/>
      <c r="AC59" s="7"/>
      <c r="AD59" s="699"/>
      <c r="AE59" s="7"/>
      <c r="AF59" s="618">
        <f t="shared" ref="AF59:AF62" si="4">AD59-Y59</f>
        <v>0</v>
      </c>
      <c r="AG59" s="7"/>
      <c r="AH59" s="7"/>
      <c r="AI59" s="7"/>
      <c r="AJ59" s="7"/>
      <c r="AK59" s="7"/>
      <c r="AL59" s="7"/>
    </row>
    <row r="60" spans="1:38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5"/>
      <c r="I60" s="215"/>
      <c r="J60" s="214"/>
      <c r="K60" s="221"/>
      <c r="L60" s="647"/>
      <c r="M60" s="213"/>
      <c r="N60" s="213"/>
      <c r="O60" s="215"/>
      <c r="P60" s="213"/>
      <c r="Q60" s="213"/>
      <c r="R60" s="213"/>
      <c r="S60" s="213"/>
      <c r="T60" s="213"/>
      <c r="U60" s="213"/>
      <c r="V60" s="213"/>
      <c r="W60" s="213"/>
      <c r="X60" s="643"/>
      <c r="Y60" s="616">
        <f t="shared" si="1"/>
        <v>0</v>
      </c>
      <c r="Z60" s="633"/>
      <c r="AA60" s="648"/>
      <c r="AB60" s="648"/>
      <c r="AC60" s="7"/>
      <c r="AD60" s="699"/>
      <c r="AE60" s="7"/>
      <c r="AF60" s="618">
        <f t="shared" si="4"/>
        <v>0</v>
      </c>
      <c r="AG60" s="7"/>
      <c r="AH60" s="7"/>
      <c r="AI60" s="7"/>
      <c r="AJ60" s="7"/>
      <c r="AK60" s="7"/>
      <c r="AL60" s="7"/>
    </row>
    <row r="61" spans="1:38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5"/>
      <c r="I61" s="215"/>
      <c r="J61" s="214"/>
      <c r="K61" s="221"/>
      <c r="L61" s="647"/>
      <c r="M61" s="213"/>
      <c r="N61" s="213"/>
      <c r="O61" s="215"/>
      <c r="P61" s="213"/>
      <c r="Q61" s="213"/>
      <c r="R61" s="213"/>
      <c r="S61" s="213"/>
      <c r="T61" s="213"/>
      <c r="U61" s="213"/>
      <c r="V61" s="213"/>
      <c r="W61" s="213"/>
      <c r="X61" s="643"/>
      <c r="Y61" s="616">
        <f t="shared" si="1"/>
        <v>0</v>
      </c>
      <c r="Z61" s="633"/>
      <c r="AA61" s="648"/>
      <c r="AB61" s="648"/>
      <c r="AC61" s="7"/>
      <c r="AD61" s="699"/>
      <c r="AE61" s="7"/>
      <c r="AF61" s="618">
        <f t="shared" si="4"/>
        <v>0</v>
      </c>
      <c r="AG61" s="7"/>
      <c r="AH61" s="7"/>
      <c r="AI61" s="7"/>
      <c r="AJ61" s="7"/>
      <c r="AK61" s="7"/>
      <c r="AL61" s="7"/>
    </row>
    <row r="62" spans="1:38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5"/>
      <c r="I62" s="215"/>
      <c r="J62" s="214"/>
      <c r="K62" s="221"/>
      <c r="L62" s="620"/>
      <c r="M62" s="213"/>
      <c r="N62" s="213"/>
      <c r="O62" s="215"/>
      <c r="P62" s="213"/>
      <c r="Q62" s="213"/>
      <c r="R62" s="213"/>
      <c r="S62" s="213"/>
      <c r="T62" s="213"/>
      <c r="U62" s="213"/>
      <c r="V62" s="213"/>
      <c r="W62" s="213"/>
      <c r="X62" s="643"/>
      <c r="Y62" s="616">
        <f t="shared" si="1"/>
        <v>0</v>
      </c>
      <c r="Z62" s="633"/>
      <c r="AA62" s="636"/>
      <c r="AB62" s="636"/>
      <c r="AC62" s="7"/>
      <c r="AD62" s="699">
        <v>4</v>
      </c>
      <c r="AE62" s="7"/>
      <c r="AF62" s="618">
        <f t="shared" si="4"/>
        <v>4</v>
      </c>
      <c r="AG62" s="7"/>
      <c r="AH62" s="7"/>
      <c r="AI62" s="7"/>
      <c r="AJ62" s="7"/>
      <c r="AK62" s="7"/>
      <c r="AL62" s="7"/>
    </row>
    <row r="63" spans="1:38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5"/>
      <c r="I63" s="215"/>
      <c r="J63" s="214"/>
      <c r="K63" s="221"/>
      <c r="L63" s="638"/>
      <c r="M63" s="213"/>
      <c r="N63" s="213"/>
      <c r="O63" s="215"/>
      <c r="P63" s="213"/>
      <c r="Q63" s="213"/>
      <c r="R63" s="213"/>
      <c r="S63" s="213"/>
      <c r="T63" s="213"/>
      <c r="U63" s="213"/>
      <c r="V63" s="213"/>
      <c r="W63" s="213"/>
      <c r="X63" s="643"/>
      <c r="Y63" s="616">
        <f t="shared" si="1"/>
        <v>0</v>
      </c>
      <c r="Z63" s="633"/>
      <c r="AA63" s="636"/>
      <c r="AB63" s="636"/>
      <c r="AC63" s="7"/>
      <c r="AD63" s="699"/>
      <c r="AE63" s="7"/>
      <c r="AF63" s="618"/>
      <c r="AG63" s="7"/>
      <c r="AH63" s="7"/>
      <c r="AI63" s="7"/>
      <c r="AJ63" s="7"/>
      <c r="AK63" s="7"/>
      <c r="AL63" s="7"/>
    </row>
    <row r="64" spans="1:38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5"/>
      <c r="I64" s="215"/>
      <c r="J64" s="214"/>
      <c r="K64" s="221"/>
      <c r="L64" s="638"/>
      <c r="M64" s="213"/>
      <c r="N64" s="213"/>
      <c r="O64" s="215"/>
      <c r="P64" s="213"/>
      <c r="Q64" s="213"/>
      <c r="R64" s="213"/>
      <c r="S64" s="213"/>
      <c r="T64" s="213"/>
      <c r="U64" s="213"/>
      <c r="V64" s="213"/>
      <c r="W64" s="213"/>
      <c r="X64" s="643"/>
      <c r="Y64" s="616">
        <f t="shared" si="1"/>
        <v>0</v>
      </c>
      <c r="Z64" s="633"/>
      <c r="AA64" s="640"/>
      <c r="AB64" s="640"/>
      <c r="AC64" s="7"/>
      <c r="AD64" s="699"/>
      <c r="AE64" s="7"/>
      <c r="AF64" s="618">
        <f t="shared" ref="AF64:AF65" si="5">AD64-Y64</f>
        <v>0</v>
      </c>
      <c r="AG64" s="7"/>
      <c r="AH64" s="7"/>
      <c r="AI64" s="7"/>
      <c r="AJ64" s="7"/>
      <c r="AK64" s="7"/>
      <c r="AL64" s="7"/>
    </row>
    <row r="65" spans="1:38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3"/>
      <c r="H65" s="215"/>
      <c r="I65" s="215"/>
      <c r="J65" s="214"/>
      <c r="K65" s="221"/>
      <c r="L65" s="620"/>
      <c r="M65" s="213"/>
      <c r="N65" s="213"/>
      <c r="O65" s="215"/>
      <c r="P65" s="213"/>
      <c r="Q65" s="213"/>
      <c r="R65" s="213"/>
      <c r="S65" s="213"/>
      <c r="T65" s="213"/>
      <c r="U65" s="213"/>
      <c r="V65" s="213"/>
      <c r="W65" s="213"/>
      <c r="X65" s="643"/>
      <c r="Y65" s="616">
        <f t="shared" si="1"/>
        <v>0</v>
      </c>
      <c r="Z65" s="633"/>
      <c r="AA65" s="636"/>
      <c r="AB65" s="636"/>
      <c r="AC65" s="7"/>
      <c r="AD65" s="699">
        <v>20</v>
      </c>
      <c r="AE65" s="7"/>
      <c r="AF65" s="618">
        <f t="shared" si="5"/>
        <v>20</v>
      </c>
      <c r="AG65" s="7"/>
      <c r="AH65" s="7"/>
      <c r="AI65" s="7"/>
      <c r="AJ65" s="7"/>
      <c r="AK65" s="7"/>
      <c r="AL65" s="7"/>
    </row>
    <row r="66" spans="1:38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5"/>
      <c r="I66" s="215"/>
      <c r="J66" s="214"/>
      <c r="K66" s="221"/>
      <c r="L66" s="620"/>
      <c r="M66" s="213"/>
      <c r="N66" s="213"/>
      <c r="O66" s="215"/>
      <c r="P66" s="213"/>
      <c r="Q66" s="213"/>
      <c r="R66" s="213"/>
      <c r="S66" s="213"/>
      <c r="T66" s="213"/>
      <c r="U66" s="213"/>
      <c r="V66" s="213"/>
      <c r="W66" s="213"/>
      <c r="X66" s="643"/>
      <c r="Y66" s="616">
        <f t="shared" si="1"/>
        <v>0</v>
      </c>
      <c r="Z66" s="633"/>
      <c r="AA66" s="636"/>
      <c r="AB66" s="636"/>
      <c r="AC66" s="7"/>
      <c r="AD66" s="699"/>
      <c r="AE66" s="7"/>
      <c r="AF66" s="618"/>
      <c r="AG66" s="7"/>
      <c r="AH66" s="7"/>
      <c r="AI66" s="7"/>
      <c r="AJ66" s="7"/>
      <c r="AK66" s="7"/>
      <c r="AL66" s="7"/>
    </row>
    <row r="67" spans="1:38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5"/>
      <c r="I67" s="215"/>
      <c r="J67" s="214"/>
      <c r="K67" s="221"/>
      <c r="L67" s="620"/>
      <c r="M67" s="213"/>
      <c r="N67" s="213"/>
      <c r="O67" s="215"/>
      <c r="P67" s="213"/>
      <c r="Q67" s="213"/>
      <c r="R67" s="213"/>
      <c r="S67" s="213"/>
      <c r="T67" s="213"/>
      <c r="U67" s="213"/>
      <c r="V67" s="213"/>
      <c r="W67" s="213"/>
      <c r="X67" s="643"/>
      <c r="Y67" s="616">
        <f t="shared" si="1"/>
        <v>0</v>
      </c>
      <c r="Z67" s="633"/>
      <c r="AA67" s="634"/>
      <c r="AB67" s="634"/>
      <c r="AC67" s="7"/>
      <c r="AD67" s="699"/>
      <c r="AE67" s="7"/>
      <c r="AF67" s="618">
        <f t="shared" ref="AF67:AF68" si="6">AD67-Y67</f>
        <v>0</v>
      </c>
      <c r="AG67" s="7"/>
      <c r="AH67" s="7"/>
      <c r="AI67" s="7"/>
      <c r="AJ67" s="7"/>
      <c r="AK67" s="7"/>
      <c r="AL67" s="7"/>
    </row>
    <row r="68" spans="1:38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5"/>
      <c r="I68" s="215"/>
      <c r="J68" s="214"/>
      <c r="K68" s="221"/>
      <c r="L68" s="620"/>
      <c r="M68" s="213"/>
      <c r="N68" s="213"/>
      <c r="O68" s="215"/>
      <c r="P68" s="213"/>
      <c r="Q68" s="213"/>
      <c r="R68" s="213"/>
      <c r="S68" s="213"/>
      <c r="T68" s="213"/>
      <c r="U68" s="213"/>
      <c r="V68" s="213"/>
      <c r="W68" s="213"/>
      <c r="X68" s="643"/>
      <c r="Y68" s="616">
        <f t="shared" si="1"/>
        <v>0</v>
      </c>
      <c r="Z68" s="633"/>
      <c r="AA68" s="634"/>
      <c r="AB68" s="634"/>
      <c r="AC68" s="7"/>
      <c r="AD68" s="699"/>
      <c r="AE68" s="7"/>
      <c r="AF68" s="618">
        <f t="shared" si="6"/>
        <v>0</v>
      </c>
      <c r="AG68" s="7"/>
      <c r="AH68" s="7"/>
      <c r="AI68" s="7"/>
      <c r="AJ68" s="7"/>
      <c r="AK68" s="7"/>
      <c r="AL68" s="7"/>
    </row>
    <row r="69" spans="1:38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5"/>
      <c r="I69" s="215"/>
      <c r="J69" s="214"/>
      <c r="K69" s="221"/>
      <c r="L69" s="620"/>
      <c r="M69" s="213"/>
      <c r="N69" s="213"/>
      <c r="O69" s="215"/>
      <c r="P69" s="213"/>
      <c r="Q69" s="213"/>
      <c r="R69" s="213"/>
      <c r="S69" s="213"/>
      <c r="T69" s="213"/>
      <c r="U69" s="213"/>
      <c r="V69" s="213"/>
      <c r="W69" s="213"/>
      <c r="X69" s="643"/>
      <c r="Y69" s="616">
        <f t="shared" si="1"/>
        <v>0</v>
      </c>
      <c r="Z69" s="633"/>
      <c r="AA69" s="634"/>
      <c r="AB69" s="634"/>
      <c r="AC69" s="7"/>
      <c r="AD69" s="699"/>
      <c r="AE69" s="7"/>
      <c r="AF69" s="618"/>
      <c r="AG69" s="7"/>
      <c r="AH69" s="7"/>
      <c r="AI69" s="7"/>
      <c r="AJ69" s="7"/>
      <c r="AK69" s="7"/>
      <c r="AL69" s="7"/>
    </row>
    <row r="70" spans="1:38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5"/>
      <c r="I70" s="215"/>
      <c r="J70" s="214"/>
      <c r="K70" s="221"/>
      <c r="L70" s="620"/>
      <c r="M70" s="213"/>
      <c r="N70" s="213"/>
      <c r="O70" s="215"/>
      <c r="P70" s="213"/>
      <c r="Q70" s="213"/>
      <c r="R70" s="213"/>
      <c r="S70" s="213"/>
      <c r="T70" s="213"/>
      <c r="U70" s="213"/>
      <c r="V70" s="213"/>
      <c r="W70" s="213"/>
      <c r="X70" s="643"/>
      <c r="Y70" s="616">
        <f t="shared" si="1"/>
        <v>0</v>
      </c>
      <c r="Z70" s="633"/>
      <c r="AA70" s="634"/>
      <c r="AB70" s="634"/>
      <c r="AC70" s="7"/>
      <c r="AD70" s="699"/>
      <c r="AE70" s="7"/>
      <c r="AF70" s="618">
        <f t="shared" ref="AF70:AF93" si="7">AD70-Y70</f>
        <v>0</v>
      </c>
      <c r="AG70" s="7"/>
      <c r="AH70" s="7"/>
      <c r="AI70" s="7"/>
      <c r="AJ70" s="7"/>
      <c r="AK70" s="7"/>
      <c r="AL70" s="7"/>
    </row>
    <row r="71" spans="1:38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5"/>
      <c r="I71" s="215"/>
      <c r="J71" s="214"/>
      <c r="K71" s="221"/>
      <c r="L71" s="620"/>
      <c r="M71" s="213"/>
      <c r="N71" s="213"/>
      <c r="O71" s="215"/>
      <c r="P71" s="213"/>
      <c r="Q71" s="213"/>
      <c r="R71" s="213"/>
      <c r="S71" s="213"/>
      <c r="T71" s="213"/>
      <c r="U71" s="213"/>
      <c r="V71" s="213"/>
      <c r="W71" s="213"/>
      <c r="X71" s="643"/>
      <c r="Y71" s="616">
        <f t="shared" si="1"/>
        <v>0</v>
      </c>
      <c r="Z71" s="633"/>
      <c r="AA71" s="636"/>
      <c r="AB71" s="636"/>
      <c r="AC71" s="7"/>
      <c r="AD71" s="699"/>
      <c r="AE71" s="7"/>
      <c r="AF71" s="618">
        <f t="shared" si="7"/>
        <v>0</v>
      </c>
      <c r="AG71" s="7"/>
      <c r="AH71" s="7"/>
      <c r="AI71" s="7"/>
      <c r="AJ71" s="7"/>
      <c r="AK71" s="7"/>
      <c r="AL71" s="7"/>
    </row>
    <row r="72" spans="1:38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5"/>
      <c r="I72" s="215"/>
      <c r="J72" s="214"/>
      <c r="K72" s="221"/>
      <c r="L72" s="647"/>
      <c r="M72" s="213"/>
      <c r="N72" s="213"/>
      <c r="O72" s="215"/>
      <c r="P72" s="213"/>
      <c r="Q72" s="213"/>
      <c r="R72" s="213"/>
      <c r="S72" s="213"/>
      <c r="T72" s="213"/>
      <c r="U72" s="213"/>
      <c r="V72" s="213"/>
      <c r="W72" s="213"/>
      <c r="X72" s="643"/>
      <c r="Y72" s="616">
        <f t="shared" si="1"/>
        <v>0</v>
      </c>
      <c r="Z72" s="633"/>
      <c r="AA72" s="648"/>
      <c r="AB72" s="648"/>
      <c r="AC72" s="7"/>
      <c r="AD72" s="699"/>
      <c r="AE72" s="7"/>
      <c r="AF72" s="618">
        <f t="shared" si="7"/>
        <v>0</v>
      </c>
      <c r="AG72" s="7"/>
      <c r="AH72" s="7"/>
      <c r="AI72" s="7"/>
      <c r="AJ72" s="7"/>
      <c r="AK72" s="7"/>
      <c r="AL72" s="7"/>
    </row>
    <row r="73" spans="1:38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5"/>
      <c r="I73" s="215"/>
      <c r="J73" s="214"/>
      <c r="K73" s="221"/>
      <c r="L73" s="647"/>
      <c r="M73" s="213"/>
      <c r="N73" s="213"/>
      <c r="O73" s="215"/>
      <c r="P73" s="213"/>
      <c r="Q73" s="213"/>
      <c r="R73" s="213"/>
      <c r="S73" s="213"/>
      <c r="T73" s="213"/>
      <c r="U73" s="213"/>
      <c r="V73" s="213"/>
      <c r="W73" s="213"/>
      <c r="X73" s="643"/>
      <c r="Y73" s="616">
        <f t="shared" si="1"/>
        <v>0</v>
      </c>
      <c r="Z73" s="633"/>
      <c r="AA73" s="648"/>
      <c r="AB73" s="648"/>
      <c r="AC73" s="7"/>
      <c r="AD73" s="699"/>
      <c r="AE73" s="7"/>
      <c r="AF73" s="618">
        <f t="shared" si="7"/>
        <v>0</v>
      </c>
      <c r="AG73" s="7"/>
      <c r="AH73" s="7"/>
      <c r="AI73" s="7"/>
      <c r="AJ73" s="7"/>
      <c r="AK73" s="7"/>
      <c r="AL73" s="7"/>
    </row>
    <row r="74" spans="1:38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5"/>
      <c r="I74" s="215"/>
      <c r="J74" s="214"/>
      <c r="K74" s="221"/>
      <c r="L74" s="647"/>
      <c r="M74" s="213"/>
      <c r="N74" s="213"/>
      <c r="O74" s="215"/>
      <c r="P74" s="213"/>
      <c r="Q74" s="213"/>
      <c r="R74" s="213"/>
      <c r="S74" s="213"/>
      <c r="T74" s="213"/>
      <c r="U74" s="213"/>
      <c r="V74" s="213"/>
      <c r="W74" s="213"/>
      <c r="X74" s="643"/>
      <c r="Y74" s="616">
        <f t="shared" si="1"/>
        <v>0</v>
      </c>
      <c r="Z74" s="633"/>
      <c r="AA74" s="648"/>
      <c r="AB74" s="648"/>
      <c r="AC74" s="7"/>
      <c r="AD74" s="699"/>
      <c r="AE74" s="7"/>
      <c r="AF74" s="618">
        <f t="shared" si="7"/>
        <v>0</v>
      </c>
      <c r="AG74" s="7"/>
      <c r="AH74" s="7"/>
      <c r="AI74" s="7"/>
      <c r="AJ74" s="7"/>
      <c r="AK74" s="7"/>
      <c r="AL74" s="7"/>
    </row>
    <row r="75" spans="1:38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5"/>
      <c r="I75" s="215"/>
      <c r="J75" s="214"/>
      <c r="K75" s="221"/>
      <c r="L75" s="638"/>
      <c r="M75" s="213"/>
      <c r="N75" s="213"/>
      <c r="O75" s="215"/>
      <c r="P75" s="213"/>
      <c r="Q75" s="213"/>
      <c r="R75" s="213"/>
      <c r="S75" s="213"/>
      <c r="T75" s="213"/>
      <c r="U75" s="213"/>
      <c r="V75" s="213"/>
      <c r="W75" s="213"/>
      <c r="X75" s="643"/>
      <c r="Y75" s="616">
        <f t="shared" si="1"/>
        <v>0</v>
      </c>
      <c r="Z75" s="633"/>
      <c r="AA75" s="636"/>
      <c r="AB75" s="636"/>
      <c r="AC75" s="7"/>
      <c r="AD75" s="699"/>
      <c r="AE75" s="7"/>
      <c r="AF75" s="618">
        <f t="shared" si="7"/>
        <v>0</v>
      </c>
      <c r="AG75" s="7"/>
      <c r="AH75" s="7"/>
      <c r="AI75" s="7"/>
      <c r="AJ75" s="7"/>
      <c r="AK75" s="7"/>
      <c r="AL75" s="7"/>
    </row>
    <row r="76" spans="1:38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5"/>
      <c r="I76" s="215"/>
      <c r="J76" s="214"/>
      <c r="K76" s="221"/>
      <c r="L76" s="638"/>
      <c r="M76" s="213"/>
      <c r="N76" s="213"/>
      <c r="O76" s="215"/>
      <c r="P76" s="213"/>
      <c r="Q76" s="213"/>
      <c r="R76" s="213"/>
      <c r="S76" s="213"/>
      <c r="T76" s="213"/>
      <c r="U76" s="213"/>
      <c r="V76" s="213"/>
      <c r="W76" s="213"/>
      <c r="X76" s="643"/>
      <c r="Y76" s="616">
        <f t="shared" si="1"/>
        <v>0</v>
      </c>
      <c r="Z76" s="633"/>
      <c r="AA76" s="636"/>
      <c r="AB76" s="636"/>
      <c r="AC76" s="7"/>
      <c r="AD76" s="699"/>
      <c r="AE76" s="7"/>
      <c r="AF76" s="618">
        <f t="shared" si="7"/>
        <v>0</v>
      </c>
      <c r="AG76" s="7"/>
      <c r="AH76" s="7"/>
      <c r="AI76" s="7"/>
      <c r="AJ76" s="7"/>
      <c r="AK76" s="7"/>
      <c r="AL76" s="7"/>
    </row>
    <row r="77" spans="1:38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5"/>
      <c r="I77" s="215"/>
      <c r="J77" s="214"/>
      <c r="K77" s="221"/>
      <c r="L77" s="638"/>
      <c r="M77" s="213"/>
      <c r="N77" s="213"/>
      <c r="O77" s="215"/>
      <c r="P77" s="213"/>
      <c r="Q77" s="213"/>
      <c r="R77" s="213"/>
      <c r="S77" s="213"/>
      <c r="T77" s="213"/>
      <c r="U77" s="213"/>
      <c r="V77" s="213"/>
      <c r="W77" s="213"/>
      <c r="X77" s="643"/>
      <c r="Y77" s="616">
        <f t="shared" si="1"/>
        <v>0</v>
      </c>
      <c r="Z77" s="633"/>
      <c r="AA77" s="640"/>
      <c r="AB77" s="640"/>
      <c r="AC77" s="7"/>
      <c r="AD77" s="699"/>
      <c r="AE77" s="7"/>
      <c r="AF77" s="618">
        <f t="shared" si="7"/>
        <v>0</v>
      </c>
      <c r="AG77" s="7"/>
      <c r="AH77" s="7"/>
      <c r="AI77" s="7"/>
      <c r="AJ77" s="7"/>
      <c r="AK77" s="7"/>
      <c r="AL77" s="7"/>
    </row>
    <row r="78" spans="1:38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5"/>
      <c r="I78" s="215"/>
      <c r="J78" s="214"/>
      <c r="K78" s="221"/>
      <c r="L78" s="649"/>
      <c r="M78" s="213"/>
      <c r="N78" s="213"/>
      <c r="O78" s="215"/>
      <c r="P78" s="213"/>
      <c r="Q78" s="213"/>
      <c r="R78" s="213"/>
      <c r="S78" s="213"/>
      <c r="T78" s="213"/>
      <c r="U78" s="213"/>
      <c r="V78" s="213"/>
      <c r="W78" s="213"/>
      <c r="X78" s="643"/>
      <c r="Y78" s="616">
        <f t="shared" si="1"/>
        <v>0</v>
      </c>
      <c r="Z78" s="633"/>
      <c r="AA78" s="636"/>
      <c r="AB78" s="636"/>
      <c r="AC78" s="7"/>
      <c r="AD78" s="699">
        <v>3</v>
      </c>
      <c r="AE78" s="7"/>
      <c r="AF78" s="618">
        <f t="shared" si="7"/>
        <v>3</v>
      </c>
      <c r="AG78" s="7"/>
      <c r="AH78" s="7"/>
      <c r="AI78" s="7"/>
      <c r="AJ78" s="7"/>
      <c r="AK78" s="7"/>
      <c r="AL78" s="7"/>
    </row>
    <row r="79" spans="1:38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5"/>
      <c r="I79" s="215"/>
      <c r="J79" s="214"/>
      <c r="K79" s="221"/>
      <c r="L79" s="620"/>
      <c r="M79" s="213"/>
      <c r="N79" s="213"/>
      <c r="O79" s="215"/>
      <c r="P79" s="213"/>
      <c r="Q79" s="213"/>
      <c r="R79" s="213"/>
      <c r="S79" s="213"/>
      <c r="T79" s="213"/>
      <c r="U79" s="213"/>
      <c r="V79" s="213"/>
      <c r="W79" s="213"/>
      <c r="X79" s="643"/>
      <c r="Y79" s="616">
        <f t="shared" si="1"/>
        <v>0</v>
      </c>
      <c r="Z79" s="633"/>
      <c r="AA79" s="634"/>
      <c r="AB79" s="634"/>
      <c r="AC79" s="7"/>
      <c r="AD79" s="699"/>
      <c r="AE79" s="7"/>
      <c r="AF79" s="618">
        <f t="shared" si="7"/>
        <v>0</v>
      </c>
      <c r="AG79" s="7"/>
      <c r="AH79" s="7"/>
      <c r="AI79" s="7"/>
      <c r="AJ79" s="7"/>
      <c r="AK79" s="7"/>
      <c r="AL79" s="7"/>
    </row>
    <row r="80" spans="1:38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5"/>
      <c r="I80" s="215"/>
      <c r="J80" s="214"/>
      <c r="K80" s="221"/>
      <c r="L80" s="620"/>
      <c r="M80" s="213"/>
      <c r="N80" s="213"/>
      <c r="O80" s="215"/>
      <c r="P80" s="213"/>
      <c r="Q80" s="213"/>
      <c r="R80" s="213"/>
      <c r="S80" s="213"/>
      <c r="T80" s="213"/>
      <c r="U80" s="213"/>
      <c r="V80" s="213"/>
      <c r="W80" s="213"/>
      <c r="X80" s="643"/>
      <c r="Y80" s="616">
        <f t="shared" si="1"/>
        <v>0</v>
      </c>
      <c r="Z80" s="633"/>
      <c r="AA80" s="634"/>
      <c r="AB80" s="634"/>
      <c r="AC80" s="7"/>
      <c r="AD80" s="699"/>
      <c r="AE80" s="7"/>
      <c r="AF80" s="618">
        <f t="shared" si="7"/>
        <v>0</v>
      </c>
      <c r="AG80" s="7"/>
      <c r="AH80" s="7"/>
      <c r="AI80" s="7"/>
      <c r="AJ80" s="7"/>
      <c r="AK80" s="7"/>
      <c r="AL80" s="7"/>
    </row>
    <row r="81" spans="1:38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5"/>
      <c r="I81" s="215"/>
      <c r="J81" s="214"/>
      <c r="K81" s="221"/>
      <c r="L81" s="620"/>
      <c r="M81" s="213"/>
      <c r="N81" s="213"/>
      <c r="O81" s="215"/>
      <c r="P81" s="213"/>
      <c r="Q81" s="213"/>
      <c r="R81" s="213"/>
      <c r="S81" s="213"/>
      <c r="T81" s="213"/>
      <c r="U81" s="213"/>
      <c r="V81" s="213"/>
      <c r="W81" s="213"/>
      <c r="X81" s="643"/>
      <c r="Y81" s="616">
        <f t="shared" si="1"/>
        <v>0</v>
      </c>
      <c r="Z81" s="633"/>
      <c r="AA81" s="634"/>
      <c r="AB81" s="634"/>
      <c r="AC81" s="7"/>
      <c r="AD81" s="699"/>
      <c r="AE81" s="7"/>
      <c r="AF81" s="618">
        <f t="shared" si="7"/>
        <v>0</v>
      </c>
      <c r="AG81" s="7"/>
      <c r="AH81" s="7"/>
      <c r="AI81" s="7"/>
      <c r="AJ81" s="7"/>
      <c r="AK81" s="7"/>
      <c r="AL81" s="7"/>
    </row>
    <row r="82" spans="1:38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5"/>
      <c r="I82" s="215"/>
      <c r="J82" s="214"/>
      <c r="K82" s="221"/>
      <c r="L82" s="620"/>
      <c r="M82" s="213"/>
      <c r="N82" s="213"/>
      <c r="O82" s="215"/>
      <c r="P82" s="213"/>
      <c r="Q82" s="213"/>
      <c r="R82" s="213"/>
      <c r="S82" s="213"/>
      <c r="T82" s="213"/>
      <c r="U82" s="213"/>
      <c r="V82" s="213"/>
      <c r="W82" s="213"/>
      <c r="X82" s="643"/>
      <c r="Y82" s="616">
        <f t="shared" si="1"/>
        <v>0</v>
      </c>
      <c r="Z82" s="633"/>
      <c r="AA82" s="634"/>
      <c r="AB82" s="634"/>
      <c r="AC82" s="7"/>
      <c r="AD82" s="699"/>
      <c r="AE82" s="7"/>
      <c r="AF82" s="618">
        <f t="shared" si="7"/>
        <v>0</v>
      </c>
      <c r="AG82" s="7"/>
      <c r="AH82" s="7"/>
      <c r="AI82" s="7"/>
      <c r="AJ82" s="7"/>
      <c r="AK82" s="7"/>
      <c r="AL82" s="7"/>
    </row>
    <row r="83" spans="1:38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5"/>
      <c r="I83" s="215"/>
      <c r="J83" s="214"/>
      <c r="K83" s="221"/>
      <c r="L83" s="649"/>
      <c r="M83" s="213"/>
      <c r="N83" s="213"/>
      <c r="O83" s="215"/>
      <c r="P83" s="213"/>
      <c r="Q83" s="213"/>
      <c r="R83" s="213"/>
      <c r="S83" s="213"/>
      <c r="T83" s="213"/>
      <c r="U83" s="213"/>
      <c r="V83" s="213"/>
      <c r="W83" s="213"/>
      <c r="X83" s="643"/>
      <c r="Y83" s="616">
        <f t="shared" si="1"/>
        <v>0</v>
      </c>
      <c r="Z83" s="633"/>
      <c r="AA83" s="636"/>
      <c r="AB83" s="636"/>
      <c r="AC83" s="7"/>
      <c r="AD83" s="699"/>
      <c r="AE83" s="7"/>
      <c r="AF83" s="618">
        <f t="shared" si="7"/>
        <v>0</v>
      </c>
      <c r="AG83" s="7"/>
      <c r="AH83" s="7"/>
      <c r="AI83" s="7"/>
      <c r="AJ83" s="7"/>
      <c r="AK83" s="7"/>
      <c r="AL83" s="7"/>
    </row>
    <row r="84" spans="1:38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5"/>
      <c r="I84" s="215"/>
      <c r="J84" s="214"/>
      <c r="K84" s="221"/>
      <c r="L84" s="647"/>
      <c r="M84" s="213"/>
      <c r="N84" s="213"/>
      <c r="O84" s="215"/>
      <c r="P84" s="213"/>
      <c r="Q84" s="213"/>
      <c r="R84" s="213"/>
      <c r="S84" s="213"/>
      <c r="T84" s="213"/>
      <c r="U84" s="213"/>
      <c r="V84" s="213"/>
      <c r="W84" s="213"/>
      <c r="X84" s="643"/>
      <c r="Y84" s="616">
        <f t="shared" si="1"/>
        <v>0</v>
      </c>
      <c r="Z84" s="633"/>
      <c r="AA84" s="648"/>
      <c r="AB84" s="648"/>
      <c r="AC84" s="7"/>
      <c r="AD84" s="699"/>
      <c r="AE84" s="7"/>
      <c r="AF84" s="618">
        <f t="shared" si="7"/>
        <v>0</v>
      </c>
      <c r="AG84" s="7"/>
      <c r="AH84" s="7"/>
      <c r="AI84" s="7"/>
      <c r="AJ84" s="7"/>
      <c r="AK84" s="7"/>
      <c r="AL84" s="7"/>
    </row>
    <row r="85" spans="1:38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5"/>
      <c r="I85" s="215"/>
      <c r="J85" s="214"/>
      <c r="K85" s="221"/>
      <c r="L85" s="647"/>
      <c r="M85" s="213"/>
      <c r="N85" s="213"/>
      <c r="O85" s="215"/>
      <c r="P85" s="213"/>
      <c r="Q85" s="213"/>
      <c r="R85" s="213"/>
      <c r="S85" s="213"/>
      <c r="T85" s="213"/>
      <c r="U85" s="213"/>
      <c r="V85" s="213"/>
      <c r="W85" s="213"/>
      <c r="X85" s="643"/>
      <c r="Y85" s="616">
        <f t="shared" si="1"/>
        <v>0</v>
      </c>
      <c r="Z85" s="633"/>
      <c r="AA85" s="648"/>
      <c r="AB85" s="648"/>
      <c r="AC85" s="7"/>
      <c r="AD85" s="699"/>
      <c r="AE85" s="7"/>
      <c r="AF85" s="618">
        <f t="shared" si="7"/>
        <v>0</v>
      </c>
      <c r="AG85" s="7"/>
      <c r="AH85" s="7"/>
      <c r="AI85" s="7"/>
      <c r="AJ85" s="7"/>
      <c r="AK85" s="7"/>
      <c r="AL85" s="7"/>
    </row>
    <row r="86" spans="1:38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5"/>
      <c r="I86" s="215"/>
      <c r="J86" s="214"/>
      <c r="K86" s="221"/>
      <c r="L86" s="647"/>
      <c r="M86" s="213"/>
      <c r="N86" s="213"/>
      <c r="O86" s="215"/>
      <c r="P86" s="213"/>
      <c r="Q86" s="213"/>
      <c r="R86" s="213"/>
      <c r="S86" s="213"/>
      <c r="T86" s="213"/>
      <c r="U86" s="213"/>
      <c r="V86" s="213"/>
      <c r="W86" s="213"/>
      <c r="X86" s="643"/>
      <c r="Y86" s="616">
        <f t="shared" si="1"/>
        <v>0</v>
      </c>
      <c r="Z86" s="633"/>
      <c r="AA86" s="648"/>
      <c r="AB86" s="648"/>
      <c r="AC86" s="7"/>
      <c r="AD86" s="699"/>
      <c r="AE86" s="7"/>
      <c r="AF86" s="618">
        <f t="shared" si="7"/>
        <v>0</v>
      </c>
      <c r="AG86" s="7"/>
      <c r="AH86" s="7"/>
      <c r="AI86" s="7"/>
      <c r="AJ86" s="7"/>
      <c r="AK86" s="7"/>
      <c r="AL86" s="7"/>
    </row>
    <row r="87" spans="1:38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5"/>
      <c r="I87" s="215"/>
      <c r="J87" s="214"/>
      <c r="K87" s="221"/>
      <c r="L87" s="638"/>
      <c r="M87" s="213"/>
      <c r="N87" s="213"/>
      <c r="O87" s="215"/>
      <c r="P87" s="213"/>
      <c r="Q87" s="213"/>
      <c r="R87" s="213"/>
      <c r="S87" s="213"/>
      <c r="T87" s="213"/>
      <c r="U87" s="213"/>
      <c r="V87" s="213"/>
      <c r="W87" s="213"/>
      <c r="X87" s="643"/>
      <c r="Y87" s="616">
        <f t="shared" si="1"/>
        <v>0</v>
      </c>
      <c r="Z87" s="633"/>
      <c r="AA87" s="636"/>
      <c r="AB87" s="636"/>
      <c r="AC87" s="7"/>
      <c r="AD87" s="699"/>
      <c r="AE87" s="7"/>
      <c r="AF87" s="618">
        <f t="shared" si="7"/>
        <v>0</v>
      </c>
      <c r="AG87" s="7"/>
      <c r="AH87" s="7"/>
      <c r="AI87" s="7"/>
      <c r="AJ87" s="7"/>
      <c r="AK87" s="7"/>
      <c r="AL87" s="7"/>
    </row>
    <row r="88" spans="1:38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5"/>
      <c r="I88" s="215"/>
      <c r="J88" s="214"/>
      <c r="K88" s="221"/>
      <c r="L88" s="638"/>
      <c r="M88" s="213"/>
      <c r="N88" s="213"/>
      <c r="O88" s="215"/>
      <c r="P88" s="213"/>
      <c r="Q88" s="213"/>
      <c r="R88" s="213"/>
      <c r="S88" s="213"/>
      <c r="T88" s="213"/>
      <c r="U88" s="213"/>
      <c r="V88" s="213"/>
      <c r="W88" s="213"/>
      <c r="X88" s="643"/>
      <c r="Y88" s="616">
        <f t="shared" si="1"/>
        <v>0</v>
      </c>
      <c r="Z88" s="633"/>
      <c r="AA88" s="636"/>
      <c r="AB88" s="636"/>
      <c r="AC88" s="7"/>
      <c r="AD88" s="699"/>
      <c r="AE88" s="7"/>
      <c r="AF88" s="618">
        <f t="shared" si="7"/>
        <v>0</v>
      </c>
      <c r="AG88" s="7"/>
      <c r="AH88" s="7"/>
      <c r="AI88" s="7"/>
      <c r="AJ88" s="7"/>
      <c r="AK88" s="7"/>
      <c r="AL88" s="7"/>
    </row>
    <row r="89" spans="1:38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5"/>
      <c r="I89" s="215"/>
      <c r="J89" s="214"/>
      <c r="K89" s="221"/>
      <c r="L89" s="638"/>
      <c r="M89" s="213"/>
      <c r="N89" s="213"/>
      <c r="O89" s="215"/>
      <c r="P89" s="213"/>
      <c r="Q89" s="213"/>
      <c r="R89" s="213"/>
      <c r="S89" s="213"/>
      <c r="T89" s="213"/>
      <c r="U89" s="213"/>
      <c r="V89" s="213"/>
      <c r="W89" s="213"/>
      <c r="X89" s="643"/>
      <c r="Y89" s="616">
        <f t="shared" si="1"/>
        <v>0</v>
      </c>
      <c r="Z89" s="633"/>
      <c r="AA89" s="636"/>
      <c r="AB89" s="636"/>
      <c r="AC89" s="7"/>
      <c r="AD89" s="699"/>
      <c r="AE89" s="7"/>
      <c r="AF89" s="618">
        <f t="shared" si="7"/>
        <v>0</v>
      </c>
      <c r="AG89" s="7"/>
      <c r="AH89" s="7"/>
      <c r="AI89" s="7"/>
      <c r="AJ89" s="7"/>
      <c r="AK89" s="7"/>
      <c r="AL89" s="7"/>
    </row>
    <row r="90" spans="1:38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5"/>
      <c r="I90" s="215"/>
      <c r="J90" s="214"/>
      <c r="K90" s="221"/>
      <c r="L90" s="638"/>
      <c r="M90" s="213"/>
      <c r="N90" s="213"/>
      <c r="O90" s="215"/>
      <c r="P90" s="213"/>
      <c r="Q90" s="213"/>
      <c r="R90" s="213"/>
      <c r="S90" s="213"/>
      <c r="T90" s="213"/>
      <c r="U90" s="213"/>
      <c r="V90" s="213"/>
      <c r="W90" s="213"/>
      <c r="X90" s="643"/>
      <c r="Y90" s="616">
        <f t="shared" si="1"/>
        <v>0</v>
      </c>
      <c r="Z90" s="633"/>
      <c r="AA90" s="640"/>
      <c r="AB90" s="640"/>
      <c r="AC90" s="7"/>
      <c r="AD90" s="699"/>
      <c r="AE90" s="7"/>
      <c r="AF90" s="618">
        <f t="shared" si="7"/>
        <v>0</v>
      </c>
      <c r="AG90" s="7"/>
      <c r="AH90" s="7"/>
      <c r="AI90" s="7"/>
      <c r="AJ90" s="7"/>
      <c r="AK90" s="7"/>
      <c r="AL90" s="7"/>
    </row>
    <row r="91" spans="1:38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5"/>
      <c r="I91" s="215"/>
      <c r="J91" s="214"/>
      <c r="K91" s="221"/>
      <c r="L91" s="620"/>
      <c r="M91" s="213"/>
      <c r="N91" s="213"/>
      <c r="O91" s="215"/>
      <c r="P91" s="213"/>
      <c r="Q91" s="213"/>
      <c r="R91" s="213"/>
      <c r="S91" s="213"/>
      <c r="T91" s="213"/>
      <c r="U91" s="213"/>
      <c r="V91" s="213"/>
      <c r="W91" s="213"/>
      <c r="X91" s="643"/>
      <c r="Y91" s="616">
        <f t="shared" si="1"/>
        <v>0</v>
      </c>
      <c r="Z91" s="633"/>
      <c r="AA91" s="636"/>
      <c r="AB91" s="636"/>
      <c r="AC91" s="7"/>
      <c r="AD91" s="699">
        <v>8</v>
      </c>
      <c r="AE91" s="7"/>
      <c r="AF91" s="618">
        <f t="shared" si="7"/>
        <v>8</v>
      </c>
      <c r="AG91" s="7"/>
      <c r="AH91" s="7"/>
      <c r="AI91" s="7"/>
      <c r="AJ91" s="7"/>
      <c r="AK91" s="7"/>
      <c r="AL91" s="7"/>
    </row>
    <row r="92" spans="1:38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5"/>
      <c r="I92" s="215"/>
      <c r="J92" s="214"/>
      <c r="K92" s="221"/>
      <c r="L92" s="620"/>
      <c r="M92" s="213"/>
      <c r="N92" s="213"/>
      <c r="O92" s="215"/>
      <c r="P92" s="213"/>
      <c r="Q92" s="213"/>
      <c r="R92" s="213"/>
      <c r="S92" s="213"/>
      <c r="T92" s="213"/>
      <c r="U92" s="213"/>
      <c r="V92" s="213"/>
      <c r="W92" s="213"/>
      <c r="X92" s="643"/>
      <c r="Y92" s="616">
        <f t="shared" si="1"/>
        <v>0</v>
      </c>
      <c r="Z92" s="633"/>
      <c r="AA92" s="636"/>
      <c r="AB92" s="636"/>
      <c r="AC92" s="7"/>
      <c r="AD92" s="699">
        <v>1</v>
      </c>
      <c r="AE92" s="7"/>
      <c r="AF92" s="618">
        <f t="shared" si="7"/>
        <v>1</v>
      </c>
      <c r="AG92" s="7"/>
      <c r="AH92" s="7"/>
      <c r="AI92" s="7"/>
      <c r="AJ92" s="7"/>
      <c r="AK92" s="7"/>
      <c r="AL92" s="7"/>
    </row>
    <row r="93" spans="1:38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5"/>
      <c r="I93" s="215"/>
      <c r="J93" s="214"/>
      <c r="K93" s="221"/>
      <c r="L93" s="620"/>
      <c r="M93" s="213"/>
      <c r="N93" s="213"/>
      <c r="O93" s="215"/>
      <c r="P93" s="213"/>
      <c r="Q93" s="213"/>
      <c r="R93" s="213"/>
      <c r="S93" s="213"/>
      <c r="T93" s="213"/>
      <c r="U93" s="213"/>
      <c r="V93" s="213"/>
      <c r="W93" s="213"/>
      <c r="X93" s="643"/>
      <c r="Y93" s="616">
        <f t="shared" si="1"/>
        <v>0</v>
      </c>
      <c r="Z93" s="633"/>
      <c r="AA93" s="636"/>
      <c r="AB93" s="636"/>
      <c r="AC93" s="7"/>
      <c r="AD93" s="699"/>
      <c r="AE93" s="7"/>
      <c r="AF93" s="618">
        <f t="shared" si="7"/>
        <v>0</v>
      </c>
      <c r="AG93" s="7"/>
      <c r="AH93" s="7"/>
      <c r="AI93" s="7"/>
      <c r="AJ93" s="7"/>
      <c r="AK93" s="7"/>
      <c r="AL93" s="7"/>
    </row>
    <row r="94" spans="1:38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5"/>
      <c r="I94" s="215"/>
      <c r="J94" s="214"/>
      <c r="K94" s="221"/>
      <c r="L94" s="620"/>
      <c r="M94" s="213"/>
      <c r="N94" s="213"/>
      <c r="O94" s="215"/>
      <c r="P94" s="213"/>
      <c r="Q94" s="213"/>
      <c r="R94" s="213"/>
      <c r="S94" s="213"/>
      <c r="T94" s="213"/>
      <c r="U94" s="213"/>
      <c r="V94" s="213"/>
      <c r="W94" s="213"/>
      <c r="X94" s="643"/>
      <c r="Y94" s="616">
        <f t="shared" si="1"/>
        <v>0</v>
      </c>
      <c r="Z94" s="633"/>
      <c r="AA94" s="636"/>
      <c r="AB94" s="636"/>
      <c r="AC94" s="7"/>
      <c r="AD94" s="699"/>
      <c r="AE94" s="7"/>
      <c r="AF94" s="618"/>
      <c r="AG94" s="7"/>
      <c r="AH94" s="7"/>
      <c r="AI94" s="7"/>
      <c r="AJ94" s="7"/>
      <c r="AK94" s="7"/>
      <c r="AL94" s="7"/>
    </row>
    <row r="95" spans="1:38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5"/>
      <c r="I95" s="215"/>
      <c r="J95" s="214"/>
      <c r="K95" s="221"/>
      <c r="L95" s="620"/>
      <c r="M95" s="213"/>
      <c r="N95" s="213"/>
      <c r="O95" s="215"/>
      <c r="P95" s="213"/>
      <c r="Q95" s="213"/>
      <c r="R95" s="213"/>
      <c r="S95" s="213"/>
      <c r="T95" s="213"/>
      <c r="U95" s="213"/>
      <c r="V95" s="213"/>
      <c r="W95" s="213"/>
      <c r="X95" s="643"/>
      <c r="Y95" s="616">
        <f t="shared" si="1"/>
        <v>0</v>
      </c>
      <c r="Z95" s="633"/>
      <c r="AA95" s="636"/>
      <c r="AB95" s="636"/>
      <c r="AC95" s="7"/>
      <c r="AD95" s="699">
        <v>7</v>
      </c>
      <c r="AE95" s="7"/>
      <c r="AF95" s="618">
        <f t="shared" ref="AF95:AF103" si="8">AD95-Y95</f>
        <v>7</v>
      </c>
      <c r="AG95" s="7"/>
      <c r="AH95" s="7"/>
      <c r="AI95" s="7"/>
      <c r="AJ95" s="7"/>
      <c r="AK95" s="7"/>
      <c r="AL95" s="7"/>
    </row>
    <row r="96" spans="1:38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5"/>
      <c r="I96" s="215"/>
      <c r="J96" s="214"/>
      <c r="K96" s="221"/>
      <c r="L96" s="620"/>
      <c r="M96" s="213"/>
      <c r="N96" s="213"/>
      <c r="O96" s="215"/>
      <c r="P96" s="213"/>
      <c r="Q96" s="213"/>
      <c r="R96" s="213"/>
      <c r="S96" s="213"/>
      <c r="T96" s="213"/>
      <c r="U96" s="213"/>
      <c r="V96" s="213"/>
      <c r="W96" s="213"/>
      <c r="X96" s="643"/>
      <c r="Y96" s="616">
        <f t="shared" si="1"/>
        <v>0</v>
      </c>
      <c r="Z96" s="633"/>
      <c r="AA96" s="636"/>
      <c r="AB96" s="636"/>
      <c r="AC96" s="7"/>
      <c r="AD96" s="699"/>
      <c r="AE96" s="7"/>
      <c r="AF96" s="618">
        <f t="shared" si="8"/>
        <v>0</v>
      </c>
      <c r="AG96" s="7"/>
      <c r="AH96" s="7"/>
      <c r="AI96" s="7"/>
      <c r="AJ96" s="7"/>
      <c r="AK96" s="7"/>
      <c r="AL96" s="7"/>
    </row>
    <row r="97" spans="1:38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5"/>
      <c r="I97" s="215"/>
      <c r="J97" s="214"/>
      <c r="K97" s="221"/>
      <c r="L97" s="620"/>
      <c r="M97" s="213"/>
      <c r="N97" s="213"/>
      <c r="O97" s="215"/>
      <c r="P97" s="213"/>
      <c r="Q97" s="213"/>
      <c r="R97" s="213"/>
      <c r="S97" s="213"/>
      <c r="T97" s="213"/>
      <c r="U97" s="213"/>
      <c r="V97" s="213"/>
      <c r="W97" s="213"/>
      <c r="X97" s="643"/>
      <c r="Y97" s="616">
        <f t="shared" si="1"/>
        <v>0</v>
      </c>
      <c r="Z97" s="633"/>
      <c r="AA97" s="636"/>
      <c r="AB97" s="636"/>
      <c r="AC97" s="7"/>
      <c r="AD97" s="699"/>
      <c r="AE97" s="7"/>
      <c r="AF97" s="618">
        <f t="shared" si="8"/>
        <v>0</v>
      </c>
      <c r="AG97" s="7"/>
      <c r="AH97" s="7"/>
      <c r="AI97" s="7"/>
      <c r="AJ97" s="7"/>
      <c r="AK97" s="7"/>
      <c r="AL97" s="7"/>
    </row>
    <row r="98" spans="1:38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5"/>
      <c r="I98" s="215"/>
      <c r="J98" s="214"/>
      <c r="K98" s="221"/>
      <c r="L98" s="620"/>
      <c r="M98" s="213"/>
      <c r="N98" s="213"/>
      <c r="O98" s="215"/>
      <c r="P98" s="213"/>
      <c r="Q98" s="213"/>
      <c r="R98" s="213"/>
      <c r="S98" s="213"/>
      <c r="T98" s="213"/>
      <c r="U98" s="213"/>
      <c r="V98" s="213"/>
      <c r="W98" s="213"/>
      <c r="X98" s="643"/>
      <c r="Y98" s="616">
        <f t="shared" si="1"/>
        <v>0</v>
      </c>
      <c r="Z98" s="633"/>
      <c r="AA98" s="636"/>
      <c r="AB98" s="636"/>
      <c r="AC98" s="7"/>
      <c r="AD98" s="699"/>
      <c r="AE98" s="7"/>
      <c r="AF98" s="618">
        <f t="shared" si="8"/>
        <v>0</v>
      </c>
      <c r="AG98" s="7"/>
      <c r="AH98" s="7"/>
      <c r="AI98" s="7"/>
      <c r="AJ98" s="7"/>
      <c r="AK98" s="7"/>
      <c r="AL98" s="7"/>
    </row>
    <row r="99" spans="1:38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5"/>
      <c r="I99" s="215"/>
      <c r="J99" s="214"/>
      <c r="K99" s="221"/>
      <c r="L99" s="620"/>
      <c r="M99" s="213"/>
      <c r="N99" s="213"/>
      <c r="O99" s="215"/>
      <c r="P99" s="213"/>
      <c r="Q99" s="213"/>
      <c r="R99" s="213"/>
      <c r="S99" s="213"/>
      <c r="T99" s="213"/>
      <c r="U99" s="213"/>
      <c r="V99" s="213"/>
      <c r="W99" s="213"/>
      <c r="X99" s="643"/>
      <c r="Y99" s="616">
        <f t="shared" si="1"/>
        <v>0</v>
      </c>
      <c r="Z99" s="633"/>
      <c r="AA99" s="636"/>
      <c r="AB99" s="636"/>
      <c r="AC99" s="7"/>
      <c r="AD99" s="699"/>
      <c r="AE99" s="7"/>
      <c r="AF99" s="618">
        <f t="shared" si="8"/>
        <v>0</v>
      </c>
      <c r="AG99" s="7"/>
      <c r="AH99" s="7"/>
      <c r="AI99" s="7"/>
      <c r="AJ99" s="7"/>
      <c r="AK99" s="7"/>
      <c r="AL99" s="7"/>
    </row>
    <row r="100" spans="1:38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5"/>
      <c r="I100" s="215"/>
      <c r="J100" s="214"/>
      <c r="K100" s="221"/>
      <c r="L100" s="620"/>
      <c r="M100" s="213"/>
      <c r="N100" s="213"/>
      <c r="O100" s="215"/>
      <c r="P100" s="213"/>
      <c r="Q100" s="213"/>
      <c r="R100" s="213"/>
      <c r="S100" s="213"/>
      <c r="T100" s="213"/>
      <c r="U100" s="213"/>
      <c r="V100" s="213"/>
      <c r="W100" s="213"/>
      <c r="X100" s="643"/>
      <c r="Y100" s="616">
        <f t="shared" si="1"/>
        <v>0</v>
      </c>
      <c r="Z100" s="633"/>
      <c r="AA100" s="636"/>
      <c r="AB100" s="636"/>
      <c r="AC100" s="7"/>
      <c r="AD100" s="699"/>
      <c r="AE100" s="7"/>
      <c r="AF100" s="618">
        <f t="shared" si="8"/>
        <v>0</v>
      </c>
      <c r="AG100" s="7"/>
      <c r="AH100" s="7"/>
      <c r="AI100" s="7"/>
      <c r="AJ100" s="7"/>
      <c r="AK100" s="7"/>
      <c r="AL100" s="7"/>
    </row>
    <row r="101" spans="1:38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5"/>
      <c r="I101" s="215"/>
      <c r="J101" s="214"/>
      <c r="K101" s="221"/>
      <c r="L101" s="638"/>
      <c r="M101" s="213"/>
      <c r="N101" s="213"/>
      <c r="O101" s="215"/>
      <c r="P101" s="213"/>
      <c r="Q101" s="213"/>
      <c r="R101" s="213"/>
      <c r="S101" s="213"/>
      <c r="T101" s="213"/>
      <c r="U101" s="213"/>
      <c r="V101" s="213"/>
      <c r="W101" s="213"/>
      <c r="X101" s="643"/>
      <c r="Y101" s="616">
        <f t="shared" si="1"/>
        <v>0</v>
      </c>
      <c r="Z101" s="633"/>
      <c r="AA101" s="636"/>
      <c r="AB101" s="636"/>
      <c r="AC101" s="7"/>
      <c r="AD101" s="699"/>
      <c r="AE101" s="7"/>
      <c r="AF101" s="618">
        <f t="shared" si="8"/>
        <v>0</v>
      </c>
      <c r="AG101" s="7"/>
      <c r="AH101" s="7"/>
      <c r="AI101" s="7"/>
      <c r="AJ101" s="7"/>
      <c r="AK101" s="7"/>
      <c r="AL101" s="7"/>
    </row>
    <row r="102" spans="1:38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5"/>
      <c r="I102" s="215"/>
      <c r="J102" s="214"/>
      <c r="K102" s="221"/>
      <c r="L102" s="638"/>
      <c r="M102" s="213"/>
      <c r="N102" s="213"/>
      <c r="O102" s="215"/>
      <c r="P102" s="213"/>
      <c r="Q102" s="213"/>
      <c r="R102" s="213"/>
      <c r="S102" s="213"/>
      <c r="T102" s="213"/>
      <c r="U102" s="213"/>
      <c r="V102" s="213"/>
      <c r="W102" s="213"/>
      <c r="X102" s="643"/>
      <c r="Y102" s="616">
        <f t="shared" si="1"/>
        <v>0</v>
      </c>
      <c r="Z102" s="633"/>
      <c r="AA102" s="636"/>
      <c r="AB102" s="636"/>
      <c r="AC102" s="7"/>
      <c r="AD102" s="699"/>
      <c r="AE102" s="7"/>
      <c r="AF102" s="618">
        <f t="shared" si="8"/>
        <v>0</v>
      </c>
      <c r="AG102" s="7"/>
      <c r="AH102" s="7"/>
      <c r="AI102" s="7"/>
      <c r="AJ102" s="7"/>
      <c r="AK102" s="7"/>
      <c r="AL102" s="7"/>
    </row>
    <row r="103" spans="1:38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5"/>
      <c r="I103" s="215"/>
      <c r="J103" s="214"/>
      <c r="K103" s="221"/>
      <c r="L103" s="638"/>
      <c r="M103" s="213"/>
      <c r="N103" s="213"/>
      <c r="O103" s="215"/>
      <c r="P103" s="213"/>
      <c r="Q103" s="213"/>
      <c r="R103" s="213"/>
      <c r="S103" s="213"/>
      <c r="T103" s="213"/>
      <c r="U103" s="213"/>
      <c r="V103" s="213"/>
      <c r="W103" s="213"/>
      <c r="X103" s="643"/>
      <c r="Y103" s="616">
        <f t="shared" si="1"/>
        <v>0</v>
      </c>
      <c r="Z103" s="650" t="s">
        <v>1579</v>
      </c>
      <c r="AA103" s="640"/>
      <c r="AB103" s="640"/>
      <c r="AC103" s="7"/>
      <c r="AD103" s="699"/>
      <c r="AE103" s="7"/>
      <c r="AF103" s="618">
        <f t="shared" si="8"/>
        <v>0</v>
      </c>
      <c r="AG103" s="7"/>
      <c r="AH103" s="7"/>
      <c r="AI103" s="7"/>
      <c r="AJ103" s="7"/>
      <c r="AK103" s="7"/>
      <c r="AL103" s="7"/>
    </row>
    <row r="104" spans="1:38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7.62</v>
      </c>
      <c r="F104" s="213">
        <v>0.39</v>
      </c>
      <c r="G104" s="213"/>
      <c r="H104" s="215">
        <v>0.13200000000000001</v>
      </c>
      <c r="I104" s="215"/>
      <c r="J104" s="214"/>
      <c r="K104" s="221"/>
      <c r="L104" s="620"/>
      <c r="M104" s="213"/>
      <c r="N104" s="213"/>
      <c r="O104" s="215"/>
      <c r="P104" s="213"/>
      <c r="Q104" s="213"/>
      <c r="R104" s="213"/>
      <c r="S104" s="213"/>
      <c r="T104" s="213"/>
      <c r="U104" s="213"/>
      <c r="V104" s="213"/>
      <c r="W104" s="213"/>
      <c r="X104" s="643"/>
      <c r="Y104" s="616">
        <f t="shared" si="1"/>
        <v>8.1419999999999995</v>
      </c>
      <c r="Z104" s="633">
        <f>Y104+Y126+Y115</f>
        <v>68.192000000000007</v>
      </c>
      <c r="AA104" s="636"/>
      <c r="AB104" s="636"/>
      <c r="AC104" s="7"/>
      <c r="AD104" s="701">
        <v>926.9</v>
      </c>
      <c r="AE104" s="7"/>
      <c r="AF104" s="618"/>
      <c r="AG104" s="7"/>
      <c r="AH104" s="7"/>
      <c r="AI104" s="7"/>
      <c r="AJ104" s="7"/>
      <c r="AK104" s="7"/>
      <c r="AL104" s="7"/>
    </row>
    <row r="105" spans="1:38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5"/>
      <c r="I105" s="215"/>
      <c r="J105" s="214"/>
      <c r="K105" s="221"/>
      <c r="L105" s="647"/>
      <c r="M105" s="213"/>
      <c r="N105" s="213"/>
      <c r="O105" s="215"/>
      <c r="P105" s="213"/>
      <c r="Q105" s="213"/>
      <c r="R105" s="213"/>
      <c r="S105" s="213"/>
      <c r="T105" s="213"/>
      <c r="U105" s="213"/>
      <c r="V105" s="213"/>
      <c r="W105" s="213"/>
      <c r="X105" s="643"/>
      <c r="Y105" s="616">
        <f t="shared" si="1"/>
        <v>0</v>
      </c>
      <c r="Z105" s="633"/>
      <c r="AA105" s="654"/>
      <c r="AB105" s="654"/>
      <c r="AC105" s="7"/>
      <c r="AD105" s="701"/>
      <c r="AE105" s="7"/>
      <c r="AF105" s="618"/>
      <c r="AG105" s="7"/>
      <c r="AH105" s="7"/>
      <c r="AI105" s="7"/>
      <c r="AJ105" s="7"/>
      <c r="AK105" s="7"/>
      <c r="AL105" s="7"/>
    </row>
    <row r="106" spans="1:38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5"/>
      <c r="I106" s="215"/>
      <c r="J106" s="214"/>
      <c r="K106" s="221"/>
      <c r="L106" s="647"/>
      <c r="M106" s="213"/>
      <c r="N106" s="213"/>
      <c r="O106" s="215"/>
      <c r="P106" s="213"/>
      <c r="Q106" s="213"/>
      <c r="R106" s="213"/>
      <c r="S106" s="213"/>
      <c r="T106" s="213"/>
      <c r="U106" s="213"/>
      <c r="V106" s="213"/>
      <c r="W106" s="213"/>
      <c r="X106" s="643"/>
      <c r="Y106" s="616">
        <f t="shared" si="1"/>
        <v>0</v>
      </c>
      <c r="Z106" s="633"/>
      <c r="AA106" s="648"/>
      <c r="AB106" s="648"/>
      <c r="AC106" s="7"/>
      <c r="AD106" s="701"/>
      <c r="AE106" s="7"/>
      <c r="AF106" s="618"/>
      <c r="AG106" s="7"/>
      <c r="AH106" s="7"/>
      <c r="AI106" s="7"/>
      <c r="AJ106" s="7"/>
      <c r="AK106" s="7"/>
      <c r="AL106" s="7"/>
    </row>
    <row r="107" spans="1:38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5"/>
      <c r="I107" s="215"/>
      <c r="J107" s="214"/>
      <c r="K107" s="221"/>
      <c r="L107" s="647"/>
      <c r="M107" s="213"/>
      <c r="N107" s="213"/>
      <c r="O107" s="215"/>
      <c r="P107" s="213"/>
      <c r="Q107" s="213"/>
      <c r="R107" s="213"/>
      <c r="S107" s="213"/>
      <c r="T107" s="213"/>
      <c r="U107" s="213"/>
      <c r="V107" s="213"/>
      <c r="W107" s="213"/>
      <c r="X107" s="643"/>
      <c r="Y107" s="616">
        <f t="shared" si="1"/>
        <v>0</v>
      </c>
      <c r="Z107" s="633"/>
      <c r="AA107" s="648"/>
      <c r="AB107" s="648"/>
      <c r="AC107" s="7"/>
      <c r="AD107" s="701"/>
      <c r="AE107" s="7"/>
      <c r="AF107" s="618"/>
      <c r="AG107" s="7"/>
      <c r="AH107" s="7"/>
      <c r="AI107" s="7"/>
      <c r="AJ107" s="7"/>
      <c r="AK107" s="7"/>
      <c r="AL107" s="7"/>
    </row>
    <row r="108" spans="1:38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5"/>
      <c r="I108" s="215"/>
      <c r="J108" s="214"/>
      <c r="K108" s="221"/>
      <c r="L108" s="647"/>
      <c r="M108" s="213"/>
      <c r="N108" s="213"/>
      <c r="O108" s="215"/>
      <c r="P108" s="213"/>
      <c r="Q108" s="213"/>
      <c r="R108" s="213"/>
      <c r="S108" s="213"/>
      <c r="T108" s="213"/>
      <c r="U108" s="213"/>
      <c r="V108" s="213"/>
      <c r="W108" s="213"/>
      <c r="X108" s="643"/>
      <c r="Y108" s="616">
        <f t="shared" si="1"/>
        <v>0</v>
      </c>
      <c r="Z108" s="633"/>
      <c r="AA108" s="648"/>
      <c r="AB108" s="648"/>
      <c r="AC108" s="7"/>
      <c r="AD108" s="701"/>
      <c r="AE108" s="7"/>
      <c r="AF108" s="618"/>
      <c r="AG108" s="7"/>
      <c r="AH108" s="7"/>
      <c r="AI108" s="7"/>
      <c r="AJ108" s="7"/>
      <c r="AK108" s="7"/>
      <c r="AL108" s="7"/>
    </row>
    <row r="109" spans="1:38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5"/>
      <c r="I109" s="215"/>
      <c r="J109" s="214"/>
      <c r="K109" s="221"/>
      <c r="L109" s="647"/>
      <c r="M109" s="213"/>
      <c r="N109" s="213"/>
      <c r="O109" s="215"/>
      <c r="P109" s="213"/>
      <c r="Q109" s="213"/>
      <c r="R109" s="213"/>
      <c r="S109" s="213"/>
      <c r="T109" s="213"/>
      <c r="U109" s="213"/>
      <c r="V109" s="213"/>
      <c r="W109" s="213"/>
      <c r="X109" s="643"/>
      <c r="Y109" s="616">
        <f t="shared" si="1"/>
        <v>0</v>
      </c>
      <c r="Z109" s="633"/>
      <c r="AA109" s="648"/>
      <c r="AB109" s="648"/>
      <c r="AC109" s="7"/>
      <c r="AD109" s="701"/>
      <c r="AE109" s="7"/>
      <c r="AF109" s="618"/>
      <c r="AG109" s="7"/>
      <c r="AH109" s="7"/>
      <c r="AI109" s="7"/>
      <c r="AJ109" s="7"/>
      <c r="AK109" s="7"/>
      <c r="AL109" s="7"/>
    </row>
    <row r="110" spans="1:38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5"/>
      <c r="I110" s="215"/>
      <c r="J110" s="214"/>
      <c r="K110" s="221"/>
      <c r="L110" s="647"/>
      <c r="M110" s="213"/>
      <c r="N110" s="213"/>
      <c r="O110" s="215"/>
      <c r="P110" s="213"/>
      <c r="Q110" s="213"/>
      <c r="R110" s="213"/>
      <c r="S110" s="213"/>
      <c r="T110" s="213"/>
      <c r="U110" s="213"/>
      <c r="V110" s="213"/>
      <c r="W110" s="213"/>
      <c r="X110" s="643"/>
      <c r="Y110" s="616">
        <f t="shared" si="1"/>
        <v>0</v>
      </c>
      <c r="Z110" s="633"/>
      <c r="AA110" s="654"/>
      <c r="AB110" s="654"/>
      <c r="AC110" s="7"/>
      <c r="AD110" s="701"/>
      <c r="AE110" s="7"/>
      <c r="AF110" s="618">
        <f t="shared" ref="AF110:AF114" si="9">AD110-Y110</f>
        <v>0</v>
      </c>
      <c r="AG110" s="7"/>
      <c r="AH110" s="7"/>
      <c r="AI110" s="7"/>
      <c r="AJ110" s="7"/>
      <c r="AK110" s="7"/>
      <c r="AL110" s="7"/>
    </row>
    <row r="111" spans="1:38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5"/>
      <c r="I111" s="215"/>
      <c r="J111" s="214"/>
      <c r="K111" s="221"/>
      <c r="L111" s="647"/>
      <c r="M111" s="213"/>
      <c r="N111" s="213"/>
      <c r="O111" s="215"/>
      <c r="P111" s="213"/>
      <c r="Q111" s="213"/>
      <c r="R111" s="213"/>
      <c r="S111" s="213"/>
      <c r="T111" s="213"/>
      <c r="U111" s="213"/>
      <c r="V111" s="213"/>
      <c r="W111" s="213"/>
      <c r="X111" s="643"/>
      <c r="Y111" s="616">
        <f t="shared" si="1"/>
        <v>0</v>
      </c>
      <c r="Z111" s="633"/>
      <c r="AA111" s="634"/>
      <c r="AB111" s="634"/>
      <c r="AC111" s="7"/>
      <c r="AD111" s="701"/>
      <c r="AE111" s="7"/>
      <c r="AF111" s="618">
        <f t="shared" si="9"/>
        <v>0</v>
      </c>
      <c r="AG111" s="7"/>
      <c r="AH111" s="7"/>
      <c r="AI111" s="7"/>
      <c r="AJ111" s="7"/>
      <c r="AK111" s="7"/>
      <c r="AL111" s="7"/>
    </row>
    <row r="112" spans="1:38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5"/>
      <c r="I112" s="215"/>
      <c r="J112" s="214"/>
      <c r="K112" s="221"/>
      <c r="L112" s="647"/>
      <c r="M112" s="213"/>
      <c r="N112" s="213"/>
      <c r="O112" s="215"/>
      <c r="P112" s="213"/>
      <c r="Q112" s="213"/>
      <c r="R112" s="213"/>
      <c r="S112" s="213"/>
      <c r="T112" s="213"/>
      <c r="U112" s="213"/>
      <c r="V112" s="213"/>
      <c r="W112" s="213"/>
      <c r="X112" s="643"/>
      <c r="Y112" s="616">
        <f t="shared" si="1"/>
        <v>0</v>
      </c>
      <c r="Z112" s="633"/>
      <c r="AA112" s="634"/>
      <c r="AB112" s="634"/>
      <c r="AC112" s="7"/>
      <c r="AD112" s="701"/>
      <c r="AE112" s="7"/>
      <c r="AF112" s="618">
        <f t="shared" si="9"/>
        <v>0</v>
      </c>
      <c r="AG112" s="7"/>
      <c r="AH112" s="7"/>
      <c r="AI112" s="7"/>
      <c r="AJ112" s="7"/>
      <c r="AK112" s="7"/>
      <c r="AL112" s="7"/>
    </row>
    <row r="113" spans="1:38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5"/>
      <c r="I113" s="215"/>
      <c r="J113" s="214"/>
      <c r="K113" s="221"/>
      <c r="L113" s="647"/>
      <c r="M113" s="213"/>
      <c r="N113" s="213"/>
      <c r="O113" s="215"/>
      <c r="P113" s="213"/>
      <c r="Q113" s="213"/>
      <c r="R113" s="213"/>
      <c r="S113" s="213"/>
      <c r="T113" s="213"/>
      <c r="U113" s="213"/>
      <c r="V113" s="213"/>
      <c r="W113" s="213"/>
      <c r="X113" s="643"/>
      <c r="Y113" s="616">
        <f t="shared" si="1"/>
        <v>0</v>
      </c>
      <c r="Z113" s="633"/>
      <c r="AA113" s="634"/>
      <c r="AB113" s="634"/>
      <c r="AC113" s="7"/>
      <c r="AD113" s="701"/>
      <c r="AE113" s="7"/>
      <c r="AF113" s="618">
        <f t="shared" si="9"/>
        <v>0</v>
      </c>
      <c r="AG113" s="7"/>
      <c r="AH113" s="7"/>
      <c r="AI113" s="7"/>
      <c r="AJ113" s="7"/>
      <c r="AK113" s="7"/>
      <c r="AL113" s="7"/>
    </row>
    <row r="114" spans="1:38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5"/>
      <c r="I114" s="215"/>
      <c r="J114" s="214"/>
      <c r="K114" s="221"/>
      <c r="L114" s="647"/>
      <c r="M114" s="213"/>
      <c r="N114" s="213"/>
      <c r="O114" s="215"/>
      <c r="P114" s="213"/>
      <c r="Q114" s="213"/>
      <c r="R114" s="213"/>
      <c r="S114" s="213"/>
      <c r="T114" s="213"/>
      <c r="U114" s="213"/>
      <c r="V114" s="213"/>
      <c r="W114" s="213"/>
      <c r="X114" s="643"/>
      <c r="Y114" s="616">
        <f t="shared" si="1"/>
        <v>0</v>
      </c>
      <c r="Z114" s="633"/>
      <c r="AA114" s="634"/>
      <c r="AB114" s="634"/>
      <c r="AC114" s="7"/>
      <c r="AD114" s="701"/>
      <c r="AE114" s="7"/>
      <c r="AF114" s="618">
        <f t="shared" si="9"/>
        <v>0</v>
      </c>
      <c r="AG114" s="7"/>
      <c r="AH114" s="7"/>
      <c r="AI114" s="7"/>
      <c r="AJ114" s="7"/>
      <c r="AK114" s="7"/>
      <c r="AL114" s="7"/>
    </row>
    <row r="115" spans="1:38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5"/>
      <c r="I115" s="215"/>
      <c r="J115" s="214"/>
      <c r="K115" s="221"/>
      <c r="L115" s="647"/>
      <c r="M115" s="213"/>
      <c r="N115" s="213"/>
      <c r="O115" s="215"/>
      <c r="P115" s="213"/>
      <c r="Q115" s="213"/>
      <c r="R115" s="213"/>
      <c r="S115" s="213"/>
      <c r="T115" s="213"/>
      <c r="U115" s="213"/>
      <c r="V115" s="213"/>
      <c r="W115" s="213"/>
      <c r="X115" s="643"/>
      <c r="Y115" s="616">
        <f t="shared" si="1"/>
        <v>0</v>
      </c>
      <c r="Z115" s="633"/>
      <c r="AA115" s="636"/>
      <c r="AB115" s="636"/>
      <c r="AC115" s="7"/>
      <c r="AD115" s="701"/>
      <c r="AE115" s="7"/>
      <c r="AF115" s="618"/>
      <c r="AG115" s="7"/>
      <c r="AH115" s="7"/>
      <c r="AI115" s="7"/>
      <c r="AJ115" s="7"/>
      <c r="AK115" s="7"/>
      <c r="AL115" s="7"/>
    </row>
    <row r="116" spans="1:38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5"/>
      <c r="I116" s="215"/>
      <c r="J116" s="214"/>
      <c r="K116" s="221"/>
      <c r="L116" s="647"/>
      <c r="M116" s="213"/>
      <c r="N116" s="213"/>
      <c r="O116" s="215"/>
      <c r="P116" s="213"/>
      <c r="Q116" s="213"/>
      <c r="R116" s="213"/>
      <c r="S116" s="213"/>
      <c r="T116" s="213"/>
      <c r="U116" s="213"/>
      <c r="V116" s="213"/>
      <c r="W116" s="213"/>
      <c r="X116" s="643"/>
      <c r="Y116" s="616">
        <f t="shared" si="1"/>
        <v>0</v>
      </c>
      <c r="Z116" s="633"/>
      <c r="AA116" s="654"/>
      <c r="AB116" s="654"/>
      <c r="AC116" s="7"/>
      <c r="AD116" s="701"/>
      <c r="AE116" s="7"/>
      <c r="AF116" s="618">
        <f t="shared" ref="AF116:AF125" si="10">AD116-Y116</f>
        <v>0</v>
      </c>
      <c r="AG116" s="7"/>
      <c r="AH116" s="7"/>
      <c r="AI116" s="7"/>
      <c r="AJ116" s="7"/>
      <c r="AK116" s="7"/>
      <c r="AL116" s="7"/>
    </row>
    <row r="117" spans="1:38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5"/>
      <c r="I117" s="215"/>
      <c r="J117" s="214"/>
      <c r="K117" s="221"/>
      <c r="L117" s="647"/>
      <c r="M117" s="213"/>
      <c r="N117" s="213"/>
      <c r="O117" s="215"/>
      <c r="P117" s="213"/>
      <c r="Q117" s="213"/>
      <c r="R117" s="213"/>
      <c r="S117" s="213"/>
      <c r="T117" s="213"/>
      <c r="U117" s="213"/>
      <c r="V117" s="213"/>
      <c r="W117" s="213"/>
      <c r="X117" s="643"/>
      <c r="Y117" s="616">
        <f t="shared" si="1"/>
        <v>0</v>
      </c>
      <c r="Z117" s="633"/>
      <c r="AA117" s="648"/>
      <c r="AB117" s="648"/>
      <c r="AC117" s="7"/>
      <c r="AD117" s="699"/>
      <c r="AE117" s="7"/>
      <c r="AF117" s="618">
        <f t="shared" si="10"/>
        <v>0</v>
      </c>
      <c r="AG117" s="7"/>
      <c r="AH117" s="7"/>
      <c r="AI117" s="7"/>
      <c r="AJ117" s="7"/>
      <c r="AK117" s="7"/>
      <c r="AL117" s="7"/>
    </row>
    <row r="118" spans="1:38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5"/>
      <c r="I118" s="215"/>
      <c r="J118" s="214"/>
      <c r="K118" s="221"/>
      <c r="L118" s="647"/>
      <c r="M118" s="213"/>
      <c r="N118" s="213"/>
      <c r="O118" s="215"/>
      <c r="P118" s="213"/>
      <c r="Q118" s="213"/>
      <c r="R118" s="213"/>
      <c r="S118" s="213"/>
      <c r="T118" s="213"/>
      <c r="U118" s="213"/>
      <c r="V118" s="213"/>
      <c r="W118" s="213"/>
      <c r="X118" s="643"/>
      <c r="Y118" s="616">
        <f t="shared" si="1"/>
        <v>0</v>
      </c>
      <c r="Z118" s="633"/>
      <c r="AA118" s="648"/>
      <c r="AB118" s="648"/>
      <c r="AC118" s="7"/>
      <c r="AD118" s="701"/>
      <c r="AE118" s="7"/>
      <c r="AF118" s="618">
        <f t="shared" si="10"/>
        <v>0</v>
      </c>
      <c r="AG118" s="7"/>
      <c r="AH118" s="7"/>
      <c r="AI118" s="7"/>
      <c r="AJ118" s="7"/>
      <c r="AK118" s="7"/>
      <c r="AL118" s="7"/>
    </row>
    <row r="119" spans="1:38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5"/>
      <c r="I119" s="215"/>
      <c r="J119" s="214"/>
      <c r="K119" s="221"/>
      <c r="L119" s="647"/>
      <c r="M119" s="213"/>
      <c r="N119" s="213"/>
      <c r="O119" s="215"/>
      <c r="P119" s="213"/>
      <c r="Q119" s="213"/>
      <c r="R119" s="213"/>
      <c r="S119" s="213"/>
      <c r="T119" s="213"/>
      <c r="U119" s="213"/>
      <c r="V119" s="213"/>
      <c r="W119" s="213"/>
      <c r="X119" s="643"/>
      <c r="Y119" s="616">
        <f t="shared" si="1"/>
        <v>0</v>
      </c>
      <c r="Z119" s="633"/>
      <c r="AA119" s="648"/>
      <c r="AB119" s="648"/>
      <c r="AC119" s="7"/>
      <c r="AD119" s="699"/>
      <c r="AE119" s="7"/>
      <c r="AF119" s="618">
        <f t="shared" si="10"/>
        <v>0</v>
      </c>
      <c r="AG119" s="7"/>
      <c r="AH119" s="7"/>
      <c r="AI119" s="7"/>
      <c r="AJ119" s="7"/>
      <c r="AK119" s="7"/>
      <c r="AL119" s="7"/>
    </row>
    <row r="120" spans="1:38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5"/>
      <c r="I120" s="215"/>
      <c r="J120" s="214"/>
      <c r="K120" s="221"/>
      <c r="L120" s="647"/>
      <c r="M120" s="213"/>
      <c r="N120" s="213"/>
      <c r="O120" s="215"/>
      <c r="P120" s="213"/>
      <c r="Q120" s="213"/>
      <c r="R120" s="213"/>
      <c r="S120" s="213"/>
      <c r="T120" s="213"/>
      <c r="U120" s="213"/>
      <c r="V120" s="213"/>
      <c r="W120" s="213"/>
      <c r="X120" s="643"/>
      <c r="Y120" s="616">
        <f t="shared" si="1"/>
        <v>0</v>
      </c>
      <c r="Z120" s="633"/>
      <c r="AA120" s="648"/>
      <c r="AB120" s="648"/>
      <c r="AC120" s="7"/>
      <c r="AD120" s="699"/>
      <c r="AE120" s="7"/>
      <c r="AF120" s="618">
        <f t="shared" si="10"/>
        <v>0</v>
      </c>
      <c r="AG120" s="7"/>
      <c r="AH120" s="7"/>
      <c r="AI120" s="7"/>
      <c r="AJ120" s="7"/>
      <c r="AK120" s="7"/>
      <c r="AL120" s="7"/>
    </row>
    <row r="121" spans="1:38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5"/>
      <c r="I121" s="215"/>
      <c r="J121" s="214"/>
      <c r="K121" s="221"/>
      <c r="L121" s="647"/>
      <c r="M121" s="213"/>
      <c r="N121" s="213"/>
      <c r="O121" s="215"/>
      <c r="P121" s="213"/>
      <c r="Q121" s="213"/>
      <c r="R121" s="213"/>
      <c r="S121" s="213"/>
      <c r="T121" s="213"/>
      <c r="U121" s="213"/>
      <c r="V121" s="213"/>
      <c r="W121" s="213"/>
      <c r="X121" s="643"/>
      <c r="Y121" s="616">
        <f t="shared" si="1"/>
        <v>0</v>
      </c>
      <c r="Z121" s="633"/>
      <c r="AA121" s="654"/>
      <c r="AB121" s="654"/>
      <c r="AC121" s="7"/>
      <c r="AD121" s="701"/>
      <c r="AE121" s="7"/>
      <c r="AF121" s="618">
        <f t="shared" si="10"/>
        <v>0</v>
      </c>
      <c r="AG121" s="7"/>
      <c r="AH121" s="7"/>
      <c r="AI121" s="7"/>
      <c r="AJ121" s="7"/>
      <c r="AK121" s="7"/>
      <c r="AL121" s="7"/>
    </row>
    <row r="122" spans="1:38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5"/>
      <c r="I122" s="215"/>
      <c r="J122" s="214"/>
      <c r="K122" s="221"/>
      <c r="L122" s="647"/>
      <c r="M122" s="213"/>
      <c r="N122" s="213"/>
      <c r="O122" s="215"/>
      <c r="P122" s="213"/>
      <c r="Q122" s="213"/>
      <c r="R122" s="213"/>
      <c r="S122" s="213"/>
      <c r="T122" s="213"/>
      <c r="U122" s="213"/>
      <c r="V122" s="213"/>
      <c r="W122" s="213"/>
      <c r="X122" s="643"/>
      <c r="Y122" s="616">
        <f t="shared" si="1"/>
        <v>0</v>
      </c>
      <c r="Z122" s="633"/>
      <c r="AA122" s="648"/>
      <c r="AB122" s="648"/>
      <c r="AC122" s="7"/>
      <c r="AD122" s="701"/>
      <c r="AE122" s="7"/>
      <c r="AF122" s="618">
        <f t="shared" si="10"/>
        <v>0</v>
      </c>
      <c r="AG122" s="7"/>
      <c r="AH122" s="7"/>
      <c r="AI122" s="7"/>
      <c r="AJ122" s="7"/>
      <c r="AK122" s="7"/>
      <c r="AL122" s="7"/>
    </row>
    <row r="123" spans="1:38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5"/>
      <c r="I123" s="215"/>
      <c r="J123" s="214"/>
      <c r="K123" s="221"/>
      <c r="L123" s="647"/>
      <c r="M123" s="213"/>
      <c r="N123" s="213"/>
      <c r="O123" s="215"/>
      <c r="P123" s="213"/>
      <c r="Q123" s="213"/>
      <c r="R123" s="213"/>
      <c r="S123" s="213"/>
      <c r="T123" s="213"/>
      <c r="U123" s="213"/>
      <c r="V123" s="213"/>
      <c r="W123" s="213"/>
      <c r="X123" s="643"/>
      <c r="Y123" s="616">
        <f t="shared" si="1"/>
        <v>0</v>
      </c>
      <c r="Z123" s="633"/>
      <c r="AA123" s="648"/>
      <c r="AB123" s="648"/>
      <c r="AC123" s="7"/>
      <c r="AD123" s="699"/>
      <c r="AE123" s="7"/>
      <c r="AF123" s="618">
        <f t="shared" si="10"/>
        <v>0</v>
      </c>
      <c r="AG123" s="7"/>
      <c r="AH123" s="7"/>
      <c r="AI123" s="7"/>
      <c r="AJ123" s="7"/>
      <c r="AK123" s="7"/>
      <c r="AL123" s="7"/>
    </row>
    <row r="124" spans="1:38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5"/>
      <c r="I124" s="215"/>
      <c r="J124" s="214"/>
      <c r="K124" s="221"/>
      <c r="L124" s="647"/>
      <c r="M124" s="213"/>
      <c r="N124" s="213"/>
      <c r="O124" s="215"/>
      <c r="P124" s="213"/>
      <c r="Q124" s="213"/>
      <c r="R124" s="213"/>
      <c r="S124" s="213"/>
      <c r="T124" s="213"/>
      <c r="U124" s="213"/>
      <c r="V124" s="213"/>
      <c r="W124" s="213"/>
      <c r="X124" s="643"/>
      <c r="Y124" s="616">
        <f t="shared" si="1"/>
        <v>0</v>
      </c>
      <c r="Z124" s="633"/>
      <c r="AA124" s="648"/>
      <c r="AB124" s="648"/>
      <c r="AC124" s="7"/>
      <c r="AD124" s="699"/>
      <c r="AE124" s="7"/>
      <c r="AF124" s="618">
        <f t="shared" si="10"/>
        <v>0</v>
      </c>
      <c r="AG124" s="7"/>
      <c r="AH124" s="7"/>
      <c r="AI124" s="7"/>
      <c r="AJ124" s="7"/>
      <c r="AK124" s="7"/>
      <c r="AL124" s="7"/>
    </row>
    <row r="125" spans="1:38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5"/>
      <c r="I125" s="215"/>
      <c r="J125" s="214"/>
      <c r="K125" s="221"/>
      <c r="L125" s="647"/>
      <c r="M125" s="213"/>
      <c r="N125" s="213"/>
      <c r="O125" s="215"/>
      <c r="P125" s="213"/>
      <c r="Q125" s="213"/>
      <c r="R125" s="213"/>
      <c r="S125" s="213"/>
      <c r="T125" s="213"/>
      <c r="U125" s="213"/>
      <c r="V125" s="213"/>
      <c r="W125" s="213"/>
      <c r="X125" s="643"/>
      <c r="Y125" s="616">
        <f t="shared" si="1"/>
        <v>0</v>
      </c>
      <c r="Z125" s="633"/>
      <c r="AA125" s="648"/>
      <c r="AB125" s="648"/>
      <c r="AC125" s="7"/>
      <c r="AD125" s="699"/>
      <c r="AE125" s="7"/>
      <c r="AF125" s="618">
        <f t="shared" si="10"/>
        <v>0</v>
      </c>
      <c r="AG125" s="7"/>
      <c r="AH125" s="7"/>
      <c r="AI125" s="7"/>
      <c r="AJ125" s="7"/>
      <c r="AK125" s="7"/>
      <c r="AL125" s="7"/>
    </row>
    <row r="126" spans="1:38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52.06</v>
      </c>
      <c r="F126" s="213">
        <v>1.49</v>
      </c>
      <c r="G126" s="213">
        <v>6.5</v>
      </c>
      <c r="H126" s="215"/>
      <c r="I126" s="215"/>
      <c r="J126" s="214"/>
      <c r="K126" s="221"/>
      <c r="L126" s="620"/>
      <c r="M126" s="213"/>
      <c r="N126" s="213"/>
      <c r="O126" s="215"/>
      <c r="P126" s="213"/>
      <c r="Q126" s="213"/>
      <c r="R126" s="213"/>
      <c r="S126" s="213"/>
      <c r="T126" s="213"/>
      <c r="U126" s="213"/>
      <c r="V126" s="213"/>
      <c r="W126" s="213"/>
      <c r="X126" s="643"/>
      <c r="Y126" s="616">
        <f t="shared" si="1"/>
        <v>60.050000000000004</v>
      </c>
      <c r="Z126" s="633"/>
      <c r="AA126" s="636"/>
      <c r="AB126" s="636"/>
      <c r="AC126" s="7"/>
      <c r="AD126" s="702">
        <v>230</v>
      </c>
      <c r="AE126" s="7"/>
      <c r="AF126" s="618"/>
      <c r="AG126" s="7"/>
      <c r="AH126" s="7"/>
      <c r="AI126" s="7"/>
      <c r="AJ126" s="7"/>
      <c r="AK126" s="7"/>
      <c r="AL126" s="7"/>
    </row>
    <row r="127" spans="1:38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5"/>
      <c r="I127" s="215"/>
      <c r="J127" s="214"/>
      <c r="K127" s="221"/>
      <c r="L127" s="647"/>
      <c r="M127" s="213"/>
      <c r="N127" s="213"/>
      <c r="O127" s="215"/>
      <c r="P127" s="213"/>
      <c r="Q127" s="213"/>
      <c r="R127" s="213"/>
      <c r="S127" s="213"/>
      <c r="T127" s="213"/>
      <c r="U127" s="213"/>
      <c r="V127" s="213"/>
      <c r="W127" s="213"/>
      <c r="X127" s="643"/>
      <c r="Y127" s="616">
        <f t="shared" si="1"/>
        <v>0</v>
      </c>
      <c r="Z127" s="633"/>
      <c r="AA127" s="634"/>
      <c r="AB127" s="634"/>
      <c r="AC127" s="7"/>
      <c r="AD127" s="701">
        <v>118.1</v>
      </c>
      <c r="AE127" s="7"/>
      <c r="AF127" s="618"/>
      <c r="AG127" s="7"/>
      <c r="AH127" s="7"/>
      <c r="AI127" s="7"/>
      <c r="AJ127" s="7"/>
      <c r="AK127" s="7"/>
      <c r="AL127" s="7"/>
    </row>
    <row r="128" spans="1:38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5"/>
      <c r="I128" s="215"/>
      <c r="J128" s="214"/>
      <c r="K128" s="221"/>
      <c r="L128" s="647"/>
      <c r="M128" s="213"/>
      <c r="N128" s="213"/>
      <c r="O128" s="215"/>
      <c r="P128" s="213"/>
      <c r="Q128" s="213"/>
      <c r="R128" s="213"/>
      <c r="S128" s="213"/>
      <c r="T128" s="213"/>
      <c r="U128" s="213"/>
      <c r="V128" s="213"/>
      <c r="W128" s="213"/>
      <c r="X128" s="643"/>
      <c r="Y128" s="616">
        <f t="shared" si="1"/>
        <v>0</v>
      </c>
      <c r="Z128" s="633"/>
      <c r="AA128" s="634"/>
      <c r="AB128" s="634"/>
      <c r="AC128" s="7"/>
      <c r="AD128" s="701"/>
      <c r="AE128" s="7"/>
      <c r="AF128" s="618">
        <f>AD128-Y128</f>
        <v>0</v>
      </c>
      <c r="AG128" s="7"/>
      <c r="AH128" s="7"/>
      <c r="AI128" s="7"/>
      <c r="AJ128" s="7"/>
      <c r="AK128" s="7"/>
      <c r="AL128" s="7"/>
    </row>
    <row r="129" spans="1:38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>
        <v>6.5</v>
      </c>
      <c r="H129" s="215"/>
      <c r="I129" s="215"/>
      <c r="J129" s="214"/>
      <c r="K129" s="221"/>
      <c r="L129" s="647"/>
      <c r="M129" s="213"/>
      <c r="N129" s="213"/>
      <c r="O129" s="215"/>
      <c r="P129" s="213"/>
      <c r="Q129" s="213"/>
      <c r="R129" s="213"/>
      <c r="S129" s="213"/>
      <c r="T129" s="213"/>
      <c r="U129" s="213"/>
      <c r="V129" s="213"/>
      <c r="W129" s="213"/>
      <c r="X129" s="643"/>
      <c r="Y129" s="616">
        <f t="shared" si="1"/>
        <v>6.5</v>
      </c>
      <c r="Z129" s="633"/>
      <c r="AA129" s="634"/>
      <c r="AB129" s="634"/>
      <c r="AC129" s="7"/>
      <c r="AD129" s="701">
        <v>15.3</v>
      </c>
      <c r="AE129" s="7"/>
      <c r="AF129" s="618"/>
      <c r="AG129" s="7"/>
      <c r="AH129" s="7"/>
      <c r="AI129" s="7"/>
      <c r="AJ129" s="7"/>
      <c r="AK129" s="7"/>
      <c r="AL129" s="7"/>
    </row>
    <row r="130" spans="1:38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5"/>
      <c r="I130" s="215"/>
      <c r="J130" s="214"/>
      <c r="K130" s="221"/>
      <c r="L130" s="647"/>
      <c r="M130" s="213"/>
      <c r="N130" s="213"/>
      <c r="O130" s="215"/>
      <c r="P130" s="213"/>
      <c r="Q130" s="213"/>
      <c r="R130" s="213"/>
      <c r="S130" s="213"/>
      <c r="T130" s="213"/>
      <c r="U130" s="213"/>
      <c r="V130" s="213"/>
      <c r="W130" s="213"/>
      <c r="X130" s="643"/>
      <c r="Y130" s="616">
        <f t="shared" si="1"/>
        <v>0</v>
      </c>
      <c r="Z130" s="633"/>
      <c r="AA130" s="634"/>
      <c r="AB130" s="634"/>
      <c r="AC130" s="7"/>
      <c r="AD130" s="701">
        <v>76.599999999999994</v>
      </c>
      <c r="AE130" s="7"/>
      <c r="AF130" s="618"/>
      <c r="AG130" s="7"/>
      <c r="AH130" s="7"/>
      <c r="AI130" s="7"/>
      <c r="AJ130" s="7"/>
      <c r="AK130" s="7"/>
      <c r="AL130" s="7"/>
    </row>
    <row r="131" spans="1:38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5"/>
      <c r="I131" s="215"/>
      <c r="J131" s="214"/>
      <c r="K131" s="221"/>
      <c r="L131" s="620"/>
      <c r="M131" s="213"/>
      <c r="N131" s="213"/>
      <c r="O131" s="215"/>
      <c r="P131" s="213"/>
      <c r="Q131" s="213"/>
      <c r="R131" s="213"/>
      <c r="S131" s="213"/>
      <c r="T131" s="213"/>
      <c r="U131" s="213"/>
      <c r="V131" s="213"/>
      <c r="W131" s="213"/>
      <c r="X131" s="643"/>
      <c r="Y131" s="616">
        <f t="shared" si="1"/>
        <v>0</v>
      </c>
      <c r="Z131" s="633"/>
      <c r="AA131" s="636"/>
      <c r="AB131" s="636"/>
      <c r="AC131" s="7"/>
      <c r="AD131" s="699"/>
      <c r="AE131" s="7"/>
      <c r="AF131" s="618">
        <f t="shared" ref="AF131:AF135" si="11">AD131-Y131</f>
        <v>0</v>
      </c>
      <c r="AG131" s="7"/>
      <c r="AH131" s="7"/>
      <c r="AI131" s="7"/>
      <c r="AJ131" s="7"/>
      <c r="AK131" s="7"/>
      <c r="AL131" s="7"/>
    </row>
    <row r="132" spans="1:38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5"/>
      <c r="I132" s="215"/>
      <c r="J132" s="214"/>
      <c r="K132" s="221"/>
      <c r="L132" s="647"/>
      <c r="M132" s="213"/>
      <c r="N132" s="213"/>
      <c r="O132" s="215"/>
      <c r="P132" s="213"/>
      <c r="Q132" s="213"/>
      <c r="R132" s="213"/>
      <c r="S132" s="213"/>
      <c r="T132" s="213"/>
      <c r="U132" s="213"/>
      <c r="V132" s="213"/>
      <c r="W132" s="213"/>
      <c r="X132" s="643"/>
      <c r="Y132" s="616">
        <f t="shared" si="1"/>
        <v>0</v>
      </c>
      <c r="Z132" s="633"/>
      <c r="AA132" s="634"/>
      <c r="AB132" s="634"/>
      <c r="AC132" s="7"/>
      <c r="AD132" s="699"/>
      <c r="AE132" s="7"/>
      <c r="AF132" s="618">
        <f t="shared" si="11"/>
        <v>0</v>
      </c>
      <c r="AG132" s="7"/>
      <c r="AH132" s="7"/>
      <c r="AI132" s="7"/>
      <c r="AJ132" s="7"/>
      <c r="AK132" s="7"/>
      <c r="AL132" s="7"/>
    </row>
    <row r="133" spans="1:38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5"/>
      <c r="I133" s="215"/>
      <c r="J133" s="214"/>
      <c r="K133" s="221"/>
      <c r="L133" s="647"/>
      <c r="M133" s="213"/>
      <c r="N133" s="213"/>
      <c r="O133" s="215"/>
      <c r="P133" s="213"/>
      <c r="Q133" s="213"/>
      <c r="R133" s="213"/>
      <c r="S133" s="213"/>
      <c r="T133" s="213"/>
      <c r="U133" s="213"/>
      <c r="V133" s="213"/>
      <c r="W133" s="213"/>
      <c r="X133" s="643"/>
      <c r="Y133" s="616">
        <f t="shared" si="1"/>
        <v>0</v>
      </c>
      <c r="Z133" s="633"/>
      <c r="AA133" s="634"/>
      <c r="AB133" s="634"/>
      <c r="AC133" s="7"/>
      <c r="AD133" s="699"/>
      <c r="AE133" s="7"/>
      <c r="AF133" s="618">
        <f t="shared" si="11"/>
        <v>0</v>
      </c>
      <c r="AG133" s="7"/>
      <c r="AH133" s="7"/>
      <c r="AI133" s="7"/>
      <c r="AJ133" s="7"/>
      <c r="AK133" s="7"/>
      <c r="AL133" s="7"/>
    </row>
    <row r="134" spans="1:38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5"/>
      <c r="I134" s="215"/>
      <c r="J134" s="214"/>
      <c r="K134" s="221"/>
      <c r="L134" s="647"/>
      <c r="M134" s="213"/>
      <c r="N134" s="213"/>
      <c r="O134" s="215"/>
      <c r="P134" s="213"/>
      <c r="Q134" s="213"/>
      <c r="R134" s="213"/>
      <c r="S134" s="213"/>
      <c r="T134" s="213"/>
      <c r="U134" s="213"/>
      <c r="V134" s="213"/>
      <c r="W134" s="213"/>
      <c r="X134" s="643"/>
      <c r="Y134" s="616">
        <f t="shared" si="1"/>
        <v>0</v>
      </c>
      <c r="Z134" s="633"/>
      <c r="AA134" s="634"/>
      <c r="AB134" s="634"/>
      <c r="AC134" s="7"/>
      <c r="AD134" s="699"/>
      <c r="AE134" s="7"/>
      <c r="AF134" s="618">
        <f t="shared" si="11"/>
        <v>0</v>
      </c>
      <c r="AG134" s="7"/>
      <c r="AH134" s="7"/>
      <c r="AI134" s="7"/>
      <c r="AJ134" s="7"/>
      <c r="AK134" s="7"/>
      <c r="AL134" s="7"/>
    </row>
    <row r="135" spans="1:38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5"/>
      <c r="I135" s="215"/>
      <c r="J135" s="214"/>
      <c r="K135" s="221"/>
      <c r="L135" s="647"/>
      <c r="M135" s="213"/>
      <c r="N135" s="213"/>
      <c r="O135" s="215"/>
      <c r="P135" s="213"/>
      <c r="Q135" s="213"/>
      <c r="R135" s="213"/>
      <c r="S135" s="213"/>
      <c r="T135" s="213"/>
      <c r="U135" s="213"/>
      <c r="V135" s="213"/>
      <c r="W135" s="213"/>
      <c r="X135" s="643"/>
      <c r="Y135" s="616">
        <f t="shared" si="1"/>
        <v>0</v>
      </c>
      <c r="Z135" s="633"/>
      <c r="AA135" s="634"/>
      <c r="AB135" s="634"/>
      <c r="AC135" s="7"/>
      <c r="AD135" s="699"/>
      <c r="AE135" s="7"/>
      <c r="AF135" s="618">
        <f t="shared" si="11"/>
        <v>0</v>
      </c>
      <c r="AG135" s="7"/>
      <c r="AH135" s="7"/>
      <c r="AI135" s="7"/>
      <c r="AJ135" s="7"/>
      <c r="AK135" s="7"/>
      <c r="AL135" s="7"/>
    </row>
    <row r="136" spans="1:38" ht="20.25" customHeight="1">
      <c r="A136" s="486"/>
      <c r="B136" s="487" t="s">
        <v>314</v>
      </c>
      <c r="C136" s="656" t="s">
        <v>315</v>
      </c>
      <c r="D136" s="412" t="s">
        <v>271</v>
      </c>
      <c r="E136" s="213">
        <v>278.75</v>
      </c>
      <c r="F136" s="213"/>
      <c r="G136" s="213"/>
      <c r="H136" s="215"/>
      <c r="I136" s="215"/>
      <c r="J136" s="214"/>
      <c r="K136" s="221"/>
      <c r="L136" s="620"/>
      <c r="M136" s="213"/>
      <c r="N136" s="213"/>
      <c r="O136" s="215"/>
      <c r="P136" s="213"/>
      <c r="Q136" s="213"/>
      <c r="R136" s="213"/>
      <c r="S136" s="213"/>
      <c r="T136" s="213"/>
      <c r="U136" s="213"/>
      <c r="V136" s="213"/>
      <c r="W136" s="213"/>
      <c r="X136" s="643"/>
      <c r="Y136" s="616">
        <f t="shared" si="1"/>
        <v>278.75</v>
      </c>
      <c r="Z136" s="633"/>
      <c r="AA136" s="636"/>
      <c r="AB136" s="636"/>
      <c r="AC136" s="7"/>
      <c r="AD136" s="702"/>
      <c r="AE136" s="7"/>
      <c r="AF136" s="618"/>
      <c r="AG136" s="7"/>
      <c r="AH136" s="7"/>
      <c r="AI136" s="7"/>
      <c r="AJ136" s="7"/>
      <c r="AK136" s="7"/>
      <c r="AL136" s="7"/>
    </row>
    <row r="137" spans="1:38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5"/>
      <c r="I137" s="215"/>
      <c r="J137" s="214"/>
      <c r="K137" s="221"/>
      <c r="L137" s="647"/>
      <c r="M137" s="213"/>
      <c r="N137" s="213"/>
      <c r="O137" s="215"/>
      <c r="P137" s="213"/>
      <c r="Q137" s="213"/>
      <c r="R137" s="213"/>
      <c r="S137" s="213"/>
      <c r="T137" s="213"/>
      <c r="U137" s="213"/>
      <c r="V137" s="213"/>
      <c r="W137" s="213"/>
      <c r="X137" s="643"/>
      <c r="Y137" s="616">
        <f t="shared" si="1"/>
        <v>0</v>
      </c>
      <c r="Z137" s="633"/>
      <c r="AA137" s="648"/>
      <c r="AB137" s="648"/>
      <c r="AC137" s="7"/>
      <c r="AD137" s="701"/>
      <c r="AE137" s="7"/>
      <c r="AF137" s="618"/>
      <c r="AG137" s="7"/>
      <c r="AH137" s="7"/>
      <c r="AI137" s="7"/>
      <c r="AJ137" s="7"/>
      <c r="AK137" s="7"/>
      <c r="AL137" s="7"/>
    </row>
    <row r="138" spans="1:38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5"/>
      <c r="I138" s="215"/>
      <c r="J138" s="214"/>
      <c r="K138" s="221"/>
      <c r="L138" s="647"/>
      <c r="M138" s="213"/>
      <c r="N138" s="213"/>
      <c r="O138" s="215"/>
      <c r="P138" s="213"/>
      <c r="Q138" s="213"/>
      <c r="R138" s="213"/>
      <c r="S138" s="213"/>
      <c r="T138" s="213"/>
      <c r="U138" s="213"/>
      <c r="V138" s="213"/>
      <c r="W138" s="213"/>
      <c r="X138" s="643"/>
      <c r="Y138" s="616">
        <f t="shared" si="1"/>
        <v>0</v>
      </c>
      <c r="Z138" s="633"/>
      <c r="AA138" s="648"/>
      <c r="AB138" s="648"/>
      <c r="AC138" s="7"/>
      <c r="AD138" s="699"/>
      <c r="AE138" s="7"/>
      <c r="AF138" s="618"/>
      <c r="AG138" s="7"/>
      <c r="AH138" s="7"/>
      <c r="AI138" s="7"/>
      <c r="AJ138" s="7"/>
      <c r="AK138" s="7"/>
      <c r="AL138" s="7"/>
    </row>
    <row r="139" spans="1:38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5"/>
      <c r="I139" s="215"/>
      <c r="J139" s="214"/>
      <c r="K139" s="221"/>
      <c r="L139" s="647"/>
      <c r="M139" s="213"/>
      <c r="N139" s="213"/>
      <c r="O139" s="215"/>
      <c r="P139" s="213"/>
      <c r="Q139" s="213"/>
      <c r="R139" s="213"/>
      <c r="S139" s="213"/>
      <c r="T139" s="213"/>
      <c r="U139" s="213"/>
      <c r="V139" s="213"/>
      <c r="W139" s="213"/>
      <c r="X139" s="643"/>
      <c r="Y139" s="616">
        <f t="shared" si="1"/>
        <v>0</v>
      </c>
      <c r="Z139" s="633"/>
      <c r="AA139" s="648"/>
      <c r="AB139" s="648"/>
      <c r="AC139" s="7"/>
      <c r="AD139" s="699"/>
      <c r="AE139" s="7"/>
      <c r="AF139" s="618"/>
      <c r="AG139" s="7"/>
      <c r="AH139" s="7"/>
      <c r="AI139" s="7"/>
      <c r="AJ139" s="7"/>
      <c r="AK139" s="7"/>
      <c r="AL139" s="7"/>
    </row>
    <row r="140" spans="1:38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5"/>
      <c r="I140" s="215"/>
      <c r="J140" s="214"/>
      <c r="K140" s="221"/>
      <c r="L140" s="647"/>
      <c r="M140" s="213"/>
      <c r="N140" s="213"/>
      <c r="O140" s="215"/>
      <c r="P140" s="213"/>
      <c r="Q140" s="213"/>
      <c r="R140" s="213"/>
      <c r="S140" s="213"/>
      <c r="T140" s="213"/>
      <c r="U140" s="213"/>
      <c r="V140" s="213"/>
      <c r="W140" s="213"/>
      <c r="X140" s="643"/>
      <c r="Y140" s="616">
        <f t="shared" si="1"/>
        <v>0</v>
      </c>
      <c r="Z140" s="633"/>
      <c r="AA140" s="648"/>
      <c r="AB140" s="648"/>
      <c r="AC140" s="7"/>
      <c r="AD140" s="699"/>
      <c r="AE140" s="7"/>
      <c r="AF140" s="618"/>
      <c r="AG140" s="7"/>
      <c r="AH140" s="7"/>
      <c r="AI140" s="7"/>
      <c r="AJ140" s="7"/>
      <c r="AK140" s="7"/>
      <c r="AL140" s="7"/>
    </row>
    <row r="141" spans="1:38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5"/>
      <c r="I141" s="215"/>
      <c r="J141" s="214"/>
      <c r="K141" s="221"/>
      <c r="L141" s="620"/>
      <c r="M141" s="213"/>
      <c r="N141" s="213"/>
      <c r="O141" s="215"/>
      <c r="P141" s="213"/>
      <c r="Q141" s="213"/>
      <c r="R141" s="213"/>
      <c r="S141" s="213"/>
      <c r="T141" s="213"/>
      <c r="U141" s="213"/>
      <c r="V141" s="213"/>
      <c r="W141" s="213"/>
      <c r="X141" s="643"/>
      <c r="Y141" s="616">
        <f t="shared" si="1"/>
        <v>0</v>
      </c>
      <c r="Z141" s="633"/>
      <c r="AA141" s="636"/>
      <c r="AB141" s="636"/>
      <c r="AC141" s="7"/>
      <c r="AD141" s="702">
        <v>1.5</v>
      </c>
      <c r="AE141" s="7"/>
      <c r="AF141" s="618"/>
      <c r="AG141" s="7"/>
      <c r="AH141" s="7"/>
      <c r="AI141" s="7"/>
      <c r="AJ141" s="7"/>
      <c r="AK141" s="7"/>
      <c r="AL141" s="7"/>
    </row>
    <row r="142" spans="1:38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5"/>
      <c r="I142" s="215"/>
      <c r="J142" s="214"/>
      <c r="K142" s="221"/>
      <c r="L142" s="647"/>
      <c r="M142" s="213"/>
      <c r="N142" s="213"/>
      <c r="O142" s="215"/>
      <c r="P142" s="213"/>
      <c r="Q142" s="213"/>
      <c r="R142" s="213"/>
      <c r="S142" s="213"/>
      <c r="T142" s="213"/>
      <c r="U142" s="213"/>
      <c r="V142" s="213"/>
      <c r="W142" s="213"/>
      <c r="X142" s="643"/>
      <c r="Y142" s="616">
        <f t="shared" si="1"/>
        <v>0</v>
      </c>
      <c r="Z142" s="633"/>
      <c r="AA142" s="648"/>
      <c r="AB142" s="648"/>
      <c r="AC142" s="7"/>
      <c r="AD142" s="701"/>
      <c r="AE142" s="7"/>
      <c r="AF142" s="618">
        <f t="shared" ref="AF142:AF144" si="12">AD142-Y142</f>
        <v>0</v>
      </c>
      <c r="AG142" s="7"/>
      <c r="AH142" s="7"/>
      <c r="AI142" s="7"/>
      <c r="AJ142" s="7"/>
      <c r="AK142" s="7"/>
      <c r="AL142" s="7"/>
    </row>
    <row r="143" spans="1:38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5"/>
      <c r="I143" s="215"/>
      <c r="J143" s="214"/>
      <c r="K143" s="221"/>
      <c r="L143" s="647"/>
      <c r="M143" s="213"/>
      <c r="N143" s="213"/>
      <c r="O143" s="215"/>
      <c r="P143" s="213"/>
      <c r="Q143" s="213"/>
      <c r="R143" s="213"/>
      <c r="S143" s="213"/>
      <c r="T143" s="213"/>
      <c r="U143" s="213"/>
      <c r="V143" s="213"/>
      <c r="W143" s="213"/>
      <c r="X143" s="643"/>
      <c r="Y143" s="616">
        <f t="shared" si="1"/>
        <v>0</v>
      </c>
      <c r="Z143" s="633"/>
      <c r="AA143" s="648"/>
      <c r="AB143" s="648"/>
      <c r="AC143" s="7"/>
      <c r="AD143" s="701"/>
      <c r="AE143" s="7"/>
      <c r="AF143" s="618">
        <f t="shared" si="12"/>
        <v>0</v>
      </c>
      <c r="AG143" s="7"/>
      <c r="AH143" s="7"/>
      <c r="AI143" s="7"/>
      <c r="AJ143" s="7"/>
      <c r="AK143" s="7"/>
      <c r="AL143" s="7"/>
    </row>
    <row r="144" spans="1:38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5"/>
      <c r="I144" s="215"/>
      <c r="J144" s="214"/>
      <c r="K144" s="221"/>
      <c r="L144" s="647"/>
      <c r="M144" s="213"/>
      <c r="N144" s="213"/>
      <c r="O144" s="215"/>
      <c r="P144" s="213"/>
      <c r="Q144" s="213"/>
      <c r="R144" s="213"/>
      <c r="S144" s="213"/>
      <c r="T144" s="213"/>
      <c r="U144" s="213"/>
      <c r="V144" s="213"/>
      <c r="W144" s="213"/>
      <c r="X144" s="643"/>
      <c r="Y144" s="616">
        <f t="shared" si="1"/>
        <v>0</v>
      </c>
      <c r="Z144" s="633"/>
      <c r="AA144" s="648"/>
      <c r="AB144" s="648"/>
      <c r="AC144" s="7"/>
      <c r="AD144" s="701"/>
      <c r="AE144" s="7"/>
      <c r="AF144" s="618">
        <f t="shared" si="12"/>
        <v>0</v>
      </c>
      <c r="AG144" s="7"/>
      <c r="AH144" s="7"/>
      <c r="AI144" s="7"/>
      <c r="AJ144" s="7"/>
      <c r="AK144" s="7"/>
      <c r="AL144" s="7"/>
    </row>
    <row r="145" spans="1:38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5"/>
      <c r="I145" s="215"/>
      <c r="J145" s="214"/>
      <c r="K145" s="221"/>
      <c r="L145" s="647"/>
      <c r="M145" s="213"/>
      <c r="N145" s="213"/>
      <c r="O145" s="215"/>
      <c r="P145" s="213"/>
      <c r="Q145" s="213"/>
      <c r="R145" s="213"/>
      <c r="S145" s="213"/>
      <c r="T145" s="213"/>
      <c r="U145" s="213"/>
      <c r="V145" s="213"/>
      <c r="W145" s="213"/>
      <c r="X145" s="643"/>
      <c r="Y145" s="616">
        <f t="shared" si="1"/>
        <v>0</v>
      </c>
      <c r="Z145" s="633"/>
      <c r="AA145" s="648"/>
      <c r="AB145" s="648"/>
      <c r="AC145" s="7"/>
      <c r="AD145" s="701"/>
      <c r="AE145" s="7"/>
      <c r="AF145" s="618"/>
      <c r="AG145" s="7"/>
      <c r="AH145" s="7"/>
      <c r="AI145" s="7"/>
      <c r="AJ145" s="7"/>
      <c r="AK145" s="7"/>
      <c r="AL145" s="7"/>
    </row>
    <row r="146" spans="1:38" ht="20.25" customHeight="1">
      <c r="A146" s="486"/>
      <c r="B146" s="487" t="s">
        <v>328</v>
      </c>
      <c r="C146" s="635" t="s">
        <v>329</v>
      </c>
      <c r="D146" s="412" t="s">
        <v>271</v>
      </c>
      <c r="E146" s="213">
        <v>8.4700000000000006</v>
      </c>
      <c r="F146" s="213">
        <v>1</v>
      </c>
      <c r="G146" s="213"/>
      <c r="H146" s="215"/>
      <c r="I146" s="215"/>
      <c r="J146" s="214"/>
      <c r="K146" s="221"/>
      <c r="L146" s="620"/>
      <c r="M146" s="213"/>
      <c r="N146" s="213"/>
      <c r="O146" s="215"/>
      <c r="P146" s="213"/>
      <c r="Q146" s="213"/>
      <c r="R146" s="213"/>
      <c r="S146" s="213"/>
      <c r="T146" s="213"/>
      <c r="U146" s="213"/>
      <c r="V146" s="213"/>
      <c r="W146" s="213"/>
      <c r="X146" s="643"/>
      <c r="Y146" s="616">
        <f t="shared" si="1"/>
        <v>9.4700000000000006</v>
      </c>
      <c r="Z146" s="633"/>
      <c r="AA146" s="636"/>
      <c r="AB146" s="636"/>
      <c r="AC146" s="7"/>
      <c r="AD146" s="701">
        <v>56.2</v>
      </c>
      <c r="AE146" s="7"/>
      <c r="AF146" s="618"/>
      <c r="AG146" s="7"/>
      <c r="AH146" s="7"/>
      <c r="AI146" s="7"/>
      <c r="AJ146" s="7"/>
      <c r="AK146" s="7"/>
      <c r="AL146" s="7"/>
    </row>
    <row r="147" spans="1:38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5"/>
      <c r="I147" s="215"/>
      <c r="J147" s="214"/>
      <c r="K147" s="221"/>
      <c r="L147" s="647"/>
      <c r="M147" s="213"/>
      <c r="N147" s="213"/>
      <c r="O147" s="215"/>
      <c r="P147" s="213"/>
      <c r="Q147" s="213"/>
      <c r="R147" s="213"/>
      <c r="S147" s="213"/>
      <c r="T147" s="213"/>
      <c r="U147" s="213"/>
      <c r="V147" s="213"/>
      <c r="W147" s="213"/>
      <c r="X147" s="643"/>
      <c r="Y147" s="616">
        <f t="shared" si="1"/>
        <v>0</v>
      </c>
      <c r="Z147" s="633"/>
      <c r="AA147" s="634"/>
      <c r="AB147" s="634"/>
      <c r="AC147" s="7"/>
      <c r="AD147" s="701">
        <v>45.4</v>
      </c>
      <c r="AE147" s="7"/>
      <c r="AF147" s="618"/>
      <c r="AG147" s="7"/>
      <c r="AH147" s="7"/>
      <c r="AI147" s="7"/>
      <c r="AJ147" s="7"/>
      <c r="AK147" s="7"/>
      <c r="AL147" s="7"/>
    </row>
    <row r="148" spans="1:38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5"/>
      <c r="I148" s="215"/>
      <c r="J148" s="214"/>
      <c r="K148" s="221"/>
      <c r="L148" s="647"/>
      <c r="M148" s="213"/>
      <c r="N148" s="213"/>
      <c r="O148" s="215"/>
      <c r="P148" s="213"/>
      <c r="Q148" s="213"/>
      <c r="R148" s="213"/>
      <c r="S148" s="213"/>
      <c r="T148" s="213"/>
      <c r="U148" s="213"/>
      <c r="V148" s="213"/>
      <c r="W148" s="213"/>
      <c r="X148" s="643"/>
      <c r="Y148" s="616">
        <f t="shared" si="1"/>
        <v>0</v>
      </c>
      <c r="Z148" s="633"/>
      <c r="AA148" s="634"/>
      <c r="AB148" s="634"/>
      <c r="AC148" s="7"/>
      <c r="AD148" s="701"/>
      <c r="AE148" s="7"/>
      <c r="AF148" s="618"/>
      <c r="AG148" s="7"/>
      <c r="AH148" s="7"/>
      <c r="AI148" s="7"/>
      <c r="AJ148" s="7"/>
      <c r="AK148" s="7"/>
      <c r="AL148" s="7"/>
    </row>
    <row r="149" spans="1:38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5"/>
      <c r="I149" s="215"/>
      <c r="J149" s="214"/>
      <c r="K149" s="221"/>
      <c r="L149" s="647"/>
      <c r="M149" s="213"/>
      <c r="N149" s="213"/>
      <c r="O149" s="215"/>
      <c r="P149" s="213"/>
      <c r="Q149" s="213"/>
      <c r="R149" s="213"/>
      <c r="S149" s="213"/>
      <c r="T149" s="213"/>
      <c r="U149" s="213"/>
      <c r="V149" s="213"/>
      <c r="W149" s="213"/>
      <c r="X149" s="643"/>
      <c r="Y149" s="616">
        <f t="shared" si="1"/>
        <v>0</v>
      </c>
      <c r="Z149" s="633"/>
      <c r="AA149" s="634"/>
      <c r="AB149" s="634"/>
      <c r="AC149" s="7"/>
      <c r="AD149" s="699">
        <v>3.8</v>
      </c>
      <c r="AE149" s="7"/>
      <c r="AF149" s="618">
        <f t="shared" ref="AF149:AF150" si="13">AD149-Y149</f>
        <v>3.8</v>
      </c>
      <c r="AG149" s="7"/>
      <c r="AH149" s="7"/>
      <c r="AI149" s="7"/>
      <c r="AJ149" s="7"/>
      <c r="AK149" s="7"/>
      <c r="AL149" s="7"/>
    </row>
    <row r="150" spans="1:38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5"/>
      <c r="I150" s="215"/>
      <c r="J150" s="214"/>
      <c r="K150" s="221"/>
      <c r="L150" s="647"/>
      <c r="M150" s="213"/>
      <c r="N150" s="213"/>
      <c r="O150" s="215"/>
      <c r="P150" s="213"/>
      <c r="Q150" s="213"/>
      <c r="R150" s="213"/>
      <c r="S150" s="213"/>
      <c r="T150" s="213"/>
      <c r="U150" s="213"/>
      <c r="V150" s="213"/>
      <c r="W150" s="213"/>
      <c r="X150" s="643"/>
      <c r="Y150" s="616">
        <f t="shared" si="1"/>
        <v>0</v>
      </c>
      <c r="Z150" s="633"/>
      <c r="AA150" s="634"/>
      <c r="AB150" s="634"/>
      <c r="AC150" s="7"/>
      <c r="AD150" s="699"/>
      <c r="AE150" s="7"/>
      <c r="AF150" s="618">
        <f t="shared" si="13"/>
        <v>0</v>
      </c>
      <c r="AG150" s="7"/>
      <c r="AH150" s="7"/>
      <c r="AI150" s="7"/>
      <c r="AJ150" s="7"/>
      <c r="AK150" s="7"/>
      <c r="AL150" s="7"/>
    </row>
    <row r="151" spans="1:38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>
        <v>0.37</v>
      </c>
      <c r="G151" s="213"/>
      <c r="H151" s="215">
        <v>0.02</v>
      </c>
      <c r="I151" s="215"/>
      <c r="J151" s="214"/>
      <c r="K151" s="221"/>
      <c r="L151" s="620"/>
      <c r="M151" s="213"/>
      <c r="N151" s="213"/>
      <c r="O151" s="215"/>
      <c r="P151" s="213"/>
      <c r="Q151" s="213"/>
      <c r="R151" s="213"/>
      <c r="S151" s="213"/>
      <c r="T151" s="213"/>
      <c r="U151" s="213"/>
      <c r="V151" s="213"/>
      <c r="W151" s="213"/>
      <c r="X151" s="643"/>
      <c r="Y151" s="616">
        <f t="shared" si="1"/>
        <v>0.39</v>
      </c>
      <c r="Z151" s="633"/>
      <c r="AA151" s="636"/>
      <c r="AB151" s="636"/>
      <c r="AC151" s="7"/>
      <c r="AD151" s="699">
        <v>20.100000000000001</v>
      </c>
      <c r="AE151" s="7"/>
      <c r="AF151" s="618"/>
      <c r="AG151" s="7"/>
      <c r="AH151" s="7"/>
      <c r="AI151" s="7"/>
      <c r="AJ151" s="7"/>
      <c r="AK151" s="7"/>
      <c r="AL151" s="7"/>
    </row>
    <row r="152" spans="1:38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5"/>
      <c r="I152" s="215"/>
      <c r="J152" s="214"/>
      <c r="K152" s="221"/>
      <c r="L152" s="647"/>
      <c r="M152" s="213"/>
      <c r="N152" s="213"/>
      <c r="O152" s="215"/>
      <c r="P152" s="213"/>
      <c r="Q152" s="213"/>
      <c r="R152" s="213"/>
      <c r="S152" s="213"/>
      <c r="T152" s="213"/>
      <c r="U152" s="213"/>
      <c r="V152" s="213"/>
      <c r="W152" s="213"/>
      <c r="X152" s="643"/>
      <c r="Y152" s="616">
        <f t="shared" si="1"/>
        <v>0</v>
      </c>
      <c r="Z152" s="633"/>
      <c r="AA152" s="634"/>
      <c r="AB152" s="634"/>
      <c r="AC152" s="7"/>
      <c r="AD152" s="699"/>
      <c r="AE152" s="7"/>
      <c r="AF152" s="618">
        <f>AD152-Y152</f>
        <v>0</v>
      </c>
      <c r="AG152" s="7"/>
      <c r="AH152" s="7"/>
      <c r="AI152" s="7"/>
      <c r="AJ152" s="7"/>
      <c r="AK152" s="7"/>
      <c r="AL152" s="7"/>
    </row>
    <row r="153" spans="1:38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5"/>
      <c r="I153" s="215"/>
      <c r="J153" s="214"/>
      <c r="K153" s="221"/>
      <c r="L153" s="647"/>
      <c r="M153" s="213"/>
      <c r="N153" s="213"/>
      <c r="O153" s="215"/>
      <c r="P153" s="213"/>
      <c r="Q153" s="213"/>
      <c r="R153" s="213"/>
      <c r="S153" s="213"/>
      <c r="T153" s="213"/>
      <c r="U153" s="213"/>
      <c r="V153" s="213"/>
      <c r="W153" s="213"/>
      <c r="X153" s="643"/>
      <c r="Y153" s="616">
        <f t="shared" si="1"/>
        <v>0</v>
      </c>
      <c r="Z153" s="633"/>
      <c r="AA153" s="634"/>
      <c r="AB153" s="634"/>
      <c r="AC153" s="7"/>
      <c r="AD153" s="699"/>
      <c r="AE153" s="7"/>
      <c r="AF153" s="618"/>
      <c r="AG153" s="7"/>
      <c r="AH153" s="7"/>
      <c r="AI153" s="7"/>
      <c r="AJ153" s="7"/>
      <c r="AK153" s="7"/>
      <c r="AL153" s="7"/>
    </row>
    <row r="154" spans="1:38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5"/>
      <c r="I154" s="215"/>
      <c r="J154" s="214"/>
      <c r="K154" s="221"/>
      <c r="L154" s="647"/>
      <c r="M154" s="213"/>
      <c r="N154" s="213"/>
      <c r="O154" s="215"/>
      <c r="P154" s="213"/>
      <c r="Q154" s="213"/>
      <c r="R154" s="213"/>
      <c r="S154" s="213"/>
      <c r="T154" s="213"/>
      <c r="U154" s="213"/>
      <c r="V154" s="213"/>
      <c r="W154" s="213"/>
      <c r="X154" s="643"/>
      <c r="Y154" s="616">
        <f t="shared" si="1"/>
        <v>0</v>
      </c>
      <c r="Z154" s="633"/>
      <c r="AA154" s="634"/>
      <c r="AB154" s="634"/>
      <c r="AC154" s="7"/>
      <c r="AD154" s="699"/>
      <c r="AE154" s="7"/>
      <c r="AF154" s="618">
        <f t="shared" ref="AF154:AF160" si="14">AD154-Y154</f>
        <v>0</v>
      </c>
      <c r="AG154" s="7"/>
      <c r="AH154" s="7"/>
      <c r="AI154" s="7"/>
      <c r="AJ154" s="7"/>
      <c r="AK154" s="7"/>
      <c r="AL154" s="7"/>
    </row>
    <row r="155" spans="1:38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5"/>
      <c r="I155" s="215"/>
      <c r="J155" s="214"/>
      <c r="K155" s="221"/>
      <c r="L155" s="647"/>
      <c r="M155" s="213"/>
      <c r="N155" s="213"/>
      <c r="O155" s="215"/>
      <c r="P155" s="213"/>
      <c r="Q155" s="213"/>
      <c r="R155" s="213"/>
      <c r="S155" s="213"/>
      <c r="T155" s="213"/>
      <c r="U155" s="213"/>
      <c r="V155" s="213"/>
      <c r="W155" s="213"/>
      <c r="X155" s="643"/>
      <c r="Y155" s="616">
        <f t="shared" si="1"/>
        <v>0</v>
      </c>
      <c r="Z155" s="633"/>
      <c r="AA155" s="634"/>
      <c r="AB155" s="634"/>
      <c r="AC155" s="7"/>
      <c r="AD155" s="699"/>
      <c r="AE155" s="7"/>
      <c r="AF155" s="618">
        <f t="shared" si="14"/>
        <v>0</v>
      </c>
      <c r="AG155" s="7"/>
      <c r="AH155" s="7"/>
      <c r="AI155" s="7"/>
      <c r="AJ155" s="7"/>
      <c r="AK155" s="7"/>
      <c r="AL155" s="7"/>
    </row>
    <row r="156" spans="1:38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5"/>
      <c r="I156" s="215"/>
      <c r="J156" s="214"/>
      <c r="K156" s="221"/>
      <c r="L156" s="620"/>
      <c r="M156" s="213"/>
      <c r="N156" s="213"/>
      <c r="O156" s="215"/>
      <c r="P156" s="213"/>
      <c r="Q156" s="213"/>
      <c r="R156" s="213"/>
      <c r="S156" s="213"/>
      <c r="T156" s="213"/>
      <c r="U156" s="213"/>
      <c r="V156" s="213"/>
      <c r="W156" s="213"/>
      <c r="X156" s="643"/>
      <c r="Y156" s="616">
        <f t="shared" si="1"/>
        <v>0</v>
      </c>
      <c r="Z156" s="633"/>
      <c r="AA156" s="636"/>
      <c r="AB156" s="636"/>
      <c r="AC156" s="7"/>
      <c r="AD156" s="699"/>
      <c r="AE156" s="7"/>
      <c r="AF156" s="618">
        <f t="shared" si="14"/>
        <v>0</v>
      </c>
      <c r="AG156" s="7"/>
      <c r="AH156" s="7"/>
      <c r="AI156" s="7"/>
      <c r="AJ156" s="7"/>
      <c r="AK156" s="7"/>
      <c r="AL156" s="7"/>
    </row>
    <row r="157" spans="1:38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5"/>
      <c r="I157" s="215"/>
      <c r="J157" s="214"/>
      <c r="K157" s="221"/>
      <c r="L157" s="647"/>
      <c r="M157" s="213"/>
      <c r="N157" s="213"/>
      <c r="O157" s="215"/>
      <c r="P157" s="213"/>
      <c r="Q157" s="213"/>
      <c r="R157" s="213"/>
      <c r="S157" s="213"/>
      <c r="T157" s="213"/>
      <c r="U157" s="213"/>
      <c r="V157" s="213"/>
      <c r="W157" s="213"/>
      <c r="X157" s="643"/>
      <c r="Y157" s="616">
        <f t="shared" si="1"/>
        <v>0</v>
      </c>
      <c r="Z157" s="633"/>
      <c r="AA157" s="648"/>
      <c r="AB157" s="648"/>
      <c r="AC157" s="7"/>
      <c r="AD157" s="699"/>
      <c r="AE157" s="7"/>
      <c r="AF157" s="618">
        <f t="shared" si="14"/>
        <v>0</v>
      </c>
      <c r="AG157" s="7"/>
      <c r="AH157" s="7"/>
      <c r="AI157" s="7"/>
      <c r="AJ157" s="7"/>
      <c r="AK157" s="7"/>
      <c r="AL157" s="7"/>
    </row>
    <row r="158" spans="1:38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5"/>
      <c r="I158" s="215"/>
      <c r="J158" s="214"/>
      <c r="K158" s="221"/>
      <c r="L158" s="647"/>
      <c r="M158" s="213"/>
      <c r="N158" s="213"/>
      <c r="O158" s="215"/>
      <c r="P158" s="213"/>
      <c r="Q158" s="213"/>
      <c r="R158" s="213"/>
      <c r="S158" s="213"/>
      <c r="T158" s="213"/>
      <c r="U158" s="213"/>
      <c r="V158" s="213"/>
      <c r="W158" s="213"/>
      <c r="X158" s="643"/>
      <c r="Y158" s="616">
        <f t="shared" si="1"/>
        <v>0</v>
      </c>
      <c r="Z158" s="633"/>
      <c r="AA158" s="648"/>
      <c r="AB158" s="648"/>
      <c r="AC158" s="7"/>
      <c r="AD158" s="699"/>
      <c r="AE158" s="7"/>
      <c r="AF158" s="618">
        <f t="shared" si="14"/>
        <v>0</v>
      </c>
      <c r="AG158" s="7"/>
      <c r="AH158" s="7"/>
      <c r="AI158" s="7"/>
      <c r="AJ158" s="7"/>
      <c r="AK158" s="7"/>
      <c r="AL158" s="7"/>
    </row>
    <row r="159" spans="1:38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5"/>
      <c r="I159" s="215"/>
      <c r="J159" s="214"/>
      <c r="K159" s="221"/>
      <c r="L159" s="647"/>
      <c r="M159" s="213"/>
      <c r="N159" s="213"/>
      <c r="O159" s="215"/>
      <c r="P159" s="213"/>
      <c r="Q159" s="213"/>
      <c r="R159" s="213"/>
      <c r="S159" s="213"/>
      <c r="T159" s="213"/>
      <c r="U159" s="213"/>
      <c r="V159" s="213"/>
      <c r="W159" s="213"/>
      <c r="X159" s="643"/>
      <c r="Y159" s="616">
        <f t="shared" si="1"/>
        <v>0</v>
      </c>
      <c r="Z159" s="633"/>
      <c r="AA159" s="648"/>
      <c r="AB159" s="648"/>
      <c r="AC159" s="7"/>
      <c r="AD159" s="699"/>
      <c r="AE159" s="7"/>
      <c r="AF159" s="618">
        <f t="shared" si="14"/>
        <v>0</v>
      </c>
      <c r="AG159" s="7"/>
      <c r="AH159" s="7"/>
      <c r="AI159" s="7"/>
      <c r="AJ159" s="7"/>
      <c r="AK159" s="7"/>
      <c r="AL159" s="7"/>
    </row>
    <row r="160" spans="1:38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5"/>
      <c r="I160" s="215"/>
      <c r="J160" s="214"/>
      <c r="K160" s="221"/>
      <c r="L160" s="647"/>
      <c r="M160" s="213"/>
      <c r="N160" s="213"/>
      <c r="O160" s="215"/>
      <c r="P160" s="213"/>
      <c r="Q160" s="213"/>
      <c r="R160" s="213"/>
      <c r="S160" s="213"/>
      <c r="T160" s="213"/>
      <c r="U160" s="213"/>
      <c r="V160" s="213"/>
      <c r="W160" s="213"/>
      <c r="X160" s="643"/>
      <c r="Y160" s="616">
        <f t="shared" si="1"/>
        <v>0</v>
      </c>
      <c r="Z160" s="633"/>
      <c r="AA160" s="648"/>
      <c r="AB160" s="648"/>
      <c r="AC160" s="7"/>
      <c r="AD160" s="699"/>
      <c r="AE160" s="7"/>
      <c r="AF160" s="618">
        <f t="shared" si="14"/>
        <v>0</v>
      </c>
      <c r="AG160" s="7"/>
      <c r="AH160" s="7"/>
      <c r="AI160" s="7"/>
      <c r="AJ160" s="7"/>
      <c r="AK160" s="7"/>
      <c r="AL160" s="7"/>
    </row>
    <row r="161" spans="1:38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5"/>
      <c r="I161" s="215"/>
      <c r="J161" s="214"/>
      <c r="K161" s="221"/>
      <c r="L161" s="620"/>
      <c r="M161" s="213"/>
      <c r="N161" s="213"/>
      <c r="O161" s="215"/>
      <c r="P161" s="213"/>
      <c r="Q161" s="213"/>
      <c r="R161" s="213"/>
      <c r="S161" s="213"/>
      <c r="T161" s="213"/>
      <c r="U161" s="213"/>
      <c r="V161" s="213"/>
      <c r="W161" s="213"/>
      <c r="X161" s="643"/>
      <c r="Y161" s="616">
        <f t="shared" si="1"/>
        <v>0</v>
      </c>
      <c r="Z161" s="633"/>
      <c r="AA161" s="636"/>
      <c r="AB161" s="636"/>
      <c r="AC161" s="7"/>
      <c r="AD161" s="699"/>
      <c r="AE161" s="7"/>
      <c r="AF161" s="618"/>
      <c r="AG161" s="7"/>
      <c r="AH161" s="7"/>
      <c r="AI161" s="7"/>
      <c r="AJ161" s="7"/>
      <c r="AK161" s="7"/>
      <c r="AL161" s="7"/>
    </row>
    <row r="162" spans="1:38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5"/>
      <c r="I162" s="215"/>
      <c r="J162" s="214"/>
      <c r="K162" s="221"/>
      <c r="L162" s="620"/>
      <c r="M162" s="213"/>
      <c r="N162" s="213"/>
      <c r="O162" s="215"/>
      <c r="P162" s="213"/>
      <c r="Q162" s="213"/>
      <c r="R162" s="213"/>
      <c r="S162" s="213"/>
      <c r="T162" s="213"/>
      <c r="U162" s="213"/>
      <c r="V162" s="213"/>
      <c r="W162" s="213"/>
      <c r="X162" s="643"/>
      <c r="Y162" s="616">
        <f t="shared" si="1"/>
        <v>0</v>
      </c>
      <c r="Z162" s="633"/>
      <c r="AA162" s="636"/>
      <c r="AB162" s="636"/>
      <c r="AC162" s="7"/>
      <c r="AD162" s="699"/>
      <c r="AE162" s="7"/>
      <c r="AF162" s="618">
        <f t="shared" ref="AF162:AF200" si="15">AD162-Y162</f>
        <v>0</v>
      </c>
      <c r="AG162" s="7"/>
      <c r="AH162" s="7"/>
      <c r="AI162" s="7"/>
      <c r="AJ162" s="7"/>
      <c r="AK162" s="7"/>
      <c r="AL162" s="7"/>
    </row>
    <row r="163" spans="1:38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5"/>
      <c r="I163" s="215"/>
      <c r="J163" s="214"/>
      <c r="K163" s="221"/>
      <c r="L163" s="620"/>
      <c r="M163" s="213"/>
      <c r="N163" s="213"/>
      <c r="O163" s="215"/>
      <c r="P163" s="213"/>
      <c r="Q163" s="213"/>
      <c r="R163" s="213"/>
      <c r="S163" s="213"/>
      <c r="T163" s="213"/>
      <c r="U163" s="213"/>
      <c r="V163" s="213"/>
      <c r="W163" s="213"/>
      <c r="X163" s="643"/>
      <c r="Y163" s="616">
        <f t="shared" si="1"/>
        <v>0</v>
      </c>
      <c r="Z163" s="633"/>
      <c r="AA163" s="636"/>
      <c r="AB163" s="636"/>
      <c r="AC163" s="7"/>
      <c r="AD163" s="699"/>
      <c r="AE163" s="7"/>
      <c r="AF163" s="618">
        <f t="shared" si="15"/>
        <v>0</v>
      </c>
      <c r="AG163" s="7"/>
      <c r="AH163" s="7"/>
      <c r="AI163" s="7"/>
      <c r="AJ163" s="7"/>
      <c r="AK163" s="7"/>
      <c r="AL163" s="7"/>
    </row>
    <row r="164" spans="1:38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5"/>
      <c r="I164" s="215"/>
      <c r="J164" s="214"/>
      <c r="K164" s="221"/>
      <c r="L164" s="620"/>
      <c r="M164" s="213"/>
      <c r="N164" s="213"/>
      <c r="O164" s="215"/>
      <c r="P164" s="213"/>
      <c r="Q164" s="213"/>
      <c r="R164" s="213"/>
      <c r="S164" s="213"/>
      <c r="T164" s="213"/>
      <c r="U164" s="213"/>
      <c r="V164" s="213"/>
      <c r="W164" s="213"/>
      <c r="X164" s="643"/>
      <c r="Y164" s="616">
        <f t="shared" si="1"/>
        <v>0</v>
      </c>
      <c r="Z164" s="633"/>
      <c r="AA164" s="636"/>
      <c r="AB164" s="636"/>
      <c r="AC164" s="7"/>
      <c r="AD164" s="699">
        <v>21.4</v>
      </c>
      <c r="AE164" s="7"/>
      <c r="AF164" s="618">
        <f t="shared" si="15"/>
        <v>21.4</v>
      </c>
      <c r="AG164" s="7"/>
      <c r="AH164" s="7"/>
      <c r="AI164" s="7"/>
      <c r="AJ164" s="7"/>
      <c r="AK164" s="7"/>
      <c r="AL164" s="7"/>
    </row>
    <row r="165" spans="1:38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>
        <v>0.1</v>
      </c>
      <c r="G165" s="213"/>
      <c r="H165" s="215"/>
      <c r="I165" s="215"/>
      <c r="J165" s="214"/>
      <c r="K165" s="221"/>
      <c r="L165" s="620"/>
      <c r="M165" s="213"/>
      <c r="N165" s="213"/>
      <c r="O165" s="215"/>
      <c r="P165" s="213"/>
      <c r="Q165" s="213"/>
      <c r="R165" s="213"/>
      <c r="S165" s="213"/>
      <c r="T165" s="213"/>
      <c r="U165" s="213"/>
      <c r="V165" s="213"/>
      <c r="W165" s="213"/>
      <c r="X165" s="643"/>
      <c r="Y165" s="616">
        <f t="shared" si="1"/>
        <v>0.1</v>
      </c>
      <c r="Z165" s="633"/>
      <c r="AA165" s="636"/>
      <c r="AB165" s="636"/>
      <c r="AC165" s="7"/>
      <c r="AD165" s="699"/>
      <c r="AE165" s="7"/>
      <c r="AF165" s="618">
        <f t="shared" si="15"/>
        <v>-0.1</v>
      </c>
      <c r="AG165" s="7"/>
      <c r="AH165" s="7"/>
      <c r="AI165" s="7"/>
      <c r="AJ165" s="7"/>
      <c r="AK165" s="7"/>
      <c r="AL165" s="7"/>
    </row>
    <row r="166" spans="1:38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5"/>
      <c r="I166" s="215"/>
      <c r="J166" s="214"/>
      <c r="K166" s="221"/>
      <c r="L166" s="620"/>
      <c r="M166" s="213"/>
      <c r="N166" s="213"/>
      <c r="O166" s="215"/>
      <c r="P166" s="213"/>
      <c r="Q166" s="213"/>
      <c r="R166" s="213"/>
      <c r="S166" s="213"/>
      <c r="T166" s="213"/>
      <c r="U166" s="213"/>
      <c r="V166" s="213"/>
      <c r="W166" s="213"/>
      <c r="X166" s="643"/>
      <c r="Y166" s="616">
        <f t="shared" si="1"/>
        <v>0</v>
      </c>
      <c r="Z166" s="633"/>
      <c r="AA166" s="636"/>
      <c r="AB166" s="636"/>
      <c r="AC166" s="7"/>
      <c r="AD166" s="699"/>
      <c r="AE166" s="7"/>
      <c r="AF166" s="618">
        <f t="shared" si="15"/>
        <v>0</v>
      </c>
      <c r="AG166" s="7"/>
      <c r="AH166" s="7"/>
      <c r="AI166" s="7"/>
      <c r="AJ166" s="7"/>
      <c r="AK166" s="7"/>
      <c r="AL166" s="7"/>
    </row>
    <row r="167" spans="1:38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5"/>
      <c r="I167" s="215"/>
      <c r="J167" s="214"/>
      <c r="K167" s="221"/>
      <c r="L167" s="620"/>
      <c r="M167" s="213"/>
      <c r="N167" s="213"/>
      <c r="O167" s="215"/>
      <c r="P167" s="213"/>
      <c r="Q167" s="213"/>
      <c r="R167" s="213"/>
      <c r="S167" s="213"/>
      <c r="T167" s="213"/>
      <c r="U167" s="213"/>
      <c r="V167" s="213"/>
      <c r="W167" s="213"/>
      <c r="X167" s="643"/>
      <c r="Y167" s="616">
        <f t="shared" si="1"/>
        <v>0</v>
      </c>
      <c r="Z167" s="633"/>
      <c r="AA167" s="636"/>
      <c r="AB167" s="636"/>
      <c r="AC167" s="7"/>
      <c r="AD167" s="699"/>
      <c r="AE167" s="7"/>
      <c r="AF167" s="618">
        <f t="shared" si="15"/>
        <v>0</v>
      </c>
      <c r="AG167" s="7"/>
      <c r="AH167" s="7"/>
      <c r="AI167" s="7"/>
      <c r="AJ167" s="7"/>
      <c r="AK167" s="7"/>
      <c r="AL167" s="7"/>
    </row>
    <row r="168" spans="1:38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5"/>
      <c r="I168" s="215"/>
      <c r="J168" s="214"/>
      <c r="K168" s="221"/>
      <c r="L168" s="620"/>
      <c r="M168" s="213"/>
      <c r="N168" s="213"/>
      <c r="O168" s="215"/>
      <c r="P168" s="213"/>
      <c r="Q168" s="213"/>
      <c r="R168" s="213"/>
      <c r="S168" s="213"/>
      <c r="T168" s="213"/>
      <c r="U168" s="213"/>
      <c r="V168" s="213"/>
      <c r="W168" s="213"/>
      <c r="X168" s="643"/>
      <c r="Y168" s="616">
        <f t="shared" si="1"/>
        <v>0</v>
      </c>
      <c r="Z168" s="633"/>
      <c r="AA168" s="636"/>
      <c r="AB168" s="636"/>
      <c r="AC168" s="7"/>
      <c r="AD168" s="699"/>
      <c r="AE168" s="7"/>
      <c r="AF168" s="618">
        <f t="shared" si="15"/>
        <v>0</v>
      </c>
      <c r="AG168" s="7"/>
      <c r="AH168" s="7"/>
      <c r="AI168" s="7"/>
      <c r="AJ168" s="7"/>
      <c r="AK168" s="7"/>
      <c r="AL168" s="7"/>
    </row>
    <row r="169" spans="1:38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5"/>
      <c r="I169" s="215"/>
      <c r="J169" s="214"/>
      <c r="K169" s="221"/>
      <c r="L169" s="620"/>
      <c r="M169" s="213"/>
      <c r="N169" s="213"/>
      <c r="O169" s="215"/>
      <c r="P169" s="213"/>
      <c r="Q169" s="213"/>
      <c r="R169" s="213"/>
      <c r="S169" s="213"/>
      <c r="T169" s="213"/>
      <c r="U169" s="213"/>
      <c r="V169" s="213"/>
      <c r="W169" s="213"/>
      <c r="X169" s="643"/>
      <c r="Y169" s="616">
        <f t="shared" si="1"/>
        <v>0</v>
      </c>
      <c r="Z169" s="633"/>
      <c r="AA169" s="636"/>
      <c r="AB169" s="636"/>
      <c r="AC169" s="7"/>
      <c r="AD169" s="699"/>
      <c r="AE169" s="7"/>
      <c r="AF169" s="618">
        <f t="shared" si="15"/>
        <v>0</v>
      </c>
      <c r="AG169" s="7"/>
      <c r="AH169" s="7"/>
      <c r="AI169" s="7"/>
      <c r="AJ169" s="7"/>
      <c r="AK169" s="7"/>
      <c r="AL169" s="7"/>
    </row>
    <row r="170" spans="1:38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5"/>
      <c r="I170" s="215"/>
      <c r="J170" s="214"/>
      <c r="K170" s="221"/>
      <c r="L170" s="620"/>
      <c r="M170" s="213"/>
      <c r="N170" s="213"/>
      <c r="O170" s="215"/>
      <c r="P170" s="213"/>
      <c r="Q170" s="213"/>
      <c r="R170" s="213"/>
      <c r="S170" s="213"/>
      <c r="T170" s="213"/>
      <c r="U170" s="213"/>
      <c r="V170" s="213"/>
      <c r="W170" s="213"/>
      <c r="X170" s="643"/>
      <c r="Y170" s="616">
        <f t="shared" si="1"/>
        <v>0</v>
      </c>
      <c r="Z170" s="633"/>
      <c r="AA170" s="636"/>
      <c r="AB170" s="636"/>
      <c r="AC170" s="7"/>
      <c r="AD170" s="699"/>
      <c r="AE170" s="7"/>
      <c r="AF170" s="618">
        <f t="shared" si="15"/>
        <v>0</v>
      </c>
      <c r="AG170" s="7"/>
      <c r="AH170" s="7"/>
      <c r="AI170" s="7"/>
      <c r="AJ170" s="7"/>
      <c r="AK170" s="7"/>
      <c r="AL170" s="7"/>
    </row>
    <row r="171" spans="1:38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5"/>
      <c r="I171" s="215"/>
      <c r="J171" s="214"/>
      <c r="K171" s="221"/>
      <c r="L171" s="638"/>
      <c r="M171" s="213"/>
      <c r="N171" s="213"/>
      <c r="O171" s="215"/>
      <c r="P171" s="213"/>
      <c r="Q171" s="213"/>
      <c r="R171" s="213"/>
      <c r="S171" s="213"/>
      <c r="T171" s="213"/>
      <c r="U171" s="213"/>
      <c r="V171" s="213"/>
      <c r="W171" s="213"/>
      <c r="X171" s="643"/>
      <c r="Y171" s="616">
        <f t="shared" si="1"/>
        <v>0</v>
      </c>
      <c r="Z171" s="633"/>
      <c r="AA171" s="636"/>
      <c r="AB171" s="636"/>
      <c r="AC171" s="7"/>
      <c r="AD171" s="699"/>
      <c r="AE171" s="7"/>
      <c r="AF171" s="618">
        <f t="shared" si="15"/>
        <v>0</v>
      </c>
      <c r="AG171" s="7"/>
      <c r="AH171" s="7"/>
      <c r="AI171" s="7"/>
      <c r="AJ171" s="7"/>
      <c r="AK171" s="7"/>
      <c r="AL171" s="7"/>
    </row>
    <row r="172" spans="1:38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5"/>
      <c r="I172" s="215"/>
      <c r="J172" s="214"/>
      <c r="K172" s="221"/>
      <c r="L172" s="638"/>
      <c r="M172" s="213"/>
      <c r="N172" s="213"/>
      <c r="O172" s="215"/>
      <c r="P172" s="213"/>
      <c r="Q172" s="213"/>
      <c r="R172" s="213"/>
      <c r="S172" s="213"/>
      <c r="T172" s="213"/>
      <c r="U172" s="213"/>
      <c r="V172" s="213"/>
      <c r="W172" s="213"/>
      <c r="X172" s="643"/>
      <c r="Y172" s="616">
        <f t="shared" si="1"/>
        <v>0</v>
      </c>
      <c r="Z172" s="633"/>
      <c r="AA172" s="640"/>
      <c r="AB172" s="640"/>
      <c r="AC172" s="7"/>
      <c r="AD172" s="699"/>
      <c r="AE172" s="7"/>
      <c r="AF172" s="618">
        <f t="shared" si="15"/>
        <v>0</v>
      </c>
      <c r="AG172" s="7"/>
      <c r="AH172" s="7"/>
      <c r="AI172" s="7"/>
      <c r="AJ172" s="7"/>
      <c r="AK172" s="7"/>
      <c r="AL172" s="7"/>
    </row>
    <row r="173" spans="1:38" ht="20.25" customHeight="1">
      <c r="A173" s="486"/>
      <c r="B173" s="487" t="s">
        <v>381</v>
      </c>
      <c r="C173" s="635" t="s">
        <v>382</v>
      </c>
      <c r="D173" s="412" t="s">
        <v>383</v>
      </c>
      <c r="E173" s="213">
        <v>2</v>
      </c>
      <c r="F173" s="213">
        <v>5</v>
      </c>
      <c r="G173" s="213"/>
      <c r="H173" s="215"/>
      <c r="I173" s="215"/>
      <c r="J173" s="214"/>
      <c r="K173" s="221"/>
      <c r="L173" s="620"/>
      <c r="M173" s="213"/>
      <c r="N173" s="213"/>
      <c r="O173" s="215"/>
      <c r="P173" s="213"/>
      <c r="Q173" s="213"/>
      <c r="R173" s="213"/>
      <c r="S173" s="213"/>
      <c r="T173" s="213"/>
      <c r="U173" s="213"/>
      <c r="V173" s="213"/>
      <c r="W173" s="213"/>
      <c r="X173" s="643"/>
      <c r="Y173" s="616">
        <f t="shared" si="1"/>
        <v>7</v>
      </c>
      <c r="Z173" s="633"/>
      <c r="AA173" s="636"/>
      <c r="AB173" s="636"/>
      <c r="AC173" s="7"/>
      <c r="AD173" s="699">
        <v>735</v>
      </c>
      <c r="AE173" s="7"/>
      <c r="AF173" s="618">
        <f t="shared" si="15"/>
        <v>728</v>
      </c>
      <c r="AG173" s="7"/>
      <c r="AH173" s="7"/>
      <c r="AI173" s="7"/>
      <c r="AJ173" s="7"/>
      <c r="AK173" s="7"/>
      <c r="AL173" s="7"/>
    </row>
    <row r="174" spans="1:38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5"/>
      <c r="I174" s="215"/>
      <c r="J174" s="214"/>
      <c r="K174" s="221"/>
      <c r="L174" s="647"/>
      <c r="M174" s="213"/>
      <c r="N174" s="213"/>
      <c r="O174" s="215"/>
      <c r="P174" s="213"/>
      <c r="Q174" s="213"/>
      <c r="R174" s="213"/>
      <c r="S174" s="213"/>
      <c r="T174" s="213"/>
      <c r="U174" s="213"/>
      <c r="V174" s="213"/>
      <c r="W174" s="213"/>
      <c r="X174" s="643"/>
      <c r="Y174" s="616">
        <f t="shared" si="1"/>
        <v>0</v>
      </c>
      <c r="Z174" s="633"/>
      <c r="AA174" s="648"/>
      <c r="AB174" s="648"/>
      <c r="AC174" s="7"/>
      <c r="AD174" s="699">
        <v>595</v>
      </c>
      <c r="AE174" s="7"/>
      <c r="AF174" s="618">
        <f t="shared" si="15"/>
        <v>595</v>
      </c>
      <c r="AG174" s="7"/>
      <c r="AH174" s="7"/>
      <c r="AI174" s="7"/>
      <c r="AJ174" s="7"/>
      <c r="AK174" s="7"/>
      <c r="AL174" s="7"/>
    </row>
    <row r="175" spans="1:38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5"/>
      <c r="I175" s="215"/>
      <c r="J175" s="214"/>
      <c r="K175" s="221"/>
      <c r="L175" s="647"/>
      <c r="M175" s="213"/>
      <c r="N175" s="213"/>
      <c r="O175" s="215"/>
      <c r="P175" s="213"/>
      <c r="Q175" s="213"/>
      <c r="R175" s="213"/>
      <c r="S175" s="213"/>
      <c r="T175" s="213"/>
      <c r="U175" s="213"/>
      <c r="V175" s="213"/>
      <c r="W175" s="213"/>
      <c r="X175" s="643"/>
      <c r="Y175" s="616">
        <f t="shared" si="1"/>
        <v>0</v>
      </c>
      <c r="Z175" s="633"/>
      <c r="AA175" s="648"/>
      <c r="AB175" s="648"/>
      <c r="AC175" s="7"/>
      <c r="AD175" s="699">
        <v>17</v>
      </c>
      <c r="AE175" s="7"/>
      <c r="AF175" s="618">
        <f t="shared" si="15"/>
        <v>17</v>
      </c>
      <c r="AG175" s="7"/>
      <c r="AH175" s="7"/>
      <c r="AI175" s="7"/>
      <c r="AJ175" s="7"/>
      <c r="AK175" s="7"/>
      <c r="AL175" s="7"/>
    </row>
    <row r="176" spans="1:38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5"/>
      <c r="I176" s="215"/>
      <c r="J176" s="214"/>
      <c r="K176" s="221"/>
      <c r="L176" s="647"/>
      <c r="M176" s="213"/>
      <c r="N176" s="213"/>
      <c r="O176" s="215"/>
      <c r="P176" s="213"/>
      <c r="Q176" s="213"/>
      <c r="R176" s="213"/>
      <c r="S176" s="213"/>
      <c r="T176" s="213"/>
      <c r="U176" s="213"/>
      <c r="V176" s="213"/>
      <c r="W176" s="213"/>
      <c r="X176" s="643"/>
      <c r="Y176" s="616">
        <f t="shared" si="1"/>
        <v>0</v>
      </c>
      <c r="Z176" s="633"/>
      <c r="AA176" s="648"/>
      <c r="AB176" s="648"/>
      <c r="AC176" s="7"/>
      <c r="AD176" s="699">
        <v>96</v>
      </c>
      <c r="AE176" s="7"/>
      <c r="AF176" s="618">
        <f t="shared" si="15"/>
        <v>96</v>
      </c>
      <c r="AG176" s="7"/>
      <c r="AH176" s="7"/>
      <c r="AI176" s="7"/>
      <c r="AJ176" s="7"/>
      <c r="AK176" s="7"/>
      <c r="AL176" s="7"/>
    </row>
    <row r="177" spans="1:38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5"/>
      <c r="I177" s="215"/>
      <c r="J177" s="214"/>
      <c r="K177" s="221"/>
      <c r="L177" s="647"/>
      <c r="M177" s="213"/>
      <c r="N177" s="213"/>
      <c r="O177" s="215"/>
      <c r="P177" s="213"/>
      <c r="Q177" s="213"/>
      <c r="R177" s="213"/>
      <c r="S177" s="213"/>
      <c r="T177" s="213"/>
      <c r="U177" s="213"/>
      <c r="V177" s="213"/>
      <c r="W177" s="213"/>
      <c r="X177" s="643"/>
      <c r="Y177" s="616">
        <f t="shared" si="1"/>
        <v>0</v>
      </c>
      <c r="Z177" s="633"/>
      <c r="AA177" s="648"/>
      <c r="AB177" s="648"/>
      <c r="AC177" s="7"/>
      <c r="AD177" s="699"/>
      <c r="AE177" s="7"/>
      <c r="AF177" s="618">
        <f t="shared" si="15"/>
        <v>0</v>
      </c>
      <c r="AG177" s="7"/>
      <c r="AH177" s="7"/>
      <c r="AI177" s="7"/>
      <c r="AJ177" s="7"/>
      <c r="AK177" s="7"/>
      <c r="AL177" s="7"/>
    </row>
    <row r="178" spans="1:38" ht="20.25" customHeight="1">
      <c r="A178" s="486"/>
      <c r="B178" s="487" t="s">
        <v>388</v>
      </c>
      <c r="C178" s="635" t="s">
        <v>394</v>
      </c>
      <c r="D178" s="412" t="s">
        <v>383</v>
      </c>
      <c r="E178" s="213">
        <v>452</v>
      </c>
      <c r="F178" s="213"/>
      <c r="G178" s="213"/>
      <c r="H178" s="215"/>
      <c r="I178" s="215"/>
      <c r="J178" s="214"/>
      <c r="K178" s="221"/>
      <c r="L178" s="620"/>
      <c r="M178" s="213"/>
      <c r="N178" s="213"/>
      <c r="O178" s="215"/>
      <c r="P178" s="213"/>
      <c r="Q178" s="213"/>
      <c r="R178" s="213"/>
      <c r="S178" s="213"/>
      <c r="T178" s="213"/>
      <c r="U178" s="213"/>
      <c r="V178" s="213"/>
      <c r="W178" s="213"/>
      <c r="X178" s="657"/>
      <c r="Y178" s="616">
        <f t="shared" si="1"/>
        <v>452</v>
      </c>
      <c r="Z178" s="633"/>
      <c r="AA178" s="636"/>
      <c r="AB178" s="636"/>
      <c r="AC178" s="7"/>
      <c r="AD178" s="699">
        <v>3048</v>
      </c>
      <c r="AE178" s="7"/>
      <c r="AF178" s="618">
        <f t="shared" si="15"/>
        <v>2596</v>
      </c>
      <c r="AG178" s="7"/>
      <c r="AH178" s="7"/>
      <c r="AI178" s="7"/>
      <c r="AJ178" s="7"/>
      <c r="AK178" s="7"/>
      <c r="AL178" s="7"/>
    </row>
    <row r="179" spans="1:38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5"/>
      <c r="I179" s="215"/>
      <c r="J179" s="214"/>
      <c r="K179" s="221"/>
      <c r="L179" s="647"/>
      <c r="M179" s="213"/>
      <c r="N179" s="213"/>
      <c r="O179" s="215"/>
      <c r="P179" s="213"/>
      <c r="Q179" s="213"/>
      <c r="R179" s="213"/>
      <c r="S179" s="213"/>
      <c r="T179" s="213"/>
      <c r="U179" s="213"/>
      <c r="V179" s="213"/>
      <c r="W179" s="213"/>
      <c r="X179" s="643"/>
      <c r="Y179" s="616">
        <f t="shared" si="1"/>
        <v>0</v>
      </c>
      <c r="Z179" s="633"/>
      <c r="AA179" s="648"/>
      <c r="AB179" s="648"/>
      <c r="AC179" s="7"/>
      <c r="AD179" s="699"/>
      <c r="AE179" s="7"/>
      <c r="AF179" s="618">
        <f t="shared" si="15"/>
        <v>0</v>
      </c>
      <c r="AG179" s="7"/>
      <c r="AH179" s="7"/>
      <c r="AI179" s="7"/>
      <c r="AJ179" s="7"/>
      <c r="AK179" s="7"/>
      <c r="AL179" s="7"/>
    </row>
    <row r="180" spans="1:38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5"/>
      <c r="I180" s="215"/>
      <c r="J180" s="214"/>
      <c r="K180" s="221"/>
      <c r="L180" s="647"/>
      <c r="M180" s="213"/>
      <c r="N180" s="213"/>
      <c r="O180" s="215"/>
      <c r="P180" s="213"/>
      <c r="Q180" s="213"/>
      <c r="R180" s="213"/>
      <c r="S180" s="213"/>
      <c r="T180" s="213"/>
      <c r="U180" s="213"/>
      <c r="V180" s="213"/>
      <c r="W180" s="213"/>
      <c r="X180" s="643"/>
      <c r="Y180" s="616">
        <f t="shared" si="1"/>
        <v>0</v>
      </c>
      <c r="Z180" s="633"/>
      <c r="AA180" s="648"/>
      <c r="AB180" s="648"/>
      <c r="AC180" s="7"/>
      <c r="AD180" s="699"/>
      <c r="AE180" s="7"/>
      <c r="AF180" s="618">
        <f t="shared" si="15"/>
        <v>0</v>
      </c>
      <c r="AG180" s="7"/>
      <c r="AH180" s="7"/>
      <c r="AI180" s="7"/>
      <c r="AJ180" s="7"/>
      <c r="AK180" s="7"/>
      <c r="AL180" s="7"/>
    </row>
    <row r="181" spans="1:38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5"/>
      <c r="I181" s="215"/>
      <c r="J181" s="214"/>
      <c r="K181" s="221"/>
      <c r="L181" s="647"/>
      <c r="M181" s="213"/>
      <c r="N181" s="213"/>
      <c r="O181" s="215"/>
      <c r="P181" s="213"/>
      <c r="Q181" s="213"/>
      <c r="R181" s="213"/>
      <c r="S181" s="213"/>
      <c r="T181" s="213"/>
      <c r="U181" s="213"/>
      <c r="V181" s="213"/>
      <c r="W181" s="213"/>
      <c r="X181" s="643"/>
      <c r="Y181" s="616">
        <f t="shared" si="1"/>
        <v>0</v>
      </c>
      <c r="Z181" s="633"/>
      <c r="AA181" s="636"/>
      <c r="AB181" s="636"/>
      <c r="AC181" s="7"/>
      <c r="AD181" s="699"/>
      <c r="AE181" s="7"/>
      <c r="AF181" s="618">
        <f t="shared" si="15"/>
        <v>0</v>
      </c>
      <c r="AG181" s="7"/>
      <c r="AH181" s="7"/>
      <c r="AI181" s="7"/>
      <c r="AJ181" s="7"/>
      <c r="AK181" s="7"/>
      <c r="AL181" s="7"/>
    </row>
    <row r="182" spans="1:38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5"/>
      <c r="I182" s="215"/>
      <c r="J182" s="214"/>
      <c r="K182" s="221"/>
      <c r="L182" s="620"/>
      <c r="M182" s="213"/>
      <c r="N182" s="213"/>
      <c r="O182" s="215"/>
      <c r="P182" s="213"/>
      <c r="Q182" s="213"/>
      <c r="R182" s="213"/>
      <c r="S182" s="213"/>
      <c r="T182" s="213"/>
      <c r="U182" s="213"/>
      <c r="V182" s="213"/>
      <c r="W182" s="213"/>
      <c r="X182" s="643"/>
      <c r="Y182" s="616">
        <f t="shared" si="1"/>
        <v>0</v>
      </c>
      <c r="Z182" s="633"/>
      <c r="AA182" s="636"/>
      <c r="AB182" s="636"/>
      <c r="AC182" s="7"/>
      <c r="AD182" s="699"/>
      <c r="AE182" s="7"/>
      <c r="AF182" s="618">
        <f t="shared" si="15"/>
        <v>0</v>
      </c>
      <c r="AG182" s="7"/>
      <c r="AH182" s="7"/>
      <c r="AI182" s="7"/>
      <c r="AJ182" s="7"/>
      <c r="AK182" s="7"/>
      <c r="AL182" s="7"/>
    </row>
    <row r="183" spans="1:38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5"/>
      <c r="I183" s="215"/>
      <c r="J183" s="214"/>
      <c r="K183" s="221"/>
      <c r="L183" s="638"/>
      <c r="M183" s="213"/>
      <c r="N183" s="213"/>
      <c r="O183" s="215"/>
      <c r="P183" s="213"/>
      <c r="Q183" s="213"/>
      <c r="R183" s="213"/>
      <c r="S183" s="213"/>
      <c r="T183" s="213"/>
      <c r="U183" s="213"/>
      <c r="V183" s="213"/>
      <c r="W183" s="213"/>
      <c r="X183" s="643"/>
      <c r="Y183" s="616">
        <f t="shared" si="1"/>
        <v>0</v>
      </c>
      <c r="Z183" s="633"/>
      <c r="AA183" s="636"/>
      <c r="AB183" s="636"/>
      <c r="AC183" s="7"/>
      <c r="AD183" s="699"/>
      <c r="AE183" s="7"/>
      <c r="AF183" s="618">
        <f t="shared" si="15"/>
        <v>0</v>
      </c>
      <c r="AG183" s="7"/>
      <c r="AH183" s="7"/>
      <c r="AI183" s="7"/>
      <c r="AJ183" s="7"/>
      <c r="AK183" s="7"/>
      <c r="AL183" s="7"/>
    </row>
    <row r="184" spans="1:38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5"/>
      <c r="I184" s="215"/>
      <c r="J184" s="214"/>
      <c r="K184" s="221"/>
      <c r="L184" s="638"/>
      <c r="M184" s="213"/>
      <c r="N184" s="213"/>
      <c r="O184" s="215"/>
      <c r="P184" s="213"/>
      <c r="Q184" s="213"/>
      <c r="R184" s="213"/>
      <c r="S184" s="213"/>
      <c r="T184" s="213"/>
      <c r="U184" s="213"/>
      <c r="V184" s="213"/>
      <c r="W184" s="213"/>
      <c r="X184" s="643"/>
      <c r="Y184" s="616">
        <f t="shared" si="1"/>
        <v>0</v>
      </c>
      <c r="Z184" s="633"/>
      <c r="AA184" s="636"/>
      <c r="AB184" s="636"/>
      <c r="AC184" s="7"/>
      <c r="AD184" s="699"/>
      <c r="AE184" s="7"/>
      <c r="AF184" s="618">
        <f t="shared" si="15"/>
        <v>0</v>
      </c>
      <c r="AG184" s="7"/>
      <c r="AH184" s="7"/>
      <c r="AI184" s="7"/>
      <c r="AJ184" s="7"/>
      <c r="AK184" s="7"/>
      <c r="AL184" s="7"/>
    </row>
    <row r="185" spans="1:38" ht="18.75" customHeight="1">
      <c r="A185" s="486">
        <v>7.7</v>
      </c>
      <c r="B185" s="487" t="s">
        <v>412</v>
      </c>
      <c r="C185" s="635" t="s">
        <v>413</v>
      </c>
      <c r="D185" s="412" t="s">
        <v>1838</v>
      </c>
      <c r="E185" s="213"/>
      <c r="F185" s="213"/>
      <c r="G185" s="213"/>
      <c r="H185" s="215"/>
      <c r="I185" s="215"/>
      <c r="J185" s="214"/>
      <c r="K185" s="221"/>
      <c r="L185" s="620"/>
      <c r="M185" s="213"/>
      <c r="N185" s="213"/>
      <c r="O185" s="215"/>
      <c r="P185" s="213"/>
      <c r="Q185" s="213"/>
      <c r="R185" s="213"/>
      <c r="S185" s="213"/>
      <c r="T185" s="213"/>
      <c r="U185" s="213"/>
      <c r="V185" s="213"/>
      <c r="W185" s="213"/>
      <c r="X185" s="643"/>
      <c r="Y185" s="616">
        <f t="shared" si="1"/>
        <v>0</v>
      </c>
      <c r="Z185" s="633"/>
      <c r="AA185" s="636"/>
      <c r="AB185" s="636"/>
      <c r="AC185" s="7"/>
      <c r="AD185" s="699"/>
      <c r="AE185" s="7"/>
      <c r="AF185" s="618">
        <f t="shared" si="15"/>
        <v>0</v>
      </c>
      <c r="AG185" s="7"/>
      <c r="AH185" s="7"/>
      <c r="AI185" s="7"/>
      <c r="AJ185" s="7"/>
      <c r="AK185" s="7"/>
      <c r="AL185" s="7"/>
    </row>
    <row r="186" spans="1:38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5"/>
      <c r="I186" s="215"/>
      <c r="J186" s="214"/>
      <c r="K186" s="221"/>
      <c r="L186" s="638"/>
      <c r="M186" s="213"/>
      <c r="N186" s="213"/>
      <c r="O186" s="215"/>
      <c r="P186" s="213"/>
      <c r="Q186" s="213"/>
      <c r="R186" s="213"/>
      <c r="S186" s="213"/>
      <c r="T186" s="213"/>
      <c r="U186" s="213"/>
      <c r="V186" s="213"/>
      <c r="W186" s="213"/>
      <c r="X186" s="643"/>
      <c r="Y186" s="616">
        <f t="shared" si="1"/>
        <v>0</v>
      </c>
      <c r="Z186" s="633"/>
      <c r="AA186" s="636"/>
      <c r="AB186" s="636"/>
      <c r="AC186" s="7"/>
      <c r="AD186" s="699"/>
      <c r="AE186" s="7"/>
      <c r="AF186" s="618">
        <f t="shared" si="15"/>
        <v>0</v>
      </c>
      <c r="AG186" s="7"/>
      <c r="AH186" s="7"/>
      <c r="AI186" s="7"/>
      <c r="AJ186" s="7"/>
      <c r="AK186" s="7"/>
      <c r="AL186" s="7"/>
    </row>
    <row r="187" spans="1:38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5"/>
      <c r="I187" s="215"/>
      <c r="J187" s="214"/>
      <c r="K187" s="221"/>
      <c r="L187" s="638"/>
      <c r="M187" s="213"/>
      <c r="N187" s="213"/>
      <c r="O187" s="215"/>
      <c r="P187" s="213"/>
      <c r="Q187" s="213"/>
      <c r="R187" s="213"/>
      <c r="S187" s="213"/>
      <c r="T187" s="213"/>
      <c r="U187" s="213"/>
      <c r="V187" s="213"/>
      <c r="W187" s="213"/>
      <c r="X187" s="643"/>
      <c r="Y187" s="616">
        <f t="shared" si="1"/>
        <v>0</v>
      </c>
      <c r="Z187" s="633"/>
      <c r="AA187" s="640"/>
      <c r="AB187" s="640"/>
      <c r="AC187" s="7"/>
      <c r="AD187" s="699"/>
      <c r="AE187" s="7"/>
      <c r="AF187" s="618">
        <f t="shared" si="15"/>
        <v>0</v>
      </c>
      <c r="AG187" s="7"/>
      <c r="AH187" s="7"/>
      <c r="AI187" s="7"/>
      <c r="AJ187" s="7"/>
      <c r="AK187" s="7"/>
      <c r="AL187" s="7"/>
    </row>
    <row r="188" spans="1:38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5"/>
      <c r="I188" s="215"/>
      <c r="J188" s="214"/>
      <c r="K188" s="221"/>
      <c r="L188" s="647"/>
      <c r="M188" s="213"/>
      <c r="N188" s="213"/>
      <c r="O188" s="215"/>
      <c r="P188" s="213"/>
      <c r="Q188" s="213"/>
      <c r="R188" s="213"/>
      <c r="S188" s="213"/>
      <c r="T188" s="213"/>
      <c r="U188" s="213"/>
      <c r="V188" s="213"/>
      <c r="W188" s="213"/>
      <c r="X188" s="643"/>
      <c r="Y188" s="616">
        <f t="shared" si="1"/>
        <v>0</v>
      </c>
      <c r="Z188" s="633"/>
      <c r="AA188" s="636"/>
      <c r="AB188" s="636"/>
      <c r="AC188" s="7"/>
      <c r="AD188" s="699"/>
      <c r="AE188" s="7"/>
      <c r="AF188" s="618">
        <f t="shared" si="15"/>
        <v>0</v>
      </c>
      <c r="AG188" s="7"/>
      <c r="AH188" s="7"/>
      <c r="AI188" s="7"/>
      <c r="AJ188" s="7"/>
      <c r="AK188" s="7"/>
      <c r="AL188" s="7"/>
    </row>
    <row r="189" spans="1:38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5"/>
      <c r="I189" s="215"/>
      <c r="J189" s="214"/>
      <c r="K189" s="221"/>
      <c r="L189" s="647"/>
      <c r="M189" s="213"/>
      <c r="N189" s="213"/>
      <c r="O189" s="215"/>
      <c r="P189" s="213"/>
      <c r="Q189" s="213"/>
      <c r="R189" s="213"/>
      <c r="S189" s="213"/>
      <c r="T189" s="213"/>
      <c r="U189" s="213"/>
      <c r="V189" s="213"/>
      <c r="W189" s="213"/>
      <c r="X189" s="643"/>
      <c r="Y189" s="616">
        <f t="shared" si="1"/>
        <v>0</v>
      </c>
      <c r="Z189" s="633"/>
      <c r="AA189" s="648"/>
      <c r="AB189" s="648"/>
      <c r="AC189" s="7"/>
      <c r="AD189" s="699"/>
      <c r="AE189" s="7"/>
      <c r="AF189" s="618">
        <f t="shared" si="15"/>
        <v>0</v>
      </c>
      <c r="AG189" s="7"/>
      <c r="AH189" s="7"/>
      <c r="AI189" s="7"/>
      <c r="AJ189" s="7"/>
      <c r="AK189" s="7"/>
      <c r="AL189" s="7"/>
    </row>
    <row r="190" spans="1:38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5"/>
      <c r="I190" s="215"/>
      <c r="J190" s="214"/>
      <c r="K190" s="221"/>
      <c r="L190" s="647"/>
      <c r="M190" s="213"/>
      <c r="N190" s="213"/>
      <c r="O190" s="215"/>
      <c r="P190" s="213"/>
      <c r="Q190" s="213"/>
      <c r="R190" s="213"/>
      <c r="S190" s="213"/>
      <c r="T190" s="213"/>
      <c r="U190" s="213"/>
      <c r="V190" s="213"/>
      <c r="W190" s="213"/>
      <c r="X190" s="643"/>
      <c r="Y190" s="616">
        <f t="shared" si="1"/>
        <v>0</v>
      </c>
      <c r="Z190" s="633"/>
      <c r="AA190" s="648"/>
      <c r="AB190" s="648"/>
      <c r="AC190" s="7"/>
      <c r="AD190" s="699"/>
      <c r="AE190" s="7"/>
      <c r="AF190" s="618">
        <f t="shared" si="15"/>
        <v>0</v>
      </c>
      <c r="AG190" s="7"/>
      <c r="AH190" s="7"/>
      <c r="AI190" s="7"/>
      <c r="AJ190" s="7"/>
      <c r="AK190" s="7"/>
      <c r="AL190" s="7"/>
    </row>
    <row r="191" spans="1:38" ht="20.25" customHeight="1">
      <c r="A191" s="503"/>
      <c r="B191" s="483" t="s">
        <v>428</v>
      </c>
      <c r="C191" s="658" t="s">
        <v>429</v>
      </c>
      <c r="D191" s="504" t="s">
        <v>1839</v>
      </c>
      <c r="E191" s="213"/>
      <c r="F191" s="213"/>
      <c r="G191" s="213"/>
      <c r="H191" s="215"/>
      <c r="I191" s="215"/>
      <c r="J191" s="214"/>
      <c r="K191" s="221"/>
      <c r="L191" s="647"/>
      <c r="M191" s="213"/>
      <c r="N191" s="213"/>
      <c r="O191" s="215"/>
      <c r="P191" s="213"/>
      <c r="Q191" s="213"/>
      <c r="R191" s="213"/>
      <c r="S191" s="213"/>
      <c r="T191" s="213"/>
      <c r="U191" s="213"/>
      <c r="V191" s="213"/>
      <c r="W191" s="213"/>
      <c r="X191" s="643"/>
      <c r="Y191" s="616">
        <f t="shared" si="1"/>
        <v>0</v>
      </c>
      <c r="Z191" s="633"/>
      <c r="AA191" s="648"/>
      <c r="AB191" s="648"/>
      <c r="AC191" s="7"/>
      <c r="AD191" s="699"/>
      <c r="AE191" s="7"/>
      <c r="AF191" s="618">
        <f t="shared" si="15"/>
        <v>0</v>
      </c>
      <c r="AG191" s="7"/>
      <c r="AH191" s="7"/>
      <c r="AI191" s="7"/>
      <c r="AJ191" s="7"/>
      <c r="AK191" s="7"/>
      <c r="AL191" s="7"/>
    </row>
    <row r="192" spans="1:38" ht="20.25" customHeight="1">
      <c r="A192" s="503"/>
      <c r="B192" s="483" t="s">
        <v>426</v>
      </c>
      <c r="C192" s="658" t="s">
        <v>431</v>
      </c>
      <c r="D192" s="504" t="s">
        <v>1840</v>
      </c>
      <c r="E192" s="213"/>
      <c r="F192" s="213"/>
      <c r="G192" s="213"/>
      <c r="H192" s="215"/>
      <c r="I192" s="215"/>
      <c r="J192" s="214"/>
      <c r="K192" s="221"/>
      <c r="L192" s="647"/>
      <c r="M192" s="213"/>
      <c r="N192" s="213"/>
      <c r="O192" s="215"/>
      <c r="P192" s="213"/>
      <c r="Q192" s="213"/>
      <c r="R192" s="213"/>
      <c r="S192" s="213"/>
      <c r="T192" s="213"/>
      <c r="U192" s="213"/>
      <c r="V192" s="213"/>
      <c r="W192" s="213"/>
      <c r="X192" s="643"/>
      <c r="Y192" s="616">
        <f t="shared" si="1"/>
        <v>0</v>
      </c>
      <c r="Z192" s="633"/>
      <c r="AA192" s="636"/>
      <c r="AB192" s="636"/>
      <c r="AC192" s="7"/>
      <c r="AD192" s="699"/>
      <c r="AE192" s="7"/>
      <c r="AF192" s="618">
        <f t="shared" si="15"/>
        <v>0</v>
      </c>
      <c r="AG192" s="7"/>
      <c r="AH192" s="7"/>
      <c r="AI192" s="7"/>
      <c r="AJ192" s="7"/>
      <c r="AK192" s="7"/>
      <c r="AL192" s="7"/>
    </row>
    <row r="193" spans="1:38" ht="20.25" customHeight="1">
      <c r="A193" s="503"/>
      <c r="B193" s="483" t="s">
        <v>428</v>
      </c>
      <c r="C193" s="658" t="s">
        <v>433</v>
      </c>
      <c r="D193" s="504" t="s">
        <v>1841</v>
      </c>
      <c r="E193" s="213"/>
      <c r="F193" s="213"/>
      <c r="G193" s="213"/>
      <c r="H193" s="215"/>
      <c r="I193" s="215"/>
      <c r="J193" s="214"/>
      <c r="K193" s="221"/>
      <c r="L193" s="647"/>
      <c r="M193" s="213"/>
      <c r="N193" s="213"/>
      <c r="O193" s="215"/>
      <c r="P193" s="213"/>
      <c r="Q193" s="213"/>
      <c r="R193" s="213"/>
      <c r="S193" s="213"/>
      <c r="T193" s="213"/>
      <c r="U193" s="213"/>
      <c r="V193" s="213"/>
      <c r="W193" s="213"/>
      <c r="X193" s="643"/>
      <c r="Y193" s="616">
        <f t="shared" si="1"/>
        <v>0</v>
      </c>
      <c r="Z193" s="633"/>
      <c r="AA193" s="648"/>
      <c r="AB193" s="648"/>
      <c r="AC193" s="7"/>
      <c r="AD193" s="699"/>
      <c r="AE193" s="7"/>
      <c r="AF193" s="618">
        <f t="shared" si="15"/>
        <v>0</v>
      </c>
      <c r="AG193" s="7"/>
      <c r="AH193" s="7"/>
      <c r="AI193" s="7"/>
      <c r="AJ193" s="7"/>
      <c r="AK193" s="7"/>
      <c r="AL193" s="7"/>
    </row>
    <row r="194" spans="1:38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5"/>
      <c r="I194" s="215"/>
      <c r="J194" s="214"/>
      <c r="K194" s="221"/>
      <c r="L194" s="620"/>
      <c r="M194" s="213"/>
      <c r="N194" s="213"/>
      <c r="O194" s="215"/>
      <c r="P194" s="213"/>
      <c r="Q194" s="213"/>
      <c r="R194" s="213"/>
      <c r="S194" s="213"/>
      <c r="T194" s="213"/>
      <c r="U194" s="213"/>
      <c r="V194" s="213"/>
      <c r="W194" s="213"/>
      <c r="X194" s="643"/>
      <c r="Y194" s="616">
        <f t="shared" si="1"/>
        <v>0</v>
      </c>
      <c r="Z194" s="633"/>
      <c r="AA194" s="654"/>
      <c r="AB194" s="654"/>
      <c r="AC194" s="7"/>
      <c r="AD194" s="699"/>
      <c r="AE194" s="7"/>
      <c r="AF194" s="618">
        <f t="shared" si="15"/>
        <v>0</v>
      </c>
      <c r="AG194" s="7"/>
      <c r="AH194" s="7"/>
      <c r="AI194" s="7"/>
      <c r="AJ194" s="7"/>
      <c r="AK194" s="7"/>
      <c r="AL194" s="7"/>
    </row>
    <row r="195" spans="1:38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5"/>
      <c r="I195" s="215"/>
      <c r="J195" s="214"/>
      <c r="K195" s="221"/>
      <c r="L195" s="647"/>
      <c r="M195" s="213"/>
      <c r="N195" s="213"/>
      <c r="O195" s="215"/>
      <c r="P195" s="213"/>
      <c r="Q195" s="213"/>
      <c r="R195" s="213"/>
      <c r="S195" s="213"/>
      <c r="T195" s="213"/>
      <c r="U195" s="213"/>
      <c r="V195" s="213"/>
      <c r="W195" s="213"/>
      <c r="X195" s="643"/>
      <c r="Y195" s="616">
        <f t="shared" si="1"/>
        <v>0</v>
      </c>
      <c r="Z195" s="633"/>
      <c r="AA195" s="648"/>
      <c r="AB195" s="648"/>
      <c r="AC195" s="7"/>
      <c r="AD195" s="699"/>
      <c r="AE195" s="7"/>
      <c r="AF195" s="618">
        <f t="shared" si="15"/>
        <v>0</v>
      </c>
      <c r="AG195" s="7"/>
      <c r="AH195" s="7"/>
      <c r="AI195" s="7"/>
      <c r="AJ195" s="7"/>
      <c r="AK195" s="7"/>
      <c r="AL195" s="7"/>
    </row>
    <row r="196" spans="1:38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5"/>
      <c r="I196" s="215"/>
      <c r="J196" s="214"/>
      <c r="K196" s="221"/>
      <c r="L196" s="647"/>
      <c r="M196" s="213"/>
      <c r="N196" s="213"/>
      <c r="O196" s="215"/>
      <c r="P196" s="213"/>
      <c r="Q196" s="213"/>
      <c r="R196" s="213"/>
      <c r="S196" s="213"/>
      <c r="T196" s="213"/>
      <c r="U196" s="213"/>
      <c r="V196" s="213"/>
      <c r="W196" s="213"/>
      <c r="X196" s="643"/>
      <c r="Y196" s="616">
        <f t="shared" si="1"/>
        <v>0</v>
      </c>
      <c r="Z196" s="633"/>
      <c r="AA196" s="636"/>
      <c r="AB196" s="636"/>
      <c r="AC196" s="7"/>
      <c r="AD196" s="699"/>
      <c r="AE196" s="7"/>
      <c r="AF196" s="618">
        <f t="shared" si="15"/>
        <v>0</v>
      </c>
      <c r="AG196" s="7"/>
      <c r="AH196" s="7"/>
      <c r="AI196" s="7"/>
      <c r="AJ196" s="7"/>
      <c r="AK196" s="7"/>
      <c r="AL196" s="7"/>
    </row>
    <row r="197" spans="1:38" ht="20.25" customHeight="1">
      <c r="A197" s="503"/>
      <c r="B197" s="483" t="s">
        <v>440</v>
      </c>
      <c r="C197" s="658" t="s">
        <v>429</v>
      </c>
      <c r="D197" s="504" t="s">
        <v>1842</v>
      </c>
      <c r="E197" s="213"/>
      <c r="F197" s="213"/>
      <c r="G197" s="213"/>
      <c r="H197" s="215"/>
      <c r="I197" s="215"/>
      <c r="J197" s="214"/>
      <c r="K197" s="221"/>
      <c r="L197" s="647"/>
      <c r="M197" s="213"/>
      <c r="N197" s="213"/>
      <c r="O197" s="215"/>
      <c r="P197" s="213"/>
      <c r="Q197" s="213"/>
      <c r="R197" s="213"/>
      <c r="S197" s="213"/>
      <c r="T197" s="213"/>
      <c r="U197" s="213"/>
      <c r="V197" s="213"/>
      <c r="W197" s="213"/>
      <c r="X197" s="643"/>
      <c r="Y197" s="616">
        <f t="shared" si="1"/>
        <v>0</v>
      </c>
      <c r="Z197" s="633"/>
      <c r="AA197" s="648"/>
      <c r="AB197" s="648"/>
      <c r="AC197" s="7"/>
      <c r="AD197" s="699"/>
      <c r="AE197" s="7"/>
      <c r="AF197" s="618">
        <f t="shared" si="15"/>
        <v>0</v>
      </c>
      <c r="AG197" s="7"/>
      <c r="AH197" s="7"/>
      <c r="AI197" s="7"/>
      <c r="AJ197" s="7"/>
      <c r="AK197" s="7"/>
      <c r="AL197" s="7"/>
    </row>
    <row r="198" spans="1:38" ht="20.25" customHeight="1">
      <c r="A198" s="503"/>
      <c r="B198" s="483" t="s">
        <v>439</v>
      </c>
      <c r="C198" s="658" t="s">
        <v>431</v>
      </c>
      <c r="D198" s="504" t="s">
        <v>1843</v>
      </c>
      <c r="E198" s="213"/>
      <c r="F198" s="213"/>
      <c r="G198" s="213"/>
      <c r="H198" s="215"/>
      <c r="I198" s="215"/>
      <c r="J198" s="214"/>
      <c r="K198" s="221"/>
      <c r="L198" s="647"/>
      <c r="M198" s="213"/>
      <c r="N198" s="213"/>
      <c r="O198" s="215"/>
      <c r="P198" s="213"/>
      <c r="Q198" s="213"/>
      <c r="R198" s="213"/>
      <c r="S198" s="213"/>
      <c r="T198" s="213"/>
      <c r="U198" s="213"/>
      <c r="V198" s="213"/>
      <c r="W198" s="213"/>
      <c r="X198" s="643"/>
      <c r="Y198" s="616">
        <f t="shared" si="1"/>
        <v>0</v>
      </c>
      <c r="Z198" s="633"/>
      <c r="AA198" s="648"/>
      <c r="AB198" s="648"/>
      <c r="AC198" s="7"/>
      <c r="AD198" s="699"/>
      <c r="AE198" s="7"/>
      <c r="AF198" s="618">
        <f t="shared" si="15"/>
        <v>0</v>
      </c>
      <c r="AG198" s="7"/>
      <c r="AH198" s="7"/>
      <c r="AI198" s="7"/>
      <c r="AJ198" s="7"/>
      <c r="AK198" s="7"/>
      <c r="AL198" s="7"/>
    </row>
    <row r="199" spans="1:38" ht="20.25" customHeight="1">
      <c r="A199" s="503"/>
      <c r="B199" s="483" t="s">
        <v>440</v>
      </c>
      <c r="C199" s="658" t="s">
        <v>433</v>
      </c>
      <c r="D199" s="504" t="s">
        <v>1844</v>
      </c>
      <c r="E199" s="213"/>
      <c r="F199" s="213"/>
      <c r="G199" s="213"/>
      <c r="H199" s="215"/>
      <c r="I199" s="215"/>
      <c r="J199" s="214"/>
      <c r="K199" s="221"/>
      <c r="L199" s="647"/>
      <c r="M199" s="213"/>
      <c r="N199" s="213"/>
      <c r="O199" s="215"/>
      <c r="P199" s="213"/>
      <c r="Q199" s="213"/>
      <c r="R199" s="213"/>
      <c r="S199" s="213"/>
      <c r="T199" s="213"/>
      <c r="U199" s="213"/>
      <c r="V199" s="213"/>
      <c r="W199" s="213"/>
      <c r="X199" s="643"/>
      <c r="Y199" s="616">
        <f t="shared" si="1"/>
        <v>0</v>
      </c>
      <c r="Z199" s="633"/>
      <c r="AA199" s="648"/>
      <c r="AB199" s="648"/>
      <c r="AC199" s="7"/>
      <c r="AD199" s="699"/>
      <c r="AE199" s="7"/>
      <c r="AF199" s="618">
        <f t="shared" si="15"/>
        <v>0</v>
      </c>
      <c r="AG199" s="7"/>
      <c r="AH199" s="7"/>
      <c r="AI199" s="7"/>
      <c r="AJ199" s="7"/>
      <c r="AK199" s="7"/>
      <c r="AL199" s="7"/>
    </row>
    <row r="200" spans="1:38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5"/>
      <c r="I200" s="215"/>
      <c r="J200" s="214"/>
      <c r="K200" s="221"/>
      <c r="L200" s="620"/>
      <c r="M200" s="213"/>
      <c r="N200" s="213"/>
      <c r="O200" s="215"/>
      <c r="P200" s="213"/>
      <c r="Q200" s="213"/>
      <c r="R200" s="213"/>
      <c r="S200" s="213"/>
      <c r="T200" s="213"/>
      <c r="U200" s="213"/>
      <c r="V200" s="213"/>
      <c r="W200" s="213"/>
      <c r="X200" s="643"/>
      <c r="Y200" s="616">
        <f t="shared" si="1"/>
        <v>0</v>
      </c>
      <c r="Z200" s="633"/>
      <c r="AA200" s="636"/>
      <c r="AB200" s="636"/>
      <c r="AC200" s="7"/>
      <c r="AD200" s="699"/>
      <c r="AE200" s="7"/>
      <c r="AF200" s="618">
        <f t="shared" si="15"/>
        <v>0</v>
      </c>
      <c r="AG200" s="7"/>
      <c r="AH200" s="7"/>
      <c r="AI200" s="7"/>
      <c r="AJ200" s="7"/>
      <c r="AK200" s="7"/>
      <c r="AL200" s="7"/>
    </row>
    <row r="201" spans="1:38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5">
        <v>35</v>
      </c>
      <c r="I201" s="215"/>
      <c r="J201" s="214"/>
      <c r="K201" s="221"/>
      <c r="L201" s="647"/>
      <c r="M201" s="213"/>
      <c r="N201" s="213"/>
      <c r="O201" s="215"/>
      <c r="P201" s="213"/>
      <c r="Q201" s="213"/>
      <c r="R201" s="213"/>
      <c r="S201" s="213"/>
      <c r="T201" s="213"/>
      <c r="U201" s="213"/>
      <c r="V201" s="213"/>
      <c r="W201" s="213"/>
      <c r="X201" s="643"/>
      <c r="Y201" s="616">
        <f t="shared" si="1"/>
        <v>35</v>
      </c>
      <c r="Z201" s="633"/>
      <c r="AA201" s="648"/>
      <c r="AB201" s="648"/>
      <c r="AC201" s="7"/>
      <c r="AD201" s="699"/>
      <c r="AE201" s="7"/>
      <c r="AF201" s="618"/>
      <c r="AG201" s="7"/>
      <c r="AH201" s="7"/>
      <c r="AI201" s="7"/>
      <c r="AJ201" s="7"/>
      <c r="AK201" s="7"/>
      <c r="AL201" s="7"/>
    </row>
    <row r="202" spans="1:38" ht="20.25" customHeight="1">
      <c r="A202" s="503"/>
      <c r="B202" s="483" t="s">
        <v>449</v>
      </c>
      <c r="C202" s="658" t="s">
        <v>450</v>
      </c>
      <c r="D202" s="504" t="s">
        <v>1845</v>
      </c>
      <c r="E202" s="213"/>
      <c r="F202" s="213"/>
      <c r="G202" s="213"/>
      <c r="H202" s="215"/>
      <c r="I202" s="215"/>
      <c r="J202" s="214"/>
      <c r="K202" s="221"/>
      <c r="L202" s="647"/>
      <c r="M202" s="213"/>
      <c r="N202" s="213"/>
      <c r="O202" s="215"/>
      <c r="P202" s="213"/>
      <c r="Q202" s="213"/>
      <c r="R202" s="213"/>
      <c r="S202" s="213"/>
      <c r="T202" s="213"/>
      <c r="U202" s="213"/>
      <c r="V202" s="213"/>
      <c r="W202" s="213"/>
      <c r="X202" s="643"/>
      <c r="Y202" s="616">
        <f t="shared" si="1"/>
        <v>0</v>
      </c>
      <c r="Z202" s="633"/>
      <c r="AA202" s="648"/>
      <c r="AB202" s="648"/>
      <c r="AC202" s="7"/>
      <c r="AD202" s="699"/>
      <c r="AE202" s="7"/>
      <c r="AF202" s="618">
        <f>AD202-Y202</f>
        <v>0</v>
      </c>
      <c r="AG202" s="7"/>
      <c r="AH202" s="7"/>
      <c r="AI202" s="7"/>
      <c r="AJ202" s="7"/>
      <c r="AK202" s="7"/>
      <c r="AL202" s="7"/>
    </row>
    <row r="203" spans="1:38" ht="20.25" customHeight="1">
      <c r="A203" s="503"/>
      <c r="B203" s="483" t="s">
        <v>449</v>
      </c>
      <c r="C203" s="658" t="s">
        <v>431</v>
      </c>
      <c r="D203" s="504" t="s">
        <v>1846</v>
      </c>
      <c r="E203" s="213"/>
      <c r="F203" s="213"/>
      <c r="G203" s="213"/>
      <c r="H203" s="215">
        <v>105</v>
      </c>
      <c r="I203" s="215"/>
      <c r="J203" s="214"/>
      <c r="K203" s="221"/>
      <c r="L203" s="647"/>
      <c r="M203" s="213"/>
      <c r="N203" s="213"/>
      <c r="O203" s="215"/>
      <c r="P203" s="213"/>
      <c r="Q203" s="213"/>
      <c r="R203" s="213"/>
      <c r="S203" s="213"/>
      <c r="T203" s="213"/>
      <c r="U203" s="213"/>
      <c r="V203" s="213"/>
      <c r="W203" s="213"/>
      <c r="X203" s="643"/>
      <c r="Y203" s="616">
        <f t="shared" si="1"/>
        <v>105</v>
      </c>
      <c r="Z203" s="633"/>
      <c r="AA203" s="648"/>
      <c r="AB203" s="648"/>
      <c r="AC203" s="7"/>
      <c r="AD203" s="699"/>
      <c r="AE203" s="7"/>
      <c r="AF203" s="618"/>
      <c r="AG203" s="7"/>
      <c r="AH203" s="7"/>
      <c r="AI203" s="7"/>
      <c r="AJ203" s="7"/>
      <c r="AK203" s="7"/>
      <c r="AL203" s="7"/>
    </row>
    <row r="204" spans="1:38" ht="20.25" customHeight="1">
      <c r="A204" s="503"/>
      <c r="B204" s="483" t="s">
        <v>453</v>
      </c>
      <c r="C204" s="658" t="s">
        <v>433</v>
      </c>
      <c r="D204" s="504" t="s">
        <v>1847</v>
      </c>
      <c r="E204" s="213"/>
      <c r="F204" s="213"/>
      <c r="G204" s="213"/>
      <c r="H204" s="215"/>
      <c r="I204" s="215"/>
      <c r="J204" s="214"/>
      <c r="K204" s="221"/>
      <c r="L204" s="647"/>
      <c r="M204" s="213"/>
      <c r="N204" s="213"/>
      <c r="O204" s="215"/>
      <c r="P204" s="213"/>
      <c r="Q204" s="213"/>
      <c r="R204" s="213"/>
      <c r="S204" s="213"/>
      <c r="T204" s="213"/>
      <c r="U204" s="213"/>
      <c r="V204" s="213"/>
      <c r="W204" s="213"/>
      <c r="X204" s="643"/>
      <c r="Y204" s="616">
        <f t="shared" si="1"/>
        <v>0</v>
      </c>
      <c r="Z204" s="633"/>
      <c r="AA204" s="636"/>
      <c r="AB204" s="636"/>
      <c r="AC204" s="7"/>
      <c r="AD204" s="699"/>
      <c r="AE204" s="7"/>
      <c r="AF204" s="618">
        <f t="shared" ref="AF204:AF205" si="16">AD204-Y204</f>
        <v>0</v>
      </c>
      <c r="AG204" s="7"/>
      <c r="AH204" s="7"/>
      <c r="AI204" s="7"/>
      <c r="AJ204" s="7"/>
      <c r="AK204" s="7"/>
      <c r="AL204" s="7"/>
    </row>
    <row r="205" spans="1:38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5"/>
      <c r="I205" s="215"/>
      <c r="J205" s="214"/>
      <c r="K205" s="221"/>
      <c r="L205" s="647"/>
      <c r="M205" s="213"/>
      <c r="N205" s="213"/>
      <c r="O205" s="215"/>
      <c r="P205" s="213"/>
      <c r="Q205" s="213"/>
      <c r="R205" s="213"/>
      <c r="S205" s="213"/>
      <c r="T205" s="213"/>
      <c r="U205" s="213"/>
      <c r="V205" s="213"/>
      <c r="W205" s="213"/>
      <c r="X205" s="643"/>
      <c r="Y205" s="616">
        <f t="shared" si="1"/>
        <v>0</v>
      </c>
      <c r="Z205" s="633"/>
      <c r="AA205" s="636"/>
      <c r="AB205" s="636"/>
      <c r="AC205" s="7"/>
      <c r="AD205" s="699"/>
      <c r="AE205" s="7"/>
      <c r="AF205" s="618">
        <f t="shared" si="16"/>
        <v>0</v>
      </c>
      <c r="AG205" s="7"/>
      <c r="AH205" s="7"/>
      <c r="AI205" s="7"/>
      <c r="AJ205" s="7"/>
      <c r="AK205" s="7"/>
      <c r="AL205" s="7"/>
    </row>
    <row r="206" spans="1:38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5"/>
      <c r="I206" s="215"/>
      <c r="J206" s="214"/>
      <c r="K206" s="221"/>
      <c r="L206" s="647"/>
      <c r="M206" s="213"/>
      <c r="N206" s="213"/>
      <c r="O206" s="215"/>
      <c r="P206" s="213"/>
      <c r="Q206" s="213"/>
      <c r="R206" s="213"/>
      <c r="S206" s="213"/>
      <c r="T206" s="213"/>
      <c r="U206" s="213"/>
      <c r="V206" s="213"/>
      <c r="W206" s="213"/>
      <c r="X206" s="643"/>
      <c r="Y206" s="616">
        <f t="shared" si="1"/>
        <v>0</v>
      </c>
      <c r="Z206" s="633"/>
      <c r="AA206" s="648"/>
      <c r="AB206" s="648"/>
      <c r="AC206" s="7"/>
      <c r="AD206" s="702"/>
      <c r="AE206" s="7"/>
      <c r="AF206" s="618"/>
      <c r="AG206" s="7"/>
      <c r="AH206" s="7"/>
      <c r="AI206" s="7"/>
      <c r="AJ206" s="7"/>
      <c r="AK206" s="7"/>
      <c r="AL206" s="7"/>
    </row>
    <row r="207" spans="1:38" ht="20.25" customHeight="1">
      <c r="A207" s="503"/>
      <c r="B207" s="483" t="s">
        <v>461</v>
      </c>
      <c r="C207" s="658" t="s">
        <v>431</v>
      </c>
      <c r="D207" s="504" t="s">
        <v>1848</v>
      </c>
      <c r="E207" s="213"/>
      <c r="F207" s="213"/>
      <c r="G207" s="213"/>
      <c r="H207" s="215"/>
      <c r="I207" s="215"/>
      <c r="J207" s="214"/>
      <c r="K207" s="221"/>
      <c r="L207" s="647"/>
      <c r="M207" s="213"/>
      <c r="N207" s="213"/>
      <c r="O207" s="215"/>
      <c r="P207" s="213"/>
      <c r="Q207" s="213"/>
      <c r="R207" s="213"/>
      <c r="S207" s="213"/>
      <c r="T207" s="213"/>
      <c r="U207" s="213"/>
      <c r="V207" s="213"/>
      <c r="W207" s="213"/>
      <c r="X207" s="643"/>
      <c r="Y207" s="616">
        <f t="shared" si="1"/>
        <v>0</v>
      </c>
      <c r="Z207" s="633"/>
      <c r="AA207" s="648"/>
      <c r="AB207" s="648"/>
      <c r="AC207" s="7"/>
      <c r="AD207" s="702"/>
      <c r="AE207" s="7"/>
      <c r="AF207" s="618"/>
      <c r="AG207" s="7"/>
      <c r="AH207" s="7"/>
      <c r="AI207" s="7"/>
      <c r="AJ207" s="7"/>
      <c r="AK207" s="7"/>
      <c r="AL207" s="7"/>
    </row>
    <row r="208" spans="1:38" ht="20.25" customHeight="1">
      <c r="A208" s="503"/>
      <c r="B208" s="483" t="s">
        <v>464</v>
      </c>
      <c r="C208" s="658" t="s">
        <v>433</v>
      </c>
      <c r="D208" s="504" t="s">
        <v>1849</v>
      </c>
      <c r="E208" s="213"/>
      <c r="F208" s="213"/>
      <c r="G208" s="213"/>
      <c r="H208" s="215"/>
      <c r="I208" s="215"/>
      <c r="J208" s="214"/>
      <c r="K208" s="221"/>
      <c r="L208" s="647"/>
      <c r="M208" s="213"/>
      <c r="N208" s="213"/>
      <c r="O208" s="215"/>
      <c r="P208" s="213"/>
      <c r="Q208" s="213"/>
      <c r="R208" s="213"/>
      <c r="S208" s="213"/>
      <c r="T208" s="213"/>
      <c r="U208" s="213"/>
      <c r="V208" s="213"/>
      <c r="W208" s="213"/>
      <c r="X208" s="643"/>
      <c r="Y208" s="616">
        <f t="shared" si="1"/>
        <v>0</v>
      </c>
      <c r="Z208" s="633"/>
      <c r="AA208" s="636"/>
      <c r="AB208" s="636"/>
      <c r="AC208" s="7"/>
      <c r="AD208" s="702"/>
      <c r="AE208" s="7"/>
      <c r="AF208" s="618">
        <f t="shared" ref="AF208:AF213" si="17">AD208-Y208</f>
        <v>0</v>
      </c>
      <c r="AG208" s="7"/>
      <c r="AH208" s="7"/>
      <c r="AI208" s="7"/>
      <c r="AJ208" s="7"/>
      <c r="AK208" s="7"/>
      <c r="AL208" s="7"/>
    </row>
    <row r="209" spans="1:38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5"/>
      <c r="I209" s="215"/>
      <c r="J209" s="214"/>
      <c r="K209" s="221"/>
      <c r="L209" s="620"/>
      <c r="M209" s="213"/>
      <c r="N209" s="213"/>
      <c r="O209" s="215"/>
      <c r="P209" s="213"/>
      <c r="Q209" s="213"/>
      <c r="R209" s="213"/>
      <c r="S209" s="213"/>
      <c r="T209" s="213"/>
      <c r="U209" s="213"/>
      <c r="V209" s="213"/>
      <c r="W209" s="213"/>
      <c r="X209" s="643"/>
      <c r="Y209" s="616">
        <f t="shared" si="1"/>
        <v>0</v>
      </c>
      <c r="Z209" s="633"/>
      <c r="AA209" s="648"/>
      <c r="AB209" s="648"/>
      <c r="AC209" s="7"/>
      <c r="AD209" s="699"/>
      <c r="AE209" s="7"/>
      <c r="AF209" s="618">
        <f t="shared" si="17"/>
        <v>0</v>
      </c>
      <c r="AG209" s="7"/>
      <c r="AH209" s="7"/>
      <c r="AI209" s="7"/>
      <c r="AJ209" s="7"/>
      <c r="AK209" s="7"/>
      <c r="AL209" s="7"/>
    </row>
    <row r="210" spans="1:38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5"/>
      <c r="I210" s="215"/>
      <c r="J210" s="214"/>
      <c r="K210" s="221"/>
      <c r="L210" s="647"/>
      <c r="M210" s="213"/>
      <c r="N210" s="213"/>
      <c r="O210" s="215"/>
      <c r="P210" s="213"/>
      <c r="Q210" s="213"/>
      <c r="R210" s="213"/>
      <c r="S210" s="213"/>
      <c r="T210" s="213"/>
      <c r="U210" s="213"/>
      <c r="V210" s="213"/>
      <c r="W210" s="213"/>
      <c r="X210" s="643"/>
      <c r="Y210" s="616">
        <f t="shared" si="1"/>
        <v>0</v>
      </c>
      <c r="Z210" s="633"/>
      <c r="AA210" s="648"/>
      <c r="AB210" s="648"/>
      <c r="AC210" s="7"/>
      <c r="AD210" s="699"/>
      <c r="AE210" s="7"/>
      <c r="AF210" s="618">
        <f t="shared" si="17"/>
        <v>0</v>
      </c>
      <c r="AG210" s="7"/>
      <c r="AH210" s="7"/>
      <c r="AI210" s="7"/>
      <c r="AJ210" s="7"/>
      <c r="AK210" s="7"/>
      <c r="AL210" s="7"/>
    </row>
    <row r="211" spans="1:38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5"/>
      <c r="I211" s="215"/>
      <c r="J211" s="214"/>
      <c r="K211" s="221"/>
      <c r="L211" s="647"/>
      <c r="M211" s="213"/>
      <c r="N211" s="213"/>
      <c r="O211" s="215"/>
      <c r="P211" s="213"/>
      <c r="Q211" s="213"/>
      <c r="R211" s="213"/>
      <c r="S211" s="213"/>
      <c r="T211" s="213"/>
      <c r="U211" s="213"/>
      <c r="V211" s="213"/>
      <c r="W211" s="213"/>
      <c r="X211" s="643"/>
      <c r="Y211" s="616">
        <f t="shared" si="1"/>
        <v>0</v>
      </c>
      <c r="Z211" s="633"/>
      <c r="AA211" s="636"/>
      <c r="AB211" s="636"/>
      <c r="AC211" s="7"/>
      <c r="AD211" s="699"/>
      <c r="AE211" s="7"/>
      <c r="AF211" s="618">
        <f t="shared" si="17"/>
        <v>0</v>
      </c>
      <c r="AG211" s="7"/>
      <c r="AH211" s="7"/>
      <c r="AI211" s="7"/>
      <c r="AJ211" s="7"/>
      <c r="AK211" s="7"/>
      <c r="AL211" s="7"/>
    </row>
    <row r="212" spans="1:38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5"/>
      <c r="I212" s="215"/>
      <c r="J212" s="214"/>
      <c r="K212" s="221"/>
      <c r="L212" s="647"/>
      <c r="M212" s="213"/>
      <c r="N212" s="213"/>
      <c r="O212" s="215"/>
      <c r="P212" s="213"/>
      <c r="Q212" s="213"/>
      <c r="R212" s="213"/>
      <c r="S212" s="213"/>
      <c r="T212" s="213"/>
      <c r="U212" s="213"/>
      <c r="V212" s="213"/>
      <c r="W212" s="213"/>
      <c r="X212" s="643"/>
      <c r="Y212" s="616">
        <f t="shared" si="1"/>
        <v>0</v>
      </c>
      <c r="Z212" s="633"/>
      <c r="AA212" s="636"/>
      <c r="AB212" s="636"/>
      <c r="AC212" s="7"/>
      <c r="AD212" s="699"/>
      <c r="AE212" s="7"/>
      <c r="AF212" s="618">
        <f t="shared" si="17"/>
        <v>0</v>
      </c>
      <c r="AG212" s="7"/>
      <c r="AH212" s="7"/>
      <c r="AI212" s="7"/>
      <c r="AJ212" s="7"/>
      <c r="AK212" s="7"/>
      <c r="AL212" s="7"/>
    </row>
    <row r="213" spans="1:38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5"/>
      <c r="I213" s="215"/>
      <c r="J213" s="214"/>
      <c r="K213" s="221"/>
      <c r="L213" s="620"/>
      <c r="M213" s="213"/>
      <c r="N213" s="213"/>
      <c r="O213" s="215"/>
      <c r="P213" s="213"/>
      <c r="Q213" s="213"/>
      <c r="R213" s="213"/>
      <c r="S213" s="213"/>
      <c r="T213" s="213"/>
      <c r="U213" s="213"/>
      <c r="V213" s="213"/>
      <c r="W213" s="213"/>
      <c r="X213" s="643"/>
      <c r="Y213" s="616">
        <f t="shared" si="1"/>
        <v>0</v>
      </c>
      <c r="Z213" s="633"/>
      <c r="AA213" s="636"/>
      <c r="AB213" s="636"/>
      <c r="AC213" s="7"/>
      <c r="AD213" s="703"/>
      <c r="AE213" s="7"/>
      <c r="AF213" s="618">
        <f t="shared" si="17"/>
        <v>0</v>
      </c>
      <c r="AG213" s="7"/>
      <c r="AH213" s="7"/>
      <c r="AI213" s="7"/>
      <c r="AJ213" s="7"/>
      <c r="AK213" s="7"/>
      <c r="AL213" s="7"/>
    </row>
    <row r="214" spans="1:38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5"/>
      <c r="I214" s="215"/>
      <c r="J214" s="214"/>
      <c r="K214" s="221"/>
      <c r="L214" s="647"/>
      <c r="M214" s="213"/>
      <c r="N214" s="213"/>
      <c r="O214" s="215"/>
      <c r="P214" s="213"/>
      <c r="Q214" s="213"/>
      <c r="R214" s="213"/>
      <c r="S214" s="213"/>
      <c r="T214" s="213"/>
      <c r="U214" s="213"/>
      <c r="V214" s="213"/>
      <c r="W214" s="213"/>
      <c r="X214" s="643"/>
      <c r="Y214" s="616">
        <f t="shared" si="1"/>
        <v>0</v>
      </c>
      <c r="Z214" s="633"/>
      <c r="AA214" s="636"/>
      <c r="AB214" s="636"/>
      <c r="AC214" s="7"/>
      <c r="AD214" s="699"/>
      <c r="AE214" s="7"/>
      <c r="AF214" s="618"/>
      <c r="AG214" s="7"/>
      <c r="AH214" s="7"/>
      <c r="AI214" s="7"/>
      <c r="AJ214" s="7"/>
      <c r="AK214" s="7"/>
      <c r="AL214" s="7"/>
    </row>
    <row r="215" spans="1:38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5"/>
      <c r="I215" s="215"/>
      <c r="J215" s="214"/>
      <c r="K215" s="221"/>
      <c r="L215" s="647"/>
      <c r="M215" s="213"/>
      <c r="N215" s="213"/>
      <c r="O215" s="215"/>
      <c r="P215" s="213"/>
      <c r="Q215" s="213"/>
      <c r="R215" s="213"/>
      <c r="S215" s="213"/>
      <c r="T215" s="213"/>
      <c r="U215" s="213"/>
      <c r="V215" s="213"/>
      <c r="W215" s="213"/>
      <c r="X215" s="643"/>
      <c r="Y215" s="616">
        <f t="shared" si="1"/>
        <v>0</v>
      </c>
      <c r="Z215" s="633"/>
      <c r="AA215" s="636"/>
      <c r="AB215" s="636"/>
      <c r="AC215" s="7"/>
      <c r="AD215" s="699"/>
      <c r="AE215" s="7"/>
      <c r="AF215" s="618">
        <f t="shared" ref="AF215:AF218" si="18">AD215-Y215</f>
        <v>0</v>
      </c>
      <c r="AG215" s="7"/>
      <c r="AH215" s="7"/>
      <c r="AI215" s="7"/>
      <c r="AJ215" s="7"/>
      <c r="AK215" s="7"/>
      <c r="AL215" s="7"/>
    </row>
    <row r="216" spans="1:38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5"/>
      <c r="I216" s="215"/>
      <c r="J216" s="214"/>
      <c r="K216" s="221"/>
      <c r="L216" s="647"/>
      <c r="M216" s="213"/>
      <c r="N216" s="213"/>
      <c r="O216" s="215"/>
      <c r="P216" s="213"/>
      <c r="Q216" s="213"/>
      <c r="R216" s="213"/>
      <c r="S216" s="213"/>
      <c r="T216" s="213"/>
      <c r="U216" s="213"/>
      <c r="V216" s="213"/>
      <c r="W216" s="213"/>
      <c r="X216" s="643"/>
      <c r="Y216" s="616">
        <f t="shared" si="1"/>
        <v>0</v>
      </c>
      <c r="Z216" s="633"/>
      <c r="AA216" s="636"/>
      <c r="AB216" s="636"/>
      <c r="AC216" s="7"/>
      <c r="AD216" s="699"/>
      <c r="AE216" s="7"/>
      <c r="AF216" s="618">
        <f t="shared" si="18"/>
        <v>0</v>
      </c>
      <c r="AG216" s="7"/>
      <c r="AH216" s="7"/>
      <c r="AI216" s="7"/>
      <c r="AJ216" s="7"/>
      <c r="AK216" s="7"/>
      <c r="AL216" s="7"/>
    </row>
    <row r="217" spans="1:38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5"/>
      <c r="I217" s="215"/>
      <c r="J217" s="214"/>
      <c r="K217" s="221"/>
      <c r="L217" s="647"/>
      <c r="M217" s="213"/>
      <c r="N217" s="213"/>
      <c r="O217" s="215"/>
      <c r="P217" s="213"/>
      <c r="Q217" s="213"/>
      <c r="R217" s="213"/>
      <c r="S217" s="213"/>
      <c r="T217" s="213"/>
      <c r="U217" s="213"/>
      <c r="V217" s="213"/>
      <c r="W217" s="213"/>
      <c r="X217" s="643"/>
      <c r="Y217" s="616">
        <f t="shared" si="1"/>
        <v>0</v>
      </c>
      <c r="Z217" s="633"/>
      <c r="AA217" s="636"/>
      <c r="AB217" s="636"/>
      <c r="AC217" s="7"/>
      <c r="AD217" s="699"/>
      <c r="AE217" s="7"/>
      <c r="AF217" s="618">
        <f t="shared" si="18"/>
        <v>0</v>
      </c>
      <c r="AG217" s="7"/>
      <c r="AH217" s="7"/>
      <c r="AI217" s="7"/>
      <c r="AJ217" s="7"/>
      <c r="AK217" s="7"/>
      <c r="AL217" s="7"/>
    </row>
    <row r="218" spans="1:38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5"/>
      <c r="I218" s="215"/>
      <c r="J218" s="214"/>
      <c r="K218" s="221"/>
      <c r="L218" s="647"/>
      <c r="M218" s="213"/>
      <c r="N218" s="213"/>
      <c r="O218" s="215"/>
      <c r="P218" s="213"/>
      <c r="Q218" s="213"/>
      <c r="R218" s="213"/>
      <c r="S218" s="213"/>
      <c r="T218" s="213"/>
      <c r="U218" s="213"/>
      <c r="V218" s="213"/>
      <c r="W218" s="213"/>
      <c r="X218" s="643"/>
      <c r="Y218" s="616">
        <f t="shared" si="1"/>
        <v>0</v>
      </c>
      <c r="Z218" s="633"/>
      <c r="AA218" s="636"/>
      <c r="AB218" s="636"/>
      <c r="AC218" s="7"/>
      <c r="AD218" s="699"/>
      <c r="AE218" s="7"/>
      <c r="AF218" s="618">
        <f t="shared" si="18"/>
        <v>0</v>
      </c>
      <c r="AG218" s="7"/>
      <c r="AH218" s="7"/>
      <c r="AI218" s="7"/>
      <c r="AJ218" s="7"/>
      <c r="AK218" s="7"/>
      <c r="AL218" s="7"/>
    </row>
    <row r="219" spans="1:38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5"/>
      <c r="I219" s="215"/>
      <c r="J219" s="214"/>
      <c r="K219" s="221"/>
      <c r="L219" s="647"/>
      <c r="M219" s="213"/>
      <c r="N219" s="213"/>
      <c r="O219" s="215"/>
      <c r="P219" s="213"/>
      <c r="Q219" s="213"/>
      <c r="R219" s="213"/>
      <c r="S219" s="213"/>
      <c r="T219" s="213"/>
      <c r="U219" s="213"/>
      <c r="V219" s="213"/>
      <c r="W219" s="213"/>
      <c r="X219" s="643"/>
      <c r="Y219" s="616">
        <f t="shared" si="1"/>
        <v>0</v>
      </c>
      <c r="Z219" s="633"/>
      <c r="AA219" s="636"/>
      <c r="AB219" s="636"/>
      <c r="AC219" s="7"/>
      <c r="AD219" s="699">
        <v>23</v>
      </c>
      <c r="AE219" s="7"/>
      <c r="AF219" s="618"/>
      <c r="AG219" s="7"/>
      <c r="AH219" s="7"/>
      <c r="AI219" s="7"/>
      <c r="AJ219" s="7"/>
      <c r="AK219" s="7"/>
      <c r="AL219" s="7"/>
    </row>
    <row r="220" spans="1:38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5"/>
      <c r="I220" s="215"/>
      <c r="J220" s="214"/>
      <c r="K220" s="221"/>
      <c r="L220" s="647"/>
      <c r="M220" s="213"/>
      <c r="N220" s="213"/>
      <c r="O220" s="215"/>
      <c r="P220" s="213"/>
      <c r="Q220" s="213"/>
      <c r="R220" s="213"/>
      <c r="S220" s="213"/>
      <c r="T220" s="213"/>
      <c r="U220" s="213"/>
      <c r="V220" s="213"/>
      <c r="W220" s="213"/>
      <c r="X220" s="643"/>
      <c r="Y220" s="616">
        <f t="shared" si="1"/>
        <v>0</v>
      </c>
      <c r="Z220" s="633"/>
      <c r="AA220" s="636"/>
      <c r="AB220" s="636"/>
      <c r="AC220" s="7"/>
      <c r="AD220" s="699"/>
      <c r="AE220" s="7"/>
      <c r="AF220" s="618">
        <f t="shared" ref="AF220:AF235" si="19">AD220-Y220</f>
        <v>0</v>
      </c>
      <c r="AG220" s="7"/>
      <c r="AH220" s="7"/>
      <c r="AI220" s="7"/>
      <c r="AJ220" s="7"/>
      <c r="AK220" s="7"/>
      <c r="AL220" s="7"/>
    </row>
    <row r="221" spans="1:38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5"/>
      <c r="I221" s="215"/>
      <c r="J221" s="214"/>
      <c r="K221" s="221"/>
      <c r="L221" s="620"/>
      <c r="M221" s="213"/>
      <c r="N221" s="213"/>
      <c r="O221" s="215"/>
      <c r="P221" s="213"/>
      <c r="Q221" s="213"/>
      <c r="R221" s="213"/>
      <c r="S221" s="213"/>
      <c r="T221" s="213"/>
      <c r="U221" s="213"/>
      <c r="V221" s="213"/>
      <c r="W221" s="213"/>
      <c r="X221" s="643"/>
      <c r="Y221" s="616">
        <f t="shared" si="1"/>
        <v>0</v>
      </c>
      <c r="Z221" s="633"/>
      <c r="AA221" s="634"/>
      <c r="AB221" s="634"/>
      <c r="AC221" s="7"/>
      <c r="AD221" s="699"/>
      <c r="AE221" s="7"/>
      <c r="AF221" s="618">
        <f t="shared" si="19"/>
        <v>0</v>
      </c>
      <c r="AG221" s="7"/>
      <c r="AH221" s="7"/>
      <c r="AI221" s="7"/>
      <c r="AJ221" s="7"/>
      <c r="AK221" s="7"/>
      <c r="AL221" s="7"/>
    </row>
    <row r="222" spans="1:38" ht="20.25" customHeight="1">
      <c r="A222" s="482" t="s">
        <v>1007</v>
      </c>
      <c r="B222" s="483" t="s">
        <v>502</v>
      </c>
      <c r="C222" s="629" t="s">
        <v>503</v>
      </c>
      <c r="D222" s="504" t="s">
        <v>1850</v>
      </c>
      <c r="E222" s="213"/>
      <c r="F222" s="213"/>
      <c r="G222" s="213"/>
      <c r="H222" s="215"/>
      <c r="I222" s="215"/>
      <c r="J222" s="214"/>
      <c r="K222" s="221"/>
      <c r="L222" s="647"/>
      <c r="M222" s="213"/>
      <c r="N222" s="213"/>
      <c r="O222" s="215"/>
      <c r="P222" s="213"/>
      <c r="Q222" s="213"/>
      <c r="R222" s="213"/>
      <c r="S222" s="213"/>
      <c r="T222" s="213"/>
      <c r="U222" s="213"/>
      <c r="V222" s="213"/>
      <c r="W222" s="213"/>
      <c r="X222" s="643"/>
      <c r="Y222" s="616">
        <f t="shared" si="1"/>
        <v>0</v>
      </c>
      <c r="Z222" s="633"/>
      <c r="AA222" s="634"/>
      <c r="AB222" s="634"/>
      <c r="AC222" s="7"/>
      <c r="AD222" s="699"/>
      <c r="AE222" s="7"/>
      <c r="AF222" s="618">
        <f t="shared" si="19"/>
        <v>0</v>
      </c>
      <c r="AG222" s="7"/>
      <c r="AH222" s="7"/>
      <c r="AI222" s="7"/>
      <c r="AJ222" s="7"/>
      <c r="AK222" s="7"/>
      <c r="AL222" s="7"/>
    </row>
    <row r="223" spans="1:38" ht="20.25" customHeight="1">
      <c r="A223" s="482"/>
      <c r="B223" s="483" t="s">
        <v>506</v>
      </c>
      <c r="C223" s="629" t="s">
        <v>507</v>
      </c>
      <c r="D223" s="485" t="s">
        <v>1851</v>
      </c>
      <c r="E223" s="213"/>
      <c r="F223" s="213"/>
      <c r="G223" s="213"/>
      <c r="H223" s="215"/>
      <c r="I223" s="215"/>
      <c r="J223" s="214"/>
      <c r="K223" s="221"/>
      <c r="L223" s="620"/>
      <c r="M223" s="213"/>
      <c r="N223" s="213"/>
      <c r="O223" s="215"/>
      <c r="P223" s="213"/>
      <c r="Q223" s="213"/>
      <c r="R223" s="213"/>
      <c r="S223" s="213"/>
      <c r="T223" s="213"/>
      <c r="U223" s="213"/>
      <c r="V223" s="213"/>
      <c r="W223" s="213"/>
      <c r="X223" s="643"/>
      <c r="Y223" s="616">
        <f t="shared" si="1"/>
        <v>0</v>
      </c>
      <c r="Z223" s="633"/>
      <c r="AA223" s="634"/>
      <c r="AB223" s="634"/>
      <c r="AC223" s="7"/>
      <c r="AD223" s="699"/>
      <c r="AE223" s="7"/>
      <c r="AF223" s="618">
        <f t="shared" si="19"/>
        <v>0</v>
      </c>
      <c r="AG223" s="7"/>
      <c r="AH223" s="7"/>
      <c r="AI223" s="7"/>
      <c r="AJ223" s="7"/>
      <c r="AK223" s="7"/>
      <c r="AL223" s="7"/>
    </row>
    <row r="224" spans="1:38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5"/>
      <c r="I224" s="215"/>
      <c r="J224" s="214"/>
      <c r="K224" s="221"/>
      <c r="L224" s="638"/>
      <c r="M224" s="213"/>
      <c r="N224" s="213"/>
      <c r="O224" s="215"/>
      <c r="P224" s="213"/>
      <c r="Q224" s="213"/>
      <c r="R224" s="213"/>
      <c r="S224" s="213"/>
      <c r="T224" s="213"/>
      <c r="U224" s="213"/>
      <c r="V224" s="213"/>
      <c r="W224" s="213"/>
      <c r="X224" s="643"/>
      <c r="Y224" s="616">
        <f t="shared" si="1"/>
        <v>0</v>
      </c>
      <c r="Z224" s="633"/>
      <c r="AA224" s="636"/>
      <c r="AB224" s="636"/>
      <c r="AC224" s="7"/>
      <c r="AD224" s="699"/>
      <c r="AE224" s="7"/>
      <c r="AF224" s="618">
        <f t="shared" si="19"/>
        <v>0</v>
      </c>
      <c r="AG224" s="7"/>
      <c r="AH224" s="7"/>
      <c r="AI224" s="7"/>
      <c r="AJ224" s="7"/>
      <c r="AK224" s="7"/>
      <c r="AL224" s="7"/>
    </row>
    <row r="225" spans="1:38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5"/>
      <c r="I225" s="215"/>
      <c r="J225" s="214"/>
      <c r="K225" s="221"/>
      <c r="L225" s="638"/>
      <c r="M225" s="213"/>
      <c r="N225" s="213"/>
      <c r="O225" s="215"/>
      <c r="P225" s="213"/>
      <c r="Q225" s="213"/>
      <c r="R225" s="213"/>
      <c r="S225" s="213"/>
      <c r="T225" s="213"/>
      <c r="U225" s="213"/>
      <c r="V225" s="213"/>
      <c r="W225" s="213"/>
      <c r="X225" s="643"/>
      <c r="Y225" s="616">
        <f t="shared" si="1"/>
        <v>0</v>
      </c>
      <c r="Z225" s="660" t="s">
        <v>1594</v>
      </c>
      <c r="AA225" s="640"/>
      <c r="AB225" s="640"/>
      <c r="AC225" s="7"/>
      <c r="AD225" s="699"/>
      <c r="AE225" s="7"/>
      <c r="AF225" s="618">
        <f t="shared" si="19"/>
        <v>0</v>
      </c>
      <c r="AG225" s="7"/>
      <c r="AH225" s="7"/>
      <c r="AI225" s="7"/>
      <c r="AJ225" s="7"/>
      <c r="AK225" s="7"/>
      <c r="AL225" s="7"/>
    </row>
    <row r="226" spans="1:38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5"/>
      <c r="I226" s="215"/>
      <c r="J226" s="214"/>
      <c r="K226" s="221"/>
      <c r="L226" s="647"/>
      <c r="M226" s="213"/>
      <c r="N226" s="213"/>
      <c r="O226" s="315"/>
      <c r="P226" s="213"/>
      <c r="Q226" s="213"/>
      <c r="R226" s="213"/>
      <c r="S226" s="213"/>
      <c r="T226" s="213"/>
      <c r="U226" s="213"/>
      <c r="V226" s="213"/>
      <c r="W226" s="213"/>
      <c r="X226" s="643"/>
      <c r="Y226" s="616">
        <f t="shared" si="1"/>
        <v>0</v>
      </c>
      <c r="Z226" s="642">
        <f>Y227+Y237</f>
        <v>85</v>
      </c>
      <c r="AA226" s="636"/>
      <c r="AB226" s="636"/>
      <c r="AC226" s="7"/>
      <c r="AD226" s="699"/>
      <c r="AE226" s="7"/>
      <c r="AF226" s="618">
        <f t="shared" si="19"/>
        <v>0</v>
      </c>
      <c r="AG226" s="7"/>
      <c r="AH226" s="7"/>
      <c r="AI226" s="7"/>
      <c r="AJ226" s="7"/>
      <c r="AK226" s="7"/>
      <c r="AL226" s="7"/>
    </row>
    <row r="227" spans="1:38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>
        <v>25</v>
      </c>
      <c r="H227" s="215"/>
      <c r="I227" s="215"/>
      <c r="J227" s="214"/>
      <c r="K227" s="221"/>
      <c r="L227" s="647"/>
      <c r="M227" s="213"/>
      <c r="N227" s="213"/>
      <c r="O227" s="215"/>
      <c r="P227" s="213"/>
      <c r="Q227" s="213"/>
      <c r="R227" s="213"/>
      <c r="S227" s="213"/>
      <c r="T227" s="213"/>
      <c r="U227" s="213"/>
      <c r="V227" s="213"/>
      <c r="W227" s="213"/>
      <c r="X227" s="643"/>
      <c r="Y227" s="616">
        <f t="shared" si="1"/>
        <v>25</v>
      </c>
      <c r="Z227" s="648"/>
      <c r="AA227" s="648"/>
      <c r="AB227" s="648"/>
      <c r="AC227" s="7"/>
      <c r="AD227" s="699">
        <v>481</v>
      </c>
      <c r="AE227" s="7"/>
      <c r="AF227" s="618">
        <f t="shared" si="19"/>
        <v>456</v>
      </c>
      <c r="AG227" s="7"/>
      <c r="AH227" s="7"/>
      <c r="AI227" s="7"/>
      <c r="AJ227" s="7"/>
      <c r="AK227" s="7"/>
      <c r="AL227" s="7"/>
    </row>
    <row r="228" spans="1:38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5"/>
      <c r="I228" s="215"/>
      <c r="J228" s="214"/>
      <c r="K228" s="221"/>
      <c r="L228" s="647"/>
      <c r="M228" s="213"/>
      <c r="N228" s="213"/>
      <c r="O228" s="215"/>
      <c r="P228" s="213"/>
      <c r="Q228" s="213"/>
      <c r="R228" s="213"/>
      <c r="S228" s="213"/>
      <c r="T228" s="213"/>
      <c r="U228" s="213"/>
      <c r="V228" s="213"/>
      <c r="W228" s="213"/>
      <c r="X228" s="643"/>
      <c r="Y228" s="616">
        <f t="shared" si="1"/>
        <v>0</v>
      </c>
      <c r="Z228" s="661" t="s">
        <v>1595</v>
      </c>
      <c r="AA228" s="648"/>
      <c r="AB228" s="648"/>
      <c r="AC228" s="7"/>
      <c r="AD228" s="699"/>
      <c r="AE228" s="7"/>
      <c r="AF228" s="618">
        <f t="shared" si="19"/>
        <v>0</v>
      </c>
      <c r="AG228" s="7"/>
      <c r="AH228" s="7"/>
      <c r="AI228" s="7"/>
      <c r="AJ228" s="7"/>
      <c r="AK228" s="7"/>
      <c r="AL228" s="7"/>
    </row>
    <row r="229" spans="1:38" ht="19.5" customHeight="1">
      <c r="A229" s="503"/>
      <c r="B229" s="483" t="s">
        <v>523</v>
      </c>
      <c r="C229" s="629" t="s">
        <v>524</v>
      </c>
      <c r="D229" s="504" t="s">
        <v>1852</v>
      </c>
      <c r="E229" s="213"/>
      <c r="F229" s="213"/>
      <c r="G229" s="213"/>
      <c r="H229" s="215"/>
      <c r="I229" s="215"/>
      <c r="J229" s="214"/>
      <c r="K229" s="221"/>
      <c r="L229" s="647"/>
      <c r="M229" s="213"/>
      <c r="N229" s="213"/>
      <c r="O229" s="215"/>
      <c r="P229" s="213"/>
      <c r="Q229" s="213"/>
      <c r="R229" s="213"/>
      <c r="S229" s="213"/>
      <c r="T229" s="213"/>
      <c r="U229" s="213"/>
      <c r="V229" s="213"/>
      <c r="W229" s="213"/>
      <c r="X229" s="643"/>
      <c r="Y229" s="616">
        <f t="shared" si="1"/>
        <v>0</v>
      </c>
      <c r="Z229" s="642">
        <f>Y229+Y230+Y239+Y240</f>
        <v>500</v>
      </c>
      <c r="AA229" s="648"/>
      <c r="AB229" s="648"/>
      <c r="AC229" s="7"/>
      <c r="AD229" s="699">
        <v>18178</v>
      </c>
      <c r="AE229" s="7"/>
      <c r="AF229" s="618">
        <f t="shared" si="19"/>
        <v>18178</v>
      </c>
      <c r="AG229" s="7"/>
      <c r="AH229" s="7"/>
      <c r="AI229" s="7"/>
      <c r="AJ229" s="7"/>
      <c r="AK229" s="7"/>
      <c r="AL229" s="7"/>
    </row>
    <row r="230" spans="1:38" ht="20.25" customHeight="1">
      <c r="A230" s="503"/>
      <c r="B230" s="483" t="s">
        <v>526</v>
      </c>
      <c r="C230" s="629" t="s">
        <v>527</v>
      </c>
      <c r="D230" s="504" t="s">
        <v>1853</v>
      </c>
      <c r="E230" s="213"/>
      <c r="F230" s="213"/>
      <c r="G230" s="213"/>
      <c r="H230" s="215"/>
      <c r="I230" s="215"/>
      <c r="J230" s="214"/>
      <c r="K230" s="221"/>
      <c r="L230" s="647"/>
      <c r="M230" s="213"/>
      <c r="N230" s="213"/>
      <c r="O230" s="215"/>
      <c r="P230" s="213"/>
      <c r="Q230" s="213"/>
      <c r="R230" s="213"/>
      <c r="S230" s="213"/>
      <c r="T230" s="213"/>
      <c r="U230" s="213"/>
      <c r="V230" s="213"/>
      <c r="W230" s="213"/>
      <c r="X230" s="643"/>
      <c r="Y230" s="616">
        <f t="shared" si="1"/>
        <v>0</v>
      </c>
      <c r="Z230" s="633"/>
      <c r="AA230" s="648"/>
      <c r="AB230" s="648"/>
      <c r="AC230" s="7"/>
      <c r="AD230" s="699"/>
      <c r="AE230" s="7"/>
      <c r="AF230" s="618">
        <f t="shared" si="19"/>
        <v>0</v>
      </c>
      <c r="AG230" s="7"/>
      <c r="AH230" s="7"/>
      <c r="AI230" s="7"/>
      <c r="AJ230" s="7"/>
      <c r="AK230" s="7"/>
      <c r="AL230" s="7"/>
    </row>
    <row r="231" spans="1:38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5"/>
      <c r="I231" s="215"/>
      <c r="J231" s="214"/>
      <c r="K231" s="221"/>
      <c r="L231" s="647"/>
      <c r="M231" s="213"/>
      <c r="N231" s="213"/>
      <c r="O231" s="215"/>
      <c r="P231" s="213"/>
      <c r="Q231" s="213"/>
      <c r="R231" s="213"/>
      <c r="S231" s="213"/>
      <c r="T231" s="213"/>
      <c r="U231" s="213"/>
      <c r="V231" s="213"/>
      <c r="W231" s="213"/>
      <c r="X231" s="643"/>
      <c r="Y231" s="616">
        <f t="shared" si="1"/>
        <v>0</v>
      </c>
      <c r="Z231" s="633"/>
      <c r="AA231" s="648"/>
      <c r="AB231" s="648"/>
      <c r="AC231" s="7"/>
      <c r="AD231" s="699"/>
      <c r="AE231" s="7"/>
      <c r="AF231" s="618">
        <f t="shared" si="19"/>
        <v>0</v>
      </c>
      <c r="AG231" s="7"/>
      <c r="AH231" s="7"/>
      <c r="AI231" s="7"/>
      <c r="AJ231" s="7"/>
      <c r="AK231" s="7"/>
      <c r="AL231" s="7"/>
    </row>
    <row r="232" spans="1:38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5"/>
      <c r="I232" s="215"/>
      <c r="J232" s="214"/>
      <c r="K232" s="221"/>
      <c r="L232" s="647"/>
      <c r="M232" s="213"/>
      <c r="N232" s="213"/>
      <c r="O232" s="215"/>
      <c r="P232" s="213"/>
      <c r="Q232" s="213"/>
      <c r="R232" s="213"/>
      <c r="S232" s="213"/>
      <c r="T232" s="213"/>
      <c r="U232" s="213"/>
      <c r="V232" s="213"/>
      <c r="W232" s="213"/>
      <c r="X232" s="643"/>
      <c r="Y232" s="616">
        <f t="shared" si="1"/>
        <v>0</v>
      </c>
      <c r="Z232" s="633"/>
      <c r="AA232" s="648"/>
      <c r="AB232" s="648"/>
      <c r="AC232" s="7"/>
      <c r="AD232" s="699">
        <v>8</v>
      </c>
      <c r="AE232" s="7"/>
      <c r="AF232" s="618">
        <f t="shared" si="19"/>
        <v>8</v>
      </c>
      <c r="AG232" s="7"/>
      <c r="AH232" s="7"/>
      <c r="AI232" s="7"/>
      <c r="AJ232" s="7"/>
      <c r="AK232" s="7"/>
      <c r="AL232" s="7"/>
    </row>
    <row r="233" spans="1:38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5"/>
      <c r="I233" s="215"/>
      <c r="J233" s="214"/>
      <c r="K233" s="221"/>
      <c r="L233" s="647"/>
      <c r="M233" s="213"/>
      <c r="N233" s="213"/>
      <c r="O233" s="215"/>
      <c r="P233" s="213"/>
      <c r="Q233" s="213"/>
      <c r="R233" s="213"/>
      <c r="S233" s="213"/>
      <c r="T233" s="213"/>
      <c r="U233" s="213"/>
      <c r="V233" s="213"/>
      <c r="W233" s="213"/>
      <c r="X233" s="643"/>
      <c r="Y233" s="616">
        <f t="shared" si="1"/>
        <v>0</v>
      </c>
      <c r="Z233" s="633"/>
      <c r="AA233" s="648"/>
      <c r="AB233" s="648"/>
      <c r="AC233" s="7"/>
      <c r="AD233" s="699">
        <v>143</v>
      </c>
      <c r="AE233" s="7"/>
      <c r="AF233" s="618">
        <f t="shared" si="19"/>
        <v>143</v>
      </c>
      <c r="AG233" s="7"/>
      <c r="AH233" s="7"/>
      <c r="AI233" s="7"/>
      <c r="AJ233" s="7"/>
      <c r="AK233" s="7"/>
      <c r="AL233" s="7"/>
    </row>
    <row r="234" spans="1:38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5"/>
      <c r="I234" s="215"/>
      <c r="J234" s="214"/>
      <c r="K234" s="221"/>
      <c r="L234" s="662"/>
      <c r="M234" s="213"/>
      <c r="N234" s="213"/>
      <c r="O234" s="215"/>
      <c r="P234" s="213"/>
      <c r="Q234" s="213"/>
      <c r="R234" s="213"/>
      <c r="S234" s="213"/>
      <c r="T234" s="213"/>
      <c r="U234" s="213"/>
      <c r="V234" s="213"/>
      <c r="W234" s="213"/>
      <c r="X234" s="643"/>
      <c r="Y234" s="616">
        <f t="shared" si="1"/>
        <v>0</v>
      </c>
      <c r="Z234" s="633"/>
      <c r="AA234" s="648"/>
      <c r="AB234" s="648"/>
      <c r="AC234" s="7"/>
      <c r="AD234" s="699"/>
      <c r="AE234" s="7"/>
      <c r="AF234" s="618">
        <f t="shared" si="19"/>
        <v>0</v>
      </c>
      <c r="AG234" s="7"/>
      <c r="AH234" s="7"/>
      <c r="AI234" s="7"/>
      <c r="AJ234" s="7"/>
      <c r="AK234" s="7"/>
      <c r="AL234" s="7"/>
    </row>
    <row r="235" spans="1:38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5"/>
      <c r="I235" s="215"/>
      <c r="J235" s="214"/>
      <c r="K235" s="221"/>
      <c r="L235" s="647"/>
      <c r="M235" s="213"/>
      <c r="N235" s="213"/>
      <c r="O235" s="215"/>
      <c r="P235" s="213"/>
      <c r="Q235" s="213"/>
      <c r="R235" s="213"/>
      <c r="S235" s="213"/>
      <c r="T235" s="213"/>
      <c r="U235" s="213"/>
      <c r="V235" s="213"/>
      <c r="W235" s="213"/>
      <c r="X235" s="643"/>
      <c r="Y235" s="616">
        <f t="shared" si="1"/>
        <v>0</v>
      </c>
      <c r="Z235" s="633"/>
      <c r="AA235" s="648"/>
      <c r="AB235" s="648"/>
      <c r="AC235" s="7"/>
      <c r="AD235" s="699"/>
      <c r="AE235" s="7"/>
      <c r="AF235" s="618">
        <f t="shared" si="19"/>
        <v>0</v>
      </c>
      <c r="AG235" s="7"/>
      <c r="AH235" s="7"/>
      <c r="AI235" s="7"/>
      <c r="AJ235" s="7"/>
      <c r="AK235" s="7"/>
      <c r="AL235" s="7"/>
    </row>
    <row r="236" spans="1:38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5"/>
      <c r="I236" s="215"/>
      <c r="J236" s="214"/>
      <c r="K236" s="221"/>
      <c r="L236" s="647"/>
      <c r="M236" s="213"/>
      <c r="N236" s="213"/>
      <c r="O236" s="215"/>
      <c r="P236" s="213"/>
      <c r="Q236" s="213"/>
      <c r="R236" s="213"/>
      <c r="S236" s="213"/>
      <c r="T236" s="213"/>
      <c r="U236" s="213"/>
      <c r="V236" s="213"/>
      <c r="W236" s="213"/>
      <c r="X236" s="643"/>
      <c r="Y236" s="616">
        <f t="shared" si="1"/>
        <v>0</v>
      </c>
      <c r="Z236" s="633"/>
      <c r="AA236" s="636"/>
      <c r="AB236" s="636"/>
      <c r="AC236" s="7"/>
      <c r="AD236" s="699"/>
      <c r="AE236" s="7"/>
      <c r="AF236" s="618"/>
      <c r="AG236" s="7"/>
      <c r="AH236" s="7"/>
      <c r="AI236" s="7"/>
      <c r="AJ236" s="7"/>
      <c r="AK236" s="7"/>
      <c r="AL236" s="7"/>
    </row>
    <row r="237" spans="1:38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>
        <v>60</v>
      </c>
      <c r="G237" s="213"/>
      <c r="H237" s="215"/>
      <c r="I237" s="215"/>
      <c r="J237" s="214"/>
      <c r="K237" s="221"/>
      <c r="L237" s="647"/>
      <c r="M237" s="213"/>
      <c r="N237" s="213"/>
      <c r="O237" s="215"/>
      <c r="P237" s="213"/>
      <c r="Q237" s="213"/>
      <c r="R237" s="213"/>
      <c r="S237" s="213"/>
      <c r="T237" s="213"/>
      <c r="U237" s="213"/>
      <c r="V237" s="213"/>
      <c r="W237" s="213"/>
      <c r="X237" s="643"/>
      <c r="Y237" s="616">
        <f t="shared" si="1"/>
        <v>60</v>
      </c>
      <c r="Z237" s="633"/>
      <c r="AA237" s="648"/>
      <c r="AB237" s="648"/>
      <c r="AC237" s="7"/>
      <c r="AD237" s="702">
        <v>289</v>
      </c>
      <c r="AE237" s="7"/>
      <c r="AF237" s="618"/>
      <c r="AG237" s="7"/>
      <c r="AH237" s="7"/>
      <c r="AI237" s="7"/>
      <c r="AJ237" s="7"/>
      <c r="AK237" s="7"/>
      <c r="AL237" s="7"/>
    </row>
    <row r="238" spans="1:38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5"/>
      <c r="I238" s="215"/>
      <c r="J238" s="214"/>
      <c r="K238" s="221"/>
      <c r="L238" s="647"/>
      <c r="M238" s="213"/>
      <c r="N238" s="213"/>
      <c r="O238" s="215"/>
      <c r="P238" s="213"/>
      <c r="Q238" s="213"/>
      <c r="R238" s="213"/>
      <c r="S238" s="213"/>
      <c r="T238" s="213"/>
      <c r="U238" s="213"/>
      <c r="V238" s="213"/>
      <c r="W238" s="213"/>
      <c r="X238" s="643"/>
      <c r="Y238" s="616">
        <f t="shared" si="1"/>
        <v>0</v>
      </c>
      <c r="Z238" s="633"/>
      <c r="AA238" s="648"/>
      <c r="AB238" s="648"/>
      <c r="AC238" s="7"/>
      <c r="AD238" s="702"/>
      <c r="AE238" s="7"/>
      <c r="AF238" s="618">
        <f t="shared" ref="AF238:AF240" si="20">AD238-Y238</f>
        <v>0</v>
      </c>
      <c r="AG238" s="7"/>
      <c r="AH238" s="7"/>
      <c r="AI238" s="7"/>
      <c r="AJ238" s="7"/>
      <c r="AK238" s="7"/>
      <c r="AL238" s="7"/>
    </row>
    <row r="239" spans="1:38" ht="20.25" customHeight="1">
      <c r="A239" s="503"/>
      <c r="B239" s="483" t="s">
        <v>551</v>
      </c>
      <c r="C239" s="629" t="s">
        <v>524</v>
      </c>
      <c r="D239" s="504" t="s">
        <v>1854</v>
      </c>
      <c r="E239" s="213"/>
      <c r="F239" s="213">
        <v>500</v>
      </c>
      <c r="G239" s="213"/>
      <c r="H239" s="215"/>
      <c r="I239" s="215"/>
      <c r="J239" s="214"/>
      <c r="K239" s="221"/>
      <c r="L239" s="647"/>
      <c r="M239" s="213"/>
      <c r="N239" s="213"/>
      <c r="O239" s="215"/>
      <c r="P239" s="213"/>
      <c r="Q239" s="213"/>
      <c r="R239" s="213"/>
      <c r="S239" s="213"/>
      <c r="T239" s="213"/>
      <c r="U239" s="213"/>
      <c r="V239" s="213"/>
      <c r="W239" s="213"/>
      <c r="X239" s="643"/>
      <c r="Y239" s="616">
        <f t="shared" si="1"/>
        <v>500</v>
      </c>
      <c r="Z239" s="633"/>
      <c r="AA239" s="648"/>
      <c r="AB239" s="648"/>
      <c r="AC239" s="7"/>
      <c r="AD239" s="702">
        <v>458893</v>
      </c>
      <c r="AE239" s="7"/>
      <c r="AF239" s="618">
        <f t="shared" si="20"/>
        <v>458393</v>
      </c>
      <c r="AG239" s="7"/>
      <c r="AH239" s="7"/>
      <c r="AI239" s="7"/>
      <c r="AJ239" s="7"/>
      <c r="AK239" s="7"/>
      <c r="AL239" s="7"/>
    </row>
    <row r="240" spans="1:38" ht="20.25" customHeight="1">
      <c r="A240" s="503"/>
      <c r="B240" s="483" t="s">
        <v>553</v>
      </c>
      <c r="C240" s="629" t="s">
        <v>527</v>
      </c>
      <c r="D240" s="504" t="s">
        <v>1855</v>
      </c>
      <c r="E240" s="213"/>
      <c r="F240" s="213"/>
      <c r="G240" s="213"/>
      <c r="H240" s="215"/>
      <c r="I240" s="215"/>
      <c r="J240" s="214"/>
      <c r="K240" s="221"/>
      <c r="L240" s="647"/>
      <c r="M240" s="213"/>
      <c r="N240" s="213"/>
      <c r="O240" s="215"/>
      <c r="P240" s="213"/>
      <c r="Q240" s="213"/>
      <c r="R240" s="213"/>
      <c r="S240" s="213"/>
      <c r="T240" s="213"/>
      <c r="U240" s="213"/>
      <c r="V240" s="213"/>
      <c r="W240" s="213"/>
      <c r="X240" s="643"/>
      <c r="Y240" s="616">
        <f t="shared" si="1"/>
        <v>0</v>
      </c>
      <c r="Z240" s="633"/>
      <c r="AA240" s="648"/>
      <c r="AB240" s="648"/>
      <c r="AC240" s="7"/>
      <c r="AD240" s="699"/>
      <c r="AE240" s="7"/>
      <c r="AF240" s="618">
        <f t="shared" si="20"/>
        <v>0</v>
      </c>
      <c r="AG240" s="7"/>
      <c r="AH240" s="7"/>
      <c r="AI240" s="7"/>
      <c r="AJ240" s="7"/>
      <c r="AK240" s="7"/>
      <c r="AL240" s="7"/>
    </row>
    <row r="241" spans="1:38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5"/>
      <c r="I241" s="215"/>
      <c r="J241" s="214"/>
      <c r="K241" s="221"/>
      <c r="L241" s="647"/>
      <c r="M241" s="213"/>
      <c r="N241" s="213"/>
      <c r="O241" s="215"/>
      <c r="P241" s="213"/>
      <c r="Q241" s="213"/>
      <c r="R241" s="213"/>
      <c r="S241" s="213"/>
      <c r="T241" s="213"/>
      <c r="U241" s="213"/>
      <c r="V241" s="213"/>
      <c r="W241" s="213"/>
      <c r="X241" s="643"/>
      <c r="Y241" s="616">
        <f t="shared" si="1"/>
        <v>0</v>
      </c>
      <c r="Z241" s="633"/>
      <c r="AA241" s="648"/>
      <c r="AB241" s="648"/>
      <c r="AC241" s="7"/>
      <c r="AD241" s="702"/>
      <c r="AE241" s="7"/>
      <c r="AF241" s="618"/>
      <c r="AG241" s="7"/>
      <c r="AH241" s="7"/>
      <c r="AI241" s="7"/>
      <c r="AJ241" s="7"/>
      <c r="AK241" s="7"/>
      <c r="AL241" s="7"/>
    </row>
    <row r="242" spans="1:38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5"/>
      <c r="I242" s="215"/>
      <c r="J242" s="214"/>
      <c r="K242" s="221"/>
      <c r="L242" s="647"/>
      <c r="M242" s="213"/>
      <c r="N242" s="213"/>
      <c r="O242" s="215"/>
      <c r="P242" s="213"/>
      <c r="Q242" s="213"/>
      <c r="R242" s="213"/>
      <c r="S242" s="213"/>
      <c r="T242" s="213"/>
      <c r="U242" s="213"/>
      <c r="V242" s="213"/>
      <c r="W242" s="213"/>
      <c r="X242" s="643"/>
      <c r="Y242" s="616">
        <f t="shared" si="1"/>
        <v>0</v>
      </c>
      <c r="Z242" s="633"/>
      <c r="AA242" s="648"/>
      <c r="AB242" s="648"/>
      <c r="AC242" s="7"/>
      <c r="AD242" s="702"/>
      <c r="AE242" s="7"/>
      <c r="AF242" s="618">
        <f t="shared" ref="AF242:AF370" si="21">AD242-Y242</f>
        <v>0</v>
      </c>
      <c r="AG242" s="7"/>
      <c r="AH242" s="7"/>
      <c r="AI242" s="7"/>
      <c r="AJ242" s="7"/>
      <c r="AK242" s="7"/>
      <c r="AL242" s="7"/>
    </row>
    <row r="243" spans="1:38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5"/>
      <c r="I243" s="215"/>
      <c r="J243" s="214"/>
      <c r="K243" s="221"/>
      <c r="L243" s="647"/>
      <c r="M243" s="213"/>
      <c r="N243" s="213"/>
      <c r="O243" s="215"/>
      <c r="P243" s="213"/>
      <c r="Q243" s="213"/>
      <c r="R243" s="213"/>
      <c r="S243" s="213"/>
      <c r="T243" s="213"/>
      <c r="U243" s="213"/>
      <c r="V243" s="213"/>
      <c r="W243" s="213"/>
      <c r="X243" s="643"/>
      <c r="Y243" s="616">
        <f t="shared" si="1"/>
        <v>0</v>
      </c>
      <c r="Z243" s="633"/>
      <c r="AA243" s="648"/>
      <c r="AB243" s="648"/>
      <c r="AC243" s="7"/>
      <c r="AD243" s="699">
        <v>498</v>
      </c>
      <c r="AE243" s="7"/>
      <c r="AF243" s="618">
        <f t="shared" si="21"/>
        <v>498</v>
      </c>
      <c r="AG243" s="7"/>
      <c r="AH243" s="7"/>
      <c r="AI243" s="7"/>
      <c r="AJ243" s="7"/>
      <c r="AK243" s="7"/>
      <c r="AL243" s="7"/>
    </row>
    <row r="244" spans="1:38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5"/>
      <c r="I244" s="215"/>
      <c r="J244" s="214"/>
      <c r="K244" s="221"/>
      <c r="L244" s="662"/>
      <c r="M244" s="213"/>
      <c r="N244" s="213"/>
      <c r="O244" s="215"/>
      <c r="P244" s="213"/>
      <c r="Q244" s="213"/>
      <c r="R244" s="213"/>
      <c r="S244" s="213"/>
      <c r="T244" s="213"/>
      <c r="U244" s="213"/>
      <c r="V244" s="213"/>
      <c r="W244" s="213"/>
      <c r="X244" s="643"/>
      <c r="Y244" s="616">
        <f t="shared" si="1"/>
        <v>0</v>
      </c>
      <c r="Z244" s="633"/>
      <c r="AA244" s="648"/>
      <c r="AB244" s="648"/>
      <c r="AC244" s="7"/>
      <c r="AD244" s="699"/>
      <c r="AE244" s="7"/>
      <c r="AF244" s="618">
        <f t="shared" si="21"/>
        <v>0</v>
      </c>
      <c r="AG244" s="7"/>
      <c r="AH244" s="7"/>
      <c r="AI244" s="7"/>
      <c r="AJ244" s="7"/>
      <c r="AK244" s="7"/>
      <c r="AL244" s="7"/>
    </row>
    <row r="245" spans="1:38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5"/>
      <c r="I245" s="215"/>
      <c r="J245" s="214"/>
      <c r="K245" s="221"/>
      <c r="L245" s="647"/>
      <c r="M245" s="213"/>
      <c r="N245" s="213"/>
      <c r="O245" s="215"/>
      <c r="P245" s="213"/>
      <c r="Q245" s="213"/>
      <c r="R245" s="213"/>
      <c r="S245" s="213"/>
      <c r="T245" s="213"/>
      <c r="U245" s="213"/>
      <c r="V245" s="213"/>
      <c r="W245" s="213"/>
      <c r="X245" s="643"/>
      <c r="Y245" s="616">
        <f t="shared" si="1"/>
        <v>0</v>
      </c>
      <c r="Z245" s="633"/>
      <c r="AA245" s="648"/>
      <c r="AB245" s="648"/>
      <c r="AC245" s="7"/>
      <c r="AD245" s="699"/>
      <c r="AE245" s="7"/>
      <c r="AF245" s="618">
        <f t="shared" si="21"/>
        <v>0</v>
      </c>
      <c r="AG245" s="7"/>
      <c r="AH245" s="7"/>
      <c r="AI245" s="7"/>
      <c r="AJ245" s="7"/>
      <c r="AK245" s="7"/>
      <c r="AL245" s="7"/>
    </row>
    <row r="246" spans="1:38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5"/>
      <c r="I246" s="215"/>
      <c r="J246" s="214"/>
      <c r="K246" s="221"/>
      <c r="L246" s="620"/>
      <c r="M246" s="213"/>
      <c r="N246" s="213"/>
      <c r="O246" s="215"/>
      <c r="P246" s="213"/>
      <c r="Q246" s="213"/>
      <c r="R246" s="213"/>
      <c r="S246" s="213"/>
      <c r="T246" s="213"/>
      <c r="U246" s="213"/>
      <c r="V246" s="213"/>
      <c r="W246" s="213"/>
      <c r="X246" s="643"/>
      <c r="Y246" s="616">
        <f t="shared" si="1"/>
        <v>0</v>
      </c>
      <c r="Z246" s="633"/>
      <c r="AA246" s="636"/>
      <c r="AB246" s="636"/>
      <c r="AC246" s="7"/>
      <c r="AD246" s="699"/>
      <c r="AE246" s="7"/>
      <c r="AF246" s="618">
        <f t="shared" si="21"/>
        <v>0</v>
      </c>
      <c r="AG246" s="7"/>
      <c r="AH246" s="7"/>
      <c r="AI246" s="7"/>
      <c r="AJ246" s="7"/>
      <c r="AK246" s="7"/>
      <c r="AL246" s="7"/>
    </row>
    <row r="247" spans="1:38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5"/>
      <c r="I247" s="215"/>
      <c r="J247" s="214"/>
      <c r="K247" s="221"/>
      <c r="L247" s="620"/>
      <c r="M247" s="213"/>
      <c r="N247" s="213"/>
      <c r="O247" s="215"/>
      <c r="P247" s="213"/>
      <c r="Q247" s="213"/>
      <c r="R247" s="213"/>
      <c r="S247" s="213"/>
      <c r="T247" s="213"/>
      <c r="U247" s="213"/>
      <c r="V247" s="213"/>
      <c r="W247" s="213"/>
      <c r="X247" s="643"/>
      <c r="Y247" s="616">
        <f t="shared" si="1"/>
        <v>0</v>
      </c>
      <c r="Z247" s="633"/>
      <c r="AA247" s="636"/>
      <c r="AB247" s="636"/>
      <c r="AC247" s="7"/>
      <c r="AD247" s="699"/>
      <c r="AE247" s="7"/>
      <c r="AF247" s="618">
        <f t="shared" si="21"/>
        <v>0</v>
      </c>
      <c r="AG247" s="7"/>
      <c r="AH247" s="7"/>
      <c r="AI247" s="7"/>
      <c r="AJ247" s="7"/>
      <c r="AK247" s="7"/>
      <c r="AL247" s="7"/>
    </row>
    <row r="248" spans="1:38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5"/>
      <c r="I248" s="215"/>
      <c r="J248" s="214"/>
      <c r="K248" s="221"/>
      <c r="L248" s="620"/>
      <c r="M248" s="213"/>
      <c r="N248" s="213"/>
      <c r="O248" s="215"/>
      <c r="P248" s="213"/>
      <c r="Q248" s="213"/>
      <c r="R248" s="213"/>
      <c r="S248" s="213"/>
      <c r="T248" s="213"/>
      <c r="U248" s="213"/>
      <c r="V248" s="213"/>
      <c r="W248" s="213"/>
      <c r="X248" s="643"/>
      <c r="Y248" s="616">
        <f t="shared" si="1"/>
        <v>0</v>
      </c>
      <c r="Z248" s="633"/>
      <c r="AA248" s="636"/>
      <c r="AB248" s="636"/>
      <c r="AC248" s="7"/>
      <c r="AD248" s="699"/>
      <c r="AE248" s="7"/>
      <c r="AF248" s="618">
        <f t="shared" si="21"/>
        <v>0</v>
      </c>
      <c r="AG248" s="7"/>
      <c r="AH248" s="7"/>
      <c r="AI248" s="7"/>
      <c r="AJ248" s="7"/>
      <c r="AK248" s="7"/>
      <c r="AL248" s="7"/>
    </row>
    <row r="249" spans="1:38" ht="20.25" customHeight="1">
      <c r="A249" s="503" t="s">
        <v>1020</v>
      </c>
      <c r="B249" s="483" t="s">
        <v>566</v>
      </c>
      <c r="C249" s="629" t="s">
        <v>567</v>
      </c>
      <c r="D249" s="485" t="s">
        <v>1856</v>
      </c>
      <c r="E249" s="213"/>
      <c r="F249" s="213"/>
      <c r="G249" s="213"/>
      <c r="H249" s="215"/>
      <c r="I249" s="215"/>
      <c r="J249" s="214"/>
      <c r="K249" s="221"/>
      <c r="L249" s="620"/>
      <c r="M249" s="213"/>
      <c r="N249" s="213"/>
      <c r="O249" s="215"/>
      <c r="P249" s="213"/>
      <c r="Q249" s="213"/>
      <c r="R249" s="213"/>
      <c r="S249" s="213"/>
      <c r="T249" s="213"/>
      <c r="U249" s="213"/>
      <c r="V249" s="213"/>
      <c r="W249" s="213"/>
      <c r="X249" s="643"/>
      <c r="Y249" s="616">
        <f t="shared" si="1"/>
        <v>0</v>
      </c>
      <c r="Z249" s="633"/>
      <c r="AA249" s="636"/>
      <c r="AB249" s="636"/>
      <c r="AC249" s="7"/>
      <c r="AD249" s="699"/>
      <c r="AE249" s="7"/>
      <c r="AF249" s="618">
        <f t="shared" si="21"/>
        <v>0</v>
      </c>
      <c r="AG249" s="7"/>
      <c r="AH249" s="7"/>
      <c r="AI249" s="7"/>
      <c r="AJ249" s="7"/>
      <c r="AK249" s="7"/>
      <c r="AL249" s="7"/>
    </row>
    <row r="250" spans="1:38" ht="20.25" customHeight="1">
      <c r="A250" s="503" t="s">
        <v>1022</v>
      </c>
      <c r="B250" s="483" t="s">
        <v>569</v>
      </c>
      <c r="C250" s="629" t="s">
        <v>570</v>
      </c>
      <c r="D250" s="485" t="s">
        <v>1857</v>
      </c>
      <c r="E250" s="213"/>
      <c r="F250" s="213"/>
      <c r="G250" s="213"/>
      <c r="H250" s="215"/>
      <c r="I250" s="215"/>
      <c r="J250" s="214"/>
      <c r="K250" s="221"/>
      <c r="L250" s="620"/>
      <c r="M250" s="213"/>
      <c r="N250" s="213"/>
      <c r="O250" s="215"/>
      <c r="P250" s="213"/>
      <c r="Q250" s="213"/>
      <c r="R250" s="213"/>
      <c r="S250" s="213"/>
      <c r="T250" s="213"/>
      <c r="U250" s="213"/>
      <c r="V250" s="213"/>
      <c r="W250" s="213"/>
      <c r="X250" s="643"/>
      <c r="Y250" s="616">
        <f t="shared" si="1"/>
        <v>0</v>
      </c>
      <c r="Z250" s="633"/>
      <c r="AA250" s="636"/>
      <c r="AB250" s="636"/>
      <c r="AC250" s="7"/>
      <c r="AD250" s="699"/>
      <c r="AE250" s="7"/>
      <c r="AF250" s="618">
        <f t="shared" si="21"/>
        <v>0</v>
      </c>
      <c r="AG250" s="7"/>
      <c r="AH250" s="7"/>
      <c r="AI250" s="7"/>
      <c r="AJ250" s="7"/>
      <c r="AK250" s="7"/>
      <c r="AL250" s="7"/>
    </row>
    <row r="251" spans="1:38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5"/>
      <c r="I251" s="215"/>
      <c r="J251" s="214"/>
      <c r="K251" s="221"/>
      <c r="L251" s="647"/>
      <c r="M251" s="213"/>
      <c r="N251" s="213"/>
      <c r="O251" s="215"/>
      <c r="P251" s="213"/>
      <c r="Q251" s="213"/>
      <c r="R251" s="213"/>
      <c r="S251" s="213"/>
      <c r="T251" s="213"/>
      <c r="U251" s="213"/>
      <c r="V251" s="213"/>
      <c r="W251" s="213"/>
      <c r="X251" s="643"/>
      <c r="Y251" s="616">
        <f t="shared" si="1"/>
        <v>0</v>
      </c>
      <c r="Z251" s="633"/>
      <c r="AA251" s="636"/>
      <c r="AB251" s="636"/>
      <c r="AC251" s="7"/>
      <c r="AD251" s="699"/>
      <c r="AE251" s="7"/>
      <c r="AF251" s="618">
        <f t="shared" si="21"/>
        <v>0</v>
      </c>
      <c r="AG251" s="7"/>
      <c r="AH251" s="7"/>
      <c r="AI251" s="7"/>
      <c r="AJ251" s="7"/>
      <c r="AK251" s="7"/>
      <c r="AL251" s="7"/>
    </row>
    <row r="252" spans="1:38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5"/>
      <c r="I252" s="215"/>
      <c r="J252" s="214"/>
      <c r="K252" s="221"/>
      <c r="L252" s="647"/>
      <c r="M252" s="213"/>
      <c r="N252" s="213"/>
      <c r="O252" s="215"/>
      <c r="P252" s="213"/>
      <c r="Q252" s="213"/>
      <c r="R252" s="213"/>
      <c r="S252" s="213"/>
      <c r="T252" s="213"/>
      <c r="U252" s="213"/>
      <c r="V252" s="213"/>
      <c r="W252" s="213"/>
      <c r="X252" s="643"/>
      <c r="Y252" s="616">
        <f t="shared" si="1"/>
        <v>0</v>
      </c>
      <c r="Z252" s="633"/>
      <c r="AA252" s="636"/>
      <c r="AB252" s="636"/>
      <c r="AC252" s="7"/>
      <c r="AD252" s="699"/>
      <c r="AE252" s="7"/>
      <c r="AF252" s="618">
        <f t="shared" si="21"/>
        <v>0</v>
      </c>
      <c r="AG252" s="7"/>
      <c r="AH252" s="7"/>
      <c r="AI252" s="7"/>
      <c r="AJ252" s="7"/>
      <c r="AK252" s="7"/>
      <c r="AL252" s="7"/>
    </row>
    <row r="253" spans="1:38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5"/>
      <c r="I253" s="215"/>
      <c r="J253" s="214"/>
      <c r="K253" s="221"/>
      <c r="L253" s="662"/>
      <c r="M253" s="213"/>
      <c r="N253" s="213"/>
      <c r="O253" s="215"/>
      <c r="P253" s="213"/>
      <c r="Q253" s="213"/>
      <c r="R253" s="213"/>
      <c r="S253" s="213"/>
      <c r="T253" s="213"/>
      <c r="U253" s="213"/>
      <c r="V253" s="213"/>
      <c r="W253" s="213"/>
      <c r="X253" s="643"/>
      <c r="Y253" s="616">
        <f t="shared" si="1"/>
        <v>0</v>
      </c>
      <c r="Z253" s="633"/>
      <c r="AA253" s="636"/>
      <c r="AB253" s="636"/>
      <c r="AC253" s="7"/>
      <c r="AD253" s="699"/>
      <c r="AE253" s="7"/>
      <c r="AF253" s="618">
        <f t="shared" si="21"/>
        <v>0</v>
      </c>
      <c r="AG253" s="7"/>
      <c r="AH253" s="7"/>
      <c r="AI253" s="7"/>
      <c r="AJ253" s="7"/>
      <c r="AK253" s="7"/>
      <c r="AL253" s="7"/>
    </row>
    <row r="254" spans="1:38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5"/>
      <c r="I254" s="215"/>
      <c r="J254" s="214"/>
      <c r="K254" s="221"/>
      <c r="L254" s="620"/>
      <c r="M254" s="213"/>
      <c r="N254" s="213"/>
      <c r="O254" s="215"/>
      <c r="P254" s="213"/>
      <c r="Q254" s="213"/>
      <c r="R254" s="213"/>
      <c r="S254" s="213"/>
      <c r="T254" s="213"/>
      <c r="U254" s="213"/>
      <c r="V254" s="213"/>
      <c r="W254" s="213"/>
      <c r="X254" s="643"/>
      <c r="Y254" s="616">
        <f t="shared" si="1"/>
        <v>0</v>
      </c>
      <c r="Z254" s="633"/>
      <c r="AA254" s="636"/>
      <c r="AB254" s="636"/>
      <c r="AC254" s="7"/>
      <c r="AD254" s="699"/>
      <c r="AE254" s="7"/>
      <c r="AF254" s="618">
        <f t="shared" si="21"/>
        <v>0</v>
      </c>
      <c r="AG254" s="7"/>
      <c r="AH254" s="7"/>
      <c r="AI254" s="7"/>
      <c r="AJ254" s="7"/>
      <c r="AK254" s="7"/>
      <c r="AL254" s="7"/>
    </row>
    <row r="255" spans="1:38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5"/>
      <c r="I255" s="215"/>
      <c r="J255" s="214"/>
      <c r="K255" s="221"/>
      <c r="L255" s="647"/>
      <c r="M255" s="213"/>
      <c r="N255" s="213"/>
      <c r="O255" s="215"/>
      <c r="P255" s="213"/>
      <c r="Q255" s="213"/>
      <c r="R255" s="213"/>
      <c r="S255" s="213"/>
      <c r="T255" s="213"/>
      <c r="U255" s="213"/>
      <c r="V255" s="213"/>
      <c r="W255" s="213"/>
      <c r="X255" s="643"/>
      <c r="Y255" s="616">
        <f t="shared" si="1"/>
        <v>0</v>
      </c>
      <c r="Z255" s="633"/>
      <c r="AA255" s="636"/>
      <c r="AB255" s="636"/>
      <c r="AC255" s="7"/>
      <c r="AD255" s="699"/>
      <c r="AE255" s="7"/>
      <c r="AF255" s="618">
        <f t="shared" si="21"/>
        <v>0</v>
      </c>
      <c r="AG255" s="7"/>
      <c r="AH255" s="7"/>
      <c r="AI255" s="7"/>
      <c r="AJ255" s="7"/>
      <c r="AK255" s="7"/>
      <c r="AL255" s="7"/>
    </row>
    <row r="256" spans="1:38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5"/>
      <c r="I256" s="215"/>
      <c r="J256" s="214"/>
      <c r="K256" s="221"/>
      <c r="L256" s="647"/>
      <c r="M256" s="213"/>
      <c r="N256" s="213"/>
      <c r="O256" s="215"/>
      <c r="P256" s="213"/>
      <c r="Q256" s="213"/>
      <c r="R256" s="213"/>
      <c r="S256" s="213"/>
      <c r="T256" s="213"/>
      <c r="U256" s="213"/>
      <c r="V256" s="213"/>
      <c r="W256" s="213"/>
      <c r="X256" s="643"/>
      <c r="Y256" s="616">
        <f t="shared" si="1"/>
        <v>0</v>
      </c>
      <c r="Z256" s="633"/>
      <c r="AA256" s="636"/>
      <c r="AB256" s="636"/>
      <c r="AC256" s="7"/>
      <c r="AD256" s="699"/>
      <c r="AE256" s="7"/>
      <c r="AF256" s="618">
        <f t="shared" si="21"/>
        <v>0</v>
      </c>
      <c r="AG256" s="7"/>
      <c r="AH256" s="7"/>
      <c r="AI256" s="7"/>
      <c r="AJ256" s="7"/>
      <c r="AK256" s="7"/>
      <c r="AL256" s="7"/>
    </row>
    <row r="257" spans="1:38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5"/>
      <c r="I257" s="215"/>
      <c r="J257" s="214"/>
      <c r="K257" s="221"/>
      <c r="L257" s="647"/>
      <c r="M257" s="213"/>
      <c r="N257" s="213"/>
      <c r="O257" s="215"/>
      <c r="P257" s="213"/>
      <c r="Q257" s="213"/>
      <c r="R257" s="213"/>
      <c r="S257" s="213"/>
      <c r="T257" s="213"/>
      <c r="U257" s="213"/>
      <c r="V257" s="213"/>
      <c r="W257" s="213"/>
      <c r="X257" s="643"/>
      <c r="Y257" s="616">
        <f t="shared" si="1"/>
        <v>0</v>
      </c>
      <c r="Z257" s="633"/>
      <c r="AA257" s="648"/>
      <c r="AB257" s="648"/>
      <c r="AC257" s="7"/>
      <c r="AD257" s="699"/>
      <c r="AE257" s="7"/>
      <c r="AF257" s="618">
        <f t="shared" si="21"/>
        <v>0</v>
      </c>
      <c r="AG257" s="7"/>
      <c r="AH257" s="7"/>
      <c r="AI257" s="7"/>
      <c r="AJ257" s="7"/>
      <c r="AK257" s="7"/>
      <c r="AL257" s="7"/>
    </row>
    <row r="258" spans="1:38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5"/>
      <c r="I258" s="215"/>
      <c r="J258" s="214"/>
      <c r="K258" s="221"/>
      <c r="L258" s="647"/>
      <c r="M258" s="213"/>
      <c r="N258" s="213"/>
      <c r="O258" s="215"/>
      <c r="P258" s="213"/>
      <c r="Q258" s="213"/>
      <c r="R258" s="213"/>
      <c r="S258" s="213"/>
      <c r="T258" s="213"/>
      <c r="U258" s="213"/>
      <c r="V258" s="213"/>
      <c r="W258" s="213"/>
      <c r="X258" s="643"/>
      <c r="Y258" s="616">
        <f t="shared" si="1"/>
        <v>0</v>
      </c>
      <c r="Z258" s="633"/>
      <c r="AA258" s="648"/>
      <c r="AB258" s="648"/>
      <c r="AC258" s="7"/>
      <c r="AD258" s="699"/>
      <c r="AE258" s="7"/>
      <c r="AF258" s="618">
        <f t="shared" si="21"/>
        <v>0</v>
      </c>
      <c r="AG258" s="7"/>
      <c r="AH258" s="7"/>
      <c r="AI258" s="7"/>
      <c r="AJ258" s="7"/>
      <c r="AK258" s="7"/>
      <c r="AL258" s="7"/>
    </row>
    <row r="259" spans="1:38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5"/>
      <c r="I259" s="215"/>
      <c r="J259" s="214"/>
      <c r="K259" s="221"/>
      <c r="L259" s="662"/>
      <c r="M259" s="213"/>
      <c r="N259" s="213"/>
      <c r="O259" s="215"/>
      <c r="P259" s="213"/>
      <c r="Q259" s="213"/>
      <c r="R259" s="213"/>
      <c r="S259" s="213"/>
      <c r="T259" s="213"/>
      <c r="U259" s="213"/>
      <c r="V259" s="213"/>
      <c r="W259" s="213"/>
      <c r="X259" s="643"/>
      <c r="Y259" s="616">
        <f t="shared" si="1"/>
        <v>0</v>
      </c>
      <c r="Z259" s="633"/>
      <c r="AA259" s="648"/>
      <c r="AB259" s="648"/>
      <c r="AC259" s="7"/>
      <c r="AD259" s="699"/>
      <c r="AE259" s="7"/>
      <c r="AF259" s="618">
        <f t="shared" si="21"/>
        <v>0</v>
      </c>
      <c r="AG259" s="7"/>
      <c r="AH259" s="7"/>
      <c r="AI259" s="7"/>
      <c r="AJ259" s="7"/>
      <c r="AK259" s="7"/>
      <c r="AL259" s="7"/>
    </row>
    <row r="260" spans="1:38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5"/>
      <c r="I260" s="215"/>
      <c r="J260" s="214"/>
      <c r="K260" s="221"/>
      <c r="L260" s="647"/>
      <c r="M260" s="213"/>
      <c r="N260" s="213"/>
      <c r="O260" s="215"/>
      <c r="P260" s="213"/>
      <c r="Q260" s="213"/>
      <c r="R260" s="213"/>
      <c r="S260" s="213"/>
      <c r="T260" s="213"/>
      <c r="U260" s="213"/>
      <c r="V260" s="213"/>
      <c r="W260" s="213"/>
      <c r="X260" s="643"/>
      <c r="Y260" s="616">
        <f t="shared" si="1"/>
        <v>0</v>
      </c>
      <c r="Z260" s="633"/>
      <c r="AA260" s="648"/>
      <c r="AB260" s="648"/>
      <c r="AC260" s="7"/>
      <c r="AD260" s="699"/>
      <c r="AE260" s="7"/>
      <c r="AF260" s="618">
        <f t="shared" si="21"/>
        <v>0</v>
      </c>
      <c r="AG260" s="7"/>
      <c r="AH260" s="7"/>
      <c r="AI260" s="7"/>
      <c r="AJ260" s="7"/>
      <c r="AK260" s="7"/>
      <c r="AL260" s="7"/>
    </row>
    <row r="261" spans="1:38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5"/>
      <c r="I261" s="215"/>
      <c r="J261" s="214"/>
      <c r="K261" s="221"/>
      <c r="L261" s="647"/>
      <c r="M261" s="213"/>
      <c r="N261" s="213"/>
      <c r="O261" s="215"/>
      <c r="P261" s="213"/>
      <c r="Q261" s="213"/>
      <c r="R261" s="213"/>
      <c r="S261" s="213"/>
      <c r="T261" s="213"/>
      <c r="U261" s="213"/>
      <c r="V261" s="213"/>
      <c r="W261" s="213"/>
      <c r="X261" s="643"/>
      <c r="Y261" s="616">
        <f t="shared" si="1"/>
        <v>0</v>
      </c>
      <c r="Z261" s="633"/>
      <c r="AA261" s="648"/>
      <c r="AB261" s="648"/>
      <c r="AC261" s="7"/>
      <c r="AD261" s="699"/>
      <c r="AE261" s="7"/>
      <c r="AF261" s="618">
        <f t="shared" si="21"/>
        <v>0</v>
      </c>
      <c r="AG261" s="7"/>
      <c r="AH261" s="7"/>
      <c r="AI261" s="7"/>
      <c r="AJ261" s="7"/>
      <c r="AK261" s="7"/>
      <c r="AL261" s="7"/>
    </row>
    <row r="262" spans="1:38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5"/>
      <c r="I262" s="215"/>
      <c r="J262" s="214"/>
      <c r="K262" s="221"/>
      <c r="L262" s="647"/>
      <c r="M262" s="213"/>
      <c r="N262" s="213"/>
      <c r="O262" s="215"/>
      <c r="P262" s="213"/>
      <c r="Q262" s="213"/>
      <c r="R262" s="213"/>
      <c r="S262" s="213"/>
      <c r="T262" s="213"/>
      <c r="U262" s="213"/>
      <c r="V262" s="213"/>
      <c r="W262" s="213"/>
      <c r="X262" s="643"/>
      <c r="Y262" s="616">
        <f t="shared" si="1"/>
        <v>0</v>
      </c>
      <c r="Z262" s="633"/>
      <c r="AA262" s="648"/>
      <c r="AB262" s="648"/>
      <c r="AC262" s="7"/>
      <c r="AD262" s="699"/>
      <c r="AE262" s="7"/>
      <c r="AF262" s="618">
        <f t="shared" si="21"/>
        <v>0</v>
      </c>
      <c r="AG262" s="7"/>
      <c r="AH262" s="7"/>
      <c r="AI262" s="7"/>
      <c r="AJ262" s="7"/>
      <c r="AK262" s="7"/>
      <c r="AL262" s="7"/>
    </row>
    <row r="263" spans="1:38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5"/>
      <c r="I263" s="215"/>
      <c r="J263" s="214"/>
      <c r="K263" s="221"/>
      <c r="L263" s="647"/>
      <c r="M263" s="213"/>
      <c r="N263" s="213"/>
      <c r="O263" s="215"/>
      <c r="P263" s="213"/>
      <c r="Q263" s="213"/>
      <c r="R263" s="213"/>
      <c r="S263" s="213"/>
      <c r="T263" s="213"/>
      <c r="U263" s="213"/>
      <c r="V263" s="213"/>
      <c r="W263" s="213"/>
      <c r="X263" s="643"/>
      <c r="Y263" s="616">
        <f t="shared" si="1"/>
        <v>0</v>
      </c>
      <c r="Z263" s="633"/>
      <c r="AA263" s="636"/>
      <c r="AB263" s="636"/>
      <c r="AC263" s="7"/>
      <c r="AD263" s="699"/>
      <c r="AE263" s="7"/>
      <c r="AF263" s="618">
        <f t="shared" si="21"/>
        <v>0</v>
      </c>
      <c r="AG263" s="7"/>
      <c r="AH263" s="7"/>
      <c r="AI263" s="7"/>
      <c r="AJ263" s="7"/>
      <c r="AK263" s="7"/>
      <c r="AL263" s="7"/>
    </row>
    <row r="264" spans="1:38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5"/>
      <c r="I264" s="215"/>
      <c r="J264" s="214"/>
      <c r="K264" s="221"/>
      <c r="L264" s="647"/>
      <c r="M264" s="213"/>
      <c r="N264" s="213"/>
      <c r="O264" s="215"/>
      <c r="P264" s="213"/>
      <c r="Q264" s="213"/>
      <c r="R264" s="213"/>
      <c r="S264" s="213"/>
      <c r="T264" s="213"/>
      <c r="U264" s="213"/>
      <c r="V264" s="213"/>
      <c r="W264" s="213"/>
      <c r="X264" s="643"/>
      <c r="Y264" s="616">
        <f t="shared" si="1"/>
        <v>0</v>
      </c>
      <c r="Z264" s="633"/>
      <c r="AA264" s="648"/>
      <c r="AB264" s="648"/>
      <c r="AC264" s="7"/>
      <c r="AD264" s="699"/>
      <c r="AE264" s="7"/>
      <c r="AF264" s="618">
        <f t="shared" si="21"/>
        <v>0</v>
      </c>
      <c r="AG264" s="7"/>
      <c r="AH264" s="7"/>
      <c r="AI264" s="7"/>
      <c r="AJ264" s="7"/>
      <c r="AK264" s="7"/>
      <c r="AL264" s="7"/>
    </row>
    <row r="265" spans="1:38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5"/>
      <c r="I265" s="215"/>
      <c r="J265" s="214"/>
      <c r="K265" s="221"/>
      <c r="L265" s="662"/>
      <c r="M265" s="213"/>
      <c r="N265" s="213"/>
      <c r="O265" s="215"/>
      <c r="P265" s="213"/>
      <c r="Q265" s="213"/>
      <c r="R265" s="213"/>
      <c r="S265" s="213"/>
      <c r="T265" s="213"/>
      <c r="U265" s="213"/>
      <c r="V265" s="213"/>
      <c r="W265" s="213"/>
      <c r="X265" s="643"/>
      <c r="Y265" s="616">
        <f t="shared" si="1"/>
        <v>0</v>
      </c>
      <c r="Z265" s="633"/>
      <c r="AA265" s="648"/>
      <c r="AB265" s="648"/>
      <c r="AC265" s="7"/>
      <c r="AD265" s="699"/>
      <c r="AE265" s="7"/>
      <c r="AF265" s="618">
        <f t="shared" si="21"/>
        <v>0</v>
      </c>
      <c r="AG265" s="7"/>
      <c r="AH265" s="7"/>
      <c r="AI265" s="7"/>
      <c r="AJ265" s="7"/>
      <c r="AK265" s="7"/>
      <c r="AL265" s="7"/>
    </row>
    <row r="266" spans="1:38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5"/>
      <c r="I266" s="215"/>
      <c r="J266" s="214"/>
      <c r="K266" s="221"/>
      <c r="L266" s="647"/>
      <c r="M266" s="213"/>
      <c r="N266" s="213"/>
      <c r="O266" s="215"/>
      <c r="P266" s="213"/>
      <c r="Q266" s="213"/>
      <c r="R266" s="213"/>
      <c r="S266" s="213"/>
      <c r="T266" s="213"/>
      <c r="U266" s="213"/>
      <c r="V266" s="213"/>
      <c r="W266" s="213"/>
      <c r="X266" s="643"/>
      <c r="Y266" s="616">
        <f t="shared" si="1"/>
        <v>0</v>
      </c>
      <c r="Z266" s="633"/>
      <c r="AA266" s="648"/>
      <c r="AB266" s="648"/>
      <c r="AC266" s="7"/>
      <c r="AD266" s="699"/>
      <c r="AE266" s="7"/>
      <c r="AF266" s="618">
        <f t="shared" si="21"/>
        <v>0</v>
      </c>
      <c r="AG266" s="7"/>
      <c r="AH266" s="7"/>
      <c r="AI266" s="7"/>
      <c r="AJ266" s="7"/>
      <c r="AK266" s="7"/>
      <c r="AL266" s="7"/>
    </row>
    <row r="267" spans="1:38" ht="20.25" customHeight="1">
      <c r="A267" s="503" t="s">
        <v>605</v>
      </c>
      <c r="B267" s="483" t="s">
        <v>606</v>
      </c>
      <c r="C267" s="629" t="s">
        <v>593</v>
      </c>
      <c r="D267" s="485" t="s">
        <v>1858</v>
      </c>
      <c r="E267" s="213"/>
      <c r="F267" s="213"/>
      <c r="G267" s="213"/>
      <c r="H267" s="215"/>
      <c r="I267" s="215"/>
      <c r="J267" s="214"/>
      <c r="K267" s="221"/>
      <c r="L267" s="620"/>
      <c r="M267" s="213"/>
      <c r="N267" s="213"/>
      <c r="O267" s="215"/>
      <c r="P267" s="213"/>
      <c r="Q267" s="213"/>
      <c r="R267" s="213"/>
      <c r="S267" s="213"/>
      <c r="T267" s="213"/>
      <c r="U267" s="213"/>
      <c r="V267" s="213"/>
      <c r="W267" s="213"/>
      <c r="X267" s="643"/>
      <c r="Y267" s="616">
        <f t="shared" si="1"/>
        <v>0</v>
      </c>
      <c r="Z267" s="633"/>
      <c r="AA267" s="648"/>
      <c r="AB267" s="648"/>
      <c r="AC267" s="7"/>
      <c r="AD267" s="699"/>
      <c r="AE267" s="7"/>
      <c r="AF267" s="618">
        <f t="shared" si="21"/>
        <v>0</v>
      </c>
      <c r="AG267" s="7"/>
      <c r="AH267" s="7"/>
      <c r="AI267" s="7"/>
      <c r="AJ267" s="7"/>
      <c r="AK267" s="7"/>
      <c r="AL267" s="7"/>
    </row>
    <row r="268" spans="1:38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5"/>
      <c r="I268" s="215"/>
      <c r="J268" s="214"/>
      <c r="K268" s="221"/>
      <c r="L268" s="647"/>
      <c r="M268" s="213"/>
      <c r="N268" s="213"/>
      <c r="O268" s="215"/>
      <c r="P268" s="213"/>
      <c r="Q268" s="213"/>
      <c r="R268" s="213"/>
      <c r="S268" s="213"/>
      <c r="T268" s="213"/>
      <c r="U268" s="213"/>
      <c r="V268" s="213"/>
      <c r="W268" s="213"/>
      <c r="X268" s="643"/>
      <c r="Y268" s="616">
        <f t="shared" si="1"/>
        <v>0</v>
      </c>
      <c r="Z268" s="633"/>
      <c r="AA268" s="648"/>
      <c r="AB268" s="648"/>
      <c r="AC268" s="7"/>
      <c r="AD268" s="699"/>
      <c r="AE268" s="7"/>
      <c r="AF268" s="618">
        <f t="shared" si="21"/>
        <v>0</v>
      </c>
      <c r="AG268" s="7"/>
      <c r="AH268" s="7"/>
      <c r="AI268" s="7"/>
      <c r="AJ268" s="7"/>
      <c r="AK268" s="7"/>
      <c r="AL268" s="7"/>
    </row>
    <row r="269" spans="1:38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5"/>
      <c r="I269" s="215"/>
      <c r="J269" s="214"/>
      <c r="K269" s="221"/>
      <c r="L269" s="647"/>
      <c r="M269" s="213"/>
      <c r="N269" s="213"/>
      <c r="O269" s="215"/>
      <c r="P269" s="213"/>
      <c r="Q269" s="213"/>
      <c r="R269" s="213"/>
      <c r="S269" s="213"/>
      <c r="T269" s="213"/>
      <c r="U269" s="213"/>
      <c r="V269" s="213"/>
      <c r="W269" s="213"/>
      <c r="X269" s="643"/>
      <c r="Y269" s="616">
        <f t="shared" si="1"/>
        <v>0</v>
      </c>
      <c r="Z269" s="633"/>
      <c r="AA269" s="636"/>
      <c r="AB269" s="636"/>
      <c r="AC269" s="7"/>
      <c r="AD269" s="699"/>
      <c r="AE269" s="7"/>
      <c r="AF269" s="618">
        <f t="shared" si="21"/>
        <v>0</v>
      </c>
      <c r="AG269" s="7"/>
      <c r="AH269" s="7"/>
      <c r="AI269" s="7"/>
      <c r="AJ269" s="7"/>
      <c r="AK269" s="7"/>
      <c r="AL269" s="7"/>
    </row>
    <row r="270" spans="1:38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5"/>
      <c r="I270" s="215"/>
      <c r="J270" s="214"/>
      <c r="K270" s="221"/>
      <c r="L270" s="647"/>
      <c r="M270" s="213"/>
      <c r="N270" s="213"/>
      <c r="O270" s="215"/>
      <c r="P270" s="213"/>
      <c r="Q270" s="213"/>
      <c r="R270" s="213"/>
      <c r="S270" s="213"/>
      <c r="T270" s="213"/>
      <c r="U270" s="213"/>
      <c r="V270" s="213"/>
      <c r="W270" s="213"/>
      <c r="X270" s="643"/>
      <c r="Y270" s="616">
        <f t="shared" si="1"/>
        <v>0</v>
      </c>
      <c r="Z270" s="633"/>
      <c r="AA270" s="648"/>
      <c r="AB270" s="648"/>
      <c r="AC270" s="7"/>
      <c r="AD270" s="699"/>
      <c r="AE270" s="7"/>
      <c r="AF270" s="618">
        <f t="shared" si="21"/>
        <v>0</v>
      </c>
      <c r="AG270" s="7"/>
      <c r="AH270" s="7"/>
      <c r="AI270" s="7"/>
      <c r="AJ270" s="7"/>
      <c r="AK270" s="7"/>
      <c r="AL270" s="7"/>
    </row>
    <row r="271" spans="1:38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5"/>
      <c r="I271" s="215"/>
      <c r="J271" s="214"/>
      <c r="K271" s="221"/>
      <c r="L271" s="647"/>
      <c r="M271" s="213"/>
      <c r="N271" s="213"/>
      <c r="O271" s="215"/>
      <c r="P271" s="213"/>
      <c r="Q271" s="213"/>
      <c r="R271" s="213"/>
      <c r="S271" s="213"/>
      <c r="T271" s="213"/>
      <c r="U271" s="213"/>
      <c r="V271" s="213"/>
      <c r="W271" s="213"/>
      <c r="X271" s="643"/>
      <c r="Y271" s="616">
        <f t="shared" si="1"/>
        <v>0</v>
      </c>
      <c r="Z271" s="633"/>
      <c r="AA271" s="648"/>
      <c r="AB271" s="648"/>
      <c r="AC271" s="7"/>
      <c r="AD271" s="699"/>
      <c r="AE271" s="7"/>
      <c r="AF271" s="618">
        <f t="shared" si="21"/>
        <v>0</v>
      </c>
      <c r="AG271" s="7"/>
      <c r="AH271" s="7"/>
      <c r="AI271" s="7"/>
      <c r="AJ271" s="7"/>
      <c r="AK271" s="7"/>
      <c r="AL271" s="7"/>
    </row>
    <row r="272" spans="1:38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5"/>
      <c r="I272" s="215"/>
      <c r="J272" s="214"/>
      <c r="K272" s="221"/>
      <c r="L272" s="662"/>
      <c r="M272" s="213"/>
      <c r="N272" s="213"/>
      <c r="O272" s="215"/>
      <c r="P272" s="213"/>
      <c r="Q272" s="213"/>
      <c r="R272" s="213"/>
      <c r="S272" s="213"/>
      <c r="T272" s="213"/>
      <c r="U272" s="213"/>
      <c r="V272" s="213"/>
      <c r="W272" s="213"/>
      <c r="X272" s="643"/>
      <c r="Y272" s="616">
        <f t="shared" si="1"/>
        <v>0</v>
      </c>
      <c r="Z272" s="633"/>
      <c r="AA272" s="648"/>
      <c r="AB272" s="648"/>
      <c r="AC272" s="7"/>
      <c r="AD272" s="699"/>
      <c r="AE272" s="7"/>
      <c r="AF272" s="618">
        <f t="shared" si="21"/>
        <v>0</v>
      </c>
      <c r="AG272" s="7"/>
      <c r="AH272" s="7"/>
      <c r="AI272" s="7"/>
      <c r="AJ272" s="7"/>
      <c r="AK272" s="7"/>
      <c r="AL272" s="7"/>
    </row>
    <row r="273" spans="1:38" ht="20.25" customHeight="1">
      <c r="A273" s="503" t="s">
        <v>620</v>
      </c>
      <c r="B273" s="483" t="s">
        <v>621</v>
      </c>
      <c r="C273" s="629" t="s">
        <v>622</v>
      </c>
      <c r="D273" s="485" t="s">
        <v>1859</v>
      </c>
      <c r="E273" s="213"/>
      <c r="F273" s="213"/>
      <c r="G273" s="213"/>
      <c r="H273" s="215"/>
      <c r="I273" s="215"/>
      <c r="J273" s="214"/>
      <c r="K273" s="221"/>
      <c r="L273" s="620"/>
      <c r="M273" s="213"/>
      <c r="N273" s="213"/>
      <c r="O273" s="215"/>
      <c r="P273" s="213"/>
      <c r="Q273" s="213"/>
      <c r="R273" s="213"/>
      <c r="S273" s="213"/>
      <c r="T273" s="213"/>
      <c r="U273" s="213"/>
      <c r="V273" s="213"/>
      <c r="W273" s="213"/>
      <c r="X273" s="643"/>
      <c r="Y273" s="616">
        <f t="shared" si="1"/>
        <v>0</v>
      </c>
      <c r="Z273" s="633"/>
      <c r="AA273" s="648"/>
      <c r="AB273" s="648"/>
      <c r="AC273" s="7"/>
      <c r="AD273" s="699"/>
      <c r="AE273" s="7"/>
      <c r="AF273" s="618">
        <f t="shared" si="21"/>
        <v>0</v>
      </c>
      <c r="AG273" s="7"/>
      <c r="AH273" s="7"/>
      <c r="AI273" s="7"/>
      <c r="AJ273" s="7"/>
      <c r="AK273" s="7"/>
      <c r="AL273" s="7"/>
    </row>
    <row r="274" spans="1:38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5"/>
      <c r="I274" s="215"/>
      <c r="J274" s="214"/>
      <c r="K274" s="221"/>
      <c r="L274" s="647"/>
      <c r="M274" s="213"/>
      <c r="N274" s="213"/>
      <c r="O274" s="215"/>
      <c r="P274" s="213"/>
      <c r="Q274" s="213"/>
      <c r="R274" s="213"/>
      <c r="S274" s="213"/>
      <c r="T274" s="213"/>
      <c r="U274" s="213"/>
      <c r="V274" s="213"/>
      <c r="W274" s="213"/>
      <c r="X274" s="643"/>
      <c r="Y274" s="616">
        <f t="shared" si="1"/>
        <v>0</v>
      </c>
      <c r="Z274" s="633"/>
      <c r="AA274" s="648"/>
      <c r="AB274" s="648"/>
      <c r="AC274" s="7"/>
      <c r="AD274" s="699"/>
      <c r="AE274" s="7"/>
      <c r="AF274" s="618">
        <f t="shared" si="21"/>
        <v>0</v>
      </c>
      <c r="AG274" s="7"/>
      <c r="AH274" s="7"/>
      <c r="AI274" s="7"/>
      <c r="AJ274" s="7"/>
      <c r="AK274" s="7"/>
      <c r="AL274" s="7"/>
    </row>
    <row r="275" spans="1:38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5"/>
      <c r="I275" s="215"/>
      <c r="J275" s="214"/>
      <c r="K275" s="221"/>
      <c r="L275" s="620"/>
      <c r="M275" s="213"/>
      <c r="N275" s="213"/>
      <c r="O275" s="215"/>
      <c r="P275" s="213"/>
      <c r="Q275" s="213"/>
      <c r="R275" s="213"/>
      <c r="S275" s="213"/>
      <c r="T275" s="213"/>
      <c r="U275" s="213"/>
      <c r="V275" s="213"/>
      <c r="W275" s="213"/>
      <c r="X275" s="643"/>
      <c r="Y275" s="616">
        <f t="shared" ref="Y275:Y447" si="22">+SUM(E275:X275)</f>
        <v>0</v>
      </c>
      <c r="Z275" s="633"/>
      <c r="AA275" s="636"/>
      <c r="AB275" s="636"/>
      <c r="AC275" s="7"/>
      <c r="AD275" s="699"/>
      <c r="AE275" s="7"/>
      <c r="AF275" s="618">
        <f t="shared" si="21"/>
        <v>0</v>
      </c>
      <c r="AG275" s="7"/>
      <c r="AH275" s="7"/>
      <c r="AI275" s="7"/>
      <c r="AJ275" s="7"/>
      <c r="AK275" s="7"/>
      <c r="AL275" s="7"/>
    </row>
    <row r="276" spans="1:38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5"/>
      <c r="I276" s="215"/>
      <c r="J276" s="214"/>
      <c r="K276" s="221"/>
      <c r="L276" s="647"/>
      <c r="M276" s="213"/>
      <c r="N276" s="213"/>
      <c r="O276" s="215"/>
      <c r="P276" s="213"/>
      <c r="Q276" s="213"/>
      <c r="R276" s="213"/>
      <c r="S276" s="213"/>
      <c r="T276" s="213"/>
      <c r="U276" s="213"/>
      <c r="V276" s="213"/>
      <c r="W276" s="213"/>
      <c r="X276" s="643"/>
      <c r="Y276" s="616">
        <f t="shared" si="22"/>
        <v>0</v>
      </c>
      <c r="Z276" s="633"/>
      <c r="AA276" s="648"/>
      <c r="AB276" s="648"/>
      <c r="AC276" s="7"/>
      <c r="AD276" s="699"/>
      <c r="AE276" s="7"/>
      <c r="AF276" s="618">
        <f t="shared" si="21"/>
        <v>0</v>
      </c>
      <c r="AG276" s="7"/>
      <c r="AH276" s="7"/>
      <c r="AI276" s="7"/>
      <c r="AJ276" s="7"/>
      <c r="AK276" s="7"/>
      <c r="AL276" s="7"/>
    </row>
    <row r="277" spans="1:38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5"/>
      <c r="I277" s="215"/>
      <c r="J277" s="214"/>
      <c r="K277" s="221"/>
      <c r="L277" s="662"/>
      <c r="M277" s="213"/>
      <c r="N277" s="213"/>
      <c r="O277" s="215"/>
      <c r="P277" s="213"/>
      <c r="Q277" s="213"/>
      <c r="R277" s="213"/>
      <c r="S277" s="213"/>
      <c r="T277" s="213"/>
      <c r="U277" s="213"/>
      <c r="V277" s="213"/>
      <c r="W277" s="213"/>
      <c r="X277" s="643"/>
      <c r="Y277" s="616">
        <f t="shared" si="22"/>
        <v>0</v>
      </c>
      <c r="Z277" s="633"/>
      <c r="AA277" s="648"/>
      <c r="AB277" s="648"/>
      <c r="AC277" s="7"/>
      <c r="AD277" s="699"/>
      <c r="AE277" s="7"/>
      <c r="AF277" s="618">
        <f t="shared" si="21"/>
        <v>0</v>
      </c>
      <c r="AG277" s="7"/>
      <c r="AH277" s="7"/>
      <c r="AI277" s="7"/>
      <c r="AJ277" s="7"/>
      <c r="AK277" s="7"/>
      <c r="AL277" s="7"/>
    </row>
    <row r="278" spans="1:38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5"/>
      <c r="I278" s="215"/>
      <c r="J278" s="214"/>
      <c r="K278" s="221"/>
      <c r="L278" s="647"/>
      <c r="M278" s="213"/>
      <c r="N278" s="213"/>
      <c r="O278" s="215"/>
      <c r="P278" s="213"/>
      <c r="Q278" s="213"/>
      <c r="R278" s="213"/>
      <c r="S278" s="213"/>
      <c r="T278" s="213"/>
      <c r="U278" s="213"/>
      <c r="V278" s="213"/>
      <c r="W278" s="213"/>
      <c r="X278" s="643"/>
      <c r="Y278" s="616">
        <f t="shared" si="22"/>
        <v>0</v>
      </c>
      <c r="Z278" s="633"/>
      <c r="AA278" s="648"/>
      <c r="AB278" s="648"/>
      <c r="AC278" s="7"/>
      <c r="AD278" s="699"/>
      <c r="AE278" s="7"/>
      <c r="AF278" s="618">
        <f t="shared" si="21"/>
        <v>0</v>
      </c>
      <c r="AG278" s="7"/>
      <c r="AH278" s="7"/>
      <c r="AI278" s="7"/>
      <c r="AJ278" s="7"/>
      <c r="AK278" s="7"/>
      <c r="AL278" s="7"/>
    </row>
    <row r="279" spans="1:38" ht="20.25" customHeight="1">
      <c r="A279" s="503" t="s">
        <v>636</v>
      </c>
      <c r="B279" s="483" t="s">
        <v>637</v>
      </c>
      <c r="C279" s="629" t="s">
        <v>638</v>
      </c>
      <c r="D279" s="485" t="s">
        <v>1860</v>
      </c>
      <c r="E279" s="213"/>
      <c r="F279" s="213"/>
      <c r="G279" s="213"/>
      <c r="H279" s="215"/>
      <c r="I279" s="215"/>
      <c r="J279" s="214"/>
      <c r="K279" s="221"/>
      <c r="L279" s="620"/>
      <c r="M279" s="213"/>
      <c r="N279" s="213"/>
      <c r="O279" s="215"/>
      <c r="P279" s="213"/>
      <c r="Q279" s="213"/>
      <c r="R279" s="213"/>
      <c r="S279" s="213"/>
      <c r="T279" s="213"/>
      <c r="U279" s="213"/>
      <c r="V279" s="213"/>
      <c r="W279" s="213"/>
      <c r="X279" s="643"/>
      <c r="Y279" s="616">
        <f t="shared" si="22"/>
        <v>0</v>
      </c>
      <c r="Z279" s="633"/>
      <c r="AA279" s="648"/>
      <c r="AB279" s="648"/>
      <c r="AC279" s="7"/>
      <c r="AD279" s="699"/>
      <c r="AE279" s="7"/>
      <c r="AF279" s="618">
        <f t="shared" si="21"/>
        <v>0</v>
      </c>
      <c r="AG279" s="7"/>
      <c r="AH279" s="7"/>
      <c r="AI279" s="7"/>
      <c r="AJ279" s="7"/>
      <c r="AK279" s="7"/>
      <c r="AL279" s="7"/>
    </row>
    <row r="280" spans="1:38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5"/>
      <c r="I280" s="215"/>
      <c r="J280" s="214"/>
      <c r="K280" s="221"/>
      <c r="L280" s="647"/>
      <c r="M280" s="213"/>
      <c r="N280" s="213"/>
      <c r="O280" s="215"/>
      <c r="P280" s="213"/>
      <c r="Q280" s="213"/>
      <c r="R280" s="213"/>
      <c r="S280" s="213"/>
      <c r="T280" s="213"/>
      <c r="U280" s="213"/>
      <c r="V280" s="213"/>
      <c r="W280" s="213"/>
      <c r="X280" s="643"/>
      <c r="Y280" s="616">
        <f t="shared" si="22"/>
        <v>0</v>
      </c>
      <c r="Z280" s="633"/>
      <c r="AA280" s="648"/>
      <c r="AB280" s="648"/>
      <c r="AC280" s="7"/>
      <c r="AD280" s="699"/>
      <c r="AE280" s="7"/>
      <c r="AF280" s="618">
        <f t="shared" si="21"/>
        <v>0</v>
      </c>
      <c r="AG280" s="7"/>
      <c r="AH280" s="7"/>
      <c r="AI280" s="7"/>
      <c r="AJ280" s="7"/>
      <c r="AK280" s="7"/>
      <c r="AL280" s="7"/>
    </row>
    <row r="281" spans="1:38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5"/>
      <c r="I281" s="215"/>
      <c r="J281" s="214"/>
      <c r="K281" s="221"/>
      <c r="L281" s="662"/>
      <c r="M281" s="213"/>
      <c r="N281" s="213"/>
      <c r="O281" s="215"/>
      <c r="P281" s="213"/>
      <c r="Q281" s="213"/>
      <c r="R281" s="213"/>
      <c r="S281" s="213"/>
      <c r="T281" s="213"/>
      <c r="U281" s="213"/>
      <c r="V281" s="213"/>
      <c r="W281" s="213"/>
      <c r="X281" s="643"/>
      <c r="Y281" s="616">
        <f t="shared" si="22"/>
        <v>0</v>
      </c>
      <c r="Z281" s="633"/>
      <c r="AA281" s="648"/>
      <c r="AB281" s="648"/>
      <c r="AC281" s="7"/>
      <c r="AD281" s="699"/>
      <c r="AE281" s="7"/>
      <c r="AF281" s="618">
        <f t="shared" si="21"/>
        <v>0</v>
      </c>
      <c r="AG281" s="7"/>
      <c r="AH281" s="7"/>
      <c r="AI281" s="7"/>
      <c r="AJ281" s="7"/>
      <c r="AK281" s="7"/>
      <c r="AL281" s="7"/>
    </row>
    <row r="282" spans="1:38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5"/>
      <c r="I282" s="215"/>
      <c r="J282" s="214"/>
      <c r="K282" s="221"/>
      <c r="L282" s="662"/>
      <c r="M282" s="213"/>
      <c r="N282" s="213"/>
      <c r="O282" s="215"/>
      <c r="P282" s="213"/>
      <c r="Q282" s="213"/>
      <c r="R282" s="213"/>
      <c r="S282" s="213"/>
      <c r="T282" s="213"/>
      <c r="U282" s="213"/>
      <c r="V282" s="213"/>
      <c r="W282" s="213"/>
      <c r="X282" s="643"/>
      <c r="Y282" s="616">
        <f t="shared" si="22"/>
        <v>0</v>
      </c>
      <c r="Z282" s="633"/>
      <c r="AA282" s="640"/>
      <c r="AB282" s="640"/>
      <c r="AC282" s="7"/>
      <c r="AD282" s="699"/>
      <c r="AE282" s="7"/>
      <c r="AF282" s="618">
        <f t="shared" si="21"/>
        <v>0</v>
      </c>
      <c r="AG282" s="7"/>
      <c r="AH282" s="7"/>
      <c r="AI282" s="7"/>
      <c r="AJ282" s="7"/>
      <c r="AK282" s="7"/>
      <c r="AL282" s="7"/>
    </row>
    <row r="283" spans="1:38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>
        <v>0.16</v>
      </c>
      <c r="G283" s="213"/>
      <c r="H283" s="215">
        <v>0.1</v>
      </c>
      <c r="I283" s="215"/>
      <c r="J283" s="214"/>
      <c r="K283" s="221"/>
      <c r="L283" s="620"/>
      <c r="M283" s="213"/>
      <c r="N283" s="213"/>
      <c r="O283" s="215"/>
      <c r="P283" s="213"/>
      <c r="Q283" s="213"/>
      <c r="R283" s="213"/>
      <c r="S283" s="213"/>
      <c r="T283" s="213"/>
      <c r="U283" s="213"/>
      <c r="V283" s="213"/>
      <c r="W283" s="213"/>
      <c r="X283" s="643"/>
      <c r="Y283" s="616">
        <f t="shared" si="22"/>
        <v>0.26</v>
      </c>
      <c r="Z283" s="633"/>
      <c r="AA283" s="636"/>
      <c r="AB283" s="636"/>
      <c r="AC283" s="7"/>
      <c r="AD283" s="702">
        <v>73.5</v>
      </c>
      <c r="AE283" s="7"/>
      <c r="AF283" s="618">
        <f t="shared" si="21"/>
        <v>73.239999999999995</v>
      </c>
      <c r="AG283" s="7"/>
      <c r="AH283" s="7"/>
      <c r="AI283" s="7"/>
      <c r="AJ283" s="7"/>
      <c r="AK283" s="7"/>
      <c r="AL283" s="7"/>
    </row>
    <row r="284" spans="1:38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5"/>
      <c r="I284" s="215"/>
      <c r="J284" s="214"/>
      <c r="K284" s="221"/>
      <c r="L284" s="647"/>
      <c r="M284" s="213"/>
      <c r="N284" s="213"/>
      <c r="O284" s="215"/>
      <c r="P284" s="213"/>
      <c r="Q284" s="213"/>
      <c r="R284" s="213"/>
      <c r="S284" s="213"/>
      <c r="T284" s="213"/>
      <c r="U284" s="213"/>
      <c r="V284" s="213"/>
      <c r="W284" s="213"/>
      <c r="X284" s="643"/>
      <c r="Y284" s="616">
        <f t="shared" si="22"/>
        <v>0</v>
      </c>
      <c r="Z284" s="633"/>
      <c r="AA284" s="654"/>
      <c r="AB284" s="654"/>
      <c r="AC284" s="7"/>
      <c r="AD284" s="702"/>
      <c r="AE284" s="7"/>
      <c r="AF284" s="618">
        <f t="shared" si="21"/>
        <v>0</v>
      </c>
      <c r="AG284" s="7"/>
      <c r="AH284" s="7"/>
      <c r="AI284" s="7"/>
      <c r="AJ284" s="7"/>
      <c r="AK284" s="7"/>
      <c r="AL284" s="7"/>
    </row>
    <row r="285" spans="1:38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5"/>
      <c r="I285" s="215"/>
      <c r="J285" s="214"/>
      <c r="K285" s="221"/>
      <c r="L285" s="647"/>
      <c r="M285" s="213"/>
      <c r="N285" s="213"/>
      <c r="O285" s="215"/>
      <c r="P285" s="213"/>
      <c r="Q285" s="213"/>
      <c r="R285" s="213"/>
      <c r="S285" s="213"/>
      <c r="T285" s="213"/>
      <c r="U285" s="213"/>
      <c r="V285" s="213"/>
      <c r="W285" s="213"/>
      <c r="X285" s="643"/>
      <c r="Y285" s="616">
        <f t="shared" si="22"/>
        <v>0</v>
      </c>
      <c r="Z285" s="633"/>
      <c r="AA285" s="654"/>
      <c r="AB285" s="654"/>
      <c r="AC285" s="7"/>
      <c r="AD285" s="702"/>
      <c r="AE285" s="7"/>
      <c r="AF285" s="618">
        <f t="shared" si="21"/>
        <v>0</v>
      </c>
      <c r="AG285" s="7"/>
      <c r="AH285" s="7"/>
      <c r="AI285" s="7"/>
      <c r="AJ285" s="7"/>
      <c r="AK285" s="7"/>
      <c r="AL285" s="7"/>
    </row>
    <row r="286" spans="1:38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5"/>
      <c r="I286" s="215"/>
      <c r="J286" s="214"/>
      <c r="K286" s="221"/>
      <c r="L286" s="647"/>
      <c r="M286" s="213"/>
      <c r="N286" s="213"/>
      <c r="O286" s="215"/>
      <c r="P286" s="213"/>
      <c r="Q286" s="213"/>
      <c r="R286" s="213"/>
      <c r="S286" s="213"/>
      <c r="T286" s="213"/>
      <c r="U286" s="213"/>
      <c r="V286" s="213"/>
      <c r="W286" s="213"/>
      <c r="X286" s="643"/>
      <c r="Y286" s="616">
        <f t="shared" si="22"/>
        <v>0</v>
      </c>
      <c r="Z286" s="633"/>
      <c r="AA286" s="654"/>
      <c r="AB286" s="654"/>
      <c r="AC286" s="7"/>
      <c r="AD286" s="702"/>
      <c r="AE286" s="7"/>
      <c r="AF286" s="618">
        <f t="shared" si="21"/>
        <v>0</v>
      </c>
      <c r="AG286" s="7"/>
      <c r="AH286" s="7"/>
      <c r="AI286" s="7"/>
      <c r="AJ286" s="7"/>
      <c r="AK286" s="7"/>
      <c r="AL286" s="7"/>
    </row>
    <row r="287" spans="1:38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5"/>
      <c r="I287" s="215"/>
      <c r="J287" s="214"/>
      <c r="K287" s="221"/>
      <c r="L287" s="647"/>
      <c r="M287" s="213"/>
      <c r="N287" s="213"/>
      <c r="O287" s="215"/>
      <c r="P287" s="213"/>
      <c r="Q287" s="213"/>
      <c r="R287" s="213"/>
      <c r="S287" s="213"/>
      <c r="T287" s="213"/>
      <c r="U287" s="213"/>
      <c r="V287" s="213"/>
      <c r="W287" s="213"/>
      <c r="X287" s="643"/>
      <c r="Y287" s="616">
        <f t="shared" si="22"/>
        <v>0</v>
      </c>
      <c r="Z287" s="633"/>
      <c r="AA287" s="654"/>
      <c r="AB287" s="654"/>
      <c r="AC287" s="7"/>
      <c r="AD287" s="702"/>
      <c r="AE287" s="7"/>
      <c r="AF287" s="618">
        <f t="shared" si="21"/>
        <v>0</v>
      </c>
      <c r="AG287" s="7"/>
      <c r="AH287" s="7"/>
      <c r="AI287" s="7"/>
      <c r="AJ287" s="7"/>
      <c r="AK287" s="7"/>
      <c r="AL287" s="7"/>
    </row>
    <row r="288" spans="1:38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5"/>
      <c r="I288" s="215"/>
      <c r="J288" s="214"/>
      <c r="K288" s="221"/>
      <c r="L288" s="647"/>
      <c r="M288" s="213"/>
      <c r="N288" s="213"/>
      <c r="O288" s="215"/>
      <c r="P288" s="213"/>
      <c r="Q288" s="213"/>
      <c r="R288" s="213"/>
      <c r="S288" s="213"/>
      <c r="T288" s="213"/>
      <c r="U288" s="213"/>
      <c r="V288" s="213"/>
      <c r="W288" s="213"/>
      <c r="X288" s="643"/>
      <c r="Y288" s="616">
        <f t="shared" si="22"/>
        <v>0</v>
      </c>
      <c r="Z288" s="633"/>
      <c r="AA288" s="654"/>
      <c r="AB288" s="654"/>
      <c r="AC288" s="7"/>
      <c r="AD288" s="702"/>
      <c r="AE288" s="7"/>
      <c r="AF288" s="618">
        <f t="shared" si="21"/>
        <v>0</v>
      </c>
      <c r="AG288" s="7"/>
      <c r="AH288" s="7"/>
      <c r="AI288" s="7"/>
      <c r="AJ288" s="7"/>
      <c r="AK288" s="7"/>
      <c r="AL288" s="7"/>
    </row>
    <row r="289" spans="1:38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5"/>
      <c r="I289" s="215"/>
      <c r="J289" s="214"/>
      <c r="K289" s="221"/>
      <c r="L289" s="647"/>
      <c r="M289" s="213"/>
      <c r="N289" s="213"/>
      <c r="O289" s="215"/>
      <c r="P289" s="213"/>
      <c r="Q289" s="213"/>
      <c r="R289" s="213"/>
      <c r="S289" s="213"/>
      <c r="T289" s="213"/>
      <c r="U289" s="213"/>
      <c r="V289" s="213"/>
      <c r="W289" s="213"/>
      <c r="X289" s="643"/>
      <c r="Y289" s="616">
        <f t="shared" si="22"/>
        <v>0</v>
      </c>
      <c r="Z289" s="633"/>
      <c r="AA289" s="654"/>
      <c r="AB289" s="654"/>
      <c r="AC289" s="7"/>
      <c r="AD289" s="699"/>
      <c r="AE289" s="7"/>
      <c r="AF289" s="618">
        <f t="shared" si="21"/>
        <v>0</v>
      </c>
      <c r="AG289" s="7"/>
      <c r="AH289" s="7"/>
      <c r="AI289" s="7"/>
      <c r="AJ289" s="7"/>
      <c r="AK289" s="7"/>
      <c r="AL289" s="7"/>
    </row>
    <row r="290" spans="1:38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5"/>
      <c r="I290" s="215"/>
      <c r="J290" s="214"/>
      <c r="K290" s="221"/>
      <c r="L290" s="647"/>
      <c r="M290" s="213"/>
      <c r="N290" s="213"/>
      <c r="O290" s="215"/>
      <c r="P290" s="213"/>
      <c r="Q290" s="213"/>
      <c r="R290" s="213"/>
      <c r="S290" s="213"/>
      <c r="T290" s="213"/>
      <c r="U290" s="213"/>
      <c r="V290" s="213"/>
      <c r="W290" s="213"/>
      <c r="X290" s="643"/>
      <c r="Y290" s="616">
        <f t="shared" si="22"/>
        <v>0</v>
      </c>
      <c r="Z290" s="633"/>
      <c r="AA290" s="648"/>
      <c r="AB290" s="648"/>
      <c r="AC290" s="7"/>
      <c r="AD290" s="699"/>
      <c r="AE290" s="7"/>
      <c r="AF290" s="618">
        <f t="shared" si="21"/>
        <v>0</v>
      </c>
      <c r="AG290" s="7"/>
      <c r="AH290" s="7"/>
      <c r="AI290" s="7"/>
      <c r="AJ290" s="7"/>
      <c r="AK290" s="7"/>
      <c r="AL290" s="7"/>
    </row>
    <row r="291" spans="1:38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5"/>
      <c r="I291" s="215"/>
      <c r="J291" s="214"/>
      <c r="K291" s="221"/>
      <c r="L291" s="647"/>
      <c r="M291" s="213"/>
      <c r="N291" s="213"/>
      <c r="O291" s="215"/>
      <c r="P291" s="213"/>
      <c r="Q291" s="213"/>
      <c r="R291" s="213"/>
      <c r="S291" s="213"/>
      <c r="T291" s="213"/>
      <c r="U291" s="213"/>
      <c r="V291" s="213"/>
      <c r="W291" s="213"/>
      <c r="X291" s="643"/>
      <c r="Y291" s="616">
        <f t="shared" si="22"/>
        <v>0</v>
      </c>
      <c r="Z291" s="633"/>
      <c r="AA291" s="648"/>
      <c r="AB291" s="648"/>
      <c r="AC291" s="7"/>
      <c r="AD291" s="699"/>
      <c r="AE291" s="7"/>
      <c r="AF291" s="618">
        <f t="shared" si="21"/>
        <v>0</v>
      </c>
      <c r="AG291" s="7"/>
      <c r="AH291" s="7"/>
      <c r="AI291" s="7"/>
      <c r="AJ291" s="7"/>
      <c r="AK291" s="7"/>
      <c r="AL291" s="7"/>
    </row>
    <row r="292" spans="1:38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5"/>
      <c r="I292" s="215"/>
      <c r="J292" s="214"/>
      <c r="K292" s="221"/>
      <c r="L292" s="647"/>
      <c r="M292" s="213"/>
      <c r="N292" s="213"/>
      <c r="O292" s="215"/>
      <c r="P292" s="213"/>
      <c r="Q292" s="213"/>
      <c r="R292" s="213"/>
      <c r="S292" s="213"/>
      <c r="T292" s="213"/>
      <c r="U292" s="213"/>
      <c r="V292" s="213"/>
      <c r="W292" s="213"/>
      <c r="X292" s="643"/>
      <c r="Y292" s="616">
        <f t="shared" si="22"/>
        <v>0</v>
      </c>
      <c r="Z292" s="633"/>
      <c r="AA292" s="648"/>
      <c r="AB292" s="648"/>
      <c r="AC292" s="7"/>
      <c r="AD292" s="699"/>
      <c r="AE292" s="7"/>
      <c r="AF292" s="618">
        <f t="shared" si="21"/>
        <v>0</v>
      </c>
      <c r="AG292" s="7"/>
      <c r="AH292" s="7"/>
      <c r="AI292" s="7"/>
      <c r="AJ292" s="7"/>
      <c r="AK292" s="7"/>
      <c r="AL292" s="7"/>
    </row>
    <row r="293" spans="1:38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5"/>
      <c r="I293" s="215"/>
      <c r="J293" s="214"/>
      <c r="K293" s="221"/>
      <c r="L293" s="647"/>
      <c r="M293" s="213"/>
      <c r="N293" s="213"/>
      <c r="O293" s="215"/>
      <c r="P293" s="213"/>
      <c r="Q293" s="213"/>
      <c r="R293" s="213"/>
      <c r="S293" s="213"/>
      <c r="T293" s="213"/>
      <c r="U293" s="213"/>
      <c r="V293" s="213"/>
      <c r="W293" s="213"/>
      <c r="X293" s="643"/>
      <c r="Y293" s="616">
        <f t="shared" si="22"/>
        <v>0</v>
      </c>
      <c r="Z293" s="633"/>
      <c r="AA293" s="648"/>
      <c r="AB293" s="648"/>
      <c r="AC293" s="7"/>
      <c r="AD293" s="699"/>
      <c r="AE293" s="7"/>
      <c r="AF293" s="618">
        <f t="shared" si="21"/>
        <v>0</v>
      </c>
      <c r="AG293" s="7"/>
      <c r="AH293" s="7"/>
      <c r="AI293" s="7"/>
      <c r="AJ293" s="7"/>
      <c r="AK293" s="7"/>
      <c r="AL293" s="7"/>
    </row>
    <row r="294" spans="1:38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5"/>
      <c r="I294" s="215"/>
      <c r="J294" s="214"/>
      <c r="K294" s="221"/>
      <c r="L294" s="620"/>
      <c r="M294" s="213"/>
      <c r="N294" s="213"/>
      <c r="O294" s="215"/>
      <c r="P294" s="213"/>
      <c r="Q294" s="213"/>
      <c r="R294" s="213"/>
      <c r="S294" s="213"/>
      <c r="T294" s="213"/>
      <c r="U294" s="213"/>
      <c r="V294" s="213"/>
      <c r="W294" s="213"/>
      <c r="X294" s="643"/>
      <c r="Y294" s="616">
        <f t="shared" si="22"/>
        <v>0</v>
      </c>
      <c r="Z294" s="633"/>
      <c r="AA294" s="654"/>
      <c r="AB294" s="654"/>
      <c r="AC294" s="7"/>
      <c r="AD294" s="699"/>
      <c r="AE294" s="7"/>
      <c r="AF294" s="618">
        <f t="shared" si="21"/>
        <v>0</v>
      </c>
      <c r="AG294" s="7"/>
      <c r="AH294" s="7"/>
      <c r="AI294" s="7"/>
      <c r="AJ294" s="7"/>
      <c r="AK294" s="7"/>
      <c r="AL294" s="7"/>
    </row>
    <row r="295" spans="1:38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5"/>
      <c r="I295" s="215"/>
      <c r="J295" s="214"/>
      <c r="K295" s="221"/>
      <c r="L295" s="647"/>
      <c r="M295" s="213"/>
      <c r="N295" s="213"/>
      <c r="O295" s="215"/>
      <c r="P295" s="213"/>
      <c r="Q295" s="213"/>
      <c r="R295" s="213"/>
      <c r="S295" s="213"/>
      <c r="T295" s="213"/>
      <c r="U295" s="213"/>
      <c r="V295" s="213"/>
      <c r="W295" s="213"/>
      <c r="X295" s="643"/>
      <c r="Y295" s="616">
        <f t="shared" si="22"/>
        <v>0</v>
      </c>
      <c r="Z295" s="633"/>
      <c r="AA295" s="648"/>
      <c r="AB295" s="648"/>
      <c r="AC295" s="7"/>
      <c r="AD295" s="699"/>
      <c r="AE295" s="7"/>
      <c r="AF295" s="618">
        <f t="shared" si="21"/>
        <v>0</v>
      </c>
      <c r="AG295" s="7"/>
      <c r="AH295" s="7"/>
      <c r="AI295" s="7"/>
      <c r="AJ295" s="7"/>
      <c r="AK295" s="7"/>
      <c r="AL295" s="7"/>
    </row>
    <row r="296" spans="1:38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5"/>
      <c r="I296" s="215"/>
      <c r="J296" s="214"/>
      <c r="K296" s="221"/>
      <c r="L296" s="647"/>
      <c r="M296" s="213"/>
      <c r="N296" s="213"/>
      <c r="O296" s="215"/>
      <c r="P296" s="213"/>
      <c r="Q296" s="213"/>
      <c r="R296" s="213"/>
      <c r="S296" s="213"/>
      <c r="T296" s="213"/>
      <c r="U296" s="213"/>
      <c r="V296" s="213"/>
      <c r="W296" s="213"/>
      <c r="X296" s="643"/>
      <c r="Y296" s="616">
        <f t="shared" si="22"/>
        <v>0</v>
      </c>
      <c r="Z296" s="633"/>
      <c r="AA296" s="648"/>
      <c r="AB296" s="648"/>
      <c r="AC296" s="7"/>
      <c r="AD296" s="699"/>
      <c r="AE296" s="7"/>
      <c r="AF296" s="618">
        <f t="shared" si="21"/>
        <v>0</v>
      </c>
      <c r="AG296" s="7"/>
      <c r="AH296" s="7"/>
      <c r="AI296" s="7"/>
      <c r="AJ296" s="7"/>
      <c r="AK296" s="7"/>
      <c r="AL296" s="7"/>
    </row>
    <row r="297" spans="1:38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5"/>
      <c r="I297" s="215"/>
      <c r="J297" s="214"/>
      <c r="K297" s="221"/>
      <c r="L297" s="647"/>
      <c r="M297" s="213"/>
      <c r="N297" s="213"/>
      <c r="O297" s="215"/>
      <c r="P297" s="213"/>
      <c r="Q297" s="213"/>
      <c r="R297" s="213"/>
      <c r="S297" s="213"/>
      <c r="T297" s="213"/>
      <c r="U297" s="213"/>
      <c r="V297" s="213"/>
      <c r="W297" s="213"/>
      <c r="X297" s="643"/>
      <c r="Y297" s="616">
        <f t="shared" si="22"/>
        <v>0</v>
      </c>
      <c r="Z297" s="633"/>
      <c r="AA297" s="648"/>
      <c r="AB297" s="648"/>
      <c r="AC297" s="7"/>
      <c r="AD297" s="699"/>
      <c r="AE297" s="7"/>
      <c r="AF297" s="618">
        <f t="shared" si="21"/>
        <v>0</v>
      </c>
      <c r="AG297" s="7"/>
      <c r="AH297" s="7"/>
      <c r="AI297" s="7"/>
      <c r="AJ297" s="7"/>
      <c r="AK297" s="7"/>
      <c r="AL297" s="7"/>
    </row>
    <row r="298" spans="1:38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5"/>
      <c r="I298" s="215"/>
      <c r="J298" s="214"/>
      <c r="K298" s="221"/>
      <c r="L298" s="647"/>
      <c r="M298" s="213"/>
      <c r="N298" s="213"/>
      <c r="O298" s="215"/>
      <c r="P298" s="213"/>
      <c r="Q298" s="213"/>
      <c r="R298" s="213"/>
      <c r="S298" s="213"/>
      <c r="T298" s="213"/>
      <c r="U298" s="213"/>
      <c r="V298" s="213"/>
      <c r="W298" s="213"/>
      <c r="X298" s="643"/>
      <c r="Y298" s="616">
        <f t="shared" si="22"/>
        <v>0</v>
      </c>
      <c r="Z298" s="633"/>
      <c r="AA298" s="648"/>
      <c r="AB298" s="648"/>
      <c r="AC298" s="7"/>
      <c r="AD298" s="699"/>
      <c r="AE298" s="7"/>
      <c r="AF298" s="618">
        <f t="shared" si="21"/>
        <v>0</v>
      </c>
      <c r="AG298" s="7"/>
      <c r="AH298" s="7"/>
      <c r="AI298" s="7"/>
      <c r="AJ298" s="7"/>
      <c r="AK298" s="7"/>
      <c r="AL298" s="7"/>
    </row>
    <row r="299" spans="1:38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5"/>
      <c r="I299" s="215"/>
      <c r="J299" s="214"/>
      <c r="K299" s="221"/>
      <c r="L299" s="620"/>
      <c r="M299" s="213"/>
      <c r="N299" s="213"/>
      <c r="O299" s="215"/>
      <c r="P299" s="213"/>
      <c r="Q299" s="213"/>
      <c r="R299" s="213"/>
      <c r="S299" s="213"/>
      <c r="T299" s="213"/>
      <c r="U299" s="213"/>
      <c r="V299" s="213"/>
      <c r="W299" s="213"/>
      <c r="X299" s="643"/>
      <c r="Y299" s="616">
        <f t="shared" si="22"/>
        <v>0</v>
      </c>
      <c r="Z299" s="633"/>
      <c r="AA299" s="636"/>
      <c r="AB299" s="636"/>
      <c r="AC299" s="7"/>
      <c r="AD299" s="699"/>
      <c r="AE299" s="7"/>
      <c r="AF299" s="618">
        <f t="shared" si="21"/>
        <v>0</v>
      </c>
      <c r="AG299" s="7"/>
      <c r="AH299" s="7"/>
      <c r="AI299" s="7"/>
      <c r="AJ299" s="7"/>
      <c r="AK299" s="7"/>
      <c r="AL299" s="7"/>
    </row>
    <row r="300" spans="1:38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5"/>
      <c r="I300" s="215"/>
      <c r="J300" s="214"/>
      <c r="K300" s="221"/>
      <c r="L300" s="620"/>
      <c r="M300" s="213"/>
      <c r="N300" s="213"/>
      <c r="O300" s="215"/>
      <c r="P300" s="213"/>
      <c r="Q300" s="213"/>
      <c r="R300" s="213"/>
      <c r="S300" s="213"/>
      <c r="T300" s="213"/>
      <c r="U300" s="213"/>
      <c r="V300" s="213"/>
      <c r="W300" s="213"/>
      <c r="X300" s="643"/>
      <c r="Y300" s="616">
        <f t="shared" si="22"/>
        <v>0</v>
      </c>
      <c r="Z300" s="633"/>
      <c r="AA300" s="636"/>
      <c r="AB300" s="636"/>
      <c r="AC300" s="7"/>
      <c r="AD300" s="699"/>
      <c r="AE300" s="7"/>
      <c r="AF300" s="618">
        <f t="shared" si="21"/>
        <v>0</v>
      </c>
      <c r="AG300" s="7"/>
      <c r="AH300" s="7"/>
      <c r="AI300" s="7"/>
      <c r="AJ300" s="7"/>
      <c r="AK300" s="7"/>
      <c r="AL300" s="7"/>
    </row>
    <row r="301" spans="1:38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5"/>
      <c r="I301" s="215"/>
      <c r="J301" s="214"/>
      <c r="K301" s="221"/>
      <c r="L301" s="647"/>
      <c r="M301" s="213"/>
      <c r="N301" s="213"/>
      <c r="O301" s="215"/>
      <c r="P301" s="213"/>
      <c r="Q301" s="213"/>
      <c r="R301" s="213"/>
      <c r="S301" s="213"/>
      <c r="T301" s="213"/>
      <c r="U301" s="213"/>
      <c r="V301" s="213"/>
      <c r="W301" s="213"/>
      <c r="X301" s="643"/>
      <c r="Y301" s="616">
        <f t="shared" si="22"/>
        <v>0</v>
      </c>
      <c r="Z301" s="633"/>
      <c r="AA301" s="648"/>
      <c r="AB301" s="648"/>
      <c r="AC301" s="7"/>
      <c r="AD301" s="699"/>
      <c r="AE301" s="7"/>
      <c r="AF301" s="618">
        <f t="shared" si="21"/>
        <v>0</v>
      </c>
      <c r="AG301" s="7"/>
      <c r="AH301" s="7"/>
      <c r="AI301" s="7"/>
      <c r="AJ301" s="7"/>
      <c r="AK301" s="7"/>
      <c r="AL301" s="7"/>
    </row>
    <row r="302" spans="1:38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5"/>
      <c r="I302" s="215"/>
      <c r="J302" s="214"/>
      <c r="K302" s="221"/>
      <c r="L302" s="647"/>
      <c r="M302" s="213"/>
      <c r="N302" s="213"/>
      <c r="O302" s="215"/>
      <c r="P302" s="213"/>
      <c r="Q302" s="213"/>
      <c r="R302" s="213"/>
      <c r="S302" s="213"/>
      <c r="T302" s="213"/>
      <c r="U302" s="213"/>
      <c r="V302" s="213"/>
      <c r="W302" s="213"/>
      <c r="X302" s="643"/>
      <c r="Y302" s="616">
        <f t="shared" si="22"/>
        <v>0</v>
      </c>
      <c r="Z302" s="633"/>
      <c r="AA302" s="648"/>
      <c r="AB302" s="648"/>
      <c r="AC302" s="7"/>
      <c r="AD302" s="699"/>
      <c r="AE302" s="7"/>
      <c r="AF302" s="618">
        <f t="shared" si="21"/>
        <v>0</v>
      </c>
      <c r="AG302" s="7"/>
      <c r="AH302" s="7"/>
      <c r="AI302" s="7"/>
      <c r="AJ302" s="7"/>
      <c r="AK302" s="7"/>
      <c r="AL302" s="7"/>
    </row>
    <row r="303" spans="1:38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5"/>
      <c r="I303" s="215"/>
      <c r="J303" s="214"/>
      <c r="K303" s="221"/>
      <c r="L303" s="647"/>
      <c r="M303" s="213"/>
      <c r="N303" s="213"/>
      <c r="O303" s="215"/>
      <c r="P303" s="213"/>
      <c r="Q303" s="213"/>
      <c r="R303" s="213"/>
      <c r="S303" s="213"/>
      <c r="T303" s="213"/>
      <c r="U303" s="213"/>
      <c r="V303" s="213"/>
      <c r="W303" s="213"/>
      <c r="X303" s="643"/>
      <c r="Y303" s="616">
        <f t="shared" si="22"/>
        <v>0</v>
      </c>
      <c r="Z303" s="633"/>
      <c r="AA303" s="648"/>
      <c r="AB303" s="648"/>
      <c r="AC303" s="7"/>
      <c r="AD303" s="699"/>
      <c r="AE303" s="7"/>
      <c r="AF303" s="618">
        <f t="shared" si="21"/>
        <v>0</v>
      </c>
      <c r="AG303" s="7"/>
      <c r="AH303" s="7"/>
      <c r="AI303" s="7"/>
      <c r="AJ303" s="7"/>
      <c r="AK303" s="7"/>
      <c r="AL303" s="7"/>
    </row>
    <row r="304" spans="1:38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5"/>
      <c r="I304" s="215"/>
      <c r="J304" s="214"/>
      <c r="K304" s="221"/>
      <c r="L304" s="647"/>
      <c r="M304" s="213"/>
      <c r="N304" s="213"/>
      <c r="O304" s="215"/>
      <c r="P304" s="213"/>
      <c r="Q304" s="213"/>
      <c r="R304" s="213"/>
      <c r="S304" s="213"/>
      <c r="T304" s="213"/>
      <c r="U304" s="213"/>
      <c r="V304" s="213"/>
      <c r="W304" s="213"/>
      <c r="X304" s="643"/>
      <c r="Y304" s="616">
        <f t="shared" si="22"/>
        <v>0</v>
      </c>
      <c r="Z304" s="633"/>
      <c r="AA304" s="648"/>
      <c r="AB304" s="648"/>
      <c r="AC304" s="7"/>
      <c r="AD304" s="699"/>
      <c r="AE304" s="7"/>
      <c r="AF304" s="618">
        <f t="shared" si="21"/>
        <v>0</v>
      </c>
      <c r="AG304" s="7"/>
      <c r="AH304" s="7"/>
      <c r="AI304" s="7"/>
      <c r="AJ304" s="7"/>
      <c r="AK304" s="7"/>
      <c r="AL304" s="7"/>
    </row>
    <row r="305" spans="1:38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5"/>
      <c r="I305" s="215"/>
      <c r="J305" s="214"/>
      <c r="K305" s="221"/>
      <c r="L305" s="620"/>
      <c r="M305" s="213"/>
      <c r="N305" s="213"/>
      <c r="O305" s="215"/>
      <c r="P305" s="213"/>
      <c r="Q305" s="213"/>
      <c r="R305" s="213"/>
      <c r="S305" s="213"/>
      <c r="T305" s="213"/>
      <c r="U305" s="213"/>
      <c r="V305" s="213"/>
      <c r="W305" s="213"/>
      <c r="X305" s="643"/>
      <c r="Y305" s="616">
        <f t="shared" si="22"/>
        <v>0</v>
      </c>
      <c r="Z305" s="633"/>
      <c r="AA305" s="636"/>
      <c r="AB305" s="636"/>
      <c r="AC305" s="7"/>
      <c r="AD305" s="699"/>
      <c r="AE305" s="7"/>
      <c r="AF305" s="618">
        <f t="shared" si="21"/>
        <v>0</v>
      </c>
      <c r="AG305" s="7"/>
      <c r="AH305" s="7"/>
      <c r="AI305" s="7"/>
      <c r="AJ305" s="7"/>
      <c r="AK305" s="7"/>
      <c r="AL305" s="7"/>
    </row>
    <row r="306" spans="1:38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5"/>
      <c r="I306" s="215"/>
      <c r="J306" s="214"/>
      <c r="K306" s="221"/>
      <c r="L306" s="647"/>
      <c r="M306" s="213"/>
      <c r="N306" s="213"/>
      <c r="O306" s="215"/>
      <c r="P306" s="213"/>
      <c r="Q306" s="213"/>
      <c r="R306" s="213"/>
      <c r="S306" s="213"/>
      <c r="T306" s="213"/>
      <c r="U306" s="213"/>
      <c r="V306" s="213"/>
      <c r="W306" s="213"/>
      <c r="X306" s="643"/>
      <c r="Y306" s="616">
        <f t="shared" si="22"/>
        <v>0</v>
      </c>
      <c r="Z306" s="633"/>
      <c r="AA306" s="648"/>
      <c r="AB306" s="648"/>
      <c r="AC306" s="7"/>
      <c r="AD306" s="699"/>
      <c r="AE306" s="7"/>
      <c r="AF306" s="618">
        <f t="shared" si="21"/>
        <v>0</v>
      </c>
      <c r="AG306" s="7"/>
      <c r="AH306" s="7"/>
      <c r="AI306" s="7"/>
      <c r="AJ306" s="7"/>
      <c r="AK306" s="7"/>
      <c r="AL306" s="7"/>
    </row>
    <row r="307" spans="1:38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5"/>
      <c r="I307" s="215"/>
      <c r="J307" s="214"/>
      <c r="K307" s="221"/>
      <c r="L307" s="647"/>
      <c r="M307" s="213"/>
      <c r="N307" s="213"/>
      <c r="O307" s="215"/>
      <c r="P307" s="213"/>
      <c r="Q307" s="213"/>
      <c r="R307" s="213"/>
      <c r="S307" s="213"/>
      <c r="T307" s="213"/>
      <c r="U307" s="213"/>
      <c r="V307" s="213"/>
      <c r="W307" s="213"/>
      <c r="X307" s="643"/>
      <c r="Y307" s="616">
        <f t="shared" si="22"/>
        <v>0</v>
      </c>
      <c r="Z307" s="633"/>
      <c r="AA307" s="648"/>
      <c r="AB307" s="648"/>
      <c r="AC307" s="7"/>
      <c r="AD307" s="699"/>
      <c r="AE307" s="7"/>
      <c r="AF307" s="618">
        <f t="shared" si="21"/>
        <v>0</v>
      </c>
      <c r="AG307" s="7"/>
      <c r="AH307" s="7"/>
      <c r="AI307" s="7"/>
      <c r="AJ307" s="7"/>
      <c r="AK307" s="7"/>
      <c r="AL307" s="7"/>
    </row>
    <row r="308" spans="1:38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5"/>
      <c r="I308" s="215"/>
      <c r="J308" s="214"/>
      <c r="K308" s="221"/>
      <c r="L308" s="647"/>
      <c r="M308" s="213"/>
      <c r="N308" s="213"/>
      <c r="O308" s="215"/>
      <c r="P308" s="213"/>
      <c r="Q308" s="213"/>
      <c r="R308" s="213"/>
      <c r="S308" s="213"/>
      <c r="T308" s="213"/>
      <c r="U308" s="213"/>
      <c r="V308" s="213"/>
      <c r="W308" s="213"/>
      <c r="X308" s="643"/>
      <c r="Y308" s="616">
        <f t="shared" si="22"/>
        <v>0</v>
      </c>
      <c r="Z308" s="633"/>
      <c r="AA308" s="648"/>
      <c r="AB308" s="648"/>
      <c r="AC308" s="7"/>
      <c r="AD308" s="699"/>
      <c r="AE308" s="7"/>
      <c r="AF308" s="618">
        <f t="shared" si="21"/>
        <v>0</v>
      </c>
      <c r="AG308" s="7"/>
      <c r="AH308" s="7"/>
      <c r="AI308" s="7"/>
      <c r="AJ308" s="7"/>
      <c r="AK308" s="7"/>
      <c r="AL308" s="7"/>
    </row>
    <row r="309" spans="1:38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5"/>
      <c r="I309" s="215"/>
      <c r="J309" s="214"/>
      <c r="K309" s="221"/>
      <c r="L309" s="647"/>
      <c r="M309" s="213"/>
      <c r="N309" s="213"/>
      <c r="O309" s="215"/>
      <c r="P309" s="213"/>
      <c r="Q309" s="213"/>
      <c r="R309" s="213"/>
      <c r="S309" s="213"/>
      <c r="T309" s="213"/>
      <c r="U309" s="213"/>
      <c r="V309" s="213"/>
      <c r="W309" s="213"/>
      <c r="X309" s="643"/>
      <c r="Y309" s="616">
        <f t="shared" si="22"/>
        <v>0</v>
      </c>
      <c r="Z309" s="633"/>
      <c r="AA309" s="648"/>
      <c r="AB309" s="648"/>
      <c r="AC309" s="7"/>
      <c r="AD309" s="699"/>
      <c r="AE309" s="7"/>
      <c r="AF309" s="618">
        <f t="shared" si="21"/>
        <v>0</v>
      </c>
      <c r="AG309" s="7"/>
      <c r="AH309" s="7"/>
      <c r="AI309" s="7"/>
      <c r="AJ309" s="7"/>
      <c r="AK309" s="7"/>
      <c r="AL309" s="7"/>
    </row>
    <row r="310" spans="1:38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5"/>
      <c r="I310" s="215"/>
      <c r="J310" s="214"/>
      <c r="K310" s="221"/>
      <c r="L310" s="620"/>
      <c r="M310" s="213"/>
      <c r="N310" s="213"/>
      <c r="O310" s="215"/>
      <c r="P310" s="213"/>
      <c r="Q310" s="213"/>
      <c r="R310" s="213"/>
      <c r="S310" s="213"/>
      <c r="T310" s="213"/>
      <c r="U310" s="213"/>
      <c r="V310" s="213"/>
      <c r="W310" s="213"/>
      <c r="X310" s="643"/>
      <c r="Y310" s="616">
        <f t="shared" si="22"/>
        <v>0</v>
      </c>
      <c r="Z310" s="633"/>
      <c r="AA310" s="636"/>
      <c r="AB310" s="636"/>
      <c r="AC310" s="7"/>
      <c r="AD310" s="699"/>
      <c r="AE310" s="7"/>
      <c r="AF310" s="618">
        <f t="shared" si="21"/>
        <v>0</v>
      </c>
      <c r="AG310" s="7"/>
      <c r="AH310" s="7"/>
      <c r="AI310" s="7"/>
      <c r="AJ310" s="7"/>
      <c r="AK310" s="7"/>
      <c r="AL310" s="7"/>
    </row>
    <row r="311" spans="1:38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5"/>
      <c r="I311" s="215"/>
      <c r="J311" s="214"/>
      <c r="K311" s="221"/>
      <c r="L311" s="647"/>
      <c r="M311" s="213"/>
      <c r="N311" s="213"/>
      <c r="O311" s="215"/>
      <c r="P311" s="213"/>
      <c r="Q311" s="213"/>
      <c r="R311" s="213"/>
      <c r="S311" s="213"/>
      <c r="T311" s="213"/>
      <c r="U311" s="213"/>
      <c r="V311" s="213"/>
      <c r="W311" s="213"/>
      <c r="X311" s="643"/>
      <c r="Y311" s="616">
        <f t="shared" si="22"/>
        <v>0</v>
      </c>
      <c r="Z311" s="633"/>
      <c r="AA311" s="648"/>
      <c r="AB311" s="648"/>
      <c r="AC311" s="7"/>
      <c r="AD311" s="699"/>
      <c r="AE311" s="7"/>
      <c r="AF311" s="618">
        <f t="shared" si="21"/>
        <v>0</v>
      </c>
      <c r="AG311" s="7"/>
      <c r="AH311" s="7"/>
      <c r="AI311" s="7"/>
      <c r="AJ311" s="7"/>
      <c r="AK311" s="7"/>
      <c r="AL311" s="7"/>
    </row>
    <row r="312" spans="1:38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5"/>
      <c r="I312" s="215"/>
      <c r="J312" s="214"/>
      <c r="K312" s="221"/>
      <c r="L312" s="647"/>
      <c r="M312" s="213"/>
      <c r="N312" s="213"/>
      <c r="O312" s="215"/>
      <c r="P312" s="213"/>
      <c r="Q312" s="213"/>
      <c r="R312" s="213"/>
      <c r="S312" s="213"/>
      <c r="T312" s="213"/>
      <c r="U312" s="213"/>
      <c r="V312" s="213"/>
      <c r="W312" s="213"/>
      <c r="X312" s="643"/>
      <c r="Y312" s="616">
        <f t="shared" si="22"/>
        <v>0</v>
      </c>
      <c r="Z312" s="633"/>
      <c r="AA312" s="648"/>
      <c r="AB312" s="648"/>
      <c r="AC312" s="7"/>
      <c r="AD312" s="699"/>
      <c r="AE312" s="7"/>
      <c r="AF312" s="618">
        <f t="shared" si="21"/>
        <v>0</v>
      </c>
      <c r="AG312" s="7"/>
      <c r="AH312" s="7"/>
      <c r="AI312" s="7"/>
      <c r="AJ312" s="7"/>
      <c r="AK312" s="7"/>
      <c r="AL312" s="7"/>
    </row>
    <row r="313" spans="1:38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5"/>
      <c r="I313" s="215"/>
      <c r="J313" s="214"/>
      <c r="K313" s="221"/>
      <c r="L313" s="647"/>
      <c r="M313" s="213"/>
      <c r="N313" s="213"/>
      <c r="O313" s="215"/>
      <c r="P313" s="213"/>
      <c r="Q313" s="213"/>
      <c r="R313" s="213"/>
      <c r="S313" s="213"/>
      <c r="T313" s="213"/>
      <c r="U313" s="213"/>
      <c r="V313" s="213"/>
      <c r="W313" s="213"/>
      <c r="X313" s="643"/>
      <c r="Y313" s="616">
        <f t="shared" si="22"/>
        <v>0</v>
      </c>
      <c r="Z313" s="633"/>
      <c r="AA313" s="648"/>
      <c r="AB313" s="648"/>
      <c r="AC313" s="7"/>
      <c r="AD313" s="699"/>
      <c r="AE313" s="7"/>
      <c r="AF313" s="618">
        <f t="shared" si="21"/>
        <v>0</v>
      </c>
      <c r="AG313" s="7"/>
      <c r="AH313" s="7"/>
      <c r="AI313" s="7"/>
      <c r="AJ313" s="7"/>
      <c r="AK313" s="7"/>
      <c r="AL313" s="7"/>
    </row>
    <row r="314" spans="1:38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5"/>
      <c r="I314" s="215"/>
      <c r="J314" s="214"/>
      <c r="K314" s="221"/>
      <c r="L314" s="647"/>
      <c r="M314" s="213"/>
      <c r="N314" s="213"/>
      <c r="O314" s="215"/>
      <c r="P314" s="213"/>
      <c r="Q314" s="213"/>
      <c r="R314" s="213"/>
      <c r="S314" s="213"/>
      <c r="T314" s="213"/>
      <c r="U314" s="213"/>
      <c r="V314" s="213"/>
      <c r="W314" s="213"/>
      <c r="X314" s="643"/>
      <c r="Y314" s="616">
        <f t="shared" si="22"/>
        <v>0</v>
      </c>
      <c r="Z314" s="633"/>
      <c r="AA314" s="648"/>
      <c r="AB314" s="648"/>
      <c r="AC314" s="7"/>
      <c r="AD314" s="699"/>
      <c r="AE314" s="7"/>
      <c r="AF314" s="618">
        <f t="shared" si="21"/>
        <v>0</v>
      </c>
      <c r="AG314" s="7"/>
      <c r="AH314" s="7"/>
      <c r="AI314" s="7"/>
      <c r="AJ314" s="7"/>
      <c r="AK314" s="7"/>
      <c r="AL314" s="7"/>
    </row>
    <row r="315" spans="1:38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5"/>
      <c r="I315" s="215"/>
      <c r="J315" s="214"/>
      <c r="K315" s="221"/>
      <c r="L315" s="647"/>
      <c r="M315" s="213"/>
      <c r="N315" s="213"/>
      <c r="O315" s="215"/>
      <c r="P315" s="213"/>
      <c r="Q315" s="213"/>
      <c r="R315" s="213"/>
      <c r="S315" s="213"/>
      <c r="T315" s="213"/>
      <c r="U315" s="213"/>
      <c r="V315" s="213"/>
      <c r="W315" s="213"/>
      <c r="X315" s="643"/>
      <c r="Y315" s="616">
        <f t="shared" si="22"/>
        <v>0</v>
      </c>
      <c r="Z315" s="633"/>
      <c r="AA315" s="636"/>
      <c r="AB315" s="636"/>
      <c r="AC315" s="7"/>
      <c r="AD315" s="699"/>
      <c r="AE315" s="7"/>
      <c r="AF315" s="618">
        <f t="shared" si="21"/>
        <v>0</v>
      </c>
      <c r="AG315" s="7"/>
      <c r="AH315" s="7"/>
      <c r="AI315" s="7"/>
      <c r="AJ315" s="7"/>
      <c r="AK315" s="7"/>
      <c r="AL315" s="7"/>
    </row>
    <row r="316" spans="1:38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5"/>
      <c r="I316" s="215"/>
      <c r="J316" s="214"/>
      <c r="K316" s="221"/>
      <c r="L316" s="647"/>
      <c r="M316" s="213"/>
      <c r="N316" s="213"/>
      <c r="O316" s="215"/>
      <c r="P316" s="213"/>
      <c r="Q316" s="213"/>
      <c r="R316" s="213"/>
      <c r="S316" s="213"/>
      <c r="T316" s="213"/>
      <c r="U316" s="213"/>
      <c r="V316" s="213"/>
      <c r="W316" s="213"/>
      <c r="X316" s="643"/>
      <c r="Y316" s="616">
        <f t="shared" si="22"/>
        <v>0</v>
      </c>
      <c r="Z316" s="633"/>
      <c r="AA316" s="648"/>
      <c r="AB316" s="648"/>
      <c r="AC316" s="7"/>
      <c r="AD316" s="699"/>
      <c r="AE316" s="7"/>
      <c r="AF316" s="618">
        <f t="shared" si="21"/>
        <v>0</v>
      </c>
      <c r="AG316" s="7"/>
      <c r="AH316" s="7"/>
      <c r="AI316" s="7"/>
      <c r="AJ316" s="7"/>
      <c r="AK316" s="7"/>
      <c r="AL316" s="7"/>
    </row>
    <row r="317" spans="1:38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5"/>
      <c r="I317" s="215"/>
      <c r="J317" s="214"/>
      <c r="K317" s="221"/>
      <c r="L317" s="647"/>
      <c r="M317" s="213"/>
      <c r="N317" s="213"/>
      <c r="O317" s="215"/>
      <c r="P317" s="213"/>
      <c r="Q317" s="213"/>
      <c r="R317" s="213"/>
      <c r="S317" s="213"/>
      <c r="T317" s="213"/>
      <c r="U317" s="213"/>
      <c r="V317" s="213"/>
      <c r="W317" s="213"/>
      <c r="X317" s="643"/>
      <c r="Y317" s="616">
        <f t="shared" si="22"/>
        <v>0</v>
      </c>
      <c r="Z317" s="633"/>
      <c r="AA317" s="648"/>
      <c r="AB317" s="648"/>
      <c r="AC317" s="7"/>
      <c r="AD317" s="699"/>
      <c r="AE317" s="7"/>
      <c r="AF317" s="618">
        <f t="shared" si="21"/>
        <v>0</v>
      </c>
      <c r="AG317" s="7"/>
      <c r="AH317" s="7"/>
      <c r="AI317" s="7"/>
      <c r="AJ317" s="7"/>
      <c r="AK317" s="7"/>
      <c r="AL317" s="7"/>
    </row>
    <row r="318" spans="1:38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5"/>
      <c r="I318" s="215"/>
      <c r="J318" s="214"/>
      <c r="K318" s="221"/>
      <c r="L318" s="647"/>
      <c r="M318" s="213"/>
      <c r="N318" s="213"/>
      <c r="O318" s="215"/>
      <c r="P318" s="213"/>
      <c r="Q318" s="213"/>
      <c r="R318" s="213"/>
      <c r="S318" s="213"/>
      <c r="T318" s="213"/>
      <c r="U318" s="213"/>
      <c r="V318" s="213"/>
      <c r="W318" s="213"/>
      <c r="X318" s="643"/>
      <c r="Y318" s="616">
        <f t="shared" si="22"/>
        <v>0</v>
      </c>
      <c r="Z318" s="633"/>
      <c r="AA318" s="648"/>
      <c r="AB318" s="648"/>
      <c r="AC318" s="7"/>
      <c r="AD318" s="699"/>
      <c r="AE318" s="7"/>
      <c r="AF318" s="618">
        <f t="shared" si="21"/>
        <v>0</v>
      </c>
      <c r="AG318" s="7"/>
      <c r="AH318" s="7"/>
      <c r="AI318" s="7"/>
      <c r="AJ318" s="7"/>
      <c r="AK318" s="7"/>
      <c r="AL318" s="7"/>
    </row>
    <row r="319" spans="1:38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5"/>
      <c r="I319" s="215"/>
      <c r="J319" s="214"/>
      <c r="K319" s="221"/>
      <c r="L319" s="647"/>
      <c r="M319" s="213"/>
      <c r="N319" s="213"/>
      <c r="O319" s="215"/>
      <c r="P319" s="213"/>
      <c r="Q319" s="213"/>
      <c r="R319" s="213"/>
      <c r="S319" s="213"/>
      <c r="T319" s="213"/>
      <c r="U319" s="213"/>
      <c r="V319" s="213"/>
      <c r="W319" s="213"/>
      <c r="X319" s="643"/>
      <c r="Y319" s="616">
        <f t="shared" si="22"/>
        <v>0</v>
      </c>
      <c r="Z319" s="633"/>
      <c r="AA319" s="648"/>
      <c r="AB319" s="648"/>
      <c r="AC319" s="7"/>
      <c r="AD319" s="699"/>
      <c r="AE319" s="7"/>
      <c r="AF319" s="618">
        <f t="shared" si="21"/>
        <v>0</v>
      </c>
      <c r="AG319" s="7"/>
      <c r="AH319" s="7"/>
      <c r="AI319" s="7"/>
      <c r="AJ319" s="7"/>
      <c r="AK319" s="7"/>
      <c r="AL319" s="7"/>
    </row>
    <row r="320" spans="1:38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5"/>
      <c r="I320" s="215"/>
      <c r="J320" s="214"/>
      <c r="K320" s="221"/>
      <c r="L320" s="620"/>
      <c r="M320" s="213"/>
      <c r="N320" s="213"/>
      <c r="O320" s="215"/>
      <c r="P320" s="213"/>
      <c r="Q320" s="213"/>
      <c r="R320" s="213"/>
      <c r="S320" s="213"/>
      <c r="T320" s="213"/>
      <c r="U320" s="213"/>
      <c r="V320" s="213"/>
      <c r="W320" s="213"/>
      <c r="X320" s="643"/>
      <c r="Y320" s="616">
        <f t="shared" si="22"/>
        <v>0</v>
      </c>
      <c r="Z320" s="633"/>
      <c r="AA320" s="636"/>
      <c r="AB320" s="636"/>
      <c r="AC320" s="7"/>
      <c r="AD320" s="699"/>
      <c r="AE320" s="7"/>
      <c r="AF320" s="618">
        <f t="shared" si="21"/>
        <v>0</v>
      </c>
      <c r="AG320" s="7"/>
      <c r="AH320" s="7"/>
      <c r="AI320" s="7"/>
      <c r="AJ320" s="7"/>
      <c r="AK320" s="7"/>
      <c r="AL320" s="7"/>
    </row>
    <row r="321" spans="1:38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5"/>
      <c r="I321" s="215"/>
      <c r="J321" s="214"/>
      <c r="K321" s="221"/>
      <c r="L321" s="647"/>
      <c r="M321" s="213"/>
      <c r="N321" s="213"/>
      <c r="O321" s="215"/>
      <c r="P321" s="213"/>
      <c r="Q321" s="213"/>
      <c r="R321" s="213"/>
      <c r="S321" s="213"/>
      <c r="T321" s="213"/>
      <c r="U321" s="213"/>
      <c r="V321" s="213"/>
      <c r="W321" s="213"/>
      <c r="X321" s="643"/>
      <c r="Y321" s="616">
        <f t="shared" si="22"/>
        <v>0</v>
      </c>
      <c r="Z321" s="633"/>
      <c r="AA321" s="636"/>
      <c r="AB321" s="636"/>
      <c r="AC321" s="7"/>
      <c r="AD321" s="699"/>
      <c r="AE321" s="7"/>
      <c r="AF321" s="618">
        <f t="shared" si="21"/>
        <v>0</v>
      </c>
      <c r="AG321" s="7"/>
      <c r="AH321" s="7"/>
      <c r="AI321" s="7"/>
      <c r="AJ321" s="7"/>
      <c r="AK321" s="7"/>
      <c r="AL321" s="7"/>
    </row>
    <row r="322" spans="1:38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5"/>
      <c r="I322" s="215"/>
      <c r="J322" s="214"/>
      <c r="K322" s="221"/>
      <c r="L322" s="647"/>
      <c r="M322" s="213"/>
      <c r="N322" s="213"/>
      <c r="O322" s="215"/>
      <c r="P322" s="213"/>
      <c r="Q322" s="213"/>
      <c r="R322" s="213"/>
      <c r="S322" s="213"/>
      <c r="T322" s="213"/>
      <c r="U322" s="213"/>
      <c r="V322" s="213"/>
      <c r="W322" s="213"/>
      <c r="X322" s="643"/>
      <c r="Y322" s="616">
        <f t="shared" si="22"/>
        <v>0</v>
      </c>
      <c r="Z322" s="633"/>
      <c r="AA322" s="636"/>
      <c r="AB322" s="636"/>
      <c r="AC322" s="7"/>
      <c r="AD322" s="699"/>
      <c r="AE322" s="7"/>
      <c r="AF322" s="618">
        <f t="shared" si="21"/>
        <v>0</v>
      </c>
      <c r="AG322" s="7"/>
      <c r="AH322" s="7"/>
      <c r="AI322" s="7"/>
      <c r="AJ322" s="7"/>
      <c r="AK322" s="7"/>
      <c r="AL322" s="7"/>
    </row>
    <row r="323" spans="1:38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5"/>
      <c r="I323" s="215"/>
      <c r="J323" s="214"/>
      <c r="K323" s="221"/>
      <c r="L323" s="647"/>
      <c r="M323" s="213"/>
      <c r="N323" s="213"/>
      <c r="O323" s="215"/>
      <c r="P323" s="213"/>
      <c r="Q323" s="213"/>
      <c r="R323" s="213"/>
      <c r="S323" s="213"/>
      <c r="T323" s="213"/>
      <c r="U323" s="213"/>
      <c r="V323" s="213"/>
      <c r="W323" s="213"/>
      <c r="X323" s="643"/>
      <c r="Y323" s="616">
        <f t="shared" si="22"/>
        <v>0</v>
      </c>
      <c r="Z323" s="633"/>
      <c r="AA323" s="636"/>
      <c r="AB323" s="636"/>
      <c r="AC323" s="7"/>
      <c r="AD323" s="699"/>
      <c r="AE323" s="7"/>
      <c r="AF323" s="618">
        <f t="shared" si="21"/>
        <v>0</v>
      </c>
      <c r="AG323" s="7"/>
      <c r="AH323" s="7"/>
      <c r="AI323" s="7"/>
      <c r="AJ323" s="7"/>
      <c r="AK323" s="7"/>
      <c r="AL323" s="7"/>
    </row>
    <row r="324" spans="1:38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5"/>
      <c r="I324" s="215"/>
      <c r="J324" s="214"/>
      <c r="K324" s="221"/>
      <c r="L324" s="647"/>
      <c r="M324" s="213"/>
      <c r="N324" s="213"/>
      <c r="O324" s="215"/>
      <c r="P324" s="213"/>
      <c r="Q324" s="213"/>
      <c r="R324" s="213"/>
      <c r="S324" s="213"/>
      <c r="T324" s="213"/>
      <c r="U324" s="213"/>
      <c r="V324" s="213"/>
      <c r="W324" s="213"/>
      <c r="X324" s="643"/>
      <c r="Y324" s="616">
        <f t="shared" si="22"/>
        <v>0</v>
      </c>
      <c r="Z324" s="633"/>
      <c r="AA324" s="636"/>
      <c r="AB324" s="636"/>
      <c r="AC324" s="7"/>
      <c r="AD324" s="699"/>
      <c r="AE324" s="7"/>
      <c r="AF324" s="618">
        <f t="shared" si="21"/>
        <v>0</v>
      </c>
      <c r="AG324" s="7"/>
      <c r="AH324" s="7"/>
      <c r="AI324" s="7"/>
      <c r="AJ324" s="7"/>
      <c r="AK324" s="7"/>
      <c r="AL324" s="7"/>
    </row>
    <row r="325" spans="1:38" ht="33.75" customHeight="1">
      <c r="A325" s="486"/>
      <c r="B325" s="487" t="s">
        <v>703</v>
      </c>
      <c r="C325" s="656" t="s">
        <v>704</v>
      </c>
      <c r="D325" s="519" t="s">
        <v>1861</v>
      </c>
      <c r="E325" s="213">
        <v>3</v>
      </c>
      <c r="F325" s="213"/>
      <c r="G325" s="213"/>
      <c r="H325" s="215"/>
      <c r="I325" s="215"/>
      <c r="J325" s="214"/>
      <c r="K325" s="221"/>
      <c r="L325" s="193"/>
      <c r="M325" s="213"/>
      <c r="N325" s="213"/>
      <c r="O325" s="215"/>
      <c r="P325" s="213"/>
      <c r="Q325" s="213"/>
      <c r="R325" s="213"/>
      <c r="S325" s="213"/>
      <c r="T325" s="213"/>
      <c r="U325" s="213"/>
      <c r="V325" s="213"/>
      <c r="W325" s="213"/>
      <c r="X325" s="643"/>
      <c r="Y325" s="616">
        <f t="shared" si="22"/>
        <v>3</v>
      </c>
      <c r="Z325" s="633"/>
      <c r="AA325" s="636"/>
      <c r="AB325" s="636"/>
      <c r="AC325" s="7"/>
      <c r="AD325" s="699"/>
      <c r="AE325" s="7"/>
      <c r="AF325" s="618">
        <f t="shared" si="21"/>
        <v>-3</v>
      </c>
      <c r="AG325" s="7"/>
      <c r="AH325" s="7"/>
      <c r="AI325" s="7"/>
      <c r="AJ325" s="7"/>
      <c r="AK325" s="7"/>
      <c r="AL325" s="7"/>
    </row>
    <row r="326" spans="1:38" ht="25.5" customHeight="1">
      <c r="A326" s="503"/>
      <c r="B326" s="483" t="s">
        <v>707</v>
      </c>
      <c r="C326" s="629" t="s">
        <v>131</v>
      </c>
      <c r="D326" s="354" t="s">
        <v>1862</v>
      </c>
      <c r="E326" s="213"/>
      <c r="F326" s="213"/>
      <c r="G326" s="213"/>
      <c r="H326" s="215"/>
      <c r="I326" s="215"/>
      <c r="J326" s="214"/>
      <c r="K326" s="221"/>
      <c r="L326" s="193"/>
      <c r="M326" s="213"/>
      <c r="N326" s="213"/>
      <c r="O326" s="215"/>
      <c r="P326" s="213"/>
      <c r="Q326" s="213"/>
      <c r="R326" s="213"/>
      <c r="S326" s="213"/>
      <c r="T326" s="213"/>
      <c r="U326" s="213"/>
      <c r="V326" s="213"/>
      <c r="W326" s="213"/>
      <c r="X326" s="643"/>
      <c r="Y326" s="616">
        <f t="shared" si="22"/>
        <v>0</v>
      </c>
      <c r="Z326" s="633"/>
      <c r="AA326" s="634"/>
      <c r="AB326" s="634"/>
      <c r="AC326" s="7"/>
      <c r="AD326" s="699"/>
      <c r="AE326" s="7"/>
      <c r="AF326" s="618">
        <f t="shared" si="21"/>
        <v>0</v>
      </c>
      <c r="AG326" s="7"/>
      <c r="AH326" s="7"/>
      <c r="AI326" s="7"/>
      <c r="AJ326" s="7"/>
      <c r="AK326" s="7"/>
      <c r="AL326" s="7"/>
    </row>
    <row r="327" spans="1:38" ht="21" customHeight="1">
      <c r="A327" s="503"/>
      <c r="B327" s="483" t="s">
        <v>709</v>
      </c>
      <c r="C327" s="629" t="s">
        <v>200</v>
      </c>
      <c r="D327" s="354" t="s">
        <v>1863</v>
      </c>
      <c r="E327" s="213"/>
      <c r="F327" s="213"/>
      <c r="G327" s="213"/>
      <c r="H327" s="215"/>
      <c r="I327" s="215"/>
      <c r="J327" s="214"/>
      <c r="K327" s="221"/>
      <c r="L327" s="193"/>
      <c r="M327" s="213"/>
      <c r="N327" s="213"/>
      <c r="O327" s="215"/>
      <c r="P327" s="213"/>
      <c r="Q327" s="213"/>
      <c r="R327" s="213"/>
      <c r="S327" s="213"/>
      <c r="T327" s="213"/>
      <c r="U327" s="213"/>
      <c r="V327" s="213"/>
      <c r="W327" s="213"/>
      <c r="X327" s="643"/>
      <c r="Y327" s="616">
        <f t="shared" si="22"/>
        <v>0</v>
      </c>
      <c r="Z327" s="633"/>
      <c r="AA327" s="636"/>
      <c r="AB327" s="636"/>
      <c r="AC327" s="7"/>
      <c r="AD327" s="699"/>
      <c r="AE327" s="7"/>
      <c r="AF327" s="618">
        <f t="shared" si="21"/>
        <v>0</v>
      </c>
      <c r="AG327" s="7"/>
      <c r="AH327" s="7"/>
      <c r="AI327" s="7"/>
      <c r="AJ327" s="7"/>
      <c r="AK327" s="7"/>
      <c r="AL327" s="7"/>
    </row>
    <row r="328" spans="1:38" ht="21" customHeight="1">
      <c r="A328" s="503"/>
      <c r="B328" s="483" t="s">
        <v>711</v>
      </c>
      <c r="C328" s="629" t="s">
        <v>203</v>
      </c>
      <c r="D328" s="354" t="s">
        <v>1864</v>
      </c>
      <c r="E328" s="213"/>
      <c r="F328" s="213"/>
      <c r="G328" s="213"/>
      <c r="H328" s="215"/>
      <c r="I328" s="215"/>
      <c r="J328" s="214"/>
      <c r="K328" s="221"/>
      <c r="L328" s="193"/>
      <c r="M328" s="213"/>
      <c r="N328" s="213"/>
      <c r="O328" s="215"/>
      <c r="P328" s="213"/>
      <c r="Q328" s="213"/>
      <c r="R328" s="213"/>
      <c r="S328" s="213"/>
      <c r="T328" s="213"/>
      <c r="U328" s="213"/>
      <c r="V328" s="213"/>
      <c r="W328" s="213"/>
      <c r="X328" s="643"/>
      <c r="Y328" s="616">
        <f t="shared" si="22"/>
        <v>0</v>
      </c>
      <c r="Z328" s="633"/>
      <c r="AA328" s="636"/>
      <c r="AB328" s="636"/>
      <c r="AC328" s="7"/>
      <c r="AD328" s="699"/>
      <c r="AE328" s="7"/>
      <c r="AF328" s="618">
        <f t="shared" si="21"/>
        <v>0</v>
      </c>
      <c r="AG328" s="7"/>
      <c r="AH328" s="7"/>
      <c r="AI328" s="7"/>
      <c r="AJ328" s="7"/>
      <c r="AK328" s="7"/>
      <c r="AL328" s="7"/>
    </row>
    <row r="329" spans="1:38" ht="21" customHeight="1">
      <c r="A329" s="503"/>
      <c r="B329" s="483" t="s">
        <v>713</v>
      </c>
      <c r="C329" s="629" t="s">
        <v>159</v>
      </c>
      <c r="D329" s="354" t="s">
        <v>1865</v>
      </c>
      <c r="E329" s="213"/>
      <c r="F329" s="213"/>
      <c r="G329" s="213"/>
      <c r="H329" s="215"/>
      <c r="I329" s="215"/>
      <c r="J329" s="214"/>
      <c r="K329" s="221"/>
      <c r="L329" s="193"/>
      <c r="M329" s="213"/>
      <c r="N329" s="213"/>
      <c r="O329" s="215"/>
      <c r="P329" s="213"/>
      <c r="Q329" s="213"/>
      <c r="R329" s="213"/>
      <c r="S329" s="213"/>
      <c r="T329" s="213"/>
      <c r="U329" s="213"/>
      <c r="V329" s="213"/>
      <c r="W329" s="213"/>
      <c r="X329" s="643"/>
      <c r="Y329" s="616">
        <f t="shared" si="22"/>
        <v>0</v>
      </c>
      <c r="Z329" s="633"/>
      <c r="AA329" s="636"/>
      <c r="AB329" s="636"/>
      <c r="AC329" s="7"/>
      <c r="AD329" s="699"/>
      <c r="AE329" s="7"/>
      <c r="AF329" s="618">
        <f t="shared" si="21"/>
        <v>0</v>
      </c>
      <c r="AG329" s="7"/>
      <c r="AH329" s="7"/>
      <c r="AI329" s="7"/>
      <c r="AJ329" s="7"/>
      <c r="AK329" s="7"/>
      <c r="AL329" s="7"/>
    </row>
    <row r="330" spans="1:38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5"/>
      <c r="I330" s="215"/>
      <c r="J330" s="214"/>
      <c r="K330" s="221"/>
      <c r="L330" s="620"/>
      <c r="M330" s="213"/>
      <c r="N330" s="213"/>
      <c r="O330" s="215"/>
      <c r="P330" s="213"/>
      <c r="Q330" s="213"/>
      <c r="R330" s="213"/>
      <c r="S330" s="213"/>
      <c r="T330" s="213"/>
      <c r="U330" s="213"/>
      <c r="V330" s="213"/>
      <c r="W330" s="213"/>
      <c r="X330" s="643"/>
      <c r="Y330" s="616">
        <f t="shared" si="22"/>
        <v>0</v>
      </c>
      <c r="Z330" s="633"/>
      <c r="AA330" s="636"/>
      <c r="AB330" s="636"/>
      <c r="AC330" s="7"/>
      <c r="AD330" s="699"/>
      <c r="AE330" s="7"/>
      <c r="AF330" s="618">
        <f t="shared" si="21"/>
        <v>0</v>
      </c>
      <c r="AG330" s="7"/>
      <c r="AH330" s="7"/>
      <c r="AI330" s="7"/>
      <c r="AJ330" s="7"/>
      <c r="AK330" s="7"/>
      <c r="AL330" s="7"/>
    </row>
    <row r="331" spans="1:38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5"/>
      <c r="I331" s="215"/>
      <c r="J331" s="214"/>
      <c r="K331" s="221"/>
      <c r="L331" s="647"/>
      <c r="M331" s="213"/>
      <c r="N331" s="213"/>
      <c r="O331" s="215"/>
      <c r="P331" s="213"/>
      <c r="Q331" s="213"/>
      <c r="R331" s="213"/>
      <c r="S331" s="213"/>
      <c r="T331" s="213"/>
      <c r="U331" s="213"/>
      <c r="V331" s="213"/>
      <c r="W331" s="213"/>
      <c r="X331" s="643"/>
      <c r="Y331" s="616">
        <f t="shared" si="22"/>
        <v>0</v>
      </c>
      <c r="Z331" s="633"/>
      <c r="AA331" s="654"/>
      <c r="AB331" s="654"/>
      <c r="AC331" s="7"/>
      <c r="AD331" s="699"/>
      <c r="AE331" s="7"/>
      <c r="AF331" s="618">
        <f t="shared" si="21"/>
        <v>0</v>
      </c>
      <c r="AG331" s="7"/>
      <c r="AH331" s="7"/>
      <c r="AI331" s="7"/>
      <c r="AJ331" s="7"/>
      <c r="AK331" s="7"/>
      <c r="AL331" s="7"/>
    </row>
    <row r="332" spans="1:38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5"/>
      <c r="I332" s="215"/>
      <c r="J332" s="214"/>
      <c r="K332" s="221"/>
      <c r="L332" s="647"/>
      <c r="M332" s="213"/>
      <c r="N332" s="213"/>
      <c r="O332" s="215"/>
      <c r="P332" s="213"/>
      <c r="Q332" s="213"/>
      <c r="R332" s="213"/>
      <c r="S332" s="213"/>
      <c r="T332" s="213"/>
      <c r="U332" s="213"/>
      <c r="V332" s="213"/>
      <c r="W332" s="213"/>
      <c r="X332" s="643"/>
      <c r="Y332" s="616">
        <f t="shared" si="22"/>
        <v>0</v>
      </c>
      <c r="Z332" s="633"/>
      <c r="AA332" s="648"/>
      <c r="AB332" s="648"/>
      <c r="AC332" s="7"/>
      <c r="AD332" s="699"/>
      <c r="AE332" s="7"/>
      <c r="AF332" s="618">
        <f t="shared" si="21"/>
        <v>0</v>
      </c>
      <c r="AG332" s="7"/>
      <c r="AH332" s="7"/>
      <c r="AI332" s="7"/>
      <c r="AJ332" s="7"/>
      <c r="AK332" s="7"/>
      <c r="AL332" s="7"/>
    </row>
    <row r="333" spans="1:38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5"/>
      <c r="I333" s="215"/>
      <c r="J333" s="214"/>
      <c r="K333" s="221"/>
      <c r="L333" s="647"/>
      <c r="M333" s="213"/>
      <c r="N333" s="213"/>
      <c r="O333" s="215"/>
      <c r="P333" s="213"/>
      <c r="Q333" s="213"/>
      <c r="R333" s="213"/>
      <c r="S333" s="213"/>
      <c r="T333" s="213"/>
      <c r="U333" s="213"/>
      <c r="V333" s="213"/>
      <c r="W333" s="213"/>
      <c r="X333" s="643"/>
      <c r="Y333" s="616">
        <f t="shared" si="22"/>
        <v>0</v>
      </c>
      <c r="Z333" s="633"/>
      <c r="AA333" s="648"/>
      <c r="AB333" s="648"/>
      <c r="AC333" s="7"/>
      <c r="AD333" s="699"/>
      <c r="AE333" s="7"/>
      <c r="AF333" s="618">
        <f t="shared" si="21"/>
        <v>0</v>
      </c>
      <c r="AG333" s="7"/>
      <c r="AH333" s="7"/>
      <c r="AI333" s="7"/>
      <c r="AJ333" s="7"/>
      <c r="AK333" s="7"/>
      <c r="AL333" s="7"/>
    </row>
    <row r="334" spans="1:38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5"/>
      <c r="I334" s="215"/>
      <c r="J334" s="214"/>
      <c r="K334" s="221"/>
      <c r="L334" s="647"/>
      <c r="M334" s="213"/>
      <c r="N334" s="213"/>
      <c r="O334" s="215"/>
      <c r="P334" s="213"/>
      <c r="Q334" s="213"/>
      <c r="R334" s="213"/>
      <c r="S334" s="213"/>
      <c r="T334" s="213"/>
      <c r="U334" s="213"/>
      <c r="V334" s="213"/>
      <c r="W334" s="213"/>
      <c r="X334" s="643"/>
      <c r="Y334" s="616">
        <f t="shared" si="22"/>
        <v>0</v>
      </c>
      <c r="Z334" s="633"/>
      <c r="AA334" s="648"/>
      <c r="AB334" s="648"/>
      <c r="AC334" s="7"/>
      <c r="AD334" s="699"/>
      <c r="AE334" s="7"/>
      <c r="AF334" s="618">
        <f t="shared" si="21"/>
        <v>0</v>
      </c>
      <c r="AG334" s="7"/>
      <c r="AH334" s="7"/>
      <c r="AI334" s="7"/>
      <c r="AJ334" s="7"/>
      <c r="AK334" s="7"/>
      <c r="AL334" s="7"/>
    </row>
    <row r="335" spans="1:38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5"/>
      <c r="I335" s="215"/>
      <c r="J335" s="214"/>
      <c r="K335" s="221"/>
      <c r="L335" s="647"/>
      <c r="M335" s="213"/>
      <c r="N335" s="213"/>
      <c r="O335" s="215"/>
      <c r="P335" s="213"/>
      <c r="Q335" s="213"/>
      <c r="R335" s="213"/>
      <c r="S335" s="213"/>
      <c r="T335" s="213"/>
      <c r="U335" s="213"/>
      <c r="V335" s="213"/>
      <c r="W335" s="213"/>
      <c r="X335" s="643"/>
      <c r="Y335" s="616">
        <f t="shared" si="22"/>
        <v>0</v>
      </c>
      <c r="Z335" s="633"/>
      <c r="AA335" s="648"/>
      <c r="AB335" s="648"/>
      <c r="AC335" s="7"/>
      <c r="AD335" s="699"/>
      <c r="AE335" s="7"/>
      <c r="AF335" s="618">
        <f t="shared" si="21"/>
        <v>0</v>
      </c>
      <c r="AG335" s="7"/>
      <c r="AH335" s="7"/>
      <c r="AI335" s="7"/>
      <c r="AJ335" s="7"/>
      <c r="AK335" s="7"/>
      <c r="AL335" s="7"/>
    </row>
    <row r="336" spans="1:38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5"/>
      <c r="I336" s="215"/>
      <c r="J336" s="214"/>
      <c r="K336" s="221"/>
      <c r="L336" s="647"/>
      <c r="M336" s="213"/>
      <c r="N336" s="213"/>
      <c r="O336" s="215"/>
      <c r="P336" s="213"/>
      <c r="Q336" s="213"/>
      <c r="R336" s="213"/>
      <c r="S336" s="213"/>
      <c r="T336" s="213"/>
      <c r="U336" s="213"/>
      <c r="V336" s="213"/>
      <c r="W336" s="213"/>
      <c r="X336" s="643"/>
      <c r="Y336" s="616">
        <f t="shared" si="22"/>
        <v>0</v>
      </c>
      <c r="Z336" s="633"/>
      <c r="AA336" s="654"/>
      <c r="AB336" s="654"/>
      <c r="AC336" s="7"/>
      <c r="AD336" s="699"/>
      <c r="AE336" s="7"/>
      <c r="AF336" s="618">
        <f t="shared" si="21"/>
        <v>0</v>
      </c>
      <c r="AG336" s="7"/>
      <c r="AH336" s="7"/>
      <c r="AI336" s="7"/>
      <c r="AJ336" s="7"/>
      <c r="AK336" s="7"/>
      <c r="AL336" s="7"/>
    </row>
    <row r="337" spans="1:38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5"/>
      <c r="I337" s="215"/>
      <c r="J337" s="214"/>
      <c r="K337" s="221"/>
      <c r="L337" s="647"/>
      <c r="M337" s="213"/>
      <c r="N337" s="213"/>
      <c r="O337" s="215"/>
      <c r="P337" s="213"/>
      <c r="Q337" s="213"/>
      <c r="R337" s="213"/>
      <c r="S337" s="213"/>
      <c r="T337" s="213"/>
      <c r="U337" s="213"/>
      <c r="V337" s="213"/>
      <c r="W337" s="213"/>
      <c r="X337" s="643"/>
      <c r="Y337" s="616">
        <f t="shared" si="22"/>
        <v>0</v>
      </c>
      <c r="Z337" s="633"/>
      <c r="AA337" s="654"/>
      <c r="AB337" s="654"/>
      <c r="AC337" s="7"/>
      <c r="AD337" s="699"/>
      <c r="AE337" s="7"/>
      <c r="AF337" s="618">
        <f t="shared" si="21"/>
        <v>0</v>
      </c>
      <c r="AG337" s="7"/>
      <c r="AH337" s="7"/>
      <c r="AI337" s="7"/>
      <c r="AJ337" s="7"/>
      <c r="AK337" s="7"/>
      <c r="AL337" s="7"/>
    </row>
    <row r="338" spans="1:38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5"/>
      <c r="I338" s="215"/>
      <c r="J338" s="214"/>
      <c r="K338" s="221"/>
      <c r="L338" s="647"/>
      <c r="M338" s="213"/>
      <c r="N338" s="213"/>
      <c r="O338" s="215"/>
      <c r="P338" s="213"/>
      <c r="Q338" s="213"/>
      <c r="R338" s="213"/>
      <c r="S338" s="213"/>
      <c r="T338" s="213"/>
      <c r="U338" s="213"/>
      <c r="V338" s="213"/>
      <c r="W338" s="213"/>
      <c r="X338" s="643"/>
      <c r="Y338" s="616">
        <f t="shared" si="22"/>
        <v>0</v>
      </c>
      <c r="Z338" s="633"/>
      <c r="AA338" s="654"/>
      <c r="AB338" s="654"/>
      <c r="AC338" s="7"/>
      <c r="AD338" s="699"/>
      <c r="AE338" s="7"/>
      <c r="AF338" s="618">
        <f t="shared" si="21"/>
        <v>0</v>
      </c>
      <c r="AG338" s="7"/>
      <c r="AH338" s="7"/>
      <c r="AI338" s="7"/>
      <c r="AJ338" s="7"/>
      <c r="AK338" s="7"/>
      <c r="AL338" s="7"/>
    </row>
    <row r="339" spans="1:38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5"/>
      <c r="I339" s="215"/>
      <c r="J339" s="214"/>
      <c r="K339" s="221"/>
      <c r="L339" s="647"/>
      <c r="M339" s="213"/>
      <c r="N339" s="213"/>
      <c r="O339" s="215"/>
      <c r="P339" s="213"/>
      <c r="Q339" s="213"/>
      <c r="R339" s="213"/>
      <c r="S339" s="213"/>
      <c r="T339" s="213"/>
      <c r="U339" s="213"/>
      <c r="V339" s="213"/>
      <c r="W339" s="213"/>
      <c r="X339" s="643"/>
      <c r="Y339" s="616">
        <f t="shared" si="22"/>
        <v>0</v>
      </c>
      <c r="Z339" s="633"/>
      <c r="AA339" s="654"/>
      <c r="AB339" s="654"/>
      <c r="AC339" s="7"/>
      <c r="AD339" s="699"/>
      <c r="AE339" s="7"/>
      <c r="AF339" s="618">
        <f t="shared" si="21"/>
        <v>0</v>
      </c>
      <c r="AG339" s="7"/>
      <c r="AH339" s="7"/>
      <c r="AI339" s="7"/>
      <c r="AJ339" s="7"/>
      <c r="AK339" s="7"/>
      <c r="AL339" s="7"/>
    </row>
    <row r="340" spans="1:38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5"/>
      <c r="I340" s="215"/>
      <c r="J340" s="214"/>
      <c r="K340" s="221"/>
      <c r="L340" s="647"/>
      <c r="M340" s="213"/>
      <c r="N340" s="213"/>
      <c r="O340" s="215"/>
      <c r="P340" s="213"/>
      <c r="Q340" s="213"/>
      <c r="R340" s="213"/>
      <c r="S340" s="213"/>
      <c r="T340" s="213"/>
      <c r="U340" s="213"/>
      <c r="V340" s="213"/>
      <c r="W340" s="213"/>
      <c r="X340" s="643"/>
      <c r="Y340" s="616">
        <f t="shared" si="22"/>
        <v>0</v>
      </c>
      <c r="Z340" s="633"/>
      <c r="AA340" s="648"/>
      <c r="AB340" s="648"/>
      <c r="AC340" s="7"/>
      <c r="AD340" s="699"/>
      <c r="AE340" s="7"/>
      <c r="AF340" s="618">
        <f t="shared" si="21"/>
        <v>0</v>
      </c>
      <c r="AG340" s="7"/>
      <c r="AH340" s="7"/>
      <c r="AI340" s="7"/>
      <c r="AJ340" s="7"/>
      <c r="AK340" s="7"/>
      <c r="AL340" s="7"/>
    </row>
    <row r="341" spans="1:38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5"/>
      <c r="I341" s="215"/>
      <c r="J341" s="214"/>
      <c r="K341" s="221"/>
      <c r="L341" s="647"/>
      <c r="M341" s="213"/>
      <c r="N341" s="213"/>
      <c r="O341" s="215"/>
      <c r="P341" s="213"/>
      <c r="Q341" s="213"/>
      <c r="R341" s="213"/>
      <c r="S341" s="213"/>
      <c r="T341" s="213"/>
      <c r="U341" s="213"/>
      <c r="V341" s="213"/>
      <c r="W341" s="213"/>
      <c r="X341" s="643"/>
      <c r="Y341" s="616">
        <f t="shared" si="22"/>
        <v>0</v>
      </c>
      <c r="Z341" s="633"/>
      <c r="AA341" s="654"/>
      <c r="AB341" s="654"/>
      <c r="AC341" s="7"/>
      <c r="AD341" s="699"/>
      <c r="AE341" s="7"/>
      <c r="AF341" s="618">
        <f t="shared" si="21"/>
        <v>0</v>
      </c>
      <c r="AG341" s="7"/>
      <c r="AH341" s="7"/>
      <c r="AI341" s="7"/>
      <c r="AJ341" s="7"/>
      <c r="AK341" s="7"/>
      <c r="AL341" s="7"/>
    </row>
    <row r="342" spans="1:38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5"/>
      <c r="I342" s="215"/>
      <c r="J342" s="214"/>
      <c r="K342" s="221"/>
      <c r="L342" s="647"/>
      <c r="M342" s="213"/>
      <c r="N342" s="213"/>
      <c r="O342" s="215"/>
      <c r="P342" s="213"/>
      <c r="Q342" s="213"/>
      <c r="R342" s="213"/>
      <c r="S342" s="213"/>
      <c r="T342" s="213"/>
      <c r="U342" s="213"/>
      <c r="V342" s="213"/>
      <c r="W342" s="213"/>
      <c r="X342" s="643"/>
      <c r="Y342" s="616">
        <f t="shared" si="22"/>
        <v>0</v>
      </c>
      <c r="Z342" s="633"/>
      <c r="AA342" s="654"/>
      <c r="AB342" s="654"/>
      <c r="AC342" s="7"/>
      <c r="AD342" s="699"/>
      <c r="AE342" s="7"/>
      <c r="AF342" s="618">
        <f t="shared" si="21"/>
        <v>0</v>
      </c>
      <c r="AG342" s="7"/>
      <c r="AH342" s="7"/>
      <c r="AI342" s="7"/>
      <c r="AJ342" s="7"/>
      <c r="AK342" s="7"/>
      <c r="AL342" s="7"/>
    </row>
    <row r="343" spans="1:38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5"/>
      <c r="I343" s="215"/>
      <c r="J343" s="214"/>
      <c r="K343" s="221"/>
      <c r="L343" s="647"/>
      <c r="M343" s="213"/>
      <c r="N343" s="213"/>
      <c r="O343" s="215"/>
      <c r="P343" s="213"/>
      <c r="Q343" s="213"/>
      <c r="R343" s="213"/>
      <c r="S343" s="213"/>
      <c r="T343" s="213"/>
      <c r="U343" s="213"/>
      <c r="V343" s="213"/>
      <c r="W343" s="213"/>
      <c r="X343" s="643"/>
      <c r="Y343" s="616">
        <f t="shared" si="22"/>
        <v>0</v>
      </c>
      <c r="Z343" s="633"/>
      <c r="AA343" s="654"/>
      <c r="AB343" s="654"/>
      <c r="AC343" s="7"/>
      <c r="AD343" s="699"/>
      <c r="AE343" s="7"/>
      <c r="AF343" s="618">
        <f t="shared" si="21"/>
        <v>0</v>
      </c>
      <c r="AG343" s="7"/>
      <c r="AH343" s="7"/>
      <c r="AI343" s="7"/>
      <c r="AJ343" s="7"/>
      <c r="AK343" s="7"/>
      <c r="AL343" s="7"/>
    </row>
    <row r="344" spans="1:38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5"/>
      <c r="I344" s="215"/>
      <c r="J344" s="214"/>
      <c r="K344" s="221"/>
      <c r="L344" s="647"/>
      <c r="M344" s="213"/>
      <c r="N344" s="213"/>
      <c r="O344" s="215"/>
      <c r="P344" s="213"/>
      <c r="Q344" s="213"/>
      <c r="R344" s="213"/>
      <c r="S344" s="213"/>
      <c r="T344" s="213"/>
      <c r="U344" s="213"/>
      <c r="V344" s="213"/>
      <c r="W344" s="213"/>
      <c r="X344" s="643"/>
      <c r="Y344" s="616">
        <f t="shared" si="22"/>
        <v>0</v>
      </c>
      <c r="Z344" s="633"/>
      <c r="AA344" s="654"/>
      <c r="AB344" s="654"/>
      <c r="AC344" s="7"/>
      <c r="AD344" s="699"/>
      <c r="AE344" s="7"/>
      <c r="AF344" s="618">
        <f t="shared" si="21"/>
        <v>0</v>
      </c>
      <c r="AG344" s="7"/>
      <c r="AH344" s="7"/>
      <c r="AI344" s="7"/>
      <c r="AJ344" s="7"/>
      <c r="AK344" s="7"/>
      <c r="AL344" s="7"/>
    </row>
    <row r="345" spans="1:38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5"/>
      <c r="I345" s="215"/>
      <c r="J345" s="214"/>
      <c r="K345" s="221"/>
      <c r="L345" s="647"/>
      <c r="M345" s="213"/>
      <c r="N345" s="213"/>
      <c r="O345" s="215"/>
      <c r="P345" s="213"/>
      <c r="Q345" s="213"/>
      <c r="R345" s="213"/>
      <c r="S345" s="213"/>
      <c r="T345" s="213"/>
      <c r="U345" s="213"/>
      <c r="V345" s="213"/>
      <c r="W345" s="213"/>
      <c r="X345" s="643"/>
      <c r="Y345" s="616">
        <f t="shared" si="22"/>
        <v>0</v>
      </c>
      <c r="Z345" s="633"/>
      <c r="AA345" s="654"/>
      <c r="AB345" s="654"/>
      <c r="AC345" s="7"/>
      <c r="AD345" s="699"/>
      <c r="AE345" s="7"/>
      <c r="AF345" s="618">
        <f t="shared" si="21"/>
        <v>0</v>
      </c>
      <c r="AG345" s="7"/>
      <c r="AH345" s="7"/>
      <c r="AI345" s="7"/>
      <c r="AJ345" s="7"/>
      <c r="AK345" s="7"/>
      <c r="AL345" s="7"/>
    </row>
    <row r="346" spans="1:38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5"/>
      <c r="I346" s="215"/>
      <c r="J346" s="214"/>
      <c r="K346" s="221"/>
      <c r="L346" s="662"/>
      <c r="M346" s="213"/>
      <c r="N346" s="213"/>
      <c r="O346" s="215"/>
      <c r="P346" s="213"/>
      <c r="Q346" s="213"/>
      <c r="R346" s="213"/>
      <c r="S346" s="213"/>
      <c r="T346" s="213"/>
      <c r="U346" s="213"/>
      <c r="V346" s="213"/>
      <c r="W346" s="213"/>
      <c r="X346" s="643"/>
      <c r="Y346" s="616">
        <f t="shared" si="22"/>
        <v>0</v>
      </c>
      <c r="Z346" s="633"/>
      <c r="AA346" s="636"/>
      <c r="AB346" s="636"/>
      <c r="AC346" s="7"/>
      <c r="AD346" s="699"/>
      <c r="AE346" s="7"/>
      <c r="AF346" s="618">
        <f t="shared" si="21"/>
        <v>0</v>
      </c>
      <c r="AG346" s="7"/>
      <c r="AH346" s="7"/>
      <c r="AI346" s="7"/>
      <c r="AJ346" s="7"/>
      <c r="AK346" s="7"/>
      <c r="AL346" s="7"/>
    </row>
    <row r="347" spans="1:38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5"/>
      <c r="I347" s="215"/>
      <c r="J347" s="214"/>
      <c r="K347" s="221"/>
      <c r="L347" s="662"/>
      <c r="M347" s="213"/>
      <c r="N347" s="213"/>
      <c r="O347" s="215"/>
      <c r="P347" s="213"/>
      <c r="Q347" s="213"/>
      <c r="R347" s="213"/>
      <c r="S347" s="213"/>
      <c r="T347" s="213"/>
      <c r="U347" s="213"/>
      <c r="V347" s="213"/>
      <c r="W347" s="213"/>
      <c r="X347" s="643"/>
      <c r="Y347" s="616">
        <f t="shared" si="22"/>
        <v>0</v>
      </c>
      <c r="Z347" s="633"/>
      <c r="AA347" s="636"/>
      <c r="AB347" s="636"/>
      <c r="AC347" s="7"/>
      <c r="AD347" s="699"/>
      <c r="AE347" s="7"/>
      <c r="AF347" s="618">
        <f t="shared" si="21"/>
        <v>0</v>
      </c>
      <c r="AG347" s="7"/>
      <c r="AH347" s="7"/>
      <c r="AI347" s="7"/>
      <c r="AJ347" s="7"/>
      <c r="AK347" s="7"/>
      <c r="AL347" s="7"/>
    </row>
    <row r="348" spans="1:38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5"/>
      <c r="I348" s="215"/>
      <c r="J348" s="214"/>
      <c r="K348" s="221"/>
      <c r="L348" s="662"/>
      <c r="M348" s="213"/>
      <c r="N348" s="213"/>
      <c r="O348" s="215"/>
      <c r="P348" s="213"/>
      <c r="Q348" s="213"/>
      <c r="R348" s="213"/>
      <c r="S348" s="213"/>
      <c r="T348" s="213"/>
      <c r="U348" s="213"/>
      <c r="V348" s="213"/>
      <c r="W348" s="213"/>
      <c r="X348" s="643"/>
      <c r="Y348" s="616">
        <f t="shared" si="22"/>
        <v>0</v>
      </c>
      <c r="Z348" s="633"/>
      <c r="AA348" s="636"/>
      <c r="AB348" s="636"/>
      <c r="AC348" s="7"/>
      <c r="AD348" s="699"/>
      <c r="AE348" s="7"/>
      <c r="AF348" s="618">
        <f t="shared" si="21"/>
        <v>0</v>
      </c>
      <c r="AG348" s="7"/>
      <c r="AH348" s="7"/>
      <c r="AI348" s="7"/>
      <c r="AJ348" s="7"/>
      <c r="AK348" s="7"/>
      <c r="AL348" s="7"/>
    </row>
    <row r="349" spans="1:38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5"/>
      <c r="I349" s="215"/>
      <c r="J349" s="214"/>
      <c r="K349" s="221"/>
      <c r="L349" s="662"/>
      <c r="M349" s="213"/>
      <c r="N349" s="213"/>
      <c r="O349" s="215"/>
      <c r="P349" s="213"/>
      <c r="Q349" s="213"/>
      <c r="R349" s="213"/>
      <c r="S349" s="213"/>
      <c r="T349" s="213"/>
      <c r="U349" s="213"/>
      <c r="V349" s="213"/>
      <c r="W349" s="213"/>
      <c r="X349" s="643"/>
      <c r="Y349" s="616">
        <f t="shared" si="22"/>
        <v>0</v>
      </c>
      <c r="Z349" s="633"/>
      <c r="AA349" s="636"/>
      <c r="AB349" s="636"/>
      <c r="AC349" s="7"/>
      <c r="AD349" s="699"/>
      <c r="AE349" s="7"/>
      <c r="AF349" s="618">
        <f t="shared" si="21"/>
        <v>0</v>
      </c>
      <c r="AG349" s="7"/>
      <c r="AH349" s="7"/>
      <c r="AI349" s="7"/>
      <c r="AJ349" s="7"/>
      <c r="AK349" s="7"/>
      <c r="AL349" s="7"/>
    </row>
    <row r="350" spans="1:38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5"/>
      <c r="I350" s="215"/>
      <c r="J350" s="214"/>
      <c r="K350" s="221"/>
      <c r="L350" s="662"/>
      <c r="M350" s="213"/>
      <c r="N350" s="213"/>
      <c r="O350" s="215"/>
      <c r="P350" s="213"/>
      <c r="Q350" s="213"/>
      <c r="R350" s="213"/>
      <c r="S350" s="213"/>
      <c r="T350" s="213"/>
      <c r="U350" s="213"/>
      <c r="V350" s="213"/>
      <c r="W350" s="213"/>
      <c r="X350" s="643"/>
      <c r="Y350" s="616">
        <f t="shared" si="22"/>
        <v>0</v>
      </c>
      <c r="Z350" s="633"/>
      <c r="AA350" s="636"/>
      <c r="AB350" s="636"/>
      <c r="AC350" s="7"/>
      <c r="AD350" s="699"/>
      <c r="AE350" s="7"/>
      <c r="AF350" s="618">
        <f t="shared" si="21"/>
        <v>0</v>
      </c>
      <c r="AG350" s="7"/>
      <c r="AH350" s="7"/>
      <c r="AI350" s="7"/>
      <c r="AJ350" s="7"/>
      <c r="AK350" s="7"/>
      <c r="AL350" s="7"/>
    </row>
    <row r="351" spans="1:38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5"/>
      <c r="I351" s="215"/>
      <c r="J351" s="214"/>
      <c r="K351" s="221"/>
      <c r="L351" s="665"/>
      <c r="M351" s="213"/>
      <c r="N351" s="213"/>
      <c r="O351" s="215"/>
      <c r="P351" s="213"/>
      <c r="Q351" s="213"/>
      <c r="R351" s="213"/>
      <c r="S351" s="213"/>
      <c r="T351" s="213"/>
      <c r="U351" s="213"/>
      <c r="V351" s="213"/>
      <c r="W351" s="213"/>
      <c r="X351" s="643"/>
      <c r="Y351" s="616">
        <f t="shared" si="22"/>
        <v>0</v>
      </c>
      <c r="Z351" s="633"/>
      <c r="AA351" s="636"/>
      <c r="AB351" s="636"/>
      <c r="AC351" s="7"/>
      <c r="AD351" s="699"/>
      <c r="AE351" s="7"/>
      <c r="AF351" s="618">
        <f t="shared" si="21"/>
        <v>0</v>
      </c>
      <c r="AG351" s="7"/>
      <c r="AH351" s="7"/>
      <c r="AI351" s="7"/>
      <c r="AJ351" s="7"/>
      <c r="AK351" s="7"/>
      <c r="AL351" s="7"/>
    </row>
    <row r="352" spans="1:38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5"/>
      <c r="I352" s="215"/>
      <c r="J352" s="214"/>
      <c r="K352" s="221"/>
      <c r="L352" s="662"/>
      <c r="M352" s="213"/>
      <c r="N352" s="213"/>
      <c r="O352" s="215"/>
      <c r="P352" s="213"/>
      <c r="Q352" s="213"/>
      <c r="R352" s="213"/>
      <c r="S352" s="213"/>
      <c r="T352" s="213"/>
      <c r="U352" s="213"/>
      <c r="V352" s="213"/>
      <c r="W352" s="213"/>
      <c r="X352" s="643"/>
      <c r="Y352" s="616">
        <f t="shared" si="22"/>
        <v>0</v>
      </c>
      <c r="Z352" s="633"/>
      <c r="AA352" s="636"/>
      <c r="AB352" s="636"/>
      <c r="AC352" s="7"/>
      <c r="AD352" s="699"/>
      <c r="AE352" s="7"/>
      <c r="AF352" s="618">
        <f t="shared" si="21"/>
        <v>0</v>
      </c>
      <c r="AG352" s="7"/>
      <c r="AH352" s="7"/>
      <c r="AI352" s="7"/>
      <c r="AJ352" s="7"/>
      <c r="AK352" s="7"/>
      <c r="AL352" s="7"/>
    </row>
    <row r="353" spans="1:38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5"/>
      <c r="I353" s="215"/>
      <c r="J353" s="214"/>
      <c r="K353" s="221"/>
      <c r="L353" s="662"/>
      <c r="M353" s="213"/>
      <c r="N353" s="213"/>
      <c r="O353" s="215"/>
      <c r="P353" s="213"/>
      <c r="Q353" s="213"/>
      <c r="R353" s="213"/>
      <c r="S353" s="213"/>
      <c r="T353" s="213"/>
      <c r="U353" s="213"/>
      <c r="V353" s="213"/>
      <c r="W353" s="213"/>
      <c r="X353" s="643"/>
      <c r="Y353" s="616">
        <f t="shared" si="22"/>
        <v>0</v>
      </c>
      <c r="Z353" s="633"/>
      <c r="AA353" s="640"/>
      <c r="AB353" s="640"/>
      <c r="AC353" s="7"/>
      <c r="AD353" s="699"/>
      <c r="AE353" s="7"/>
      <c r="AF353" s="618">
        <f t="shared" si="21"/>
        <v>0</v>
      </c>
      <c r="AG353" s="7"/>
      <c r="AH353" s="7"/>
      <c r="AI353" s="7"/>
      <c r="AJ353" s="7"/>
      <c r="AK353" s="7"/>
      <c r="AL353" s="7"/>
    </row>
    <row r="354" spans="1:38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5"/>
      <c r="I354" s="215"/>
      <c r="J354" s="214"/>
      <c r="K354" s="221"/>
      <c r="L354" s="649"/>
      <c r="M354" s="213"/>
      <c r="N354" s="213"/>
      <c r="O354" s="215"/>
      <c r="P354" s="213"/>
      <c r="Q354" s="213"/>
      <c r="R354" s="213"/>
      <c r="S354" s="213"/>
      <c r="T354" s="213"/>
      <c r="U354" s="213"/>
      <c r="V354" s="213"/>
      <c r="W354" s="213"/>
      <c r="X354" s="643"/>
      <c r="Y354" s="616">
        <f t="shared" si="22"/>
        <v>0</v>
      </c>
      <c r="Z354" s="633"/>
      <c r="AA354" s="547"/>
      <c r="AB354" s="547"/>
      <c r="AC354" s="7"/>
      <c r="AD354" s="699"/>
      <c r="AE354" s="7"/>
      <c r="AF354" s="618">
        <f t="shared" si="21"/>
        <v>0</v>
      </c>
      <c r="AG354" s="7"/>
      <c r="AH354" s="7"/>
      <c r="AI354" s="7"/>
      <c r="AJ354" s="7"/>
      <c r="AK354" s="7"/>
      <c r="AL354" s="7"/>
    </row>
    <row r="355" spans="1:38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5"/>
      <c r="I355" s="215"/>
      <c r="J355" s="214"/>
      <c r="K355" s="221"/>
      <c r="L355" s="649"/>
      <c r="M355" s="213"/>
      <c r="N355" s="213"/>
      <c r="O355" s="215"/>
      <c r="P355" s="213"/>
      <c r="Q355" s="213"/>
      <c r="R355" s="213"/>
      <c r="S355" s="213"/>
      <c r="T355" s="213"/>
      <c r="U355" s="213"/>
      <c r="V355" s="213"/>
      <c r="W355" s="213"/>
      <c r="X355" s="643"/>
      <c r="Y355" s="616">
        <f t="shared" si="22"/>
        <v>0</v>
      </c>
      <c r="Z355" s="633"/>
      <c r="AA355" s="666"/>
      <c r="AB355" s="666"/>
      <c r="AC355" s="7"/>
      <c r="AD355" s="699">
        <v>93</v>
      </c>
      <c r="AE355" s="7"/>
      <c r="AF355" s="618">
        <f t="shared" si="21"/>
        <v>93</v>
      </c>
      <c r="AG355" s="7"/>
      <c r="AH355" s="7"/>
      <c r="AI355" s="7"/>
      <c r="AJ355" s="7"/>
      <c r="AK355" s="7"/>
      <c r="AL355" s="7"/>
    </row>
    <row r="356" spans="1:38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5"/>
      <c r="I356" s="215"/>
      <c r="J356" s="214"/>
      <c r="K356" s="221"/>
      <c r="L356" s="649"/>
      <c r="M356" s="213"/>
      <c r="N356" s="213"/>
      <c r="O356" s="215"/>
      <c r="P356" s="213"/>
      <c r="Q356" s="213"/>
      <c r="R356" s="213"/>
      <c r="S356" s="213"/>
      <c r="T356" s="213"/>
      <c r="U356" s="213"/>
      <c r="V356" s="213"/>
      <c r="W356" s="213"/>
      <c r="X356" s="643"/>
      <c r="Y356" s="616">
        <f t="shared" si="22"/>
        <v>0</v>
      </c>
      <c r="Z356" s="633"/>
      <c r="AA356" s="666"/>
      <c r="AB356" s="666"/>
      <c r="AC356" s="7"/>
      <c r="AD356" s="699">
        <v>10</v>
      </c>
      <c r="AE356" s="7"/>
      <c r="AF356" s="618">
        <f t="shared" si="21"/>
        <v>10</v>
      </c>
      <c r="AG356" s="7"/>
      <c r="AH356" s="7"/>
      <c r="AI356" s="7"/>
      <c r="AJ356" s="7"/>
      <c r="AK356" s="7"/>
      <c r="AL356" s="7"/>
    </row>
    <row r="357" spans="1:38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5"/>
      <c r="I357" s="215"/>
      <c r="J357" s="214"/>
      <c r="K357" s="221"/>
      <c r="L357" s="649"/>
      <c r="M357" s="213"/>
      <c r="N357" s="213"/>
      <c r="O357" s="215"/>
      <c r="P357" s="213"/>
      <c r="Q357" s="213"/>
      <c r="R357" s="213"/>
      <c r="S357" s="213"/>
      <c r="T357" s="213"/>
      <c r="U357" s="213"/>
      <c r="V357" s="213"/>
      <c r="W357" s="213"/>
      <c r="X357" s="643"/>
      <c r="Y357" s="616">
        <f t="shared" si="22"/>
        <v>0</v>
      </c>
      <c r="Z357" s="633"/>
      <c r="AA357" s="542"/>
      <c r="AB357" s="542"/>
      <c r="AC357" s="7"/>
      <c r="AD357" s="699"/>
      <c r="AE357" s="7"/>
      <c r="AF357" s="618">
        <f t="shared" si="21"/>
        <v>0</v>
      </c>
      <c r="AG357" s="7"/>
      <c r="AH357" s="7"/>
      <c r="AI357" s="7"/>
      <c r="AJ357" s="7"/>
      <c r="AK357" s="7"/>
      <c r="AL357" s="7"/>
    </row>
    <row r="358" spans="1:38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5"/>
      <c r="I358" s="215"/>
      <c r="J358" s="214"/>
      <c r="K358" s="221"/>
      <c r="L358" s="649"/>
      <c r="M358" s="213"/>
      <c r="N358" s="213"/>
      <c r="O358" s="215"/>
      <c r="P358" s="213"/>
      <c r="Q358" s="213"/>
      <c r="R358" s="213"/>
      <c r="S358" s="213"/>
      <c r="T358" s="213"/>
      <c r="U358" s="213"/>
      <c r="V358" s="213"/>
      <c r="W358" s="213"/>
      <c r="X358" s="643"/>
      <c r="Y358" s="616">
        <f t="shared" si="22"/>
        <v>0</v>
      </c>
      <c r="Z358" s="633"/>
      <c r="AA358" s="542"/>
      <c r="AB358" s="542"/>
      <c r="AC358" s="7"/>
      <c r="AD358" s="699"/>
      <c r="AE358" s="7"/>
      <c r="AF358" s="618">
        <f t="shared" si="21"/>
        <v>0</v>
      </c>
      <c r="AG358" s="7"/>
      <c r="AH358" s="7"/>
      <c r="AI358" s="7"/>
      <c r="AJ358" s="7"/>
      <c r="AK358" s="7"/>
      <c r="AL358" s="7"/>
    </row>
    <row r="359" spans="1:38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5"/>
      <c r="I359" s="215"/>
      <c r="J359" s="214"/>
      <c r="K359" s="221"/>
      <c r="L359" s="649"/>
      <c r="M359" s="213"/>
      <c r="N359" s="213"/>
      <c r="O359" s="215"/>
      <c r="P359" s="213"/>
      <c r="Q359" s="213"/>
      <c r="R359" s="213"/>
      <c r="S359" s="213"/>
      <c r="T359" s="213"/>
      <c r="U359" s="213"/>
      <c r="V359" s="213"/>
      <c r="W359" s="213"/>
      <c r="X359" s="643"/>
      <c r="Y359" s="616">
        <f t="shared" si="22"/>
        <v>0</v>
      </c>
      <c r="Z359" s="633"/>
      <c r="AA359" s="542"/>
      <c r="AB359" s="542"/>
      <c r="AC359" s="7"/>
      <c r="AD359" s="699"/>
      <c r="AE359" s="7"/>
      <c r="AF359" s="618">
        <f t="shared" si="21"/>
        <v>0</v>
      </c>
      <c r="AG359" s="7"/>
      <c r="AH359" s="7"/>
      <c r="AI359" s="7"/>
      <c r="AJ359" s="7"/>
      <c r="AK359" s="7"/>
      <c r="AL359" s="7"/>
    </row>
    <row r="360" spans="1:38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5"/>
      <c r="I360" s="215"/>
      <c r="J360" s="214"/>
      <c r="K360" s="221"/>
      <c r="L360" s="649"/>
      <c r="M360" s="213"/>
      <c r="N360" s="213"/>
      <c r="O360" s="215"/>
      <c r="P360" s="213"/>
      <c r="Q360" s="213"/>
      <c r="R360" s="213"/>
      <c r="S360" s="213"/>
      <c r="T360" s="213"/>
      <c r="U360" s="213"/>
      <c r="V360" s="213"/>
      <c r="W360" s="213"/>
      <c r="X360" s="643"/>
      <c r="Y360" s="616">
        <f t="shared" si="22"/>
        <v>0</v>
      </c>
      <c r="Z360" s="633"/>
      <c r="AA360" s="542"/>
      <c r="AB360" s="542"/>
      <c r="AC360" s="7"/>
      <c r="AD360" s="699"/>
      <c r="AE360" s="7"/>
      <c r="AF360" s="618">
        <f t="shared" si="21"/>
        <v>0</v>
      </c>
      <c r="AG360" s="7"/>
      <c r="AH360" s="7"/>
      <c r="AI360" s="7"/>
      <c r="AJ360" s="7"/>
      <c r="AK360" s="7"/>
      <c r="AL360" s="7"/>
    </row>
    <row r="361" spans="1:38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5"/>
      <c r="I361" s="215"/>
      <c r="J361" s="214"/>
      <c r="K361" s="221"/>
      <c r="L361" s="662"/>
      <c r="M361" s="213"/>
      <c r="N361" s="213"/>
      <c r="O361" s="215"/>
      <c r="P361" s="213"/>
      <c r="Q361" s="213"/>
      <c r="R361" s="213"/>
      <c r="S361" s="213"/>
      <c r="T361" s="213"/>
      <c r="U361" s="213"/>
      <c r="V361" s="213"/>
      <c r="W361" s="213"/>
      <c r="X361" s="643"/>
      <c r="Y361" s="616">
        <f t="shared" si="22"/>
        <v>0</v>
      </c>
      <c r="Z361" s="633"/>
      <c r="AA361" s="547"/>
      <c r="AB361" s="547"/>
      <c r="AC361" s="7"/>
      <c r="AD361" s="699"/>
      <c r="AE361" s="7"/>
      <c r="AF361" s="618">
        <f t="shared" si="21"/>
        <v>0</v>
      </c>
      <c r="AG361" s="7"/>
      <c r="AH361" s="7"/>
      <c r="AI361" s="7"/>
      <c r="AJ361" s="7"/>
      <c r="AK361" s="7"/>
      <c r="AL361" s="7"/>
    </row>
    <row r="362" spans="1:38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5"/>
      <c r="I362" s="215"/>
      <c r="J362" s="214"/>
      <c r="K362" s="221"/>
      <c r="L362" s="662"/>
      <c r="M362" s="213"/>
      <c r="N362" s="213"/>
      <c r="O362" s="215"/>
      <c r="P362" s="213"/>
      <c r="Q362" s="213"/>
      <c r="R362" s="213"/>
      <c r="S362" s="213"/>
      <c r="T362" s="213"/>
      <c r="U362" s="213"/>
      <c r="V362" s="213"/>
      <c r="W362" s="213"/>
      <c r="X362" s="643"/>
      <c r="Y362" s="616">
        <f t="shared" si="22"/>
        <v>0</v>
      </c>
      <c r="Z362" s="633"/>
      <c r="AA362" s="241"/>
      <c r="AB362" s="241"/>
      <c r="AC362" s="7"/>
      <c r="AD362" s="699"/>
      <c r="AE362" s="7"/>
      <c r="AF362" s="618">
        <f t="shared" si="21"/>
        <v>0</v>
      </c>
      <c r="AG362" s="7"/>
      <c r="AH362" s="7"/>
      <c r="AI362" s="7"/>
      <c r="AJ362" s="7"/>
      <c r="AK362" s="7"/>
      <c r="AL362" s="7"/>
    </row>
    <row r="363" spans="1:38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5"/>
      <c r="I363" s="215"/>
      <c r="J363" s="214"/>
      <c r="K363" s="221"/>
      <c r="L363" s="662"/>
      <c r="M363" s="213"/>
      <c r="N363" s="213"/>
      <c r="O363" s="215"/>
      <c r="P363" s="213"/>
      <c r="Q363" s="213"/>
      <c r="R363" s="213"/>
      <c r="S363" s="213"/>
      <c r="T363" s="213"/>
      <c r="U363" s="213"/>
      <c r="V363" s="213"/>
      <c r="W363" s="213"/>
      <c r="X363" s="643"/>
      <c r="Y363" s="616">
        <f t="shared" si="22"/>
        <v>0</v>
      </c>
      <c r="Z363" s="633"/>
      <c r="AA363" s="241"/>
      <c r="AB363" s="241"/>
      <c r="AC363" s="7"/>
      <c r="AD363" s="699"/>
      <c r="AE363" s="7"/>
      <c r="AF363" s="618">
        <f t="shared" si="21"/>
        <v>0</v>
      </c>
      <c r="AG363" s="7"/>
      <c r="AH363" s="7"/>
      <c r="AI363" s="7"/>
      <c r="AJ363" s="7"/>
      <c r="AK363" s="7"/>
      <c r="AL363" s="7"/>
    </row>
    <row r="364" spans="1:38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5"/>
      <c r="I364" s="215"/>
      <c r="J364" s="214"/>
      <c r="K364" s="221"/>
      <c r="L364" s="662"/>
      <c r="M364" s="213"/>
      <c r="N364" s="213"/>
      <c r="O364" s="215"/>
      <c r="P364" s="213"/>
      <c r="Q364" s="213"/>
      <c r="R364" s="213"/>
      <c r="S364" s="213"/>
      <c r="T364" s="213"/>
      <c r="U364" s="213"/>
      <c r="V364" s="213"/>
      <c r="W364" s="213"/>
      <c r="X364" s="643"/>
      <c r="Y364" s="616">
        <f t="shared" si="22"/>
        <v>0</v>
      </c>
      <c r="Z364" s="633"/>
      <c r="AA364" s="241"/>
      <c r="AB364" s="241"/>
      <c r="AC364" s="7"/>
      <c r="AD364" s="699"/>
      <c r="AE364" s="7"/>
      <c r="AF364" s="618">
        <f t="shared" si="21"/>
        <v>0</v>
      </c>
      <c r="AG364" s="7"/>
      <c r="AH364" s="7"/>
      <c r="AI364" s="7"/>
      <c r="AJ364" s="7"/>
      <c r="AK364" s="7"/>
      <c r="AL364" s="7"/>
    </row>
    <row r="365" spans="1:38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5"/>
      <c r="I365" s="215"/>
      <c r="J365" s="214"/>
      <c r="K365" s="221"/>
      <c r="L365" s="662"/>
      <c r="M365" s="213"/>
      <c r="N365" s="213"/>
      <c r="O365" s="215"/>
      <c r="P365" s="213"/>
      <c r="Q365" s="213"/>
      <c r="R365" s="213"/>
      <c r="S365" s="213"/>
      <c r="T365" s="213"/>
      <c r="U365" s="213"/>
      <c r="V365" s="213"/>
      <c r="W365" s="213"/>
      <c r="X365" s="643"/>
      <c r="Y365" s="616">
        <f t="shared" si="22"/>
        <v>0</v>
      </c>
      <c r="Z365" s="633"/>
      <c r="AA365" s="241"/>
      <c r="AB365" s="241"/>
      <c r="AC365" s="7"/>
      <c r="AD365" s="699"/>
      <c r="AE365" s="7"/>
      <c r="AF365" s="618">
        <f t="shared" si="21"/>
        <v>0</v>
      </c>
      <c r="AG365" s="7"/>
      <c r="AH365" s="7"/>
      <c r="AI365" s="7"/>
      <c r="AJ365" s="7"/>
      <c r="AK365" s="7"/>
      <c r="AL365" s="7"/>
    </row>
    <row r="366" spans="1:38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5"/>
      <c r="I366" s="215"/>
      <c r="J366" s="214"/>
      <c r="K366" s="221"/>
      <c r="L366" s="662"/>
      <c r="M366" s="213"/>
      <c r="N366" s="213"/>
      <c r="O366" s="215"/>
      <c r="P366" s="213"/>
      <c r="Q366" s="213"/>
      <c r="R366" s="213"/>
      <c r="S366" s="213"/>
      <c r="T366" s="213"/>
      <c r="U366" s="213"/>
      <c r="V366" s="213"/>
      <c r="W366" s="213"/>
      <c r="X366" s="643"/>
      <c r="Y366" s="616">
        <f t="shared" si="22"/>
        <v>0</v>
      </c>
      <c r="Z366" s="633"/>
      <c r="AA366" s="547"/>
      <c r="AB366" s="547"/>
      <c r="AC366" s="7"/>
      <c r="AD366" s="699"/>
      <c r="AE366" s="7"/>
      <c r="AF366" s="618">
        <f t="shared" si="21"/>
        <v>0</v>
      </c>
      <c r="AG366" s="7"/>
      <c r="AH366" s="7"/>
      <c r="AI366" s="7"/>
      <c r="AJ366" s="7"/>
      <c r="AK366" s="7"/>
      <c r="AL366" s="7"/>
    </row>
    <row r="367" spans="1:38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5"/>
      <c r="I367" s="215"/>
      <c r="J367" s="214"/>
      <c r="K367" s="221"/>
      <c r="L367" s="662"/>
      <c r="M367" s="213"/>
      <c r="N367" s="213"/>
      <c r="O367" s="215"/>
      <c r="P367" s="213"/>
      <c r="Q367" s="213"/>
      <c r="R367" s="213"/>
      <c r="S367" s="213"/>
      <c r="T367" s="213"/>
      <c r="U367" s="213"/>
      <c r="V367" s="213"/>
      <c r="W367" s="213"/>
      <c r="X367" s="643"/>
      <c r="Y367" s="616">
        <f t="shared" si="22"/>
        <v>0</v>
      </c>
      <c r="Z367" s="633"/>
      <c r="AA367" s="547"/>
      <c r="AB367" s="547"/>
      <c r="AC367" s="7"/>
      <c r="AD367" s="699"/>
      <c r="AE367" s="7"/>
      <c r="AF367" s="618">
        <f t="shared" si="21"/>
        <v>0</v>
      </c>
      <c r="AG367" s="7"/>
      <c r="AH367" s="7"/>
      <c r="AI367" s="7"/>
      <c r="AJ367" s="7"/>
      <c r="AK367" s="7"/>
      <c r="AL367" s="7"/>
    </row>
    <row r="368" spans="1:38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5"/>
      <c r="I368" s="215"/>
      <c r="J368" s="214"/>
      <c r="K368" s="221"/>
      <c r="L368" s="662"/>
      <c r="M368" s="213"/>
      <c r="N368" s="213"/>
      <c r="O368" s="215"/>
      <c r="P368" s="213"/>
      <c r="Q368" s="213"/>
      <c r="R368" s="213"/>
      <c r="S368" s="213"/>
      <c r="T368" s="213"/>
      <c r="U368" s="213"/>
      <c r="V368" s="213"/>
      <c r="W368" s="213"/>
      <c r="X368" s="643"/>
      <c r="Y368" s="616">
        <f t="shared" si="22"/>
        <v>0</v>
      </c>
      <c r="Z368" s="633"/>
      <c r="AA368" s="640"/>
      <c r="AB368" s="640"/>
      <c r="AC368" s="7"/>
      <c r="AD368" s="699"/>
      <c r="AE368" s="7"/>
      <c r="AF368" s="618">
        <f t="shared" si="21"/>
        <v>0</v>
      </c>
      <c r="AG368" s="7"/>
      <c r="AH368" s="7"/>
      <c r="AI368" s="7"/>
      <c r="AJ368" s="7"/>
      <c r="AK368" s="7"/>
      <c r="AL368" s="7"/>
    </row>
    <row r="369" spans="1:38" ht="21.75" customHeight="1">
      <c r="A369" s="486"/>
      <c r="B369" s="487" t="s">
        <v>803</v>
      </c>
      <c r="C369" s="635" t="s">
        <v>1083</v>
      </c>
      <c r="D369" s="412" t="s">
        <v>805</v>
      </c>
      <c r="E369" s="213">
        <v>3</v>
      </c>
      <c r="F369" s="213"/>
      <c r="G369" s="213"/>
      <c r="H369" s="215"/>
      <c r="I369" s="215"/>
      <c r="J369" s="214"/>
      <c r="K369" s="221"/>
      <c r="L369" s="620"/>
      <c r="M369" s="213"/>
      <c r="N369" s="213"/>
      <c r="O369" s="215"/>
      <c r="P369" s="213"/>
      <c r="Q369" s="213"/>
      <c r="R369" s="213"/>
      <c r="S369" s="213"/>
      <c r="T369" s="213"/>
      <c r="U369" s="213"/>
      <c r="V369" s="213"/>
      <c r="W369" s="213"/>
      <c r="X369" s="657"/>
      <c r="Y369" s="616">
        <f t="shared" si="22"/>
        <v>3</v>
      </c>
      <c r="Z369" s="633"/>
      <c r="AA369" s="636"/>
      <c r="AB369" s="636"/>
      <c r="AC369" s="7"/>
      <c r="AD369" s="699">
        <v>38</v>
      </c>
      <c r="AE369" s="7"/>
      <c r="AF369" s="618">
        <f t="shared" si="21"/>
        <v>35</v>
      </c>
      <c r="AG369" s="7"/>
      <c r="AH369" s="7"/>
      <c r="AI369" s="7"/>
      <c r="AJ369" s="7"/>
      <c r="AK369" s="7"/>
      <c r="AL369" s="7"/>
    </row>
    <row r="370" spans="1:38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5"/>
      <c r="I370" s="215"/>
      <c r="J370" s="214"/>
      <c r="K370" s="221"/>
      <c r="L370" s="647"/>
      <c r="M370" s="213"/>
      <c r="N370" s="213"/>
      <c r="O370" s="215"/>
      <c r="P370" s="213"/>
      <c r="Q370" s="213"/>
      <c r="R370" s="213"/>
      <c r="S370" s="213"/>
      <c r="T370" s="213"/>
      <c r="U370" s="213"/>
      <c r="V370" s="213"/>
      <c r="W370" s="213"/>
      <c r="X370" s="643"/>
      <c r="Y370" s="616">
        <f t="shared" si="22"/>
        <v>0</v>
      </c>
      <c r="Z370" s="633"/>
      <c r="AA370" s="648"/>
      <c r="AB370" s="648"/>
      <c r="AC370" s="7"/>
      <c r="AD370" s="699"/>
      <c r="AE370" s="7"/>
      <c r="AF370" s="618">
        <f t="shared" si="21"/>
        <v>0</v>
      </c>
      <c r="AG370" s="7"/>
      <c r="AH370" s="7"/>
      <c r="AI370" s="7"/>
      <c r="AJ370" s="7"/>
      <c r="AK370" s="7"/>
      <c r="AL370" s="7"/>
    </row>
    <row r="371" spans="1:38" ht="21.75" customHeight="1">
      <c r="A371" s="503"/>
      <c r="B371" s="483" t="s">
        <v>810</v>
      </c>
      <c r="C371" s="629" t="s">
        <v>811</v>
      </c>
      <c r="D371" s="504" t="s">
        <v>132</v>
      </c>
      <c r="E371" s="213">
        <v>3</v>
      </c>
      <c r="F371" s="213"/>
      <c r="G371" s="213"/>
      <c r="H371" s="215"/>
      <c r="I371" s="215"/>
      <c r="J371" s="214"/>
      <c r="K371" s="221"/>
      <c r="L371" s="647"/>
      <c r="M371" s="213"/>
      <c r="N371" s="213"/>
      <c r="O371" s="215"/>
      <c r="P371" s="213"/>
      <c r="Q371" s="213"/>
      <c r="R371" s="213"/>
      <c r="S371" s="213"/>
      <c r="T371" s="213"/>
      <c r="U371" s="213"/>
      <c r="V371" s="213"/>
      <c r="W371" s="213"/>
      <c r="X371" s="643"/>
      <c r="Y371" s="616">
        <f t="shared" si="22"/>
        <v>3</v>
      </c>
      <c r="Z371" s="633"/>
      <c r="AA371" s="648"/>
      <c r="AB371" s="648"/>
      <c r="AC371" s="7"/>
      <c r="AD371" s="699"/>
      <c r="AE371" s="7"/>
      <c r="AF371" s="618"/>
      <c r="AG371" s="7"/>
      <c r="AH371" s="7"/>
      <c r="AI371" s="7"/>
      <c r="AJ371" s="7"/>
      <c r="AK371" s="7"/>
      <c r="AL371" s="7"/>
    </row>
    <row r="372" spans="1:38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5"/>
      <c r="I372" s="215"/>
      <c r="J372" s="214"/>
      <c r="K372" s="221"/>
      <c r="L372" s="620"/>
      <c r="M372" s="213"/>
      <c r="N372" s="213"/>
      <c r="O372" s="215"/>
      <c r="P372" s="213"/>
      <c r="Q372" s="213"/>
      <c r="R372" s="213"/>
      <c r="S372" s="213"/>
      <c r="T372" s="213"/>
      <c r="U372" s="213"/>
      <c r="V372" s="213"/>
      <c r="W372" s="213"/>
      <c r="X372" s="657"/>
      <c r="Y372" s="616">
        <f t="shared" si="22"/>
        <v>0</v>
      </c>
      <c r="Z372" s="633"/>
      <c r="AA372" s="636"/>
      <c r="AB372" s="636"/>
      <c r="AC372" s="7"/>
      <c r="AD372" s="699">
        <v>510</v>
      </c>
      <c r="AE372" s="7"/>
      <c r="AF372" s="618">
        <f t="shared" ref="AF372:AF447" si="23">AD372-Y372</f>
        <v>510</v>
      </c>
      <c r="AG372" s="7"/>
      <c r="AH372" s="7"/>
      <c r="AI372" s="7"/>
      <c r="AJ372" s="7"/>
      <c r="AK372" s="7"/>
      <c r="AL372" s="7"/>
    </row>
    <row r="373" spans="1:38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5"/>
      <c r="I373" s="215"/>
      <c r="J373" s="214"/>
      <c r="K373" s="221"/>
      <c r="L373" s="647"/>
      <c r="M373" s="213"/>
      <c r="N373" s="213"/>
      <c r="O373" s="215"/>
      <c r="P373" s="213"/>
      <c r="Q373" s="213"/>
      <c r="R373" s="213"/>
      <c r="S373" s="213"/>
      <c r="T373" s="213"/>
      <c r="U373" s="213"/>
      <c r="V373" s="213"/>
      <c r="W373" s="213"/>
      <c r="X373" s="643"/>
      <c r="Y373" s="616">
        <f t="shared" si="22"/>
        <v>0</v>
      </c>
      <c r="Z373" s="633"/>
      <c r="AA373" s="648"/>
      <c r="AB373" s="648"/>
      <c r="AC373" s="7"/>
      <c r="AD373" s="699"/>
      <c r="AE373" s="7"/>
      <c r="AF373" s="618">
        <f t="shared" si="23"/>
        <v>0</v>
      </c>
      <c r="AG373" s="7"/>
      <c r="AH373" s="7"/>
      <c r="AI373" s="7"/>
      <c r="AJ373" s="7"/>
      <c r="AK373" s="7"/>
      <c r="AL373" s="7"/>
    </row>
    <row r="374" spans="1:38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5"/>
      <c r="I374" s="215"/>
      <c r="J374" s="214"/>
      <c r="K374" s="221"/>
      <c r="L374" s="647"/>
      <c r="M374" s="213"/>
      <c r="N374" s="213"/>
      <c r="O374" s="215"/>
      <c r="P374" s="213"/>
      <c r="Q374" s="213"/>
      <c r="R374" s="213"/>
      <c r="S374" s="213"/>
      <c r="T374" s="213"/>
      <c r="U374" s="213"/>
      <c r="V374" s="213"/>
      <c r="W374" s="213"/>
      <c r="X374" s="643"/>
      <c r="Y374" s="616">
        <f t="shared" si="22"/>
        <v>0</v>
      </c>
      <c r="Z374" s="633"/>
      <c r="AA374" s="648"/>
      <c r="AB374" s="648"/>
      <c r="AC374" s="7"/>
      <c r="AD374" s="699"/>
      <c r="AE374" s="7"/>
      <c r="AF374" s="618">
        <f t="shared" si="23"/>
        <v>0</v>
      </c>
      <c r="AG374" s="7"/>
      <c r="AH374" s="7"/>
      <c r="AI374" s="7"/>
      <c r="AJ374" s="7"/>
      <c r="AK374" s="7"/>
      <c r="AL374" s="7"/>
    </row>
    <row r="375" spans="1:38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5"/>
      <c r="I375" s="215"/>
      <c r="J375" s="214"/>
      <c r="K375" s="221"/>
      <c r="L375" s="620"/>
      <c r="M375" s="213"/>
      <c r="N375" s="213"/>
      <c r="O375" s="215"/>
      <c r="P375" s="213"/>
      <c r="Q375" s="213"/>
      <c r="R375" s="213"/>
      <c r="S375" s="213"/>
      <c r="T375" s="213"/>
      <c r="U375" s="213"/>
      <c r="V375" s="213"/>
      <c r="W375" s="213"/>
      <c r="X375" s="643"/>
      <c r="Y375" s="616">
        <f t="shared" si="22"/>
        <v>0</v>
      </c>
      <c r="Z375" s="633"/>
      <c r="AA375" s="636"/>
      <c r="AB375" s="636"/>
      <c r="AC375" s="7"/>
      <c r="AD375" s="704"/>
      <c r="AE375" s="7"/>
      <c r="AF375" s="618">
        <f t="shared" si="23"/>
        <v>0</v>
      </c>
      <c r="AG375" s="7"/>
      <c r="AH375" s="7"/>
      <c r="AI375" s="7"/>
      <c r="AJ375" s="7"/>
      <c r="AK375" s="7"/>
      <c r="AL375" s="7"/>
    </row>
    <row r="376" spans="1:38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5"/>
      <c r="I376" s="215"/>
      <c r="J376" s="214"/>
      <c r="K376" s="221"/>
      <c r="L376" s="647"/>
      <c r="M376" s="213"/>
      <c r="N376" s="213"/>
      <c r="O376" s="215"/>
      <c r="P376" s="213"/>
      <c r="Q376" s="213"/>
      <c r="R376" s="213"/>
      <c r="S376" s="213"/>
      <c r="T376" s="213"/>
      <c r="U376" s="213"/>
      <c r="V376" s="213"/>
      <c r="W376" s="213"/>
      <c r="X376" s="643"/>
      <c r="Y376" s="616">
        <f t="shared" si="22"/>
        <v>0</v>
      </c>
      <c r="Z376" s="633"/>
      <c r="AA376" s="648"/>
      <c r="AB376" s="648"/>
      <c r="AC376" s="7"/>
      <c r="AD376" s="704"/>
      <c r="AE376" s="7"/>
      <c r="AF376" s="618">
        <f t="shared" si="23"/>
        <v>0</v>
      </c>
      <c r="AG376" s="7"/>
      <c r="AH376" s="7"/>
      <c r="AI376" s="7"/>
      <c r="AJ376" s="7"/>
      <c r="AK376" s="7"/>
      <c r="AL376" s="7"/>
    </row>
    <row r="377" spans="1:38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5"/>
      <c r="I377" s="215"/>
      <c r="J377" s="214"/>
      <c r="K377" s="221"/>
      <c r="L377" s="647"/>
      <c r="M377" s="213"/>
      <c r="N377" s="213"/>
      <c r="O377" s="215"/>
      <c r="P377" s="213"/>
      <c r="Q377" s="213"/>
      <c r="R377" s="213"/>
      <c r="S377" s="213"/>
      <c r="T377" s="213"/>
      <c r="U377" s="213"/>
      <c r="V377" s="213"/>
      <c r="W377" s="213"/>
      <c r="X377" s="643"/>
      <c r="Y377" s="616">
        <f t="shared" si="22"/>
        <v>0</v>
      </c>
      <c r="Z377" s="633"/>
      <c r="AA377" s="648"/>
      <c r="AB377" s="648"/>
      <c r="AC377" s="7"/>
      <c r="AD377" s="704"/>
      <c r="AE377" s="7"/>
      <c r="AF377" s="618">
        <f t="shared" si="23"/>
        <v>0</v>
      </c>
      <c r="AG377" s="7"/>
      <c r="AH377" s="7"/>
      <c r="AI377" s="7"/>
      <c r="AJ377" s="7"/>
      <c r="AK377" s="7"/>
      <c r="AL377" s="7"/>
    </row>
    <row r="378" spans="1:38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5"/>
      <c r="I378" s="215"/>
      <c r="J378" s="214"/>
      <c r="K378" s="221"/>
      <c r="L378" s="620"/>
      <c r="M378" s="213"/>
      <c r="N378" s="213"/>
      <c r="O378" s="215"/>
      <c r="P378" s="213"/>
      <c r="Q378" s="213"/>
      <c r="R378" s="213"/>
      <c r="S378" s="213"/>
      <c r="T378" s="213"/>
      <c r="U378" s="213"/>
      <c r="V378" s="213"/>
      <c r="W378" s="213"/>
      <c r="X378" s="643"/>
      <c r="Y378" s="616">
        <f t="shared" si="22"/>
        <v>0</v>
      </c>
      <c r="Z378" s="633"/>
      <c r="AA378" s="636"/>
      <c r="AB378" s="636"/>
      <c r="AC378" s="7"/>
      <c r="AD378" s="704"/>
      <c r="AE378" s="7"/>
      <c r="AF378" s="618">
        <f t="shared" si="23"/>
        <v>0</v>
      </c>
      <c r="AG378" s="7"/>
      <c r="AH378" s="7"/>
      <c r="AI378" s="7"/>
      <c r="AJ378" s="7"/>
      <c r="AK378" s="7"/>
      <c r="AL378" s="7"/>
    </row>
    <row r="379" spans="1:38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5"/>
      <c r="I379" s="215"/>
      <c r="J379" s="214"/>
      <c r="K379" s="221"/>
      <c r="L379" s="647"/>
      <c r="M379" s="213"/>
      <c r="N379" s="213"/>
      <c r="O379" s="215"/>
      <c r="P379" s="213"/>
      <c r="Q379" s="213"/>
      <c r="R379" s="213"/>
      <c r="S379" s="213"/>
      <c r="T379" s="213"/>
      <c r="U379" s="213"/>
      <c r="V379" s="213"/>
      <c r="W379" s="213"/>
      <c r="X379" s="643"/>
      <c r="Y379" s="616">
        <f t="shared" si="22"/>
        <v>0</v>
      </c>
      <c r="Z379" s="633"/>
      <c r="AA379" s="648"/>
      <c r="AB379" s="648"/>
      <c r="AC379" s="7"/>
      <c r="AD379" s="704"/>
      <c r="AE379" s="7"/>
      <c r="AF379" s="618">
        <f t="shared" si="23"/>
        <v>0</v>
      </c>
      <c r="AG379" s="7"/>
      <c r="AH379" s="7"/>
      <c r="AI379" s="7"/>
      <c r="AJ379" s="7"/>
      <c r="AK379" s="7"/>
      <c r="AL379" s="7"/>
    </row>
    <row r="380" spans="1:38" ht="21.75" customHeight="1">
      <c r="A380" s="503" t="s">
        <v>1499</v>
      </c>
      <c r="B380" s="483" t="s">
        <v>828</v>
      </c>
      <c r="C380" s="658" t="s">
        <v>829</v>
      </c>
      <c r="D380" s="504" t="s">
        <v>1866</v>
      </c>
      <c r="E380" s="213"/>
      <c r="F380" s="213"/>
      <c r="G380" s="213"/>
      <c r="H380" s="215"/>
      <c r="I380" s="215"/>
      <c r="J380" s="214"/>
      <c r="K380" s="221"/>
      <c r="L380" s="647"/>
      <c r="M380" s="213"/>
      <c r="N380" s="213"/>
      <c r="O380" s="215"/>
      <c r="P380" s="213"/>
      <c r="Q380" s="213"/>
      <c r="R380" s="213"/>
      <c r="S380" s="213"/>
      <c r="T380" s="213"/>
      <c r="U380" s="213"/>
      <c r="V380" s="213"/>
      <c r="W380" s="213"/>
      <c r="X380" s="643"/>
      <c r="Y380" s="616">
        <f t="shared" si="22"/>
        <v>0</v>
      </c>
      <c r="Z380" s="633"/>
      <c r="AA380" s="648"/>
      <c r="AB380" s="648"/>
      <c r="AC380" s="7"/>
      <c r="AD380" s="704"/>
      <c r="AE380" s="7"/>
      <c r="AF380" s="618">
        <f t="shared" si="23"/>
        <v>0</v>
      </c>
      <c r="AG380" s="7"/>
      <c r="AH380" s="7"/>
      <c r="AI380" s="7"/>
      <c r="AJ380" s="7"/>
      <c r="AK380" s="7"/>
      <c r="AL380" s="7"/>
    </row>
    <row r="381" spans="1:38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5"/>
      <c r="I381" s="215"/>
      <c r="J381" s="214"/>
      <c r="K381" s="221"/>
      <c r="L381" s="647"/>
      <c r="M381" s="213"/>
      <c r="N381" s="213"/>
      <c r="O381" s="215"/>
      <c r="P381" s="213"/>
      <c r="Q381" s="213"/>
      <c r="R381" s="213"/>
      <c r="S381" s="213"/>
      <c r="T381" s="213"/>
      <c r="U381" s="213"/>
      <c r="V381" s="213"/>
      <c r="W381" s="213"/>
      <c r="X381" s="643"/>
      <c r="Y381" s="616">
        <f t="shared" si="22"/>
        <v>0</v>
      </c>
      <c r="Z381" s="633"/>
      <c r="AA381" s="648"/>
      <c r="AB381" s="648"/>
      <c r="AC381" s="7"/>
      <c r="AD381" s="704"/>
      <c r="AE381" s="7"/>
      <c r="AF381" s="618">
        <f t="shared" si="23"/>
        <v>0</v>
      </c>
      <c r="AG381" s="7"/>
      <c r="AH381" s="7"/>
      <c r="AI381" s="7"/>
      <c r="AJ381" s="7"/>
      <c r="AK381" s="7"/>
      <c r="AL381" s="7"/>
    </row>
    <row r="382" spans="1:38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5"/>
      <c r="I382" s="215"/>
      <c r="J382" s="214"/>
      <c r="K382" s="221"/>
      <c r="L382" s="620"/>
      <c r="M382" s="213"/>
      <c r="N382" s="213"/>
      <c r="O382" s="215"/>
      <c r="P382" s="213"/>
      <c r="Q382" s="213"/>
      <c r="R382" s="213"/>
      <c r="S382" s="213"/>
      <c r="T382" s="213"/>
      <c r="U382" s="213"/>
      <c r="V382" s="213"/>
      <c r="W382" s="213"/>
      <c r="X382" s="643"/>
      <c r="Y382" s="616">
        <f t="shared" si="22"/>
        <v>0</v>
      </c>
      <c r="Z382" s="633"/>
      <c r="AA382" s="636"/>
      <c r="AB382" s="636"/>
      <c r="AC382" s="7"/>
      <c r="AD382" s="704"/>
      <c r="AE382" s="7"/>
      <c r="AF382" s="618">
        <f t="shared" si="23"/>
        <v>0</v>
      </c>
      <c r="AG382" s="7"/>
      <c r="AH382" s="7"/>
      <c r="AI382" s="7"/>
      <c r="AJ382" s="7"/>
      <c r="AK382" s="7"/>
      <c r="AL382" s="7"/>
    </row>
    <row r="383" spans="1:38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5"/>
      <c r="I383" s="215"/>
      <c r="J383" s="214"/>
      <c r="K383" s="221"/>
      <c r="L383" s="620"/>
      <c r="M383" s="213"/>
      <c r="N383" s="213"/>
      <c r="O383" s="215"/>
      <c r="P383" s="213"/>
      <c r="Q383" s="213"/>
      <c r="R383" s="213"/>
      <c r="S383" s="213"/>
      <c r="T383" s="213"/>
      <c r="U383" s="213"/>
      <c r="V383" s="213"/>
      <c r="W383" s="213"/>
      <c r="X383" s="643"/>
      <c r="Y383" s="616">
        <f t="shared" si="22"/>
        <v>0</v>
      </c>
      <c r="Z383" s="633"/>
      <c r="AA383" s="636"/>
      <c r="AB383" s="636"/>
      <c r="AC383" s="7"/>
      <c r="AD383" s="704"/>
      <c r="AE383" s="7"/>
      <c r="AF383" s="618">
        <f t="shared" si="23"/>
        <v>0</v>
      </c>
      <c r="AG383" s="7"/>
      <c r="AH383" s="7"/>
      <c r="AI383" s="7"/>
      <c r="AJ383" s="7"/>
      <c r="AK383" s="7"/>
      <c r="AL383" s="7"/>
    </row>
    <row r="384" spans="1:38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5"/>
      <c r="I384" s="215"/>
      <c r="J384" s="214"/>
      <c r="K384" s="221"/>
      <c r="L384" s="620"/>
      <c r="M384" s="213"/>
      <c r="N384" s="213"/>
      <c r="O384" s="215"/>
      <c r="P384" s="213"/>
      <c r="Q384" s="213"/>
      <c r="R384" s="213"/>
      <c r="S384" s="213"/>
      <c r="T384" s="213"/>
      <c r="U384" s="213"/>
      <c r="V384" s="213"/>
      <c r="W384" s="213"/>
      <c r="X384" s="643"/>
      <c r="Y384" s="616">
        <f t="shared" si="22"/>
        <v>0</v>
      </c>
      <c r="Z384" s="633"/>
      <c r="AA384" s="648"/>
      <c r="AB384" s="648"/>
      <c r="AC384" s="7"/>
      <c r="AD384" s="704"/>
      <c r="AE384" s="7"/>
      <c r="AF384" s="618">
        <f t="shared" si="23"/>
        <v>0</v>
      </c>
      <c r="AG384" s="7"/>
      <c r="AH384" s="7"/>
      <c r="AI384" s="7"/>
      <c r="AJ384" s="7"/>
      <c r="AK384" s="7"/>
      <c r="AL384" s="7"/>
    </row>
    <row r="385" spans="1:38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5"/>
      <c r="I385" s="215"/>
      <c r="J385" s="214"/>
      <c r="K385" s="221"/>
      <c r="L385" s="620"/>
      <c r="M385" s="213"/>
      <c r="N385" s="213"/>
      <c r="O385" s="215"/>
      <c r="P385" s="213"/>
      <c r="Q385" s="213"/>
      <c r="R385" s="213"/>
      <c r="S385" s="213"/>
      <c r="T385" s="213"/>
      <c r="U385" s="213"/>
      <c r="V385" s="213"/>
      <c r="W385" s="213"/>
      <c r="X385" s="643"/>
      <c r="Y385" s="616">
        <f t="shared" si="22"/>
        <v>0</v>
      </c>
      <c r="Z385" s="633"/>
      <c r="AA385" s="648"/>
      <c r="AB385" s="648"/>
      <c r="AC385" s="7"/>
      <c r="AD385" s="704"/>
      <c r="AE385" s="7"/>
      <c r="AF385" s="618">
        <f t="shared" si="23"/>
        <v>0</v>
      </c>
      <c r="AG385" s="7"/>
      <c r="AH385" s="7"/>
      <c r="AI385" s="7"/>
      <c r="AJ385" s="7"/>
      <c r="AK385" s="7"/>
      <c r="AL385" s="7"/>
    </row>
    <row r="386" spans="1:38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5"/>
      <c r="I386" s="215"/>
      <c r="J386" s="214"/>
      <c r="K386" s="221"/>
      <c r="L386" s="620"/>
      <c r="M386" s="213"/>
      <c r="N386" s="213"/>
      <c r="O386" s="215"/>
      <c r="P386" s="213"/>
      <c r="Q386" s="213"/>
      <c r="R386" s="213"/>
      <c r="S386" s="213"/>
      <c r="T386" s="213"/>
      <c r="U386" s="213"/>
      <c r="V386" s="213"/>
      <c r="W386" s="213"/>
      <c r="X386" s="643"/>
      <c r="Y386" s="616">
        <f t="shared" si="22"/>
        <v>0</v>
      </c>
      <c r="Z386" s="633"/>
      <c r="AA386" s="648"/>
      <c r="AB386" s="648"/>
      <c r="AC386" s="7"/>
      <c r="AD386" s="704"/>
      <c r="AE386" s="7"/>
      <c r="AF386" s="618">
        <f t="shared" si="23"/>
        <v>0</v>
      </c>
      <c r="AG386" s="7"/>
      <c r="AH386" s="7"/>
      <c r="AI386" s="7"/>
      <c r="AJ386" s="7"/>
      <c r="AK386" s="7"/>
      <c r="AL386" s="7"/>
    </row>
    <row r="387" spans="1:38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5"/>
      <c r="I387" s="215"/>
      <c r="J387" s="214"/>
      <c r="K387" s="221"/>
      <c r="L387" s="620"/>
      <c r="M387" s="213"/>
      <c r="N387" s="213"/>
      <c r="O387" s="215"/>
      <c r="P387" s="213"/>
      <c r="Q387" s="213"/>
      <c r="R387" s="213"/>
      <c r="S387" s="213"/>
      <c r="T387" s="213"/>
      <c r="U387" s="213"/>
      <c r="V387" s="213"/>
      <c r="W387" s="213"/>
      <c r="X387" s="643"/>
      <c r="Y387" s="616">
        <f t="shared" si="22"/>
        <v>0</v>
      </c>
      <c r="Z387" s="633"/>
      <c r="AA387" s="648"/>
      <c r="AB387" s="648"/>
      <c r="AC387" s="7"/>
      <c r="AD387" s="704"/>
      <c r="AE387" s="7"/>
      <c r="AF387" s="618">
        <f t="shared" si="23"/>
        <v>0</v>
      </c>
      <c r="AG387" s="7"/>
      <c r="AH387" s="7"/>
      <c r="AI387" s="7"/>
      <c r="AJ387" s="7"/>
      <c r="AK387" s="7"/>
      <c r="AL387" s="7"/>
    </row>
    <row r="388" spans="1:38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5"/>
      <c r="I388" s="215"/>
      <c r="J388" s="214"/>
      <c r="K388" s="221"/>
      <c r="L388" s="620"/>
      <c r="M388" s="213"/>
      <c r="N388" s="213"/>
      <c r="O388" s="215"/>
      <c r="P388" s="213"/>
      <c r="Q388" s="213"/>
      <c r="R388" s="213"/>
      <c r="S388" s="213"/>
      <c r="T388" s="213"/>
      <c r="U388" s="213"/>
      <c r="V388" s="213"/>
      <c r="W388" s="213"/>
      <c r="X388" s="643"/>
      <c r="Y388" s="616">
        <f t="shared" si="22"/>
        <v>0</v>
      </c>
      <c r="Z388" s="633"/>
      <c r="AA388" s="636"/>
      <c r="AB388" s="636"/>
      <c r="AC388" s="7"/>
      <c r="AD388" s="704"/>
      <c r="AE388" s="7"/>
      <c r="AF388" s="618">
        <f t="shared" si="23"/>
        <v>0</v>
      </c>
      <c r="AG388" s="7"/>
      <c r="AH388" s="7"/>
      <c r="AI388" s="7"/>
      <c r="AJ388" s="7"/>
      <c r="AK388" s="7"/>
      <c r="AL388" s="7"/>
    </row>
    <row r="389" spans="1:38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5"/>
      <c r="I389" s="215"/>
      <c r="J389" s="214"/>
      <c r="K389" s="221"/>
      <c r="L389" s="620"/>
      <c r="M389" s="213"/>
      <c r="N389" s="213"/>
      <c r="O389" s="215"/>
      <c r="P389" s="213"/>
      <c r="Q389" s="213"/>
      <c r="R389" s="213"/>
      <c r="S389" s="213"/>
      <c r="T389" s="213"/>
      <c r="U389" s="213"/>
      <c r="V389" s="213"/>
      <c r="W389" s="213"/>
      <c r="X389" s="643"/>
      <c r="Y389" s="616">
        <f t="shared" si="22"/>
        <v>0</v>
      </c>
      <c r="Z389" s="633"/>
      <c r="AA389" s="636"/>
      <c r="AB389" s="636"/>
      <c r="AC389" s="7"/>
      <c r="AD389" s="704"/>
      <c r="AE389" s="7"/>
      <c r="AF389" s="618">
        <f t="shared" si="23"/>
        <v>0</v>
      </c>
      <c r="AG389" s="7"/>
      <c r="AH389" s="7"/>
      <c r="AI389" s="7"/>
      <c r="AJ389" s="7"/>
      <c r="AK389" s="7"/>
      <c r="AL389" s="7"/>
    </row>
    <row r="390" spans="1:38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5"/>
      <c r="I390" s="215"/>
      <c r="J390" s="214"/>
      <c r="K390" s="221"/>
      <c r="L390" s="662"/>
      <c r="M390" s="213"/>
      <c r="N390" s="213"/>
      <c r="O390" s="215"/>
      <c r="P390" s="213"/>
      <c r="Q390" s="213"/>
      <c r="R390" s="213"/>
      <c r="S390" s="213"/>
      <c r="T390" s="213"/>
      <c r="U390" s="213"/>
      <c r="V390" s="213"/>
      <c r="W390" s="213"/>
      <c r="X390" s="643"/>
      <c r="Y390" s="616">
        <f t="shared" si="22"/>
        <v>0</v>
      </c>
      <c r="Z390" s="633"/>
      <c r="AA390" s="636"/>
      <c r="AB390" s="636"/>
      <c r="AC390" s="7"/>
      <c r="AD390" s="704"/>
      <c r="AE390" s="7"/>
      <c r="AF390" s="618">
        <f t="shared" si="23"/>
        <v>0</v>
      </c>
      <c r="AG390" s="7"/>
      <c r="AH390" s="7"/>
      <c r="AI390" s="7"/>
      <c r="AJ390" s="7"/>
      <c r="AK390" s="7"/>
      <c r="AL390" s="7"/>
    </row>
    <row r="391" spans="1:38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5"/>
      <c r="I391" s="215"/>
      <c r="J391" s="214"/>
      <c r="K391" s="221"/>
      <c r="L391" s="662"/>
      <c r="M391" s="213"/>
      <c r="N391" s="213"/>
      <c r="O391" s="215"/>
      <c r="P391" s="213"/>
      <c r="Q391" s="213"/>
      <c r="R391" s="213"/>
      <c r="S391" s="213"/>
      <c r="T391" s="213"/>
      <c r="U391" s="213"/>
      <c r="V391" s="213"/>
      <c r="W391" s="213"/>
      <c r="X391" s="643"/>
      <c r="Y391" s="616">
        <f t="shared" si="22"/>
        <v>0</v>
      </c>
      <c r="Z391" s="633"/>
      <c r="AA391" s="636"/>
      <c r="AB391" s="636"/>
      <c r="AC391" s="7"/>
      <c r="AD391" s="704"/>
      <c r="AE391" s="7"/>
      <c r="AF391" s="618">
        <f t="shared" si="23"/>
        <v>0</v>
      </c>
      <c r="AG391" s="7"/>
      <c r="AH391" s="7"/>
      <c r="AI391" s="7"/>
      <c r="AJ391" s="7"/>
      <c r="AK391" s="7"/>
      <c r="AL391" s="7"/>
    </row>
    <row r="392" spans="1:38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5"/>
      <c r="I392" s="215"/>
      <c r="J392" s="214"/>
      <c r="K392" s="221"/>
      <c r="L392" s="662"/>
      <c r="M392" s="213"/>
      <c r="N392" s="213"/>
      <c r="O392" s="215"/>
      <c r="P392" s="213"/>
      <c r="Q392" s="213"/>
      <c r="R392" s="213"/>
      <c r="S392" s="213"/>
      <c r="T392" s="213"/>
      <c r="U392" s="213"/>
      <c r="V392" s="213"/>
      <c r="W392" s="213"/>
      <c r="X392" s="643"/>
      <c r="Y392" s="616">
        <f t="shared" si="22"/>
        <v>0</v>
      </c>
      <c r="Z392" s="633"/>
      <c r="AA392" s="636"/>
      <c r="AB392" s="636"/>
      <c r="AC392" s="7"/>
      <c r="AD392" s="704"/>
      <c r="AE392" s="7"/>
      <c r="AF392" s="618">
        <f t="shared" si="23"/>
        <v>0</v>
      </c>
      <c r="AG392" s="7"/>
      <c r="AH392" s="7"/>
      <c r="AI392" s="7"/>
      <c r="AJ392" s="7"/>
      <c r="AK392" s="7"/>
      <c r="AL392" s="7"/>
    </row>
    <row r="393" spans="1:38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5"/>
      <c r="I393" s="215"/>
      <c r="J393" s="214"/>
      <c r="K393" s="221"/>
      <c r="L393" s="662"/>
      <c r="M393" s="213"/>
      <c r="N393" s="213"/>
      <c r="O393" s="215"/>
      <c r="P393" s="213"/>
      <c r="Q393" s="213"/>
      <c r="R393" s="213"/>
      <c r="S393" s="213"/>
      <c r="T393" s="213"/>
      <c r="U393" s="213"/>
      <c r="V393" s="213"/>
      <c r="W393" s="213"/>
      <c r="X393" s="643"/>
      <c r="Y393" s="616">
        <f t="shared" si="22"/>
        <v>0</v>
      </c>
      <c r="Z393" s="633"/>
      <c r="AA393" s="636"/>
      <c r="AB393" s="636"/>
      <c r="AC393" s="7"/>
      <c r="AD393" s="704"/>
      <c r="AE393" s="7"/>
      <c r="AF393" s="618">
        <f t="shared" si="23"/>
        <v>0</v>
      </c>
      <c r="AG393" s="7"/>
      <c r="AH393" s="7"/>
      <c r="AI393" s="7"/>
      <c r="AJ393" s="7"/>
      <c r="AK393" s="7"/>
      <c r="AL393" s="7"/>
    </row>
    <row r="394" spans="1:38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5"/>
      <c r="I394" s="215"/>
      <c r="J394" s="214"/>
      <c r="K394" s="221"/>
      <c r="L394" s="620"/>
      <c r="M394" s="213"/>
      <c r="N394" s="213"/>
      <c r="O394" s="215"/>
      <c r="P394" s="213"/>
      <c r="Q394" s="213"/>
      <c r="R394" s="213"/>
      <c r="S394" s="213"/>
      <c r="T394" s="213"/>
      <c r="U394" s="213"/>
      <c r="V394" s="213"/>
      <c r="W394" s="213"/>
      <c r="X394" s="643"/>
      <c r="Y394" s="616">
        <f t="shared" si="22"/>
        <v>0</v>
      </c>
      <c r="Z394" s="633"/>
      <c r="AA394" s="634"/>
      <c r="AB394" s="634"/>
      <c r="AC394" s="7"/>
      <c r="AD394" s="704"/>
      <c r="AE394" s="7"/>
      <c r="AF394" s="618">
        <f t="shared" si="23"/>
        <v>0</v>
      </c>
      <c r="AG394" s="7"/>
      <c r="AH394" s="7"/>
      <c r="AI394" s="7"/>
      <c r="AJ394" s="7"/>
      <c r="AK394" s="7"/>
      <c r="AL394" s="7"/>
    </row>
    <row r="395" spans="1:38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5"/>
      <c r="I395" s="215"/>
      <c r="J395" s="214"/>
      <c r="K395" s="221"/>
      <c r="L395" s="620"/>
      <c r="M395" s="213"/>
      <c r="N395" s="213"/>
      <c r="O395" s="215"/>
      <c r="P395" s="213"/>
      <c r="Q395" s="213"/>
      <c r="R395" s="213"/>
      <c r="S395" s="213"/>
      <c r="T395" s="213"/>
      <c r="U395" s="213"/>
      <c r="V395" s="213"/>
      <c r="W395" s="213"/>
      <c r="X395" s="643"/>
      <c r="Y395" s="616">
        <f t="shared" si="22"/>
        <v>0</v>
      </c>
      <c r="Z395" s="633"/>
      <c r="AA395" s="634"/>
      <c r="AB395" s="634"/>
      <c r="AC395" s="7"/>
      <c r="AD395" s="704"/>
      <c r="AE395" s="7"/>
      <c r="AF395" s="618">
        <f t="shared" si="23"/>
        <v>0</v>
      </c>
      <c r="AG395" s="7"/>
      <c r="AH395" s="7"/>
      <c r="AI395" s="7"/>
      <c r="AJ395" s="7"/>
      <c r="AK395" s="7"/>
      <c r="AL395" s="7"/>
    </row>
    <row r="396" spans="1:38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5"/>
      <c r="I396" s="215"/>
      <c r="J396" s="214"/>
      <c r="K396" s="221"/>
      <c r="L396" s="620"/>
      <c r="M396" s="213"/>
      <c r="N396" s="213"/>
      <c r="O396" s="215"/>
      <c r="P396" s="213"/>
      <c r="Q396" s="213"/>
      <c r="R396" s="213"/>
      <c r="S396" s="213"/>
      <c r="T396" s="213"/>
      <c r="U396" s="213"/>
      <c r="V396" s="213"/>
      <c r="W396" s="213"/>
      <c r="X396" s="643"/>
      <c r="Y396" s="616">
        <f t="shared" si="22"/>
        <v>0</v>
      </c>
      <c r="Z396" s="633"/>
      <c r="AA396" s="634"/>
      <c r="AB396" s="634"/>
      <c r="AC396" s="7"/>
      <c r="AD396" s="704"/>
      <c r="AE396" s="7"/>
      <c r="AF396" s="618">
        <f t="shared" si="23"/>
        <v>0</v>
      </c>
      <c r="AG396" s="7"/>
      <c r="AH396" s="7"/>
      <c r="AI396" s="7"/>
      <c r="AJ396" s="7"/>
      <c r="AK396" s="7"/>
      <c r="AL396" s="7"/>
    </row>
    <row r="397" spans="1:38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5"/>
      <c r="I397" s="215"/>
      <c r="J397" s="214"/>
      <c r="K397" s="221"/>
      <c r="L397" s="620"/>
      <c r="M397" s="213"/>
      <c r="N397" s="213"/>
      <c r="O397" s="215"/>
      <c r="P397" s="213"/>
      <c r="Q397" s="213"/>
      <c r="R397" s="213"/>
      <c r="S397" s="213"/>
      <c r="T397" s="213"/>
      <c r="U397" s="213"/>
      <c r="V397" s="213"/>
      <c r="W397" s="213"/>
      <c r="X397" s="643"/>
      <c r="Y397" s="616">
        <f t="shared" si="22"/>
        <v>0</v>
      </c>
      <c r="Z397" s="633"/>
      <c r="AA397" s="636"/>
      <c r="AB397" s="636"/>
      <c r="AC397" s="7"/>
      <c r="AD397" s="704"/>
      <c r="AE397" s="7"/>
      <c r="AF397" s="618">
        <f t="shared" si="23"/>
        <v>0</v>
      </c>
      <c r="AG397" s="7"/>
      <c r="AH397" s="7"/>
      <c r="AI397" s="7"/>
      <c r="AJ397" s="7"/>
      <c r="AK397" s="7"/>
      <c r="AL397" s="7"/>
    </row>
    <row r="398" spans="1:38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5"/>
      <c r="I398" s="215"/>
      <c r="J398" s="214"/>
      <c r="K398" s="221"/>
      <c r="L398" s="620"/>
      <c r="M398" s="213"/>
      <c r="N398" s="213"/>
      <c r="O398" s="215"/>
      <c r="P398" s="213"/>
      <c r="Q398" s="213"/>
      <c r="R398" s="213"/>
      <c r="S398" s="213"/>
      <c r="T398" s="213"/>
      <c r="U398" s="213"/>
      <c r="V398" s="213"/>
      <c r="W398" s="213"/>
      <c r="X398" s="643"/>
      <c r="Y398" s="616">
        <f t="shared" si="22"/>
        <v>0</v>
      </c>
      <c r="Z398" s="633"/>
      <c r="AA398" s="634"/>
      <c r="AB398" s="634"/>
      <c r="AC398" s="7"/>
      <c r="AD398" s="704"/>
      <c r="AE398" s="7"/>
      <c r="AF398" s="618">
        <f t="shared" si="23"/>
        <v>0</v>
      </c>
      <c r="AG398" s="7"/>
      <c r="AH398" s="7"/>
      <c r="AI398" s="7"/>
      <c r="AJ398" s="7"/>
      <c r="AK398" s="7"/>
      <c r="AL398" s="7"/>
    </row>
    <row r="399" spans="1:38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5"/>
      <c r="I399" s="215"/>
      <c r="J399" s="214"/>
      <c r="K399" s="221"/>
      <c r="L399" s="620"/>
      <c r="M399" s="213"/>
      <c r="N399" s="213"/>
      <c r="O399" s="215"/>
      <c r="P399" s="213"/>
      <c r="Q399" s="213"/>
      <c r="R399" s="213"/>
      <c r="S399" s="213"/>
      <c r="T399" s="213"/>
      <c r="U399" s="213"/>
      <c r="V399" s="213"/>
      <c r="W399" s="213"/>
      <c r="X399" s="643"/>
      <c r="Y399" s="616">
        <f t="shared" si="22"/>
        <v>0</v>
      </c>
      <c r="Z399" s="633"/>
      <c r="AA399" s="634"/>
      <c r="AB399" s="634"/>
      <c r="AC399" s="7"/>
      <c r="AD399" s="704"/>
      <c r="AE399" s="7"/>
      <c r="AF399" s="618">
        <f t="shared" si="23"/>
        <v>0</v>
      </c>
      <c r="AG399" s="7"/>
      <c r="AH399" s="7"/>
      <c r="AI399" s="7"/>
      <c r="AJ399" s="7"/>
      <c r="AK399" s="7"/>
      <c r="AL399" s="7"/>
    </row>
    <row r="400" spans="1:38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5"/>
      <c r="I400" s="215"/>
      <c r="J400" s="214"/>
      <c r="K400" s="221"/>
      <c r="L400" s="620"/>
      <c r="M400" s="213"/>
      <c r="N400" s="213"/>
      <c r="O400" s="215"/>
      <c r="P400" s="213"/>
      <c r="Q400" s="213"/>
      <c r="R400" s="213"/>
      <c r="S400" s="213"/>
      <c r="T400" s="213"/>
      <c r="U400" s="213"/>
      <c r="V400" s="213"/>
      <c r="W400" s="213"/>
      <c r="X400" s="643"/>
      <c r="Y400" s="616">
        <f t="shared" si="22"/>
        <v>0</v>
      </c>
      <c r="Z400" s="633"/>
      <c r="AA400" s="636"/>
      <c r="AB400" s="636"/>
      <c r="AC400" s="7"/>
      <c r="AD400" s="704"/>
      <c r="AE400" s="7"/>
      <c r="AF400" s="618">
        <f t="shared" si="23"/>
        <v>0</v>
      </c>
      <c r="AG400" s="7"/>
      <c r="AH400" s="7"/>
      <c r="AI400" s="7"/>
      <c r="AJ400" s="7"/>
      <c r="AK400" s="7"/>
      <c r="AL400" s="7"/>
    </row>
    <row r="401" spans="1:38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5"/>
      <c r="I401" s="215"/>
      <c r="J401" s="214"/>
      <c r="K401" s="221"/>
      <c r="L401" s="620"/>
      <c r="M401" s="213"/>
      <c r="N401" s="213"/>
      <c r="O401" s="215"/>
      <c r="P401" s="213"/>
      <c r="Q401" s="213"/>
      <c r="R401" s="213"/>
      <c r="S401" s="213"/>
      <c r="T401" s="213"/>
      <c r="U401" s="213"/>
      <c r="V401" s="213"/>
      <c r="W401" s="213"/>
      <c r="X401" s="643"/>
      <c r="Y401" s="616">
        <f t="shared" si="22"/>
        <v>0</v>
      </c>
      <c r="Z401" s="633"/>
      <c r="AA401" s="634"/>
      <c r="AB401" s="634"/>
      <c r="AC401" s="7"/>
      <c r="AD401" s="704"/>
      <c r="AE401" s="7"/>
      <c r="AF401" s="618">
        <f t="shared" si="23"/>
        <v>0</v>
      </c>
      <c r="AG401" s="7"/>
      <c r="AH401" s="7"/>
      <c r="AI401" s="7"/>
      <c r="AJ401" s="7"/>
      <c r="AK401" s="7"/>
      <c r="AL401" s="7"/>
    </row>
    <row r="402" spans="1:38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5"/>
      <c r="I402" s="215"/>
      <c r="J402" s="214"/>
      <c r="K402" s="221"/>
      <c r="L402" s="620"/>
      <c r="M402" s="213"/>
      <c r="N402" s="213"/>
      <c r="O402" s="215"/>
      <c r="P402" s="213"/>
      <c r="Q402" s="213"/>
      <c r="R402" s="213"/>
      <c r="S402" s="213"/>
      <c r="T402" s="213"/>
      <c r="U402" s="213"/>
      <c r="V402" s="213"/>
      <c r="W402" s="213"/>
      <c r="X402" s="643"/>
      <c r="Y402" s="616">
        <f t="shared" si="22"/>
        <v>0</v>
      </c>
      <c r="Z402" s="633"/>
      <c r="AA402" s="634"/>
      <c r="AB402" s="634"/>
      <c r="AC402" s="7"/>
      <c r="AD402" s="704"/>
      <c r="AE402" s="7"/>
      <c r="AF402" s="618">
        <f t="shared" si="23"/>
        <v>0</v>
      </c>
      <c r="AG402" s="7"/>
      <c r="AH402" s="7"/>
      <c r="AI402" s="7"/>
      <c r="AJ402" s="7"/>
      <c r="AK402" s="7"/>
      <c r="AL402" s="7"/>
    </row>
    <row r="403" spans="1:38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5"/>
      <c r="I403" s="215"/>
      <c r="J403" s="214"/>
      <c r="K403" s="221"/>
      <c r="L403" s="662"/>
      <c r="M403" s="213"/>
      <c r="N403" s="213"/>
      <c r="O403" s="215"/>
      <c r="P403" s="213"/>
      <c r="Q403" s="213"/>
      <c r="R403" s="213"/>
      <c r="S403" s="213"/>
      <c r="T403" s="213"/>
      <c r="U403" s="213"/>
      <c r="V403" s="213"/>
      <c r="W403" s="213"/>
      <c r="X403" s="643"/>
      <c r="Y403" s="616">
        <f t="shared" si="22"/>
        <v>0</v>
      </c>
      <c r="Z403" s="633"/>
      <c r="AA403" s="634"/>
      <c r="AB403" s="634"/>
      <c r="AC403" s="7"/>
      <c r="AD403" s="704"/>
      <c r="AE403" s="7"/>
      <c r="AF403" s="618">
        <f t="shared" si="23"/>
        <v>0</v>
      </c>
      <c r="AG403" s="7"/>
      <c r="AH403" s="7"/>
      <c r="AI403" s="7"/>
      <c r="AJ403" s="7"/>
      <c r="AK403" s="7"/>
      <c r="AL403" s="7"/>
    </row>
    <row r="404" spans="1:38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5"/>
      <c r="I404" s="215"/>
      <c r="J404" s="214"/>
      <c r="K404" s="221"/>
      <c r="L404" s="662"/>
      <c r="M404" s="213"/>
      <c r="N404" s="213"/>
      <c r="O404" s="215"/>
      <c r="P404" s="213"/>
      <c r="Q404" s="213"/>
      <c r="R404" s="213"/>
      <c r="S404" s="213"/>
      <c r="T404" s="213"/>
      <c r="U404" s="213"/>
      <c r="V404" s="213"/>
      <c r="W404" s="213"/>
      <c r="X404" s="643"/>
      <c r="Y404" s="616">
        <f t="shared" si="22"/>
        <v>0</v>
      </c>
      <c r="Z404" s="633"/>
      <c r="AA404" s="640"/>
      <c r="AB404" s="640"/>
      <c r="AC404" s="7"/>
      <c r="AD404" s="704"/>
      <c r="AE404" s="7"/>
      <c r="AF404" s="618">
        <f t="shared" si="23"/>
        <v>0</v>
      </c>
      <c r="AG404" s="7"/>
      <c r="AH404" s="7"/>
      <c r="AI404" s="7"/>
      <c r="AJ404" s="7"/>
      <c r="AK404" s="7"/>
      <c r="AL404" s="7"/>
    </row>
    <row r="405" spans="1:38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5"/>
      <c r="I405" s="215"/>
      <c r="J405" s="214"/>
      <c r="K405" s="221"/>
      <c r="L405" s="662"/>
      <c r="M405" s="213"/>
      <c r="N405" s="213"/>
      <c r="O405" s="215"/>
      <c r="P405" s="213"/>
      <c r="Q405" s="213"/>
      <c r="R405" s="213"/>
      <c r="S405" s="213"/>
      <c r="T405" s="213"/>
      <c r="U405" s="213"/>
      <c r="V405" s="213"/>
      <c r="W405" s="213"/>
      <c r="X405" s="643"/>
      <c r="Y405" s="616">
        <f t="shared" si="22"/>
        <v>0</v>
      </c>
      <c r="Z405" s="633"/>
      <c r="AA405" s="636"/>
      <c r="AB405" s="636"/>
      <c r="AC405" s="7"/>
      <c r="AD405" s="704"/>
      <c r="AE405" s="7"/>
      <c r="AF405" s="618">
        <f t="shared" si="23"/>
        <v>0</v>
      </c>
      <c r="AG405" s="7"/>
      <c r="AH405" s="7"/>
      <c r="AI405" s="7"/>
      <c r="AJ405" s="7"/>
      <c r="AK405" s="7"/>
      <c r="AL405" s="7"/>
    </row>
    <row r="406" spans="1:38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5"/>
      <c r="I406" s="215"/>
      <c r="J406" s="214"/>
      <c r="K406" s="221"/>
      <c r="L406" s="662"/>
      <c r="M406" s="213"/>
      <c r="N406" s="213"/>
      <c r="O406" s="215"/>
      <c r="P406" s="213"/>
      <c r="Q406" s="213"/>
      <c r="R406" s="213"/>
      <c r="S406" s="213"/>
      <c r="T406" s="213"/>
      <c r="U406" s="213"/>
      <c r="V406" s="213"/>
      <c r="W406" s="213"/>
      <c r="X406" s="643"/>
      <c r="Y406" s="616">
        <f t="shared" si="22"/>
        <v>0</v>
      </c>
      <c r="Z406" s="633"/>
      <c r="AA406" s="636"/>
      <c r="AB406" s="636"/>
      <c r="AC406" s="7"/>
      <c r="AD406" s="704"/>
      <c r="AE406" s="7"/>
      <c r="AF406" s="618">
        <f t="shared" si="23"/>
        <v>0</v>
      </c>
      <c r="AG406" s="7"/>
      <c r="AH406" s="7"/>
      <c r="AI406" s="7"/>
      <c r="AJ406" s="7"/>
      <c r="AK406" s="7"/>
      <c r="AL406" s="7"/>
    </row>
    <row r="407" spans="1:38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5"/>
      <c r="I407" s="215"/>
      <c r="J407" s="214"/>
      <c r="K407" s="221"/>
      <c r="L407" s="662"/>
      <c r="M407" s="213"/>
      <c r="N407" s="213"/>
      <c r="O407" s="215"/>
      <c r="P407" s="213"/>
      <c r="Q407" s="213"/>
      <c r="R407" s="213"/>
      <c r="S407" s="213"/>
      <c r="T407" s="213"/>
      <c r="U407" s="213"/>
      <c r="V407" s="213"/>
      <c r="W407" s="213"/>
      <c r="X407" s="643"/>
      <c r="Y407" s="616">
        <f t="shared" si="22"/>
        <v>0</v>
      </c>
      <c r="Z407" s="633"/>
      <c r="AA407" s="636"/>
      <c r="AB407" s="636"/>
      <c r="AC407" s="7"/>
      <c r="AD407" s="704"/>
      <c r="AE407" s="7"/>
      <c r="AF407" s="618">
        <f t="shared" si="23"/>
        <v>0</v>
      </c>
      <c r="AG407" s="7"/>
      <c r="AH407" s="7"/>
      <c r="AI407" s="7"/>
      <c r="AJ407" s="7"/>
      <c r="AK407" s="7"/>
      <c r="AL407" s="7"/>
    </row>
    <row r="408" spans="1:38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5"/>
      <c r="I408" s="215"/>
      <c r="J408" s="214"/>
      <c r="K408" s="221"/>
      <c r="L408" s="662"/>
      <c r="M408" s="213"/>
      <c r="N408" s="213"/>
      <c r="O408" s="215"/>
      <c r="P408" s="213"/>
      <c r="Q408" s="213"/>
      <c r="R408" s="213"/>
      <c r="S408" s="213"/>
      <c r="T408" s="213"/>
      <c r="U408" s="213"/>
      <c r="V408" s="213"/>
      <c r="W408" s="213"/>
      <c r="X408" s="643"/>
      <c r="Y408" s="616">
        <f t="shared" si="22"/>
        <v>0</v>
      </c>
      <c r="Z408" s="633"/>
      <c r="AA408" s="636"/>
      <c r="AB408" s="636"/>
      <c r="AC408" s="7"/>
      <c r="AD408" s="704"/>
      <c r="AE408" s="7"/>
      <c r="AF408" s="618">
        <f t="shared" si="23"/>
        <v>0</v>
      </c>
      <c r="AG408" s="7"/>
      <c r="AH408" s="7"/>
      <c r="AI408" s="7"/>
      <c r="AJ408" s="7"/>
      <c r="AK408" s="7"/>
      <c r="AL408" s="7"/>
    </row>
    <row r="409" spans="1:38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5"/>
      <c r="I409" s="215"/>
      <c r="J409" s="214"/>
      <c r="K409" s="221"/>
      <c r="L409" s="662"/>
      <c r="M409" s="213"/>
      <c r="N409" s="213"/>
      <c r="O409" s="215"/>
      <c r="P409" s="213"/>
      <c r="Q409" s="213"/>
      <c r="R409" s="213"/>
      <c r="S409" s="213"/>
      <c r="T409" s="213"/>
      <c r="U409" s="213"/>
      <c r="V409" s="213"/>
      <c r="W409" s="213"/>
      <c r="X409" s="643"/>
      <c r="Y409" s="616">
        <f t="shared" si="22"/>
        <v>0</v>
      </c>
      <c r="Z409" s="633"/>
      <c r="AA409" s="636"/>
      <c r="AB409" s="636"/>
      <c r="AC409" s="7"/>
      <c r="AD409" s="704"/>
      <c r="AE409" s="7"/>
      <c r="AF409" s="618">
        <f t="shared" si="23"/>
        <v>0</v>
      </c>
      <c r="AG409" s="7"/>
      <c r="AH409" s="7"/>
      <c r="AI409" s="7"/>
      <c r="AJ409" s="7"/>
      <c r="AK409" s="7"/>
      <c r="AL409" s="7"/>
    </row>
    <row r="410" spans="1:38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5"/>
      <c r="I410" s="215"/>
      <c r="J410" s="214"/>
      <c r="K410" s="221"/>
      <c r="L410" s="662"/>
      <c r="M410" s="213"/>
      <c r="N410" s="213"/>
      <c r="O410" s="215"/>
      <c r="P410" s="213"/>
      <c r="Q410" s="213"/>
      <c r="R410" s="213"/>
      <c r="S410" s="213"/>
      <c r="T410" s="213"/>
      <c r="U410" s="213"/>
      <c r="V410" s="213"/>
      <c r="W410" s="213"/>
      <c r="X410" s="643"/>
      <c r="Y410" s="616">
        <f t="shared" si="22"/>
        <v>0</v>
      </c>
      <c r="Z410" s="633"/>
      <c r="AA410" s="636"/>
      <c r="AB410" s="636"/>
      <c r="AC410" s="7"/>
      <c r="AD410" s="704"/>
      <c r="AE410" s="7"/>
      <c r="AF410" s="618">
        <f t="shared" si="23"/>
        <v>0</v>
      </c>
      <c r="AG410" s="7"/>
      <c r="AH410" s="7"/>
      <c r="AI410" s="7"/>
      <c r="AJ410" s="7"/>
      <c r="AK410" s="7"/>
      <c r="AL410" s="7"/>
    </row>
    <row r="411" spans="1:38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5"/>
      <c r="I411" s="215"/>
      <c r="J411" s="214"/>
      <c r="K411" s="221"/>
      <c r="L411" s="662"/>
      <c r="M411" s="213"/>
      <c r="N411" s="213"/>
      <c r="O411" s="215"/>
      <c r="P411" s="213"/>
      <c r="Q411" s="213"/>
      <c r="R411" s="213"/>
      <c r="S411" s="213"/>
      <c r="T411" s="213"/>
      <c r="U411" s="213"/>
      <c r="V411" s="213"/>
      <c r="W411" s="213"/>
      <c r="X411" s="643"/>
      <c r="Y411" s="616">
        <f t="shared" si="22"/>
        <v>0</v>
      </c>
      <c r="Z411" s="633"/>
      <c r="AA411" s="636"/>
      <c r="AB411" s="636"/>
      <c r="AC411" s="7"/>
      <c r="AD411" s="704"/>
      <c r="AE411" s="7"/>
      <c r="AF411" s="618">
        <f t="shared" si="23"/>
        <v>0</v>
      </c>
      <c r="AG411" s="7"/>
      <c r="AH411" s="7"/>
      <c r="AI411" s="7"/>
      <c r="AJ411" s="7"/>
      <c r="AK411" s="7"/>
      <c r="AL411" s="7"/>
    </row>
    <row r="412" spans="1:38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5"/>
      <c r="I412" s="215"/>
      <c r="J412" s="214"/>
      <c r="K412" s="221"/>
      <c r="L412" s="662"/>
      <c r="M412" s="213"/>
      <c r="N412" s="213"/>
      <c r="O412" s="215"/>
      <c r="P412" s="213"/>
      <c r="Q412" s="213"/>
      <c r="R412" s="213"/>
      <c r="S412" s="213"/>
      <c r="T412" s="213"/>
      <c r="U412" s="213"/>
      <c r="V412" s="213"/>
      <c r="W412" s="213"/>
      <c r="X412" s="643"/>
      <c r="Y412" s="616">
        <f t="shared" si="22"/>
        <v>0</v>
      </c>
      <c r="Z412" s="633"/>
      <c r="AA412" s="636"/>
      <c r="AB412" s="636"/>
      <c r="AC412" s="7"/>
      <c r="AD412" s="704"/>
      <c r="AE412" s="7"/>
      <c r="AF412" s="618">
        <f t="shared" si="23"/>
        <v>0</v>
      </c>
      <c r="AG412" s="7"/>
      <c r="AH412" s="7"/>
      <c r="AI412" s="7"/>
      <c r="AJ412" s="7"/>
      <c r="AK412" s="7"/>
      <c r="AL412" s="7"/>
    </row>
    <row r="413" spans="1:38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5"/>
      <c r="I413" s="215"/>
      <c r="J413" s="214"/>
      <c r="K413" s="221"/>
      <c r="L413" s="662"/>
      <c r="M413" s="213"/>
      <c r="N413" s="213"/>
      <c r="O413" s="215"/>
      <c r="P413" s="213"/>
      <c r="Q413" s="213"/>
      <c r="R413" s="213"/>
      <c r="S413" s="213"/>
      <c r="T413" s="213"/>
      <c r="U413" s="213"/>
      <c r="V413" s="213"/>
      <c r="W413" s="213"/>
      <c r="X413" s="643"/>
      <c r="Y413" s="616">
        <f t="shared" si="22"/>
        <v>0</v>
      </c>
      <c r="Z413" s="633"/>
      <c r="AA413" s="636"/>
      <c r="AB413" s="636"/>
      <c r="AC413" s="7"/>
      <c r="AD413" s="704"/>
      <c r="AE413" s="7"/>
      <c r="AF413" s="618">
        <f t="shared" si="23"/>
        <v>0</v>
      </c>
      <c r="AG413" s="7"/>
      <c r="AH413" s="7"/>
      <c r="AI413" s="7"/>
      <c r="AJ413" s="7"/>
      <c r="AK413" s="7"/>
      <c r="AL413" s="7"/>
    </row>
    <row r="414" spans="1:38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5"/>
      <c r="I414" s="215"/>
      <c r="J414" s="214"/>
      <c r="K414" s="221"/>
      <c r="L414" s="662"/>
      <c r="M414" s="213"/>
      <c r="N414" s="213"/>
      <c r="O414" s="215"/>
      <c r="P414" s="213"/>
      <c r="Q414" s="213"/>
      <c r="R414" s="213"/>
      <c r="S414" s="213"/>
      <c r="T414" s="213"/>
      <c r="U414" s="213"/>
      <c r="V414" s="213"/>
      <c r="W414" s="213"/>
      <c r="X414" s="643"/>
      <c r="Y414" s="616">
        <f t="shared" si="22"/>
        <v>0</v>
      </c>
      <c r="Z414" s="633"/>
      <c r="AA414" s="636"/>
      <c r="AB414" s="636"/>
      <c r="AC414" s="7"/>
      <c r="AD414" s="704"/>
      <c r="AE414" s="7"/>
      <c r="AF414" s="618">
        <f t="shared" si="23"/>
        <v>0</v>
      </c>
      <c r="AG414" s="7"/>
      <c r="AH414" s="7"/>
      <c r="AI414" s="7"/>
      <c r="AJ414" s="7"/>
      <c r="AK414" s="7"/>
      <c r="AL414" s="7"/>
    </row>
    <row r="415" spans="1:38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5"/>
      <c r="I415" s="215"/>
      <c r="J415" s="214"/>
      <c r="K415" s="221"/>
      <c r="L415" s="662"/>
      <c r="M415" s="213"/>
      <c r="N415" s="213"/>
      <c r="O415" s="215"/>
      <c r="P415" s="213"/>
      <c r="Q415" s="213"/>
      <c r="R415" s="213"/>
      <c r="S415" s="213"/>
      <c r="T415" s="213"/>
      <c r="U415" s="213"/>
      <c r="V415" s="213"/>
      <c r="W415" s="213"/>
      <c r="X415" s="643"/>
      <c r="Y415" s="616">
        <f t="shared" si="22"/>
        <v>0</v>
      </c>
      <c r="Z415" s="633"/>
      <c r="AA415" s="636"/>
      <c r="AB415" s="636"/>
      <c r="AC415" s="7"/>
      <c r="AD415" s="704"/>
      <c r="AE415" s="7"/>
      <c r="AF415" s="618">
        <f t="shared" si="23"/>
        <v>0</v>
      </c>
      <c r="AG415" s="7"/>
      <c r="AH415" s="7"/>
      <c r="AI415" s="7"/>
      <c r="AJ415" s="7"/>
      <c r="AK415" s="7"/>
      <c r="AL415" s="7"/>
    </row>
    <row r="416" spans="1:38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5"/>
      <c r="I416" s="215"/>
      <c r="J416" s="214"/>
      <c r="K416" s="221"/>
      <c r="L416" s="662"/>
      <c r="M416" s="213"/>
      <c r="N416" s="213"/>
      <c r="O416" s="215"/>
      <c r="P416" s="213"/>
      <c r="Q416" s="213"/>
      <c r="R416" s="213"/>
      <c r="S416" s="213"/>
      <c r="T416" s="213"/>
      <c r="U416" s="213"/>
      <c r="V416" s="213"/>
      <c r="W416" s="213"/>
      <c r="X416" s="643"/>
      <c r="Y416" s="616">
        <f t="shared" si="22"/>
        <v>0</v>
      </c>
      <c r="Z416" s="633"/>
      <c r="AA416" s="636"/>
      <c r="AB416" s="636"/>
      <c r="AC416" s="7"/>
      <c r="AD416" s="704"/>
      <c r="AE416" s="7"/>
      <c r="AF416" s="618">
        <f t="shared" si="23"/>
        <v>0</v>
      </c>
      <c r="AG416" s="7"/>
      <c r="AH416" s="7"/>
      <c r="AI416" s="7"/>
      <c r="AJ416" s="7"/>
      <c r="AK416" s="7"/>
      <c r="AL416" s="7"/>
    </row>
    <row r="417" spans="1:38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5"/>
      <c r="I417" s="215"/>
      <c r="J417" s="214"/>
      <c r="K417" s="221"/>
      <c r="L417" s="662"/>
      <c r="M417" s="213"/>
      <c r="N417" s="213"/>
      <c r="O417" s="215"/>
      <c r="P417" s="213"/>
      <c r="Q417" s="213"/>
      <c r="R417" s="213"/>
      <c r="S417" s="213"/>
      <c r="T417" s="213"/>
      <c r="U417" s="213"/>
      <c r="V417" s="213"/>
      <c r="W417" s="213"/>
      <c r="X417" s="643"/>
      <c r="Y417" s="616">
        <f t="shared" si="22"/>
        <v>0</v>
      </c>
      <c r="Z417" s="633"/>
      <c r="AA417" s="636"/>
      <c r="AB417" s="636"/>
      <c r="AC417" s="7"/>
      <c r="AD417" s="704"/>
      <c r="AE417" s="7"/>
      <c r="AF417" s="618">
        <f t="shared" si="23"/>
        <v>0</v>
      </c>
      <c r="AG417" s="7"/>
      <c r="AH417" s="7"/>
      <c r="AI417" s="7"/>
      <c r="AJ417" s="7"/>
      <c r="AK417" s="7"/>
      <c r="AL417" s="7"/>
    </row>
    <row r="418" spans="1:38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5"/>
      <c r="I418" s="215"/>
      <c r="J418" s="214"/>
      <c r="K418" s="221"/>
      <c r="L418" s="662"/>
      <c r="M418" s="213"/>
      <c r="N418" s="213"/>
      <c r="O418" s="215"/>
      <c r="P418" s="213"/>
      <c r="Q418" s="213"/>
      <c r="R418" s="213"/>
      <c r="S418" s="213"/>
      <c r="T418" s="213"/>
      <c r="U418" s="213"/>
      <c r="V418" s="213"/>
      <c r="W418" s="213"/>
      <c r="X418" s="643"/>
      <c r="Y418" s="616">
        <f t="shared" si="22"/>
        <v>0</v>
      </c>
      <c r="Z418" s="633"/>
      <c r="AA418" s="636"/>
      <c r="AB418" s="636"/>
      <c r="AC418" s="7"/>
      <c r="AD418" s="704"/>
      <c r="AE418" s="7"/>
      <c r="AF418" s="618">
        <f t="shared" si="23"/>
        <v>0</v>
      </c>
      <c r="AG418" s="7"/>
      <c r="AH418" s="7"/>
      <c r="AI418" s="7"/>
      <c r="AJ418" s="7"/>
      <c r="AK418" s="7"/>
      <c r="AL418" s="7"/>
    </row>
    <row r="419" spans="1:38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5"/>
      <c r="I419" s="215"/>
      <c r="J419" s="214"/>
      <c r="K419" s="221"/>
      <c r="L419" s="662"/>
      <c r="M419" s="213"/>
      <c r="N419" s="213"/>
      <c r="O419" s="215"/>
      <c r="P419" s="213"/>
      <c r="Q419" s="213"/>
      <c r="R419" s="213"/>
      <c r="S419" s="213"/>
      <c r="T419" s="213"/>
      <c r="U419" s="213"/>
      <c r="V419" s="213"/>
      <c r="W419" s="213"/>
      <c r="X419" s="643"/>
      <c r="Y419" s="616">
        <f t="shared" si="22"/>
        <v>0</v>
      </c>
      <c r="Z419" s="633"/>
      <c r="AA419" s="636"/>
      <c r="AB419" s="636"/>
      <c r="AC419" s="7"/>
      <c r="AD419" s="704"/>
      <c r="AE419" s="7"/>
      <c r="AF419" s="618">
        <f t="shared" si="23"/>
        <v>0</v>
      </c>
      <c r="AG419" s="7"/>
      <c r="AH419" s="7"/>
      <c r="AI419" s="7"/>
      <c r="AJ419" s="7"/>
      <c r="AK419" s="7"/>
      <c r="AL419" s="7"/>
    </row>
    <row r="420" spans="1:38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5"/>
      <c r="I420" s="215"/>
      <c r="J420" s="214"/>
      <c r="K420" s="221"/>
      <c r="L420" s="662"/>
      <c r="M420" s="213"/>
      <c r="N420" s="213"/>
      <c r="O420" s="215"/>
      <c r="P420" s="213"/>
      <c r="Q420" s="213"/>
      <c r="R420" s="213"/>
      <c r="S420" s="213"/>
      <c r="T420" s="213"/>
      <c r="U420" s="213"/>
      <c r="V420" s="213"/>
      <c r="W420" s="213"/>
      <c r="X420" s="643"/>
      <c r="Y420" s="616">
        <f t="shared" si="22"/>
        <v>0</v>
      </c>
      <c r="Z420" s="633"/>
      <c r="AA420" s="636"/>
      <c r="AB420" s="636"/>
      <c r="AC420" s="7"/>
      <c r="AD420" s="704"/>
      <c r="AE420" s="7"/>
      <c r="AF420" s="618">
        <f t="shared" si="23"/>
        <v>0</v>
      </c>
      <c r="AG420" s="7"/>
      <c r="AH420" s="7"/>
      <c r="AI420" s="7"/>
      <c r="AJ420" s="7"/>
      <c r="AK420" s="7"/>
      <c r="AL420" s="7"/>
    </row>
    <row r="421" spans="1:38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5"/>
      <c r="I421" s="215"/>
      <c r="J421" s="214"/>
      <c r="K421" s="221"/>
      <c r="L421" s="662"/>
      <c r="M421" s="213"/>
      <c r="N421" s="213"/>
      <c r="O421" s="215"/>
      <c r="P421" s="213"/>
      <c r="Q421" s="213"/>
      <c r="R421" s="213"/>
      <c r="S421" s="213"/>
      <c r="T421" s="213"/>
      <c r="U421" s="213"/>
      <c r="V421" s="213"/>
      <c r="W421" s="213"/>
      <c r="X421" s="643"/>
      <c r="Y421" s="616">
        <f t="shared" si="22"/>
        <v>0</v>
      </c>
      <c r="Z421" s="633"/>
      <c r="AA421" s="640"/>
      <c r="AB421" s="640"/>
      <c r="AC421" s="7"/>
      <c r="AD421" s="704"/>
      <c r="AE421" s="7"/>
      <c r="AF421" s="618">
        <f t="shared" si="23"/>
        <v>0</v>
      </c>
      <c r="AG421" s="7"/>
      <c r="AH421" s="7"/>
      <c r="AI421" s="7"/>
      <c r="AJ421" s="7"/>
      <c r="AK421" s="7"/>
      <c r="AL421" s="7"/>
    </row>
    <row r="422" spans="1:38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5"/>
      <c r="I422" s="215"/>
      <c r="J422" s="214"/>
      <c r="K422" s="221"/>
      <c r="L422" s="672"/>
      <c r="M422" s="213"/>
      <c r="N422" s="213"/>
      <c r="O422" s="215"/>
      <c r="P422" s="213"/>
      <c r="Q422" s="213"/>
      <c r="R422" s="213"/>
      <c r="S422" s="213"/>
      <c r="T422" s="213"/>
      <c r="U422" s="213"/>
      <c r="V422" s="213"/>
      <c r="W422" s="213"/>
      <c r="X422" s="643"/>
      <c r="Y422" s="616">
        <f t="shared" si="22"/>
        <v>0</v>
      </c>
      <c r="Z422" s="633"/>
      <c r="AA422" s="634"/>
      <c r="AB422" s="634"/>
      <c r="AC422" s="7"/>
      <c r="AD422" s="704"/>
      <c r="AE422" s="7"/>
      <c r="AF422" s="618">
        <f t="shared" si="23"/>
        <v>0</v>
      </c>
      <c r="AG422" s="7"/>
      <c r="AH422" s="7"/>
      <c r="AI422" s="7"/>
      <c r="AJ422" s="7"/>
      <c r="AK422" s="7"/>
      <c r="AL422" s="7"/>
    </row>
    <row r="423" spans="1:38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5"/>
      <c r="I423" s="215"/>
      <c r="J423" s="214"/>
      <c r="K423" s="221"/>
      <c r="L423" s="672"/>
      <c r="M423" s="213"/>
      <c r="N423" s="213"/>
      <c r="O423" s="215"/>
      <c r="P423" s="213"/>
      <c r="Q423" s="213"/>
      <c r="R423" s="213"/>
      <c r="S423" s="213"/>
      <c r="T423" s="213"/>
      <c r="U423" s="213"/>
      <c r="V423" s="213"/>
      <c r="W423" s="213"/>
      <c r="X423" s="643"/>
      <c r="Y423" s="616">
        <f t="shared" si="22"/>
        <v>0</v>
      </c>
      <c r="Z423" s="633"/>
      <c r="AA423" s="634"/>
      <c r="AB423" s="634"/>
      <c r="AC423" s="7"/>
      <c r="AD423" s="704"/>
      <c r="AE423" s="7"/>
      <c r="AF423" s="618">
        <f t="shared" si="23"/>
        <v>0</v>
      </c>
      <c r="AG423" s="7"/>
      <c r="AH423" s="7"/>
      <c r="AI423" s="7"/>
      <c r="AJ423" s="7"/>
      <c r="AK423" s="7"/>
      <c r="AL423" s="7"/>
    </row>
    <row r="424" spans="1:38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5"/>
      <c r="I424" s="215"/>
      <c r="J424" s="214"/>
      <c r="K424" s="221"/>
      <c r="L424" s="672"/>
      <c r="M424" s="213"/>
      <c r="N424" s="213"/>
      <c r="O424" s="215"/>
      <c r="P424" s="213"/>
      <c r="Q424" s="213"/>
      <c r="R424" s="213"/>
      <c r="S424" s="213"/>
      <c r="T424" s="213"/>
      <c r="U424" s="213"/>
      <c r="V424" s="213"/>
      <c r="W424" s="213"/>
      <c r="X424" s="643"/>
      <c r="Y424" s="616">
        <f t="shared" si="22"/>
        <v>0</v>
      </c>
      <c r="Z424" s="633"/>
      <c r="AA424" s="634"/>
      <c r="AB424" s="634"/>
      <c r="AC424" s="7"/>
      <c r="AD424" s="704"/>
      <c r="AE424" s="7"/>
      <c r="AF424" s="618">
        <f t="shared" si="23"/>
        <v>0</v>
      </c>
      <c r="AG424" s="7"/>
      <c r="AH424" s="7"/>
      <c r="AI424" s="7"/>
      <c r="AJ424" s="7"/>
      <c r="AK424" s="7"/>
      <c r="AL424" s="7"/>
    </row>
    <row r="425" spans="1:38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5"/>
      <c r="I425" s="215"/>
      <c r="J425" s="214"/>
      <c r="K425" s="221"/>
      <c r="L425" s="672"/>
      <c r="M425" s="213"/>
      <c r="N425" s="213"/>
      <c r="O425" s="215"/>
      <c r="P425" s="213"/>
      <c r="Q425" s="213"/>
      <c r="R425" s="213"/>
      <c r="S425" s="213"/>
      <c r="T425" s="213"/>
      <c r="U425" s="213"/>
      <c r="V425" s="213"/>
      <c r="W425" s="213"/>
      <c r="X425" s="643"/>
      <c r="Y425" s="616">
        <f t="shared" si="22"/>
        <v>0</v>
      </c>
      <c r="Z425" s="633"/>
      <c r="AA425" s="636"/>
      <c r="AB425" s="636"/>
      <c r="AC425" s="7"/>
      <c r="AD425" s="704">
        <v>3</v>
      </c>
      <c r="AE425" s="7"/>
      <c r="AF425" s="618">
        <f t="shared" si="23"/>
        <v>3</v>
      </c>
      <c r="AG425" s="7"/>
      <c r="AH425" s="7"/>
      <c r="AI425" s="7"/>
      <c r="AJ425" s="7"/>
      <c r="AK425" s="7"/>
      <c r="AL425" s="7"/>
    </row>
    <row r="426" spans="1:38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5"/>
      <c r="I426" s="215"/>
      <c r="J426" s="214"/>
      <c r="K426" s="221"/>
      <c r="L426" s="662"/>
      <c r="M426" s="213"/>
      <c r="N426" s="213"/>
      <c r="O426" s="215"/>
      <c r="P426" s="213"/>
      <c r="Q426" s="213"/>
      <c r="R426" s="213"/>
      <c r="S426" s="213"/>
      <c r="T426" s="213"/>
      <c r="U426" s="213"/>
      <c r="V426" s="213"/>
      <c r="W426" s="213"/>
      <c r="X426" s="643"/>
      <c r="Y426" s="616">
        <f t="shared" si="22"/>
        <v>0</v>
      </c>
      <c r="Z426" s="633"/>
      <c r="AA426" s="634"/>
      <c r="AB426" s="634"/>
      <c r="AC426" s="7"/>
      <c r="AD426" s="704"/>
      <c r="AE426" s="7"/>
      <c r="AF426" s="618">
        <f t="shared" si="23"/>
        <v>0</v>
      </c>
      <c r="AG426" s="7"/>
      <c r="AH426" s="7"/>
      <c r="AI426" s="7"/>
      <c r="AJ426" s="7"/>
      <c r="AK426" s="7"/>
      <c r="AL426" s="7"/>
    </row>
    <row r="427" spans="1:38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5"/>
      <c r="I427" s="215"/>
      <c r="J427" s="214"/>
      <c r="K427" s="221"/>
      <c r="L427" s="662"/>
      <c r="M427" s="213"/>
      <c r="N427" s="213"/>
      <c r="O427" s="215"/>
      <c r="P427" s="213"/>
      <c r="Q427" s="213"/>
      <c r="R427" s="213"/>
      <c r="S427" s="213"/>
      <c r="T427" s="213"/>
      <c r="U427" s="213"/>
      <c r="V427" s="213"/>
      <c r="W427" s="213"/>
      <c r="X427" s="643"/>
      <c r="Y427" s="616">
        <f t="shared" si="22"/>
        <v>0</v>
      </c>
      <c r="Z427" s="633"/>
      <c r="AA427" s="640"/>
      <c r="AB427" s="640"/>
      <c r="AC427" s="7"/>
      <c r="AD427" s="704"/>
      <c r="AE427" s="7"/>
      <c r="AF427" s="618">
        <f t="shared" si="23"/>
        <v>0</v>
      </c>
      <c r="AG427" s="7"/>
      <c r="AH427" s="7"/>
      <c r="AI427" s="7"/>
      <c r="AJ427" s="7"/>
      <c r="AK427" s="7"/>
      <c r="AL427" s="7"/>
    </row>
    <row r="428" spans="1:38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5"/>
      <c r="I428" s="215"/>
      <c r="J428" s="214"/>
      <c r="K428" s="221"/>
      <c r="L428" s="620"/>
      <c r="M428" s="213"/>
      <c r="N428" s="213"/>
      <c r="O428" s="215"/>
      <c r="P428" s="213"/>
      <c r="Q428" s="213"/>
      <c r="R428" s="213"/>
      <c r="S428" s="213"/>
      <c r="T428" s="213"/>
      <c r="U428" s="213"/>
      <c r="V428" s="213"/>
      <c r="W428" s="213"/>
      <c r="X428" s="643"/>
      <c r="Y428" s="616">
        <f t="shared" si="22"/>
        <v>0</v>
      </c>
      <c r="Z428" s="633"/>
      <c r="AA428" s="636"/>
      <c r="AB428" s="636"/>
      <c r="AC428" s="7"/>
      <c r="AD428" s="704">
        <v>4</v>
      </c>
      <c r="AE428" s="7"/>
      <c r="AF428" s="618">
        <f t="shared" si="23"/>
        <v>4</v>
      </c>
      <c r="AG428" s="7"/>
      <c r="AH428" s="7"/>
      <c r="AI428" s="7"/>
      <c r="AJ428" s="7"/>
      <c r="AK428" s="7"/>
      <c r="AL428" s="7"/>
    </row>
    <row r="429" spans="1:38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5"/>
      <c r="I429" s="215"/>
      <c r="J429" s="214"/>
      <c r="K429" s="221"/>
      <c r="L429" s="620"/>
      <c r="M429" s="213"/>
      <c r="N429" s="213"/>
      <c r="O429" s="215"/>
      <c r="P429" s="213"/>
      <c r="Q429" s="213"/>
      <c r="R429" s="213"/>
      <c r="S429" s="213"/>
      <c r="T429" s="213"/>
      <c r="U429" s="213"/>
      <c r="V429" s="213"/>
      <c r="W429" s="213"/>
      <c r="X429" s="643"/>
      <c r="Y429" s="616">
        <f t="shared" si="22"/>
        <v>0</v>
      </c>
      <c r="Z429" s="633"/>
      <c r="AA429" s="636"/>
      <c r="AB429" s="636"/>
      <c r="AC429" s="7"/>
      <c r="AD429" s="704"/>
      <c r="AE429" s="7"/>
      <c r="AF429" s="618">
        <f t="shared" si="23"/>
        <v>0</v>
      </c>
      <c r="AG429" s="7"/>
      <c r="AH429" s="7"/>
      <c r="AI429" s="7"/>
      <c r="AJ429" s="7"/>
      <c r="AK429" s="7"/>
      <c r="AL429" s="7"/>
    </row>
    <row r="430" spans="1:38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5"/>
      <c r="I430" s="215"/>
      <c r="J430" s="214"/>
      <c r="K430" s="221"/>
      <c r="L430" s="620"/>
      <c r="M430" s="213"/>
      <c r="N430" s="213"/>
      <c r="O430" s="215"/>
      <c r="P430" s="213"/>
      <c r="Q430" s="213"/>
      <c r="R430" s="213"/>
      <c r="S430" s="213"/>
      <c r="T430" s="213"/>
      <c r="U430" s="213"/>
      <c r="V430" s="213"/>
      <c r="W430" s="213"/>
      <c r="X430" s="643"/>
      <c r="Y430" s="616">
        <f t="shared" si="22"/>
        <v>0</v>
      </c>
      <c r="Z430" s="633"/>
      <c r="AA430" s="636"/>
      <c r="AB430" s="636"/>
      <c r="AC430" s="7"/>
      <c r="AD430" s="704"/>
      <c r="AE430" s="7"/>
      <c r="AF430" s="618">
        <f t="shared" si="23"/>
        <v>0</v>
      </c>
      <c r="AG430" s="7"/>
      <c r="AH430" s="7"/>
      <c r="AI430" s="7"/>
      <c r="AJ430" s="7"/>
      <c r="AK430" s="7"/>
      <c r="AL430" s="7"/>
    </row>
    <row r="431" spans="1:38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5"/>
      <c r="I431" s="215"/>
      <c r="J431" s="214"/>
      <c r="K431" s="221"/>
      <c r="L431" s="620"/>
      <c r="M431" s="213"/>
      <c r="N431" s="213"/>
      <c r="O431" s="215"/>
      <c r="P431" s="213"/>
      <c r="Q431" s="213"/>
      <c r="R431" s="213"/>
      <c r="S431" s="213"/>
      <c r="T431" s="213"/>
      <c r="U431" s="213"/>
      <c r="V431" s="213"/>
      <c r="W431" s="213"/>
      <c r="X431" s="643"/>
      <c r="Y431" s="616">
        <f t="shared" si="22"/>
        <v>0</v>
      </c>
      <c r="Z431" s="633"/>
      <c r="AA431" s="636"/>
      <c r="AB431" s="636"/>
      <c r="AC431" s="7"/>
      <c r="AD431" s="704"/>
      <c r="AE431" s="7"/>
      <c r="AF431" s="618">
        <f t="shared" si="23"/>
        <v>0</v>
      </c>
      <c r="AG431" s="7"/>
      <c r="AH431" s="7"/>
      <c r="AI431" s="7"/>
      <c r="AJ431" s="7"/>
      <c r="AK431" s="7"/>
      <c r="AL431" s="7"/>
    </row>
    <row r="432" spans="1:38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5"/>
      <c r="I432" s="215"/>
      <c r="J432" s="214"/>
      <c r="K432" s="221"/>
      <c r="L432" s="620"/>
      <c r="M432" s="213"/>
      <c r="N432" s="213"/>
      <c r="O432" s="215"/>
      <c r="P432" s="213"/>
      <c r="Q432" s="213"/>
      <c r="R432" s="213"/>
      <c r="S432" s="213"/>
      <c r="T432" s="213"/>
      <c r="U432" s="213"/>
      <c r="V432" s="213"/>
      <c r="W432" s="213"/>
      <c r="X432" s="643"/>
      <c r="Y432" s="616">
        <f t="shared" si="22"/>
        <v>0</v>
      </c>
      <c r="Z432" s="633"/>
      <c r="AA432" s="636"/>
      <c r="AB432" s="636"/>
      <c r="AC432" s="7"/>
      <c r="AD432" s="704"/>
      <c r="AE432" s="7"/>
      <c r="AF432" s="618">
        <f t="shared" si="23"/>
        <v>0</v>
      </c>
      <c r="AG432" s="7"/>
      <c r="AH432" s="7"/>
      <c r="AI432" s="7"/>
      <c r="AJ432" s="7"/>
      <c r="AK432" s="7"/>
      <c r="AL432" s="7"/>
    </row>
    <row r="433" spans="1:38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5"/>
      <c r="I433" s="215"/>
      <c r="J433" s="214"/>
      <c r="K433" s="221"/>
      <c r="L433" s="620"/>
      <c r="M433" s="213"/>
      <c r="N433" s="213"/>
      <c r="O433" s="215"/>
      <c r="P433" s="213"/>
      <c r="Q433" s="213"/>
      <c r="R433" s="213"/>
      <c r="S433" s="213"/>
      <c r="T433" s="213"/>
      <c r="U433" s="213"/>
      <c r="V433" s="213"/>
      <c r="W433" s="213"/>
      <c r="X433" s="643"/>
      <c r="Y433" s="616">
        <f t="shared" si="22"/>
        <v>0</v>
      </c>
      <c r="Z433" s="633"/>
      <c r="AA433" s="636"/>
      <c r="AB433" s="636"/>
      <c r="AC433" s="7"/>
      <c r="AD433" s="704"/>
      <c r="AE433" s="7"/>
      <c r="AF433" s="618">
        <f t="shared" si="23"/>
        <v>0</v>
      </c>
      <c r="AG433" s="7"/>
      <c r="AH433" s="7"/>
      <c r="AI433" s="7"/>
      <c r="AJ433" s="7"/>
      <c r="AK433" s="7"/>
      <c r="AL433" s="7"/>
    </row>
    <row r="434" spans="1:38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5"/>
      <c r="I434" s="215"/>
      <c r="J434" s="214"/>
      <c r="K434" s="221"/>
      <c r="L434" s="620"/>
      <c r="M434" s="213"/>
      <c r="N434" s="213"/>
      <c r="O434" s="215"/>
      <c r="P434" s="213"/>
      <c r="Q434" s="213"/>
      <c r="R434" s="213"/>
      <c r="S434" s="213"/>
      <c r="T434" s="213"/>
      <c r="U434" s="213"/>
      <c r="V434" s="213"/>
      <c r="W434" s="213"/>
      <c r="X434" s="643"/>
      <c r="Y434" s="616">
        <f t="shared" si="22"/>
        <v>0</v>
      </c>
      <c r="Z434" s="633"/>
      <c r="AA434" s="636"/>
      <c r="AB434" s="636"/>
      <c r="AC434" s="7"/>
      <c r="AD434" s="704"/>
      <c r="AE434" s="7"/>
      <c r="AF434" s="618">
        <f t="shared" si="23"/>
        <v>0</v>
      </c>
      <c r="AG434" s="7"/>
      <c r="AH434" s="7"/>
      <c r="AI434" s="7"/>
      <c r="AJ434" s="7"/>
      <c r="AK434" s="7"/>
      <c r="AL434" s="7"/>
    </row>
    <row r="435" spans="1:38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5"/>
      <c r="I435" s="215"/>
      <c r="J435" s="214"/>
      <c r="K435" s="221"/>
      <c r="L435" s="620"/>
      <c r="M435" s="213"/>
      <c r="N435" s="213"/>
      <c r="O435" s="215"/>
      <c r="P435" s="213"/>
      <c r="Q435" s="213"/>
      <c r="R435" s="213"/>
      <c r="S435" s="213"/>
      <c r="T435" s="213"/>
      <c r="U435" s="213"/>
      <c r="V435" s="213"/>
      <c r="W435" s="213"/>
      <c r="X435" s="643"/>
      <c r="Y435" s="616">
        <f t="shared" si="22"/>
        <v>0</v>
      </c>
      <c r="Z435" s="633"/>
      <c r="AA435" s="636"/>
      <c r="AB435" s="636"/>
      <c r="AC435" s="7"/>
      <c r="AD435" s="704"/>
      <c r="AE435" s="7"/>
      <c r="AF435" s="618">
        <f t="shared" si="23"/>
        <v>0</v>
      </c>
      <c r="AG435" s="7"/>
      <c r="AH435" s="7"/>
      <c r="AI435" s="7"/>
      <c r="AJ435" s="7"/>
      <c r="AK435" s="7"/>
      <c r="AL435" s="7"/>
    </row>
    <row r="436" spans="1:38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5"/>
      <c r="I436" s="215"/>
      <c r="J436" s="214"/>
      <c r="K436" s="221"/>
      <c r="L436" s="620"/>
      <c r="M436" s="213"/>
      <c r="N436" s="213"/>
      <c r="O436" s="215"/>
      <c r="P436" s="213"/>
      <c r="Q436" s="213"/>
      <c r="R436" s="213"/>
      <c r="S436" s="213"/>
      <c r="T436" s="213"/>
      <c r="U436" s="213"/>
      <c r="V436" s="213"/>
      <c r="W436" s="213"/>
      <c r="X436" s="643"/>
      <c r="Y436" s="616">
        <f t="shared" si="22"/>
        <v>0</v>
      </c>
      <c r="Z436" s="633"/>
      <c r="AA436" s="636"/>
      <c r="AB436" s="636"/>
      <c r="AC436" s="7"/>
      <c r="AD436" s="704"/>
      <c r="AE436" s="7"/>
      <c r="AF436" s="618">
        <f t="shared" si="23"/>
        <v>0</v>
      </c>
      <c r="AG436" s="7"/>
      <c r="AH436" s="7"/>
      <c r="AI436" s="7"/>
      <c r="AJ436" s="7"/>
      <c r="AK436" s="7"/>
      <c r="AL436" s="7"/>
    </row>
    <row r="437" spans="1:38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5"/>
      <c r="I437" s="215"/>
      <c r="J437" s="214"/>
      <c r="K437" s="221"/>
      <c r="L437" s="620"/>
      <c r="M437" s="213"/>
      <c r="N437" s="213"/>
      <c r="O437" s="215"/>
      <c r="P437" s="213"/>
      <c r="Q437" s="213"/>
      <c r="R437" s="213"/>
      <c r="S437" s="213"/>
      <c r="T437" s="213"/>
      <c r="U437" s="213"/>
      <c r="V437" s="213"/>
      <c r="W437" s="213"/>
      <c r="X437" s="643"/>
      <c r="Y437" s="616">
        <f t="shared" si="22"/>
        <v>0</v>
      </c>
      <c r="Z437" s="633"/>
      <c r="AA437" s="636"/>
      <c r="AB437" s="636"/>
      <c r="AC437" s="7"/>
      <c r="AD437" s="704"/>
      <c r="AE437" s="7"/>
      <c r="AF437" s="618">
        <f t="shared" si="23"/>
        <v>0</v>
      </c>
      <c r="AG437" s="7"/>
      <c r="AH437" s="7"/>
      <c r="AI437" s="7"/>
      <c r="AJ437" s="7"/>
      <c r="AK437" s="7"/>
      <c r="AL437" s="7"/>
    </row>
    <row r="438" spans="1:38" ht="21.75" customHeight="1">
      <c r="A438" s="486">
        <v>15.3</v>
      </c>
      <c r="B438" s="487" t="s">
        <v>947</v>
      </c>
      <c r="C438" s="635" t="s">
        <v>948</v>
      </c>
      <c r="D438" s="412" t="s">
        <v>1867</v>
      </c>
      <c r="E438" s="213"/>
      <c r="F438" s="213"/>
      <c r="G438" s="213"/>
      <c r="H438" s="215"/>
      <c r="I438" s="215"/>
      <c r="J438" s="214"/>
      <c r="K438" s="221"/>
      <c r="L438" s="620"/>
      <c r="M438" s="213"/>
      <c r="N438" s="213"/>
      <c r="O438" s="215"/>
      <c r="P438" s="213"/>
      <c r="Q438" s="213"/>
      <c r="R438" s="213"/>
      <c r="S438" s="213"/>
      <c r="T438" s="213"/>
      <c r="U438" s="213"/>
      <c r="V438" s="213"/>
      <c r="W438" s="213"/>
      <c r="X438" s="643"/>
      <c r="Y438" s="616">
        <f t="shared" si="22"/>
        <v>0</v>
      </c>
      <c r="Z438" s="633"/>
      <c r="AA438" s="636"/>
      <c r="AB438" s="636"/>
      <c r="AC438" s="7"/>
      <c r="AD438" s="704"/>
      <c r="AE438" s="7"/>
      <c r="AF438" s="618">
        <f t="shared" si="23"/>
        <v>0</v>
      </c>
      <c r="AG438" s="7"/>
      <c r="AH438" s="7"/>
      <c r="AI438" s="7"/>
      <c r="AJ438" s="7"/>
      <c r="AK438" s="7"/>
      <c r="AL438" s="7"/>
    </row>
    <row r="439" spans="1:38" ht="21.75" customHeight="1">
      <c r="A439" s="503" t="s">
        <v>1515</v>
      </c>
      <c r="B439" s="483" t="s">
        <v>951</v>
      </c>
      <c r="C439" s="629" t="s">
        <v>131</v>
      </c>
      <c r="D439" s="485" t="s">
        <v>1868</v>
      </c>
      <c r="E439" s="213"/>
      <c r="F439" s="213"/>
      <c r="G439" s="213"/>
      <c r="H439" s="215"/>
      <c r="I439" s="215"/>
      <c r="J439" s="214"/>
      <c r="K439" s="221"/>
      <c r="L439" s="620"/>
      <c r="M439" s="213"/>
      <c r="N439" s="213"/>
      <c r="O439" s="215"/>
      <c r="P439" s="213"/>
      <c r="Q439" s="213"/>
      <c r="R439" s="213"/>
      <c r="S439" s="213"/>
      <c r="T439" s="213"/>
      <c r="U439" s="213"/>
      <c r="V439" s="213"/>
      <c r="W439" s="213"/>
      <c r="X439" s="643"/>
      <c r="Y439" s="616">
        <f t="shared" si="22"/>
        <v>0</v>
      </c>
      <c r="Z439" s="633"/>
      <c r="AA439" s="636"/>
      <c r="AB439" s="636"/>
      <c r="AC439" s="7"/>
      <c r="AD439" s="704"/>
      <c r="AE439" s="7"/>
      <c r="AF439" s="618">
        <f t="shared" si="23"/>
        <v>0</v>
      </c>
      <c r="AG439" s="7"/>
      <c r="AH439" s="7"/>
      <c r="AI439" s="7"/>
      <c r="AJ439" s="7"/>
      <c r="AK439" s="7"/>
      <c r="AL439" s="7"/>
    </row>
    <row r="440" spans="1:38" ht="21.75" customHeight="1">
      <c r="A440" s="503" t="s">
        <v>1517</v>
      </c>
      <c r="B440" s="483" t="s">
        <v>953</v>
      </c>
      <c r="C440" s="629" t="s">
        <v>200</v>
      </c>
      <c r="D440" s="485" t="s">
        <v>1869</v>
      </c>
      <c r="E440" s="213"/>
      <c r="F440" s="213"/>
      <c r="G440" s="213"/>
      <c r="H440" s="215"/>
      <c r="I440" s="215"/>
      <c r="J440" s="214"/>
      <c r="K440" s="221"/>
      <c r="L440" s="620"/>
      <c r="M440" s="213"/>
      <c r="N440" s="213"/>
      <c r="O440" s="215"/>
      <c r="P440" s="213"/>
      <c r="Q440" s="213"/>
      <c r="R440" s="213"/>
      <c r="S440" s="213"/>
      <c r="T440" s="213"/>
      <c r="U440" s="213"/>
      <c r="V440" s="213"/>
      <c r="W440" s="213"/>
      <c r="X440" s="643"/>
      <c r="Y440" s="616">
        <f t="shared" si="22"/>
        <v>0</v>
      </c>
      <c r="Z440" s="633"/>
      <c r="AA440" s="636"/>
      <c r="AB440" s="636"/>
      <c r="AC440" s="7"/>
      <c r="AD440" s="704"/>
      <c r="AE440" s="7"/>
      <c r="AF440" s="618">
        <f t="shared" si="23"/>
        <v>0</v>
      </c>
      <c r="AG440" s="7"/>
      <c r="AH440" s="7"/>
      <c r="AI440" s="7"/>
      <c r="AJ440" s="7"/>
      <c r="AK440" s="7"/>
      <c r="AL440" s="7"/>
    </row>
    <row r="441" spans="1:38" ht="21.75" customHeight="1">
      <c r="A441" s="503" t="s">
        <v>1519</v>
      </c>
      <c r="B441" s="483" t="s">
        <v>955</v>
      </c>
      <c r="C441" s="629" t="s">
        <v>203</v>
      </c>
      <c r="D441" s="485" t="s">
        <v>1870</v>
      </c>
      <c r="E441" s="213"/>
      <c r="F441" s="213"/>
      <c r="G441" s="213"/>
      <c r="H441" s="215"/>
      <c r="I441" s="215"/>
      <c r="J441" s="214"/>
      <c r="K441" s="221"/>
      <c r="L441" s="620"/>
      <c r="M441" s="213"/>
      <c r="N441" s="213"/>
      <c r="O441" s="215"/>
      <c r="P441" s="213"/>
      <c r="Q441" s="213"/>
      <c r="R441" s="213"/>
      <c r="S441" s="213"/>
      <c r="T441" s="213"/>
      <c r="U441" s="213"/>
      <c r="V441" s="213"/>
      <c r="W441" s="213"/>
      <c r="X441" s="643"/>
      <c r="Y441" s="616">
        <f t="shared" si="22"/>
        <v>0</v>
      </c>
      <c r="Z441" s="633"/>
      <c r="AA441" s="636"/>
      <c r="AB441" s="636"/>
      <c r="AC441" s="7"/>
      <c r="AD441" s="704"/>
      <c r="AE441" s="7"/>
      <c r="AF441" s="618">
        <f t="shared" si="23"/>
        <v>0</v>
      </c>
      <c r="AG441" s="7"/>
      <c r="AH441" s="7"/>
      <c r="AI441" s="7"/>
      <c r="AJ441" s="7"/>
      <c r="AK441" s="7"/>
      <c r="AL441" s="7"/>
    </row>
    <row r="442" spans="1:38" ht="21.75" customHeight="1">
      <c r="A442" s="503" t="s">
        <v>1521</v>
      </c>
      <c r="B442" s="483" t="s">
        <v>957</v>
      </c>
      <c r="C442" s="629" t="s">
        <v>159</v>
      </c>
      <c r="D442" s="485" t="s">
        <v>1871</v>
      </c>
      <c r="E442" s="213"/>
      <c r="F442" s="213"/>
      <c r="G442" s="213"/>
      <c r="H442" s="215"/>
      <c r="I442" s="215"/>
      <c r="J442" s="214"/>
      <c r="K442" s="221"/>
      <c r="L442" s="620"/>
      <c r="M442" s="213"/>
      <c r="N442" s="213"/>
      <c r="O442" s="215"/>
      <c r="P442" s="213"/>
      <c r="Q442" s="213"/>
      <c r="R442" s="213"/>
      <c r="S442" s="213"/>
      <c r="T442" s="213"/>
      <c r="U442" s="213"/>
      <c r="V442" s="213"/>
      <c r="W442" s="213"/>
      <c r="X442" s="643"/>
      <c r="Y442" s="616">
        <f t="shared" si="22"/>
        <v>0</v>
      </c>
      <c r="Z442" s="633"/>
      <c r="AA442" s="636"/>
      <c r="AB442" s="636"/>
      <c r="AC442" s="7"/>
      <c r="AD442" s="704"/>
      <c r="AE442" s="7"/>
      <c r="AF442" s="618">
        <f t="shared" si="23"/>
        <v>0</v>
      </c>
      <c r="AG442" s="7"/>
      <c r="AH442" s="7"/>
      <c r="AI442" s="7"/>
      <c r="AJ442" s="7"/>
      <c r="AK442" s="7"/>
      <c r="AL442" s="7"/>
    </row>
    <row r="443" spans="1:38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5"/>
      <c r="I443" s="215"/>
      <c r="J443" s="214"/>
      <c r="K443" s="221"/>
      <c r="L443" s="620"/>
      <c r="M443" s="213"/>
      <c r="N443" s="213"/>
      <c r="O443" s="215"/>
      <c r="P443" s="213"/>
      <c r="Q443" s="213"/>
      <c r="R443" s="213"/>
      <c r="S443" s="213"/>
      <c r="T443" s="213"/>
      <c r="U443" s="213"/>
      <c r="V443" s="213"/>
      <c r="W443" s="213"/>
      <c r="X443" s="643"/>
      <c r="Y443" s="616">
        <f t="shared" si="22"/>
        <v>0</v>
      </c>
      <c r="Z443" s="633"/>
      <c r="AA443" s="636"/>
      <c r="AB443" s="636"/>
      <c r="AC443" s="7"/>
      <c r="AD443" s="704"/>
      <c r="AE443" s="7"/>
      <c r="AF443" s="618">
        <f t="shared" si="23"/>
        <v>0</v>
      </c>
      <c r="AG443" s="7"/>
      <c r="AH443" s="7"/>
      <c r="AI443" s="7"/>
      <c r="AJ443" s="7"/>
      <c r="AK443" s="7"/>
      <c r="AL443" s="7"/>
    </row>
    <row r="444" spans="1:38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>
        <v>29</v>
      </c>
      <c r="F444" s="213"/>
      <c r="G444" s="213"/>
      <c r="H444" s="215"/>
      <c r="I444" s="215"/>
      <c r="J444" s="214"/>
      <c r="K444" s="221"/>
      <c r="L444" s="662"/>
      <c r="M444" s="213"/>
      <c r="N444" s="213"/>
      <c r="O444" s="215"/>
      <c r="P444" s="213"/>
      <c r="Q444" s="213"/>
      <c r="R444" s="213"/>
      <c r="S444" s="213"/>
      <c r="T444" s="213"/>
      <c r="U444" s="213"/>
      <c r="V444" s="213"/>
      <c r="W444" s="213"/>
      <c r="X444" s="643"/>
      <c r="Y444" s="616">
        <f t="shared" si="22"/>
        <v>29</v>
      </c>
      <c r="Z444" s="633"/>
      <c r="AA444" s="636"/>
      <c r="AB444" s="636"/>
      <c r="AC444" s="7"/>
      <c r="AD444" s="704"/>
      <c r="AE444" s="7"/>
      <c r="AF444" s="618">
        <f t="shared" si="23"/>
        <v>-29</v>
      </c>
      <c r="AG444" s="7"/>
      <c r="AH444" s="7"/>
      <c r="AI444" s="7"/>
      <c r="AJ444" s="7"/>
      <c r="AK444" s="7"/>
      <c r="AL444" s="7"/>
    </row>
    <row r="445" spans="1:38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5"/>
      <c r="I445" s="215"/>
      <c r="J445" s="214"/>
      <c r="K445" s="221"/>
      <c r="L445" s="662"/>
      <c r="M445" s="213"/>
      <c r="N445" s="213"/>
      <c r="O445" s="215"/>
      <c r="P445" s="213"/>
      <c r="Q445" s="213"/>
      <c r="R445" s="213"/>
      <c r="S445" s="213"/>
      <c r="T445" s="213"/>
      <c r="U445" s="213"/>
      <c r="V445" s="213"/>
      <c r="W445" s="213"/>
      <c r="X445" s="643"/>
      <c r="Y445" s="616">
        <f t="shared" si="22"/>
        <v>0</v>
      </c>
      <c r="Z445" s="633"/>
      <c r="AA445" s="636"/>
      <c r="AB445" s="636"/>
      <c r="AC445" s="7"/>
      <c r="AD445" s="704"/>
      <c r="AE445" s="7"/>
      <c r="AF445" s="618">
        <f t="shared" si="23"/>
        <v>0</v>
      </c>
      <c r="AG445" s="7"/>
      <c r="AH445" s="7"/>
      <c r="AI445" s="7"/>
      <c r="AJ445" s="7"/>
      <c r="AK445" s="7"/>
      <c r="AL445" s="7"/>
    </row>
    <row r="446" spans="1:38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5"/>
      <c r="I446" s="215"/>
      <c r="J446" s="214"/>
      <c r="K446" s="221"/>
      <c r="L446" s="662"/>
      <c r="M446" s="213"/>
      <c r="N446" s="213"/>
      <c r="O446" s="215"/>
      <c r="P446" s="213"/>
      <c r="Q446" s="213"/>
      <c r="R446" s="213"/>
      <c r="S446" s="213"/>
      <c r="T446" s="213"/>
      <c r="U446" s="213"/>
      <c r="V446" s="213"/>
      <c r="W446" s="213"/>
      <c r="X446" s="643"/>
      <c r="Y446" s="616">
        <f t="shared" si="22"/>
        <v>0</v>
      </c>
      <c r="Z446" s="633"/>
      <c r="AA446" s="636"/>
      <c r="AB446" s="636"/>
      <c r="AC446" s="7"/>
      <c r="AD446" s="704"/>
      <c r="AE446" s="7"/>
      <c r="AF446" s="618">
        <f t="shared" si="23"/>
        <v>0</v>
      </c>
      <c r="AG446" s="7"/>
      <c r="AH446" s="7"/>
      <c r="AI446" s="7"/>
      <c r="AJ446" s="7"/>
      <c r="AK446" s="7"/>
      <c r="AL446" s="7"/>
    </row>
    <row r="447" spans="1:38" ht="42" customHeight="1">
      <c r="A447" s="519"/>
      <c r="B447" s="801" t="s">
        <v>969</v>
      </c>
      <c r="C447" s="771"/>
      <c r="D447" s="491" t="s">
        <v>970</v>
      </c>
      <c r="E447" s="231"/>
      <c r="F447" s="231"/>
      <c r="G447" s="231"/>
      <c r="H447" s="235"/>
      <c r="I447" s="235"/>
      <c r="J447" s="374"/>
      <c r="K447" s="310"/>
      <c r="L447" s="675"/>
      <c r="M447" s="219"/>
      <c r="N447" s="219"/>
      <c r="O447" s="235"/>
      <c r="P447" s="231"/>
      <c r="Q447" s="231"/>
      <c r="R447" s="231"/>
      <c r="S447" s="231"/>
      <c r="T447" s="231"/>
      <c r="U447" s="231"/>
      <c r="V447" s="231"/>
      <c r="W447" s="231"/>
      <c r="X447" s="678"/>
      <c r="Y447" s="616">
        <f t="shared" si="22"/>
        <v>0</v>
      </c>
      <c r="Z447" s="633"/>
      <c r="AA447" s="537"/>
      <c r="AB447" s="537"/>
      <c r="AC447" s="7"/>
      <c r="AD447" s="679">
        <v>564678</v>
      </c>
      <c r="AE447" s="7"/>
      <c r="AF447" s="618">
        <f t="shared" si="23"/>
        <v>564678</v>
      </c>
      <c r="AG447" s="7"/>
      <c r="AH447" s="7"/>
      <c r="AI447" s="7"/>
      <c r="AJ447" s="7"/>
      <c r="AK447" s="7"/>
      <c r="AL447" s="7"/>
    </row>
    <row r="448" spans="1:38" ht="21.75" customHeight="1">
      <c r="A448" s="534"/>
      <c r="B448" s="535"/>
      <c r="C448" s="680"/>
      <c r="D448" s="536"/>
      <c r="E448" s="539"/>
      <c r="F448" s="537"/>
      <c r="G448" s="539"/>
      <c r="H448" s="539"/>
      <c r="I448" s="239"/>
      <c r="J448" s="239"/>
      <c r="K448" s="539"/>
      <c r="L448" s="7"/>
      <c r="M448" s="7"/>
      <c r="N448" s="7"/>
      <c r="O448" s="7"/>
      <c r="P448" s="239"/>
      <c r="Q448" s="7"/>
      <c r="R448" s="7"/>
      <c r="S448" s="7"/>
      <c r="T448" s="7"/>
      <c r="U448" s="7"/>
      <c r="V448" s="7"/>
      <c r="W448" s="7"/>
      <c r="X448" s="7"/>
      <c r="Y448" s="7"/>
      <c r="Z448" s="705"/>
      <c r="AA448" s="7"/>
      <c r="AB448" s="7"/>
      <c r="AC448" s="7"/>
      <c r="AD448" s="7"/>
      <c r="AE448" s="7"/>
      <c r="AF448" s="7"/>
      <c r="AG448" s="7"/>
      <c r="AH448" s="7"/>
    </row>
    <row r="449" spans="1:34" ht="15.75" customHeight="1">
      <c r="A449" s="541"/>
      <c r="B449" s="542" t="s">
        <v>1523</v>
      </c>
      <c r="C449" s="542"/>
      <c r="D449" s="541"/>
      <c r="E449" s="539"/>
      <c r="F449" s="706"/>
      <c r="G449" s="539"/>
      <c r="H449" s="539"/>
      <c r="I449" s="239"/>
      <c r="J449" s="239"/>
      <c r="K449" s="539"/>
      <c r="L449" s="7"/>
      <c r="M449" s="7"/>
      <c r="N449" s="7"/>
      <c r="O449" s="7"/>
      <c r="P449" s="239"/>
      <c r="Q449" s="7"/>
      <c r="R449" s="7"/>
      <c r="S449" s="7"/>
      <c r="T449" s="7"/>
      <c r="U449" s="7"/>
      <c r="V449" s="7"/>
      <c r="W449" s="7"/>
      <c r="X449" s="7"/>
      <c r="Y449" s="7"/>
      <c r="Z449" s="707"/>
      <c r="AA449" s="7"/>
      <c r="AB449" s="7"/>
      <c r="AC449" s="7"/>
      <c r="AD449" s="7"/>
      <c r="AE449" s="7"/>
      <c r="AF449" s="7"/>
      <c r="AG449" s="7"/>
      <c r="AH449" s="7"/>
    </row>
    <row r="450" spans="1:34" ht="15.75" customHeight="1">
      <c r="A450" s="541"/>
      <c r="B450" s="545" t="s">
        <v>1524</v>
      </c>
      <c r="C450" s="542" t="s">
        <v>1525</v>
      </c>
      <c r="D450" s="541"/>
      <c r="E450" s="539"/>
      <c r="F450" s="541"/>
      <c r="G450" s="539"/>
      <c r="H450" s="539"/>
      <c r="I450" s="239"/>
      <c r="J450" s="239"/>
      <c r="K450" s="539"/>
      <c r="L450" s="7"/>
      <c r="M450" s="7"/>
      <c r="N450" s="7"/>
      <c r="O450" s="7"/>
      <c r="P450" s="239"/>
      <c r="Q450" s="7"/>
      <c r="R450" s="7"/>
      <c r="S450" s="7"/>
      <c r="T450" s="7"/>
      <c r="U450" s="7"/>
      <c r="V450" s="7"/>
      <c r="W450" s="7"/>
      <c r="X450" s="7"/>
      <c r="Y450" s="7"/>
      <c r="Z450" s="708"/>
      <c r="AA450" s="7"/>
      <c r="AB450" s="7"/>
      <c r="AC450" s="7"/>
      <c r="AD450" s="7"/>
      <c r="AE450" s="7"/>
      <c r="AF450" s="7"/>
      <c r="AG450" s="7"/>
      <c r="AH450" s="7"/>
    </row>
    <row r="451" spans="1:34" ht="15.75" customHeight="1">
      <c r="A451" s="541"/>
      <c r="B451" s="545" t="s">
        <v>1526</v>
      </c>
      <c r="C451" s="542" t="s">
        <v>1527</v>
      </c>
      <c r="D451" s="541"/>
      <c r="E451" s="681"/>
      <c r="F451" s="541"/>
      <c r="G451" s="681"/>
      <c r="H451" s="681"/>
      <c r="I451" s="239"/>
      <c r="J451" s="239"/>
      <c r="K451" s="681"/>
      <c r="L451" s="7"/>
      <c r="M451" s="7"/>
      <c r="N451" s="7"/>
      <c r="O451" s="7"/>
      <c r="P451" s="239"/>
      <c r="Q451" s="7"/>
      <c r="R451" s="7"/>
      <c r="S451" s="7"/>
      <c r="T451" s="7"/>
      <c r="U451" s="7"/>
      <c r="V451" s="7"/>
      <c r="W451" s="7"/>
      <c r="X451" s="7"/>
      <c r="Y451" s="7"/>
      <c r="Z451" s="708"/>
      <c r="AA451" s="7"/>
      <c r="AB451" s="7"/>
      <c r="AC451" s="7"/>
      <c r="AD451" s="7"/>
      <c r="AE451" s="7"/>
      <c r="AF451" s="7"/>
      <c r="AG451" s="7"/>
      <c r="AH451" s="7"/>
    </row>
    <row r="452" spans="1:34" ht="15.75" customHeight="1">
      <c r="A452" s="541"/>
      <c r="B452" s="545"/>
      <c r="C452" s="542"/>
      <c r="D452" s="541"/>
      <c r="E452" s="681"/>
      <c r="F452" s="541"/>
      <c r="G452" s="681"/>
      <c r="H452" s="681"/>
      <c r="I452" s="239"/>
      <c r="J452" s="239"/>
      <c r="K452" s="681"/>
      <c r="L452" s="7"/>
      <c r="M452" s="7"/>
      <c r="N452" s="7"/>
      <c r="O452" s="7"/>
      <c r="P452" s="239"/>
      <c r="Q452" s="7"/>
      <c r="R452" s="7"/>
      <c r="S452" s="7"/>
      <c r="T452" s="7"/>
      <c r="U452" s="7"/>
      <c r="V452" s="7"/>
      <c r="W452" s="7"/>
      <c r="X452" s="7"/>
      <c r="Y452" s="7"/>
      <c r="Z452" s="708"/>
      <c r="AA452" s="7"/>
      <c r="AB452" s="7"/>
      <c r="AC452" s="7"/>
      <c r="AD452" s="7"/>
      <c r="AE452" s="7"/>
      <c r="AF452" s="7"/>
      <c r="AG452" s="7"/>
      <c r="AH452" s="7"/>
    </row>
    <row r="453" spans="1:34" ht="15.75" customHeight="1">
      <c r="A453" s="541"/>
      <c r="B453" s="802" t="s">
        <v>1528</v>
      </c>
      <c r="C453" s="791"/>
      <c r="D453" s="541"/>
      <c r="E453" s="681"/>
      <c r="F453" s="541"/>
      <c r="G453" s="681"/>
      <c r="H453" s="681"/>
      <c r="I453" s="239"/>
      <c r="J453" s="239"/>
      <c r="K453" s="681"/>
      <c r="L453" s="7"/>
      <c r="M453" s="7"/>
      <c r="N453" s="7"/>
      <c r="O453" s="7"/>
      <c r="P453" s="239"/>
      <c r="Q453" s="7"/>
      <c r="R453" s="7"/>
      <c r="S453" s="7"/>
      <c r="T453" s="7"/>
      <c r="U453" s="7"/>
      <c r="V453" s="7"/>
      <c r="W453" s="7"/>
      <c r="X453" s="7"/>
      <c r="Y453" s="7"/>
      <c r="Z453" s="708"/>
      <c r="AA453" s="7"/>
      <c r="AB453" s="7"/>
      <c r="AC453" s="7"/>
      <c r="AD453" s="7"/>
      <c r="AE453" s="7"/>
      <c r="AF453" s="7"/>
      <c r="AG453" s="7"/>
      <c r="AH453" s="7"/>
    </row>
    <row r="454" spans="1:34" ht="15.75" customHeight="1">
      <c r="A454" s="541"/>
      <c r="B454" s="790" t="s">
        <v>1529</v>
      </c>
      <c r="C454" s="791"/>
      <c r="D454" s="541" t="s">
        <v>1530</v>
      </c>
      <c r="E454" s="681"/>
      <c r="F454" s="541"/>
      <c r="G454" s="681"/>
      <c r="H454" s="681"/>
      <c r="I454" s="239"/>
      <c r="J454" s="239"/>
      <c r="K454" s="681"/>
      <c r="L454" s="7"/>
      <c r="M454" s="7"/>
      <c r="N454" s="7"/>
      <c r="O454" s="7"/>
      <c r="P454" s="239"/>
      <c r="Q454" s="7"/>
      <c r="R454" s="7"/>
      <c r="S454" s="7"/>
      <c r="T454" s="7"/>
      <c r="U454" s="7"/>
      <c r="V454" s="7"/>
      <c r="W454" s="7"/>
      <c r="X454" s="7"/>
      <c r="Y454" s="7"/>
      <c r="Z454" s="708"/>
      <c r="AA454" s="7"/>
      <c r="AB454" s="7"/>
      <c r="AC454" s="7"/>
      <c r="AD454" s="7"/>
      <c r="AE454" s="7"/>
      <c r="AF454" s="7"/>
      <c r="AG454" s="7"/>
      <c r="AH454" s="7"/>
    </row>
    <row r="455" spans="1:34" ht="15.75" customHeight="1">
      <c r="A455" s="541"/>
      <c r="B455" s="545"/>
      <c r="C455" s="542"/>
      <c r="D455" s="541"/>
      <c r="E455" s="681"/>
      <c r="F455" s="541"/>
      <c r="G455" s="681"/>
      <c r="H455" s="681"/>
      <c r="I455" s="239"/>
      <c r="J455" s="239"/>
      <c r="K455" s="681"/>
      <c r="L455" s="7"/>
      <c r="M455" s="7"/>
      <c r="N455" s="7"/>
      <c r="O455" s="7"/>
      <c r="P455" s="239"/>
      <c r="Q455" s="7"/>
      <c r="R455" s="7"/>
      <c r="S455" s="7"/>
      <c r="T455" s="7"/>
      <c r="U455" s="7"/>
      <c r="V455" s="7"/>
      <c r="W455" s="7"/>
      <c r="X455" s="7"/>
      <c r="Y455" s="7"/>
      <c r="Z455" s="708"/>
      <c r="AA455" s="7"/>
      <c r="AB455" s="7"/>
      <c r="AC455" s="7"/>
      <c r="AD455" s="7"/>
      <c r="AE455" s="7"/>
      <c r="AF455" s="7"/>
      <c r="AG455" s="7"/>
      <c r="AH455" s="7"/>
    </row>
    <row r="456" spans="1:34" ht="15.75" customHeight="1">
      <c r="A456" s="546" t="s">
        <v>971</v>
      </c>
      <c r="B456" s="547"/>
      <c r="C456" s="547"/>
      <c r="D456" s="547"/>
      <c r="E456" s="682"/>
      <c r="F456" s="547"/>
      <c r="G456" s="682"/>
      <c r="H456" s="682"/>
      <c r="I456" s="239"/>
      <c r="J456" s="239"/>
      <c r="K456" s="682"/>
      <c r="L456" s="7"/>
      <c r="M456" s="7"/>
      <c r="N456" s="7"/>
      <c r="O456" s="7"/>
      <c r="P456" s="239"/>
      <c r="Q456" s="7"/>
      <c r="R456" s="7"/>
      <c r="S456" s="7"/>
      <c r="T456" s="7"/>
      <c r="U456" s="7"/>
      <c r="V456" s="7"/>
      <c r="W456" s="7"/>
      <c r="X456" s="7"/>
      <c r="Y456" s="7"/>
      <c r="Z456" s="708"/>
      <c r="AA456" s="7"/>
      <c r="AB456" s="7"/>
      <c r="AC456" s="7"/>
      <c r="AD456" s="7"/>
      <c r="AE456" s="7"/>
      <c r="AF456" s="7"/>
      <c r="AG456" s="7"/>
      <c r="AH456" s="7"/>
    </row>
    <row r="457" spans="1:34" ht="15.75" customHeight="1">
      <c r="A457" s="549" t="s">
        <v>972</v>
      </c>
      <c r="B457" s="550"/>
      <c r="C457" s="550"/>
      <c r="D457" s="550"/>
      <c r="E457" s="684"/>
      <c r="F457" s="550"/>
      <c r="G457" s="684"/>
      <c r="H457" s="684"/>
      <c r="I457" s="239"/>
      <c r="J457" s="239"/>
      <c r="K457" s="684"/>
      <c r="L457" s="7"/>
      <c r="M457" s="7"/>
      <c r="N457" s="7"/>
      <c r="O457" s="7"/>
      <c r="P457" s="239"/>
      <c r="Q457" s="7"/>
      <c r="R457" s="7"/>
      <c r="S457" s="7"/>
      <c r="T457" s="7"/>
      <c r="U457" s="7"/>
      <c r="V457" s="7"/>
      <c r="W457" s="7"/>
      <c r="X457" s="7"/>
      <c r="Y457" s="7"/>
      <c r="Z457" s="708"/>
      <c r="AA457" s="7"/>
      <c r="AB457" s="7"/>
      <c r="AC457" s="7"/>
      <c r="AD457" s="7"/>
      <c r="AE457" s="7"/>
      <c r="AF457" s="7"/>
      <c r="AG457" s="7"/>
      <c r="AH457" s="7"/>
    </row>
    <row r="458" spans="1:34" ht="15.75" customHeight="1">
      <c r="A458" s="546"/>
      <c r="B458" s="547"/>
      <c r="C458" s="241" t="s">
        <v>12</v>
      </c>
      <c r="D458" s="242">
        <f>COUNTIF($D$11:$Y$11,"Hà Giang")</f>
        <v>0</v>
      </c>
      <c r="E458" s="539"/>
      <c r="F458" s="546"/>
      <c r="G458" s="539"/>
      <c r="H458" s="539"/>
      <c r="I458" s="239"/>
      <c r="J458" s="239"/>
      <c r="K458" s="539"/>
      <c r="L458" s="7"/>
      <c r="M458" s="7"/>
      <c r="N458" s="7"/>
      <c r="O458" s="7"/>
      <c r="P458" s="239"/>
      <c r="Q458" s="7"/>
      <c r="R458" s="7"/>
      <c r="S458" s="7"/>
      <c r="T458" s="7"/>
      <c r="U458" s="7"/>
      <c r="V458" s="7"/>
      <c r="W458" s="7"/>
      <c r="X458" s="7"/>
      <c r="Y458" s="7"/>
      <c r="Z458" s="708"/>
      <c r="AA458" s="7"/>
      <c r="AB458" s="7"/>
      <c r="AC458" s="7"/>
      <c r="AD458" s="7"/>
      <c r="AE458" s="7"/>
      <c r="AF458" s="7"/>
      <c r="AG458" s="7"/>
      <c r="AH458" s="7"/>
    </row>
    <row r="459" spans="1:34" ht="15.75" customHeight="1">
      <c r="A459" s="546"/>
      <c r="B459" s="547"/>
      <c r="C459" s="241" t="s">
        <v>14</v>
      </c>
      <c r="D459" s="242">
        <f>COUNTIF($D$11:$Y$11,"Lào Cai")</f>
        <v>0</v>
      </c>
      <c r="E459" s="539"/>
      <c r="F459" s="546"/>
      <c r="G459" s="539"/>
      <c r="H459" s="539"/>
      <c r="I459" s="239"/>
      <c r="J459" s="239"/>
      <c r="K459" s="539"/>
      <c r="L459" s="7"/>
      <c r="M459" s="7"/>
      <c r="N459" s="7"/>
      <c r="O459" s="7"/>
      <c r="P459" s="239"/>
      <c r="Q459" s="7"/>
      <c r="R459" s="7"/>
      <c r="S459" s="7"/>
      <c r="T459" s="7"/>
      <c r="U459" s="7"/>
      <c r="V459" s="7"/>
      <c r="W459" s="7"/>
      <c r="X459" s="7"/>
      <c r="Y459" s="7"/>
      <c r="Z459" s="708"/>
      <c r="AA459" s="7"/>
      <c r="AB459" s="7"/>
      <c r="AC459" s="7"/>
      <c r="AD459" s="7"/>
      <c r="AE459" s="7"/>
      <c r="AF459" s="7"/>
      <c r="AG459" s="7"/>
      <c r="AH459" s="7"/>
    </row>
    <row r="460" spans="1:34" ht="15.75" customHeight="1">
      <c r="A460" s="546"/>
      <c r="B460" s="552"/>
      <c r="C460" s="241" t="s">
        <v>23</v>
      </c>
      <c r="D460" s="242">
        <f>COUNTIF($D$11:$Y$11,"Lai Châu")</f>
        <v>0</v>
      </c>
      <c r="E460" s="539"/>
      <c r="F460" s="546"/>
      <c r="G460" s="539"/>
      <c r="H460" s="539"/>
      <c r="I460" s="239"/>
      <c r="J460" s="239"/>
      <c r="K460" s="539"/>
      <c r="L460" s="7"/>
      <c r="M460" s="7"/>
      <c r="N460" s="7"/>
      <c r="O460" s="7"/>
      <c r="P460" s="239"/>
      <c r="Q460" s="7"/>
      <c r="R460" s="7"/>
      <c r="S460" s="7"/>
      <c r="T460" s="7"/>
      <c r="U460" s="7"/>
      <c r="V460" s="7"/>
      <c r="W460" s="7"/>
      <c r="X460" s="7"/>
      <c r="Y460" s="7"/>
      <c r="Z460" s="708"/>
      <c r="AA460" s="7"/>
      <c r="AB460" s="7"/>
      <c r="AC460" s="7"/>
      <c r="AD460" s="7"/>
      <c r="AE460" s="7"/>
      <c r="AF460" s="7"/>
      <c r="AG460" s="7"/>
      <c r="AH460" s="7"/>
    </row>
    <row r="461" spans="1:34" ht="15.75" customHeight="1">
      <c r="A461" s="686"/>
      <c r="B461" s="687"/>
      <c r="C461" s="243" t="s">
        <v>17</v>
      </c>
      <c r="D461" s="242">
        <f>COUNTIF($D$11:$Y$11,"Điện Biên")</f>
        <v>0</v>
      </c>
      <c r="E461" s="688"/>
      <c r="F461" s="244"/>
      <c r="G461" s="688"/>
      <c r="H461" s="688"/>
      <c r="I461" s="239"/>
      <c r="J461" s="239"/>
      <c r="K461" s="688"/>
      <c r="L461" s="7"/>
      <c r="M461" s="7"/>
      <c r="N461" s="7"/>
      <c r="O461" s="7"/>
      <c r="P461" s="239"/>
      <c r="Q461" s="7"/>
      <c r="R461" s="7"/>
      <c r="S461" s="7"/>
      <c r="T461" s="7"/>
      <c r="U461" s="7"/>
      <c r="V461" s="7"/>
      <c r="W461" s="7"/>
      <c r="X461" s="7"/>
      <c r="Y461" s="7"/>
      <c r="Z461" s="708"/>
      <c r="AA461" s="7"/>
      <c r="AB461" s="7"/>
      <c r="AC461" s="7"/>
      <c r="AD461" s="7"/>
      <c r="AE461" s="7"/>
      <c r="AF461" s="7"/>
      <c r="AG461" s="7"/>
      <c r="AH461" s="7"/>
    </row>
    <row r="462" spans="1:34" ht="15.75" customHeight="1">
      <c r="A462" s="686"/>
      <c r="B462" s="687"/>
      <c r="C462" s="243" t="s">
        <v>16</v>
      </c>
      <c r="D462" s="242">
        <f>COUNTIF($D$11:$Y$11,"Lạng Sơn")</f>
        <v>0</v>
      </c>
      <c r="E462" s="688"/>
      <c r="F462" s="244"/>
      <c r="G462" s="688"/>
      <c r="H462" s="688"/>
      <c r="I462" s="239"/>
      <c r="J462" s="239"/>
      <c r="K462" s="688"/>
      <c r="L462" s="7"/>
      <c r="M462" s="7"/>
      <c r="N462" s="7"/>
      <c r="O462" s="7"/>
      <c r="P462" s="239"/>
      <c r="Q462" s="7"/>
      <c r="R462" s="7"/>
      <c r="S462" s="7"/>
      <c r="T462" s="7"/>
      <c r="U462" s="7"/>
      <c r="V462" s="7"/>
      <c r="W462" s="7"/>
      <c r="X462" s="7"/>
      <c r="Y462" s="7"/>
      <c r="Z462" s="708"/>
      <c r="AA462" s="7"/>
      <c r="AB462" s="7"/>
      <c r="AC462" s="7"/>
      <c r="AD462" s="7"/>
      <c r="AE462" s="7"/>
      <c r="AF462" s="7"/>
      <c r="AG462" s="7"/>
      <c r="AH462" s="7"/>
    </row>
    <row r="463" spans="1:34" ht="15.75" customHeight="1">
      <c r="A463" s="686"/>
      <c r="B463" s="687"/>
      <c r="C463" s="243" t="s">
        <v>13</v>
      </c>
      <c r="D463" s="242">
        <f>COUNTIF($D$11:$Y$11,"Cao Bằng")</f>
        <v>0</v>
      </c>
      <c r="E463" s="688"/>
      <c r="F463" s="244"/>
      <c r="G463" s="688"/>
      <c r="H463" s="688"/>
      <c r="I463" s="239"/>
      <c r="J463" s="239"/>
      <c r="K463" s="688"/>
      <c r="L463" s="7"/>
      <c r="M463" s="7"/>
      <c r="N463" s="7"/>
      <c r="O463" s="7"/>
      <c r="P463" s="239"/>
      <c r="Q463" s="7"/>
      <c r="R463" s="7"/>
      <c r="S463" s="7"/>
      <c r="T463" s="7"/>
      <c r="U463" s="7"/>
      <c r="V463" s="7"/>
      <c r="W463" s="7"/>
      <c r="X463" s="7"/>
      <c r="Y463" s="7"/>
      <c r="Z463" s="708"/>
      <c r="AA463" s="7"/>
      <c r="AB463" s="7"/>
      <c r="AC463" s="7"/>
      <c r="AD463" s="7"/>
      <c r="AE463" s="7"/>
      <c r="AF463" s="7"/>
      <c r="AG463" s="7"/>
      <c r="AH463" s="7"/>
    </row>
    <row r="464" spans="1:34" ht="15.75" customHeight="1">
      <c r="A464" s="686"/>
      <c r="B464" s="687"/>
      <c r="C464" s="243" t="s">
        <v>1090</v>
      </c>
      <c r="D464" s="242">
        <f>COUNTIF($D$11:$Y$11,"Sơn La")</f>
        <v>0</v>
      </c>
      <c r="E464" s="688"/>
      <c r="F464" s="244"/>
      <c r="G464" s="688"/>
      <c r="H464" s="688"/>
      <c r="I464" s="239"/>
      <c r="J464" s="239"/>
      <c r="K464" s="688"/>
      <c r="L464" s="7"/>
      <c r="M464" s="7"/>
      <c r="N464" s="7"/>
      <c r="O464" s="7"/>
      <c r="P464" s="239"/>
      <c r="Q464" s="7"/>
      <c r="R464" s="7"/>
      <c r="S464" s="7"/>
      <c r="T464" s="7"/>
      <c r="U464" s="7"/>
      <c r="V464" s="7"/>
      <c r="W464" s="7"/>
      <c r="X464" s="7"/>
      <c r="Y464" s="7"/>
      <c r="Z464" s="708"/>
      <c r="AA464" s="7"/>
      <c r="AB464" s="7"/>
      <c r="AC464" s="7"/>
      <c r="AD464" s="7"/>
      <c r="AE464" s="7"/>
      <c r="AF464" s="7"/>
      <c r="AG464" s="7"/>
      <c r="AH464" s="7"/>
    </row>
    <row r="465" spans="1:34" ht="15.75" customHeight="1">
      <c r="A465" s="686"/>
      <c r="B465" s="687"/>
      <c r="C465" s="243" t="s">
        <v>19</v>
      </c>
      <c r="D465" s="242">
        <f>COUNTIF($D$11:$Y$11,"Yên Bái")</f>
        <v>0</v>
      </c>
      <c r="E465" s="688"/>
      <c r="F465" s="244"/>
      <c r="G465" s="688"/>
      <c r="H465" s="688"/>
      <c r="I465" s="239"/>
      <c r="J465" s="239"/>
      <c r="K465" s="688"/>
      <c r="L465" s="7"/>
      <c r="M465" s="7"/>
      <c r="N465" s="7"/>
      <c r="O465" s="7"/>
      <c r="P465" s="239"/>
      <c r="Q465" s="7"/>
      <c r="R465" s="7"/>
      <c r="S465" s="7"/>
      <c r="T465" s="7"/>
      <c r="U465" s="7"/>
      <c r="V465" s="7"/>
      <c r="W465" s="7"/>
      <c r="X465" s="7"/>
      <c r="Y465" s="7"/>
      <c r="Z465" s="708"/>
      <c r="AA465" s="7"/>
      <c r="AB465" s="7"/>
      <c r="AC465" s="7"/>
      <c r="AD465" s="7"/>
      <c r="AE465" s="7"/>
      <c r="AF465" s="7"/>
      <c r="AG465" s="7"/>
      <c r="AH465" s="7"/>
    </row>
    <row r="466" spans="1:34" ht="15.75" customHeight="1">
      <c r="A466" s="686"/>
      <c r="B466" s="687"/>
      <c r="C466" s="243" t="s">
        <v>18</v>
      </c>
      <c r="D466" s="242">
        <f>COUNTIF($D$11:$Y$11,"Tuyên Quang")</f>
        <v>0</v>
      </c>
      <c r="E466" s="688"/>
      <c r="F466" s="244"/>
      <c r="G466" s="688"/>
      <c r="H466" s="688"/>
      <c r="I466" s="239"/>
      <c r="J466" s="239"/>
      <c r="K466" s="688"/>
      <c r="L466" s="7"/>
      <c r="M466" s="7"/>
      <c r="N466" s="7"/>
      <c r="O466" s="7"/>
      <c r="P466" s="239"/>
      <c r="Q466" s="7"/>
      <c r="R466" s="7"/>
      <c r="S466" s="7"/>
      <c r="T466" s="7"/>
      <c r="U466" s="7"/>
      <c r="V466" s="7"/>
      <c r="W466" s="7"/>
      <c r="X466" s="7"/>
      <c r="Y466" s="7"/>
      <c r="Z466" s="708"/>
      <c r="AA466" s="7"/>
      <c r="AB466" s="7"/>
      <c r="AC466" s="7"/>
      <c r="AD466" s="7"/>
      <c r="AE466" s="7"/>
      <c r="AF466" s="7"/>
      <c r="AG466" s="7"/>
      <c r="AH466" s="7"/>
    </row>
    <row r="467" spans="1:34" ht="15.75" customHeight="1">
      <c r="A467" s="686"/>
      <c r="B467" s="687"/>
      <c r="C467" s="243" t="s">
        <v>1091</v>
      </c>
      <c r="D467" s="242">
        <f>COUNTIF($D$11:$Y$11,"Thái Nguyên")</f>
        <v>0</v>
      </c>
      <c r="E467" s="688"/>
      <c r="F467" s="244"/>
      <c r="G467" s="688"/>
      <c r="H467" s="688"/>
      <c r="I467" s="239"/>
      <c r="J467" s="239"/>
      <c r="K467" s="688"/>
      <c r="L467" s="7"/>
      <c r="M467" s="7"/>
      <c r="N467" s="7"/>
      <c r="O467" s="7"/>
      <c r="P467" s="239"/>
      <c r="Q467" s="7"/>
      <c r="R467" s="7"/>
      <c r="S467" s="7"/>
      <c r="T467" s="7"/>
      <c r="U467" s="7"/>
      <c r="V467" s="7"/>
      <c r="W467" s="7"/>
      <c r="X467" s="7"/>
      <c r="Y467" s="7"/>
      <c r="Z467" s="708"/>
      <c r="AA467" s="7"/>
      <c r="AB467" s="7"/>
      <c r="AC467" s="7"/>
      <c r="AD467" s="7"/>
      <c r="AE467" s="7"/>
      <c r="AF467" s="7"/>
      <c r="AG467" s="7"/>
      <c r="AH467" s="7"/>
    </row>
    <row r="468" spans="1:34" ht="15.75" customHeight="1">
      <c r="A468" s="686"/>
      <c r="B468" s="687"/>
      <c r="C468" s="243" t="s">
        <v>15</v>
      </c>
      <c r="D468" s="242">
        <f>COUNTIF($D$11:$Y$11,"Bắc Kạn")</f>
        <v>0</v>
      </c>
      <c r="E468" s="688"/>
      <c r="F468" s="244"/>
      <c r="G468" s="688"/>
      <c r="H468" s="688"/>
      <c r="I468" s="239"/>
      <c r="J468" s="239"/>
      <c r="K468" s="688"/>
      <c r="L468" s="7"/>
      <c r="M468" s="7"/>
      <c r="N468" s="7"/>
      <c r="O468" s="7"/>
      <c r="P468" s="239"/>
      <c r="Q468" s="7"/>
      <c r="R468" s="7"/>
      <c r="S468" s="7"/>
      <c r="T468" s="7"/>
      <c r="U468" s="7"/>
      <c r="V468" s="7"/>
      <c r="W468" s="7"/>
      <c r="X468" s="7"/>
      <c r="Y468" s="7"/>
      <c r="Z468" s="708"/>
      <c r="AA468" s="7"/>
      <c r="AB468" s="7"/>
      <c r="AC468" s="7"/>
      <c r="AD468" s="7"/>
      <c r="AE468" s="7"/>
      <c r="AF468" s="7"/>
      <c r="AG468" s="7"/>
      <c r="AH468" s="7"/>
    </row>
    <row r="469" spans="1:34" ht="15.75" customHeight="1">
      <c r="A469" s="686"/>
      <c r="B469" s="687"/>
      <c r="C469" s="243" t="s">
        <v>25</v>
      </c>
      <c r="D469" s="242">
        <f>COUNTIF($D$11:$Y$11,"Hoà Bình")</f>
        <v>0</v>
      </c>
      <c r="E469" s="688"/>
      <c r="F469" s="244"/>
      <c r="G469" s="688"/>
      <c r="H469" s="688"/>
      <c r="I469" s="239"/>
      <c r="J469" s="239"/>
      <c r="K469" s="688"/>
      <c r="L469" s="7"/>
      <c r="M469" s="7"/>
      <c r="N469" s="7"/>
      <c r="O469" s="7"/>
      <c r="P469" s="239"/>
      <c r="Q469" s="7"/>
      <c r="R469" s="7"/>
      <c r="S469" s="7"/>
      <c r="T469" s="7"/>
      <c r="U469" s="7"/>
      <c r="V469" s="7"/>
      <c r="W469" s="7"/>
      <c r="X469" s="7"/>
      <c r="Y469" s="7"/>
      <c r="Z469" s="708"/>
      <c r="AA469" s="7"/>
      <c r="AB469" s="7"/>
      <c r="AC469" s="7"/>
      <c r="AD469" s="7"/>
      <c r="AE469" s="7"/>
      <c r="AF469" s="7"/>
      <c r="AG469" s="7"/>
      <c r="AH469" s="7"/>
    </row>
    <row r="470" spans="1:34" ht="15.75" customHeight="1">
      <c r="A470" s="686"/>
      <c r="B470" s="687"/>
      <c r="C470" s="243" t="s">
        <v>1092</v>
      </c>
      <c r="D470" s="242">
        <f>COUNTIF($D$11:$Y$11,"Bắc Giang")</f>
        <v>0</v>
      </c>
      <c r="E470" s="688"/>
      <c r="F470" s="244"/>
      <c r="G470" s="688"/>
      <c r="H470" s="688"/>
      <c r="I470" s="239"/>
      <c r="J470" s="239"/>
      <c r="K470" s="688"/>
      <c r="L470" s="7"/>
      <c r="M470" s="7"/>
      <c r="N470" s="7"/>
      <c r="O470" s="7"/>
      <c r="P470" s="239"/>
      <c r="Q470" s="7"/>
      <c r="R470" s="7"/>
      <c r="S470" s="7"/>
      <c r="T470" s="7"/>
      <c r="U470" s="7"/>
      <c r="V470" s="7"/>
      <c r="W470" s="7"/>
      <c r="X470" s="7"/>
      <c r="Y470" s="7"/>
      <c r="Z470" s="708"/>
      <c r="AA470" s="7"/>
      <c r="AB470" s="7"/>
      <c r="AC470" s="7"/>
      <c r="AD470" s="7"/>
      <c r="AE470" s="7"/>
      <c r="AF470" s="7"/>
      <c r="AG470" s="7"/>
      <c r="AH470" s="7"/>
    </row>
    <row r="471" spans="1:34" ht="15.75" customHeight="1">
      <c r="A471" s="686"/>
      <c r="B471" s="687"/>
      <c r="C471" s="243" t="s">
        <v>28</v>
      </c>
      <c r="D471" s="242">
        <f>COUNTIF($D$11:$Y$11,"Quảng Ninh")</f>
        <v>0</v>
      </c>
      <c r="E471" s="688"/>
      <c r="F471" s="244"/>
      <c r="G471" s="688"/>
      <c r="H471" s="688"/>
      <c r="I471" s="239"/>
      <c r="J471" s="239"/>
      <c r="K471" s="688"/>
      <c r="L471" s="7"/>
      <c r="M471" s="7"/>
      <c r="N471" s="7"/>
      <c r="O471" s="7"/>
      <c r="P471" s="239"/>
      <c r="Q471" s="7"/>
      <c r="R471" s="7"/>
      <c r="S471" s="7"/>
      <c r="T471" s="7"/>
      <c r="U471" s="7"/>
      <c r="V471" s="7"/>
      <c r="W471" s="7"/>
      <c r="X471" s="7"/>
      <c r="Y471" s="7"/>
      <c r="Z471" s="708"/>
      <c r="AA471" s="7"/>
      <c r="AB471" s="7"/>
      <c r="AC471" s="7"/>
      <c r="AD471" s="7"/>
      <c r="AE471" s="7"/>
      <c r="AF471" s="7"/>
      <c r="AG471" s="7"/>
      <c r="AH471" s="7"/>
    </row>
    <row r="472" spans="1:34" ht="15.75" customHeight="1">
      <c r="A472" s="686"/>
      <c r="B472" s="687"/>
      <c r="C472" s="243" t="s">
        <v>26</v>
      </c>
      <c r="D472" s="242">
        <f>COUNTIF($D$11:$Y$11,"Hà Nội")</f>
        <v>0</v>
      </c>
      <c r="E472" s="688"/>
      <c r="F472" s="244"/>
      <c r="G472" s="688"/>
      <c r="H472" s="688"/>
      <c r="I472" s="239"/>
      <c r="J472" s="239"/>
      <c r="K472" s="688"/>
      <c r="L472" s="7"/>
      <c r="M472" s="7"/>
      <c r="N472" s="7"/>
      <c r="O472" s="7"/>
      <c r="P472" s="239"/>
      <c r="Q472" s="7"/>
      <c r="R472" s="7"/>
      <c r="S472" s="7"/>
      <c r="T472" s="7"/>
      <c r="U472" s="7"/>
      <c r="V472" s="7"/>
      <c r="W472" s="7"/>
      <c r="X472" s="7"/>
      <c r="Y472" s="7"/>
      <c r="Z472" s="708"/>
      <c r="AA472" s="7"/>
      <c r="AB472" s="7"/>
      <c r="AC472" s="7"/>
      <c r="AD472" s="7"/>
      <c r="AE472" s="7"/>
      <c r="AF472" s="7"/>
      <c r="AG472" s="7"/>
      <c r="AH472" s="7"/>
    </row>
    <row r="473" spans="1:34" ht="15.75" customHeight="1">
      <c r="A473" s="686"/>
      <c r="B473" s="687"/>
      <c r="C473" s="243" t="s">
        <v>21</v>
      </c>
      <c r="D473" s="242">
        <f>COUNTIF($D$11:$Y$11,"Phú Thọ")</f>
        <v>0</v>
      </c>
      <c r="E473" s="688"/>
      <c r="F473" s="244"/>
      <c r="G473" s="688"/>
      <c r="H473" s="688"/>
      <c r="I473" s="239"/>
      <c r="J473" s="239"/>
      <c r="K473" s="688"/>
      <c r="L473" s="7"/>
      <c r="M473" s="7"/>
      <c r="N473" s="7"/>
      <c r="O473" s="7"/>
      <c r="P473" s="239"/>
      <c r="Q473" s="7"/>
      <c r="R473" s="7"/>
      <c r="S473" s="7"/>
      <c r="T473" s="7"/>
      <c r="U473" s="7"/>
      <c r="V473" s="7"/>
      <c r="W473" s="7"/>
      <c r="X473" s="7"/>
      <c r="Y473" s="7"/>
      <c r="Z473" s="708"/>
      <c r="AA473" s="7"/>
      <c r="AB473" s="7"/>
      <c r="AC473" s="7"/>
      <c r="AD473" s="7"/>
      <c r="AE473" s="7"/>
      <c r="AF473" s="7"/>
      <c r="AG473" s="7"/>
      <c r="AH473" s="7"/>
    </row>
    <row r="474" spans="1:34" ht="15.75" customHeight="1">
      <c r="A474" s="686"/>
      <c r="B474" s="687"/>
      <c r="C474" s="243" t="s">
        <v>1093</v>
      </c>
      <c r="D474" s="242">
        <f>COUNTIF($D$11:$Y$11,"Vĩnh Phúc")</f>
        <v>0</v>
      </c>
      <c r="E474" s="688"/>
      <c r="F474" s="244"/>
      <c r="G474" s="688"/>
      <c r="H474" s="688"/>
      <c r="I474" s="239"/>
      <c r="J474" s="239"/>
      <c r="K474" s="688"/>
      <c r="L474" s="7"/>
      <c r="M474" s="7"/>
      <c r="N474" s="7"/>
      <c r="O474" s="7"/>
      <c r="P474" s="239"/>
      <c r="Q474" s="7"/>
      <c r="R474" s="7"/>
      <c r="S474" s="7"/>
      <c r="T474" s="7"/>
      <c r="U474" s="7"/>
      <c r="V474" s="7"/>
      <c r="W474" s="7"/>
      <c r="X474" s="7"/>
      <c r="Y474" s="7"/>
      <c r="Z474" s="708"/>
      <c r="AA474" s="7"/>
      <c r="AB474" s="7"/>
      <c r="AC474" s="7"/>
      <c r="AD474" s="7"/>
      <c r="AE474" s="7"/>
      <c r="AF474" s="7"/>
      <c r="AG474" s="7"/>
      <c r="AH474" s="7"/>
    </row>
    <row r="475" spans="1:34" ht="15.75" customHeight="1">
      <c r="A475" s="686"/>
      <c r="B475" s="687"/>
      <c r="C475" s="243" t="s">
        <v>32</v>
      </c>
      <c r="D475" s="242">
        <f>COUNTIF($D$11:$Y$11,"Bắc Ninh")</f>
        <v>0</v>
      </c>
      <c r="E475" s="688"/>
      <c r="F475" s="244"/>
      <c r="G475" s="688"/>
      <c r="H475" s="688"/>
      <c r="I475" s="239"/>
      <c r="J475" s="239"/>
      <c r="K475" s="688"/>
      <c r="L475" s="7"/>
      <c r="M475" s="7"/>
      <c r="N475" s="7"/>
      <c r="O475" s="7"/>
      <c r="P475" s="239"/>
      <c r="Q475" s="7"/>
      <c r="R475" s="7"/>
      <c r="S475" s="7"/>
      <c r="T475" s="7"/>
      <c r="U475" s="7"/>
      <c r="V475" s="7"/>
      <c r="W475" s="7"/>
      <c r="X475" s="7"/>
      <c r="Y475" s="7"/>
      <c r="Z475" s="708"/>
      <c r="AA475" s="7"/>
      <c r="AB475" s="7"/>
      <c r="AC475" s="7"/>
      <c r="AD475" s="7"/>
      <c r="AE475" s="7"/>
      <c r="AF475" s="7"/>
      <c r="AG475" s="7"/>
      <c r="AH475" s="7"/>
    </row>
    <row r="476" spans="1:34" ht="15.75" customHeight="1">
      <c r="A476" s="686"/>
      <c r="B476" s="687"/>
      <c r="C476" s="243" t="s">
        <v>29</v>
      </c>
      <c r="D476" s="242">
        <f>COUNTIF($D$11:$Y$11,"Hải Dương")</f>
        <v>0</v>
      </c>
      <c r="E476" s="688"/>
      <c r="F476" s="244"/>
      <c r="G476" s="688"/>
      <c r="H476" s="688"/>
      <c r="I476" s="239"/>
      <c r="J476" s="239"/>
      <c r="K476" s="688"/>
      <c r="L476" s="7"/>
      <c r="M476" s="7"/>
      <c r="N476" s="7"/>
      <c r="O476" s="7"/>
      <c r="P476" s="239"/>
      <c r="Q476" s="7"/>
      <c r="R476" s="7"/>
      <c r="S476" s="7"/>
      <c r="T476" s="7"/>
      <c r="U476" s="7"/>
      <c r="V476" s="7"/>
      <c r="W476" s="7"/>
      <c r="X476" s="7"/>
      <c r="Y476" s="7"/>
      <c r="Z476" s="708"/>
      <c r="AA476" s="7"/>
      <c r="AB476" s="7"/>
      <c r="AC476" s="7"/>
      <c r="AD476" s="7"/>
      <c r="AE476" s="7"/>
      <c r="AF476" s="7"/>
      <c r="AG476" s="7"/>
      <c r="AH476" s="7"/>
    </row>
    <row r="477" spans="1:34" ht="15.75" customHeight="1">
      <c r="A477" s="686"/>
      <c r="B477" s="687"/>
      <c r="C477" s="243" t="s">
        <v>30</v>
      </c>
      <c r="D477" s="242">
        <f>COUNTIF($D$11:$Y$11,"Hưng Yên")</f>
        <v>0</v>
      </c>
      <c r="E477" s="688"/>
      <c r="F477" s="244"/>
      <c r="G477" s="688"/>
      <c r="H477" s="688"/>
      <c r="I477" s="239"/>
      <c r="J477" s="239"/>
      <c r="K477" s="688"/>
      <c r="L477" s="7"/>
      <c r="M477" s="7"/>
      <c r="N477" s="7"/>
      <c r="O477" s="7"/>
      <c r="P477" s="239"/>
      <c r="Q477" s="7"/>
      <c r="R477" s="7"/>
      <c r="S477" s="7"/>
      <c r="T477" s="7"/>
      <c r="U477" s="7"/>
      <c r="V477" s="7"/>
      <c r="W477" s="7"/>
      <c r="X477" s="7"/>
      <c r="Y477" s="7"/>
      <c r="Z477" s="708"/>
      <c r="AA477" s="7"/>
      <c r="AB477" s="7"/>
      <c r="AC477" s="7"/>
      <c r="AD477" s="7"/>
      <c r="AE477" s="7"/>
      <c r="AF477" s="7"/>
      <c r="AG477" s="7"/>
      <c r="AH477" s="7"/>
    </row>
    <row r="478" spans="1:34" ht="15.75" customHeight="1">
      <c r="A478" s="686"/>
      <c r="B478" s="687"/>
      <c r="C478" s="243" t="s">
        <v>27</v>
      </c>
      <c r="D478" s="242">
        <f>COUNTIF($D$11:$Y$11,"Hải Phòng")</f>
        <v>0</v>
      </c>
      <c r="E478" s="688"/>
      <c r="F478" s="244"/>
      <c r="G478" s="688"/>
      <c r="H478" s="688"/>
      <c r="I478" s="239"/>
      <c r="J478" s="239"/>
      <c r="K478" s="688"/>
      <c r="L478" s="7"/>
      <c r="M478" s="7"/>
      <c r="N478" s="7"/>
      <c r="O478" s="7"/>
      <c r="P478" s="239"/>
      <c r="Q478" s="7"/>
      <c r="R478" s="7"/>
      <c r="S478" s="7"/>
      <c r="T478" s="7"/>
      <c r="U478" s="7"/>
      <c r="V478" s="7"/>
      <c r="W478" s="7"/>
      <c r="X478" s="7"/>
      <c r="Y478" s="7"/>
      <c r="Z478" s="708"/>
      <c r="AA478" s="7"/>
      <c r="AB478" s="7"/>
      <c r="AC478" s="7"/>
      <c r="AD478" s="7"/>
      <c r="AE478" s="7"/>
      <c r="AF478" s="7"/>
      <c r="AG478" s="7"/>
      <c r="AH478" s="7"/>
    </row>
    <row r="479" spans="1:34" ht="15.75" customHeight="1">
      <c r="A479" s="686"/>
      <c r="B479" s="687"/>
      <c r="C479" s="243" t="s">
        <v>33</v>
      </c>
      <c r="D479" s="242">
        <f>COUNTIF($D$11:$Y$11,"Hà Nam")</f>
        <v>0</v>
      </c>
      <c r="E479" s="688"/>
      <c r="F479" s="244"/>
      <c r="G479" s="688"/>
      <c r="H479" s="688"/>
      <c r="I479" s="239"/>
      <c r="J479" s="239"/>
      <c r="K479" s="688"/>
      <c r="L479" s="7"/>
      <c r="M479" s="7"/>
      <c r="N479" s="7"/>
      <c r="O479" s="7"/>
      <c r="P479" s="239"/>
      <c r="Q479" s="7"/>
      <c r="R479" s="7"/>
      <c r="S479" s="7"/>
      <c r="T479" s="7"/>
      <c r="U479" s="7"/>
      <c r="V479" s="7"/>
      <c r="W479" s="7"/>
      <c r="X479" s="7"/>
      <c r="Y479" s="7"/>
      <c r="Z479" s="708"/>
      <c r="AA479" s="7"/>
      <c r="AB479" s="7"/>
      <c r="AC479" s="7"/>
      <c r="AD479" s="7"/>
      <c r="AE479" s="7"/>
      <c r="AF479" s="7"/>
      <c r="AG479" s="7"/>
      <c r="AH479" s="7"/>
    </row>
    <row r="480" spans="1:34" ht="15.75" customHeight="1">
      <c r="A480" s="686"/>
      <c r="B480" s="687"/>
      <c r="C480" s="243" t="s">
        <v>36</v>
      </c>
      <c r="D480" s="242">
        <f>COUNTIF($D$11:$Y$11,"Nam Định")</f>
        <v>0</v>
      </c>
      <c r="E480" s="688"/>
      <c r="F480" s="244"/>
      <c r="G480" s="688"/>
      <c r="H480" s="688"/>
      <c r="I480" s="239"/>
      <c r="J480" s="239"/>
      <c r="K480" s="688"/>
      <c r="L480" s="7"/>
      <c r="M480" s="7"/>
      <c r="N480" s="7"/>
      <c r="O480" s="7"/>
      <c r="P480" s="239"/>
      <c r="Q480" s="7"/>
      <c r="R480" s="7"/>
      <c r="S480" s="7"/>
      <c r="T480" s="7"/>
      <c r="U480" s="7"/>
      <c r="V480" s="7"/>
      <c r="W480" s="7"/>
      <c r="X480" s="7"/>
      <c r="Y480" s="7"/>
      <c r="Z480" s="708"/>
      <c r="AA480" s="7"/>
      <c r="AB480" s="7"/>
      <c r="AC480" s="7"/>
      <c r="AD480" s="7"/>
      <c r="AE480" s="7"/>
      <c r="AF480" s="7"/>
      <c r="AG480" s="7"/>
      <c r="AH480" s="7"/>
    </row>
    <row r="481" spans="1:34" ht="15.75" customHeight="1">
      <c r="A481" s="686"/>
      <c r="B481" s="687"/>
      <c r="C481" s="243" t="s">
        <v>1094</v>
      </c>
      <c r="D481" s="242">
        <f>COUNTIF($D$11:$Y$11,"Thái Bình")</f>
        <v>0</v>
      </c>
      <c r="E481" s="688"/>
      <c r="F481" s="244"/>
      <c r="G481" s="688"/>
      <c r="H481" s="688"/>
      <c r="I481" s="239"/>
      <c r="J481" s="239"/>
      <c r="K481" s="688"/>
      <c r="L481" s="7"/>
      <c r="M481" s="7"/>
      <c r="N481" s="7"/>
      <c r="O481" s="7"/>
      <c r="P481" s="239"/>
      <c r="Q481" s="7"/>
      <c r="R481" s="7"/>
      <c r="S481" s="7"/>
      <c r="T481" s="7"/>
      <c r="U481" s="7"/>
      <c r="V481" s="7"/>
      <c r="W481" s="7"/>
      <c r="X481" s="7"/>
      <c r="Y481" s="7"/>
      <c r="Z481" s="708"/>
      <c r="AA481" s="7"/>
      <c r="AB481" s="7"/>
      <c r="AC481" s="7"/>
      <c r="AD481" s="7"/>
      <c r="AE481" s="7"/>
      <c r="AF481" s="7"/>
      <c r="AG481" s="7"/>
      <c r="AH481" s="7"/>
    </row>
    <row r="482" spans="1:34" ht="15.75" customHeight="1">
      <c r="A482" s="686"/>
      <c r="B482" s="687"/>
      <c r="C482" s="243" t="s">
        <v>34</v>
      </c>
      <c r="D482" s="242">
        <f>COUNTIF($D$11:$Y$11,"Ninh Bình")</f>
        <v>0</v>
      </c>
      <c r="E482" s="688"/>
      <c r="F482" s="244"/>
      <c r="G482" s="688"/>
      <c r="H482" s="688"/>
      <c r="I482" s="239"/>
      <c r="J482" s="239"/>
      <c r="K482" s="688"/>
      <c r="L482" s="7"/>
      <c r="M482" s="7"/>
      <c r="N482" s="7"/>
      <c r="O482" s="7"/>
      <c r="P482" s="239"/>
      <c r="Q482" s="7"/>
      <c r="R482" s="7"/>
      <c r="S482" s="7"/>
      <c r="T482" s="7"/>
      <c r="U482" s="7"/>
      <c r="V482" s="7"/>
      <c r="W482" s="7"/>
      <c r="X482" s="7"/>
      <c r="Y482" s="7"/>
      <c r="Z482" s="708"/>
      <c r="AA482" s="7"/>
      <c r="AB482" s="7"/>
      <c r="AC482" s="7"/>
      <c r="AD482" s="7"/>
      <c r="AE482" s="7"/>
      <c r="AF482" s="7"/>
      <c r="AG482" s="7"/>
      <c r="AH482" s="7"/>
    </row>
    <row r="483" spans="1:34" ht="15.75" customHeight="1">
      <c r="A483" s="686"/>
      <c r="B483" s="687"/>
      <c r="C483" s="243" t="s">
        <v>37</v>
      </c>
      <c r="D483" s="242">
        <f>COUNTIF($D$11:$Y$11,"Thanh Hoá")</f>
        <v>0</v>
      </c>
      <c r="E483" s="688"/>
      <c r="F483" s="244"/>
      <c r="G483" s="688"/>
      <c r="H483" s="688"/>
      <c r="I483" s="239"/>
      <c r="J483" s="239"/>
      <c r="K483" s="688"/>
      <c r="L483" s="7"/>
      <c r="M483" s="7"/>
      <c r="N483" s="7"/>
      <c r="O483" s="7"/>
      <c r="P483" s="239"/>
      <c r="Q483" s="7"/>
      <c r="R483" s="7"/>
      <c r="S483" s="7"/>
      <c r="T483" s="7"/>
      <c r="U483" s="7"/>
      <c r="V483" s="7"/>
      <c r="W483" s="7"/>
      <c r="X483" s="7"/>
      <c r="Y483" s="7"/>
      <c r="Z483" s="708"/>
      <c r="AA483" s="7"/>
      <c r="AB483" s="7"/>
      <c r="AC483" s="7"/>
      <c r="AD483" s="7"/>
      <c r="AE483" s="7"/>
      <c r="AF483" s="7"/>
      <c r="AG483" s="7"/>
      <c r="AH483" s="7"/>
    </row>
    <row r="484" spans="1:34" ht="15.75" customHeight="1">
      <c r="A484" s="686"/>
      <c r="B484" s="687"/>
      <c r="C484" s="243" t="s">
        <v>1095</v>
      </c>
      <c r="D484" s="242">
        <f>COUNTIF($D$11:$Y$11,"Nghệ An")</f>
        <v>4</v>
      </c>
      <c r="E484" s="688"/>
      <c r="F484" s="244"/>
      <c r="G484" s="688"/>
      <c r="H484" s="688"/>
      <c r="I484" s="239"/>
      <c r="J484" s="239"/>
      <c r="K484" s="688"/>
      <c r="L484" s="7"/>
      <c r="M484" s="7"/>
      <c r="N484" s="7"/>
      <c r="O484" s="7"/>
      <c r="P484" s="239"/>
      <c r="Q484" s="7"/>
      <c r="R484" s="7"/>
      <c r="S484" s="7"/>
      <c r="T484" s="7"/>
      <c r="U484" s="7"/>
      <c r="V484" s="7"/>
      <c r="W484" s="7"/>
      <c r="X484" s="7"/>
      <c r="Y484" s="7"/>
      <c r="Z484" s="708"/>
      <c r="AA484" s="7"/>
      <c r="AB484" s="7"/>
      <c r="AC484" s="7"/>
      <c r="AD484" s="7"/>
      <c r="AE484" s="7"/>
      <c r="AF484" s="7"/>
      <c r="AG484" s="7"/>
      <c r="AH484" s="7"/>
    </row>
    <row r="485" spans="1:34" ht="15.75" customHeight="1">
      <c r="A485" s="686"/>
      <c r="B485" s="687"/>
      <c r="C485" s="243" t="s">
        <v>1096</v>
      </c>
      <c r="D485" s="242">
        <f>COUNTIF($D$11:$Y$11,"Hà Tĩnh")</f>
        <v>0</v>
      </c>
      <c r="E485" s="688"/>
      <c r="F485" s="244"/>
      <c r="G485" s="688"/>
      <c r="H485" s="688"/>
      <c r="I485" s="239"/>
      <c r="J485" s="239"/>
      <c r="K485" s="688"/>
      <c r="L485" s="7"/>
      <c r="M485" s="7"/>
      <c r="N485" s="7"/>
      <c r="O485" s="7"/>
      <c r="P485" s="239"/>
      <c r="Q485" s="7"/>
      <c r="R485" s="7"/>
      <c r="S485" s="7"/>
      <c r="T485" s="7"/>
      <c r="U485" s="7"/>
      <c r="V485" s="7"/>
      <c r="W485" s="7"/>
      <c r="X485" s="7"/>
      <c r="Y485" s="7"/>
      <c r="Z485" s="708"/>
      <c r="AA485" s="7"/>
      <c r="AB485" s="7"/>
      <c r="AC485" s="7"/>
      <c r="AD485" s="7"/>
      <c r="AE485" s="7"/>
      <c r="AF485" s="7"/>
      <c r="AG485" s="7"/>
      <c r="AH485" s="7"/>
    </row>
    <row r="486" spans="1:34" ht="15.75" customHeight="1">
      <c r="A486" s="686"/>
      <c r="B486" s="687"/>
      <c r="C486" s="243" t="s">
        <v>1097</v>
      </c>
      <c r="D486" s="242">
        <f>COUNTIF($D$11:$Y$11,"Quảng Bình")</f>
        <v>0</v>
      </c>
      <c r="E486" s="688"/>
      <c r="F486" s="244"/>
      <c r="G486" s="688"/>
      <c r="H486" s="688"/>
      <c r="I486" s="239"/>
      <c r="J486" s="239"/>
      <c r="K486" s="688"/>
      <c r="L486" s="7"/>
      <c r="M486" s="7"/>
      <c r="N486" s="7"/>
      <c r="O486" s="7"/>
      <c r="P486" s="239"/>
      <c r="Q486" s="7"/>
      <c r="R486" s="7"/>
      <c r="S486" s="7"/>
      <c r="T486" s="7"/>
      <c r="U486" s="7"/>
      <c r="V486" s="7"/>
      <c r="W486" s="7"/>
      <c r="X486" s="7"/>
      <c r="Y486" s="7"/>
      <c r="Z486" s="708"/>
      <c r="AA486" s="7"/>
      <c r="AB486" s="7"/>
      <c r="AC486" s="7"/>
      <c r="AD486" s="7"/>
      <c r="AE486" s="7"/>
      <c r="AF486" s="7"/>
      <c r="AG486" s="7"/>
      <c r="AH486" s="7"/>
    </row>
    <row r="487" spans="1:34" ht="15.75" customHeight="1">
      <c r="A487" s="686"/>
      <c r="B487" s="687"/>
      <c r="C487" s="243" t="s">
        <v>1098</v>
      </c>
      <c r="D487" s="242">
        <f>COUNTIF($D$11:$Y$11,"Quảng Trị")</f>
        <v>0</v>
      </c>
      <c r="E487" s="688"/>
      <c r="F487" s="244"/>
      <c r="G487" s="688"/>
      <c r="H487" s="688"/>
      <c r="I487" s="239"/>
      <c r="J487" s="239"/>
      <c r="K487" s="688"/>
      <c r="L487" s="7"/>
      <c r="M487" s="7"/>
      <c r="N487" s="7"/>
      <c r="O487" s="7"/>
      <c r="P487" s="239"/>
      <c r="Q487" s="7"/>
      <c r="R487" s="7"/>
      <c r="S487" s="7"/>
      <c r="T487" s="7"/>
      <c r="U487" s="7"/>
      <c r="V487" s="7"/>
      <c r="W487" s="7"/>
      <c r="X487" s="7"/>
      <c r="Y487" s="7"/>
      <c r="Z487" s="708"/>
      <c r="AA487" s="7"/>
      <c r="AB487" s="7"/>
      <c r="AC487" s="7"/>
      <c r="AD487" s="7"/>
      <c r="AE487" s="7"/>
      <c r="AF487" s="7"/>
      <c r="AG487" s="7"/>
      <c r="AH487" s="7"/>
    </row>
    <row r="488" spans="1:34" ht="15.75" customHeight="1">
      <c r="A488" s="686"/>
      <c r="B488" s="687"/>
      <c r="C488" s="243" t="s">
        <v>1099</v>
      </c>
      <c r="D488" s="242">
        <f>COUNTIF($D$11:$Y$11,"Thừa Thiên Huế")</f>
        <v>0</v>
      </c>
      <c r="E488" s="688"/>
      <c r="F488" s="244"/>
      <c r="G488" s="688"/>
      <c r="H488" s="688"/>
      <c r="I488" s="239"/>
      <c r="J488" s="239"/>
      <c r="K488" s="688"/>
      <c r="L488" s="7"/>
      <c r="M488" s="7"/>
      <c r="N488" s="7"/>
      <c r="O488" s="7"/>
      <c r="P488" s="239"/>
      <c r="Q488" s="7"/>
      <c r="R488" s="7"/>
      <c r="S488" s="7"/>
      <c r="T488" s="7"/>
      <c r="U488" s="7"/>
      <c r="V488" s="7"/>
      <c r="W488" s="7"/>
      <c r="X488" s="7"/>
      <c r="Y488" s="7"/>
      <c r="Z488" s="708"/>
      <c r="AA488" s="7"/>
      <c r="AB488" s="7"/>
      <c r="AC488" s="7"/>
      <c r="AD488" s="7"/>
      <c r="AE488" s="7"/>
      <c r="AF488" s="7"/>
      <c r="AG488" s="7"/>
      <c r="AH488" s="7"/>
    </row>
    <row r="489" spans="1:34" ht="15.75" customHeight="1">
      <c r="A489" s="686"/>
      <c r="B489" s="687"/>
      <c r="C489" s="243" t="s">
        <v>1100</v>
      </c>
      <c r="D489" s="242">
        <f>COUNTIF($D$11:$Y$11,"Đà Nẵng")</f>
        <v>0</v>
      </c>
      <c r="E489" s="688"/>
      <c r="F489" s="244"/>
      <c r="G489" s="688"/>
      <c r="H489" s="688"/>
      <c r="I489" s="239"/>
      <c r="J489" s="239"/>
      <c r="K489" s="688"/>
      <c r="L489" s="7"/>
      <c r="M489" s="7"/>
      <c r="N489" s="7"/>
      <c r="O489" s="7"/>
      <c r="P489" s="239"/>
      <c r="Q489" s="7"/>
      <c r="R489" s="7"/>
      <c r="S489" s="7"/>
      <c r="T489" s="7"/>
      <c r="U489" s="7"/>
      <c r="V489" s="7"/>
      <c r="W489" s="7"/>
      <c r="X489" s="7"/>
      <c r="Y489" s="7"/>
      <c r="Z489" s="708"/>
      <c r="AA489" s="7"/>
      <c r="AB489" s="7"/>
      <c r="AC489" s="7"/>
      <c r="AD489" s="7"/>
      <c r="AE489" s="7"/>
      <c r="AF489" s="7"/>
      <c r="AG489" s="7"/>
      <c r="AH489" s="7"/>
    </row>
    <row r="490" spans="1:34" ht="15.75" customHeight="1">
      <c r="A490" s="686"/>
      <c r="B490" s="687"/>
      <c r="C490" s="243" t="s">
        <v>1101</v>
      </c>
      <c r="D490" s="242">
        <f>COUNTIF($D$11:$Y$11,"Quảng Nam")</f>
        <v>0</v>
      </c>
      <c r="E490" s="688"/>
      <c r="F490" s="244"/>
      <c r="G490" s="688"/>
      <c r="H490" s="688"/>
      <c r="I490" s="239"/>
      <c r="J490" s="239"/>
      <c r="K490" s="688"/>
      <c r="L490" s="7"/>
      <c r="M490" s="7"/>
      <c r="N490" s="7"/>
      <c r="O490" s="7"/>
      <c r="P490" s="239"/>
      <c r="Q490" s="7"/>
      <c r="R490" s="7"/>
      <c r="S490" s="7"/>
      <c r="T490" s="7"/>
      <c r="U490" s="7"/>
      <c r="V490" s="7"/>
      <c r="W490" s="7"/>
      <c r="X490" s="7"/>
      <c r="Y490" s="7"/>
      <c r="Z490" s="708"/>
      <c r="AA490" s="7"/>
      <c r="AB490" s="7"/>
      <c r="AC490" s="7"/>
      <c r="AD490" s="7"/>
      <c r="AE490" s="7"/>
      <c r="AF490" s="7"/>
      <c r="AG490" s="7"/>
      <c r="AH490" s="7"/>
    </row>
    <row r="491" spans="1:34" ht="15.75" customHeight="1">
      <c r="A491" s="686"/>
      <c r="B491" s="687"/>
      <c r="C491" s="243" t="s">
        <v>1102</v>
      </c>
      <c r="D491" s="242">
        <f>COUNTIF($D$11:$Y$11,"Quảng Ngãi")</f>
        <v>0</v>
      </c>
      <c r="E491" s="688"/>
      <c r="F491" s="244"/>
      <c r="G491" s="688"/>
      <c r="H491" s="688"/>
      <c r="I491" s="239"/>
      <c r="J491" s="239"/>
      <c r="K491" s="688"/>
      <c r="L491" s="7"/>
      <c r="M491" s="7"/>
      <c r="N491" s="7"/>
      <c r="O491" s="7"/>
      <c r="P491" s="239"/>
      <c r="Q491" s="7"/>
      <c r="R491" s="7"/>
      <c r="S491" s="7"/>
      <c r="T491" s="7"/>
      <c r="U491" s="7"/>
      <c r="V491" s="7"/>
      <c r="W491" s="7"/>
      <c r="X491" s="7"/>
      <c r="Y491" s="7"/>
      <c r="Z491" s="708"/>
      <c r="AA491" s="7"/>
      <c r="AB491" s="7"/>
      <c r="AC491" s="7"/>
      <c r="AD491" s="7"/>
      <c r="AE491" s="7"/>
      <c r="AF491" s="7"/>
      <c r="AG491" s="7"/>
      <c r="AH491" s="7"/>
    </row>
    <row r="492" spans="1:34" ht="15.75" customHeight="1">
      <c r="A492" s="686"/>
      <c r="B492" s="687"/>
      <c r="C492" s="243" t="s">
        <v>1103</v>
      </c>
      <c r="D492" s="242">
        <f>COUNTIF($D$11:$Y$11,"Bình Định")</f>
        <v>0</v>
      </c>
      <c r="E492" s="688"/>
      <c r="F492" s="244"/>
      <c r="G492" s="688"/>
      <c r="H492" s="688"/>
      <c r="I492" s="239"/>
      <c r="J492" s="239"/>
      <c r="K492" s="688"/>
      <c r="L492" s="7"/>
      <c r="M492" s="7"/>
      <c r="N492" s="7"/>
      <c r="O492" s="7"/>
      <c r="P492" s="239"/>
      <c r="Q492" s="7"/>
      <c r="R492" s="7"/>
      <c r="S492" s="7"/>
      <c r="T492" s="7"/>
      <c r="U492" s="7"/>
      <c r="V492" s="7"/>
      <c r="W492" s="7"/>
      <c r="X492" s="7"/>
      <c r="Y492" s="7"/>
      <c r="Z492" s="708"/>
      <c r="AA492" s="7"/>
      <c r="AB492" s="7"/>
      <c r="AC492" s="7"/>
      <c r="AD492" s="7"/>
      <c r="AE492" s="7"/>
      <c r="AF492" s="7"/>
      <c r="AG492" s="7"/>
      <c r="AH492" s="7"/>
    </row>
    <row r="493" spans="1:34" ht="15.75" customHeight="1">
      <c r="A493" s="686"/>
      <c r="B493" s="687"/>
      <c r="C493" s="243" t="s">
        <v>1104</v>
      </c>
      <c r="D493" s="242">
        <f>COUNTIF($D$11:$Y$11,"Phú Yên")</f>
        <v>0</v>
      </c>
      <c r="E493" s="688"/>
      <c r="F493" s="244"/>
      <c r="G493" s="688"/>
      <c r="H493" s="688"/>
      <c r="I493" s="239"/>
      <c r="J493" s="239"/>
      <c r="K493" s="688"/>
      <c r="L493" s="7"/>
      <c r="M493" s="7"/>
      <c r="N493" s="7"/>
      <c r="O493" s="7"/>
      <c r="P493" s="239"/>
      <c r="Q493" s="7"/>
      <c r="R493" s="7"/>
      <c r="S493" s="7"/>
      <c r="T493" s="7"/>
      <c r="U493" s="7"/>
      <c r="V493" s="7"/>
      <c r="W493" s="7"/>
      <c r="X493" s="7"/>
      <c r="Y493" s="7"/>
      <c r="Z493" s="708"/>
      <c r="AA493" s="7"/>
      <c r="AB493" s="7"/>
      <c r="AC493" s="7"/>
      <c r="AD493" s="7"/>
      <c r="AE493" s="7"/>
      <c r="AF493" s="7"/>
      <c r="AG493" s="7"/>
      <c r="AH493" s="7"/>
    </row>
    <row r="494" spans="1:34" ht="15.75" customHeight="1">
      <c r="A494" s="686"/>
      <c r="B494" s="687"/>
      <c r="C494" s="243" t="s">
        <v>1105</v>
      </c>
      <c r="D494" s="242">
        <f>COUNTIF($D$11:$Y$11,"Khánh Hoà")</f>
        <v>0</v>
      </c>
      <c r="E494" s="688"/>
      <c r="F494" s="244"/>
      <c r="G494" s="688"/>
      <c r="H494" s="688"/>
      <c r="I494" s="239"/>
      <c r="J494" s="239"/>
      <c r="K494" s="688"/>
      <c r="L494" s="7"/>
      <c r="M494" s="7"/>
      <c r="N494" s="7"/>
      <c r="O494" s="7"/>
      <c r="P494" s="239"/>
      <c r="Q494" s="7"/>
      <c r="R494" s="7"/>
      <c r="S494" s="7"/>
      <c r="T494" s="7"/>
      <c r="U494" s="7"/>
      <c r="V494" s="7"/>
      <c r="W494" s="7"/>
      <c r="X494" s="7"/>
      <c r="Y494" s="7"/>
      <c r="Z494" s="708"/>
      <c r="AA494" s="7"/>
      <c r="AB494" s="7"/>
      <c r="AC494" s="7"/>
      <c r="AD494" s="7"/>
      <c r="AE494" s="7"/>
      <c r="AF494" s="7"/>
      <c r="AG494" s="7"/>
      <c r="AH494" s="7"/>
    </row>
    <row r="495" spans="1:34" ht="15.75" customHeight="1">
      <c r="A495" s="686"/>
      <c r="B495" s="687"/>
      <c r="C495" s="243" t="s">
        <v>1106</v>
      </c>
      <c r="D495" s="242">
        <f>COUNTIF($D$11:$Y$11,"Ninh Thuận")</f>
        <v>0</v>
      </c>
      <c r="E495" s="688"/>
      <c r="F495" s="244"/>
      <c r="G495" s="688"/>
      <c r="H495" s="688"/>
      <c r="I495" s="239"/>
      <c r="J495" s="239"/>
      <c r="K495" s="688"/>
      <c r="L495" s="7"/>
      <c r="M495" s="7"/>
      <c r="N495" s="7"/>
      <c r="O495" s="7"/>
      <c r="P495" s="239"/>
      <c r="Q495" s="7"/>
      <c r="R495" s="7"/>
      <c r="S495" s="7"/>
      <c r="T495" s="7"/>
      <c r="U495" s="7"/>
      <c r="V495" s="7"/>
      <c r="W495" s="7"/>
      <c r="X495" s="7"/>
      <c r="Y495" s="7"/>
      <c r="Z495" s="708"/>
      <c r="AA495" s="7"/>
      <c r="AB495" s="7"/>
      <c r="AC495" s="7"/>
      <c r="AD495" s="7"/>
      <c r="AE495" s="7"/>
      <c r="AF495" s="7"/>
      <c r="AG495" s="7"/>
      <c r="AH495" s="7"/>
    </row>
    <row r="496" spans="1:34" ht="15.75" customHeight="1">
      <c r="A496" s="686"/>
      <c r="B496" s="687"/>
      <c r="C496" s="243" t="s">
        <v>1107</v>
      </c>
      <c r="D496" s="242">
        <f>COUNTIF($D$11:$Y$11,"Bình Thuận")</f>
        <v>0</v>
      </c>
      <c r="E496" s="688"/>
      <c r="F496" s="244"/>
      <c r="G496" s="688"/>
      <c r="H496" s="688"/>
      <c r="I496" s="239"/>
      <c r="J496" s="239"/>
      <c r="K496" s="688"/>
      <c r="L496" s="7"/>
      <c r="M496" s="7"/>
      <c r="N496" s="7"/>
      <c r="O496" s="7"/>
      <c r="P496" s="239"/>
      <c r="Q496" s="7"/>
      <c r="R496" s="7"/>
      <c r="S496" s="7"/>
      <c r="T496" s="7"/>
      <c r="U496" s="7"/>
      <c r="V496" s="7"/>
      <c r="W496" s="7"/>
      <c r="X496" s="7"/>
      <c r="Y496" s="7"/>
      <c r="Z496" s="708"/>
      <c r="AA496" s="7"/>
      <c r="AB496" s="7"/>
      <c r="AC496" s="7"/>
      <c r="AD496" s="7"/>
      <c r="AE496" s="7"/>
      <c r="AF496" s="7"/>
      <c r="AG496" s="7"/>
      <c r="AH496" s="7"/>
    </row>
    <row r="497" spans="1:34" ht="15.75" customHeight="1">
      <c r="A497" s="686"/>
      <c r="B497" s="687"/>
      <c r="C497" s="243" t="s">
        <v>1108</v>
      </c>
      <c r="D497" s="242">
        <f>COUNTIF($D$11:$Y$11,"Kon Tum")</f>
        <v>0</v>
      </c>
      <c r="E497" s="688"/>
      <c r="F497" s="244"/>
      <c r="G497" s="688"/>
      <c r="H497" s="688"/>
      <c r="I497" s="239"/>
      <c r="J497" s="239"/>
      <c r="K497" s="688"/>
      <c r="L497" s="7"/>
      <c r="M497" s="7"/>
      <c r="N497" s="7"/>
      <c r="O497" s="7"/>
      <c r="P497" s="239"/>
      <c r="Q497" s="7"/>
      <c r="R497" s="7"/>
      <c r="S497" s="7"/>
      <c r="T497" s="7"/>
      <c r="U497" s="7"/>
      <c r="V497" s="7"/>
      <c r="W497" s="7"/>
      <c r="X497" s="7"/>
      <c r="Y497" s="7"/>
      <c r="Z497" s="708"/>
      <c r="AA497" s="7"/>
      <c r="AB497" s="7"/>
      <c r="AC497" s="7"/>
      <c r="AD497" s="7"/>
      <c r="AE497" s="7"/>
      <c r="AF497" s="7"/>
      <c r="AG497" s="7"/>
      <c r="AH497" s="7"/>
    </row>
    <row r="498" spans="1:34" ht="15.75" customHeight="1">
      <c r="A498" s="686"/>
      <c r="B498" s="687"/>
      <c r="C498" s="243" t="s">
        <v>1109</v>
      </c>
      <c r="D498" s="242">
        <f>COUNTIF($D$11:$Y$11,"Gia Lai")</f>
        <v>0</v>
      </c>
      <c r="E498" s="688"/>
      <c r="F498" s="244"/>
      <c r="G498" s="688"/>
      <c r="H498" s="688"/>
      <c r="I498" s="239"/>
      <c r="J498" s="239"/>
      <c r="K498" s="688"/>
      <c r="L498" s="7"/>
      <c r="M498" s="7"/>
      <c r="N498" s="7"/>
      <c r="O498" s="7"/>
      <c r="P498" s="239"/>
      <c r="Q498" s="7"/>
      <c r="R498" s="7"/>
      <c r="S498" s="7"/>
      <c r="T498" s="7"/>
      <c r="U498" s="7"/>
      <c r="V498" s="7"/>
      <c r="W498" s="7"/>
      <c r="X498" s="7"/>
      <c r="Y498" s="7"/>
      <c r="Z498" s="708"/>
      <c r="AA498" s="7"/>
      <c r="AB498" s="7"/>
      <c r="AC498" s="7"/>
      <c r="AD498" s="7"/>
      <c r="AE498" s="7"/>
      <c r="AF498" s="7"/>
      <c r="AG498" s="7"/>
      <c r="AH498" s="7"/>
    </row>
    <row r="499" spans="1:34" ht="15.75" customHeight="1">
      <c r="A499" s="686"/>
      <c r="B499" s="687"/>
      <c r="C499" s="243" t="s">
        <v>1110</v>
      </c>
      <c r="D499" s="242">
        <f>COUNTIF($D$11:$Y$11,"Đắk Lắk")</f>
        <v>0</v>
      </c>
      <c r="E499" s="688"/>
      <c r="F499" s="244"/>
      <c r="G499" s="688"/>
      <c r="H499" s="688"/>
      <c r="I499" s="239"/>
      <c r="J499" s="239"/>
      <c r="K499" s="688"/>
      <c r="L499" s="7"/>
      <c r="M499" s="7"/>
      <c r="N499" s="7"/>
      <c r="O499" s="7"/>
      <c r="P499" s="239"/>
      <c r="Q499" s="7"/>
      <c r="R499" s="7"/>
      <c r="S499" s="7"/>
      <c r="T499" s="7"/>
      <c r="U499" s="7"/>
      <c r="V499" s="7"/>
      <c r="W499" s="7"/>
      <c r="X499" s="7"/>
      <c r="Y499" s="7"/>
      <c r="Z499" s="708"/>
      <c r="AA499" s="7"/>
      <c r="AB499" s="7"/>
      <c r="AC499" s="7"/>
      <c r="AD499" s="7"/>
      <c r="AE499" s="7"/>
      <c r="AF499" s="7"/>
      <c r="AG499" s="7"/>
      <c r="AH499" s="7"/>
    </row>
    <row r="500" spans="1:34" ht="15.75" customHeight="1">
      <c r="A500" s="686"/>
      <c r="B500" s="687"/>
      <c r="C500" s="243" t="s">
        <v>1111</v>
      </c>
      <c r="D500" s="242">
        <f>COUNTIF($D$11:$Y$11,"Đắk Nông")</f>
        <v>0</v>
      </c>
      <c r="E500" s="688"/>
      <c r="F500" s="244"/>
      <c r="G500" s="688"/>
      <c r="H500" s="688"/>
      <c r="I500" s="239"/>
      <c r="J500" s="239"/>
      <c r="K500" s="688"/>
      <c r="L500" s="7"/>
      <c r="M500" s="7"/>
      <c r="N500" s="7"/>
      <c r="O500" s="7"/>
      <c r="P500" s="239"/>
      <c r="Q500" s="7"/>
      <c r="R500" s="7"/>
      <c r="S500" s="7"/>
      <c r="T500" s="7"/>
      <c r="U500" s="7"/>
      <c r="V500" s="7"/>
      <c r="W500" s="7"/>
      <c r="X500" s="7"/>
      <c r="Y500" s="7"/>
      <c r="Z500" s="708"/>
      <c r="AA500" s="7"/>
      <c r="AB500" s="7"/>
      <c r="AC500" s="7"/>
      <c r="AD500" s="7"/>
      <c r="AE500" s="7"/>
      <c r="AF500" s="7"/>
      <c r="AG500" s="7"/>
      <c r="AH500" s="7"/>
    </row>
    <row r="501" spans="1:34" ht="15.75" customHeight="1">
      <c r="A501" s="686"/>
      <c r="B501" s="687"/>
      <c r="C501" s="243" t="s">
        <v>1112</v>
      </c>
      <c r="D501" s="242">
        <f>COUNTIF($D$11:$Y$11,"Lâm Đồng")</f>
        <v>0</v>
      </c>
      <c r="E501" s="688"/>
      <c r="F501" s="244"/>
      <c r="G501" s="688"/>
      <c r="H501" s="688"/>
      <c r="I501" s="239"/>
      <c r="J501" s="239"/>
      <c r="K501" s="688"/>
      <c r="L501" s="7"/>
      <c r="M501" s="7"/>
      <c r="N501" s="7"/>
      <c r="O501" s="7"/>
      <c r="P501" s="239"/>
      <c r="Q501" s="7"/>
      <c r="R501" s="7"/>
      <c r="S501" s="7"/>
      <c r="T501" s="7"/>
      <c r="U501" s="7"/>
      <c r="V501" s="7"/>
      <c r="W501" s="7"/>
      <c r="X501" s="7"/>
      <c r="Y501" s="7"/>
      <c r="Z501" s="708"/>
      <c r="AA501" s="7"/>
      <c r="AB501" s="7"/>
      <c r="AC501" s="7"/>
      <c r="AD501" s="7"/>
      <c r="AE501" s="7"/>
      <c r="AF501" s="7"/>
      <c r="AG501" s="7"/>
      <c r="AH501" s="7"/>
    </row>
    <row r="502" spans="1:34" ht="15.75" customHeight="1">
      <c r="A502" s="686"/>
      <c r="B502" s="687"/>
      <c r="C502" s="243" t="s">
        <v>1113</v>
      </c>
      <c r="D502" s="242">
        <f>COUNTIF($D$11:$Y$11,"Tây Ninh")</f>
        <v>0</v>
      </c>
      <c r="E502" s="688"/>
      <c r="F502" s="244"/>
      <c r="G502" s="688"/>
      <c r="H502" s="688"/>
      <c r="I502" s="239"/>
      <c r="J502" s="239"/>
      <c r="K502" s="688"/>
      <c r="L502" s="7"/>
      <c r="M502" s="7"/>
      <c r="N502" s="7"/>
      <c r="O502" s="7"/>
      <c r="P502" s="239"/>
      <c r="Q502" s="7"/>
      <c r="R502" s="7"/>
      <c r="S502" s="7"/>
      <c r="T502" s="7"/>
      <c r="U502" s="7"/>
      <c r="V502" s="7"/>
      <c r="W502" s="7"/>
      <c r="X502" s="7"/>
      <c r="Y502" s="7"/>
      <c r="Z502" s="708"/>
      <c r="AA502" s="7"/>
      <c r="AB502" s="7"/>
      <c r="AC502" s="7"/>
      <c r="AD502" s="7"/>
      <c r="AE502" s="7"/>
      <c r="AF502" s="7"/>
      <c r="AG502" s="7"/>
      <c r="AH502" s="7"/>
    </row>
    <row r="503" spans="1:34" ht="15.75" customHeight="1">
      <c r="A503" s="686"/>
      <c r="B503" s="687"/>
      <c r="C503" s="243" t="s">
        <v>1114</v>
      </c>
      <c r="D503" s="242">
        <f>COUNTIF($D$11:$Y$11,"Bình Phước")</f>
        <v>0</v>
      </c>
      <c r="E503" s="688"/>
      <c r="F503" s="244"/>
      <c r="G503" s="688"/>
      <c r="H503" s="688"/>
      <c r="I503" s="239"/>
      <c r="J503" s="239"/>
      <c r="K503" s="688"/>
      <c r="L503" s="7"/>
      <c r="M503" s="7"/>
      <c r="N503" s="7"/>
      <c r="O503" s="7"/>
      <c r="P503" s="239"/>
      <c r="Q503" s="7"/>
      <c r="R503" s="7"/>
      <c r="S503" s="7"/>
      <c r="T503" s="7"/>
      <c r="U503" s="7"/>
      <c r="V503" s="7"/>
      <c r="W503" s="7"/>
      <c r="X503" s="7"/>
      <c r="Y503" s="7"/>
      <c r="Z503" s="708"/>
      <c r="AA503" s="7"/>
      <c r="AB503" s="7"/>
      <c r="AC503" s="7"/>
      <c r="AD503" s="7"/>
      <c r="AE503" s="7"/>
      <c r="AF503" s="7"/>
      <c r="AG503" s="7"/>
      <c r="AH503" s="7"/>
    </row>
    <row r="504" spans="1:34" ht="15.75" customHeight="1">
      <c r="A504" s="686"/>
      <c r="B504" s="687"/>
      <c r="C504" s="243" t="s">
        <v>1115</v>
      </c>
      <c r="D504" s="242">
        <f>COUNTIF($D$11:$Y$11,"Bình Dương")</f>
        <v>0</v>
      </c>
      <c r="E504" s="688"/>
      <c r="F504" s="244"/>
      <c r="G504" s="688"/>
      <c r="H504" s="688"/>
      <c r="I504" s="239"/>
      <c r="J504" s="239"/>
      <c r="K504" s="688"/>
      <c r="L504" s="7"/>
      <c r="M504" s="7"/>
      <c r="N504" s="7"/>
      <c r="O504" s="7"/>
      <c r="P504" s="239"/>
      <c r="Q504" s="7"/>
      <c r="R504" s="7"/>
      <c r="S504" s="7"/>
      <c r="T504" s="7"/>
      <c r="U504" s="7"/>
      <c r="V504" s="7"/>
      <c r="W504" s="7"/>
      <c r="X504" s="7"/>
      <c r="Y504" s="7"/>
      <c r="Z504" s="708"/>
      <c r="AA504" s="7"/>
      <c r="AB504" s="7"/>
      <c r="AC504" s="7"/>
      <c r="AD504" s="7"/>
      <c r="AE504" s="7"/>
      <c r="AF504" s="7"/>
      <c r="AG504" s="7"/>
      <c r="AH504" s="7"/>
    </row>
    <row r="505" spans="1:34" ht="15.75" customHeight="1">
      <c r="A505" s="686"/>
      <c r="B505" s="687"/>
      <c r="C505" s="243" t="s">
        <v>1116</v>
      </c>
      <c r="D505" s="242">
        <f>COUNTIF($D$11:$Y$11,"Bà Rịa - Vũng Tàu")</f>
        <v>0</v>
      </c>
      <c r="E505" s="688"/>
      <c r="F505" s="244"/>
      <c r="G505" s="688"/>
      <c r="H505" s="688"/>
      <c r="I505" s="239"/>
      <c r="J505" s="239"/>
      <c r="K505" s="688"/>
      <c r="L505" s="7"/>
      <c r="M505" s="7"/>
      <c r="N505" s="7"/>
      <c r="O505" s="7"/>
      <c r="P505" s="239"/>
      <c r="Q505" s="7"/>
      <c r="R505" s="7"/>
      <c r="S505" s="7"/>
      <c r="T505" s="7"/>
      <c r="U505" s="7"/>
      <c r="V505" s="7"/>
      <c r="W505" s="7"/>
      <c r="X505" s="7"/>
      <c r="Y505" s="7"/>
      <c r="Z505" s="708"/>
      <c r="AA505" s="7"/>
      <c r="AB505" s="7"/>
      <c r="AC505" s="7"/>
      <c r="AD505" s="7"/>
      <c r="AE505" s="7"/>
      <c r="AF505" s="7"/>
      <c r="AG505" s="7"/>
      <c r="AH505" s="7"/>
    </row>
    <row r="506" spans="1:34" ht="15.75" customHeight="1">
      <c r="A506" s="686"/>
      <c r="B506" s="687"/>
      <c r="C506" s="243" t="s">
        <v>1117</v>
      </c>
      <c r="D506" s="242">
        <f>COUNTIF($D$11:$Y$11,"Bến Tre")</f>
        <v>0</v>
      </c>
      <c r="E506" s="688"/>
      <c r="F506" s="244"/>
      <c r="G506" s="688"/>
      <c r="H506" s="688"/>
      <c r="I506" s="239"/>
      <c r="J506" s="239"/>
      <c r="K506" s="688"/>
      <c r="L506" s="7"/>
      <c r="M506" s="7"/>
      <c r="N506" s="7"/>
      <c r="O506" s="7"/>
      <c r="P506" s="239"/>
      <c r="Q506" s="7"/>
      <c r="R506" s="7"/>
      <c r="S506" s="7"/>
      <c r="T506" s="7"/>
      <c r="U506" s="7"/>
      <c r="V506" s="7"/>
      <c r="W506" s="7"/>
      <c r="X506" s="7"/>
      <c r="Y506" s="7"/>
      <c r="Z506" s="708"/>
      <c r="AA506" s="7"/>
      <c r="AB506" s="7"/>
      <c r="AC506" s="7"/>
      <c r="AD506" s="7"/>
      <c r="AE506" s="7"/>
      <c r="AF506" s="7"/>
      <c r="AG506" s="7"/>
      <c r="AH506" s="7"/>
    </row>
    <row r="507" spans="1:34" ht="15.75" customHeight="1">
      <c r="A507" s="686"/>
      <c r="B507" s="687"/>
      <c r="C507" s="243" t="s">
        <v>1118</v>
      </c>
      <c r="D507" s="242">
        <f>COUNTIF($D$11:$Y$11,"An Giang")</f>
        <v>0</v>
      </c>
      <c r="E507" s="688"/>
      <c r="F507" s="244"/>
      <c r="G507" s="688"/>
      <c r="H507" s="688"/>
      <c r="I507" s="239"/>
      <c r="J507" s="239"/>
      <c r="K507" s="688"/>
      <c r="L507" s="7"/>
      <c r="M507" s="7"/>
      <c r="N507" s="7"/>
      <c r="O507" s="7"/>
      <c r="P507" s="239"/>
      <c r="Q507" s="7"/>
      <c r="R507" s="7"/>
      <c r="S507" s="7"/>
      <c r="T507" s="7"/>
      <c r="U507" s="7"/>
      <c r="V507" s="7"/>
      <c r="W507" s="7"/>
      <c r="X507" s="7"/>
      <c r="Y507" s="7"/>
      <c r="Z507" s="708"/>
      <c r="AA507" s="7"/>
      <c r="AB507" s="7"/>
      <c r="AC507" s="7"/>
      <c r="AD507" s="7"/>
      <c r="AE507" s="7"/>
      <c r="AF507" s="7"/>
      <c r="AG507" s="7"/>
      <c r="AH507" s="7"/>
    </row>
    <row r="508" spans="1:34" ht="15.75" customHeight="1">
      <c r="A508" s="686"/>
      <c r="B508" s="687"/>
      <c r="C508" s="243" t="s">
        <v>1119</v>
      </c>
      <c r="D508" s="242">
        <f>COUNTIF($D$11:$Y$11,"Vĩnh Long")</f>
        <v>0</v>
      </c>
      <c r="E508" s="688"/>
      <c r="F508" s="244"/>
      <c r="G508" s="688"/>
      <c r="H508" s="688"/>
      <c r="I508" s="239"/>
      <c r="J508" s="239"/>
      <c r="K508" s="688"/>
      <c r="L508" s="7"/>
      <c r="M508" s="7"/>
      <c r="N508" s="7"/>
      <c r="O508" s="7"/>
      <c r="P508" s="239"/>
      <c r="Q508" s="7"/>
      <c r="R508" s="7"/>
      <c r="S508" s="7"/>
      <c r="T508" s="7"/>
      <c r="U508" s="7"/>
      <c r="V508" s="7"/>
      <c r="W508" s="7"/>
      <c r="X508" s="7"/>
      <c r="Y508" s="7"/>
      <c r="Z508" s="708"/>
      <c r="AA508" s="7"/>
      <c r="AB508" s="7"/>
      <c r="AC508" s="7"/>
      <c r="AD508" s="7"/>
      <c r="AE508" s="7"/>
      <c r="AF508" s="7"/>
      <c r="AG508" s="7"/>
      <c r="AH508" s="7"/>
    </row>
    <row r="509" spans="1:34" ht="15.75" customHeight="1">
      <c r="A509" s="686"/>
      <c r="B509" s="687"/>
      <c r="C509" s="243" t="s">
        <v>1120</v>
      </c>
      <c r="D509" s="242">
        <f>COUNTIF($D$11:$Y$11,"Cần Thơ")</f>
        <v>0</v>
      </c>
      <c r="E509" s="688"/>
      <c r="F509" s="244"/>
      <c r="G509" s="688"/>
      <c r="H509" s="688"/>
      <c r="I509" s="239"/>
      <c r="J509" s="239"/>
      <c r="K509" s="688"/>
      <c r="L509" s="7"/>
      <c r="M509" s="7"/>
      <c r="N509" s="7"/>
      <c r="O509" s="7"/>
      <c r="P509" s="239"/>
      <c r="Q509" s="7"/>
      <c r="R509" s="7"/>
      <c r="S509" s="7"/>
      <c r="T509" s="7"/>
      <c r="U509" s="7"/>
      <c r="V509" s="7"/>
      <c r="W509" s="7"/>
      <c r="X509" s="7"/>
      <c r="Y509" s="7"/>
      <c r="Z509" s="708"/>
      <c r="AA509" s="7"/>
      <c r="AB509" s="7"/>
      <c r="AC509" s="7"/>
      <c r="AD509" s="7"/>
      <c r="AE509" s="7"/>
      <c r="AF509" s="7"/>
      <c r="AG509" s="7"/>
      <c r="AH509" s="7"/>
    </row>
    <row r="510" spans="1:34" ht="15.75" customHeight="1">
      <c r="A510" s="686"/>
      <c r="B510" s="687"/>
      <c r="C510" s="243" t="s">
        <v>1121</v>
      </c>
      <c r="D510" s="242">
        <f>COUNTIF($D$11:$Y$11,"Hậu Giang")</f>
        <v>0</v>
      </c>
      <c r="E510" s="688"/>
      <c r="F510" s="244"/>
      <c r="G510" s="688"/>
      <c r="H510" s="688"/>
      <c r="I510" s="239"/>
      <c r="J510" s="239"/>
      <c r="K510" s="688"/>
      <c r="L510" s="7"/>
      <c r="M510" s="7"/>
      <c r="N510" s="7"/>
      <c r="O510" s="7"/>
      <c r="P510" s="239"/>
      <c r="Q510" s="7"/>
      <c r="R510" s="7"/>
      <c r="S510" s="7"/>
      <c r="T510" s="7"/>
      <c r="U510" s="7"/>
      <c r="V510" s="7"/>
      <c r="W510" s="7"/>
      <c r="X510" s="7"/>
      <c r="Y510" s="7"/>
      <c r="Z510" s="708"/>
      <c r="AA510" s="7"/>
      <c r="AB510" s="7"/>
      <c r="AC510" s="7"/>
      <c r="AD510" s="7"/>
      <c r="AE510" s="7"/>
      <c r="AF510" s="7"/>
      <c r="AG510" s="7"/>
      <c r="AH510" s="7"/>
    </row>
    <row r="511" spans="1:34" ht="15.75" customHeight="1">
      <c r="A511" s="686"/>
      <c r="B511" s="687"/>
      <c r="C511" s="243" t="s">
        <v>1122</v>
      </c>
      <c r="D511" s="242">
        <f>COUNTIF($D$11:$Y$11,"Sóc Trăng")</f>
        <v>0</v>
      </c>
      <c r="E511" s="688"/>
      <c r="F511" s="244"/>
      <c r="G511" s="688"/>
      <c r="H511" s="688"/>
      <c r="I511" s="239"/>
      <c r="J511" s="239"/>
      <c r="K511" s="688"/>
      <c r="L511" s="7"/>
      <c r="M511" s="7"/>
      <c r="N511" s="7"/>
      <c r="O511" s="7"/>
      <c r="P511" s="239"/>
      <c r="Q511" s="7"/>
      <c r="R511" s="7"/>
      <c r="S511" s="7"/>
      <c r="T511" s="7"/>
      <c r="U511" s="7"/>
      <c r="V511" s="7"/>
      <c r="W511" s="7"/>
      <c r="X511" s="7"/>
      <c r="Y511" s="7"/>
      <c r="Z511" s="708"/>
      <c r="AA511" s="7"/>
      <c r="AB511" s="7"/>
      <c r="AC511" s="7"/>
      <c r="AD511" s="7"/>
      <c r="AE511" s="7"/>
      <c r="AF511" s="7"/>
      <c r="AG511" s="7"/>
      <c r="AH511" s="7"/>
    </row>
    <row r="512" spans="1:34" ht="15.75" customHeight="1">
      <c r="A512" s="686"/>
      <c r="B512" s="687"/>
      <c r="C512" s="243" t="s">
        <v>1123</v>
      </c>
      <c r="D512" s="242">
        <f>COUNTIF($D$11:$Y$11,"Bạc Liêu")</f>
        <v>0</v>
      </c>
      <c r="E512" s="688"/>
      <c r="F512" s="244"/>
      <c r="G512" s="688"/>
      <c r="H512" s="688"/>
      <c r="I512" s="239"/>
      <c r="J512" s="239"/>
      <c r="K512" s="688"/>
      <c r="L512" s="7"/>
      <c r="M512" s="7"/>
      <c r="N512" s="7"/>
      <c r="O512" s="7"/>
      <c r="P512" s="239"/>
      <c r="Q512" s="7"/>
      <c r="R512" s="7"/>
      <c r="S512" s="7"/>
      <c r="T512" s="7"/>
      <c r="U512" s="7"/>
      <c r="V512" s="7"/>
      <c r="W512" s="7"/>
      <c r="X512" s="7"/>
      <c r="Y512" s="7"/>
      <c r="Z512" s="708"/>
      <c r="AA512" s="7"/>
      <c r="AB512" s="7"/>
      <c r="AC512" s="7"/>
      <c r="AD512" s="7"/>
      <c r="AE512" s="7"/>
      <c r="AF512" s="7"/>
      <c r="AG512" s="7"/>
      <c r="AH512" s="7"/>
    </row>
    <row r="513" spans="1:34" ht="15.75" customHeight="1">
      <c r="A513" s="686"/>
      <c r="B513" s="687"/>
      <c r="C513" s="243" t="s">
        <v>1124</v>
      </c>
      <c r="D513" s="242">
        <f>COUNTIF($D$11:$Y$11,"Cà Mau")</f>
        <v>0</v>
      </c>
      <c r="E513" s="688"/>
      <c r="F513" s="244"/>
      <c r="G513" s="688"/>
      <c r="H513" s="688"/>
      <c r="I513" s="239"/>
      <c r="J513" s="239"/>
      <c r="K513" s="688"/>
      <c r="L513" s="7"/>
      <c r="M513" s="7"/>
      <c r="N513" s="7"/>
      <c r="O513" s="7"/>
      <c r="P513" s="239"/>
      <c r="Q513" s="7"/>
      <c r="R513" s="7"/>
      <c r="S513" s="7"/>
      <c r="T513" s="7"/>
      <c r="U513" s="7"/>
      <c r="V513" s="7"/>
      <c r="W513" s="7"/>
      <c r="X513" s="7"/>
      <c r="Y513" s="7"/>
      <c r="Z513" s="708"/>
      <c r="AA513" s="7"/>
      <c r="AB513" s="7"/>
      <c r="AC513" s="7"/>
      <c r="AD513" s="7"/>
      <c r="AE513" s="7"/>
      <c r="AF513" s="7"/>
      <c r="AG513" s="7"/>
      <c r="AH513" s="7"/>
    </row>
    <row r="514" spans="1:34" ht="15.75" customHeight="1">
      <c r="A514" s="686"/>
      <c r="B514" s="687"/>
      <c r="C514" s="243" t="s">
        <v>1125</v>
      </c>
      <c r="D514" s="242">
        <f>COUNTIF($D$11:$Y$11,"Kiên Giang")</f>
        <v>0</v>
      </c>
      <c r="E514" s="688"/>
      <c r="F514" s="244"/>
      <c r="G514" s="688"/>
      <c r="H514" s="688"/>
      <c r="I514" s="239"/>
      <c r="J514" s="239"/>
      <c r="K514" s="688"/>
      <c r="L514" s="7"/>
      <c r="M514" s="7"/>
      <c r="N514" s="7"/>
      <c r="O514" s="7"/>
      <c r="P514" s="239"/>
      <c r="Q514" s="7"/>
      <c r="R514" s="7"/>
      <c r="S514" s="7"/>
      <c r="T514" s="7"/>
      <c r="U514" s="7"/>
      <c r="V514" s="7"/>
      <c r="W514" s="7"/>
      <c r="X514" s="7"/>
      <c r="Y514" s="7"/>
      <c r="Z514" s="708"/>
      <c r="AA514" s="7"/>
      <c r="AB514" s="7"/>
      <c r="AC514" s="7"/>
      <c r="AD514" s="7"/>
      <c r="AE514" s="7"/>
      <c r="AF514" s="7"/>
      <c r="AG514" s="7"/>
      <c r="AH514" s="7"/>
    </row>
    <row r="515" spans="1:34" ht="15.75" customHeight="1">
      <c r="A515" s="686"/>
      <c r="B515" s="687"/>
      <c r="C515" s="243" t="s">
        <v>1126</v>
      </c>
      <c r="D515" s="242">
        <f>COUNTIF($D$11:$Y$11,"Đồng Tháp")</f>
        <v>0</v>
      </c>
      <c r="E515" s="688"/>
      <c r="F515" s="244"/>
      <c r="G515" s="688"/>
      <c r="H515" s="688"/>
      <c r="I515" s="239"/>
      <c r="J515" s="239"/>
      <c r="K515" s="688"/>
      <c r="L515" s="7"/>
      <c r="M515" s="7"/>
      <c r="N515" s="7"/>
      <c r="O515" s="7"/>
      <c r="P515" s="239"/>
      <c r="Q515" s="7"/>
      <c r="R515" s="7"/>
      <c r="S515" s="7"/>
      <c r="T515" s="7"/>
      <c r="U515" s="7"/>
      <c r="V515" s="7"/>
      <c r="W515" s="7"/>
      <c r="X515" s="7"/>
      <c r="Y515" s="7"/>
      <c r="Z515" s="708"/>
      <c r="AA515" s="7"/>
      <c r="AB515" s="7"/>
      <c r="AC515" s="7"/>
      <c r="AD515" s="7"/>
      <c r="AE515" s="7"/>
      <c r="AF515" s="7"/>
      <c r="AG515" s="7"/>
      <c r="AH515" s="7"/>
    </row>
    <row r="516" spans="1:34" ht="15.75" customHeight="1">
      <c r="A516" s="686"/>
      <c r="B516" s="687"/>
      <c r="C516" s="243" t="s">
        <v>1127</v>
      </c>
      <c r="D516" s="242">
        <f>COUNTIF($D$11:$Y$11,"Trà Vinh")</f>
        <v>0</v>
      </c>
      <c r="E516" s="688"/>
      <c r="F516" s="244"/>
      <c r="G516" s="688"/>
      <c r="H516" s="688"/>
      <c r="I516" s="239"/>
      <c r="J516" s="239"/>
      <c r="K516" s="688"/>
      <c r="L516" s="7"/>
      <c r="M516" s="7"/>
      <c r="N516" s="7"/>
      <c r="O516" s="7"/>
      <c r="P516" s="239"/>
      <c r="Q516" s="7"/>
      <c r="R516" s="7"/>
      <c r="S516" s="7"/>
      <c r="T516" s="7"/>
      <c r="U516" s="7"/>
      <c r="V516" s="7"/>
      <c r="W516" s="7"/>
      <c r="X516" s="7"/>
      <c r="Y516" s="7"/>
      <c r="Z516" s="708"/>
      <c r="AA516" s="7"/>
      <c r="AB516" s="7"/>
      <c r="AC516" s="7"/>
      <c r="AD516" s="7"/>
      <c r="AE516" s="7"/>
      <c r="AF516" s="7"/>
      <c r="AG516" s="7"/>
      <c r="AH516" s="7"/>
    </row>
    <row r="517" spans="1:34" ht="15.75" customHeight="1">
      <c r="A517" s="686"/>
      <c r="B517" s="687"/>
      <c r="C517" s="243" t="s">
        <v>1128</v>
      </c>
      <c r="D517" s="242">
        <f>COUNTIF($D$11:$Y$11,"Tiền Giang")</f>
        <v>0</v>
      </c>
      <c r="E517" s="688"/>
      <c r="F517" s="244"/>
      <c r="G517" s="688"/>
      <c r="H517" s="688"/>
      <c r="I517" s="239"/>
      <c r="J517" s="239"/>
      <c r="K517" s="688"/>
      <c r="L517" s="7"/>
      <c r="M517" s="7"/>
      <c r="N517" s="7"/>
      <c r="O517" s="7"/>
      <c r="P517" s="239"/>
      <c r="Q517" s="7"/>
      <c r="R517" s="7"/>
      <c r="S517" s="7"/>
      <c r="T517" s="7"/>
      <c r="U517" s="7"/>
      <c r="V517" s="7"/>
      <c r="W517" s="7"/>
      <c r="X517" s="7"/>
      <c r="Y517" s="7"/>
      <c r="Z517" s="708"/>
      <c r="AA517" s="7"/>
      <c r="AB517" s="7"/>
      <c r="AC517" s="7"/>
      <c r="AD517" s="7"/>
      <c r="AE517" s="7"/>
      <c r="AF517" s="7"/>
      <c r="AG517" s="7"/>
      <c r="AH517" s="7"/>
    </row>
    <row r="518" spans="1:34" ht="15.75" customHeight="1">
      <c r="A518" s="686"/>
      <c r="B518" s="687"/>
      <c r="C518" s="243" t="s">
        <v>1129</v>
      </c>
      <c r="D518" s="242">
        <f>COUNTIF($D$11:$Y$11,"Long An")</f>
        <v>0</v>
      </c>
      <c r="E518" s="688"/>
      <c r="F518" s="244"/>
      <c r="G518" s="688"/>
      <c r="H518" s="688"/>
      <c r="I518" s="239"/>
      <c r="J518" s="239"/>
      <c r="K518" s="688"/>
      <c r="L518" s="7"/>
      <c r="M518" s="7"/>
      <c r="N518" s="7"/>
      <c r="O518" s="7"/>
      <c r="P518" s="239"/>
      <c r="Q518" s="7"/>
      <c r="R518" s="7"/>
      <c r="S518" s="7"/>
      <c r="T518" s="7"/>
      <c r="U518" s="7"/>
      <c r="V518" s="7"/>
      <c r="W518" s="7"/>
      <c r="X518" s="7"/>
      <c r="Y518" s="7"/>
      <c r="Z518" s="708"/>
      <c r="AA518" s="7"/>
      <c r="AB518" s="7"/>
      <c r="AC518" s="7"/>
      <c r="AD518" s="7"/>
      <c r="AE518" s="7"/>
      <c r="AF518" s="7"/>
      <c r="AG518" s="7"/>
      <c r="AH518" s="7"/>
    </row>
    <row r="519" spans="1:34" ht="15.75" customHeight="1">
      <c r="A519" s="686"/>
      <c r="B519" s="687"/>
      <c r="C519" s="243" t="s">
        <v>1130</v>
      </c>
      <c r="D519" s="242">
        <f>COUNTIF($D$11:$Y$11,"Đồng Nai")</f>
        <v>0</v>
      </c>
      <c r="E519" s="688"/>
      <c r="F519" s="244"/>
      <c r="G519" s="688"/>
      <c r="H519" s="688"/>
      <c r="I519" s="239"/>
      <c r="J519" s="239"/>
      <c r="K519" s="688"/>
      <c r="L519" s="7"/>
      <c r="M519" s="7"/>
      <c r="N519" s="7"/>
      <c r="O519" s="7"/>
      <c r="P519" s="239"/>
      <c r="Q519" s="7"/>
      <c r="R519" s="7"/>
      <c r="S519" s="7"/>
      <c r="T519" s="7"/>
      <c r="U519" s="7"/>
      <c r="V519" s="7"/>
      <c r="W519" s="7"/>
      <c r="X519" s="7"/>
      <c r="Y519" s="7"/>
      <c r="Z519" s="708"/>
      <c r="AA519" s="7"/>
      <c r="AB519" s="7"/>
      <c r="AC519" s="7"/>
      <c r="AD519" s="7"/>
      <c r="AE519" s="7"/>
      <c r="AF519" s="7"/>
      <c r="AG519" s="7"/>
      <c r="AH519" s="7"/>
    </row>
    <row r="520" spans="1:34" ht="15.75" customHeight="1">
      <c r="A520" s="686"/>
      <c r="B520" s="687"/>
      <c r="C520" s="243" t="s">
        <v>1131</v>
      </c>
      <c r="D520" s="242">
        <f>COUNTIF($D$11:$Y$11,"TP Hồ Chí Minh")</f>
        <v>0</v>
      </c>
      <c r="E520" s="688"/>
      <c r="F520" s="244"/>
      <c r="G520" s="688"/>
      <c r="H520" s="688"/>
      <c r="I520" s="239"/>
      <c r="J520" s="239"/>
      <c r="K520" s="688"/>
      <c r="L520" s="7"/>
      <c r="M520" s="7"/>
      <c r="N520" s="7"/>
      <c r="O520" s="7"/>
      <c r="P520" s="239"/>
      <c r="Q520" s="7"/>
      <c r="R520" s="7"/>
      <c r="S520" s="7"/>
      <c r="T520" s="7"/>
      <c r="U520" s="7"/>
      <c r="V520" s="7"/>
      <c r="W520" s="7"/>
      <c r="X520" s="7"/>
      <c r="Y520" s="7"/>
      <c r="Z520" s="708"/>
      <c r="AA520" s="7"/>
      <c r="AB520" s="7"/>
      <c r="AC520" s="7"/>
      <c r="AD520" s="7"/>
      <c r="AE520" s="7"/>
      <c r="AF520" s="7"/>
      <c r="AG520" s="7"/>
      <c r="AH520" s="7"/>
    </row>
    <row r="521" spans="1:34" ht="15.75" customHeight="1">
      <c r="A521" s="686"/>
      <c r="B521" s="687"/>
      <c r="C521" s="243"/>
      <c r="D521" s="244"/>
      <c r="E521" s="688"/>
      <c r="F521" s="244"/>
      <c r="G521" s="688"/>
      <c r="H521" s="688"/>
      <c r="I521" s="239"/>
      <c r="J521" s="239"/>
      <c r="K521" s="688"/>
      <c r="L521" s="7"/>
      <c r="M521" s="7"/>
      <c r="N521" s="7"/>
      <c r="O521" s="7"/>
      <c r="P521" s="239"/>
      <c r="Q521" s="7"/>
      <c r="R521" s="7"/>
      <c r="S521" s="7"/>
      <c r="T521" s="7"/>
      <c r="U521" s="7"/>
      <c r="V521" s="7"/>
      <c r="W521" s="7"/>
      <c r="X521" s="7"/>
      <c r="Y521" s="7"/>
      <c r="Z521" s="708"/>
      <c r="AA521" s="7"/>
      <c r="AB521" s="7"/>
      <c r="AC521" s="7"/>
      <c r="AD521" s="7"/>
      <c r="AE521" s="7"/>
      <c r="AF521" s="7"/>
      <c r="AG521" s="7"/>
      <c r="AH521" s="7"/>
    </row>
    <row r="522" spans="1:34" ht="15.75" customHeight="1">
      <c r="A522" s="686"/>
      <c r="B522" s="687"/>
      <c r="C522" s="243"/>
      <c r="D522" s="245">
        <f>SUM(D458:D520)</f>
        <v>4</v>
      </c>
      <c r="E522" s="688"/>
      <c r="F522" s="244"/>
      <c r="G522" s="688"/>
      <c r="H522" s="688"/>
      <c r="I522" s="239"/>
      <c r="J522" s="239"/>
      <c r="K522" s="688"/>
      <c r="L522" s="7"/>
      <c r="M522" s="7"/>
      <c r="N522" s="7"/>
      <c r="O522" s="7"/>
      <c r="P522" s="239"/>
      <c r="Q522" s="7"/>
      <c r="R522" s="7"/>
      <c r="S522" s="7"/>
      <c r="T522" s="7"/>
      <c r="U522" s="7"/>
      <c r="V522" s="7"/>
      <c r="W522" s="7"/>
      <c r="X522" s="7"/>
      <c r="Y522" s="7"/>
      <c r="Z522" s="708"/>
      <c r="AA522" s="7"/>
      <c r="AB522" s="7"/>
      <c r="AC522" s="7"/>
      <c r="AD522" s="7"/>
      <c r="AE522" s="7"/>
      <c r="AF522" s="7"/>
      <c r="AG522" s="7"/>
      <c r="AH522" s="7"/>
    </row>
    <row r="523" spans="1:34" ht="15.75" customHeight="1">
      <c r="A523" s="686"/>
      <c r="B523" s="687"/>
      <c r="C523" s="243"/>
      <c r="D523" s="244"/>
      <c r="E523" s="688"/>
      <c r="F523" s="244"/>
      <c r="G523" s="688"/>
      <c r="H523" s="688"/>
      <c r="I523" s="239"/>
      <c r="J523" s="239"/>
      <c r="K523" s="688"/>
      <c r="L523" s="7"/>
      <c r="M523" s="7"/>
      <c r="N523" s="7"/>
      <c r="O523" s="7"/>
      <c r="P523" s="239"/>
      <c r="Q523" s="7"/>
      <c r="R523" s="7"/>
      <c r="S523" s="7"/>
      <c r="T523" s="7"/>
      <c r="U523" s="7"/>
      <c r="V523" s="7"/>
      <c r="W523" s="7"/>
      <c r="X523" s="7"/>
      <c r="Y523" s="7"/>
      <c r="Z523" s="708"/>
      <c r="AA523" s="7"/>
      <c r="AB523" s="7"/>
      <c r="AC523" s="7"/>
      <c r="AD523" s="7"/>
      <c r="AE523" s="7"/>
      <c r="AF523" s="7"/>
      <c r="AG523" s="7"/>
      <c r="AH523" s="7"/>
    </row>
    <row r="524" spans="1:34" ht="15.75" customHeight="1">
      <c r="A524" s="686"/>
      <c r="B524" s="687"/>
      <c r="C524" s="243"/>
      <c r="D524" s="244"/>
      <c r="E524" s="688"/>
      <c r="F524" s="244"/>
      <c r="G524" s="688"/>
      <c r="H524" s="688"/>
      <c r="I524" s="239"/>
      <c r="J524" s="239"/>
      <c r="K524" s="688"/>
      <c r="L524" s="7"/>
      <c r="M524" s="7"/>
      <c r="N524" s="7"/>
      <c r="O524" s="7"/>
      <c r="P524" s="239"/>
      <c r="Q524" s="7"/>
      <c r="R524" s="7"/>
      <c r="S524" s="7"/>
      <c r="T524" s="7"/>
      <c r="U524" s="7"/>
      <c r="V524" s="7"/>
      <c r="W524" s="7"/>
      <c r="X524" s="7"/>
      <c r="Y524" s="7"/>
      <c r="Z524" s="708"/>
      <c r="AA524" s="7"/>
      <c r="AB524" s="7"/>
      <c r="AC524" s="7"/>
      <c r="AD524" s="7"/>
      <c r="AE524" s="7"/>
      <c r="AF524" s="7"/>
      <c r="AG524" s="7"/>
      <c r="AH524" s="7"/>
    </row>
    <row r="525" spans="1:34" ht="15.75" customHeight="1">
      <c r="A525" s="686"/>
      <c r="B525" s="687"/>
      <c r="C525" s="243"/>
      <c r="D525" s="244"/>
      <c r="E525" s="688"/>
      <c r="F525" s="244"/>
      <c r="G525" s="688"/>
      <c r="H525" s="688"/>
      <c r="I525" s="239"/>
      <c r="J525" s="239"/>
      <c r="K525" s="688"/>
      <c r="L525" s="7"/>
      <c r="M525" s="7"/>
      <c r="N525" s="7"/>
      <c r="O525" s="7"/>
      <c r="P525" s="239"/>
      <c r="Q525" s="7"/>
      <c r="R525" s="7"/>
      <c r="S525" s="7"/>
      <c r="T525" s="7"/>
      <c r="U525" s="7"/>
      <c r="V525" s="7"/>
      <c r="W525" s="7"/>
      <c r="X525" s="7"/>
      <c r="Y525" s="7"/>
      <c r="Z525" s="708"/>
      <c r="AA525" s="7"/>
      <c r="AB525" s="7"/>
      <c r="AC525" s="7"/>
      <c r="AD525" s="7"/>
      <c r="AE525" s="7"/>
      <c r="AF525" s="7"/>
      <c r="AG525" s="7"/>
      <c r="AH525" s="7"/>
    </row>
    <row r="526" spans="1:34" ht="15.75" customHeight="1">
      <c r="A526" s="686"/>
      <c r="B526" s="687"/>
      <c r="C526" s="243"/>
      <c r="D526" s="244"/>
      <c r="E526" s="688"/>
      <c r="F526" s="244"/>
      <c r="G526" s="688"/>
      <c r="H526" s="688"/>
      <c r="I526" s="239"/>
      <c r="J526" s="239"/>
      <c r="K526" s="688"/>
      <c r="L526" s="7"/>
      <c r="M526" s="7"/>
      <c r="N526" s="7"/>
      <c r="O526" s="7"/>
      <c r="P526" s="239"/>
      <c r="Q526" s="7"/>
      <c r="R526" s="7"/>
      <c r="S526" s="7"/>
      <c r="T526" s="7"/>
      <c r="U526" s="7"/>
      <c r="V526" s="7"/>
      <c r="W526" s="7"/>
      <c r="X526" s="7"/>
      <c r="Y526" s="7"/>
      <c r="Z526" s="708"/>
      <c r="AA526" s="7"/>
      <c r="AB526" s="7"/>
      <c r="AC526" s="7"/>
      <c r="AD526" s="7"/>
      <c r="AE526" s="7"/>
      <c r="AF526" s="7"/>
      <c r="AG526" s="7"/>
      <c r="AH526" s="7"/>
    </row>
    <row r="527" spans="1:34" ht="15.75" customHeight="1">
      <c r="A527" s="686"/>
      <c r="B527" s="687"/>
      <c r="C527" s="243"/>
      <c r="D527" s="244"/>
      <c r="E527" s="688"/>
      <c r="F527" s="244"/>
      <c r="G527" s="688"/>
      <c r="H527" s="688"/>
      <c r="I527" s="239"/>
      <c r="J527" s="239"/>
      <c r="K527" s="688"/>
      <c r="L527" s="7"/>
      <c r="M527" s="7"/>
      <c r="N527" s="7"/>
      <c r="O527" s="7"/>
      <c r="P527" s="239"/>
      <c r="Q527" s="7"/>
      <c r="R527" s="7"/>
      <c r="S527" s="7"/>
      <c r="T527" s="7"/>
      <c r="U527" s="7"/>
      <c r="V527" s="7"/>
      <c r="W527" s="7"/>
      <c r="X527" s="7"/>
      <c r="Y527" s="7"/>
      <c r="Z527" s="708"/>
      <c r="AA527" s="7"/>
      <c r="AB527" s="7"/>
      <c r="AC527" s="7"/>
      <c r="AD527" s="7"/>
      <c r="AE527" s="7"/>
      <c r="AF527" s="7"/>
      <c r="AG527" s="7"/>
      <c r="AH527" s="7"/>
    </row>
    <row r="528" spans="1:34" ht="15.75" customHeight="1">
      <c r="A528" s="686"/>
      <c r="B528" s="687"/>
      <c r="C528" s="243"/>
      <c r="D528" s="244"/>
      <c r="E528" s="688"/>
      <c r="F528" s="244"/>
      <c r="G528" s="688"/>
      <c r="H528" s="688"/>
      <c r="I528" s="239"/>
      <c r="J528" s="239"/>
      <c r="K528" s="688"/>
      <c r="L528" s="7"/>
      <c r="M528" s="7"/>
      <c r="N528" s="7"/>
      <c r="O528" s="7"/>
      <c r="P528" s="239"/>
      <c r="Q528" s="7"/>
      <c r="R528" s="7"/>
      <c r="S528" s="7"/>
      <c r="T528" s="7"/>
      <c r="U528" s="7"/>
      <c r="V528" s="7"/>
      <c r="W528" s="7"/>
      <c r="X528" s="7"/>
      <c r="Y528" s="7"/>
      <c r="Z528" s="708"/>
      <c r="AA528" s="7"/>
      <c r="AB528" s="7"/>
      <c r="AC528" s="7"/>
      <c r="AD528" s="7"/>
      <c r="AE528" s="7"/>
      <c r="AF528" s="7"/>
      <c r="AG528" s="7"/>
      <c r="AH528" s="7"/>
    </row>
    <row r="529" spans="1:34" ht="15.75" customHeight="1">
      <c r="A529" s="686"/>
      <c r="B529" s="687"/>
      <c r="C529" s="243"/>
      <c r="D529" s="244"/>
      <c r="E529" s="688"/>
      <c r="F529" s="244"/>
      <c r="G529" s="688"/>
      <c r="H529" s="688"/>
      <c r="I529" s="239"/>
      <c r="J529" s="239"/>
      <c r="K529" s="688"/>
      <c r="L529" s="7"/>
      <c r="M529" s="7"/>
      <c r="N529" s="7"/>
      <c r="O529" s="7"/>
      <c r="P529" s="239"/>
      <c r="Q529" s="7"/>
      <c r="R529" s="7"/>
      <c r="S529" s="7"/>
      <c r="T529" s="7"/>
      <c r="U529" s="7"/>
      <c r="V529" s="7"/>
      <c r="W529" s="7"/>
      <c r="X529" s="7"/>
      <c r="Y529" s="7"/>
      <c r="Z529" s="708"/>
      <c r="AA529" s="7"/>
      <c r="AB529" s="7"/>
      <c r="AC529" s="7"/>
      <c r="AD529" s="7"/>
      <c r="AE529" s="7"/>
      <c r="AF529" s="7"/>
      <c r="AG529" s="7"/>
      <c r="AH529" s="7"/>
    </row>
    <row r="530" spans="1:34" ht="15.75" customHeight="1">
      <c r="A530" s="686"/>
      <c r="B530" s="687"/>
      <c r="C530" s="243"/>
      <c r="D530" s="244"/>
      <c r="E530" s="688"/>
      <c r="F530" s="244"/>
      <c r="G530" s="688"/>
      <c r="H530" s="688"/>
      <c r="I530" s="239"/>
      <c r="J530" s="239"/>
      <c r="K530" s="688"/>
      <c r="L530" s="7"/>
      <c r="M530" s="7"/>
      <c r="N530" s="7"/>
      <c r="O530" s="7"/>
      <c r="P530" s="239"/>
      <c r="Q530" s="7"/>
      <c r="R530" s="7"/>
      <c r="S530" s="7"/>
      <c r="T530" s="7"/>
      <c r="U530" s="7"/>
      <c r="V530" s="7"/>
      <c r="W530" s="7"/>
      <c r="X530" s="7"/>
      <c r="Y530" s="7"/>
      <c r="Z530" s="708"/>
      <c r="AA530" s="7"/>
      <c r="AB530" s="7"/>
      <c r="AC530" s="7"/>
      <c r="AD530" s="7"/>
      <c r="AE530" s="7"/>
      <c r="AF530" s="7"/>
      <c r="AG530" s="7"/>
      <c r="AH530" s="7"/>
    </row>
    <row r="531" spans="1:34" ht="15.75" customHeight="1">
      <c r="A531" s="686"/>
      <c r="B531" s="687"/>
      <c r="C531" s="243"/>
      <c r="D531" s="244"/>
      <c r="E531" s="688"/>
      <c r="F531" s="244"/>
      <c r="G531" s="688"/>
      <c r="H531" s="688"/>
      <c r="I531" s="239"/>
      <c r="J531" s="239"/>
      <c r="K531" s="688"/>
      <c r="L531" s="7"/>
      <c r="M531" s="7"/>
      <c r="N531" s="7"/>
      <c r="O531" s="7"/>
      <c r="P531" s="239"/>
      <c r="Q531" s="7"/>
      <c r="R531" s="7"/>
      <c r="S531" s="7"/>
      <c r="T531" s="7"/>
      <c r="U531" s="7"/>
      <c r="V531" s="7"/>
      <c r="W531" s="7"/>
      <c r="X531" s="7"/>
      <c r="Y531" s="7"/>
      <c r="Z531" s="708"/>
      <c r="AA531" s="7"/>
      <c r="AB531" s="7"/>
      <c r="AC531" s="7"/>
      <c r="AD531" s="7"/>
      <c r="AE531" s="7"/>
      <c r="AF531" s="7"/>
      <c r="AG531" s="7"/>
      <c r="AH531" s="7"/>
    </row>
    <row r="532" spans="1:34" ht="15.75" customHeight="1">
      <c r="A532" s="686"/>
      <c r="B532" s="687"/>
      <c r="C532" s="243"/>
      <c r="D532" s="244"/>
      <c r="E532" s="688"/>
      <c r="F532" s="244"/>
      <c r="G532" s="688"/>
      <c r="H532" s="688"/>
      <c r="I532" s="239"/>
      <c r="J532" s="239"/>
      <c r="K532" s="688"/>
      <c r="L532" s="7"/>
      <c r="M532" s="7"/>
      <c r="N532" s="7"/>
      <c r="O532" s="7"/>
      <c r="P532" s="239"/>
      <c r="Q532" s="7"/>
      <c r="R532" s="7"/>
      <c r="S532" s="7"/>
      <c r="T532" s="7"/>
      <c r="U532" s="7"/>
      <c r="V532" s="7"/>
      <c r="W532" s="7"/>
      <c r="X532" s="7"/>
      <c r="Y532" s="7"/>
      <c r="Z532" s="708"/>
      <c r="AA532" s="7"/>
      <c r="AB532" s="7"/>
      <c r="AC532" s="7"/>
      <c r="AD532" s="7"/>
      <c r="AE532" s="7"/>
      <c r="AF532" s="7"/>
      <c r="AG532" s="7"/>
      <c r="AH532" s="7"/>
    </row>
    <row r="533" spans="1:34" ht="15.75" customHeight="1">
      <c r="A533" s="686"/>
      <c r="B533" s="687"/>
      <c r="C533" s="243"/>
      <c r="D533" s="244"/>
      <c r="E533" s="688"/>
      <c r="F533" s="244"/>
      <c r="G533" s="688"/>
      <c r="H533" s="688"/>
      <c r="I533" s="239"/>
      <c r="J533" s="239"/>
      <c r="K533" s="688"/>
      <c r="L533" s="7"/>
      <c r="M533" s="7"/>
      <c r="N533" s="7"/>
      <c r="O533" s="7"/>
      <c r="P533" s="239"/>
      <c r="Q533" s="7"/>
      <c r="R533" s="7"/>
      <c r="S533" s="7"/>
      <c r="T533" s="7"/>
      <c r="U533" s="7"/>
      <c r="V533" s="7"/>
      <c r="W533" s="7"/>
      <c r="X533" s="7"/>
      <c r="Y533" s="7"/>
      <c r="Z533" s="708"/>
      <c r="AA533" s="7"/>
      <c r="AB533" s="7"/>
      <c r="AC533" s="7"/>
      <c r="AD533" s="7"/>
      <c r="AE533" s="7"/>
      <c r="AF533" s="7"/>
      <c r="AG533" s="7"/>
      <c r="AH533" s="7"/>
    </row>
    <row r="534" spans="1:34" ht="15.75" customHeight="1">
      <c r="A534" s="686"/>
      <c r="B534" s="687"/>
      <c r="C534" s="243"/>
      <c r="D534" s="244"/>
      <c r="E534" s="688"/>
      <c r="F534" s="244"/>
      <c r="G534" s="688"/>
      <c r="H534" s="688"/>
      <c r="I534" s="239"/>
      <c r="J534" s="239"/>
      <c r="K534" s="688"/>
      <c r="L534" s="7"/>
      <c r="M534" s="7"/>
      <c r="N534" s="7"/>
      <c r="O534" s="7"/>
      <c r="P534" s="239"/>
      <c r="Q534" s="7"/>
      <c r="R534" s="7"/>
      <c r="S534" s="7"/>
      <c r="T534" s="7"/>
      <c r="U534" s="7"/>
      <c r="V534" s="7"/>
      <c r="W534" s="7"/>
      <c r="X534" s="7"/>
      <c r="Y534" s="7"/>
      <c r="Z534" s="708"/>
      <c r="AA534" s="7"/>
      <c r="AB534" s="7"/>
      <c r="AC534" s="7"/>
      <c r="AD534" s="7"/>
      <c r="AE534" s="7"/>
      <c r="AF534" s="7"/>
      <c r="AG534" s="7"/>
      <c r="AH534" s="7"/>
    </row>
    <row r="535" spans="1:34" ht="15.75" customHeight="1">
      <c r="A535" s="686"/>
      <c r="B535" s="687"/>
      <c r="C535" s="243"/>
      <c r="D535" s="244"/>
      <c r="E535" s="688"/>
      <c r="F535" s="244"/>
      <c r="G535" s="688"/>
      <c r="H535" s="688"/>
      <c r="I535" s="239"/>
      <c r="J535" s="239"/>
      <c r="K535" s="688"/>
      <c r="L535" s="7"/>
      <c r="M535" s="7"/>
      <c r="N535" s="7"/>
      <c r="O535" s="7"/>
      <c r="P535" s="239"/>
      <c r="Q535" s="7"/>
      <c r="R535" s="7"/>
      <c r="S535" s="7"/>
      <c r="T535" s="7"/>
      <c r="U535" s="7"/>
      <c r="V535" s="7"/>
      <c r="W535" s="7"/>
      <c r="X535" s="7"/>
      <c r="Y535" s="7"/>
      <c r="Z535" s="708"/>
      <c r="AA535" s="7"/>
      <c r="AB535" s="7"/>
      <c r="AC535" s="7"/>
      <c r="AD535" s="7"/>
      <c r="AE535" s="7"/>
      <c r="AF535" s="7"/>
      <c r="AG535" s="7"/>
      <c r="AH535" s="7"/>
    </row>
    <row r="536" spans="1:34" ht="15.75" customHeight="1">
      <c r="A536" s="686"/>
      <c r="B536" s="687"/>
      <c r="C536" s="243"/>
      <c r="D536" s="244"/>
      <c r="E536" s="688"/>
      <c r="F536" s="244"/>
      <c r="G536" s="688"/>
      <c r="H536" s="688"/>
      <c r="I536" s="239"/>
      <c r="J536" s="239"/>
      <c r="K536" s="688"/>
      <c r="L536" s="7"/>
      <c r="M536" s="7"/>
      <c r="N536" s="7"/>
      <c r="O536" s="7"/>
      <c r="P536" s="239"/>
      <c r="Q536" s="7"/>
      <c r="R536" s="7"/>
      <c r="S536" s="7"/>
      <c r="T536" s="7"/>
      <c r="U536" s="7"/>
      <c r="V536" s="7"/>
      <c r="W536" s="7"/>
      <c r="X536" s="7"/>
      <c r="Y536" s="7"/>
      <c r="Z536" s="708"/>
      <c r="AA536" s="7"/>
      <c r="AB536" s="7"/>
      <c r="AC536" s="7"/>
      <c r="AD536" s="7"/>
      <c r="AE536" s="7"/>
      <c r="AF536" s="7"/>
      <c r="AG536" s="7"/>
      <c r="AH536" s="7"/>
    </row>
    <row r="537" spans="1:34" ht="15.75" customHeight="1">
      <c r="A537" s="686"/>
      <c r="B537" s="687"/>
      <c r="C537" s="243"/>
      <c r="D537" s="244"/>
      <c r="E537" s="688"/>
      <c r="F537" s="244"/>
      <c r="G537" s="688"/>
      <c r="H537" s="688"/>
      <c r="I537" s="239"/>
      <c r="J537" s="239"/>
      <c r="K537" s="688"/>
      <c r="L537" s="7"/>
      <c r="M537" s="7"/>
      <c r="N537" s="7"/>
      <c r="O537" s="7"/>
      <c r="P537" s="239"/>
      <c r="Q537" s="7"/>
      <c r="R537" s="7"/>
      <c r="S537" s="7"/>
      <c r="T537" s="7"/>
      <c r="U537" s="7"/>
      <c r="V537" s="7"/>
      <c r="W537" s="7"/>
      <c r="X537" s="7"/>
      <c r="Y537" s="7"/>
      <c r="Z537" s="708"/>
      <c r="AA537" s="7"/>
      <c r="AB537" s="7"/>
      <c r="AC537" s="7"/>
      <c r="AD537" s="7"/>
      <c r="AE537" s="7"/>
      <c r="AF537" s="7"/>
      <c r="AG537" s="7"/>
      <c r="AH537" s="7"/>
    </row>
    <row r="538" spans="1:34" ht="15.75" customHeight="1">
      <c r="A538" s="686"/>
      <c r="B538" s="687"/>
      <c r="C538" s="243"/>
      <c r="D538" s="244"/>
      <c r="E538" s="688"/>
      <c r="F538" s="244"/>
      <c r="G538" s="688"/>
      <c r="H538" s="688"/>
      <c r="I538" s="239"/>
      <c r="J538" s="239"/>
      <c r="K538" s="688"/>
      <c r="L538" s="7"/>
      <c r="M538" s="7"/>
      <c r="N538" s="7"/>
      <c r="O538" s="7"/>
      <c r="P538" s="239"/>
      <c r="Q538" s="7"/>
      <c r="R538" s="7"/>
      <c r="S538" s="7"/>
      <c r="T538" s="7"/>
      <c r="U538" s="7"/>
      <c r="V538" s="7"/>
      <c r="W538" s="7"/>
      <c r="X538" s="7"/>
      <c r="Y538" s="7"/>
      <c r="Z538" s="708"/>
      <c r="AA538" s="7"/>
      <c r="AB538" s="7"/>
      <c r="AC538" s="7"/>
      <c r="AD538" s="7"/>
      <c r="AE538" s="7"/>
      <c r="AF538" s="7"/>
      <c r="AG538" s="7"/>
      <c r="AH538" s="7"/>
    </row>
    <row r="539" spans="1:34" ht="15.75" customHeight="1">
      <c r="A539" s="686"/>
      <c r="B539" s="687"/>
      <c r="C539" s="243"/>
      <c r="D539" s="244"/>
      <c r="E539" s="688"/>
      <c r="F539" s="244"/>
      <c r="G539" s="688"/>
      <c r="H539" s="688"/>
      <c r="I539" s="239"/>
      <c r="J539" s="239"/>
      <c r="K539" s="688"/>
      <c r="L539" s="7"/>
      <c r="M539" s="7"/>
      <c r="N539" s="7"/>
      <c r="O539" s="7"/>
      <c r="P539" s="239"/>
      <c r="Q539" s="7"/>
      <c r="R539" s="7"/>
      <c r="S539" s="7"/>
      <c r="T539" s="7"/>
      <c r="U539" s="7"/>
      <c r="V539" s="7"/>
      <c r="W539" s="7"/>
      <c r="X539" s="7"/>
      <c r="Y539" s="7"/>
      <c r="Z539" s="708"/>
      <c r="AA539" s="7"/>
      <c r="AB539" s="7"/>
      <c r="AC539" s="7"/>
      <c r="AD539" s="7"/>
      <c r="AE539" s="7"/>
      <c r="AF539" s="7"/>
      <c r="AG539" s="7"/>
      <c r="AH539" s="7"/>
    </row>
    <row r="540" spans="1:34" ht="15.75" customHeight="1">
      <c r="A540" s="686"/>
      <c r="B540" s="687"/>
      <c r="C540" s="243"/>
      <c r="D540" s="244"/>
      <c r="E540" s="688"/>
      <c r="F540" s="244"/>
      <c r="G540" s="688"/>
      <c r="H540" s="688"/>
      <c r="I540" s="239"/>
      <c r="J540" s="239"/>
      <c r="K540" s="688"/>
      <c r="L540" s="7"/>
      <c r="M540" s="7"/>
      <c r="N540" s="7"/>
      <c r="O540" s="7"/>
      <c r="P540" s="239"/>
      <c r="Q540" s="7"/>
      <c r="R540" s="7"/>
      <c r="S540" s="7"/>
      <c r="T540" s="7"/>
      <c r="U540" s="7"/>
      <c r="V540" s="7"/>
      <c r="W540" s="7"/>
      <c r="X540" s="7"/>
      <c r="Y540" s="7"/>
      <c r="Z540" s="708"/>
      <c r="AA540" s="7"/>
      <c r="AB540" s="7"/>
      <c r="AC540" s="7"/>
      <c r="AD540" s="7"/>
      <c r="AE540" s="7"/>
      <c r="AF540" s="7"/>
      <c r="AG540" s="7"/>
      <c r="AH540" s="7"/>
    </row>
    <row r="541" spans="1:34" ht="15.75" customHeight="1">
      <c r="A541" s="686"/>
      <c r="B541" s="687"/>
      <c r="C541" s="243"/>
      <c r="D541" s="244"/>
      <c r="E541" s="688"/>
      <c r="F541" s="244"/>
      <c r="G541" s="688"/>
      <c r="H541" s="688"/>
      <c r="I541" s="239"/>
      <c r="J541" s="239"/>
      <c r="K541" s="688"/>
      <c r="L541" s="7"/>
      <c r="M541" s="7"/>
      <c r="N541" s="7"/>
      <c r="O541" s="7"/>
      <c r="P541" s="239"/>
      <c r="Q541" s="7"/>
      <c r="R541" s="7"/>
      <c r="S541" s="7"/>
      <c r="T541" s="7"/>
      <c r="U541" s="7"/>
      <c r="V541" s="7"/>
      <c r="W541" s="7"/>
      <c r="X541" s="7"/>
      <c r="Y541" s="7"/>
      <c r="Z541" s="708"/>
      <c r="AA541" s="7"/>
      <c r="AB541" s="7"/>
      <c r="AC541" s="7"/>
      <c r="AD541" s="7"/>
      <c r="AE541" s="7"/>
      <c r="AF541" s="7"/>
      <c r="AG541" s="7"/>
      <c r="AH541" s="7"/>
    </row>
    <row r="542" spans="1:34" ht="15.75" customHeight="1">
      <c r="A542" s="686"/>
      <c r="B542" s="687"/>
      <c r="C542" s="243"/>
      <c r="D542" s="244"/>
      <c r="E542" s="688"/>
      <c r="F542" s="244"/>
      <c r="G542" s="688"/>
      <c r="H542" s="688"/>
      <c r="I542" s="239"/>
      <c r="J542" s="239"/>
      <c r="K542" s="688"/>
      <c r="L542" s="7"/>
      <c r="M542" s="7"/>
      <c r="N542" s="7"/>
      <c r="O542" s="7"/>
      <c r="P542" s="239"/>
      <c r="Q542" s="7"/>
      <c r="R542" s="7"/>
      <c r="S542" s="7"/>
      <c r="T542" s="7"/>
      <c r="U542" s="7"/>
      <c r="V542" s="7"/>
      <c r="W542" s="7"/>
      <c r="X542" s="7"/>
      <c r="Y542" s="7"/>
      <c r="Z542" s="708"/>
      <c r="AA542" s="7"/>
      <c r="AB542" s="7"/>
      <c r="AC542" s="7"/>
      <c r="AD542" s="7"/>
      <c r="AE542" s="7"/>
      <c r="AF542" s="7"/>
      <c r="AG542" s="7"/>
      <c r="AH542" s="7"/>
    </row>
    <row r="543" spans="1:34" ht="15.75" customHeight="1">
      <c r="A543" s="686"/>
      <c r="B543" s="687"/>
      <c r="C543" s="243"/>
      <c r="D543" s="244"/>
      <c r="E543" s="688"/>
      <c r="F543" s="244"/>
      <c r="G543" s="688"/>
      <c r="H543" s="688"/>
      <c r="I543" s="239"/>
      <c r="J543" s="239"/>
      <c r="K543" s="688"/>
      <c r="L543" s="7"/>
      <c r="M543" s="7"/>
      <c r="N543" s="7"/>
      <c r="O543" s="7"/>
      <c r="P543" s="239"/>
      <c r="Q543" s="7"/>
      <c r="R543" s="7"/>
      <c r="S543" s="7"/>
      <c r="T543" s="7"/>
      <c r="U543" s="7"/>
      <c r="V543" s="7"/>
      <c r="W543" s="7"/>
      <c r="X543" s="7"/>
      <c r="Y543" s="7"/>
      <c r="Z543" s="708"/>
      <c r="AA543" s="7"/>
      <c r="AB543" s="7"/>
      <c r="AC543" s="7"/>
      <c r="AD543" s="7"/>
      <c r="AE543" s="7"/>
      <c r="AF543" s="7"/>
      <c r="AG543" s="7"/>
      <c r="AH543" s="7"/>
    </row>
    <row r="544" spans="1:34" ht="15.75" customHeight="1">
      <c r="A544" s="686"/>
      <c r="B544" s="687"/>
      <c r="C544" s="243"/>
      <c r="D544" s="244"/>
      <c r="E544" s="688"/>
      <c r="F544" s="244"/>
      <c r="G544" s="688"/>
      <c r="H544" s="688"/>
      <c r="I544" s="239"/>
      <c r="J544" s="239"/>
      <c r="K544" s="688"/>
      <c r="L544" s="7"/>
      <c r="M544" s="7"/>
      <c r="N544" s="7"/>
      <c r="O544" s="7"/>
      <c r="P544" s="239"/>
      <c r="Q544" s="7"/>
      <c r="R544" s="7"/>
      <c r="S544" s="7"/>
      <c r="T544" s="7"/>
      <c r="U544" s="7"/>
      <c r="V544" s="7"/>
      <c r="W544" s="7"/>
      <c r="X544" s="7"/>
      <c r="Y544" s="7"/>
      <c r="Z544" s="708"/>
      <c r="AA544" s="7"/>
      <c r="AB544" s="7"/>
      <c r="AC544" s="7"/>
      <c r="AD544" s="7"/>
      <c r="AE544" s="7"/>
      <c r="AF544" s="7"/>
      <c r="AG544" s="7"/>
      <c r="AH544" s="7"/>
    </row>
    <row r="545" spans="1:34" ht="15.75" customHeight="1">
      <c r="A545" s="686"/>
      <c r="B545" s="687"/>
      <c r="C545" s="243"/>
      <c r="D545" s="244"/>
      <c r="E545" s="688"/>
      <c r="F545" s="244"/>
      <c r="G545" s="688"/>
      <c r="H545" s="688"/>
      <c r="I545" s="239"/>
      <c r="J545" s="239"/>
      <c r="K545" s="688"/>
      <c r="L545" s="7"/>
      <c r="M545" s="7"/>
      <c r="N545" s="7"/>
      <c r="O545" s="7"/>
      <c r="P545" s="239"/>
      <c r="Q545" s="7"/>
      <c r="R545" s="7"/>
      <c r="S545" s="7"/>
      <c r="T545" s="7"/>
      <c r="U545" s="7"/>
      <c r="V545" s="7"/>
      <c r="W545" s="7"/>
      <c r="X545" s="7"/>
      <c r="Y545" s="7"/>
      <c r="Z545" s="708"/>
      <c r="AA545" s="7"/>
      <c r="AB545" s="7"/>
      <c r="AC545" s="7"/>
      <c r="AD545" s="7"/>
      <c r="AE545" s="7"/>
      <c r="AF545" s="7"/>
      <c r="AG545" s="7"/>
      <c r="AH545" s="7"/>
    </row>
    <row r="546" spans="1:34" ht="15.75" customHeight="1">
      <c r="A546" s="686"/>
      <c r="B546" s="687"/>
      <c r="C546" s="243"/>
      <c r="D546" s="244"/>
      <c r="E546" s="688"/>
      <c r="F546" s="244"/>
      <c r="G546" s="688"/>
      <c r="H546" s="688"/>
      <c r="I546" s="239"/>
      <c r="J546" s="239"/>
      <c r="K546" s="688"/>
      <c r="L546" s="7"/>
      <c r="M546" s="7"/>
      <c r="N546" s="7"/>
      <c r="O546" s="7"/>
      <c r="P546" s="239"/>
      <c r="Q546" s="7"/>
      <c r="R546" s="7"/>
      <c r="S546" s="7"/>
      <c r="T546" s="7"/>
      <c r="U546" s="7"/>
      <c r="V546" s="7"/>
      <c r="W546" s="7"/>
      <c r="X546" s="7"/>
      <c r="Y546" s="7"/>
      <c r="Z546" s="708"/>
      <c r="AA546" s="7"/>
      <c r="AB546" s="7"/>
      <c r="AC546" s="7"/>
      <c r="AD546" s="7"/>
      <c r="AE546" s="7"/>
      <c r="AF546" s="7"/>
      <c r="AG546" s="7"/>
      <c r="AH546" s="7"/>
    </row>
    <row r="547" spans="1:34" ht="15.75" customHeight="1">
      <c r="A547" s="686"/>
      <c r="B547" s="687"/>
      <c r="C547" s="243"/>
      <c r="D547" s="244"/>
      <c r="E547" s="688"/>
      <c r="F547" s="244"/>
      <c r="G547" s="688"/>
      <c r="H547" s="688"/>
      <c r="I547" s="239"/>
      <c r="J547" s="239"/>
      <c r="K547" s="688"/>
      <c r="L547" s="7"/>
      <c r="M547" s="7"/>
      <c r="N547" s="7"/>
      <c r="O547" s="7"/>
      <c r="P547" s="239"/>
      <c r="Q547" s="7"/>
      <c r="R547" s="7"/>
      <c r="S547" s="7"/>
      <c r="T547" s="7"/>
      <c r="U547" s="7"/>
      <c r="V547" s="7"/>
      <c r="W547" s="7"/>
      <c r="X547" s="7"/>
      <c r="Y547" s="7"/>
      <c r="Z547" s="708"/>
      <c r="AA547" s="7"/>
      <c r="AB547" s="7"/>
      <c r="AC547" s="7"/>
      <c r="AD547" s="7"/>
      <c r="AE547" s="7"/>
      <c r="AF547" s="7"/>
      <c r="AG547" s="7"/>
      <c r="AH547" s="7"/>
    </row>
    <row r="548" spans="1:34" ht="15.75" customHeight="1">
      <c r="A548" s="686"/>
      <c r="B548" s="687"/>
      <c r="C548" s="243"/>
      <c r="D548" s="244"/>
      <c r="E548" s="688"/>
      <c r="F548" s="244"/>
      <c r="G548" s="688"/>
      <c r="H548" s="688"/>
      <c r="I548" s="239"/>
      <c r="J548" s="239"/>
      <c r="K548" s="688"/>
      <c r="L548" s="7"/>
      <c r="M548" s="7"/>
      <c r="N548" s="7"/>
      <c r="O548" s="7"/>
      <c r="P548" s="239"/>
      <c r="Q548" s="7"/>
      <c r="R548" s="7"/>
      <c r="S548" s="7"/>
      <c r="T548" s="7"/>
      <c r="U548" s="7"/>
      <c r="V548" s="7"/>
      <c r="W548" s="7"/>
      <c r="X548" s="7"/>
      <c r="Y548" s="7"/>
      <c r="Z548" s="708"/>
      <c r="AA548" s="7"/>
      <c r="AB548" s="7"/>
      <c r="AC548" s="7"/>
      <c r="AD548" s="7"/>
      <c r="AE548" s="7"/>
      <c r="AF548" s="7"/>
      <c r="AG548" s="7"/>
      <c r="AH548" s="7"/>
    </row>
    <row r="549" spans="1:34" ht="15.75" customHeight="1">
      <c r="A549" s="686"/>
      <c r="B549" s="687"/>
      <c r="C549" s="243"/>
      <c r="D549" s="244"/>
      <c r="E549" s="688"/>
      <c r="F549" s="244"/>
      <c r="G549" s="688"/>
      <c r="H549" s="688"/>
      <c r="I549" s="239"/>
      <c r="J549" s="239"/>
      <c r="K549" s="688"/>
      <c r="L549" s="7"/>
      <c r="M549" s="7"/>
      <c r="N549" s="7"/>
      <c r="O549" s="7"/>
      <c r="P549" s="239"/>
      <c r="Q549" s="7"/>
      <c r="R549" s="7"/>
      <c r="S549" s="7"/>
      <c r="T549" s="7"/>
      <c r="U549" s="7"/>
      <c r="V549" s="7"/>
      <c r="W549" s="7"/>
      <c r="X549" s="7"/>
      <c r="Y549" s="7"/>
      <c r="Z549" s="708"/>
      <c r="AA549" s="7"/>
      <c r="AB549" s="7"/>
      <c r="AC549" s="7"/>
      <c r="AD549" s="7"/>
      <c r="AE549" s="7"/>
      <c r="AF549" s="7"/>
      <c r="AG549" s="7"/>
      <c r="AH549" s="7"/>
    </row>
    <row r="550" spans="1:34" ht="15.75" customHeight="1">
      <c r="A550" s="686"/>
      <c r="B550" s="687"/>
      <c r="C550" s="243"/>
      <c r="D550" s="244"/>
      <c r="E550" s="688"/>
      <c r="F550" s="244"/>
      <c r="G550" s="688"/>
      <c r="H550" s="688"/>
      <c r="I550" s="239"/>
      <c r="J550" s="239"/>
      <c r="K550" s="688"/>
      <c r="L550" s="7"/>
      <c r="M550" s="7"/>
      <c r="N550" s="7"/>
      <c r="O550" s="7"/>
      <c r="P550" s="239"/>
      <c r="Q550" s="7"/>
      <c r="R550" s="7"/>
      <c r="S550" s="7"/>
      <c r="T550" s="7"/>
      <c r="U550" s="7"/>
      <c r="V550" s="7"/>
      <c r="W550" s="7"/>
      <c r="X550" s="7"/>
      <c r="Y550" s="7"/>
      <c r="Z550" s="708"/>
      <c r="AA550" s="7"/>
      <c r="AB550" s="7"/>
      <c r="AC550" s="7"/>
      <c r="AD550" s="7"/>
      <c r="AE550" s="7"/>
      <c r="AF550" s="7"/>
      <c r="AG550" s="7"/>
      <c r="AH550" s="7"/>
    </row>
    <row r="551" spans="1:34" ht="15.75" customHeight="1">
      <c r="A551" s="686"/>
      <c r="B551" s="687"/>
      <c r="C551" s="243"/>
      <c r="D551" s="244"/>
      <c r="E551" s="688"/>
      <c r="F551" s="244"/>
      <c r="G551" s="688"/>
      <c r="H551" s="688"/>
      <c r="I551" s="239"/>
      <c r="J551" s="239"/>
      <c r="K551" s="688"/>
      <c r="L551" s="7"/>
      <c r="M551" s="7"/>
      <c r="N551" s="7"/>
      <c r="O551" s="7"/>
      <c r="P551" s="239"/>
      <c r="Q551" s="7"/>
      <c r="R551" s="7"/>
      <c r="S551" s="7"/>
      <c r="T551" s="7"/>
      <c r="U551" s="7"/>
      <c r="V551" s="7"/>
      <c r="W551" s="7"/>
      <c r="X551" s="7"/>
      <c r="Y551" s="7"/>
      <c r="Z551" s="708"/>
      <c r="AA551" s="7"/>
      <c r="AB551" s="7"/>
      <c r="AC551" s="7"/>
      <c r="AD551" s="7"/>
      <c r="AE551" s="7"/>
      <c r="AF551" s="7"/>
      <c r="AG551" s="7"/>
      <c r="AH551" s="7"/>
    </row>
    <row r="552" spans="1:34" ht="15.75" customHeight="1">
      <c r="A552" s="686"/>
      <c r="B552" s="687"/>
      <c r="C552" s="243"/>
      <c r="D552" s="244"/>
      <c r="E552" s="688"/>
      <c r="F552" s="244"/>
      <c r="G552" s="688"/>
      <c r="H552" s="688"/>
      <c r="I552" s="239"/>
      <c r="J552" s="239"/>
      <c r="K552" s="688"/>
      <c r="L552" s="7"/>
      <c r="M552" s="7"/>
      <c r="N552" s="7"/>
      <c r="O552" s="7"/>
      <c r="P552" s="239"/>
      <c r="Q552" s="7"/>
      <c r="R552" s="7"/>
      <c r="S552" s="7"/>
      <c r="T552" s="7"/>
      <c r="U552" s="7"/>
      <c r="V552" s="7"/>
      <c r="W552" s="7"/>
      <c r="X552" s="7"/>
      <c r="Y552" s="7"/>
      <c r="Z552" s="708"/>
      <c r="AA552" s="7"/>
      <c r="AB552" s="7"/>
      <c r="AC552" s="7"/>
      <c r="AD552" s="7"/>
      <c r="AE552" s="7"/>
      <c r="AF552" s="7"/>
      <c r="AG552" s="7"/>
      <c r="AH552" s="7"/>
    </row>
    <row r="553" spans="1:34" ht="15.75" customHeight="1">
      <c r="A553" s="686"/>
      <c r="B553" s="687"/>
      <c r="C553" s="243"/>
      <c r="D553" s="244"/>
      <c r="E553" s="688"/>
      <c r="F553" s="244"/>
      <c r="G553" s="688"/>
      <c r="H553" s="688"/>
      <c r="I553" s="239"/>
      <c r="J553" s="239"/>
      <c r="K553" s="688"/>
      <c r="L553" s="7"/>
      <c r="M553" s="7"/>
      <c r="N553" s="7"/>
      <c r="O553" s="7"/>
      <c r="P553" s="239"/>
      <c r="Q553" s="7"/>
      <c r="R553" s="7"/>
      <c r="S553" s="7"/>
      <c r="T553" s="7"/>
      <c r="U553" s="7"/>
      <c r="V553" s="7"/>
      <c r="W553" s="7"/>
      <c r="X553" s="7"/>
      <c r="Y553" s="7"/>
      <c r="Z553" s="708"/>
      <c r="AA553" s="7"/>
      <c r="AB553" s="7"/>
      <c r="AC553" s="7"/>
      <c r="AD553" s="7"/>
      <c r="AE553" s="7"/>
      <c r="AF553" s="7"/>
      <c r="AG553" s="7"/>
      <c r="AH553" s="7"/>
    </row>
    <row r="554" spans="1:34" ht="15.75" customHeight="1">
      <c r="A554" s="686"/>
      <c r="B554" s="687"/>
      <c r="C554" s="243"/>
      <c r="D554" s="244"/>
      <c r="E554" s="688"/>
      <c r="F554" s="244"/>
      <c r="G554" s="688"/>
      <c r="H554" s="688"/>
      <c r="I554" s="239"/>
      <c r="J554" s="239"/>
      <c r="K554" s="688"/>
      <c r="L554" s="7"/>
      <c r="M554" s="7"/>
      <c r="N554" s="7"/>
      <c r="O554" s="7"/>
      <c r="P554" s="239"/>
      <c r="Q554" s="7"/>
      <c r="R554" s="7"/>
      <c r="S554" s="7"/>
      <c r="T554" s="7"/>
      <c r="U554" s="7"/>
      <c r="V554" s="7"/>
      <c r="W554" s="7"/>
      <c r="X554" s="7"/>
      <c r="Y554" s="7"/>
      <c r="Z554" s="708"/>
      <c r="AA554" s="7"/>
      <c r="AB554" s="7"/>
      <c r="AC554" s="7"/>
      <c r="AD554" s="7"/>
      <c r="AE554" s="7"/>
      <c r="AF554" s="7"/>
      <c r="AG554" s="7"/>
      <c r="AH554" s="7"/>
    </row>
    <row r="555" spans="1:34" ht="15.75" customHeight="1">
      <c r="A555" s="686"/>
      <c r="B555" s="687"/>
      <c r="C555" s="243"/>
      <c r="D555" s="244"/>
      <c r="E555" s="688"/>
      <c r="F555" s="244"/>
      <c r="G555" s="688"/>
      <c r="H555" s="688"/>
      <c r="I555" s="239"/>
      <c r="J555" s="239"/>
      <c r="K555" s="688"/>
      <c r="L555" s="7"/>
      <c r="M555" s="7"/>
      <c r="N555" s="7"/>
      <c r="O555" s="7"/>
      <c r="P555" s="239"/>
      <c r="Q555" s="7"/>
      <c r="R555" s="7"/>
      <c r="S555" s="7"/>
      <c r="T555" s="7"/>
      <c r="U555" s="7"/>
      <c r="V555" s="7"/>
      <c r="W555" s="7"/>
      <c r="X555" s="7"/>
      <c r="Y555" s="7"/>
      <c r="Z555" s="708"/>
      <c r="AA555" s="7"/>
      <c r="AB555" s="7"/>
      <c r="AC555" s="7"/>
      <c r="AD555" s="7"/>
      <c r="AE555" s="7"/>
      <c r="AF555" s="7"/>
      <c r="AG555" s="7"/>
      <c r="AH555" s="7"/>
    </row>
    <row r="556" spans="1:34" ht="15.75" customHeight="1">
      <c r="A556" s="686"/>
      <c r="B556" s="687"/>
      <c r="C556" s="243"/>
      <c r="D556" s="244"/>
      <c r="E556" s="688"/>
      <c r="F556" s="244"/>
      <c r="G556" s="688"/>
      <c r="H556" s="688"/>
      <c r="I556" s="239"/>
      <c r="J556" s="239"/>
      <c r="K556" s="688"/>
      <c r="L556" s="7"/>
      <c r="M556" s="7"/>
      <c r="N556" s="7"/>
      <c r="O556" s="7"/>
      <c r="P556" s="239"/>
      <c r="Q556" s="7"/>
      <c r="R556" s="7"/>
      <c r="S556" s="7"/>
      <c r="T556" s="7"/>
      <c r="U556" s="7"/>
      <c r="V556" s="7"/>
      <c r="W556" s="7"/>
      <c r="X556" s="7"/>
      <c r="Y556" s="7"/>
      <c r="Z556" s="708"/>
      <c r="AA556" s="7"/>
      <c r="AB556" s="7"/>
      <c r="AC556" s="7"/>
      <c r="AD556" s="7"/>
      <c r="AE556" s="7"/>
      <c r="AF556" s="7"/>
      <c r="AG556" s="7"/>
      <c r="AH556" s="7"/>
    </row>
    <row r="557" spans="1:34" ht="15.75" customHeight="1">
      <c r="A557" s="686"/>
      <c r="B557" s="687"/>
      <c r="C557" s="243"/>
      <c r="D557" s="244"/>
      <c r="E557" s="688"/>
      <c r="F557" s="244"/>
      <c r="G557" s="688"/>
      <c r="H557" s="688"/>
      <c r="I557" s="239"/>
      <c r="J557" s="239"/>
      <c r="K557" s="688"/>
      <c r="L557" s="7"/>
      <c r="M557" s="7"/>
      <c r="N557" s="7"/>
      <c r="O557" s="7"/>
      <c r="P557" s="239"/>
      <c r="Q557" s="7"/>
      <c r="R557" s="7"/>
      <c r="S557" s="7"/>
      <c r="T557" s="7"/>
      <c r="U557" s="7"/>
      <c r="V557" s="7"/>
      <c r="W557" s="7"/>
      <c r="X557" s="7"/>
      <c r="Y557" s="7"/>
      <c r="Z557" s="708"/>
      <c r="AA557" s="7"/>
      <c r="AB557" s="7"/>
      <c r="AC557" s="7"/>
      <c r="AD557" s="7"/>
      <c r="AE557" s="7"/>
      <c r="AF557" s="7"/>
      <c r="AG557" s="7"/>
      <c r="AH557" s="7"/>
    </row>
    <row r="558" spans="1:34" ht="15.75" customHeight="1">
      <c r="A558" s="686"/>
      <c r="B558" s="687"/>
      <c r="C558" s="243"/>
      <c r="D558" s="244"/>
      <c r="E558" s="688"/>
      <c r="F558" s="244"/>
      <c r="G558" s="688"/>
      <c r="H558" s="688"/>
      <c r="I558" s="239"/>
      <c r="J558" s="239"/>
      <c r="K558" s="688"/>
      <c r="L558" s="7"/>
      <c r="M558" s="7"/>
      <c r="N558" s="7"/>
      <c r="O558" s="7"/>
      <c r="P558" s="239"/>
      <c r="Q558" s="7"/>
      <c r="R558" s="7"/>
      <c r="S558" s="7"/>
      <c r="T558" s="7"/>
      <c r="U558" s="7"/>
      <c r="V558" s="7"/>
      <c r="W558" s="7"/>
      <c r="X558" s="7"/>
      <c r="Y558" s="7"/>
      <c r="Z558" s="708"/>
      <c r="AA558" s="7"/>
      <c r="AB558" s="7"/>
      <c r="AC558" s="7"/>
      <c r="AD558" s="7"/>
      <c r="AE558" s="7"/>
      <c r="AF558" s="7"/>
      <c r="AG558" s="7"/>
      <c r="AH558" s="7"/>
    </row>
    <row r="559" spans="1:34" ht="15.75" customHeight="1">
      <c r="A559" s="686"/>
      <c r="B559" s="687"/>
      <c r="C559" s="243"/>
      <c r="D559" s="244"/>
      <c r="E559" s="688"/>
      <c r="F559" s="244"/>
      <c r="G559" s="688"/>
      <c r="H559" s="688"/>
      <c r="I559" s="239"/>
      <c r="J559" s="239"/>
      <c r="K559" s="688"/>
      <c r="L559" s="7"/>
      <c r="M559" s="7"/>
      <c r="N559" s="7"/>
      <c r="O559" s="7"/>
      <c r="P559" s="239"/>
      <c r="Q559" s="7"/>
      <c r="R559" s="7"/>
      <c r="S559" s="7"/>
      <c r="T559" s="7"/>
      <c r="U559" s="7"/>
      <c r="V559" s="7"/>
      <c r="W559" s="7"/>
      <c r="X559" s="7"/>
      <c r="Y559" s="7"/>
      <c r="Z559" s="708"/>
      <c r="AA559" s="7"/>
      <c r="AB559" s="7"/>
      <c r="AC559" s="7"/>
      <c r="AD559" s="7"/>
      <c r="AE559" s="7"/>
      <c r="AF559" s="7"/>
      <c r="AG559" s="7"/>
      <c r="AH559" s="7"/>
    </row>
    <row r="560" spans="1:34" ht="15.75" customHeight="1">
      <c r="A560" s="686"/>
      <c r="B560" s="687"/>
      <c r="C560" s="243"/>
      <c r="D560" s="244"/>
      <c r="E560" s="688"/>
      <c r="F560" s="244"/>
      <c r="G560" s="688"/>
      <c r="H560" s="688"/>
      <c r="I560" s="239"/>
      <c r="J560" s="239"/>
      <c r="K560" s="688"/>
      <c r="L560" s="7"/>
      <c r="M560" s="7"/>
      <c r="N560" s="7"/>
      <c r="O560" s="7"/>
      <c r="P560" s="239"/>
      <c r="Q560" s="7"/>
      <c r="R560" s="7"/>
      <c r="S560" s="7"/>
      <c r="T560" s="7"/>
      <c r="U560" s="7"/>
      <c r="V560" s="7"/>
      <c r="W560" s="7"/>
      <c r="X560" s="7"/>
      <c r="Y560" s="7"/>
      <c r="Z560" s="708"/>
      <c r="AA560" s="7"/>
      <c r="AB560" s="7"/>
      <c r="AC560" s="7"/>
      <c r="AD560" s="7"/>
      <c r="AE560" s="7"/>
      <c r="AF560" s="7"/>
      <c r="AG560" s="7"/>
      <c r="AH560" s="7"/>
    </row>
    <row r="561" spans="1:34" ht="15.75" customHeight="1">
      <c r="A561" s="686"/>
      <c r="B561" s="687"/>
      <c r="C561" s="243"/>
      <c r="D561" s="244"/>
      <c r="E561" s="688"/>
      <c r="F561" s="244"/>
      <c r="G561" s="688"/>
      <c r="H561" s="688"/>
      <c r="I561" s="239"/>
      <c r="J561" s="239"/>
      <c r="K561" s="688"/>
      <c r="L561" s="7"/>
      <c r="M561" s="7"/>
      <c r="N561" s="7"/>
      <c r="O561" s="7"/>
      <c r="P561" s="239"/>
      <c r="Q561" s="7"/>
      <c r="R561" s="7"/>
      <c r="S561" s="7"/>
      <c r="T561" s="7"/>
      <c r="U561" s="7"/>
      <c r="V561" s="7"/>
      <c r="W561" s="7"/>
      <c r="X561" s="7"/>
      <c r="Y561" s="7"/>
      <c r="Z561" s="708"/>
      <c r="AA561" s="7"/>
      <c r="AB561" s="7"/>
      <c r="AC561" s="7"/>
      <c r="AD561" s="7"/>
      <c r="AE561" s="7"/>
      <c r="AF561" s="7"/>
      <c r="AG561" s="7"/>
      <c r="AH561" s="7"/>
    </row>
    <row r="562" spans="1:34" ht="15.75" customHeight="1">
      <c r="A562" s="686"/>
      <c r="B562" s="687"/>
      <c r="C562" s="243"/>
      <c r="D562" s="244"/>
      <c r="E562" s="688"/>
      <c r="F562" s="244"/>
      <c r="G562" s="688"/>
      <c r="H562" s="688"/>
      <c r="I562" s="239"/>
      <c r="J562" s="239"/>
      <c r="K562" s="688"/>
      <c r="L562" s="7"/>
      <c r="M562" s="7"/>
      <c r="N562" s="7"/>
      <c r="O562" s="7"/>
      <c r="P562" s="239"/>
      <c r="Q562" s="7"/>
      <c r="R562" s="7"/>
      <c r="S562" s="7"/>
      <c r="T562" s="7"/>
      <c r="U562" s="7"/>
      <c r="V562" s="7"/>
      <c r="W562" s="7"/>
      <c r="X562" s="7"/>
      <c r="Y562" s="7"/>
      <c r="Z562" s="708"/>
      <c r="AA562" s="7"/>
      <c r="AB562" s="7"/>
      <c r="AC562" s="7"/>
      <c r="AD562" s="7"/>
      <c r="AE562" s="7"/>
      <c r="AF562" s="7"/>
      <c r="AG562" s="7"/>
      <c r="AH562" s="7"/>
    </row>
    <row r="563" spans="1:34" ht="15.75" customHeight="1">
      <c r="A563" s="686"/>
      <c r="B563" s="687"/>
      <c r="C563" s="243"/>
      <c r="D563" s="244"/>
      <c r="E563" s="688"/>
      <c r="F563" s="244"/>
      <c r="G563" s="688"/>
      <c r="H563" s="688"/>
      <c r="I563" s="239"/>
      <c r="J563" s="239"/>
      <c r="K563" s="688"/>
      <c r="L563" s="7"/>
      <c r="M563" s="7"/>
      <c r="N563" s="7"/>
      <c r="O563" s="7"/>
      <c r="P563" s="239"/>
      <c r="Q563" s="7"/>
      <c r="R563" s="7"/>
      <c r="S563" s="7"/>
      <c r="T563" s="7"/>
      <c r="U563" s="7"/>
      <c r="V563" s="7"/>
      <c r="W563" s="7"/>
      <c r="X563" s="7"/>
      <c r="Y563" s="7"/>
      <c r="Z563" s="708"/>
      <c r="AA563" s="7"/>
      <c r="AB563" s="7"/>
      <c r="AC563" s="7"/>
      <c r="AD563" s="7"/>
      <c r="AE563" s="7"/>
      <c r="AF563" s="7"/>
      <c r="AG563" s="7"/>
      <c r="AH563" s="7"/>
    </row>
    <row r="564" spans="1:34" ht="15.75" customHeight="1">
      <c r="A564" s="686"/>
      <c r="B564" s="687"/>
      <c r="C564" s="243"/>
      <c r="D564" s="244"/>
      <c r="E564" s="688"/>
      <c r="F564" s="244"/>
      <c r="G564" s="688"/>
      <c r="H564" s="688"/>
      <c r="I564" s="239"/>
      <c r="J564" s="239"/>
      <c r="K564" s="688"/>
      <c r="L564" s="7"/>
      <c r="M564" s="7"/>
      <c r="N564" s="7"/>
      <c r="O564" s="7"/>
      <c r="P564" s="239"/>
      <c r="Q564" s="7"/>
      <c r="R564" s="7"/>
      <c r="S564" s="7"/>
      <c r="T564" s="7"/>
      <c r="U564" s="7"/>
      <c r="V564" s="7"/>
      <c r="W564" s="7"/>
      <c r="X564" s="7"/>
      <c r="Y564" s="7"/>
      <c r="Z564" s="708"/>
      <c r="AA564" s="7"/>
      <c r="AB564" s="7"/>
      <c r="AC564" s="7"/>
      <c r="AD564" s="7"/>
      <c r="AE564" s="7"/>
      <c r="AF564" s="7"/>
      <c r="AG564" s="7"/>
      <c r="AH564" s="7"/>
    </row>
    <row r="565" spans="1:34" ht="15.75" customHeight="1">
      <c r="A565" s="686"/>
      <c r="B565" s="687"/>
      <c r="C565" s="243"/>
      <c r="D565" s="244"/>
      <c r="E565" s="688"/>
      <c r="F565" s="244"/>
      <c r="G565" s="688"/>
      <c r="H565" s="688"/>
      <c r="I565" s="239"/>
      <c r="J565" s="239"/>
      <c r="K565" s="688"/>
      <c r="L565" s="7"/>
      <c r="M565" s="7"/>
      <c r="N565" s="7"/>
      <c r="O565" s="7"/>
      <c r="P565" s="239"/>
      <c r="Q565" s="7"/>
      <c r="R565" s="7"/>
      <c r="S565" s="7"/>
      <c r="T565" s="7"/>
      <c r="U565" s="7"/>
      <c r="V565" s="7"/>
      <c r="W565" s="7"/>
      <c r="X565" s="7"/>
      <c r="Y565" s="7"/>
      <c r="Z565" s="708"/>
      <c r="AA565" s="7"/>
      <c r="AB565" s="7"/>
      <c r="AC565" s="7"/>
      <c r="AD565" s="7"/>
      <c r="AE565" s="7"/>
      <c r="AF565" s="7"/>
      <c r="AG565" s="7"/>
      <c r="AH565" s="7"/>
    </row>
    <row r="566" spans="1:34" ht="15.75" customHeight="1">
      <c r="A566" s="686"/>
      <c r="B566" s="687"/>
      <c r="C566" s="243"/>
      <c r="D566" s="244"/>
      <c r="E566" s="688"/>
      <c r="F566" s="244"/>
      <c r="G566" s="688"/>
      <c r="H566" s="688"/>
      <c r="I566" s="239"/>
      <c r="J566" s="239"/>
      <c r="K566" s="688"/>
      <c r="L566" s="7"/>
      <c r="M566" s="7"/>
      <c r="N566" s="7"/>
      <c r="O566" s="7"/>
      <c r="P566" s="239"/>
      <c r="Q566" s="7"/>
      <c r="R566" s="7"/>
      <c r="S566" s="7"/>
      <c r="T566" s="7"/>
      <c r="U566" s="7"/>
      <c r="V566" s="7"/>
      <c r="W566" s="7"/>
      <c r="X566" s="7"/>
      <c r="Y566" s="7"/>
      <c r="Z566" s="708"/>
      <c r="AA566" s="7"/>
      <c r="AB566" s="7"/>
      <c r="AC566" s="7"/>
      <c r="AD566" s="7"/>
      <c r="AE566" s="7"/>
      <c r="AF566" s="7"/>
      <c r="AG566" s="7"/>
      <c r="AH566" s="7"/>
    </row>
    <row r="567" spans="1:34" ht="15.75" customHeight="1">
      <c r="A567" s="686"/>
      <c r="B567" s="687"/>
      <c r="C567" s="243"/>
      <c r="D567" s="244"/>
      <c r="E567" s="688"/>
      <c r="F567" s="244"/>
      <c r="G567" s="688"/>
      <c r="H567" s="688"/>
      <c r="I567" s="239"/>
      <c r="J567" s="239"/>
      <c r="K567" s="688"/>
      <c r="L567" s="7"/>
      <c r="M567" s="7"/>
      <c r="N567" s="7"/>
      <c r="O567" s="7"/>
      <c r="P567" s="239"/>
      <c r="Q567" s="7"/>
      <c r="R567" s="7"/>
      <c r="S567" s="7"/>
      <c r="T567" s="7"/>
      <c r="U567" s="7"/>
      <c r="V567" s="7"/>
      <c r="W567" s="7"/>
      <c r="X567" s="7"/>
      <c r="Y567" s="7"/>
      <c r="Z567" s="708"/>
      <c r="AA567" s="7"/>
      <c r="AB567" s="7"/>
      <c r="AC567" s="7"/>
      <c r="AD567" s="7"/>
      <c r="AE567" s="7"/>
      <c r="AF567" s="7"/>
      <c r="AG567" s="7"/>
      <c r="AH567" s="7"/>
    </row>
    <row r="568" spans="1:34" ht="15.75" customHeight="1">
      <c r="A568" s="686"/>
      <c r="B568" s="687"/>
      <c r="C568" s="243"/>
      <c r="D568" s="244"/>
      <c r="E568" s="688"/>
      <c r="F568" s="244"/>
      <c r="G568" s="688"/>
      <c r="H568" s="688"/>
      <c r="I568" s="239"/>
      <c r="J568" s="239"/>
      <c r="K568" s="688"/>
      <c r="L568" s="7"/>
      <c r="M568" s="7"/>
      <c r="N568" s="7"/>
      <c r="O568" s="7"/>
      <c r="P568" s="239"/>
      <c r="Q568" s="7"/>
      <c r="R568" s="7"/>
      <c r="S568" s="7"/>
      <c r="T568" s="7"/>
      <c r="U568" s="7"/>
      <c r="V568" s="7"/>
      <c r="W568" s="7"/>
      <c r="X568" s="7"/>
      <c r="Y568" s="7"/>
      <c r="Z568" s="708"/>
      <c r="AA568" s="7"/>
      <c r="AB568" s="7"/>
      <c r="AC568" s="7"/>
      <c r="AD568" s="7"/>
      <c r="AE568" s="7"/>
      <c r="AF568" s="7"/>
      <c r="AG568" s="7"/>
      <c r="AH568" s="7"/>
    </row>
    <row r="569" spans="1:34" ht="15.75" customHeight="1">
      <c r="A569" s="686"/>
      <c r="B569" s="687"/>
      <c r="C569" s="243"/>
      <c r="D569" s="244"/>
      <c r="E569" s="688"/>
      <c r="F569" s="244"/>
      <c r="G569" s="688"/>
      <c r="H569" s="688"/>
      <c r="I569" s="239"/>
      <c r="J569" s="239"/>
      <c r="K569" s="688"/>
      <c r="L569" s="7"/>
      <c r="M569" s="7"/>
      <c r="N569" s="7"/>
      <c r="O569" s="7"/>
      <c r="P569" s="239"/>
      <c r="Q569" s="7"/>
      <c r="R569" s="7"/>
      <c r="S569" s="7"/>
      <c r="T569" s="7"/>
      <c r="U569" s="7"/>
      <c r="V569" s="7"/>
      <c r="W569" s="7"/>
      <c r="X569" s="7"/>
      <c r="Y569" s="7"/>
      <c r="Z569" s="708"/>
      <c r="AA569" s="7"/>
      <c r="AB569" s="7"/>
      <c r="AC569" s="7"/>
      <c r="AD569" s="7"/>
      <c r="AE569" s="7"/>
      <c r="AF569" s="7"/>
      <c r="AG569" s="7"/>
      <c r="AH569" s="7"/>
    </row>
    <row r="570" spans="1:34" ht="15.75" customHeight="1">
      <c r="A570" s="686"/>
      <c r="B570" s="687"/>
      <c r="C570" s="243"/>
      <c r="D570" s="244"/>
      <c r="E570" s="688"/>
      <c r="F570" s="244"/>
      <c r="G570" s="688"/>
      <c r="H570" s="688"/>
      <c r="I570" s="239"/>
      <c r="J570" s="239"/>
      <c r="K570" s="688"/>
      <c r="L570" s="7"/>
      <c r="M570" s="7"/>
      <c r="N570" s="7"/>
      <c r="O570" s="7"/>
      <c r="P570" s="239"/>
      <c r="Q570" s="7"/>
      <c r="R570" s="7"/>
      <c r="S570" s="7"/>
      <c r="T570" s="7"/>
      <c r="U570" s="7"/>
      <c r="V570" s="7"/>
      <c r="W570" s="7"/>
      <c r="X570" s="7"/>
      <c r="Y570" s="7"/>
      <c r="Z570" s="708"/>
      <c r="AA570" s="7"/>
      <c r="AB570" s="7"/>
      <c r="AC570" s="7"/>
      <c r="AD570" s="7"/>
      <c r="AE570" s="7"/>
      <c r="AF570" s="7"/>
      <c r="AG570" s="7"/>
      <c r="AH570" s="7"/>
    </row>
    <row r="571" spans="1:34" ht="15.75" customHeight="1">
      <c r="A571" s="686"/>
      <c r="B571" s="687"/>
      <c r="C571" s="243"/>
      <c r="D571" s="244"/>
      <c r="E571" s="688"/>
      <c r="F571" s="244"/>
      <c r="G571" s="688"/>
      <c r="H571" s="688"/>
      <c r="I571" s="239"/>
      <c r="J571" s="239"/>
      <c r="K571" s="688"/>
      <c r="L571" s="7"/>
      <c r="M571" s="7"/>
      <c r="N571" s="7"/>
      <c r="O571" s="7"/>
      <c r="P571" s="239"/>
      <c r="Q571" s="7"/>
      <c r="R571" s="7"/>
      <c r="S571" s="7"/>
      <c r="T571" s="7"/>
      <c r="U571" s="7"/>
      <c r="V571" s="7"/>
      <c r="W571" s="7"/>
      <c r="X571" s="7"/>
      <c r="Y571" s="7"/>
      <c r="Z571" s="708"/>
      <c r="AA571" s="7"/>
      <c r="AB571" s="7"/>
      <c r="AC571" s="7"/>
      <c r="AD571" s="7"/>
      <c r="AE571" s="7"/>
      <c r="AF571" s="7"/>
      <c r="AG571" s="7"/>
      <c r="AH571" s="7"/>
    </row>
    <row r="572" spans="1:34" ht="15.75" customHeight="1">
      <c r="A572" s="686"/>
      <c r="B572" s="687"/>
      <c r="C572" s="243"/>
      <c r="D572" s="244"/>
      <c r="E572" s="688"/>
      <c r="F572" s="244"/>
      <c r="G572" s="688"/>
      <c r="H572" s="688"/>
      <c r="I572" s="239"/>
      <c r="J572" s="239"/>
      <c r="K572" s="688"/>
      <c r="L572" s="7"/>
      <c r="M572" s="7"/>
      <c r="N572" s="7"/>
      <c r="O572" s="7"/>
      <c r="P572" s="239"/>
      <c r="Q572" s="7"/>
      <c r="R572" s="7"/>
      <c r="S572" s="7"/>
      <c r="T572" s="7"/>
      <c r="U572" s="7"/>
      <c r="V572" s="7"/>
      <c r="W572" s="7"/>
      <c r="X572" s="7"/>
      <c r="Y572" s="7"/>
      <c r="Z572" s="708"/>
      <c r="AA572" s="7"/>
      <c r="AB572" s="7"/>
      <c r="AC572" s="7"/>
      <c r="AD572" s="7"/>
      <c r="AE572" s="7"/>
      <c r="AF572" s="7"/>
      <c r="AG572" s="7"/>
      <c r="AH572" s="7"/>
    </row>
    <row r="573" spans="1:34" ht="15.75" customHeight="1">
      <c r="A573" s="686"/>
      <c r="B573" s="687"/>
      <c r="C573" s="243"/>
      <c r="D573" s="244"/>
      <c r="E573" s="688"/>
      <c r="F573" s="244"/>
      <c r="G573" s="688"/>
      <c r="H573" s="688"/>
      <c r="I573" s="239"/>
      <c r="J573" s="239"/>
      <c r="K573" s="688"/>
      <c r="L573" s="7"/>
      <c r="M573" s="7"/>
      <c r="N573" s="7"/>
      <c r="O573" s="7"/>
      <c r="P573" s="239"/>
      <c r="Q573" s="7"/>
      <c r="R573" s="7"/>
      <c r="S573" s="7"/>
      <c r="T573" s="7"/>
      <c r="U573" s="7"/>
      <c r="V573" s="7"/>
      <c r="W573" s="7"/>
      <c r="X573" s="7"/>
      <c r="Y573" s="7"/>
      <c r="Z573" s="708"/>
      <c r="AA573" s="7"/>
      <c r="AB573" s="7"/>
      <c r="AC573" s="7"/>
      <c r="AD573" s="7"/>
      <c r="AE573" s="7"/>
      <c r="AF573" s="7"/>
      <c r="AG573" s="7"/>
      <c r="AH573" s="7"/>
    </row>
    <row r="574" spans="1:34" ht="15.75" customHeight="1">
      <c r="A574" s="686"/>
      <c r="B574" s="687"/>
      <c r="C574" s="243"/>
      <c r="D574" s="244"/>
      <c r="E574" s="688"/>
      <c r="F574" s="244"/>
      <c r="G574" s="688"/>
      <c r="H574" s="688"/>
      <c r="I574" s="239"/>
      <c r="J574" s="239"/>
      <c r="K574" s="688"/>
      <c r="L574" s="7"/>
      <c r="M574" s="7"/>
      <c r="N574" s="7"/>
      <c r="O574" s="7"/>
      <c r="P574" s="239"/>
      <c r="Q574" s="7"/>
      <c r="R574" s="7"/>
      <c r="S574" s="7"/>
      <c r="T574" s="7"/>
      <c r="U574" s="7"/>
      <c r="V574" s="7"/>
      <c r="W574" s="7"/>
      <c r="X574" s="7"/>
      <c r="Y574" s="7"/>
      <c r="Z574" s="708"/>
      <c r="AA574" s="7"/>
      <c r="AB574" s="7"/>
      <c r="AC574" s="7"/>
      <c r="AD574" s="7"/>
      <c r="AE574" s="7"/>
      <c r="AF574" s="7"/>
      <c r="AG574" s="7"/>
      <c r="AH574" s="7"/>
    </row>
    <row r="575" spans="1:34" ht="15.75" customHeight="1">
      <c r="A575" s="686"/>
      <c r="B575" s="687"/>
      <c r="C575" s="243"/>
      <c r="D575" s="244"/>
      <c r="E575" s="688"/>
      <c r="F575" s="244"/>
      <c r="G575" s="688"/>
      <c r="H575" s="688"/>
      <c r="I575" s="239"/>
      <c r="J575" s="239"/>
      <c r="K575" s="688"/>
      <c r="L575" s="7"/>
      <c r="M575" s="7"/>
      <c r="N575" s="7"/>
      <c r="O575" s="7"/>
      <c r="P575" s="239"/>
      <c r="Q575" s="7"/>
      <c r="R575" s="7"/>
      <c r="S575" s="7"/>
      <c r="T575" s="7"/>
      <c r="U575" s="7"/>
      <c r="V575" s="7"/>
      <c r="W575" s="7"/>
      <c r="X575" s="7"/>
      <c r="Y575" s="7"/>
      <c r="Z575" s="708"/>
      <c r="AA575" s="7"/>
      <c r="AB575" s="7"/>
      <c r="AC575" s="7"/>
      <c r="AD575" s="7"/>
      <c r="AE575" s="7"/>
      <c r="AF575" s="7"/>
      <c r="AG575" s="7"/>
      <c r="AH575" s="7"/>
    </row>
    <row r="576" spans="1:34" ht="15.75" customHeight="1">
      <c r="A576" s="686"/>
      <c r="B576" s="687"/>
      <c r="C576" s="243"/>
      <c r="D576" s="244"/>
      <c r="E576" s="688"/>
      <c r="F576" s="244"/>
      <c r="G576" s="688"/>
      <c r="H576" s="688"/>
      <c r="I576" s="239"/>
      <c r="J576" s="239"/>
      <c r="K576" s="688"/>
      <c r="L576" s="7"/>
      <c r="M576" s="7"/>
      <c r="N576" s="7"/>
      <c r="O576" s="7"/>
      <c r="P576" s="239"/>
      <c r="Q576" s="7"/>
      <c r="R576" s="7"/>
      <c r="S576" s="7"/>
      <c r="T576" s="7"/>
      <c r="U576" s="7"/>
      <c r="V576" s="7"/>
      <c r="W576" s="7"/>
      <c r="X576" s="7"/>
      <c r="Y576" s="7"/>
      <c r="Z576" s="708"/>
      <c r="AA576" s="7"/>
      <c r="AB576" s="7"/>
      <c r="AC576" s="7"/>
      <c r="AD576" s="7"/>
      <c r="AE576" s="7"/>
      <c r="AF576" s="7"/>
      <c r="AG576" s="7"/>
      <c r="AH576" s="7"/>
    </row>
    <row r="577" spans="1:34" ht="15.75" customHeight="1">
      <c r="A577" s="686"/>
      <c r="B577" s="687"/>
      <c r="C577" s="243"/>
      <c r="D577" s="244"/>
      <c r="E577" s="688"/>
      <c r="F577" s="244"/>
      <c r="G577" s="688"/>
      <c r="H577" s="688"/>
      <c r="I577" s="239"/>
      <c r="J577" s="239"/>
      <c r="K577" s="688"/>
      <c r="L577" s="7"/>
      <c r="M577" s="7"/>
      <c r="N577" s="7"/>
      <c r="O577" s="7"/>
      <c r="P577" s="239"/>
      <c r="Q577" s="7"/>
      <c r="R577" s="7"/>
      <c r="S577" s="7"/>
      <c r="T577" s="7"/>
      <c r="U577" s="7"/>
      <c r="V577" s="7"/>
      <c r="W577" s="7"/>
      <c r="X577" s="7"/>
      <c r="Y577" s="7"/>
      <c r="Z577" s="708"/>
      <c r="AA577" s="7"/>
      <c r="AB577" s="7"/>
      <c r="AC577" s="7"/>
      <c r="AD577" s="7"/>
      <c r="AE577" s="7"/>
      <c r="AF577" s="7"/>
      <c r="AG577" s="7"/>
      <c r="AH577" s="7"/>
    </row>
    <row r="578" spans="1:34" ht="15.75" customHeight="1">
      <c r="A578" s="686"/>
      <c r="B578" s="687"/>
      <c r="C578" s="243"/>
      <c r="D578" s="244"/>
      <c r="E578" s="688"/>
      <c r="F578" s="244"/>
      <c r="G578" s="688"/>
      <c r="H578" s="688"/>
      <c r="I578" s="239"/>
      <c r="J578" s="239"/>
      <c r="K578" s="688"/>
      <c r="L578" s="7"/>
      <c r="M578" s="7"/>
      <c r="N578" s="7"/>
      <c r="O578" s="7"/>
      <c r="P578" s="239"/>
      <c r="Q578" s="7"/>
      <c r="R578" s="7"/>
      <c r="S578" s="7"/>
      <c r="T578" s="7"/>
      <c r="U578" s="7"/>
      <c r="V578" s="7"/>
      <c r="W578" s="7"/>
      <c r="X578" s="7"/>
      <c r="Y578" s="7"/>
      <c r="Z578" s="708"/>
      <c r="AA578" s="7"/>
      <c r="AB578" s="7"/>
      <c r="AC578" s="7"/>
      <c r="AD578" s="7"/>
      <c r="AE578" s="7"/>
      <c r="AF578" s="7"/>
      <c r="AG578" s="7"/>
      <c r="AH578" s="7"/>
    </row>
    <row r="579" spans="1:34" ht="15.75" customHeight="1">
      <c r="A579" s="686"/>
      <c r="B579" s="687"/>
      <c r="C579" s="243"/>
      <c r="D579" s="244"/>
      <c r="E579" s="688"/>
      <c r="F579" s="244"/>
      <c r="G579" s="688"/>
      <c r="H579" s="688"/>
      <c r="I579" s="239"/>
      <c r="J579" s="239"/>
      <c r="K579" s="688"/>
      <c r="L579" s="7"/>
      <c r="M579" s="7"/>
      <c r="N579" s="7"/>
      <c r="O579" s="7"/>
      <c r="P579" s="239"/>
      <c r="Q579" s="7"/>
      <c r="R579" s="7"/>
      <c r="S579" s="7"/>
      <c r="T579" s="7"/>
      <c r="U579" s="7"/>
      <c r="V579" s="7"/>
      <c r="W579" s="7"/>
      <c r="X579" s="7"/>
      <c r="Y579" s="7"/>
      <c r="Z579" s="708"/>
      <c r="AA579" s="7"/>
      <c r="AB579" s="7"/>
      <c r="AC579" s="7"/>
      <c r="AD579" s="7"/>
      <c r="AE579" s="7"/>
      <c r="AF579" s="7"/>
      <c r="AG579" s="7"/>
      <c r="AH579" s="7"/>
    </row>
    <row r="580" spans="1:34" ht="15.75" customHeight="1">
      <c r="A580" s="686"/>
      <c r="B580" s="687"/>
      <c r="C580" s="243"/>
      <c r="D580" s="244"/>
      <c r="E580" s="688"/>
      <c r="F580" s="244"/>
      <c r="G580" s="688"/>
      <c r="H580" s="688"/>
      <c r="I580" s="239"/>
      <c r="J580" s="239"/>
      <c r="K580" s="688"/>
      <c r="L580" s="7"/>
      <c r="M580" s="7"/>
      <c r="N580" s="7"/>
      <c r="O580" s="7"/>
      <c r="P580" s="239"/>
      <c r="Q580" s="7"/>
      <c r="R580" s="7"/>
      <c r="S580" s="7"/>
      <c r="T580" s="7"/>
      <c r="U580" s="7"/>
      <c r="V580" s="7"/>
      <c r="W580" s="7"/>
      <c r="X580" s="7"/>
      <c r="Y580" s="7"/>
      <c r="Z580" s="708"/>
      <c r="AA580" s="7"/>
      <c r="AB580" s="7"/>
      <c r="AC580" s="7"/>
      <c r="AD580" s="7"/>
      <c r="AE580" s="7"/>
      <c r="AF580" s="7"/>
      <c r="AG580" s="7"/>
      <c r="AH580" s="7"/>
    </row>
    <row r="581" spans="1:34" ht="15.75" customHeight="1">
      <c r="A581" s="686"/>
      <c r="B581" s="687"/>
      <c r="C581" s="243"/>
      <c r="D581" s="244"/>
      <c r="E581" s="688"/>
      <c r="F581" s="244"/>
      <c r="G581" s="688"/>
      <c r="H581" s="688"/>
      <c r="I581" s="239"/>
      <c r="J581" s="239"/>
      <c r="K581" s="688"/>
      <c r="L581" s="7"/>
      <c r="M581" s="7"/>
      <c r="N581" s="7"/>
      <c r="O581" s="7"/>
      <c r="P581" s="239"/>
      <c r="Q581" s="7"/>
      <c r="R581" s="7"/>
      <c r="S581" s="7"/>
      <c r="T581" s="7"/>
      <c r="U581" s="7"/>
      <c r="V581" s="7"/>
      <c r="W581" s="7"/>
      <c r="X581" s="7"/>
      <c r="Y581" s="7"/>
      <c r="Z581" s="708"/>
      <c r="AA581" s="7"/>
      <c r="AB581" s="7"/>
      <c r="AC581" s="7"/>
      <c r="AD581" s="7"/>
      <c r="AE581" s="7"/>
      <c r="AF581" s="7"/>
      <c r="AG581" s="7"/>
      <c r="AH581" s="7"/>
    </row>
    <row r="582" spans="1:34" ht="15.75" customHeight="1">
      <c r="A582" s="686"/>
      <c r="B582" s="687"/>
      <c r="C582" s="243"/>
      <c r="D582" s="244"/>
      <c r="E582" s="688"/>
      <c r="F582" s="244"/>
      <c r="G582" s="688"/>
      <c r="H582" s="688"/>
      <c r="I582" s="239"/>
      <c r="J582" s="239"/>
      <c r="K582" s="688"/>
      <c r="L582" s="7"/>
      <c r="M582" s="7"/>
      <c r="N582" s="7"/>
      <c r="O582" s="7"/>
      <c r="P582" s="239"/>
      <c r="Q582" s="7"/>
      <c r="R582" s="7"/>
      <c r="S582" s="7"/>
      <c r="T582" s="7"/>
      <c r="U582" s="7"/>
      <c r="V582" s="7"/>
      <c r="W582" s="7"/>
      <c r="X582" s="7"/>
      <c r="Y582" s="7"/>
      <c r="Z582" s="708"/>
      <c r="AA582" s="7"/>
      <c r="AB582" s="7"/>
      <c r="AC582" s="7"/>
      <c r="AD582" s="7"/>
      <c r="AE582" s="7"/>
      <c r="AF582" s="7"/>
      <c r="AG582" s="7"/>
      <c r="AH582" s="7"/>
    </row>
    <row r="583" spans="1:34" ht="15.75" customHeight="1">
      <c r="A583" s="686"/>
      <c r="B583" s="687"/>
      <c r="C583" s="243"/>
      <c r="D583" s="244"/>
      <c r="E583" s="688"/>
      <c r="F583" s="244"/>
      <c r="G583" s="688"/>
      <c r="H583" s="688"/>
      <c r="I583" s="239"/>
      <c r="J583" s="239"/>
      <c r="K583" s="688"/>
      <c r="L583" s="7"/>
      <c r="M583" s="7"/>
      <c r="N583" s="7"/>
      <c r="O583" s="7"/>
      <c r="P583" s="239"/>
      <c r="Q583" s="7"/>
      <c r="R583" s="7"/>
      <c r="S583" s="7"/>
      <c r="T583" s="7"/>
      <c r="U583" s="7"/>
      <c r="V583" s="7"/>
      <c r="W583" s="7"/>
      <c r="X583" s="7"/>
      <c r="Y583" s="7"/>
      <c r="Z583" s="708"/>
      <c r="AA583" s="7"/>
      <c r="AB583" s="7"/>
      <c r="AC583" s="7"/>
      <c r="AD583" s="7"/>
      <c r="AE583" s="7"/>
      <c r="AF583" s="7"/>
      <c r="AG583" s="7"/>
      <c r="AH583" s="7"/>
    </row>
    <row r="584" spans="1:34" ht="15.75" customHeight="1">
      <c r="A584" s="686"/>
      <c r="B584" s="687"/>
      <c r="C584" s="243"/>
      <c r="D584" s="244"/>
      <c r="E584" s="688"/>
      <c r="F584" s="244"/>
      <c r="G584" s="688"/>
      <c r="H584" s="688"/>
      <c r="I584" s="239"/>
      <c r="J584" s="239"/>
      <c r="K584" s="688"/>
      <c r="L584" s="7"/>
      <c r="M584" s="7"/>
      <c r="N584" s="7"/>
      <c r="O584" s="7"/>
      <c r="P584" s="239"/>
      <c r="Q584" s="7"/>
      <c r="R584" s="7"/>
      <c r="S584" s="7"/>
      <c r="T584" s="7"/>
      <c r="U584" s="7"/>
      <c r="V584" s="7"/>
      <c r="W584" s="7"/>
      <c r="X584" s="7"/>
      <c r="Y584" s="7"/>
      <c r="Z584" s="708"/>
      <c r="AA584" s="7"/>
      <c r="AB584" s="7"/>
      <c r="AC584" s="7"/>
      <c r="AD584" s="7"/>
      <c r="AE584" s="7"/>
      <c r="AF584" s="7"/>
      <c r="AG584" s="7"/>
      <c r="AH584" s="7"/>
    </row>
    <row r="585" spans="1:34" ht="15.75" customHeight="1">
      <c r="A585" s="686"/>
      <c r="B585" s="687"/>
      <c r="C585" s="243"/>
      <c r="D585" s="244"/>
      <c r="E585" s="688"/>
      <c r="F585" s="244"/>
      <c r="G585" s="688"/>
      <c r="H585" s="688"/>
      <c r="I585" s="239"/>
      <c r="J585" s="239"/>
      <c r="K585" s="688"/>
      <c r="L585" s="7"/>
      <c r="M585" s="7"/>
      <c r="N585" s="7"/>
      <c r="O585" s="7"/>
      <c r="P585" s="239"/>
      <c r="Q585" s="7"/>
      <c r="R585" s="7"/>
      <c r="S585" s="7"/>
      <c r="T585" s="7"/>
      <c r="U585" s="7"/>
      <c r="V585" s="7"/>
      <c r="W585" s="7"/>
      <c r="X585" s="7"/>
      <c r="Y585" s="7"/>
      <c r="Z585" s="708"/>
      <c r="AA585" s="7"/>
      <c r="AB585" s="7"/>
      <c r="AC585" s="7"/>
      <c r="AD585" s="7"/>
      <c r="AE585" s="7"/>
      <c r="AF585" s="7"/>
      <c r="AG585" s="7"/>
      <c r="AH585" s="7"/>
    </row>
    <row r="586" spans="1:34" ht="15.75" customHeight="1">
      <c r="A586" s="686"/>
      <c r="B586" s="687"/>
      <c r="C586" s="243"/>
      <c r="D586" s="244"/>
      <c r="E586" s="688"/>
      <c r="F586" s="244"/>
      <c r="G586" s="688"/>
      <c r="H586" s="688"/>
      <c r="I586" s="239"/>
      <c r="J586" s="239"/>
      <c r="K586" s="688"/>
      <c r="L586" s="7"/>
      <c r="M586" s="7"/>
      <c r="N586" s="7"/>
      <c r="O586" s="7"/>
      <c r="P586" s="239"/>
      <c r="Q586" s="7"/>
      <c r="R586" s="7"/>
      <c r="S586" s="7"/>
      <c r="T586" s="7"/>
      <c r="U586" s="7"/>
      <c r="V586" s="7"/>
      <c r="W586" s="7"/>
      <c r="X586" s="7"/>
      <c r="Y586" s="7"/>
      <c r="Z586" s="708"/>
      <c r="AA586" s="7"/>
      <c r="AB586" s="7"/>
      <c r="AC586" s="7"/>
      <c r="AD586" s="7"/>
      <c r="AE586" s="7"/>
      <c r="AF586" s="7"/>
      <c r="AG586" s="7"/>
      <c r="AH586" s="7"/>
    </row>
    <row r="587" spans="1:34" ht="15.75" customHeight="1">
      <c r="A587" s="686"/>
      <c r="B587" s="687"/>
      <c r="C587" s="243"/>
      <c r="D587" s="244"/>
      <c r="E587" s="688"/>
      <c r="F587" s="244"/>
      <c r="G587" s="688"/>
      <c r="H587" s="688"/>
      <c r="I587" s="239"/>
      <c r="J587" s="239"/>
      <c r="K587" s="688"/>
      <c r="L587" s="7"/>
      <c r="M587" s="7"/>
      <c r="N587" s="7"/>
      <c r="O587" s="7"/>
      <c r="P587" s="239"/>
      <c r="Q587" s="7"/>
      <c r="R587" s="7"/>
      <c r="S587" s="7"/>
      <c r="T587" s="7"/>
      <c r="U587" s="7"/>
      <c r="V587" s="7"/>
      <c r="W587" s="7"/>
      <c r="X587" s="7"/>
      <c r="Y587" s="7"/>
      <c r="Z587" s="708"/>
      <c r="AA587" s="7"/>
      <c r="AB587" s="7"/>
      <c r="AC587" s="7"/>
      <c r="AD587" s="7"/>
      <c r="AE587" s="7"/>
      <c r="AF587" s="7"/>
      <c r="AG587" s="7"/>
      <c r="AH587" s="7"/>
    </row>
    <row r="588" spans="1:34" ht="15.75" customHeight="1">
      <c r="A588" s="686"/>
      <c r="B588" s="687"/>
      <c r="C588" s="243"/>
      <c r="D588" s="244"/>
      <c r="E588" s="688"/>
      <c r="F588" s="244"/>
      <c r="G588" s="688"/>
      <c r="H588" s="688"/>
      <c r="I588" s="239"/>
      <c r="J588" s="239"/>
      <c r="K588" s="688"/>
      <c r="L588" s="7"/>
      <c r="M588" s="7"/>
      <c r="N588" s="7"/>
      <c r="O588" s="7"/>
      <c r="P588" s="239"/>
      <c r="Q588" s="7"/>
      <c r="R588" s="7"/>
      <c r="S588" s="7"/>
      <c r="T588" s="7"/>
      <c r="U588" s="7"/>
      <c r="V588" s="7"/>
      <c r="W588" s="7"/>
      <c r="X588" s="7"/>
      <c r="Y588" s="7"/>
      <c r="Z588" s="708"/>
      <c r="AA588" s="7"/>
      <c r="AB588" s="7"/>
      <c r="AC588" s="7"/>
      <c r="AD588" s="7"/>
      <c r="AE588" s="7"/>
      <c r="AF588" s="7"/>
      <c r="AG588" s="7"/>
      <c r="AH588" s="7"/>
    </row>
    <row r="589" spans="1:34" ht="15.75" customHeight="1">
      <c r="A589" s="686"/>
      <c r="B589" s="687"/>
      <c r="C589" s="243"/>
      <c r="D589" s="244"/>
      <c r="E589" s="688"/>
      <c r="F589" s="244"/>
      <c r="G589" s="688"/>
      <c r="H589" s="688"/>
      <c r="I589" s="239"/>
      <c r="J589" s="239"/>
      <c r="K589" s="688"/>
      <c r="L589" s="7"/>
      <c r="M589" s="7"/>
      <c r="N589" s="7"/>
      <c r="O589" s="7"/>
      <c r="P589" s="239"/>
      <c r="Q589" s="7"/>
      <c r="R589" s="7"/>
      <c r="S589" s="7"/>
      <c r="T589" s="7"/>
      <c r="U589" s="7"/>
      <c r="V589" s="7"/>
      <c r="W589" s="7"/>
      <c r="X589" s="7"/>
      <c r="Y589" s="7"/>
      <c r="Z589" s="708"/>
      <c r="AA589" s="7"/>
      <c r="AB589" s="7"/>
      <c r="AC589" s="7"/>
      <c r="AD589" s="7"/>
      <c r="AE589" s="7"/>
      <c r="AF589" s="7"/>
      <c r="AG589" s="7"/>
      <c r="AH589" s="7"/>
    </row>
    <row r="590" spans="1:34" ht="15.75" customHeight="1">
      <c r="A590" s="686"/>
      <c r="B590" s="687"/>
      <c r="C590" s="243"/>
      <c r="D590" s="244"/>
      <c r="E590" s="688"/>
      <c r="F590" s="244"/>
      <c r="G590" s="688"/>
      <c r="H590" s="688"/>
      <c r="I590" s="239"/>
      <c r="J590" s="239"/>
      <c r="K590" s="688"/>
      <c r="L590" s="7"/>
      <c r="M590" s="7"/>
      <c r="N590" s="7"/>
      <c r="O590" s="7"/>
      <c r="P590" s="239"/>
      <c r="Q590" s="7"/>
      <c r="R590" s="7"/>
      <c r="S590" s="7"/>
      <c r="T590" s="7"/>
      <c r="U590" s="7"/>
      <c r="V590" s="7"/>
      <c r="W590" s="7"/>
      <c r="X590" s="7"/>
      <c r="Y590" s="7"/>
      <c r="Z590" s="708"/>
      <c r="AA590" s="7"/>
      <c r="AB590" s="7"/>
      <c r="AC590" s="7"/>
      <c r="AD590" s="7"/>
      <c r="AE590" s="7"/>
      <c r="AF590" s="7"/>
      <c r="AG590" s="7"/>
      <c r="AH590" s="7"/>
    </row>
    <row r="591" spans="1:34" ht="15.75" customHeight="1">
      <c r="A591" s="686"/>
      <c r="B591" s="687"/>
      <c r="C591" s="243"/>
      <c r="D591" s="244"/>
      <c r="E591" s="688"/>
      <c r="F591" s="244"/>
      <c r="G591" s="688"/>
      <c r="H591" s="688"/>
      <c r="I591" s="239"/>
      <c r="J591" s="239"/>
      <c r="K591" s="688"/>
      <c r="L591" s="7"/>
      <c r="M591" s="7"/>
      <c r="N591" s="7"/>
      <c r="O591" s="7"/>
      <c r="P591" s="239"/>
      <c r="Q591" s="7"/>
      <c r="R591" s="7"/>
      <c r="S591" s="7"/>
      <c r="T591" s="7"/>
      <c r="U591" s="7"/>
      <c r="V591" s="7"/>
      <c r="W591" s="7"/>
      <c r="X591" s="7"/>
      <c r="Y591" s="7"/>
      <c r="Z591" s="708"/>
      <c r="AA591" s="7"/>
      <c r="AB591" s="7"/>
      <c r="AC591" s="7"/>
      <c r="AD591" s="7"/>
      <c r="AE591" s="7"/>
      <c r="AF591" s="7"/>
      <c r="AG591" s="7"/>
      <c r="AH591" s="7"/>
    </row>
    <row r="592" spans="1:34" ht="15.75" customHeight="1">
      <c r="A592" s="686"/>
      <c r="B592" s="687"/>
      <c r="C592" s="243"/>
      <c r="D592" s="244"/>
      <c r="E592" s="688"/>
      <c r="F592" s="244"/>
      <c r="G592" s="688"/>
      <c r="H592" s="688"/>
      <c r="I592" s="239"/>
      <c r="J592" s="239"/>
      <c r="K592" s="688"/>
      <c r="L592" s="7"/>
      <c r="M592" s="7"/>
      <c r="N592" s="7"/>
      <c r="O592" s="7"/>
      <c r="P592" s="239"/>
      <c r="Q592" s="7"/>
      <c r="R592" s="7"/>
      <c r="S592" s="7"/>
      <c r="T592" s="7"/>
      <c r="U592" s="7"/>
      <c r="V592" s="7"/>
      <c r="W592" s="7"/>
      <c r="X592" s="7"/>
      <c r="Y592" s="7"/>
      <c r="Z592" s="708"/>
      <c r="AA592" s="7"/>
      <c r="AB592" s="7"/>
      <c r="AC592" s="7"/>
      <c r="AD592" s="7"/>
      <c r="AE592" s="7"/>
      <c r="AF592" s="7"/>
      <c r="AG592" s="7"/>
      <c r="AH592" s="7"/>
    </row>
    <row r="593" spans="1:34" ht="15.75" customHeight="1">
      <c r="A593" s="686"/>
      <c r="B593" s="687"/>
      <c r="C593" s="243"/>
      <c r="D593" s="244"/>
      <c r="E593" s="688"/>
      <c r="F593" s="244"/>
      <c r="G593" s="688"/>
      <c r="H593" s="688"/>
      <c r="I593" s="239"/>
      <c r="J593" s="239"/>
      <c r="K593" s="688"/>
      <c r="L593" s="7"/>
      <c r="M593" s="7"/>
      <c r="N593" s="7"/>
      <c r="O593" s="7"/>
      <c r="P593" s="239"/>
      <c r="Q593" s="7"/>
      <c r="R593" s="7"/>
      <c r="S593" s="7"/>
      <c r="T593" s="7"/>
      <c r="U593" s="7"/>
      <c r="V593" s="7"/>
      <c r="W593" s="7"/>
      <c r="X593" s="7"/>
      <c r="Y593" s="7"/>
      <c r="Z593" s="708"/>
      <c r="AA593" s="7"/>
      <c r="AB593" s="7"/>
      <c r="AC593" s="7"/>
      <c r="AD593" s="7"/>
      <c r="AE593" s="7"/>
      <c r="AF593" s="7"/>
      <c r="AG593" s="7"/>
      <c r="AH593" s="7"/>
    </row>
    <row r="594" spans="1:34" ht="15.75" customHeight="1">
      <c r="A594" s="686"/>
      <c r="B594" s="687"/>
      <c r="C594" s="243"/>
      <c r="D594" s="244"/>
      <c r="E594" s="688"/>
      <c r="F594" s="244"/>
      <c r="G594" s="688"/>
      <c r="H594" s="688"/>
      <c r="I594" s="239"/>
      <c r="J594" s="239"/>
      <c r="K594" s="688"/>
      <c r="L594" s="7"/>
      <c r="M594" s="7"/>
      <c r="N594" s="7"/>
      <c r="O594" s="7"/>
      <c r="P594" s="239"/>
      <c r="Q594" s="7"/>
      <c r="R594" s="7"/>
      <c r="S594" s="7"/>
      <c r="T594" s="7"/>
      <c r="U594" s="7"/>
      <c r="V594" s="7"/>
      <c r="W594" s="7"/>
      <c r="X594" s="7"/>
      <c r="Y594" s="7"/>
      <c r="Z594" s="708"/>
      <c r="AA594" s="7"/>
      <c r="AB594" s="7"/>
      <c r="AC594" s="7"/>
      <c r="AD594" s="7"/>
      <c r="AE594" s="7"/>
      <c r="AF594" s="7"/>
      <c r="AG594" s="7"/>
      <c r="AH594" s="7"/>
    </row>
    <row r="595" spans="1:34" ht="15.75" customHeight="1">
      <c r="A595" s="686"/>
      <c r="B595" s="687"/>
      <c r="C595" s="243"/>
      <c r="D595" s="244"/>
      <c r="E595" s="688"/>
      <c r="F595" s="244"/>
      <c r="G595" s="688"/>
      <c r="H595" s="688"/>
      <c r="I595" s="239"/>
      <c r="J595" s="239"/>
      <c r="K595" s="688"/>
      <c r="L595" s="7"/>
      <c r="M595" s="7"/>
      <c r="N595" s="7"/>
      <c r="O595" s="7"/>
      <c r="P595" s="239"/>
      <c r="Q595" s="7"/>
      <c r="R595" s="7"/>
      <c r="S595" s="7"/>
      <c r="T595" s="7"/>
      <c r="U595" s="7"/>
      <c r="V595" s="7"/>
      <c r="W595" s="7"/>
      <c r="X595" s="7"/>
      <c r="Y595" s="7"/>
      <c r="Z595" s="708"/>
      <c r="AA595" s="7"/>
      <c r="AB595" s="7"/>
      <c r="AC595" s="7"/>
      <c r="AD595" s="7"/>
      <c r="AE595" s="7"/>
      <c r="AF595" s="7"/>
      <c r="AG595" s="7"/>
      <c r="AH595" s="7"/>
    </row>
    <row r="596" spans="1:34" ht="15.75" customHeight="1">
      <c r="A596" s="686"/>
      <c r="B596" s="687"/>
      <c r="C596" s="243"/>
      <c r="D596" s="244"/>
      <c r="E596" s="688"/>
      <c r="F596" s="244"/>
      <c r="G596" s="688"/>
      <c r="H596" s="688"/>
      <c r="I596" s="239"/>
      <c r="J596" s="239"/>
      <c r="K596" s="688"/>
      <c r="L596" s="7"/>
      <c r="M596" s="7"/>
      <c r="N596" s="7"/>
      <c r="O596" s="7"/>
      <c r="P596" s="239"/>
      <c r="Q596" s="7"/>
      <c r="R596" s="7"/>
      <c r="S596" s="7"/>
      <c r="T596" s="7"/>
      <c r="U596" s="7"/>
      <c r="V596" s="7"/>
      <c r="W596" s="7"/>
      <c r="X596" s="7"/>
      <c r="Y596" s="7"/>
      <c r="Z596" s="708"/>
      <c r="AA596" s="7"/>
      <c r="AB596" s="7"/>
      <c r="AC596" s="7"/>
      <c r="AD596" s="7"/>
      <c r="AE596" s="7"/>
      <c r="AF596" s="7"/>
      <c r="AG596" s="7"/>
      <c r="AH596" s="7"/>
    </row>
    <row r="597" spans="1:34" ht="15.75" customHeight="1">
      <c r="A597" s="686"/>
      <c r="B597" s="687"/>
      <c r="C597" s="243"/>
      <c r="D597" s="244"/>
      <c r="E597" s="688"/>
      <c r="F597" s="244"/>
      <c r="G597" s="688"/>
      <c r="H597" s="688"/>
      <c r="I597" s="239"/>
      <c r="J597" s="239"/>
      <c r="K597" s="688"/>
      <c r="L597" s="7"/>
      <c r="M597" s="7"/>
      <c r="N597" s="7"/>
      <c r="O597" s="7"/>
      <c r="P597" s="239"/>
      <c r="Q597" s="7"/>
      <c r="R597" s="7"/>
      <c r="S597" s="7"/>
      <c r="T597" s="7"/>
      <c r="U597" s="7"/>
      <c r="V597" s="7"/>
      <c r="W597" s="7"/>
      <c r="X597" s="7"/>
      <c r="Y597" s="7"/>
      <c r="Z597" s="708"/>
      <c r="AA597" s="7"/>
      <c r="AB597" s="7"/>
      <c r="AC597" s="7"/>
      <c r="AD597" s="7"/>
      <c r="AE597" s="7"/>
      <c r="AF597" s="7"/>
      <c r="AG597" s="7"/>
      <c r="AH597" s="7"/>
    </row>
    <row r="598" spans="1:34" ht="15.75" customHeight="1">
      <c r="A598" s="686"/>
      <c r="B598" s="687"/>
      <c r="C598" s="243"/>
      <c r="D598" s="244"/>
      <c r="E598" s="688"/>
      <c r="F598" s="244"/>
      <c r="G598" s="688"/>
      <c r="H598" s="688"/>
      <c r="I598" s="239"/>
      <c r="J598" s="239"/>
      <c r="K598" s="688"/>
      <c r="L598" s="7"/>
      <c r="M598" s="7"/>
      <c r="N598" s="7"/>
      <c r="O598" s="7"/>
      <c r="P598" s="239"/>
      <c r="Q598" s="7"/>
      <c r="R598" s="7"/>
      <c r="S598" s="7"/>
      <c r="T598" s="7"/>
      <c r="U598" s="7"/>
      <c r="V598" s="7"/>
      <c r="W598" s="7"/>
      <c r="X598" s="7"/>
      <c r="Y598" s="7"/>
      <c r="Z598" s="708"/>
      <c r="AA598" s="7"/>
      <c r="AB598" s="7"/>
      <c r="AC598" s="7"/>
      <c r="AD598" s="7"/>
      <c r="AE598" s="7"/>
      <c r="AF598" s="7"/>
      <c r="AG598" s="7"/>
      <c r="AH598" s="7"/>
    </row>
    <row r="599" spans="1:34" ht="15.75" customHeight="1">
      <c r="A599" s="686"/>
      <c r="B599" s="687"/>
      <c r="C599" s="243"/>
      <c r="D599" s="244"/>
      <c r="E599" s="688"/>
      <c r="F599" s="244"/>
      <c r="G599" s="688"/>
      <c r="H599" s="688"/>
      <c r="I599" s="239"/>
      <c r="J599" s="239"/>
      <c r="K599" s="688"/>
      <c r="L599" s="7"/>
      <c r="M599" s="7"/>
      <c r="N599" s="7"/>
      <c r="O599" s="7"/>
      <c r="P599" s="239"/>
      <c r="Q599" s="7"/>
      <c r="R599" s="7"/>
      <c r="S599" s="7"/>
      <c r="T599" s="7"/>
      <c r="U599" s="7"/>
      <c r="V599" s="7"/>
      <c r="W599" s="7"/>
      <c r="X599" s="7"/>
      <c r="Y599" s="7"/>
      <c r="Z599" s="708"/>
      <c r="AA599" s="7"/>
      <c r="AB599" s="7"/>
      <c r="AC599" s="7"/>
      <c r="AD599" s="7"/>
      <c r="AE599" s="7"/>
      <c r="AF599" s="7"/>
      <c r="AG599" s="7"/>
      <c r="AH599" s="7"/>
    </row>
    <row r="600" spans="1:34" ht="15.75" customHeight="1">
      <c r="A600" s="686"/>
      <c r="B600" s="687"/>
      <c r="C600" s="243"/>
      <c r="D600" s="244"/>
      <c r="E600" s="688"/>
      <c r="F600" s="244"/>
      <c r="G600" s="688"/>
      <c r="H600" s="688"/>
      <c r="I600" s="239"/>
      <c r="J600" s="239"/>
      <c r="K600" s="688"/>
      <c r="L600" s="7"/>
      <c r="M600" s="7"/>
      <c r="N600" s="7"/>
      <c r="O600" s="7"/>
      <c r="P600" s="239"/>
      <c r="Q600" s="7"/>
      <c r="R600" s="7"/>
      <c r="S600" s="7"/>
      <c r="T600" s="7"/>
      <c r="U600" s="7"/>
      <c r="V600" s="7"/>
      <c r="W600" s="7"/>
      <c r="X600" s="7"/>
      <c r="Y600" s="7"/>
      <c r="Z600" s="708"/>
      <c r="AA600" s="7"/>
      <c r="AB600" s="7"/>
      <c r="AC600" s="7"/>
      <c r="AD600" s="7"/>
      <c r="AE600" s="7"/>
      <c r="AF600" s="7"/>
      <c r="AG600" s="7"/>
      <c r="AH600" s="7"/>
    </row>
    <row r="601" spans="1:34" ht="15.75" customHeight="1">
      <c r="A601" s="686"/>
      <c r="B601" s="687"/>
      <c r="C601" s="243"/>
      <c r="D601" s="244"/>
      <c r="E601" s="688"/>
      <c r="F601" s="244"/>
      <c r="G601" s="688"/>
      <c r="H601" s="688"/>
      <c r="I601" s="239"/>
      <c r="J601" s="239"/>
      <c r="K601" s="688"/>
      <c r="L601" s="7"/>
      <c r="M601" s="7"/>
      <c r="N601" s="7"/>
      <c r="O601" s="7"/>
      <c r="P601" s="239"/>
      <c r="Q601" s="7"/>
      <c r="R601" s="7"/>
      <c r="S601" s="7"/>
      <c r="T601" s="7"/>
      <c r="U601" s="7"/>
      <c r="V601" s="7"/>
      <c r="W601" s="7"/>
      <c r="X601" s="7"/>
      <c r="Y601" s="7"/>
      <c r="Z601" s="708"/>
      <c r="AA601" s="7"/>
      <c r="AB601" s="7"/>
      <c r="AC601" s="7"/>
      <c r="AD601" s="7"/>
      <c r="AE601" s="7"/>
      <c r="AF601" s="7"/>
      <c r="AG601" s="7"/>
      <c r="AH601" s="7"/>
    </row>
    <row r="602" spans="1:34" ht="15.75" customHeight="1">
      <c r="A602" s="686"/>
      <c r="B602" s="687"/>
      <c r="C602" s="243"/>
      <c r="D602" s="244"/>
      <c r="E602" s="688"/>
      <c r="F602" s="244"/>
      <c r="G602" s="688"/>
      <c r="H602" s="688"/>
      <c r="I602" s="239"/>
      <c r="J602" s="239"/>
      <c r="K602" s="688"/>
      <c r="L602" s="7"/>
      <c r="M602" s="7"/>
      <c r="N602" s="7"/>
      <c r="O602" s="7"/>
      <c r="P602" s="239"/>
      <c r="Q602" s="7"/>
      <c r="R602" s="7"/>
      <c r="S602" s="7"/>
      <c r="T602" s="7"/>
      <c r="U602" s="7"/>
      <c r="V602" s="7"/>
      <c r="W602" s="7"/>
      <c r="X602" s="7"/>
      <c r="Y602" s="7"/>
      <c r="Z602" s="708"/>
      <c r="AA602" s="7"/>
      <c r="AB602" s="7"/>
      <c r="AC602" s="7"/>
      <c r="AD602" s="7"/>
      <c r="AE602" s="7"/>
      <c r="AF602" s="7"/>
      <c r="AG602" s="7"/>
      <c r="AH602" s="7"/>
    </row>
    <row r="603" spans="1:34" ht="15.75" customHeight="1">
      <c r="A603" s="686"/>
      <c r="B603" s="687"/>
      <c r="C603" s="243"/>
      <c r="D603" s="244"/>
      <c r="E603" s="688"/>
      <c r="F603" s="244"/>
      <c r="G603" s="688"/>
      <c r="H603" s="688"/>
      <c r="I603" s="239"/>
      <c r="J603" s="239"/>
      <c r="K603" s="688"/>
      <c r="L603" s="7"/>
      <c r="M603" s="7"/>
      <c r="N603" s="7"/>
      <c r="O603" s="7"/>
      <c r="P603" s="239"/>
      <c r="Q603" s="7"/>
      <c r="R603" s="7"/>
      <c r="S603" s="7"/>
      <c r="T603" s="7"/>
      <c r="U603" s="7"/>
      <c r="V603" s="7"/>
      <c r="W603" s="7"/>
      <c r="X603" s="7"/>
      <c r="Y603" s="7"/>
      <c r="Z603" s="708"/>
      <c r="AA603" s="7"/>
      <c r="AB603" s="7"/>
      <c r="AC603" s="7"/>
      <c r="AD603" s="7"/>
      <c r="AE603" s="7"/>
      <c r="AF603" s="7"/>
      <c r="AG603" s="7"/>
      <c r="AH603" s="7"/>
    </row>
    <row r="604" spans="1:34" ht="15.75" customHeight="1">
      <c r="A604" s="686"/>
      <c r="B604" s="687"/>
      <c r="C604" s="243"/>
      <c r="D604" s="244"/>
      <c r="E604" s="688"/>
      <c r="F604" s="244"/>
      <c r="G604" s="688"/>
      <c r="H604" s="688"/>
      <c r="I604" s="239"/>
      <c r="J604" s="239"/>
      <c r="K604" s="688"/>
      <c r="L604" s="7"/>
      <c r="M604" s="7"/>
      <c r="N604" s="7"/>
      <c r="O604" s="7"/>
      <c r="P604" s="239"/>
      <c r="Q604" s="7"/>
      <c r="R604" s="7"/>
      <c r="S604" s="7"/>
      <c r="T604" s="7"/>
      <c r="U604" s="7"/>
      <c r="V604" s="7"/>
      <c r="W604" s="7"/>
      <c r="X604" s="7"/>
      <c r="Y604" s="7"/>
      <c r="Z604" s="708"/>
      <c r="AA604" s="7"/>
      <c r="AB604" s="7"/>
      <c r="AC604" s="7"/>
      <c r="AD604" s="7"/>
      <c r="AE604" s="7"/>
      <c r="AF604" s="7"/>
      <c r="AG604" s="7"/>
      <c r="AH604" s="7"/>
    </row>
    <row r="605" spans="1:34" ht="15.75" customHeight="1">
      <c r="A605" s="686"/>
      <c r="B605" s="687"/>
      <c r="C605" s="243"/>
      <c r="D605" s="244"/>
      <c r="E605" s="688"/>
      <c r="F605" s="244"/>
      <c r="G605" s="688"/>
      <c r="H605" s="688"/>
      <c r="I605" s="239"/>
      <c r="J605" s="239"/>
      <c r="K605" s="688"/>
      <c r="L605" s="7"/>
      <c r="M605" s="7"/>
      <c r="N605" s="7"/>
      <c r="O605" s="7"/>
      <c r="P605" s="239"/>
      <c r="Q605" s="7"/>
      <c r="R605" s="7"/>
      <c r="S605" s="7"/>
      <c r="T605" s="7"/>
      <c r="U605" s="7"/>
      <c r="V605" s="7"/>
      <c r="W605" s="7"/>
      <c r="X605" s="7"/>
      <c r="Y605" s="7"/>
      <c r="Z605" s="708"/>
      <c r="AA605" s="7"/>
      <c r="AB605" s="7"/>
      <c r="AC605" s="7"/>
      <c r="AD605" s="7"/>
      <c r="AE605" s="7"/>
      <c r="AF605" s="7"/>
      <c r="AG605" s="7"/>
      <c r="AH605" s="7"/>
    </row>
    <row r="606" spans="1:34" ht="15.75" customHeight="1">
      <c r="A606" s="686"/>
      <c r="B606" s="687"/>
      <c r="C606" s="243"/>
      <c r="D606" s="244"/>
      <c r="E606" s="688"/>
      <c r="F606" s="244"/>
      <c r="G606" s="688"/>
      <c r="H606" s="688"/>
      <c r="I606" s="239"/>
      <c r="J606" s="239"/>
      <c r="K606" s="688"/>
      <c r="L606" s="7"/>
      <c r="M606" s="7"/>
      <c r="N606" s="7"/>
      <c r="O606" s="7"/>
      <c r="P606" s="239"/>
      <c r="Q606" s="7"/>
      <c r="R606" s="7"/>
      <c r="S606" s="7"/>
      <c r="T606" s="7"/>
      <c r="U606" s="7"/>
      <c r="V606" s="7"/>
      <c r="W606" s="7"/>
      <c r="X606" s="7"/>
      <c r="Y606" s="7"/>
      <c r="Z606" s="708"/>
      <c r="AA606" s="7"/>
      <c r="AB606" s="7"/>
      <c r="AC606" s="7"/>
      <c r="AD606" s="7"/>
      <c r="AE606" s="7"/>
      <c r="AF606" s="7"/>
      <c r="AG606" s="7"/>
      <c r="AH606" s="7"/>
    </row>
    <row r="607" spans="1:34" ht="15.75" customHeight="1">
      <c r="A607" s="686"/>
      <c r="B607" s="687"/>
      <c r="C607" s="243"/>
      <c r="D607" s="244"/>
      <c r="E607" s="688"/>
      <c r="F607" s="244"/>
      <c r="G607" s="688"/>
      <c r="H607" s="688"/>
      <c r="I607" s="239"/>
      <c r="J607" s="239"/>
      <c r="K607" s="688"/>
      <c r="L607" s="7"/>
      <c r="M607" s="7"/>
      <c r="N607" s="7"/>
      <c r="O607" s="7"/>
      <c r="P607" s="239"/>
      <c r="Q607" s="7"/>
      <c r="R607" s="7"/>
      <c r="S607" s="7"/>
      <c r="T607" s="7"/>
      <c r="U607" s="7"/>
      <c r="V607" s="7"/>
      <c r="W607" s="7"/>
      <c r="X607" s="7"/>
      <c r="Y607" s="7"/>
      <c r="Z607" s="708"/>
      <c r="AA607" s="7"/>
      <c r="AB607" s="7"/>
      <c r="AC607" s="7"/>
      <c r="AD607" s="7"/>
      <c r="AE607" s="7"/>
      <c r="AF607" s="7"/>
      <c r="AG607" s="7"/>
      <c r="AH607" s="7"/>
    </row>
    <row r="608" spans="1:34" ht="15.75" customHeight="1">
      <c r="A608" s="686"/>
      <c r="B608" s="687"/>
      <c r="C608" s="243"/>
      <c r="D608" s="244"/>
      <c r="E608" s="688"/>
      <c r="F608" s="244"/>
      <c r="G608" s="688"/>
      <c r="H608" s="688"/>
      <c r="I608" s="239"/>
      <c r="J608" s="239"/>
      <c r="K608" s="688"/>
      <c r="L608" s="7"/>
      <c r="M608" s="7"/>
      <c r="N608" s="7"/>
      <c r="O608" s="7"/>
      <c r="P608" s="239"/>
      <c r="Q608" s="7"/>
      <c r="R608" s="7"/>
      <c r="S608" s="7"/>
      <c r="T608" s="7"/>
      <c r="U608" s="7"/>
      <c r="V608" s="7"/>
      <c r="W608" s="7"/>
      <c r="X608" s="7"/>
      <c r="Y608" s="7"/>
      <c r="Z608" s="708"/>
      <c r="AA608" s="7"/>
      <c r="AB608" s="7"/>
      <c r="AC608" s="7"/>
      <c r="AD608" s="7"/>
      <c r="AE608" s="7"/>
      <c r="AF608" s="7"/>
      <c r="AG608" s="7"/>
      <c r="AH608" s="7"/>
    </row>
    <row r="609" spans="1:34" ht="15.75" customHeight="1">
      <c r="A609" s="686"/>
      <c r="B609" s="687"/>
      <c r="C609" s="243"/>
      <c r="D609" s="244"/>
      <c r="E609" s="688"/>
      <c r="F609" s="244"/>
      <c r="G609" s="688"/>
      <c r="H609" s="688"/>
      <c r="I609" s="239"/>
      <c r="J609" s="239"/>
      <c r="K609" s="688"/>
      <c r="L609" s="7"/>
      <c r="M609" s="7"/>
      <c r="N609" s="7"/>
      <c r="O609" s="7"/>
      <c r="P609" s="239"/>
      <c r="Q609" s="7"/>
      <c r="R609" s="7"/>
      <c r="S609" s="7"/>
      <c r="T609" s="7"/>
      <c r="U609" s="7"/>
      <c r="V609" s="7"/>
      <c r="W609" s="7"/>
      <c r="X609" s="7"/>
      <c r="Y609" s="7"/>
      <c r="Z609" s="708"/>
      <c r="AA609" s="7"/>
      <c r="AB609" s="7"/>
      <c r="AC609" s="7"/>
      <c r="AD609" s="7"/>
      <c r="AE609" s="7"/>
      <c r="AF609" s="7"/>
      <c r="AG609" s="7"/>
      <c r="AH609" s="7"/>
    </row>
    <row r="610" spans="1:34" ht="15.75" customHeight="1">
      <c r="A610" s="686"/>
      <c r="B610" s="687"/>
      <c r="C610" s="243"/>
      <c r="D610" s="244"/>
      <c r="E610" s="688"/>
      <c r="F610" s="244"/>
      <c r="G610" s="688"/>
      <c r="H610" s="688"/>
      <c r="I610" s="239"/>
      <c r="J610" s="239"/>
      <c r="K610" s="688"/>
      <c r="L610" s="7"/>
      <c r="M610" s="7"/>
      <c r="N610" s="7"/>
      <c r="O610" s="7"/>
      <c r="P610" s="239"/>
      <c r="Q610" s="7"/>
      <c r="R610" s="7"/>
      <c r="S610" s="7"/>
      <c r="T610" s="7"/>
      <c r="U610" s="7"/>
      <c r="V610" s="7"/>
      <c r="W610" s="7"/>
      <c r="X610" s="7"/>
      <c r="Y610" s="7"/>
      <c r="Z610" s="708"/>
      <c r="AA610" s="7"/>
      <c r="AB610" s="7"/>
      <c r="AC610" s="7"/>
      <c r="AD610" s="7"/>
      <c r="AE610" s="7"/>
      <c r="AF610" s="7"/>
      <c r="AG610" s="7"/>
      <c r="AH610" s="7"/>
    </row>
    <row r="611" spans="1:34" ht="15.75" customHeight="1">
      <c r="A611" s="686"/>
      <c r="B611" s="687"/>
      <c r="C611" s="243"/>
      <c r="D611" s="244"/>
      <c r="E611" s="688"/>
      <c r="F611" s="244"/>
      <c r="G611" s="688"/>
      <c r="H611" s="688"/>
      <c r="I611" s="239"/>
      <c r="J611" s="239"/>
      <c r="K611" s="688"/>
      <c r="L611" s="7"/>
      <c r="M611" s="7"/>
      <c r="N611" s="7"/>
      <c r="O611" s="7"/>
      <c r="P611" s="239"/>
      <c r="Q611" s="7"/>
      <c r="R611" s="7"/>
      <c r="S611" s="7"/>
      <c r="T611" s="7"/>
      <c r="U611" s="7"/>
      <c r="V611" s="7"/>
      <c r="W611" s="7"/>
      <c r="X611" s="7"/>
      <c r="Y611" s="7"/>
      <c r="Z611" s="708"/>
      <c r="AA611" s="7"/>
      <c r="AB611" s="7"/>
      <c r="AC611" s="7"/>
      <c r="AD611" s="7"/>
      <c r="AE611" s="7"/>
      <c r="AF611" s="7"/>
      <c r="AG611" s="7"/>
      <c r="AH611" s="7"/>
    </row>
    <row r="612" spans="1:34" ht="15.75" customHeight="1">
      <c r="A612" s="686"/>
      <c r="B612" s="687"/>
      <c r="C612" s="243"/>
      <c r="D612" s="244"/>
      <c r="E612" s="688"/>
      <c r="F612" s="244"/>
      <c r="G612" s="688"/>
      <c r="H612" s="688"/>
      <c r="I612" s="239"/>
      <c r="J612" s="239"/>
      <c r="K612" s="688"/>
      <c r="L612" s="7"/>
      <c r="M612" s="7"/>
      <c r="N612" s="7"/>
      <c r="O612" s="7"/>
      <c r="P612" s="239"/>
      <c r="Q612" s="7"/>
      <c r="R612" s="7"/>
      <c r="S612" s="7"/>
      <c r="T612" s="7"/>
      <c r="U612" s="7"/>
      <c r="V612" s="7"/>
      <c r="W612" s="7"/>
      <c r="X612" s="7"/>
      <c r="Y612" s="7"/>
      <c r="Z612" s="708"/>
      <c r="AA612" s="7"/>
      <c r="AB612" s="7"/>
      <c r="AC612" s="7"/>
      <c r="AD612" s="7"/>
      <c r="AE612" s="7"/>
      <c r="AF612" s="7"/>
      <c r="AG612" s="7"/>
      <c r="AH612" s="7"/>
    </row>
    <row r="613" spans="1:34" ht="15.75" customHeight="1">
      <c r="A613" s="686"/>
      <c r="B613" s="687"/>
      <c r="C613" s="243"/>
      <c r="D613" s="244"/>
      <c r="E613" s="688"/>
      <c r="F613" s="244"/>
      <c r="G613" s="688"/>
      <c r="H613" s="688"/>
      <c r="I613" s="239"/>
      <c r="J613" s="239"/>
      <c r="K613" s="688"/>
      <c r="L613" s="7"/>
      <c r="M613" s="7"/>
      <c r="N613" s="7"/>
      <c r="O613" s="7"/>
      <c r="P613" s="239"/>
      <c r="Q613" s="7"/>
      <c r="R613" s="7"/>
      <c r="S613" s="7"/>
      <c r="T613" s="7"/>
      <c r="U613" s="7"/>
      <c r="V613" s="7"/>
      <c r="W613" s="7"/>
      <c r="X613" s="7"/>
      <c r="Y613" s="7"/>
      <c r="Z613" s="708"/>
      <c r="AA613" s="7"/>
      <c r="AB613" s="7"/>
      <c r="AC613" s="7"/>
      <c r="AD613" s="7"/>
      <c r="AE613" s="7"/>
      <c r="AF613" s="7"/>
      <c r="AG613" s="7"/>
      <c r="AH613" s="7"/>
    </row>
    <row r="614" spans="1:34" ht="15.75" customHeight="1">
      <c r="A614" s="686"/>
      <c r="B614" s="687"/>
      <c r="C614" s="243"/>
      <c r="D614" s="244"/>
      <c r="E614" s="688"/>
      <c r="F614" s="244"/>
      <c r="G614" s="688"/>
      <c r="H614" s="688"/>
      <c r="I614" s="239"/>
      <c r="J614" s="239"/>
      <c r="K614" s="688"/>
      <c r="L614" s="7"/>
      <c r="M614" s="7"/>
      <c r="N614" s="7"/>
      <c r="O614" s="7"/>
      <c r="P614" s="239"/>
      <c r="Q614" s="7"/>
      <c r="R614" s="7"/>
      <c r="S614" s="7"/>
      <c r="T614" s="7"/>
      <c r="U614" s="7"/>
      <c r="V614" s="7"/>
      <c r="W614" s="7"/>
      <c r="X614" s="7"/>
      <c r="Y614" s="7"/>
      <c r="Z614" s="708"/>
      <c r="AA614" s="7"/>
      <c r="AB614" s="7"/>
      <c r="AC614" s="7"/>
      <c r="AD614" s="7"/>
      <c r="AE614" s="7"/>
      <c r="AF614" s="7"/>
      <c r="AG614" s="7"/>
      <c r="AH614" s="7"/>
    </row>
    <row r="615" spans="1:34" ht="15.75" customHeight="1">
      <c r="A615" s="686"/>
      <c r="B615" s="687"/>
      <c r="C615" s="243"/>
      <c r="D615" s="244"/>
      <c r="E615" s="688"/>
      <c r="F615" s="244"/>
      <c r="G615" s="688"/>
      <c r="H615" s="688"/>
      <c r="I615" s="239"/>
      <c r="J615" s="239"/>
      <c r="K615" s="688"/>
      <c r="L615" s="7"/>
      <c r="M615" s="7"/>
      <c r="N615" s="7"/>
      <c r="O615" s="7"/>
      <c r="P615" s="239"/>
      <c r="Q615" s="7"/>
      <c r="R615" s="7"/>
      <c r="S615" s="7"/>
      <c r="T615" s="7"/>
      <c r="U615" s="7"/>
      <c r="V615" s="7"/>
      <c r="W615" s="7"/>
      <c r="X615" s="7"/>
      <c r="Y615" s="7"/>
      <c r="Z615" s="708"/>
      <c r="AA615" s="7"/>
      <c r="AB615" s="7"/>
      <c r="AC615" s="7"/>
      <c r="AD615" s="7"/>
      <c r="AE615" s="7"/>
      <c r="AF615" s="7"/>
      <c r="AG615" s="7"/>
      <c r="AH615" s="7"/>
    </row>
    <row r="616" spans="1:34" ht="15.75" customHeight="1">
      <c r="A616" s="686"/>
      <c r="B616" s="687"/>
      <c r="C616" s="243"/>
      <c r="D616" s="244"/>
      <c r="E616" s="688"/>
      <c r="F616" s="244"/>
      <c r="G616" s="688"/>
      <c r="H616" s="688"/>
      <c r="I616" s="239"/>
      <c r="J616" s="239"/>
      <c r="K616" s="688"/>
      <c r="L616" s="7"/>
      <c r="M616" s="7"/>
      <c r="N616" s="7"/>
      <c r="O616" s="7"/>
      <c r="P616" s="239"/>
      <c r="Q616" s="7"/>
      <c r="R616" s="7"/>
      <c r="S616" s="7"/>
      <c r="T616" s="7"/>
      <c r="U616" s="7"/>
      <c r="V616" s="7"/>
      <c r="W616" s="7"/>
      <c r="X616" s="7"/>
      <c r="Y616" s="7"/>
      <c r="Z616" s="708"/>
      <c r="AA616" s="7"/>
      <c r="AB616" s="7"/>
      <c r="AC616" s="7"/>
      <c r="AD616" s="7"/>
      <c r="AE616" s="7"/>
      <c r="AF616" s="7"/>
      <c r="AG616" s="7"/>
      <c r="AH616" s="7"/>
    </row>
    <row r="617" spans="1:34" ht="15.75" customHeight="1">
      <c r="A617" s="686"/>
      <c r="B617" s="687"/>
      <c r="C617" s="243"/>
      <c r="D617" s="244"/>
      <c r="E617" s="688"/>
      <c r="F617" s="244"/>
      <c r="G617" s="688"/>
      <c r="H617" s="688"/>
      <c r="I617" s="239"/>
      <c r="J617" s="239"/>
      <c r="K617" s="688"/>
      <c r="L617" s="7"/>
      <c r="M617" s="7"/>
      <c r="N617" s="7"/>
      <c r="O617" s="7"/>
      <c r="P617" s="239"/>
      <c r="Q617" s="7"/>
      <c r="R617" s="7"/>
      <c r="S617" s="7"/>
      <c r="T617" s="7"/>
      <c r="U617" s="7"/>
      <c r="V617" s="7"/>
      <c r="W617" s="7"/>
      <c r="X617" s="7"/>
      <c r="Y617" s="7"/>
      <c r="Z617" s="708"/>
      <c r="AA617" s="7"/>
      <c r="AB617" s="7"/>
      <c r="AC617" s="7"/>
      <c r="AD617" s="7"/>
      <c r="AE617" s="7"/>
      <c r="AF617" s="7"/>
      <c r="AG617" s="7"/>
      <c r="AH617" s="7"/>
    </row>
    <row r="618" spans="1:34" ht="15.75" customHeight="1">
      <c r="A618" s="686"/>
      <c r="B618" s="687"/>
      <c r="C618" s="243"/>
      <c r="D618" s="244"/>
      <c r="E618" s="688"/>
      <c r="F618" s="244"/>
      <c r="G618" s="688"/>
      <c r="H618" s="688"/>
      <c r="I618" s="239"/>
      <c r="J618" s="239"/>
      <c r="K618" s="688"/>
      <c r="L618" s="7"/>
      <c r="M618" s="7"/>
      <c r="N618" s="7"/>
      <c r="O618" s="7"/>
      <c r="P618" s="239"/>
      <c r="Q618" s="7"/>
      <c r="R618" s="7"/>
      <c r="S618" s="7"/>
      <c r="T618" s="7"/>
      <c r="U618" s="7"/>
      <c r="V618" s="7"/>
      <c r="W618" s="7"/>
      <c r="X618" s="7"/>
      <c r="Y618" s="7"/>
      <c r="Z618" s="708"/>
      <c r="AA618" s="7"/>
      <c r="AB618" s="7"/>
      <c r="AC618" s="7"/>
      <c r="AD618" s="7"/>
      <c r="AE618" s="7"/>
      <c r="AF618" s="7"/>
      <c r="AG618" s="7"/>
      <c r="AH618" s="7"/>
    </row>
    <row r="619" spans="1:34" ht="15.75" customHeight="1">
      <c r="A619" s="686"/>
      <c r="B619" s="687"/>
      <c r="C619" s="243"/>
      <c r="D619" s="244"/>
      <c r="E619" s="688"/>
      <c r="F619" s="244"/>
      <c r="G619" s="688"/>
      <c r="H619" s="688"/>
      <c r="I619" s="239"/>
      <c r="J619" s="239"/>
      <c r="K619" s="688"/>
      <c r="L619" s="7"/>
      <c r="M619" s="7"/>
      <c r="N619" s="7"/>
      <c r="O619" s="7"/>
      <c r="P619" s="239"/>
      <c r="Q619" s="7"/>
      <c r="R619" s="7"/>
      <c r="S619" s="7"/>
      <c r="T619" s="7"/>
      <c r="U619" s="7"/>
      <c r="V619" s="7"/>
      <c r="W619" s="7"/>
      <c r="X619" s="7"/>
      <c r="Y619" s="7"/>
      <c r="Z619" s="708"/>
      <c r="AA619" s="7"/>
      <c r="AB619" s="7"/>
      <c r="AC619" s="7"/>
      <c r="AD619" s="7"/>
      <c r="AE619" s="7"/>
      <c r="AF619" s="7"/>
      <c r="AG619" s="7"/>
      <c r="AH619" s="7"/>
    </row>
    <row r="620" spans="1:34" ht="15.75" customHeight="1">
      <c r="A620" s="686"/>
      <c r="B620" s="687"/>
      <c r="C620" s="243"/>
      <c r="D620" s="244"/>
      <c r="E620" s="688"/>
      <c r="F620" s="244"/>
      <c r="G620" s="688"/>
      <c r="H620" s="688"/>
      <c r="I620" s="239"/>
      <c r="J620" s="239"/>
      <c r="K620" s="688"/>
      <c r="L620" s="7"/>
      <c r="M620" s="7"/>
      <c r="N620" s="7"/>
      <c r="O620" s="7"/>
      <c r="P620" s="239"/>
      <c r="Q620" s="7"/>
      <c r="R620" s="7"/>
      <c r="S620" s="7"/>
      <c r="T620" s="7"/>
      <c r="U620" s="7"/>
      <c r="V620" s="7"/>
      <c r="W620" s="7"/>
      <c r="X620" s="7"/>
      <c r="Y620" s="7"/>
      <c r="Z620" s="708"/>
      <c r="AA620" s="7"/>
      <c r="AB620" s="7"/>
      <c r="AC620" s="7"/>
      <c r="AD620" s="7"/>
      <c r="AE620" s="7"/>
      <c r="AF620" s="7"/>
      <c r="AG620" s="7"/>
      <c r="AH620" s="7"/>
    </row>
    <row r="621" spans="1:34" ht="15.75" customHeight="1">
      <c r="A621" s="686"/>
      <c r="B621" s="687"/>
      <c r="C621" s="243"/>
      <c r="D621" s="244"/>
      <c r="E621" s="688"/>
      <c r="F621" s="244"/>
      <c r="G621" s="688"/>
      <c r="H621" s="688"/>
      <c r="I621" s="239"/>
      <c r="J621" s="239"/>
      <c r="K621" s="688"/>
      <c r="L621" s="7"/>
      <c r="M621" s="7"/>
      <c r="N621" s="7"/>
      <c r="O621" s="7"/>
      <c r="P621" s="239"/>
      <c r="Q621" s="7"/>
      <c r="R621" s="7"/>
      <c r="S621" s="7"/>
      <c r="T621" s="7"/>
      <c r="U621" s="7"/>
      <c r="V621" s="7"/>
      <c r="W621" s="7"/>
      <c r="X621" s="7"/>
      <c r="Y621" s="7"/>
      <c r="Z621" s="708"/>
      <c r="AA621" s="7"/>
      <c r="AB621" s="7"/>
      <c r="AC621" s="7"/>
      <c r="AD621" s="7"/>
      <c r="AE621" s="7"/>
      <c r="AF621" s="7"/>
      <c r="AG621" s="7"/>
      <c r="AH621" s="7"/>
    </row>
    <row r="622" spans="1:34" ht="15.75" customHeight="1">
      <c r="A622" s="686"/>
      <c r="B622" s="687"/>
      <c r="C622" s="243"/>
      <c r="D622" s="244"/>
      <c r="E622" s="688"/>
      <c r="F622" s="244"/>
      <c r="G622" s="688"/>
      <c r="H622" s="688"/>
      <c r="I622" s="239"/>
      <c r="J622" s="239"/>
      <c r="K622" s="688"/>
      <c r="L622" s="7"/>
      <c r="M622" s="7"/>
      <c r="N622" s="7"/>
      <c r="O622" s="7"/>
      <c r="P622" s="239"/>
      <c r="Q622" s="7"/>
      <c r="R622" s="7"/>
      <c r="S622" s="7"/>
      <c r="T622" s="7"/>
      <c r="U622" s="7"/>
      <c r="V622" s="7"/>
      <c r="W622" s="7"/>
      <c r="X622" s="7"/>
      <c r="Y622" s="7"/>
      <c r="Z622" s="708"/>
      <c r="AA622" s="7"/>
      <c r="AB622" s="7"/>
      <c r="AC622" s="7"/>
      <c r="AD622" s="7"/>
      <c r="AE622" s="7"/>
      <c r="AF622" s="7"/>
      <c r="AG622" s="7"/>
      <c r="AH622" s="7"/>
    </row>
    <row r="623" spans="1:34" ht="15.75" customHeight="1">
      <c r="A623" s="686"/>
      <c r="B623" s="687"/>
      <c r="C623" s="243"/>
      <c r="D623" s="244"/>
      <c r="E623" s="688"/>
      <c r="F623" s="244"/>
      <c r="G623" s="688"/>
      <c r="H623" s="688"/>
      <c r="I623" s="239"/>
      <c r="J623" s="239"/>
      <c r="K623" s="688"/>
      <c r="L623" s="7"/>
      <c r="M623" s="7"/>
      <c r="N623" s="7"/>
      <c r="O623" s="7"/>
      <c r="P623" s="239"/>
      <c r="Q623" s="7"/>
      <c r="R623" s="7"/>
      <c r="S623" s="7"/>
      <c r="T623" s="7"/>
      <c r="U623" s="7"/>
      <c r="V623" s="7"/>
      <c r="W623" s="7"/>
      <c r="X623" s="7"/>
      <c r="Y623" s="7"/>
      <c r="Z623" s="708"/>
      <c r="AA623" s="7"/>
      <c r="AB623" s="7"/>
      <c r="AC623" s="7"/>
      <c r="AD623" s="7"/>
      <c r="AE623" s="7"/>
      <c r="AF623" s="7"/>
      <c r="AG623" s="7"/>
      <c r="AH623" s="7"/>
    </row>
    <row r="624" spans="1:34" ht="15.75" customHeight="1">
      <c r="A624" s="686"/>
      <c r="B624" s="687"/>
      <c r="C624" s="243"/>
      <c r="D624" s="244"/>
      <c r="E624" s="688"/>
      <c r="F624" s="244"/>
      <c r="G624" s="688"/>
      <c r="H624" s="688"/>
      <c r="I624" s="239"/>
      <c r="J624" s="239"/>
      <c r="K624" s="688"/>
      <c r="L624" s="7"/>
      <c r="M624" s="7"/>
      <c r="N624" s="7"/>
      <c r="O624" s="7"/>
      <c r="P624" s="239"/>
      <c r="Q624" s="7"/>
      <c r="R624" s="7"/>
      <c r="S624" s="7"/>
      <c r="T624" s="7"/>
      <c r="U624" s="7"/>
      <c r="V624" s="7"/>
      <c r="W624" s="7"/>
      <c r="X624" s="7"/>
      <c r="Y624" s="7"/>
      <c r="Z624" s="708"/>
      <c r="AA624" s="7"/>
      <c r="AB624" s="7"/>
      <c r="AC624" s="7"/>
      <c r="AD624" s="7"/>
      <c r="AE624" s="7"/>
      <c r="AF624" s="7"/>
      <c r="AG624" s="7"/>
      <c r="AH624" s="7"/>
    </row>
    <row r="625" spans="1:34" ht="15.75" customHeight="1">
      <c r="A625" s="686"/>
      <c r="B625" s="687"/>
      <c r="C625" s="243"/>
      <c r="D625" s="244"/>
      <c r="E625" s="688"/>
      <c r="F625" s="244"/>
      <c r="G625" s="688"/>
      <c r="H625" s="688"/>
      <c r="I625" s="239"/>
      <c r="J625" s="239"/>
      <c r="K625" s="688"/>
      <c r="L625" s="7"/>
      <c r="M625" s="7"/>
      <c r="N625" s="7"/>
      <c r="O625" s="7"/>
      <c r="P625" s="239"/>
      <c r="Q625" s="7"/>
      <c r="R625" s="7"/>
      <c r="S625" s="7"/>
      <c r="T625" s="7"/>
      <c r="U625" s="7"/>
      <c r="V625" s="7"/>
      <c r="W625" s="7"/>
      <c r="X625" s="7"/>
      <c r="Y625" s="7"/>
      <c r="Z625" s="708"/>
      <c r="AA625" s="7"/>
      <c r="AB625" s="7"/>
      <c r="AC625" s="7"/>
      <c r="AD625" s="7"/>
      <c r="AE625" s="7"/>
      <c r="AF625" s="7"/>
      <c r="AG625" s="7"/>
      <c r="AH625" s="7"/>
    </row>
    <row r="626" spans="1:34" ht="15.75" customHeight="1">
      <c r="A626" s="686"/>
      <c r="B626" s="687"/>
      <c r="C626" s="243"/>
      <c r="D626" s="244"/>
      <c r="E626" s="688"/>
      <c r="F626" s="244"/>
      <c r="G626" s="688"/>
      <c r="H626" s="688"/>
      <c r="I626" s="239"/>
      <c r="J626" s="239"/>
      <c r="K626" s="688"/>
      <c r="L626" s="7"/>
      <c r="M626" s="7"/>
      <c r="N626" s="7"/>
      <c r="O626" s="7"/>
      <c r="P626" s="239"/>
      <c r="Q626" s="7"/>
      <c r="R626" s="7"/>
      <c r="S626" s="7"/>
      <c r="T626" s="7"/>
      <c r="U626" s="7"/>
      <c r="V626" s="7"/>
      <c r="W626" s="7"/>
      <c r="X626" s="7"/>
      <c r="Y626" s="7"/>
      <c r="Z626" s="708"/>
      <c r="AA626" s="7"/>
      <c r="AB626" s="7"/>
      <c r="AC626" s="7"/>
      <c r="AD626" s="7"/>
      <c r="AE626" s="7"/>
      <c r="AF626" s="7"/>
      <c r="AG626" s="7"/>
      <c r="AH626" s="7"/>
    </row>
    <row r="627" spans="1:34" ht="15.75" customHeight="1">
      <c r="A627" s="686"/>
      <c r="B627" s="687"/>
      <c r="C627" s="243"/>
      <c r="D627" s="244"/>
      <c r="E627" s="688"/>
      <c r="F627" s="244"/>
      <c r="G627" s="688"/>
      <c r="H627" s="688"/>
      <c r="I627" s="239"/>
      <c r="J627" s="239"/>
      <c r="K627" s="688"/>
      <c r="L627" s="7"/>
      <c r="M627" s="7"/>
      <c r="N627" s="7"/>
      <c r="O627" s="7"/>
      <c r="P627" s="239"/>
      <c r="Q627" s="7"/>
      <c r="R627" s="7"/>
      <c r="S627" s="7"/>
      <c r="T627" s="7"/>
      <c r="U627" s="7"/>
      <c r="V627" s="7"/>
      <c r="W627" s="7"/>
      <c r="X627" s="7"/>
      <c r="Y627" s="7"/>
      <c r="Z627" s="708"/>
      <c r="AA627" s="7"/>
      <c r="AB627" s="7"/>
      <c r="AC627" s="7"/>
      <c r="AD627" s="7"/>
      <c r="AE627" s="7"/>
      <c r="AF627" s="7"/>
      <c r="AG627" s="7"/>
      <c r="AH627" s="7"/>
    </row>
    <row r="628" spans="1:34" ht="15.75" customHeight="1">
      <c r="A628" s="686"/>
      <c r="B628" s="687"/>
      <c r="C628" s="243"/>
      <c r="D628" s="244"/>
      <c r="E628" s="688"/>
      <c r="F628" s="244"/>
      <c r="G628" s="688"/>
      <c r="H628" s="688"/>
      <c r="I628" s="239"/>
      <c r="J628" s="239"/>
      <c r="K628" s="688"/>
      <c r="L628" s="7"/>
      <c r="M628" s="7"/>
      <c r="N628" s="7"/>
      <c r="O628" s="7"/>
      <c r="P628" s="239"/>
      <c r="Q628" s="7"/>
      <c r="R628" s="7"/>
      <c r="S628" s="7"/>
      <c r="T628" s="7"/>
      <c r="U628" s="7"/>
      <c r="V628" s="7"/>
      <c r="W628" s="7"/>
      <c r="X628" s="7"/>
      <c r="Y628" s="7"/>
      <c r="Z628" s="708"/>
      <c r="AA628" s="7"/>
      <c r="AB628" s="7"/>
      <c r="AC628" s="7"/>
      <c r="AD628" s="7"/>
      <c r="AE628" s="7"/>
      <c r="AF628" s="7"/>
      <c r="AG628" s="7"/>
      <c r="AH628" s="7"/>
    </row>
    <row r="629" spans="1:34" ht="15.75" customHeight="1">
      <c r="A629" s="686"/>
      <c r="B629" s="687"/>
      <c r="C629" s="243"/>
      <c r="D629" s="244"/>
      <c r="E629" s="688"/>
      <c r="F629" s="244"/>
      <c r="G629" s="688"/>
      <c r="H629" s="688"/>
      <c r="I629" s="239"/>
      <c r="J629" s="239"/>
      <c r="K629" s="688"/>
      <c r="L629" s="7"/>
      <c r="M629" s="7"/>
      <c r="N629" s="7"/>
      <c r="O629" s="7"/>
      <c r="P629" s="239"/>
      <c r="Q629" s="7"/>
      <c r="R629" s="7"/>
      <c r="S629" s="7"/>
      <c r="T629" s="7"/>
      <c r="U629" s="7"/>
      <c r="V629" s="7"/>
      <c r="W629" s="7"/>
      <c r="X629" s="7"/>
      <c r="Y629" s="7"/>
      <c r="Z629" s="708"/>
      <c r="AA629" s="7"/>
      <c r="AB629" s="7"/>
      <c r="AC629" s="7"/>
      <c r="AD629" s="7"/>
      <c r="AE629" s="7"/>
      <c r="AF629" s="7"/>
      <c r="AG629" s="7"/>
      <c r="AH629" s="7"/>
    </row>
    <row r="630" spans="1:34" ht="15.75" customHeight="1">
      <c r="A630" s="686"/>
      <c r="B630" s="687"/>
      <c r="C630" s="243"/>
      <c r="D630" s="244"/>
      <c r="E630" s="688"/>
      <c r="F630" s="244"/>
      <c r="G630" s="688"/>
      <c r="H630" s="688"/>
      <c r="I630" s="239"/>
      <c r="J630" s="239"/>
      <c r="K630" s="688"/>
      <c r="L630" s="7"/>
      <c r="M630" s="7"/>
      <c r="N630" s="7"/>
      <c r="O630" s="7"/>
      <c r="P630" s="239"/>
      <c r="Q630" s="7"/>
      <c r="R630" s="7"/>
      <c r="S630" s="7"/>
      <c r="T630" s="7"/>
      <c r="U630" s="7"/>
      <c r="V630" s="7"/>
      <c r="W630" s="7"/>
      <c r="X630" s="7"/>
      <c r="Y630" s="7"/>
      <c r="Z630" s="708"/>
      <c r="AA630" s="7"/>
      <c r="AB630" s="7"/>
      <c r="AC630" s="7"/>
      <c r="AD630" s="7"/>
      <c r="AE630" s="7"/>
      <c r="AF630" s="7"/>
      <c r="AG630" s="7"/>
      <c r="AH630" s="7"/>
    </row>
    <row r="631" spans="1:34" ht="15.75" customHeight="1">
      <c r="A631" s="686"/>
      <c r="B631" s="687"/>
      <c r="C631" s="243"/>
      <c r="D631" s="244"/>
      <c r="E631" s="688"/>
      <c r="F631" s="244"/>
      <c r="G631" s="688"/>
      <c r="H631" s="688"/>
      <c r="I631" s="239"/>
      <c r="J631" s="239"/>
      <c r="K631" s="688"/>
      <c r="L631" s="7"/>
      <c r="M631" s="7"/>
      <c r="N631" s="7"/>
      <c r="O631" s="7"/>
      <c r="P631" s="239"/>
      <c r="Q631" s="7"/>
      <c r="R631" s="7"/>
      <c r="S631" s="7"/>
      <c r="T631" s="7"/>
      <c r="U631" s="7"/>
      <c r="V631" s="7"/>
      <c r="W631" s="7"/>
      <c r="X631" s="7"/>
      <c r="Y631" s="7"/>
      <c r="Z631" s="708"/>
      <c r="AA631" s="7"/>
      <c r="AB631" s="7"/>
      <c r="AC631" s="7"/>
      <c r="AD631" s="7"/>
      <c r="AE631" s="7"/>
      <c r="AF631" s="7"/>
      <c r="AG631" s="7"/>
      <c r="AH631" s="7"/>
    </row>
    <row r="632" spans="1:34" ht="15.75" customHeight="1">
      <c r="A632" s="686"/>
      <c r="B632" s="687"/>
      <c r="C632" s="243"/>
      <c r="D632" s="244"/>
      <c r="E632" s="688"/>
      <c r="F632" s="244"/>
      <c r="G632" s="688"/>
      <c r="H632" s="688"/>
      <c r="I632" s="239"/>
      <c r="J632" s="239"/>
      <c r="K632" s="688"/>
      <c r="L632" s="7"/>
      <c r="M632" s="7"/>
      <c r="N632" s="7"/>
      <c r="O632" s="7"/>
      <c r="P632" s="239"/>
      <c r="Q632" s="7"/>
      <c r="R632" s="7"/>
      <c r="S632" s="7"/>
      <c r="T632" s="7"/>
      <c r="U632" s="7"/>
      <c r="V632" s="7"/>
      <c r="W632" s="7"/>
      <c r="X632" s="7"/>
      <c r="Y632" s="7"/>
      <c r="Z632" s="708"/>
      <c r="AA632" s="7"/>
      <c r="AB632" s="7"/>
      <c r="AC632" s="7"/>
      <c r="AD632" s="7"/>
      <c r="AE632" s="7"/>
      <c r="AF632" s="7"/>
      <c r="AG632" s="7"/>
      <c r="AH632" s="7"/>
    </row>
    <row r="633" spans="1:34" ht="15.75" customHeight="1">
      <c r="A633" s="686"/>
      <c r="B633" s="687"/>
      <c r="C633" s="243"/>
      <c r="D633" s="244"/>
      <c r="E633" s="688"/>
      <c r="F633" s="244"/>
      <c r="G633" s="688"/>
      <c r="H633" s="688"/>
      <c r="I633" s="239"/>
      <c r="J633" s="239"/>
      <c r="K633" s="688"/>
      <c r="L633" s="7"/>
      <c r="M633" s="7"/>
      <c r="N633" s="7"/>
      <c r="O633" s="7"/>
      <c r="P633" s="239"/>
      <c r="Q633" s="7"/>
      <c r="R633" s="7"/>
      <c r="S633" s="7"/>
      <c r="T633" s="7"/>
      <c r="U633" s="7"/>
      <c r="V633" s="7"/>
      <c r="W633" s="7"/>
      <c r="X633" s="7"/>
      <c r="Y633" s="7"/>
      <c r="Z633" s="708"/>
      <c r="AA633" s="7"/>
      <c r="AB633" s="7"/>
      <c r="AC633" s="7"/>
      <c r="AD633" s="7"/>
      <c r="AE633" s="7"/>
      <c r="AF633" s="7"/>
      <c r="AG633" s="7"/>
      <c r="AH633" s="7"/>
    </row>
    <row r="634" spans="1:34" ht="15.75" customHeight="1">
      <c r="A634" s="686"/>
      <c r="B634" s="687"/>
      <c r="C634" s="243"/>
      <c r="D634" s="244"/>
      <c r="E634" s="688"/>
      <c r="F634" s="244"/>
      <c r="G634" s="688"/>
      <c r="H634" s="688"/>
      <c r="I634" s="239"/>
      <c r="J634" s="239"/>
      <c r="K634" s="688"/>
      <c r="L634" s="7"/>
      <c r="M634" s="7"/>
      <c r="N634" s="7"/>
      <c r="O634" s="7"/>
      <c r="P634" s="239"/>
      <c r="Q634" s="7"/>
      <c r="R634" s="7"/>
      <c r="S634" s="7"/>
      <c r="T634" s="7"/>
      <c r="U634" s="7"/>
      <c r="V634" s="7"/>
      <c r="W634" s="7"/>
      <c r="X634" s="7"/>
      <c r="Y634" s="7"/>
      <c r="Z634" s="708"/>
      <c r="AA634" s="7"/>
      <c r="AB634" s="7"/>
      <c r="AC634" s="7"/>
      <c r="AD634" s="7"/>
      <c r="AE634" s="7"/>
      <c r="AF634" s="7"/>
      <c r="AG634" s="7"/>
      <c r="AH634" s="7"/>
    </row>
    <row r="635" spans="1:34" ht="15.75" customHeight="1">
      <c r="A635" s="686"/>
      <c r="B635" s="687"/>
      <c r="C635" s="243"/>
      <c r="D635" s="244"/>
      <c r="E635" s="688"/>
      <c r="F635" s="244"/>
      <c r="G635" s="688"/>
      <c r="H635" s="688"/>
      <c r="I635" s="239"/>
      <c r="J635" s="239"/>
      <c r="K635" s="688"/>
      <c r="L635" s="7"/>
      <c r="M635" s="7"/>
      <c r="N635" s="7"/>
      <c r="O635" s="7"/>
      <c r="P635" s="239"/>
      <c r="Q635" s="7"/>
      <c r="R635" s="7"/>
      <c r="S635" s="7"/>
      <c r="T635" s="7"/>
      <c r="U635" s="7"/>
      <c r="V635" s="7"/>
      <c r="W635" s="7"/>
      <c r="X635" s="7"/>
      <c r="Y635" s="7"/>
      <c r="Z635" s="708"/>
      <c r="AA635" s="7"/>
      <c r="AB635" s="7"/>
      <c r="AC635" s="7"/>
      <c r="AD635" s="7"/>
      <c r="AE635" s="7"/>
      <c r="AF635" s="7"/>
      <c r="AG635" s="7"/>
      <c r="AH635" s="7"/>
    </row>
    <row r="636" spans="1:34" ht="15.75" customHeight="1">
      <c r="A636" s="686"/>
      <c r="B636" s="687"/>
      <c r="C636" s="243"/>
      <c r="D636" s="244"/>
      <c r="E636" s="688"/>
      <c r="F636" s="244"/>
      <c r="G636" s="688"/>
      <c r="H636" s="688"/>
      <c r="I636" s="239"/>
      <c r="J636" s="239"/>
      <c r="K636" s="688"/>
      <c r="L636" s="7"/>
      <c r="M636" s="7"/>
      <c r="N636" s="7"/>
      <c r="O636" s="7"/>
      <c r="P636" s="239"/>
      <c r="Q636" s="7"/>
      <c r="R636" s="7"/>
      <c r="S636" s="7"/>
      <c r="T636" s="7"/>
      <c r="U636" s="7"/>
      <c r="V636" s="7"/>
      <c r="W636" s="7"/>
      <c r="X636" s="7"/>
      <c r="Y636" s="7"/>
      <c r="Z636" s="708"/>
      <c r="AA636" s="7"/>
      <c r="AB636" s="7"/>
      <c r="AC636" s="7"/>
      <c r="AD636" s="7"/>
      <c r="AE636" s="7"/>
      <c r="AF636" s="7"/>
      <c r="AG636" s="7"/>
      <c r="AH636" s="7"/>
    </row>
    <row r="637" spans="1:34" ht="15.75" customHeight="1">
      <c r="A637" s="686"/>
      <c r="B637" s="687"/>
      <c r="C637" s="243"/>
      <c r="D637" s="244"/>
      <c r="E637" s="688"/>
      <c r="F637" s="244"/>
      <c r="G637" s="688"/>
      <c r="H637" s="688"/>
      <c r="I637" s="239"/>
      <c r="J637" s="239"/>
      <c r="K637" s="688"/>
      <c r="L637" s="7"/>
      <c r="M637" s="7"/>
      <c r="N637" s="7"/>
      <c r="O637" s="7"/>
      <c r="P637" s="239"/>
      <c r="Q637" s="7"/>
      <c r="R637" s="7"/>
      <c r="S637" s="7"/>
      <c r="T637" s="7"/>
      <c r="U637" s="7"/>
      <c r="V637" s="7"/>
      <c r="W637" s="7"/>
      <c r="X637" s="7"/>
      <c r="Y637" s="7"/>
      <c r="Z637" s="708"/>
      <c r="AA637" s="7"/>
      <c r="AB637" s="7"/>
      <c r="AC637" s="7"/>
      <c r="AD637" s="7"/>
      <c r="AE637" s="7"/>
      <c r="AF637" s="7"/>
      <c r="AG637" s="7"/>
      <c r="AH637" s="7"/>
    </row>
    <row r="638" spans="1:34" ht="15.75" customHeight="1">
      <c r="A638" s="686"/>
      <c r="B638" s="687"/>
      <c r="C638" s="243"/>
      <c r="D638" s="244"/>
      <c r="E638" s="688"/>
      <c r="F638" s="244"/>
      <c r="G638" s="688"/>
      <c r="H638" s="688"/>
      <c r="I638" s="167"/>
      <c r="J638" s="167"/>
      <c r="K638" s="688"/>
      <c r="L638" s="7"/>
      <c r="M638" s="7"/>
      <c r="N638" s="7"/>
      <c r="O638" s="7"/>
      <c r="P638" s="239"/>
      <c r="Q638" s="7"/>
      <c r="R638" s="7"/>
      <c r="S638" s="7"/>
      <c r="T638" s="7"/>
      <c r="U638" s="7"/>
      <c r="V638" s="7"/>
      <c r="W638" s="7"/>
      <c r="X638" s="7"/>
      <c r="Y638" s="7"/>
      <c r="Z638" s="708"/>
      <c r="AA638" s="7"/>
      <c r="AB638" s="7"/>
      <c r="AC638" s="7"/>
      <c r="AD638" s="7"/>
      <c r="AE638" s="7"/>
      <c r="AF638" s="7"/>
      <c r="AG638" s="7"/>
      <c r="AH638" s="7"/>
    </row>
    <row r="639" spans="1:34" ht="15.75" customHeight="1">
      <c r="A639" s="686"/>
      <c r="B639" s="687"/>
      <c r="C639" s="243"/>
      <c r="D639" s="244"/>
      <c r="E639" s="688"/>
      <c r="F639" s="244"/>
      <c r="G639" s="688"/>
      <c r="H639" s="688"/>
      <c r="I639" s="167"/>
      <c r="J639" s="167"/>
      <c r="K639" s="688"/>
      <c r="L639" s="7"/>
      <c r="M639" s="7"/>
      <c r="N639" s="7"/>
      <c r="O639" s="7"/>
      <c r="P639" s="239"/>
      <c r="Q639" s="7"/>
      <c r="R639" s="7"/>
      <c r="S639" s="7"/>
      <c r="T639" s="7"/>
      <c r="U639" s="7"/>
      <c r="V639" s="7"/>
      <c r="W639" s="7"/>
      <c r="X639" s="7"/>
      <c r="Y639" s="7"/>
      <c r="Z639" s="708"/>
      <c r="AA639" s="7"/>
      <c r="AB639" s="7"/>
      <c r="AC639" s="7"/>
      <c r="AD639" s="7"/>
      <c r="AE639" s="7"/>
      <c r="AF639" s="7"/>
      <c r="AG639" s="7"/>
      <c r="AH639" s="7"/>
    </row>
    <row r="640" spans="1:34" ht="15.75" customHeight="1">
      <c r="A640" s="686"/>
      <c r="B640" s="687"/>
      <c r="C640" s="243"/>
      <c r="D640" s="244"/>
      <c r="E640" s="688"/>
      <c r="F640" s="244"/>
      <c r="G640" s="688"/>
      <c r="H640" s="688"/>
      <c r="I640" s="167"/>
      <c r="J640" s="167"/>
      <c r="K640" s="688"/>
      <c r="L640" s="7"/>
      <c r="M640" s="7"/>
      <c r="N640" s="7"/>
      <c r="O640" s="7"/>
      <c r="P640" s="239"/>
      <c r="Q640" s="7"/>
      <c r="R640" s="7"/>
      <c r="S640" s="7"/>
      <c r="T640" s="7"/>
      <c r="U640" s="7"/>
      <c r="V640" s="7"/>
      <c r="W640" s="7"/>
      <c r="X640" s="7"/>
      <c r="Y640" s="7"/>
      <c r="Z640" s="708"/>
      <c r="AA640" s="7"/>
      <c r="AB640" s="7"/>
      <c r="AC640" s="7"/>
      <c r="AD640" s="7"/>
      <c r="AE640" s="7"/>
      <c r="AF640" s="7"/>
      <c r="AG640" s="7"/>
      <c r="AH640" s="7"/>
    </row>
    <row r="641" spans="1:34" ht="15.75" customHeight="1">
      <c r="A641" s="686"/>
      <c r="B641" s="687"/>
      <c r="C641" s="243"/>
      <c r="D641" s="244"/>
      <c r="E641" s="688"/>
      <c r="F641" s="244"/>
      <c r="G641" s="688"/>
      <c r="H641" s="688"/>
      <c r="I641" s="167"/>
      <c r="J641" s="167"/>
      <c r="K641" s="688"/>
      <c r="L641" s="7"/>
      <c r="M641" s="7"/>
      <c r="N641" s="7"/>
      <c r="O641" s="7"/>
      <c r="P641" s="239"/>
      <c r="Q641" s="7"/>
      <c r="R641" s="7"/>
      <c r="S641" s="7"/>
      <c r="T641" s="7"/>
      <c r="U641" s="7"/>
      <c r="V641" s="7"/>
      <c r="W641" s="7"/>
      <c r="X641" s="7"/>
      <c r="Y641" s="7"/>
      <c r="Z641" s="708"/>
      <c r="AA641" s="7"/>
      <c r="AB641" s="7"/>
      <c r="AC641" s="7"/>
      <c r="AD641" s="7"/>
      <c r="AE641" s="7"/>
      <c r="AF641" s="7"/>
      <c r="AG641" s="7"/>
      <c r="AH641" s="7"/>
    </row>
    <row r="642" spans="1:34" ht="15.75" customHeight="1">
      <c r="A642" s="686"/>
      <c r="B642" s="687"/>
      <c r="C642" s="243"/>
      <c r="D642" s="244"/>
      <c r="E642" s="688"/>
      <c r="F642" s="244"/>
      <c r="G642" s="688"/>
      <c r="H642" s="688"/>
      <c r="I642" s="167"/>
      <c r="J642" s="167"/>
      <c r="K642" s="688"/>
      <c r="L642" s="7"/>
      <c r="M642" s="7"/>
      <c r="N642" s="7"/>
      <c r="O642" s="7"/>
      <c r="P642" s="239"/>
      <c r="Q642" s="7"/>
      <c r="R642" s="7"/>
      <c r="S642" s="7"/>
      <c r="T642" s="7"/>
      <c r="U642" s="7"/>
      <c r="V642" s="7"/>
      <c r="W642" s="7"/>
      <c r="X642" s="7"/>
      <c r="Y642" s="7"/>
      <c r="Z642" s="708"/>
      <c r="AA642" s="7"/>
      <c r="AB642" s="7"/>
      <c r="AC642" s="7"/>
      <c r="AD642" s="7"/>
      <c r="AE642" s="7"/>
      <c r="AF642" s="7"/>
      <c r="AG642" s="7"/>
      <c r="AH642" s="7"/>
    </row>
    <row r="643" spans="1:34" ht="15.75" customHeight="1">
      <c r="A643" s="686"/>
      <c r="B643" s="687"/>
      <c r="C643" s="243"/>
      <c r="D643" s="244"/>
      <c r="E643" s="688"/>
      <c r="F643" s="244"/>
      <c r="G643" s="688"/>
      <c r="H643" s="688"/>
      <c r="I643" s="167"/>
      <c r="J643" s="167"/>
      <c r="K643" s="688"/>
      <c r="L643" s="7"/>
      <c r="M643" s="7"/>
      <c r="N643" s="7"/>
      <c r="O643" s="7"/>
      <c r="P643" s="239"/>
      <c r="Q643" s="7"/>
      <c r="R643" s="7"/>
      <c r="S643" s="7"/>
      <c r="T643" s="7"/>
      <c r="U643" s="7"/>
      <c r="V643" s="7"/>
      <c r="W643" s="7"/>
      <c r="X643" s="7"/>
      <c r="Y643" s="7"/>
      <c r="Z643" s="708"/>
      <c r="AA643" s="7"/>
      <c r="AB643" s="7"/>
      <c r="AC643" s="7"/>
      <c r="AD643" s="7"/>
      <c r="AE643" s="7"/>
      <c r="AF643" s="7"/>
      <c r="AG643" s="7"/>
      <c r="AH643" s="7"/>
    </row>
    <row r="644" spans="1:34" ht="15.75" customHeight="1">
      <c r="A644" s="686"/>
      <c r="B644" s="687"/>
      <c r="C644" s="243"/>
      <c r="D644" s="244"/>
      <c r="E644" s="688"/>
      <c r="F644" s="244"/>
      <c r="G644" s="688"/>
      <c r="H644" s="688"/>
      <c r="I644" s="167"/>
      <c r="J644" s="167"/>
      <c r="K644" s="688"/>
      <c r="L644" s="7"/>
      <c r="M644" s="7"/>
      <c r="N644" s="7"/>
      <c r="O644" s="7"/>
      <c r="P644" s="239"/>
      <c r="Q644" s="7"/>
      <c r="R644" s="7"/>
      <c r="S644" s="7"/>
      <c r="T644" s="7"/>
      <c r="U644" s="7"/>
      <c r="V644" s="7"/>
      <c r="W644" s="7"/>
      <c r="X644" s="7"/>
      <c r="Y644" s="7"/>
      <c r="Z644" s="708"/>
      <c r="AA644" s="7"/>
      <c r="AB644" s="7"/>
      <c r="AC644" s="7"/>
      <c r="AD644" s="7"/>
      <c r="AE644" s="7"/>
      <c r="AF644" s="7"/>
      <c r="AG644" s="7"/>
      <c r="AH644" s="7"/>
    </row>
    <row r="645" spans="1:34" ht="15.75" customHeight="1">
      <c r="A645" s="686"/>
      <c r="B645" s="687"/>
      <c r="C645" s="243"/>
      <c r="D645" s="244"/>
      <c r="E645" s="688"/>
      <c r="F645" s="244"/>
      <c r="G645" s="688"/>
      <c r="H645" s="688"/>
      <c r="I645" s="167"/>
      <c r="J645" s="167"/>
      <c r="K645" s="688"/>
      <c r="L645" s="7"/>
      <c r="M645" s="7"/>
      <c r="N645" s="7"/>
      <c r="O645" s="7"/>
      <c r="P645" s="239"/>
      <c r="Q645" s="7"/>
      <c r="R645" s="7"/>
      <c r="S645" s="7"/>
      <c r="T645" s="7"/>
      <c r="U645" s="7"/>
      <c r="V645" s="7"/>
      <c r="W645" s="7"/>
      <c r="X645" s="7"/>
      <c r="Y645" s="7"/>
      <c r="Z645" s="708"/>
      <c r="AA645" s="7"/>
      <c r="AB645" s="7"/>
      <c r="AC645" s="7"/>
      <c r="AD645" s="7"/>
      <c r="AE645" s="7"/>
      <c r="AF645" s="7"/>
      <c r="AG645" s="7"/>
      <c r="AH645" s="7"/>
    </row>
    <row r="646" spans="1:34" ht="15.75" customHeight="1">
      <c r="A646" s="686"/>
      <c r="B646" s="687"/>
      <c r="C646" s="243"/>
      <c r="D646" s="244"/>
      <c r="E646" s="688"/>
      <c r="F646" s="244"/>
      <c r="G646" s="688"/>
      <c r="H646" s="688"/>
      <c r="I646" s="167"/>
      <c r="J646" s="167"/>
      <c r="K646" s="688"/>
      <c r="L646" s="7"/>
      <c r="M646" s="7"/>
      <c r="N646" s="7"/>
      <c r="O646" s="7"/>
      <c r="P646" s="239"/>
      <c r="Q646" s="7"/>
      <c r="R646" s="7"/>
      <c r="S646" s="7"/>
      <c r="T646" s="7"/>
      <c r="U646" s="7"/>
      <c r="V646" s="7"/>
      <c r="W646" s="7"/>
      <c r="X646" s="7"/>
      <c r="Y646" s="7"/>
      <c r="Z646" s="708"/>
      <c r="AA646" s="7"/>
      <c r="AB646" s="7"/>
      <c r="AC646" s="7"/>
      <c r="AD646" s="7"/>
      <c r="AE646" s="7"/>
      <c r="AF646" s="7"/>
      <c r="AG646" s="7"/>
      <c r="AH646" s="7"/>
    </row>
    <row r="647" spans="1:34" ht="15.75" customHeight="1">
      <c r="A647" s="686"/>
      <c r="B647" s="687"/>
      <c r="C647" s="243"/>
      <c r="D647" s="244"/>
      <c r="E647" s="688"/>
      <c r="F647" s="244"/>
      <c r="G647" s="688"/>
      <c r="H647" s="688"/>
      <c r="I647" s="167"/>
      <c r="J647" s="167"/>
      <c r="K647" s="688"/>
      <c r="L647" s="7"/>
      <c r="M647" s="7"/>
      <c r="N647" s="7"/>
      <c r="O647" s="7"/>
      <c r="P647" s="239"/>
      <c r="Q647" s="7"/>
      <c r="R647" s="7"/>
      <c r="S647" s="7"/>
      <c r="T647" s="7"/>
      <c r="U647" s="7"/>
      <c r="V647" s="7"/>
      <c r="W647" s="7"/>
      <c r="X647" s="7"/>
      <c r="Y647" s="7"/>
      <c r="Z647" s="708"/>
      <c r="AA647" s="7"/>
      <c r="AB647" s="7"/>
      <c r="AC647" s="7"/>
      <c r="AD647" s="7"/>
      <c r="AE647" s="7"/>
      <c r="AF647" s="7"/>
      <c r="AG647" s="7"/>
      <c r="AH647" s="7"/>
    </row>
    <row r="648" spans="1:34" ht="15.75" customHeight="1">
      <c r="A648" s="686"/>
      <c r="B648" s="687"/>
      <c r="C648" s="243"/>
      <c r="D648" s="244"/>
      <c r="E648" s="688"/>
      <c r="F648" s="244"/>
      <c r="G648" s="688"/>
      <c r="H648" s="688"/>
      <c r="I648" s="167"/>
      <c r="J648" s="7"/>
      <c r="K648" s="688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08"/>
      <c r="AA648" s="7"/>
      <c r="AB648" s="7"/>
      <c r="AC648" s="7"/>
      <c r="AD648" s="7"/>
      <c r="AE648" s="7"/>
      <c r="AF648" s="7"/>
      <c r="AG648" s="7"/>
      <c r="AH648" s="7"/>
    </row>
    <row r="649" spans="1:34" ht="15.75" customHeight="1">
      <c r="A649" s="686"/>
      <c r="B649" s="687"/>
      <c r="C649" s="243"/>
      <c r="D649" s="244"/>
      <c r="E649" s="688"/>
      <c r="F649" s="244"/>
      <c r="G649" s="688"/>
      <c r="H649" s="688"/>
      <c r="I649" s="167"/>
      <c r="J649" s="7"/>
      <c r="K649" s="688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08"/>
      <c r="AA649" s="7"/>
      <c r="AB649" s="7"/>
      <c r="AC649" s="7"/>
      <c r="AD649" s="7"/>
      <c r="AE649" s="7"/>
      <c r="AF649" s="7"/>
      <c r="AG649" s="7"/>
      <c r="AH649" s="7"/>
    </row>
    <row r="650" spans="1:34" ht="15.75" customHeight="1">
      <c r="A650" s="686"/>
      <c r="B650" s="687"/>
      <c r="C650" s="243"/>
      <c r="D650" s="244"/>
      <c r="E650" s="688"/>
      <c r="F650" s="244"/>
      <c r="G650" s="688"/>
      <c r="H650" s="688"/>
      <c r="I650" s="167"/>
      <c r="J650" s="7"/>
      <c r="K650" s="688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08"/>
      <c r="AA650" s="7"/>
      <c r="AB650" s="7"/>
      <c r="AC650" s="7"/>
      <c r="AD650" s="7"/>
      <c r="AE650" s="7"/>
      <c r="AF650" s="7"/>
      <c r="AG650" s="7"/>
      <c r="AH650" s="7"/>
    </row>
    <row r="651" spans="1:34" ht="15.75" customHeight="1">
      <c r="A651" s="686"/>
      <c r="B651" s="687"/>
      <c r="C651" s="243"/>
      <c r="D651" s="244"/>
      <c r="E651" s="688"/>
      <c r="F651" s="244"/>
      <c r="G651" s="688"/>
      <c r="H651" s="688"/>
      <c r="I651" s="167"/>
      <c r="J651" s="7"/>
      <c r="K651" s="688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08"/>
      <c r="AA651" s="7"/>
      <c r="AB651" s="7"/>
      <c r="AC651" s="7"/>
      <c r="AD651" s="7"/>
      <c r="AE651" s="7"/>
      <c r="AF651" s="7"/>
      <c r="AG651" s="7"/>
      <c r="AH651" s="7"/>
    </row>
    <row r="652" spans="1:34" ht="15.75" customHeight="1">
      <c r="A652" s="686"/>
      <c r="B652" s="687"/>
      <c r="C652" s="243"/>
      <c r="D652" s="244"/>
      <c r="E652" s="688"/>
      <c r="F652" s="244"/>
      <c r="G652" s="688"/>
      <c r="H652" s="688"/>
      <c r="I652" s="167"/>
      <c r="J652" s="7"/>
      <c r="K652" s="688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08"/>
      <c r="AA652" s="7"/>
      <c r="AB652" s="7"/>
      <c r="AC652" s="7"/>
      <c r="AD652" s="7"/>
      <c r="AE652" s="7"/>
      <c r="AF652" s="7"/>
      <c r="AG652" s="7"/>
      <c r="AH652" s="7"/>
    </row>
    <row r="653" spans="1:34" ht="15.75" customHeight="1">
      <c r="A653" s="686"/>
      <c r="B653" s="687"/>
      <c r="C653" s="243"/>
      <c r="D653" s="244"/>
      <c r="E653" s="688"/>
      <c r="F653" s="244"/>
      <c r="G653" s="688"/>
      <c r="H653" s="688"/>
      <c r="I653" s="167"/>
      <c r="J653" s="7"/>
      <c r="K653" s="688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08"/>
      <c r="AA653" s="7"/>
      <c r="AB653" s="7"/>
      <c r="AC653" s="7"/>
      <c r="AD653" s="7"/>
      <c r="AE653" s="7"/>
      <c r="AF653" s="7"/>
      <c r="AG653" s="7"/>
      <c r="AH653" s="7"/>
    </row>
    <row r="654" spans="1:34" ht="15.75" customHeight="1">
      <c r="A654" s="686"/>
      <c r="B654" s="687"/>
      <c r="C654" s="243"/>
      <c r="D654" s="244"/>
      <c r="E654" s="688"/>
      <c r="F654" s="244"/>
      <c r="G654" s="688"/>
      <c r="H654" s="688"/>
      <c r="I654" s="167"/>
      <c r="J654" s="7"/>
      <c r="K654" s="688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08"/>
      <c r="AA654" s="7"/>
      <c r="AB654" s="7"/>
      <c r="AC654" s="7"/>
      <c r="AD654" s="7"/>
      <c r="AE654" s="7"/>
      <c r="AF654" s="7"/>
      <c r="AG654" s="7"/>
      <c r="AH654" s="7"/>
    </row>
    <row r="655" spans="1:34" ht="15.75" customHeight="1">
      <c r="A655" s="686"/>
      <c r="B655" s="687"/>
      <c r="C655" s="243"/>
      <c r="D655" s="244"/>
      <c r="E655" s="688"/>
      <c r="F655" s="244"/>
      <c r="G655" s="688"/>
      <c r="H655" s="688"/>
      <c r="I655" s="167"/>
      <c r="J655" s="7"/>
      <c r="K655" s="688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08"/>
      <c r="AA655" s="7"/>
      <c r="AB655" s="7"/>
      <c r="AC655" s="7"/>
      <c r="AD655" s="7"/>
      <c r="AE655" s="7"/>
      <c r="AF655" s="7"/>
      <c r="AG655" s="7"/>
      <c r="AH655" s="7"/>
    </row>
    <row r="656" spans="1:34" ht="15.75" customHeight="1">
      <c r="A656" s="686"/>
      <c r="B656" s="687"/>
      <c r="C656" s="243"/>
      <c r="D656" s="244"/>
      <c r="E656" s="688"/>
      <c r="F656" s="244"/>
      <c r="G656" s="688"/>
      <c r="H656" s="688"/>
      <c r="I656" s="167"/>
      <c r="J656" s="7"/>
      <c r="K656" s="688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08"/>
      <c r="AA656" s="7"/>
      <c r="AB656" s="7"/>
      <c r="AC656" s="7"/>
      <c r="AD656" s="7"/>
      <c r="AE656" s="7"/>
      <c r="AF656" s="7"/>
      <c r="AG656" s="7"/>
      <c r="AH656" s="7"/>
    </row>
    <row r="657" spans="1:34" ht="15.75" customHeight="1">
      <c r="A657" s="686"/>
      <c r="B657" s="687"/>
      <c r="C657" s="243"/>
      <c r="D657" s="244"/>
      <c r="E657" s="688"/>
      <c r="F657" s="244"/>
      <c r="G657" s="688"/>
      <c r="H657" s="688"/>
      <c r="I657" s="167"/>
      <c r="J657" s="7"/>
      <c r="K657" s="688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08"/>
      <c r="AA657" s="7"/>
      <c r="AB657" s="7"/>
      <c r="AC657" s="7"/>
      <c r="AD657" s="7"/>
      <c r="AE657" s="7"/>
      <c r="AF657" s="7"/>
      <c r="AG657" s="7"/>
      <c r="AH657" s="7"/>
    </row>
    <row r="658" spans="1:34" ht="14.25" customHeight="1">
      <c r="A658" s="7"/>
      <c r="B658" s="7"/>
      <c r="C658" s="7"/>
      <c r="D658" s="7"/>
      <c r="E658" s="7"/>
      <c r="F658" s="7"/>
      <c r="G658" s="7"/>
      <c r="H658" s="7"/>
      <c r="I658" s="16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08"/>
      <c r="AA658" s="7"/>
      <c r="AB658" s="7"/>
      <c r="AC658" s="7"/>
      <c r="AD658" s="7"/>
      <c r="AE658" s="7"/>
      <c r="AF658" s="7"/>
      <c r="AG658" s="7"/>
      <c r="AH658" s="7"/>
    </row>
    <row r="659" spans="1:34" ht="14.25" customHeight="1">
      <c r="A659" s="7"/>
      <c r="B659" s="7"/>
      <c r="C659" s="7"/>
      <c r="D659" s="7"/>
      <c r="E659" s="7"/>
      <c r="F659" s="7"/>
      <c r="G659" s="7"/>
      <c r="H659" s="7"/>
      <c r="I659" s="16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08"/>
      <c r="AA659" s="7"/>
      <c r="AB659" s="7"/>
      <c r="AC659" s="7"/>
      <c r="AD659" s="7"/>
      <c r="AE659" s="7"/>
      <c r="AF659" s="7"/>
      <c r="AG659" s="7"/>
      <c r="AH659" s="7"/>
    </row>
    <row r="660" spans="1:34" ht="14.25" customHeight="1">
      <c r="A660" s="7"/>
      <c r="B660" s="7"/>
      <c r="C660" s="7"/>
      <c r="D660" s="7"/>
      <c r="E660" s="7"/>
      <c r="F660" s="7"/>
      <c r="G660" s="7"/>
      <c r="H660" s="7"/>
      <c r="I660" s="16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08"/>
      <c r="AA660" s="7"/>
      <c r="AB660" s="7"/>
      <c r="AC660" s="7"/>
      <c r="AD660" s="7"/>
      <c r="AE660" s="7"/>
      <c r="AF660" s="7"/>
      <c r="AG660" s="7"/>
      <c r="AH660" s="7"/>
    </row>
    <row r="661" spans="1:34" ht="14.25" customHeight="1">
      <c r="A661" s="7"/>
      <c r="B661" s="7"/>
      <c r="C661" s="7"/>
      <c r="D661" s="7"/>
      <c r="E661" s="7"/>
      <c r="F661" s="7"/>
      <c r="G661" s="7"/>
      <c r="H661" s="7"/>
      <c r="I661" s="16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08"/>
      <c r="AA661" s="7"/>
      <c r="AB661" s="7"/>
      <c r="AC661" s="7"/>
      <c r="AD661" s="7"/>
      <c r="AE661" s="7"/>
      <c r="AF661" s="7"/>
      <c r="AG661" s="7"/>
      <c r="AH661" s="7"/>
    </row>
    <row r="662" spans="1:34" ht="14.25" customHeight="1">
      <c r="A662" s="7"/>
      <c r="B662" s="7"/>
      <c r="C662" s="7"/>
      <c r="D662" s="7"/>
      <c r="E662" s="7"/>
      <c r="F662" s="7"/>
      <c r="G662" s="7"/>
      <c r="H662" s="7"/>
      <c r="I662" s="16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08"/>
      <c r="AA662" s="7"/>
      <c r="AB662" s="7"/>
      <c r="AC662" s="7"/>
      <c r="AD662" s="7"/>
      <c r="AE662" s="7"/>
      <c r="AF662" s="7"/>
      <c r="AG662" s="7"/>
      <c r="AH662" s="7"/>
    </row>
    <row r="663" spans="1:34" ht="14.25" customHeight="1">
      <c r="A663" s="7"/>
      <c r="B663" s="7"/>
      <c r="C663" s="7"/>
      <c r="D663" s="7"/>
      <c r="E663" s="7"/>
      <c r="F663" s="7"/>
      <c r="G663" s="7"/>
      <c r="H663" s="7"/>
      <c r="I663" s="16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08"/>
      <c r="AA663" s="7"/>
      <c r="AB663" s="7"/>
      <c r="AC663" s="7"/>
      <c r="AD663" s="7"/>
      <c r="AE663" s="7"/>
      <c r="AF663" s="7"/>
      <c r="AG663" s="7"/>
      <c r="AH663" s="7"/>
    </row>
    <row r="664" spans="1:34" ht="14.25" customHeight="1">
      <c r="A664" s="7"/>
      <c r="B664" s="7"/>
      <c r="C664" s="7"/>
      <c r="D664" s="7"/>
      <c r="E664" s="7"/>
      <c r="F664" s="7"/>
      <c r="G664" s="7"/>
      <c r="H664" s="7"/>
      <c r="I664" s="16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08"/>
      <c r="AA664" s="7"/>
      <c r="AB664" s="7"/>
      <c r="AC664" s="7"/>
      <c r="AD664" s="7"/>
      <c r="AE664" s="7"/>
      <c r="AF664" s="7"/>
      <c r="AG664" s="7"/>
      <c r="AH664" s="7"/>
    </row>
    <row r="665" spans="1:34" ht="14.25" customHeight="1">
      <c r="A665" s="7"/>
      <c r="B665" s="7"/>
      <c r="C665" s="7"/>
      <c r="D665" s="7"/>
      <c r="E665" s="7"/>
      <c r="F665" s="7"/>
      <c r="G665" s="7"/>
      <c r="H665" s="7"/>
      <c r="I665" s="16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08"/>
      <c r="AA665" s="7"/>
      <c r="AB665" s="7"/>
      <c r="AC665" s="7"/>
      <c r="AD665" s="7"/>
      <c r="AE665" s="7"/>
      <c r="AF665" s="7"/>
      <c r="AG665" s="7"/>
      <c r="AH665" s="7"/>
    </row>
    <row r="666" spans="1:34" ht="14.25" customHeight="1">
      <c r="A666" s="7"/>
      <c r="B666" s="7"/>
      <c r="C666" s="7"/>
      <c r="D666" s="7"/>
      <c r="E666" s="7"/>
      <c r="F666" s="7"/>
      <c r="G666" s="7"/>
      <c r="H666" s="7"/>
      <c r="I666" s="16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08"/>
      <c r="AA666" s="7"/>
      <c r="AB666" s="7"/>
      <c r="AC666" s="7"/>
      <c r="AD666" s="7"/>
      <c r="AE666" s="7"/>
      <c r="AF666" s="7"/>
      <c r="AG666" s="7"/>
      <c r="AH666" s="7"/>
    </row>
    <row r="667" spans="1:34" ht="14.25" customHeight="1">
      <c r="A667" s="7"/>
      <c r="B667" s="7"/>
      <c r="C667" s="7"/>
      <c r="D667" s="7"/>
      <c r="E667" s="7"/>
      <c r="F667" s="7"/>
      <c r="G667" s="7"/>
      <c r="H667" s="7"/>
      <c r="I667" s="16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08"/>
      <c r="AA667" s="7"/>
      <c r="AB667" s="7"/>
      <c r="AC667" s="7"/>
      <c r="AD667" s="7"/>
      <c r="AE667" s="7"/>
      <c r="AF667" s="7"/>
      <c r="AG667" s="7"/>
      <c r="AH667" s="7"/>
    </row>
    <row r="668" spans="1:34" ht="14.25" customHeight="1">
      <c r="A668" s="7"/>
      <c r="B668" s="7"/>
      <c r="C668" s="7"/>
      <c r="D668" s="7"/>
      <c r="E668" s="7"/>
      <c r="F668" s="7"/>
      <c r="G668" s="7"/>
      <c r="H668" s="7"/>
      <c r="I668" s="16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08"/>
      <c r="AA668" s="7"/>
      <c r="AB668" s="7"/>
      <c r="AC668" s="7"/>
      <c r="AD668" s="7"/>
      <c r="AE668" s="7"/>
      <c r="AF668" s="7"/>
      <c r="AG668" s="7"/>
      <c r="AH668" s="7"/>
    </row>
    <row r="669" spans="1:34" ht="14.25" customHeight="1">
      <c r="A669" s="7"/>
      <c r="B669" s="7"/>
      <c r="C669" s="7"/>
      <c r="D669" s="7"/>
      <c r="E669" s="7"/>
      <c r="F669" s="7"/>
      <c r="G669" s="7"/>
      <c r="H669" s="7"/>
      <c r="I669" s="16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08"/>
      <c r="AA669" s="7"/>
      <c r="AB669" s="7"/>
      <c r="AC669" s="7"/>
      <c r="AD669" s="7"/>
      <c r="AE669" s="7"/>
      <c r="AF669" s="7"/>
      <c r="AG669" s="7"/>
      <c r="AH669" s="7"/>
    </row>
    <row r="670" spans="1:34" ht="14.25" customHeight="1">
      <c r="A670" s="7"/>
      <c r="B670" s="7"/>
      <c r="C670" s="7"/>
      <c r="D670" s="7"/>
      <c r="E670" s="7"/>
      <c r="F670" s="7"/>
      <c r="G670" s="7"/>
      <c r="H670" s="7"/>
      <c r="I670" s="16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08"/>
      <c r="AA670" s="7"/>
      <c r="AB670" s="7"/>
      <c r="AC670" s="7"/>
      <c r="AD670" s="7"/>
      <c r="AE670" s="7"/>
      <c r="AF670" s="7"/>
      <c r="AG670" s="7"/>
      <c r="AH670" s="7"/>
    </row>
    <row r="671" spans="1:34" ht="14.25" customHeight="1">
      <c r="A671" s="7"/>
      <c r="B671" s="7"/>
      <c r="C671" s="7"/>
      <c r="D671" s="7"/>
      <c r="E671" s="7"/>
      <c r="F671" s="7"/>
      <c r="G671" s="7"/>
      <c r="H671" s="7"/>
      <c r="I671" s="16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08"/>
      <c r="AA671" s="7"/>
      <c r="AB671" s="7"/>
      <c r="AC671" s="7"/>
      <c r="AD671" s="7"/>
      <c r="AE671" s="7"/>
      <c r="AF671" s="7"/>
      <c r="AG671" s="7"/>
      <c r="AH671" s="7"/>
    </row>
    <row r="672" spans="1:34" ht="14.25" customHeight="1">
      <c r="A672" s="7"/>
      <c r="B672" s="7"/>
      <c r="C672" s="7"/>
      <c r="D672" s="7"/>
      <c r="E672" s="7"/>
      <c r="F672" s="7"/>
      <c r="G672" s="7"/>
      <c r="H672" s="7"/>
      <c r="I672" s="16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08"/>
      <c r="AA672" s="7"/>
      <c r="AB672" s="7"/>
      <c r="AC672" s="7"/>
      <c r="AD672" s="7"/>
      <c r="AE672" s="7"/>
      <c r="AF672" s="7"/>
      <c r="AG672" s="7"/>
      <c r="AH672" s="7"/>
    </row>
    <row r="673" spans="1:34" ht="14.25" customHeight="1">
      <c r="A673" s="7"/>
      <c r="B673" s="7"/>
      <c r="C673" s="7"/>
      <c r="D673" s="7"/>
      <c r="E673" s="7"/>
      <c r="F673" s="7"/>
      <c r="G673" s="7"/>
      <c r="H673" s="7"/>
      <c r="I673" s="16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08"/>
      <c r="AA673" s="7"/>
      <c r="AB673" s="7"/>
      <c r="AC673" s="7"/>
      <c r="AD673" s="7"/>
      <c r="AE673" s="7"/>
      <c r="AF673" s="7"/>
      <c r="AG673" s="7"/>
      <c r="AH673" s="7"/>
    </row>
    <row r="674" spans="1:34" ht="14.25" customHeight="1">
      <c r="A674" s="7"/>
      <c r="B674" s="7"/>
      <c r="C674" s="7"/>
      <c r="D674" s="7"/>
      <c r="E674" s="7"/>
      <c r="F674" s="7"/>
      <c r="G674" s="7"/>
      <c r="H674" s="7"/>
      <c r="I674" s="16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08"/>
      <c r="AA674" s="7"/>
      <c r="AB674" s="7"/>
      <c r="AC674" s="7"/>
      <c r="AD674" s="7"/>
      <c r="AE674" s="7"/>
      <c r="AF674" s="7"/>
      <c r="AG674" s="7"/>
      <c r="AH674" s="7"/>
    </row>
    <row r="675" spans="1:34" ht="14.25" customHeight="1">
      <c r="A675" s="7"/>
      <c r="B675" s="7"/>
      <c r="C675" s="7"/>
      <c r="D675" s="7"/>
      <c r="E675" s="7"/>
      <c r="F675" s="7"/>
      <c r="G675" s="7"/>
      <c r="H675" s="7"/>
      <c r="I675" s="16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08"/>
      <c r="AA675" s="7"/>
      <c r="AB675" s="7"/>
      <c r="AC675" s="7"/>
      <c r="AD675" s="7"/>
      <c r="AE675" s="7"/>
      <c r="AF675" s="7"/>
      <c r="AG675" s="7"/>
      <c r="AH675" s="7"/>
    </row>
    <row r="676" spans="1:34" ht="14.25" customHeight="1">
      <c r="A676" s="7"/>
      <c r="B676" s="7"/>
      <c r="C676" s="7"/>
      <c r="D676" s="7"/>
      <c r="E676" s="7"/>
      <c r="F676" s="7"/>
      <c r="G676" s="7"/>
      <c r="H676" s="7"/>
      <c r="I676" s="16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08"/>
      <c r="AA676" s="7"/>
      <c r="AB676" s="7"/>
      <c r="AC676" s="7"/>
      <c r="AD676" s="7"/>
      <c r="AE676" s="7"/>
      <c r="AF676" s="7"/>
      <c r="AG676" s="7"/>
      <c r="AH676" s="7"/>
    </row>
    <row r="677" spans="1:34" ht="14.25" customHeight="1">
      <c r="A677" s="7"/>
      <c r="B677" s="7"/>
      <c r="C677" s="7"/>
      <c r="D677" s="7"/>
      <c r="E677" s="7"/>
      <c r="F677" s="7"/>
      <c r="G677" s="7"/>
      <c r="H677" s="7"/>
      <c r="I677" s="16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08"/>
      <c r="AA677" s="7"/>
      <c r="AB677" s="7"/>
      <c r="AC677" s="7"/>
      <c r="AD677" s="7"/>
      <c r="AE677" s="7"/>
      <c r="AF677" s="7"/>
      <c r="AG677" s="7"/>
      <c r="AH677" s="7"/>
    </row>
    <row r="678" spans="1:34" ht="14.25" customHeight="1">
      <c r="A678" s="7"/>
      <c r="B678" s="7"/>
      <c r="C678" s="7"/>
      <c r="D678" s="7"/>
      <c r="E678" s="7"/>
      <c r="F678" s="7"/>
      <c r="G678" s="7"/>
      <c r="H678" s="7"/>
      <c r="I678" s="16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08"/>
      <c r="AA678" s="7"/>
      <c r="AB678" s="7"/>
      <c r="AC678" s="7"/>
      <c r="AD678" s="7"/>
      <c r="AE678" s="7"/>
      <c r="AF678" s="7"/>
      <c r="AG678" s="7"/>
      <c r="AH678" s="7"/>
    </row>
    <row r="679" spans="1:34" ht="14.25" customHeight="1">
      <c r="A679" s="7"/>
      <c r="B679" s="7"/>
      <c r="C679" s="7"/>
      <c r="D679" s="7"/>
      <c r="E679" s="7"/>
      <c r="F679" s="7"/>
      <c r="G679" s="7"/>
      <c r="H679" s="7"/>
      <c r="I679" s="16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08"/>
      <c r="AA679" s="7"/>
      <c r="AB679" s="7"/>
      <c r="AC679" s="7"/>
      <c r="AD679" s="7"/>
      <c r="AE679" s="7"/>
      <c r="AF679" s="7"/>
      <c r="AG679" s="7"/>
      <c r="AH679" s="7"/>
    </row>
    <row r="680" spans="1:34" ht="14.25" customHeight="1">
      <c r="A680" s="7"/>
      <c r="B680" s="7"/>
      <c r="C680" s="7"/>
      <c r="D680" s="7"/>
      <c r="E680" s="7"/>
      <c r="F680" s="7"/>
      <c r="G680" s="7"/>
      <c r="H680" s="7"/>
      <c r="I680" s="16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08"/>
      <c r="AA680" s="7"/>
      <c r="AB680" s="7"/>
      <c r="AC680" s="7"/>
      <c r="AD680" s="7"/>
      <c r="AE680" s="7"/>
      <c r="AF680" s="7"/>
      <c r="AG680" s="7"/>
      <c r="AH680" s="7"/>
    </row>
    <row r="681" spans="1:34" ht="14.25" customHeight="1">
      <c r="A681" s="7"/>
      <c r="B681" s="7"/>
      <c r="C681" s="7"/>
      <c r="D681" s="7"/>
      <c r="E681" s="7"/>
      <c r="F681" s="7"/>
      <c r="G681" s="7"/>
      <c r="H681" s="7"/>
      <c r="I681" s="16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08"/>
      <c r="AA681" s="7"/>
      <c r="AB681" s="7"/>
      <c r="AC681" s="7"/>
      <c r="AD681" s="7"/>
      <c r="AE681" s="7"/>
      <c r="AF681" s="7"/>
      <c r="AG681" s="7"/>
      <c r="AH681" s="7"/>
    </row>
    <row r="682" spans="1:34" ht="14.25" customHeight="1">
      <c r="A682" s="7"/>
      <c r="B682" s="7"/>
      <c r="C682" s="7"/>
      <c r="D682" s="7"/>
      <c r="E682" s="7"/>
      <c r="F682" s="7"/>
      <c r="G682" s="7"/>
      <c r="H682" s="7"/>
      <c r="I682" s="16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08"/>
      <c r="AA682" s="7"/>
      <c r="AB682" s="7"/>
      <c r="AC682" s="7"/>
      <c r="AD682" s="7"/>
      <c r="AE682" s="7"/>
      <c r="AF682" s="7"/>
      <c r="AG682" s="7"/>
      <c r="AH682" s="7"/>
    </row>
    <row r="683" spans="1:34" ht="14.25" customHeight="1">
      <c r="A683" s="7"/>
      <c r="B683" s="7"/>
      <c r="C683" s="7"/>
      <c r="D683" s="7"/>
      <c r="E683" s="7"/>
      <c r="F683" s="7"/>
      <c r="G683" s="7"/>
      <c r="H683" s="7"/>
      <c r="I683" s="16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08"/>
      <c r="AA683" s="7"/>
      <c r="AB683" s="7"/>
      <c r="AC683" s="7"/>
      <c r="AD683" s="7"/>
      <c r="AE683" s="7"/>
      <c r="AF683" s="7"/>
      <c r="AG683" s="7"/>
      <c r="AH683" s="7"/>
    </row>
    <row r="684" spans="1:34" ht="14.25" customHeight="1">
      <c r="A684" s="7"/>
      <c r="B684" s="7"/>
      <c r="C684" s="7"/>
      <c r="D684" s="7"/>
      <c r="E684" s="7"/>
      <c r="F684" s="7"/>
      <c r="G684" s="7"/>
      <c r="H684" s="7"/>
      <c r="I684" s="16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08"/>
      <c r="AA684" s="7"/>
      <c r="AB684" s="7"/>
      <c r="AC684" s="7"/>
      <c r="AD684" s="7"/>
      <c r="AE684" s="7"/>
      <c r="AF684" s="7"/>
      <c r="AG684" s="7"/>
      <c r="AH684" s="7"/>
    </row>
    <row r="685" spans="1:34" ht="14.25" customHeight="1">
      <c r="A685" s="7"/>
      <c r="B685" s="7"/>
      <c r="C685" s="7"/>
      <c r="D685" s="7"/>
      <c r="E685" s="7"/>
      <c r="F685" s="7"/>
      <c r="G685" s="7"/>
      <c r="H685" s="7"/>
      <c r="I685" s="16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08"/>
      <c r="AA685" s="7"/>
      <c r="AB685" s="7"/>
      <c r="AC685" s="7"/>
      <c r="AD685" s="7"/>
      <c r="AE685" s="7"/>
      <c r="AF685" s="7"/>
      <c r="AG685" s="7"/>
      <c r="AH685" s="7"/>
    </row>
    <row r="686" spans="1:34" ht="14.25" customHeight="1">
      <c r="A686" s="7"/>
      <c r="B686" s="7"/>
      <c r="C686" s="7"/>
      <c r="D686" s="7"/>
      <c r="E686" s="7"/>
      <c r="F686" s="7"/>
      <c r="G686" s="7"/>
      <c r="H686" s="7"/>
      <c r="I686" s="16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08"/>
      <c r="AA686" s="7"/>
      <c r="AB686" s="7"/>
      <c r="AC686" s="7"/>
      <c r="AD686" s="7"/>
      <c r="AE686" s="7"/>
      <c r="AF686" s="7"/>
      <c r="AG686" s="7"/>
      <c r="AH686" s="7"/>
    </row>
    <row r="687" spans="1:34" ht="14.25" customHeight="1">
      <c r="A687" s="7"/>
      <c r="B687" s="7"/>
      <c r="C687" s="7"/>
      <c r="D687" s="7"/>
      <c r="E687" s="7"/>
      <c r="F687" s="7"/>
      <c r="G687" s="7"/>
      <c r="H687" s="7"/>
      <c r="I687" s="16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08"/>
      <c r="AA687" s="7"/>
      <c r="AB687" s="7"/>
      <c r="AC687" s="7"/>
      <c r="AD687" s="7"/>
      <c r="AE687" s="7"/>
      <c r="AF687" s="7"/>
      <c r="AG687" s="7"/>
      <c r="AH687" s="7"/>
    </row>
    <row r="688" spans="1:34" ht="14.25" customHeight="1">
      <c r="A688" s="7"/>
      <c r="B688" s="7"/>
      <c r="C688" s="7"/>
      <c r="D688" s="7"/>
      <c r="E688" s="7"/>
      <c r="F688" s="7"/>
      <c r="G688" s="7"/>
      <c r="H688" s="7"/>
      <c r="I688" s="16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08"/>
      <c r="AA688" s="7"/>
      <c r="AB688" s="7"/>
      <c r="AC688" s="7"/>
      <c r="AD688" s="7"/>
      <c r="AE688" s="7"/>
      <c r="AF688" s="7"/>
      <c r="AG688" s="7"/>
      <c r="AH688" s="7"/>
    </row>
    <row r="689" spans="1:34" ht="14.25" customHeight="1">
      <c r="A689" s="7"/>
      <c r="B689" s="7"/>
      <c r="C689" s="7"/>
      <c r="D689" s="7"/>
      <c r="E689" s="7"/>
      <c r="F689" s="7"/>
      <c r="G689" s="7"/>
      <c r="H689" s="7"/>
      <c r="I689" s="16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08"/>
      <c r="AA689" s="7"/>
      <c r="AB689" s="7"/>
      <c r="AC689" s="7"/>
      <c r="AD689" s="7"/>
      <c r="AE689" s="7"/>
      <c r="AF689" s="7"/>
      <c r="AG689" s="7"/>
      <c r="AH689" s="7"/>
    </row>
    <row r="690" spans="1:34" ht="14.25" customHeight="1">
      <c r="A690" s="7"/>
      <c r="B690" s="7"/>
      <c r="C690" s="7"/>
      <c r="D690" s="7"/>
      <c r="E690" s="7"/>
      <c r="F690" s="7"/>
      <c r="G690" s="7"/>
      <c r="H690" s="7"/>
      <c r="I690" s="16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08"/>
      <c r="AA690" s="7"/>
      <c r="AB690" s="7"/>
      <c r="AC690" s="7"/>
      <c r="AD690" s="7"/>
      <c r="AE690" s="7"/>
      <c r="AF690" s="7"/>
      <c r="AG690" s="7"/>
      <c r="AH690" s="7"/>
    </row>
    <row r="691" spans="1:34" ht="14.25" customHeight="1">
      <c r="A691" s="7"/>
      <c r="B691" s="7"/>
      <c r="C691" s="7"/>
      <c r="D691" s="7"/>
      <c r="E691" s="7"/>
      <c r="F691" s="7"/>
      <c r="G691" s="7"/>
      <c r="H691" s="7"/>
      <c r="I691" s="16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08"/>
      <c r="AA691" s="7"/>
      <c r="AB691" s="7"/>
      <c r="AC691" s="7"/>
      <c r="AD691" s="7"/>
      <c r="AE691" s="7"/>
      <c r="AF691" s="7"/>
      <c r="AG691" s="7"/>
      <c r="AH691" s="7"/>
    </row>
    <row r="692" spans="1:34" ht="14.25" customHeight="1">
      <c r="A692" s="7"/>
      <c r="B692" s="7"/>
      <c r="C692" s="7"/>
      <c r="D692" s="7"/>
      <c r="E692" s="7"/>
      <c r="F692" s="7"/>
      <c r="G692" s="7"/>
      <c r="H692" s="7"/>
      <c r="I692" s="16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08"/>
      <c r="AA692" s="7"/>
      <c r="AB692" s="7"/>
      <c r="AC692" s="7"/>
      <c r="AD692" s="7"/>
      <c r="AE692" s="7"/>
      <c r="AF692" s="7"/>
      <c r="AG692" s="7"/>
      <c r="AH692" s="7"/>
    </row>
    <row r="693" spans="1:34" ht="14.25" customHeight="1">
      <c r="A693" s="7"/>
      <c r="B693" s="7"/>
      <c r="C693" s="7"/>
      <c r="D693" s="7"/>
      <c r="E693" s="7"/>
      <c r="F693" s="7"/>
      <c r="G693" s="7"/>
      <c r="H693" s="7"/>
      <c r="I693" s="16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08"/>
      <c r="AA693" s="7"/>
      <c r="AB693" s="7"/>
      <c r="AC693" s="7"/>
      <c r="AD693" s="7"/>
      <c r="AE693" s="7"/>
      <c r="AF693" s="7"/>
      <c r="AG693" s="7"/>
      <c r="AH693" s="7"/>
    </row>
    <row r="694" spans="1:34" ht="14.25" customHeight="1">
      <c r="A694" s="7"/>
      <c r="B694" s="7"/>
      <c r="C694" s="7"/>
      <c r="D694" s="7"/>
      <c r="E694" s="7"/>
      <c r="F694" s="7"/>
      <c r="G694" s="7"/>
      <c r="H694" s="7"/>
      <c r="I694" s="16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08"/>
      <c r="AA694" s="7"/>
      <c r="AB694" s="7"/>
      <c r="AC694" s="7"/>
      <c r="AD694" s="7"/>
      <c r="AE694" s="7"/>
      <c r="AF694" s="7"/>
      <c r="AG694" s="7"/>
      <c r="AH694" s="7"/>
    </row>
    <row r="695" spans="1:34" ht="14.25" customHeight="1">
      <c r="A695" s="7"/>
      <c r="B695" s="7"/>
      <c r="C695" s="7"/>
      <c r="D695" s="7"/>
      <c r="E695" s="7"/>
      <c r="F695" s="7"/>
      <c r="G695" s="7"/>
      <c r="H695" s="7"/>
      <c r="I695" s="16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08"/>
      <c r="AA695" s="7"/>
      <c r="AB695" s="7"/>
      <c r="AC695" s="7"/>
      <c r="AD695" s="7"/>
      <c r="AE695" s="7"/>
      <c r="AF695" s="7"/>
      <c r="AG695" s="7"/>
      <c r="AH695" s="7"/>
    </row>
    <row r="696" spans="1:34" ht="14.25" customHeight="1">
      <c r="A696" s="7"/>
      <c r="B696" s="7"/>
      <c r="C696" s="7"/>
      <c r="D696" s="7"/>
      <c r="E696" s="7"/>
      <c r="F696" s="7"/>
      <c r="G696" s="7"/>
      <c r="H696" s="7"/>
      <c r="I696" s="16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08"/>
      <c r="AA696" s="7"/>
      <c r="AB696" s="7"/>
      <c r="AC696" s="7"/>
      <c r="AD696" s="7"/>
      <c r="AE696" s="7"/>
      <c r="AF696" s="7"/>
      <c r="AG696" s="7"/>
      <c r="AH696" s="7"/>
    </row>
    <row r="697" spans="1:34" ht="14.25" customHeight="1">
      <c r="A697" s="7"/>
      <c r="B697" s="7"/>
      <c r="C697" s="7"/>
      <c r="D697" s="7"/>
      <c r="E697" s="7"/>
      <c r="F697" s="7"/>
      <c r="G697" s="7"/>
      <c r="H697" s="7"/>
      <c r="I697" s="16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08"/>
      <c r="AA697" s="7"/>
      <c r="AB697" s="7"/>
      <c r="AC697" s="7"/>
      <c r="AD697" s="7"/>
      <c r="AE697" s="7"/>
      <c r="AF697" s="7"/>
      <c r="AG697" s="7"/>
      <c r="AH697" s="7"/>
    </row>
    <row r="698" spans="1:34" ht="14.25" customHeight="1">
      <c r="A698" s="7"/>
      <c r="B698" s="7"/>
      <c r="C698" s="7"/>
      <c r="D698" s="7"/>
      <c r="E698" s="7"/>
      <c r="F698" s="7"/>
      <c r="G698" s="7"/>
      <c r="H698" s="7"/>
      <c r="I698" s="16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08"/>
      <c r="AA698" s="7"/>
      <c r="AB698" s="7"/>
      <c r="AC698" s="7"/>
      <c r="AD698" s="7"/>
      <c r="AE698" s="7"/>
      <c r="AF698" s="7"/>
      <c r="AG698" s="7"/>
      <c r="AH698" s="7"/>
    </row>
    <row r="699" spans="1:34" ht="14.25" customHeight="1">
      <c r="A699" s="7"/>
      <c r="B699" s="7"/>
      <c r="C699" s="7"/>
      <c r="D699" s="7"/>
      <c r="E699" s="7"/>
      <c r="F699" s="7"/>
      <c r="G699" s="7"/>
      <c r="H699" s="7"/>
      <c r="I699" s="16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08"/>
      <c r="AA699" s="7"/>
      <c r="AB699" s="7"/>
      <c r="AC699" s="7"/>
      <c r="AD699" s="7"/>
      <c r="AE699" s="7"/>
      <c r="AF699" s="7"/>
      <c r="AG699" s="7"/>
      <c r="AH699" s="7"/>
    </row>
    <row r="700" spans="1:34" ht="14.25" customHeight="1">
      <c r="A700" s="7"/>
      <c r="B700" s="7"/>
      <c r="C700" s="7"/>
      <c r="D700" s="7"/>
      <c r="E700" s="7"/>
      <c r="F700" s="7"/>
      <c r="G700" s="7"/>
      <c r="H700" s="7"/>
      <c r="I700" s="16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08"/>
      <c r="AA700" s="7"/>
      <c r="AB700" s="7"/>
      <c r="AC700" s="7"/>
      <c r="AD700" s="7"/>
      <c r="AE700" s="7"/>
      <c r="AF700" s="7"/>
      <c r="AG700" s="7"/>
      <c r="AH700" s="7"/>
    </row>
    <row r="701" spans="1:34" ht="14.25" customHeight="1">
      <c r="A701" s="7"/>
      <c r="B701" s="7"/>
      <c r="C701" s="7"/>
      <c r="D701" s="7"/>
      <c r="E701" s="7"/>
      <c r="F701" s="7"/>
      <c r="G701" s="7"/>
      <c r="H701" s="7"/>
      <c r="I701" s="16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08"/>
      <c r="AA701" s="7"/>
      <c r="AB701" s="7"/>
      <c r="AC701" s="7"/>
      <c r="AD701" s="7"/>
      <c r="AE701" s="7"/>
      <c r="AF701" s="7"/>
      <c r="AG701" s="7"/>
      <c r="AH701" s="7"/>
    </row>
    <row r="702" spans="1:34" ht="14.25" customHeight="1">
      <c r="A702" s="7"/>
      <c r="B702" s="7"/>
      <c r="C702" s="7"/>
      <c r="D702" s="7"/>
      <c r="E702" s="7"/>
      <c r="F702" s="7"/>
      <c r="G702" s="7"/>
      <c r="H702" s="7"/>
      <c r="I702" s="16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08"/>
      <c r="AA702" s="7"/>
      <c r="AB702" s="7"/>
      <c r="AC702" s="7"/>
      <c r="AD702" s="7"/>
      <c r="AE702" s="7"/>
      <c r="AF702" s="7"/>
      <c r="AG702" s="7"/>
      <c r="AH702" s="7"/>
    </row>
    <row r="703" spans="1:34" ht="14.25" customHeight="1">
      <c r="A703" s="7"/>
      <c r="B703" s="7"/>
      <c r="C703" s="7"/>
      <c r="D703" s="7"/>
      <c r="E703" s="7"/>
      <c r="F703" s="7"/>
      <c r="G703" s="7"/>
      <c r="H703" s="7"/>
      <c r="I703" s="16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08"/>
      <c r="AA703" s="7"/>
      <c r="AB703" s="7"/>
      <c r="AC703" s="7"/>
      <c r="AD703" s="7"/>
      <c r="AE703" s="7"/>
      <c r="AF703" s="7"/>
      <c r="AG703" s="7"/>
      <c r="AH703" s="7"/>
    </row>
    <row r="704" spans="1:34" ht="14.25" customHeight="1">
      <c r="A704" s="7"/>
      <c r="B704" s="7"/>
      <c r="C704" s="7"/>
      <c r="D704" s="7"/>
      <c r="E704" s="7"/>
      <c r="F704" s="7"/>
      <c r="G704" s="7"/>
      <c r="H704" s="7"/>
      <c r="I704" s="16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08"/>
      <c r="AA704" s="7"/>
      <c r="AB704" s="7"/>
      <c r="AC704" s="7"/>
      <c r="AD704" s="7"/>
      <c r="AE704" s="7"/>
      <c r="AF704" s="7"/>
      <c r="AG704" s="7"/>
      <c r="AH704" s="7"/>
    </row>
    <row r="705" spans="1:34" ht="14.25" customHeight="1">
      <c r="A705" s="7"/>
      <c r="B705" s="7"/>
      <c r="C705" s="7"/>
      <c r="D705" s="7"/>
      <c r="E705" s="7"/>
      <c r="F705" s="7"/>
      <c r="G705" s="7"/>
      <c r="H705" s="7"/>
      <c r="I705" s="16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08"/>
      <c r="AA705" s="7"/>
      <c r="AB705" s="7"/>
      <c r="AC705" s="7"/>
      <c r="AD705" s="7"/>
      <c r="AE705" s="7"/>
      <c r="AF705" s="7"/>
      <c r="AG705" s="7"/>
      <c r="AH705" s="7"/>
    </row>
    <row r="706" spans="1:34" ht="14.25" customHeight="1">
      <c r="A706" s="7"/>
      <c r="B706" s="7"/>
      <c r="C706" s="7"/>
      <c r="D706" s="7"/>
      <c r="E706" s="7"/>
      <c r="F706" s="7"/>
      <c r="G706" s="7"/>
      <c r="H706" s="7"/>
      <c r="I706" s="16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08"/>
      <c r="AA706" s="7"/>
      <c r="AB706" s="7"/>
      <c r="AC706" s="7"/>
      <c r="AD706" s="7"/>
      <c r="AE706" s="7"/>
      <c r="AF706" s="7"/>
      <c r="AG706" s="7"/>
      <c r="AH706" s="7"/>
    </row>
    <row r="707" spans="1:34" ht="14.25" customHeight="1">
      <c r="A707" s="7"/>
      <c r="B707" s="7"/>
      <c r="C707" s="7"/>
      <c r="D707" s="7"/>
      <c r="E707" s="7"/>
      <c r="F707" s="7"/>
      <c r="G707" s="7"/>
      <c r="H707" s="7"/>
      <c r="I707" s="16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08"/>
      <c r="AA707" s="7"/>
      <c r="AB707" s="7"/>
      <c r="AC707" s="7"/>
      <c r="AD707" s="7"/>
      <c r="AE707" s="7"/>
      <c r="AF707" s="7"/>
      <c r="AG707" s="7"/>
      <c r="AH707" s="7"/>
    </row>
    <row r="708" spans="1:34" ht="14.25" customHeight="1">
      <c r="A708" s="7"/>
      <c r="B708" s="7"/>
      <c r="C708" s="7"/>
      <c r="D708" s="7"/>
      <c r="E708" s="7"/>
      <c r="F708" s="7"/>
      <c r="G708" s="7"/>
      <c r="H708" s="7"/>
      <c r="I708" s="16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08"/>
      <c r="AA708" s="7"/>
      <c r="AB708" s="7"/>
      <c r="AC708" s="7"/>
      <c r="AD708" s="7"/>
      <c r="AE708" s="7"/>
      <c r="AF708" s="7"/>
      <c r="AG708" s="7"/>
      <c r="AH708" s="7"/>
    </row>
    <row r="709" spans="1:34" ht="14.25" customHeight="1">
      <c r="A709" s="7"/>
      <c r="B709" s="7"/>
      <c r="C709" s="7"/>
      <c r="D709" s="7"/>
      <c r="E709" s="7"/>
      <c r="F709" s="7"/>
      <c r="G709" s="7"/>
      <c r="H709" s="7"/>
      <c r="I709" s="16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08"/>
      <c r="AA709" s="7"/>
      <c r="AB709" s="7"/>
      <c r="AC709" s="7"/>
      <c r="AD709" s="7"/>
      <c r="AE709" s="7"/>
      <c r="AF709" s="7"/>
      <c r="AG709" s="7"/>
      <c r="AH709" s="7"/>
    </row>
    <row r="710" spans="1:34" ht="14.25" customHeight="1">
      <c r="A710" s="7"/>
      <c r="B710" s="7"/>
      <c r="C710" s="7"/>
      <c r="D710" s="7"/>
      <c r="E710" s="7"/>
      <c r="F710" s="7"/>
      <c r="G710" s="7"/>
      <c r="H710" s="7"/>
      <c r="I710" s="16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08"/>
      <c r="AA710" s="7"/>
      <c r="AB710" s="7"/>
      <c r="AC710" s="7"/>
      <c r="AD710" s="7"/>
      <c r="AE710" s="7"/>
      <c r="AF710" s="7"/>
      <c r="AG710" s="7"/>
      <c r="AH710" s="7"/>
    </row>
    <row r="711" spans="1:34" ht="14.25" customHeight="1">
      <c r="A711" s="7"/>
      <c r="B711" s="7"/>
      <c r="C711" s="7"/>
      <c r="D711" s="7"/>
      <c r="E711" s="7"/>
      <c r="F711" s="7"/>
      <c r="G711" s="7"/>
      <c r="H711" s="7"/>
      <c r="I711" s="16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08"/>
      <c r="AA711" s="7"/>
      <c r="AB711" s="7"/>
      <c r="AC711" s="7"/>
      <c r="AD711" s="7"/>
      <c r="AE711" s="7"/>
      <c r="AF711" s="7"/>
      <c r="AG711" s="7"/>
      <c r="AH711" s="7"/>
    </row>
    <row r="712" spans="1:34" ht="14.25" customHeight="1">
      <c r="A712" s="7"/>
      <c r="B712" s="7"/>
      <c r="C712" s="7"/>
      <c r="D712" s="7"/>
      <c r="E712" s="7"/>
      <c r="F712" s="7"/>
      <c r="G712" s="7"/>
      <c r="H712" s="7"/>
      <c r="I712" s="16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08"/>
      <c r="AA712" s="7"/>
      <c r="AB712" s="7"/>
      <c r="AC712" s="7"/>
      <c r="AD712" s="7"/>
      <c r="AE712" s="7"/>
      <c r="AF712" s="7"/>
      <c r="AG712" s="7"/>
      <c r="AH712" s="7"/>
    </row>
    <row r="713" spans="1:34" ht="14.25" customHeight="1">
      <c r="A713" s="7"/>
      <c r="B713" s="7"/>
      <c r="C713" s="7"/>
      <c r="D713" s="7"/>
      <c r="E713" s="7"/>
      <c r="F713" s="7"/>
      <c r="G713" s="7"/>
      <c r="H713" s="7"/>
      <c r="I713" s="16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08"/>
      <c r="AA713" s="7"/>
      <c r="AB713" s="7"/>
      <c r="AC713" s="7"/>
      <c r="AD713" s="7"/>
      <c r="AE713" s="7"/>
      <c r="AF713" s="7"/>
      <c r="AG713" s="7"/>
      <c r="AH713" s="7"/>
    </row>
    <row r="714" spans="1:34" ht="14.25" customHeight="1">
      <c r="A714" s="7"/>
      <c r="B714" s="7"/>
      <c r="C714" s="7"/>
      <c r="D714" s="7"/>
      <c r="E714" s="7"/>
      <c r="F714" s="7"/>
      <c r="G714" s="7"/>
      <c r="H714" s="7"/>
      <c r="I714" s="16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08"/>
      <c r="AA714" s="7"/>
      <c r="AB714" s="7"/>
      <c r="AC714" s="7"/>
      <c r="AD714" s="7"/>
      <c r="AE714" s="7"/>
      <c r="AF714" s="7"/>
      <c r="AG714" s="7"/>
      <c r="AH714" s="7"/>
    </row>
    <row r="715" spans="1:34" ht="14.25" customHeight="1">
      <c r="A715" s="7"/>
      <c r="B715" s="7"/>
      <c r="C715" s="7"/>
      <c r="D715" s="7"/>
      <c r="E715" s="7"/>
      <c r="F715" s="7"/>
      <c r="G715" s="7"/>
      <c r="H715" s="7"/>
      <c r="I715" s="16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08"/>
      <c r="AA715" s="7"/>
      <c r="AB715" s="7"/>
      <c r="AC715" s="7"/>
      <c r="AD715" s="7"/>
      <c r="AE715" s="7"/>
      <c r="AF715" s="7"/>
      <c r="AG715" s="7"/>
      <c r="AH715" s="7"/>
    </row>
    <row r="716" spans="1:34" ht="14.25" customHeight="1">
      <c r="A716" s="7"/>
      <c r="B716" s="7"/>
      <c r="C716" s="7"/>
      <c r="D716" s="7"/>
      <c r="E716" s="7"/>
      <c r="F716" s="7"/>
      <c r="G716" s="7"/>
      <c r="H716" s="7"/>
      <c r="I716" s="16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08"/>
      <c r="AA716" s="7"/>
      <c r="AB716" s="7"/>
      <c r="AC716" s="7"/>
      <c r="AD716" s="7"/>
      <c r="AE716" s="7"/>
      <c r="AF716" s="7"/>
      <c r="AG716" s="7"/>
      <c r="AH716" s="7"/>
    </row>
    <row r="717" spans="1:34" ht="14.25" customHeight="1">
      <c r="A717" s="7"/>
      <c r="B717" s="7"/>
      <c r="C717" s="7"/>
      <c r="D717" s="7"/>
      <c r="E717" s="7"/>
      <c r="F717" s="7"/>
      <c r="G717" s="7"/>
      <c r="H717" s="7"/>
      <c r="I717" s="16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08"/>
      <c r="AA717" s="7"/>
      <c r="AB717" s="7"/>
      <c r="AC717" s="7"/>
      <c r="AD717" s="7"/>
      <c r="AE717" s="7"/>
      <c r="AF717" s="7"/>
      <c r="AG717" s="7"/>
      <c r="AH717" s="7"/>
    </row>
    <row r="718" spans="1:34" ht="14.25" customHeight="1">
      <c r="A718" s="7"/>
      <c r="B718" s="7"/>
      <c r="C718" s="7"/>
      <c r="D718" s="7"/>
      <c r="E718" s="7"/>
      <c r="F718" s="7"/>
      <c r="G718" s="7"/>
      <c r="H718" s="7"/>
      <c r="I718" s="16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08"/>
      <c r="AA718" s="7"/>
      <c r="AB718" s="7"/>
      <c r="AC718" s="7"/>
      <c r="AD718" s="7"/>
      <c r="AE718" s="7"/>
      <c r="AF718" s="7"/>
      <c r="AG718" s="7"/>
      <c r="AH718" s="7"/>
    </row>
    <row r="719" spans="1:34" ht="14.25" customHeight="1">
      <c r="A719" s="7"/>
      <c r="B719" s="7"/>
      <c r="C719" s="7"/>
      <c r="D719" s="7"/>
      <c r="E719" s="7"/>
      <c r="F719" s="7"/>
      <c r="G719" s="7"/>
      <c r="H719" s="7"/>
      <c r="I719" s="16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08"/>
      <c r="AA719" s="7"/>
      <c r="AB719" s="7"/>
      <c r="AC719" s="7"/>
      <c r="AD719" s="7"/>
      <c r="AE719" s="7"/>
      <c r="AF719" s="7"/>
      <c r="AG719" s="7"/>
      <c r="AH719" s="7"/>
    </row>
    <row r="720" spans="1:34" ht="14.25" customHeight="1">
      <c r="A720" s="7"/>
      <c r="B720" s="7"/>
      <c r="C720" s="7"/>
      <c r="D720" s="7"/>
      <c r="E720" s="7"/>
      <c r="F720" s="7"/>
      <c r="G720" s="7"/>
      <c r="H720" s="7"/>
      <c r="I720" s="16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08"/>
      <c r="AA720" s="7"/>
      <c r="AB720" s="7"/>
      <c r="AC720" s="7"/>
      <c r="AD720" s="7"/>
      <c r="AE720" s="7"/>
      <c r="AF720" s="7"/>
      <c r="AG720" s="7"/>
      <c r="AH720" s="7"/>
    </row>
    <row r="721" spans="1:34" ht="14.25" customHeight="1">
      <c r="A721" s="7"/>
      <c r="B721" s="7"/>
      <c r="C721" s="7"/>
      <c r="D721" s="7"/>
      <c r="E721" s="7"/>
      <c r="F721" s="7"/>
      <c r="G721" s="7"/>
      <c r="H721" s="7"/>
      <c r="I721" s="16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08"/>
      <c r="AA721" s="7"/>
      <c r="AB721" s="7"/>
      <c r="AC721" s="7"/>
      <c r="AD721" s="7"/>
      <c r="AE721" s="7"/>
      <c r="AF721" s="7"/>
      <c r="AG721" s="7"/>
      <c r="AH721" s="7"/>
    </row>
    <row r="722" spans="1:34" ht="14.25" customHeight="1">
      <c r="A722" s="7"/>
      <c r="B722" s="7"/>
      <c r="C722" s="7"/>
      <c r="D722" s="7"/>
      <c r="E722" s="7"/>
      <c r="F722" s="7"/>
      <c r="G722" s="7"/>
      <c r="H722" s="7"/>
      <c r="I722" s="16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08"/>
      <c r="AA722" s="7"/>
      <c r="AB722" s="7"/>
      <c r="AC722" s="7"/>
      <c r="AD722" s="7"/>
      <c r="AE722" s="7"/>
      <c r="AF722" s="7"/>
      <c r="AG722" s="7"/>
      <c r="AH722" s="7"/>
    </row>
  </sheetData>
  <mergeCells count="9">
    <mergeCell ref="B453:C453"/>
    <mergeCell ref="B454:C454"/>
    <mergeCell ref="A2:C2"/>
    <mergeCell ref="A3:C3"/>
    <mergeCell ref="A4:K4"/>
    <mergeCell ref="A5:D5"/>
    <mergeCell ref="A6:K6"/>
    <mergeCell ref="C9:D9"/>
    <mergeCell ref="B447:C447"/>
  </mergeCells>
  <conditionalFormatting sqref="E11:J11">
    <cfRule type="containsText" dxfId="38" priority="1" operator="containsText" text="nghệ an">
      <formula>NOT(ISERROR(SEARCH(("nghệ an"),(E11))))</formula>
    </cfRule>
  </conditionalFormatting>
  <conditionalFormatting sqref="P11:Q11">
    <cfRule type="containsText" dxfId="37" priority="2" operator="containsText" text="&quot;quảng ngãi&quot;">
      <formula>NOT(ISERROR(SEARCH(("""quảng ngãi"""),(P11))))</formula>
    </cfRule>
  </conditionalFormatting>
  <conditionalFormatting sqref="W11:X11">
    <cfRule type="containsText" dxfId="36" priority="3" operator="containsText" text="&quot;quảng ngãi&quot;">
      <formula>NOT(ISERROR(SEARCH(("""quảng ngãi"""),(W11))))</formula>
    </cfRule>
  </conditionalFormatting>
  <conditionalFormatting sqref="W11:AL11 A11:D11">
    <cfRule type="containsText" dxfId="35" priority="4" operator="containsText" text="tây ninh">
      <formula>NOT(ISERROR(SEARCH(("tây ninh"),(A11))))</formula>
    </cfRule>
  </conditionalFormatting>
  <conditionalFormatting sqref="AF17:AF447">
    <cfRule type="cellIs" dxfId="34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9" width="12.453125" customWidth="1"/>
  </cols>
  <sheetData>
    <row r="1" spans="1:34" ht="24.75" hidden="1" customHeight="1">
      <c r="A1" s="397" t="s">
        <v>0</v>
      </c>
      <c r="B1" s="398"/>
      <c r="C1" s="398"/>
      <c r="D1" s="399"/>
      <c r="E1" s="562"/>
      <c r="F1" s="562"/>
      <c r="G1" s="562"/>
      <c r="H1" s="562"/>
      <c r="I1" s="562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4" ht="33" hidden="1" customHeight="1">
      <c r="A2" s="792" t="s">
        <v>1</v>
      </c>
      <c r="B2" s="793"/>
      <c r="C2" s="791"/>
      <c r="D2" s="399"/>
      <c r="E2" s="562"/>
      <c r="F2" s="562"/>
      <c r="G2" s="562"/>
      <c r="H2" s="562"/>
      <c r="I2" s="562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</row>
    <row r="3" spans="1:34" ht="23.25" hidden="1" customHeight="1">
      <c r="A3" s="794" t="s">
        <v>2</v>
      </c>
      <c r="B3" s="793"/>
      <c r="C3" s="791"/>
      <c r="D3" s="399"/>
      <c r="E3" s="562"/>
      <c r="F3" s="562"/>
      <c r="G3" s="562"/>
      <c r="H3" s="562"/>
      <c r="I3" s="56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</row>
    <row r="4" spans="1:34" ht="39.75" customHeight="1">
      <c r="A4" s="803" t="s">
        <v>1537</v>
      </c>
      <c r="B4" s="793"/>
      <c r="C4" s="793"/>
      <c r="D4" s="793"/>
      <c r="E4" s="793"/>
      <c r="F4" s="793"/>
      <c r="G4" s="793"/>
      <c r="H4" s="793"/>
      <c r="I4" s="791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</row>
    <row r="5" spans="1:34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563"/>
      <c r="G5" s="563"/>
      <c r="H5" s="563"/>
      <c r="I5" s="56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</row>
    <row r="6" spans="1:34" ht="21" hidden="1" customHeight="1">
      <c r="A6" s="804" t="s">
        <v>1338</v>
      </c>
      <c r="B6" s="793"/>
      <c r="C6" s="793"/>
      <c r="D6" s="793"/>
      <c r="E6" s="793"/>
      <c r="F6" s="793"/>
      <c r="G6" s="793"/>
      <c r="H6" s="793"/>
      <c r="I6" s="791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</row>
    <row r="7" spans="1:34" ht="18.75" hidden="1" customHeight="1">
      <c r="A7" s="244"/>
      <c r="B7" s="401"/>
      <c r="C7" s="564" t="s">
        <v>1339</v>
      </c>
      <c r="D7" s="403"/>
      <c r="E7" s="565"/>
      <c r="F7" s="565"/>
      <c r="G7" s="565"/>
      <c r="H7" s="565"/>
      <c r="I7" s="565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</row>
    <row r="8" spans="1:34" ht="14.25" hidden="1" customHeight="1">
      <c r="A8" s="244"/>
      <c r="B8" s="404"/>
      <c r="C8" s="564" t="s">
        <v>1340</v>
      </c>
      <c r="D8" s="405"/>
      <c r="E8" s="566"/>
      <c r="F8" s="566"/>
      <c r="G8" s="566"/>
      <c r="H8" s="566"/>
      <c r="I8" s="566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</row>
    <row r="9" spans="1:34" ht="14.25" hidden="1" customHeight="1">
      <c r="A9" s="244"/>
      <c r="B9" s="404"/>
      <c r="C9" s="798" t="s">
        <v>1341</v>
      </c>
      <c r="D9" s="791"/>
      <c r="E9" s="567"/>
      <c r="F9" s="567"/>
      <c r="G9" s="567"/>
      <c r="H9" s="567"/>
      <c r="I9" s="56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</row>
    <row r="10" spans="1:34" ht="25.5" customHeight="1">
      <c r="A10" s="568"/>
      <c r="B10" s="569"/>
      <c r="C10" s="570"/>
      <c r="D10" s="571"/>
      <c r="E10" s="572"/>
      <c r="F10" s="572"/>
      <c r="G10" s="572"/>
      <c r="H10" s="572"/>
      <c r="I10" s="57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</row>
    <row r="11" spans="1:34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24</v>
      </c>
      <c r="F11" s="22" t="s">
        <v>24</v>
      </c>
      <c r="G11" s="414" t="s">
        <v>24</v>
      </c>
      <c r="H11" s="22" t="s">
        <v>24</v>
      </c>
      <c r="I11" s="289" t="s">
        <v>24</v>
      </c>
      <c r="J11" s="289" t="s">
        <v>24</v>
      </c>
      <c r="K11" s="289" t="s">
        <v>24</v>
      </c>
      <c r="L11" s="611" t="s">
        <v>24</v>
      </c>
      <c r="M11" s="574" t="s">
        <v>24</v>
      </c>
      <c r="N11" s="289" t="s">
        <v>1872</v>
      </c>
      <c r="O11" s="22" t="s">
        <v>24</v>
      </c>
      <c r="P11" s="180" t="s">
        <v>24</v>
      </c>
      <c r="Q11" s="180" t="s">
        <v>24</v>
      </c>
      <c r="R11" s="22"/>
      <c r="S11" s="414"/>
      <c r="T11" s="201"/>
      <c r="U11" s="576" t="s">
        <v>38</v>
      </c>
      <c r="V11" s="577"/>
      <c r="W11" s="535"/>
      <c r="X11" s="535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29.25" customHeight="1">
      <c r="A12" s="578"/>
      <c r="B12" s="430"/>
      <c r="C12" s="579" t="s">
        <v>39</v>
      </c>
      <c r="D12" s="186"/>
      <c r="E12" s="29">
        <v>1</v>
      </c>
      <c r="F12" s="29">
        <v>1</v>
      </c>
      <c r="G12" s="185">
        <v>1</v>
      </c>
      <c r="H12" s="29">
        <v>1</v>
      </c>
      <c r="I12" s="187">
        <v>1</v>
      </c>
      <c r="J12" s="187">
        <v>1</v>
      </c>
      <c r="K12" s="187">
        <v>1</v>
      </c>
      <c r="L12" s="185">
        <v>1</v>
      </c>
      <c r="M12" s="185">
        <v>1</v>
      </c>
      <c r="N12" s="190">
        <v>1</v>
      </c>
      <c r="O12" s="29">
        <v>1</v>
      </c>
      <c r="P12" s="185">
        <v>1</v>
      </c>
      <c r="Q12" s="185">
        <v>1</v>
      </c>
      <c r="R12" s="29"/>
      <c r="S12" s="293"/>
      <c r="T12" s="352"/>
      <c r="U12" s="581">
        <f>SUM(E12:T12)</f>
        <v>13</v>
      </c>
      <c r="V12" s="582"/>
      <c r="W12" s="582"/>
      <c r="X12" s="582"/>
      <c r="Y12" s="7"/>
      <c r="Z12" s="7"/>
      <c r="AA12" s="7"/>
      <c r="AB12" s="7">
        <v>6</v>
      </c>
      <c r="AC12" s="7"/>
      <c r="AD12" s="7"/>
      <c r="AE12" s="7"/>
      <c r="AF12" s="7"/>
      <c r="AG12" s="7"/>
      <c r="AH12" s="7"/>
    </row>
    <row r="13" spans="1:34" ht="37.5" customHeight="1">
      <c r="A13" s="583"/>
      <c r="B13" s="584"/>
      <c r="C13" s="585" t="s">
        <v>40</v>
      </c>
      <c r="D13" s="584"/>
      <c r="E13" s="32">
        <v>44715</v>
      </c>
      <c r="F13" s="32" t="s">
        <v>1873</v>
      </c>
      <c r="G13" s="40" t="s">
        <v>1874</v>
      </c>
      <c r="H13" s="587" t="s">
        <v>1666</v>
      </c>
      <c r="I13" s="587" t="s">
        <v>1875</v>
      </c>
      <c r="J13" s="710" t="s">
        <v>1757</v>
      </c>
      <c r="K13" s="710" t="s">
        <v>1758</v>
      </c>
      <c r="L13" s="191" t="s">
        <v>1876</v>
      </c>
      <c r="M13" s="191" t="s">
        <v>1542</v>
      </c>
      <c r="N13" s="190"/>
      <c r="O13" s="189" t="s">
        <v>1877</v>
      </c>
      <c r="P13" s="40" t="s">
        <v>1544</v>
      </c>
      <c r="Q13" s="40" t="s">
        <v>1878</v>
      </c>
      <c r="R13" s="189"/>
      <c r="S13" s="189"/>
      <c r="T13" s="32"/>
      <c r="U13" s="581"/>
      <c r="V13" s="591"/>
      <c r="W13" s="582"/>
      <c r="X13" s="591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53.25" customHeight="1">
      <c r="A14" s="578"/>
      <c r="B14" s="430"/>
      <c r="C14" s="579" t="s">
        <v>41</v>
      </c>
      <c r="D14" s="430"/>
      <c r="E14" s="30"/>
      <c r="F14" s="30"/>
      <c r="G14" s="185" t="s">
        <v>1879</v>
      </c>
      <c r="H14" s="30"/>
      <c r="I14" s="190" t="s">
        <v>1880</v>
      </c>
      <c r="J14" s="190" t="s">
        <v>1879</v>
      </c>
      <c r="K14" s="190"/>
      <c r="L14" s="592"/>
      <c r="M14" s="592"/>
      <c r="N14" s="714"/>
      <c r="O14" s="30"/>
      <c r="P14" s="185"/>
      <c r="Q14" s="185"/>
      <c r="R14" s="30"/>
      <c r="S14" s="185"/>
      <c r="T14" s="593"/>
      <c r="U14" s="581"/>
      <c r="V14" s="582"/>
      <c r="W14" s="582"/>
      <c r="X14" s="582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51" customHeight="1">
      <c r="A15" s="578"/>
      <c r="B15" s="430"/>
      <c r="C15" s="579" t="s">
        <v>42</v>
      </c>
      <c r="D15" s="430"/>
      <c r="E15" s="30" t="s">
        <v>1881</v>
      </c>
      <c r="F15" s="30" t="s">
        <v>1882</v>
      </c>
      <c r="G15" s="191" t="s">
        <v>1883</v>
      </c>
      <c r="H15" s="30" t="s">
        <v>1884</v>
      </c>
      <c r="I15" s="190" t="s">
        <v>1885</v>
      </c>
      <c r="J15" s="190" t="s">
        <v>1886</v>
      </c>
      <c r="K15" s="190" t="s">
        <v>1394</v>
      </c>
      <c r="L15" s="185" t="s">
        <v>1556</v>
      </c>
      <c r="M15" s="185" t="s">
        <v>1556</v>
      </c>
      <c r="N15" s="714" t="s">
        <v>1887</v>
      </c>
      <c r="O15" s="30" t="s">
        <v>1888</v>
      </c>
      <c r="P15" s="191" t="s">
        <v>1889</v>
      </c>
      <c r="Q15" s="191" t="s">
        <v>1394</v>
      </c>
      <c r="R15" s="30"/>
      <c r="S15" s="191"/>
      <c r="T15" s="353"/>
      <c r="U15" s="576"/>
      <c r="V15" s="582"/>
      <c r="W15" s="582"/>
      <c r="X15" s="582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30.75" customHeight="1">
      <c r="A16" s="579"/>
      <c r="B16" s="186"/>
      <c r="C16" s="579" t="s">
        <v>43</v>
      </c>
      <c r="D16" s="186"/>
      <c r="E16" s="34" t="s">
        <v>1890</v>
      </c>
      <c r="F16" s="34" t="s">
        <v>1891</v>
      </c>
      <c r="G16" s="193" t="s">
        <v>1892</v>
      </c>
      <c r="H16" s="34" t="s">
        <v>1893</v>
      </c>
      <c r="I16" s="194" t="s">
        <v>1894</v>
      </c>
      <c r="J16" s="194" t="s">
        <v>1647</v>
      </c>
      <c r="K16" s="194" t="s">
        <v>1895</v>
      </c>
      <c r="L16" s="185"/>
      <c r="M16" s="185" t="s">
        <v>1896</v>
      </c>
      <c r="N16" s="190" t="s">
        <v>1897</v>
      </c>
      <c r="O16" s="34" t="s">
        <v>1898</v>
      </c>
      <c r="P16" s="193" t="s">
        <v>1899</v>
      </c>
      <c r="Q16" s="185" t="s">
        <v>1900</v>
      </c>
      <c r="R16" s="34"/>
      <c r="S16" s="193"/>
      <c r="T16" s="597"/>
      <c r="U16" s="598"/>
      <c r="V16" s="599"/>
      <c r="W16" s="599"/>
      <c r="X16" s="599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33.75" customHeight="1">
      <c r="A17" s="583"/>
      <c r="B17" s="584"/>
      <c r="C17" s="585" t="s">
        <v>70</v>
      </c>
      <c r="D17" s="584"/>
      <c r="E17" s="32">
        <v>44745</v>
      </c>
      <c r="F17" s="32" t="s">
        <v>1901</v>
      </c>
      <c r="G17" s="40" t="s">
        <v>1667</v>
      </c>
      <c r="H17" s="587" t="s">
        <v>1902</v>
      </c>
      <c r="I17" s="587" t="s">
        <v>1903</v>
      </c>
      <c r="J17" s="710" t="s">
        <v>1782</v>
      </c>
      <c r="K17" s="710" t="s">
        <v>1670</v>
      </c>
      <c r="L17" s="185"/>
      <c r="M17" s="185" t="s">
        <v>1660</v>
      </c>
      <c r="N17" s="32" t="s">
        <v>1663</v>
      </c>
      <c r="O17" s="189" t="s">
        <v>1904</v>
      </c>
      <c r="P17" s="40" t="s">
        <v>1573</v>
      </c>
      <c r="Q17" s="40" t="s">
        <v>1836</v>
      </c>
      <c r="R17" s="189"/>
      <c r="S17" s="32"/>
      <c r="T17" s="32"/>
      <c r="U17" s="581"/>
      <c r="V17" s="591"/>
      <c r="W17" s="591"/>
      <c r="X17" s="591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302"/>
      <c r="I18" s="198"/>
      <c r="J18" s="198"/>
      <c r="K18" s="198"/>
      <c r="L18" s="197"/>
      <c r="M18" s="197"/>
      <c r="N18" s="605"/>
      <c r="O18" s="43"/>
      <c r="P18" s="43"/>
      <c r="Q18" s="43"/>
      <c r="R18" s="43"/>
      <c r="S18" s="43"/>
      <c r="T18" s="606"/>
      <c r="U18" s="607"/>
      <c r="V18" s="608"/>
      <c r="W18" s="609"/>
      <c r="X18" s="609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1"/>
      <c r="I19" s="204"/>
      <c r="J19" s="204"/>
      <c r="K19" s="204"/>
      <c r="L19" s="611"/>
      <c r="M19" s="611"/>
      <c r="N19" s="614"/>
      <c r="O19" s="201"/>
      <c r="P19" s="201"/>
      <c r="Q19" s="201"/>
      <c r="R19" s="201"/>
      <c r="S19" s="201"/>
      <c r="T19" s="615"/>
      <c r="U19" s="616"/>
      <c r="V19" s="617"/>
      <c r="W19" s="577"/>
      <c r="X19" s="577"/>
      <c r="Y19" s="7"/>
      <c r="Z19" s="363"/>
      <c r="AA19" s="7"/>
      <c r="AB19" s="618">
        <f>Z19-U19</f>
        <v>0</v>
      </c>
      <c r="AC19" s="7"/>
      <c r="AD19" s="7"/>
      <c r="AE19" s="7"/>
      <c r="AF19" s="7"/>
      <c r="AG19" s="7"/>
      <c r="AH19" s="7"/>
    </row>
    <row r="20" spans="1:34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715">
        <v>1</v>
      </c>
      <c r="G20" s="716">
        <v>1</v>
      </c>
      <c r="H20" s="711">
        <v>1</v>
      </c>
      <c r="I20" s="711">
        <v>1</v>
      </c>
      <c r="J20" s="211"/>
      <c r="K20" s="717">
        <v>1</v>
      </c>
      <c r="L20" s="620"/>
      <c r="M20" s="620"/>
      <c r="N20" s="718">
        <v>1</v>
      </c>
      <c r="O20" s="209"/>
      <c r="P20" s="209"/>
      <c r="Q20" s="209"/>
      <c r="R20" s="712"/>
      <c r="S20" s="209"/>
      <c r="T20" s="624"/>
      <c r="U20" s="625">
        <f t="shared" ref="U20:U274" si="0">+SUM(E20:T20)</f>
        <v>6</v>
      </c>
      <c r="V20" s="626"/>
      <c r="W20" s="627"/>
      <c r="X20" s="627"/>
      <c r="Y20" s="7"/>
      <c r="Z20" s="719">
        <v>8</v>
      </c>
      <c r="AA20" s="7"/>
      <c r="AB20" s="618">
        <v>0</v>
      </c>
      <c r="AC20" s="7"/>
      <c r="AD20" s="7"/>
      <c r="AE20" s="7"/>
      <c r="AF20" s="7"/>
      <c r="AG20" s="7"/>
      <c r="AH20" s="7"/>
    </row>
    <row r="21" spans="1:34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5"/>
      <c r="I21" s="215"/>
      <c r="J21" s="215"/>
      <c r="K21" s="215"/>
      <c r="L21" s="620"/>
      <c r="M21" s="620"/>
      <c r="N21" s="632"/>
      <c r="O21" s="213"/>
      <c r="P21" s="213"/>
      <c r="Q21" s="213"/>
      <c r="R21" s="213"/>
      <c r="S21" s="213"/>
      <c r="T21" s="615"/>
      <c r="U21" s="616">
        <f t="shared" si="0"/>
        <v>0</v>
      </c>
      <c r="V21" s="633"/>
      <c r="W21" s="634"/>
      <c r="X21" s="634"/>
      <c r="Y21" s="7"/>
      <c r="Z21" s="699"/>
      <c r="AA21" s="7"/>
      <c r="AB21" s="618">
        <f t="shared" ref="AB21:AB24" si="1">Z21-U21</f>
        <v>0</v>
      </c>
      <c r="AC21" s="7"/>
      <c r="AD21" s="7"/>
      <c r="AE21" s="7"/>
      <c r="AF21" s="7"/>
      <c r="AG21" s="7"/>
      <c r="AH21" s="7"/>
    </row>
    <row r="22" spans="1:34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5"/>
      <c r="I22" s="215"/>
      <c r="J22" s="215"/>
      <c r="K22" s="215"/>
      <c r="L22" s="620"/>
      <c r="M22" s="620"/>
      <c r="N22" s="632"/>
      <c r="O22" s="213"/>
      <c r="P22" s="213"/>
      <c r="Q22" s="213"/>
      <c r="R22" s="213"/>
      <c r="S22" s="213"/>
      <c r="T22" s="615"/>
      <c r="U22" s="616">
        <f t="shared" si="0"/>
        <v>0</v>
      </c>
      <c r="V22" s="633"/>
      <c r="W22" s="634"/>
      <c r="X22" s="634"/>
      <c r="Y22" s="7"/>
      <c r="Z22" s="699"/>
      <c r="AA22" s="7"/>
      <c r="AB22" s="618">
        <f t="shared" si="1"/>
        <v>0</v>
      </c>
      <c r="AC22" s="7"/>
      <c r="AD22" s="7"/>
      <c r="AE22" s="7"/>
      <c r="AF22" s="7"/>
      <c r="AG22" s="7"/>
      <c r="AH22" s="7"/>
    </row>
    <row r="23" spans="1:34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5"/>
      <c r="I23" s="215"/>
      <c r="J23" s="215"/>
      <c r="K23" s="215"/>
      <c r="L23" s="620"/>
      <c r="M23" s="620"/>
      <c r="N23" s="632"/>
      <c r="O23" s="213"/>
      <c r="P23" s="213"/>
      <c r="Q23" s="213"/>
      <c r="R23" s="213"/>
      <c r="S23" s="213"/>
      <c r="T23" s="615"/>
      <c r="U23" s="616">
        <f t="shared" si="0"/>
        <v>0</v>
      </c>
      <c r="V23" s="633"/>
      <c r="W23" s="634"/>
      <c r="X23" s="634"/>
      <c r="Y23" s="7"/>
      <c r="Z23" s="699"/>
      <c r="AA23" s="7"/>
      <c r="AB23" s="618">
        <f t="shared" si="1"/>
        <v>0</v>
      </c>
      <c r="AC23" s="7"/>
      <c r="AD23" s="7"/>
      <c r="AE23" s="7"/>
      <c r="AF23" s="7"/>
      <c r="AG23" s="7"/>
      <c r="AH23" s="7"/>
    </row>
    <row r="24" spans="1:34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5"/>
      <c r="I24" s="215"/>
      <c r="J24" s="215"/>
      <c r="K24" s="215"/>
      <c r="L24" s="620"/>
      <c r="M24" s="620"/>
      <c r="N24" s="632"/>
      <c r="O24" s="213"/>
      <c r="P24" s="213"/>
      <c r="Q24" s="213"/>
      <c r="R24" s="213"/>
      <c r="S24" s="213"/>
      <c r="T24" s="615"/>
      <c r="U24" s="616">
        <f t="shared" si="0"/>
        <v>0</v>
      </c>
      <c r="V24" s="633"/>
      <c r="W24" s="634"/>
      <c r="X24" s="634"/>
      <c r="Y24" s="7"/>
      <c r="Z24" s="699"/>
      <c r="AA24" s="7"/>
      <c r="AB24" s="618">
        <f t="shared" si="1"/>
        <v>0</v>
      </c>
      <c r="AC24" s="7"/>
      <c r="AD24" s="7"/>
      <c r="AE24" s="7"/>
      <c r="AF24" s="7"/>
      <c r="AG24" s="7"/>
      <c r="AH24" s="7"/>
    </row>
    <row r="25" spans="1:34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11"/>
      <c r="I25" s="211"/>
      <c r="J25" s="211"/>
      <c r="K25" s="211"/>
      <c r="L25" s="620"/>
      <c r="M25" s="620"/>
      <c r="N25" s="623"/>
      <c r="O25" s="209"/>
      <c r="P25" s="209"/>
      <c r="Q25" s="712">
        <v>1</v>
      </c>
      <c r="R25" s="209"/>
      <c r="S25" s="209"/>
      <c r="T25" s="624"/>
      <c r="U25" s="625">
        <f t="shared" si="0"/>
        <v>1</v>
      </c>
      <c r="V25" s="626"/>
      <c r="W25" s="627"/>
      <c r="X25" s="627"/>
      <c r="Y25" s="7"/>
      <c r="Z25" s="699"/>
      <c r="AA25" s="7"/>
      <c r="AB25" s="618"/>
      <c r="AC25" s="7"/>
      <c r="AD25" s="7"/>
      <c r="AE25" s="7"/>
      <c r="AF25" s="7"/>
      <c r="AG25" s="7"/>
      <c r="AH25" s="7"/>
    </row>
    <row r="26" spans="1:34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5"/>
      <c r="I26" s="215"/>
      <c r="J26" s="215"/>
      <c r="K26" s="215"/>
      <c r="L26" s="620"/>
      <c r="M26" s="620"/>
      <c r="N26" s="632"/>
      <c r="O26" s="213"/>
      <c r="P26" s="213"/>
      <c r="Q26" s="213"/>
      <c r="R26" s="213"/>
      <c r="S26" s="213"/>
      <c r="T26" s="615"/>
      <c r="U26" s="616">
        <f t="shared" si="0"/>
        <v>0</v>
      </c>
      <c r="V26" s="633"/>
      <c r="W26" s="634"/>
      <c r="X26" s="634"/>
      <c r="Y26" s="7"/>
      <c r="Z26" s="699"/>
      <c r="AA26" s="7"/>
      <c r="AB26" s="618">
        <f t="shared" ref="AB26:AB36" si="2">Z26-U26</f>
        <v>0</v>
      </c>
      <c r="AC26" s="7"/>
      <c r="AD26" s="7"/>
      <c r="AE26" s="7"/>
      <c r="AF26" s="7"/>
      <c r="AG26" s="7"/>
      <c r="AH26" s="7"/>
    </row>
    <row r="27" spans="1:34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5"/>
      <c r="I27" s="215"/>
      <c r="J27" s="215"/>
      <c r="K27" s="215"/>
      <c r="L27" s="620"/>
      <c r="M27" s="620"/>
      <c r="N27" s="632"/>
      <c r="O27" s="213"/>
      <c r="P27" s="213"/>
      <c r="Q27" s="213"/>
      <c r="R27" s="213"/>
      <c r="S27" s="213"/>
      <c r="T27" s="615"/>
      <c r="U27" s="616">
        <f t="shared" si="0"/>
        <v>0</v>
      </c>
      <c r="V27" s="633"/>
      <c r="W27" s="634"/>
      <c r="X27" s="634"/>
      <c r="Y27" s="7"/>
      <c r="Z27" s="699"/>
      <c r="AA27" s="7"/>
      <c r="AB27" s="618">
        <f t="shared" si="2"/>
        <v>0</v>
      </c>
      <c r="AC27" s="7"/>
      <c r="AD27" s="7"/>
      <c r="AE27" s="7"/>
      <c r="AF27" s="7"/>
      <c r="AG27" s="7"/>
      <c r="AH27" s="7"/>
    </row>
    <row r="28" spans="1:34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5"/>
      <c r="I28" s="215"/>
      <c r="J28" s="215"/>
      <c r="K28" s="215"/>
      <c r="L28" s="620"/>
      <c r="M28" s="620"/>
      <c r="N28" s="632"/>
      <c r="O28" s="213"/>
      <c r="P28" s="213"/>
      <c r="Q28" s="213"/>
      <c r="R28" s="213"/>
      <c r="S28" s="213"/>
      <c r="T28" s="615"/>
      <c r="U28" s="616">
        <f t="shared" si="0"/>
        <v>0</v>
      </c>
      <c r="V28" s="633"/>
      <c r="W28" s="634"/>
      <c r="X28" s="634"/>
      <c r="Y28" s="7"/>
      <c r="Z28" s="699"/>
      <c r="AA28" s="7"/>
      <c r="AB28" s="618">
        <f t="shared" si="2"/>
        <v>0</v>
      </c>
      <c r="AC28" s="7"/>
      <c r="AD28" s="7"/>
      <c r="AE28" s="7"/>
      <c r="AF28" s="7"/>
      <c r="AG28" s="7"/>
      <c r="AH28" s="7"/>
    </row>
    <row r="29" spans="1:34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5"/>
      <c r="I29" s="215"/>
      <c r="J29" s="215"/>
      <c r="K29" s="215"/>
      <c r="L29" s="620"/>
      <c r="M29" s="620"/>
      <c r="N29" s="632"/>
      <c r="O29" s="213"/>
      <c r="P29" s="213"/>
      <c r="Q29" s="213"/>
      <c r="R29" s="213"/>
      <c r="S29" s="213"/>
      <c r="T29" s="615"/>
      <c r="U29" s="616">
        <f t="shared" si="0"/>
        <v>0</v>
      </c>
      <c r="V29" s="633"/>
      <c r="W29" s="634"/>
      <c r="X29" s="634"/>
      <c r="Y29" s="7"/>
      <c r="Z29" s="699"/>
      <c r="AA29" s="7"/>
      <c r="AB29" s="618">
        <f t="shared" si="2"/>
        <v>0</v>
      </c>
      <c r="AC29" s="7"/>
      <c r="AD29" s="7"/>
      <c r="AE29" s="7"/>
      <c r="AF29" s="7"/>
      <c r="AG29" s="7"/>
      <c r="AH29" s="7"/>
    </row>
    <row r="30" spans="1:34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>
        <v>1</v>
      </c>
      <c r="G30" s="209"/>
      <c r="H30" s="211"/>
      <c r="I30" s="211"/>
      <c r="J30" s="211"/>
      <c r="K30" s="211"/>
      <c r="L30" s="620"/>
      <c r="M30" s="620"/>
      <c r="N30" s="623">
        <v>1</v>
      </c>
      <c r="O30" s="209">
        <v>2</v>
      </c>
      <c r="P30" s="209"/>
      <c r="Q30" s="209"/>
      <c r="R30" s="209"/>
      <c r="S30" s="209"/>
      <c r="T30" s="624"/>
      <c r="U30" s="625">
        <f t="shared" si="0"/>
        <v>4</v>
      </c>
      <c r="V30" s="626"/>
      <c r="W30" s="627"/>
      <c r="X30" s="627"/>
      <c r="Y30" s="7"/>
      <c r="Z30" s="699">
        <v>15</v>
      </c>
      <c r="AA30" s="7"/>
      <c r="AB30" s="618">
        <f t="shared" si="2"/>
        <v>11</v>
      </c>
      <c r="AC30" s="7"/>
      <c r="AD30" s="7"/>
      <c r="AE30" s="7"/>
      <c r="AF30" s="7"/>
      <c r="AG30" s="7"/>
      <c r="AH30" s="7"/>
    </row>
    <row r="31" spans="1:34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5"/>
      <c r="I31" s="215"/>
      <c r="J31" s="215"/>
      <c r="K31" s="215"/>
      <c r="L31" s="620"/>
      <c r="M31" s="620"/>
      <c r="N31" s="632"/>
      <c r="O31" s="213"/>
      <c r="P31" s="213"/>
      <c r="Q31" s="213"/>
      <c r="R31" s="213"/>
      <c r="S31" s="213"/>
      <c r="T31" s="615"/>
      <c r="U31" s="616">
        <f t="shared" si="0"/>
        <v>0</v>
      </c>
      <c r="V31" s="633"/>
      <c r="W31" s="634"/>
      <c r="X31" s="634"/>
      <c r="Y31" s="7"/>
      <c r="Z31" s="699"/>
      <c r="AA31" s="7"/>
      <c r="AB31" s="618">
        <f t="shared" si="2"/>
        <v>0</v>
      </c>
      <c r="AC31" s="7"/>
      <c r="AD31" s="7"/>
      <c r="AE31" s="7"/>
      <c r="AF31" s="7"/>
      <c r="AG31" s="7"/>
      <c r="AH31" s="7"/>
    </row>
    <row r="32" spans="1:34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5"/>
      <c r="I32" s="215"/>
      <c r="J32" s="215"/>
      <c r="K32" s="215"/>
      <c r="L32" s="620"/>
      <c r="M32" s="620"/>
      <c r="N32" s="632"/>
      <c r="O32" s="213"/>
      <c r="P32" s="213"/>
      <c r="Q32" s="213"/>
      <c r="R32" s="213"/>
      <c r="S32" s="213"/>
      <c r="T32" s="615"/>
      <c r="U32" s="616">
        <f t="shared" si="0"/>
        <v>0</v>
      </c>
      <c r="V32" s="633"/>
      <c r="W32" s="634"/>
      <c r="X32" s="634"/>
      <c r="Y32" s="7"/>
      <c r="Z32" s="699"/>
      <c r="AA32" s="7"/>
      <c r="AB32" s="618">
        <f t="shared" si="2"/>
        <v>0</v>
      </c>
      <c r="AC32" s="7"/>
      <c r="AD32" s="7"/>
      <c r="AE32" s="7"/>
      <c r="AF32" s="7"/>
      <c r="AG32" s="7"/>
      <c r="AH32" s="7"/>
    </row>
    <row r="33" spans="1:34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5"/>
      <c r="I33" s="215"/>
      <c r="J33" s="215"/>
      <c r="K33" s="215"/>
      <c r="L33" s="620"/>
      <c r="M33" s="620"/>
      <c r="N33" s="632"/>
      <c r="O33" s="213"/>
      <c r="P33" s="213"/>
      <c r="Q33" s="213"/>
      <c r="R33" s="213"/>
      <c r="S33" s="213"/>
      <c r="T33" s="615"/>
      <c r="U33" s="616">
        <f t="shared" si="0"/>
        <v>0</v>
      </c>
      <c r="V33" s="633"/>
      <c r="W33" s="634"/>
      <c r="X33" s="634"/>
      <c r="Y33" s="7"/>
      <c r="Z33" s="699"/>
      <c r="AA33" s="7"/>
      <c r="AB33" s="618">
        <f t="shared" si="2"/>
        <v>0</v>
      </c>
      <c r="AC33" s="7"/>
      <c r="AD33" s="7"/>
      <c r="AE33" s="7"/>
      <c r="AF33" s="7"/>
      <c r="AG33" s="7"/>
      <c r="AH33" s="7"/>
    </row>
    <row r="34" spans="1:34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5"/>
      <c r="I34" s="215"/>
      <c r="J34" s="215"/>
      <c r="K34" s="215"/>
      <c r="L34" s="620"/>
      <c r="M34" s="620"/>
      <c r="N34" s="632"/>
      <c r="O34" s="213"/>
      <c r="P34" s="213"/>
      <c r="Q34" s="213"/>
      <c r="R34" s="213"/>
      <c r="S34" s="213"/>
      <c r="T34" s="615"/>
      <c r="U34" s="616">
        <f t="shared" si="0"/>
        <v>0</v>
      </c>
      <c r="V34" s="633"/>
      <c r="W34" s="634"/>
      <c r="X34" s="634"/>
      <c r="Y34" s="7"/>
      <c r="Z34" s="699"/>
      <c r="AA34" s="7"/>
      <c r="AB34" s="618">
        <f t="shared" si="2"/>
        <v>0</v>
      </c>
      <c r="AC34" s="7"/>
      <c r="AD34" s="7"/>
      <c r="AE34" s="7"/>
      <c r="AF34" s="7"/>
      <c r="AG34" s="7"/>
      <c r="AH34" s="7"/>
    </row>
    <row r="35" spans="1:34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5"/>
      <c r="I35" s="215"/>
      <c r="J35" s="215"/>
      <c r="K35" s="215"/>
      <c r="L35" s="620"/>
      <c r="M35" s="620"/>
      <c r="N35" s="632"/>
      <c r="O35" s="213"/>
      <c r="P35" s="213"/>
      <c r="Q35" s="213"/>
      <c r="R35" s="213"/>
      <c r="S35" s="213"/>
      <c r="T35" s="615"/>
      <c r="U35" s="616">
        <f t="shared" si="0"/>
        <v>0</v>
      </c>
      <c r="V35" s="633"/>
      <c r="W35" s="636"/>
      <c r="X35" s="636"/>
      <c r="Y35" s="7"/>
      <c r="Z35" s="699"/>
      <c r="AA35" s="7"/>
      <c r="AB35" s="618">
        <f t="shared" si="2"/>
        <v>0</v>
      </c>
      <c r="AC35" s="7"/>
      <c r="AD35" s="7"/>
      <c r="AE35" s="7"/>
      <c r="AF35" s="7"/>
      <c r="AG35" s="7"/>
      <c r="AH35" s="7"/>
    </row>
    <row r="36" spans="1:34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5"/>
      <c r="I36" s="215"/>
      <c r="J36" s="215"/>
      <c r="K36" s="215"/>
      <c r="L36" s="620"/>
      <c r="M36" s="620"/>
      <c r="N36" s="632"/>
      <c r="O36" s="213"/>
      <c r="P36" s="213"/>
      <c r="Q36" s="213"/>
      <c r="R36" s="213"/>
      <c r="S36" s="213"/>
      <c r="T36" s="615"/>
      <c r="U36" s="616">
        <f t="shared" si="0"/>
        <v>0</v>
      </c>
      <c r="V36" s="633"/>
      <c r="W36" s="547" t="s">
        <v>1576</v>
      </c>
      <c r="X36" s="636"/>
      <c r="Y36" s="7"/>
      <c r="Z36" s="699"/>
      <c r="AA36" s="7"/>
      <c r="AB36" s="618">
        <f t="shared" si="2"/>
        <v>0</v>
      </c>
      <c r="AC36" s="7"/>
      <c r="AD36" s="7"/>
      <c r="AE36" s="7"/>
      <c r="AF36" s="7"/>
      <c r="AG36" s="7"/>
      <c r="AH36" s="7"/>
    </row>
    <row r="37" spans="1:34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5"/>
      <c r="I37" s="215"/>
      <c r="J37" s="215"/>
      <c r="K37" s="215"/>
      <c r="L37" s="638"/>
      <c r="M37" s="638"/>
      <c r="N37" s="677">
        <f>SUM(N38:N53)+N62</f>
        <v>74</v>
      </c>
      <c r="O37" s="213"/>
      <c r="P37" s="213"/>
      <c r="Q37" s="213"/>
      <c r="R37" s="213"/>
      <c r="S37" s="213"/>
      <c r="T37" s="639"/>
      <c r="U37" s="616">
        <f t="shared" si="0"/>
        <v>74</v>
      </c>
      <c r="V37" s="633"/>
      <c r="W37" s="640"/>
      <c r="X37" s="640"/>
      <c r="Y37" s="7"/>
      <c r="Z37" s="700"/>
      <c r="AA37" s="7"/>
      <c r="AB37" s="618"/>
      <c r="AC37" s="7"/>
      <c r="AD37" s="7"/>
      <c r="AE37" s="7"/>
      <c r="AF37" s="7"/>
      <c r="AG37" s="7"/>
      <c r="AH37" s="7"/>
    </row>
    <row r="38" spans="1:34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1</v>
      </c>
      <c r="F38" s="209"/>
      <c r="G38" s="209"/>
      <c r="H38" s="211"/>
      <c r="I38" s="211"/>
      <c r="J38" s="211"/>
      <c r="K38" s="211"/>
      <c r="L38" s="620"/>
      <c r="M38" s="620">
        <v>1</v>
      </c>
      <c r="N38" s="623">
        <v>3</v>
      </c>
      <c r="O38" s="209"/>
      <c r="P38" s="209"/>
      <c r="Q38" s="209"/>
      <c r="R38" s="209"/>
      <c r="S38" s="209"/>
      <c r="T38" s="624"/>
      <c r="U38" s="625">
        <f t="shared" si="0"/>
        <v>5</v>
      </c>
      <c r="V38" s="626"/>
      <c r="W38" s="627" t="s">
        <v>1577</v>
      </c>
      <c r="X38" s="642">
        <f>U38</f>
        <v>5</v>
      </c>
      <c r="Y38" s="7"/>
      <c r="Z38" s="699">
        <v>17</v>
      </c>
      <c r="AA38" s="7"/>
      <c r="AB38" s="618">
        <f t="shared" ref="AB38:AB42" si="3">Z38-U38</f>
        <v>12</v>
      </c>
      <c r="AC38" s="7"/>
      <c r="AD38" s="7"/>
      <c r="AE38" s="7"/>
      <c r="AF38" s="7"/>
      <c r="AG38" s="7"/>
      <c r="AH38" s="7"/>
    </row>
    <row r="39" spans="1:34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5"/>
      <c r="I39" s="215"/>
      <c r="J39" s="215"/>
      <c r="K39" s="215"/>
      <c r="L39" s="620"/>
      <c r="M39" s="620"/>
      <c r="N39" s="632"/>
      <c r="O39" s="213"/>
      <c r="P39" s="213"/>
      <c r="Q39" s="213"/>
      <c r="R39" s="213"/>
      <c r="S39" s="213"/>
      <c r="T39" s="643"/>
      <c r="U39" s="616">
        <f t="shared" si="0"/>
        <v>0</v>
      </c>
      <c r="V39" s="633"/>
      <c r="W39" s="644" t="s">
        <v>1578</v>
      </c>
      <c r="X39" s="645">
        <f>V43</f>
        <v>590</v>
      </c>
      <c r="Y39" s="7"/>
      <c r="Z39" s="699"/>
      <c r="AA39" s="7"/>
      <c r="AB39" s="618">
        <f t="shared" si="3"/>
        <v>0</v>
      </c>
      <c r="AC39" s="7"/>
      <c r="AD39" s="7"/>
      <c r="AE39" s="7"/>
      <c r="AF39" s="7"/>
      <c r="AG39" s="7"/>
      <c r="AH39" s="7"/>
    </row>
    <row r="40" spans="1:34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5"/>
      <c r="I40" s="215"/>
      <c r="J40" s="215"/>
      <c r="K40" s="215"/>
      <c r="L40" s="620"/>
      <c r="M40" s="620"/>
      <c r="N40" s="632"/>
      <c r="O40" s="213"/>
      <c r="P40" s="213"/>
      <c r="Q40" s="213"/>
      <c r="R40" s="213"/>
      <c r="S40" s="213"/>
      <c r="T40" s="643"/>
      <c r="U40" s="616">
        <f t="shared" si="0"/>
        <v>0</v>
      </c>
      <c r="V40" s="633"/>
      <c r="W40" s="636"/>
      <c r="X40" s="636"/>
      <c r="Y40" s="7"/>
      <c r="Z40" s="699"/>
      <c r="AA40" s="7"/>
      <c r="AB40" s="618">
        <f t="shared" si="3"/>
        <v>0</v>
      </c>
      <c r="AC40" s="7"/>
      <c r="AD40" s="7"/>
      <c r="AE40" s="7"/>
      <c r="AF40" s="7"/>
      <c r="AG40" s="7"/>
      <c r="AH40" s="7"/>
    </row>
    <row r="41" spans="1:34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5"/>
      <c r="I41" s="215"/>
      <c r="J41" s="215"/>
      <c r="K41" s="215"/>
      <c r="L41" s="620"/>
      <c r="M41" s="620"/>
      <c r="N41" s="632"/>
      <c r="O41" s="213"/>
      <c r="P41" s="213"/>
      <c r="Q41" s="213"/>
      <c r="R41" s="213"/>
      <c r="S41" s="213"/>
      <c r="T41" s="643"/>
      <c r="U41" s="616">
        <f t="shared" si="0"/>
        <v>0</v>
      </c>
      <c r="V41" s="633"/>
      <c r="W41" s="636"/>
      <c r="X41" s="636"/>
      <c r="Y41" s="7"/>
      <c r="Z41" s="699"/>
      <c r="AA41" s="7"/>
      <c r="AB41" s="618">
        <f t="shared" si="3"/>
        <v>0</v>
      </c>
      <c r="AC41" s="7"/>
      <c r="AD41" s="7"/>
      <c r="AE41" s="7"/>
      <c r="AF41" s="7"/>
      <c r="AG41" s="7"/>
      <c r="AH41" s="7"/>
    </row>
    <row r="42" spans="1:34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5"/>
      <c r="I42" s="215"/>
      <c r="J42" s="215"/>
      <c r="K42" s="215"/>
      <c r="L42" s="620"/>
      <c r="M42" s="620"/>
      <c r="N42" s="632"/>
      <c r="O42" s="213"/>
      <c r="P42" s="213"/>
      <c r="Q42" s="213"/>
      <c r="R42" s="213"/>
      <c r="S42" s="213"/>
      <c r="T42" s="643"/>
      <c r="U42" s="616">
        <f t="shared" si="0"/>
        <v>0</v>
      </c>
      <c r="V42" s="633"/>
      <c r="W42" s="636"/>
      <c r="X42" s="636"/>
      <c r="Y42" s="7"/>
      <c r="Z42" s="699"/>
      <c r="AA42" s="7"/>
      <c r="AB42" s="618">
        <f t="shared" si="3"/>
        <v>0</v>
      </c>
      <c r="AC42" s="7"/>
      <c r="AD42" s="7"/>
      <c r="AE42" s="7"/>
      <c r="AF42" s="7"/>
      <c r="AG42" s="7"/>
      <c r="AH42" s="7"/>
    </row>
    <row r="43" spans="1:34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3"/>
      <c r="H43" s="215"/>
      <c r="I43" s="215">
        <v>2</v>
      </c>
      <c r="J43" s="215"/>
      <c r="K43" s="215"/>
      <c r="L43" s="620"/>
      <c r="M43" s="620"/>
      <c r="N43" s="632">
        <v>8</v>
      </c>
      <c r="O43" s="213"/>
      <c r="P43" s="213"/>
      <c r="Q43" s="213"/>
      <c r="R43" s="213"/>
      <c r="S43" s="213"/>
      <c r="T43" s="643"/>
      <c r="U43" s="616">
        <f t="shared" si="0"/>
        <v>10</v>
      </c>
      <c r="V43" s="633">
        <f>U43+U48+U53+U62</f>
        <v>590</v>
      </c>
      <c r="W43" s="634"/>
      <c r="X43" s="634"/>
      <c r="Y43" s="7"/>
      <c r="Z43" s="699">
        <v>63</v>
      </c>
      <c r="AA43" s="7"/>
      <c r="AB43" s="618"/>
      <c r="AC43" s="7"/>
      <c r="AD43" s="7"/>
      <c r="AE43" s="7"/>
      <c r="AF43" s="7"/>
      <c r="AG43" s="7"/>
      <c r="AH43" s="7"/>
    </row>
    <row r="44" spans="1:34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5"/>
      <c r="I44" s="215"/>
      <c r="J44" s="215"/>
      <c r="K44" s="215"/>
      <c r="L44" s="620"/>
      <c r="M44" s="620"/>
      <c r="N44" s="632"/>
      <c r="O44" s="213"/>
      <c r="P44" s="213"/>
      <c r="Q44" s="213"/>
      <c r="R44" s="213"/>
      <c r="S44" s="213"/>
      <c r="T44" s="643"/>
      <c r="U44" s="616">
        <f t="shared" si="0"/>
        <v>0</v>
      </c>
      <c r="V44" s="633"/>
      <c r="W44" s="634"/>
      <c r="X44" s="634"/>
      <c r="Y44" s="7"/>
      <c r="Z44" s="699"/>
      <c r="AA44" s="7"/>
      <c r="AB44" s="618"/>
      <c r="AC44" s="7"/>
      <c r="AD44" s="7"/>
      <c r="AE44" s="7"/>
      <c r="AF44" s="7"/>
      <c r="AG44" s="7"/>
      <c r="AH44" s="7"/>
    </row>
    <row r="45" spans="1:34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5"/>
      <c r="I45" s="215"/>
      <c r="J45" s="215"/>
      <c r="K45" s="215"/>
      <c r="L45" s="620"/>
      <c r="M45" s="620"/>
      <c r="N45" s="632"/>
      <c r="O45" s="213"/>
      <c r="P45" s="213"/>
      <c r="Q45" s="213"/>
      <c r="R45" s="213"/>
      <c r="S45" s="213"/>
      <c r="T45" s="643"/>
      <c r="U45" s="616">
        <f t="shared" si="0"/>
        <v>0</v>
      </c>
      <c r="V45" s="633"/>
      <c r="W45" s="634"/>
      <c r="X45" s="634"/>
      <c r="Y45" s="7"/>
      <c r="Z45" s="699"/>
      <c r="AA45" s="7"/>
      <c r="AB45" s="618"/>
      <c r="AC45" s="7"/>
      <c r="AD45" s="7"/>
      <c r="AE45" s="7"/>
      <c r="AF45" s="7"/>
      <c r="AG45" s="7"/>
      <c r="AH45" s="7"/>
    </row>
    <row r="46" spans="1:34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5"/>
      <c r="I46" s="215"/>
      <c r="J46" s="215"/>
      <c r="K46" s="215"/>
      <c r="L46" s="620"/>
      <c r="M46" s="620"/>
      <c r="N46" s="632"/>
      <c r="O46" s="213"/>
      <c r="P46" s="213"/>
      <c r="Q46" s="213"/>
      <c r="R46" s="213"/>
      <c r="S46" s="213"/>
      <c r="T46" s="643"/>
      <c r="U46" s="616">
        <f t="shared" si="0"/>
        <v>0</v>
      </c>
      <c r="V46" s="633"/>
      <c r="W46" s="634"/>
      <c r="X46" s="634"/>
      <c r="Y46" s="7"/>
      <c r="Z46" s="699"/>
      <c r="AA46" s="7"/>
      <c r="AB46" s="618"/>
      <c r="AC46" s="7"/>
      <c r="AD46" s="7"/>
      <c r="AE46" s="7"/>
      <c r="AF46" s="7"/>
      <c r="AG46" s="7"/>
      <c r="AH46" s="7"/>
    </row>
    <row r="47" spans="1:34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5"/>
      <c r="I47" s="215"/>
      <c r="J47" s="215"/>
      <c r="K47" s="215"/>
      <c r="L47" s="620"/>
      <c r="M47" s="620"/>
      <c r="N47" s="632"/>
      <c r="O47" s="213"/>
      <c r="P47" s="213"/>
      <c r="Q47" s="213"/>
      <c r="R47" s="213"/>
      <c r="S47" s="213"/>
      <c r="T47" s="643"/>
      <c r="U47" s="616">
        <f t="shared" si="0"/>
        <v>0</v>
      </c>
      <c r="V47" s="633"/>
      <c r="W47" s="634"/>
      <c r="X47" s="634"/>
      <c r="Y47" s="7"/>
      <c r="Z47" s="699"/>
      <c r="AA47" s="7"/>
      <c r="AB47" s="618"/>
      <c r="AC47" s="7"/>
      <c r="AD47" s="7"/>
      <c r="AE47" s="7"/>
      <c r="AF47" s="7"/>
      <c r="AG47" s="7"/>
      <c r="AH47" s="7"/>
    </row>
    <row r="48" spans="1:34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435</v>
      </c>
      <c r="F48" s="213">
        <v>6</v>
      </c>
      <c r="G48" s="213"/>
      <c r="H48" s="215"/>
      <c r="I48" s="215"/>
      <c r="J48" s="215"/>
      <c r="K48" s="215"/>
      <c r="L48" s="620"/>
      <c r="M48" s="620"/>
      <c r="N48" s="632">
        <v>28</v>
      </c>
      <c r="O48" s="213">
        <v>2</v>
      </c>
      <c r="P48" s="213"/>
      <c r="Q48" s="213"/>
      <c r="R48" s="213"/>
      <c r="S48" s="213"/>
      <c r="T48" s="643"/>
      <c r="U48" s="616">
        <f t="shared" si="0"/>
        <v>471</v>
      </c>
      <c r="V48" s="633"/>
      <c r="W48" s="634"/>
      <c r="X48" s="634"/>
      <c r="Y48" s="7"/>
      <c r="Z48" s="699">
        <v>93</v>
      </c>
      <c r="AA48" s="7"/>
      <c r="AB48" s="618"/>
      <c r="AC48" s="7"/>
      <c r="AD48" s="7"/>
      <c r="AE48" s="7"/>
      <c r="AF48" s="7"/>
      <c r="AG48" s="7"/>
      <c r="AH48" s="7"/>
    </row>
    <row r="49" spans="1:34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5"/>
      <c r="I49" s="215"/>
      <c r="J49" s="215"/>
      <c r="K49" s="215"/>
      <c r="L49" s="620"/>
      <c r="M49" s="620"/>
      <c r="N49" s="632"/>
      <c r="O49" s="213"/>
      <c r="P49" s="213"/>
      <c r="Q49" s="213"/>
      <c r="R49" s="213"/>
      <c r="S49" s="213"/>
      <c r="T49" s="643"/>
      <c r="U49" s="616">
        <f t="shared" si="0"/>
        <v>0</v>
      </c>
      <c r="V49" s="633"/>
      <c r="W49" s="634"/>
      <c r="X49" s="634"/>
      <c r="Y49" s="7"/>
      <c r="Z49" s="699"/>
      <c r="AA49" s="7"/>
      <c r="AB49" s="618"/>
      <c r="AC49" s="7"/>
      <c r="AD49" s="7"/>
      <c r="AE49" s="7"/>
      <c r="AF49" s="7"/>
      <c r="AG49" s="7"/>
      <c r="AH49" s="7"/>
    </row>
    <row r="50" spans="1:34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5"/>
      <c r="I50" s="215"/>
      <c r="J50" s="215"/>
      <c r="K50" s="215"/>
      <c r="L50" s="620"/>
      <c r="M50" s="620"/>
      <c r="N50" s="632"/>
      <c r="O50" s="213"/>
      <c r="P50" s="213"/>
      <c r="Q50" s="213"/>
      <c r="R50" s="213"/>
      <c r="S50" s="213"/>
      <c r="T50" s="643"/>
      <c r="U50" s="616">
        <f t="shared" si="0"/>
        <v>0</v>
      </c>
      <c r="V50" s="633"/>
      <c r="W50" s="634"/>
      <c r="X50" s="634"/>
      <c r="Y50" s="7"/>
      <c r="Z50" s="699"/>
      <c r="AA50" s="7"/>
      <c r="AB50" s="618"/>
      <c r="AC50" s="7"/>
      <c r="AD50" s="7"/>
      <c r="AE50" s="7"/>
      <c r="AF50" s="7"/>
      <c r="AG50" s="7"/>
      <c r="AH50" s="7"/>
    </row>
    <row r="51" spans="1:34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5"/>
      <c r="I51" s="215"/>
      <c r="J51" s="215"/>
      <c r="K51" s="215"/>
      <c r="L51" s="620"/>
      <c r="M51" s="620"/>
      <c r="N51" s="632"/>
      <c r="O51" s="213"/>
      <c r="P51" s="213"/>
      <c r="Q51" s="213"/>
      <c r="R51" s="213"/>
      <c r="S51" s="213"/>
      <c r="T51" s="643"/>
      <c r="U51" s="616">
        <f t="shared" si="0"/>
        <v>0</v>
      </c>
      <c r="V51" s="633"/>
      <c r="W51" s="634"/>
      <c r="X51" s="634"/>
      <c r="Y51" s="7"/>
      <c r="Z51" s="699"/>
      <c r="AA51" s="7"/>
      <c r="AB51" s="618"/>
      <c r="AC51" s="7"/>
      <c r="AD51" s="7"/>
      <c r="AE51" s="7"/>
      <c r="AF51" s="7"/>
      <c r="AG51" s="7"/>
      <c r="AH51" s="7"/>
    </row>
    <row r="52" spans="1:34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5"/>
      <c r="I52" s="215"/>
      <c r="J52" s="215"/>
      <c r="K52" s="215"/>
      <c r="L52" s="620"/>
      <c r="M52" s="620"/>
      <c r="N52" s="632"/>
      <c r="O52" s="213"/>
      <c r="P52" s="213"/>
      <c r="Q52" s="213"/>
      <c r="R52" s="213"/>
      <c r="S52" s="213"/>
      <c r="T52" s="643"/>
      <c r="U52" s="616">
        <f t="shared" si="0"/>
        <v>0</v>
      </c>
      <c r="V52" s="633"/>
      <c r="W52" s="634"/>
      <c r="X52" s="634"/>
      <c r="Y52" s="7"/>
      <c r="Z52" s="699"/>
      <c r="AA52" s="7"/>
      <c r="AB52" s="618"/>
      <c r="AC52" s="7"/>
      <c r="AD52" s="7"/>
      <c r="AE52" s="7"/>
      <c r="AF52" s="7"/>
      <c r="AG52" s="7"/>
      <c r="AH52" s="7"/>
    </row>
    <row r="53" spans="1:34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3">
        <v>11</v>
      </c>
      <c r="G53" s="213"/>
      <c r="H53" s="215"/>
      <c r="I53" s="215"/>
      <c r="J53" s="215"/>
      <c r="K53" s="215"/>
      <c r="L53" s="620"/>
      <c r="M53" s="620"/>
      <c r="N53" s="632">
        <v>35</v>
      </c>
      <c r="O53" s="213">
        <v>19</v>
      </c>
      <c r="P53" s="213"/>
      <c r="Q53" s="213"/>
      <c r="R53" s="213"/>
      <c r="S53" s="213"/>
      <c r="T53" s="643"/>
      <c r="U53" s="616">
        <f t="shared" si="0"/>
        <v>65</v>
      </c>
      <c r="V53" s="633"/>
      <c r="W53" s="634"/>
      <c r="X53" s="634"/>
      <c r="Y53" s="7"/>
      <c r="Z53" s="699">
        <v>748</v>
      </c>
      <c r="AA53" s="7"/>
      <c r="AB53" s="618">
        <v>1</v>
      </c>
      <c r="AC53" s="7"/>
      <c r="AD53" s="7"/>
      <c r="AE53" s="7"/>
      <c r="AF53" s="7"/>
      <c r="AG53" s="7"/>
      <c r="AH53" s="7"/>
    </row>
    <row r="54" spans="1:34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5"/>
      <c r="I54" s="215"/>
      <c r="J54" s="215"/>
      <c r="K54" s="215"/>
      <c r="L54" s="620"/>
      <c r="M54" s="620"/>
      <c r="N54" s="632"/>
      <c r="O54" s="213"/>
      <c r="P54" s="213"/>
      <c r="Q54" s="213"/>
      <c r="R54" s="213"/>
      <c r="S54" s="213"/>
      <c r="T54" s="643"/>
      <c r="U54" s="616">
        <f t="shared" si="0"/>
        <v>0</v>
      </c>
      <c r="V54" s="633"/>
      <c r="W54" s="634"/>
      <c r="X54" s="634"/>
      <c r="Y54" s="7"/>
      <c r="Z54" s="699"/>
      <c r="AA54" s="7"/>
      <c r="AB54" s="618">
        <f t="shared" ref="AB54:AB57" si="4">Z54-U54</f>
        <v>0</v>
      </c>
      <c r="AC54" s="7"/>
      <c r="AD54" s="7"/>
      <c r="AE54" s="7"/>
      <c r="AF54" s="7"/>
      <c r="AG54" s="7"/>
      <c r="AH54" s="7"/>
    </row>
    <row r="55" spans="1:34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5"/>
      <c r="I55" s="215"/>
      <c r="J55" s="215"/>
      <c r="K55" s="215"/>
      <c r="L55" s="620"/>
      <c r="M55" s="620"/>
      <c r="N55" s="632"/>
      <c r="O55" s="213"/>
      <c r="P55" s="213"/>
      <c r="Q55" s="213"/>
      <c r="R55" s="213"/>
      <c r="S55" s="213"/>
      <c r="T55" s="643"/>
      <c r="U55" s="616">
        <f t="shared" si="0"/>
        <v>0</v>
      </c>
      <c r="V55" s="633"/>
      <c r="W55" s="634"/>
      <c r="X55" s="634"/>
      <c r="Y55" s="7"/>
      <c r="Z55" s="699"/>
      <c r="AA55" s="7"/>
      <c r="AB55" s="618">
        <f t="shared" si="4"/>
        <v>0</v>
      </c>
      <c r="AC55" s="7"/>
      <c r="AD55" s="7"/>
      <c r="AE55" s="7"/>
      <c r="AF55" s="7"/>
      <c r="AG55" s="7"/>
      <c r="AH55" s="7"/>
    </row>
    <row r="56" spans="1:34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5"/>
      <c r="I56" s="215"/>
      <c r="J56" s="215"/>
      <c r="K56" s="215"/>
      <c r="L56" s="620"/>
      <c r="M56" s="620"/>
      <c r="N56" s="632"/>
      <c r="O56" s="213"/>
      <c r="P56" s="213"/>
      <c r="Q56" s="213"/>
      <c r="R56" s="213"/>
      <c r="S56" s="213"/>
      <c r="T56" s="643"/>
      <c r="U56" s="616">
        <f t="shared" si="0"/>
        <v>0</v>
      </c>
      <c r="V56" s="633"/>
      <c r="W56" s="634"/>
      <c r="X56" s="634"/>
      <c r="Y56" s="7"/>
      <c r="Z56" s="699"/>
      <c r="AA56" s="7"/>
      <c r="AB56" s="618">
        <f t="shared" si="4"/>
        <v>0</v>
      </c>
      <c r="AC56" s="7"/>
      <c r="AD56" s="7"/>
      <c r="AE56" s="7"/>
      <c r="AF56" s="7"/>
      <c r="AG56" s="7"/>
      <c r="AH56" s="7"/>
    </row>
    <row r="57" spans="1:34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5"/>
      <c r="I57" s="215"/>
      <c r="J57" s="215"/>
      <c r="K57" s="215"/>
      <c r="L57" s="620"/>
      <c r="M57" s="620"/>
      <c r="N57" s="632"/>
      <c r="O57" s="213"/>
      <c r="P57" s="213"/>
      <c r="Q57" s="213"/>
      <c r="R57" s="213"/>
      <c r="S57" s="213"/>
      <c r="T57" s="643"/>
      <c r="U57" s="616">
        <f t="shared" si="0"/>
        <v>0</v>
      </c>
      <c r="V57" s="633"/>
      <c r="W57" s="634"/>
      <c r="X57" s="634"/>
      <c r="Y57" s="7"/>
      <c r="Z57" s="699"/>
      <c r="AA57" s="7"/>
      <c r="AB57" s="618">
        <f t="shared" si="4"/>
        <v>0</v>
      </c>
      <c r="AC57" s="7"/>
      <c r="AD57" s="7"/>
      <c r="AE57" s="7"/>
      <c r="AF57" s="7"/>
      <c r="AG57" s="7"/>
      <c r="AH57" s="7"/>
    </row>
    <row r="58" spans="1:34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215"/>
      <c r="I58" s="215"/>
      <c r="J58" s="215"/>
      <c r="K58" s="215"/>
      <c r="L58" s="620"/>
      <c r="M58" s="620"/>
      <c r="N58" s="623"/>
      <c r="O58" s="219">
        <v>65</v>
      </c>
      <c r="P58" s="213">
        <v>42</v>
      </c>
      <c r="Q58" s="219"/>
      <c r="R58" s="219"/>
      <c r="S58" s="219"/>
      <c r="T58" s="643"/>
      <c r="U58" s="616">
        <f t="shared" si="0"/>
        <v>107</v>
      </c>
      <c r="V58" s="633"/>
      <c r="W58" s="634"/>
      <c r="X58" s="634"/>
      <c r="Y58" s="7"/>
      <c r="Z58" s="699">
        <v>187</v>
      </c>
      <c r="AA58" s="7"/>
      <c r="AB58" s="618"/>
      <c r="AC58" s="7"/>
      <c r="AD58" s="7"/>
      <c r="AE58" s="7"/>
      <c r="AF58" s="7"/>
      <c r="AG58" s="7"/>
      <c r="AH58" s="7"/>
    </row>
    <row r="59" spans="1:34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5"/>
      <c r="I59" s="215"/>
      <c r="J59" s="215"/>
      <c r="K59" s="215"/>
      <c r="L59" s="647"/>
      <c r="M59" s="647"/>
      <c r="N59" s="632"/>
      <c r="O59" s="213"/>
      <c r="P59" s="213"/>
      <c r="Q59" s="213"/>
      <c r="R59" s="213"/>
      <c r="S59" s="213"/>
      <c r="T59" s="643"/>
      <c r="U59" s="616">
        <f t="shared" si="0"/>
        <v>0</v>
      </c>
      <c r="V59" s="633"/>
      <c r="W59" s="648"/>
      <c r="X59" s="648"/>
      <c r="Y59" s="7"/>
      <c r="Z59" s="699"/>
      <c r="AA59" s="7"/>
      <c r="AB59" s="618">
        <f t="shared" ref="AB59:AB62" si="5">Z59-U59</f>
        <v>0</v>
      </c>
      <c r="AC59" s="7"/>
      <c r="AD59" s="7"/>
      <c r="AE59" s="7"/>
      <c r="AF59" s="7"/>
      <c r="AG59" s="7"/>
      <c r="AH59" s="7"/>
    </row>
    <row r="60" spans="1:34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5"/>
      <c r="I60" s="215"/>
      <c r="J60" s="215"/>
      <c r="K60" s="215"/>
      <c r="L60" s="647"/>
      <c r="M60" s="647"/>
      <c r="N60" s="632"/>
      <c r="O60" s="213"/>
      <c r="P60" s="213"/>
      <c r="Q60" s="213"/>
      <c r="R60" s="213"/>
      <c r="S60" s="213"/>
      <c r="T60" s="643"/>
      <c r="U60" s="616">
        <f t="shared" si="0"/>
        <v>0</v>
      </c>
      <c r="V60" s="633"/>
      <c r="W60" s="648"/>
      <c r="X60" s="648"/>
      <c r="Y60" s="7"/>
      <c r="Z60" s="699"/>
      <c r="AA60" s="7"/>
      <c r="AB60" s="618">
        <f t="shared" si="5"/>
        <v>0</v>
      </c>
      <c r="AC60" s="7"/>
      <c r="AD60" s="7"/>
      <c r="AE60" s="7"/>
      <c r="AF60" s="7"/>
      <c r="AG60" s="7"/>
      <c r="AH60" s="7"/>
    </row>
    <row r="61" spans="1:34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5"/>
      <c r="I61" s="215"/>
      <c r="J61" s="215"/>
      <c r="K61" s="215"/>
      <c r="L61" s="647"/>
      <c r="M61" s="647"/>
      <c r="N61" s="632"/>
      <c r="O61" s="213"/>
      <c r="P61" s="213"/>
      <c r="Q61" s="213"/>
      <c r="R61" s="213"/>
      <c r="S61" s="213"/>
      <c r="T61" s="643"/>
      <c r="U61" s="616">
        <f t="shared" si="0"/>
        <v>0</v>
      </c>
      <c r="V61" s="633"/>
      <c r="W61" s="648"/>
      <c r="X61" s="648"/>
      <c r="Y61" s="7"/>
      <c r="Z61" s="699"/>
      <c r="AA61" s="7"/>
      <c r="AB61" s="618">
        <f t="shared" si="5"/>
        <v>0</v>
      </c>
      <c r="AC61" s="7"/>
      <c r="AD61" s="7"/>
      <c r="AE61" s="7"/>
      <c r="AF61" s="7"/>
      <c r="AG61" s="7"/>
      <c r="AH61" s="7"/>
    </row>
    <row r="62" spans="1:34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5"/>
      <c r="I62" s="215"/>
      <c r="J62" s="215"/>
      <c r="K62" s="215"/>
      <c r="L62" s="620"/>
      <c r="M62" s="620"/>
      <c r="N62" s="632"/>
      <c r="O62" s="213">
        <v>40</v>
      </c>
      <c r="P62" s="213">
        <v>4</v>
      </c>
      <c r="Q62" s="213"/>
      <c r="R62" s="213"/>
      <c r="S62" s="213"/>
      <c r="T62" s="643"/>
      <c r="U62" s="616">
        <f t="shared" si="0"/>
        <v>44</v>
      </c>
      <c r="V62" s="633"/>
      <c r="W62" s="636"/>
      <c r="X62" s="636"/>
      <c r="Y62" s="7"/>
      <c r="Z62" s="699">
        <v>77</v>
      </c>
      <c r="AA62" s="7"/>
      <c r="AB62" s="618">
        <f t="shared" si="5"/>
        <v>33</v>
      </c>
      <c r="AC62" s="7"/>
      <c r="AD62" s="7"/>
      <c r="AE62" s="7"/>
      <c r="AF62" s="7"/>
      <c r="AG62" s="7"/>
      <c r="AH62" s="7"/>
    </row>
    <row r="63" spans="1:34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5"/>
      <c r="I63" s="215"/>
      <c r="J63" s="215"/>
      <c r="K63" s="215"/>
      <c r="L63" s="638"/>
      <c r="M63" s="638"/>
      <c r="N63" s="632"/>
      <c r="O63" s="213"/>
      <c r="P63" s="213"/>
      <c r="Q63" s="213"/>
      <c r="R63" s="213"/>
      <c r="S63" s="213"/>
      <c r="T63" s="643"/>
      <c r="U63" s="616">
        <f t="shared" si="0"/>
        <v>0</v>
      </c>
      <c r="V63" s="633"/>
      <c r="W63" s="636"/>
      <c r="X63" s="636"/>
      <c r="Y63" s="7"/>
      <c r="Z63" s="699"/>
      <c r="AA63" s="7"/>
      <c r="AB63" s="618"/>
      <c r="AC63" s="7"/>
      <c r="AD63" s="7"/>
      <c r="AE63" s="7"/>
      <c r="AF63" s="7"/>
      <c r="AG63" s="7"/>
      <c r="AH63" s="7"/>
    </row>
    <row r="64" spans="1:34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5"/>
      <c r="I64" s="215"/>
      <c r="J64" s="215"/>
      <c r="K64" s="215"/>
      <c r="L64" s="638"/>
      <c r="M64" s="638"/>
      <c r="N64" s="632"/>
      <c r="O64" s="213"/>
      <c r="P64" s="213"/>
      <c r="Q64" s="213"/>
      <c r="R64" s="213"/>
      <c r="S64" s="213"/>
      <c r="T64" s="643"/>
      <c r="U64" s="616">
        <f t="shared" si="0"/>
        <v>0</v>
      </c>
      <c r="V64" s="633"/>
      <c r="W64" s="640"/>
      <c r="X64" s="640"/>
      <c r="Y64" s="7"/>
      <c r="Z64" s="699"/>
      <c r="AA64" s="7"/>
      <c r="AB64" s="618">
        <f t="shared" ref="AB64:AB65" si="6">Z64-U64</f>
        <v>0</v>
      </c>
      <c r="AC64" s="7"/>
      <c r="AD64" s="7"/>
      <c r="AE64" s="7"/>
      <c r="AF64" s="7"/>
      <c r="AG64" s="7"/>
      <c r="AH64" s="7"/>
    </row>
    <row r="65" spans="1:34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3"/>
      <c r="H65" s="215"/>
      <c r="I65" s="215"/>
      <c r="J65" s="215"/>
      <c r="K65" s="215"/>
      <c r="L65" s="620"/>
      <c r="M65" s="620"/>
      <c r="N65" s="632"/>
      <c r="O65" s="213"/>
      <c r="P65" s="213">
        <v>2</v>
      </c>
      <c r="Q65" s="213"/>
      <c r="R65" s="213"/>
      <c r="S65" s="213"/>
      <c r="T65" s="643"/>
      <c r="U65" s="616">
        <f t="shared" si="0"/>
        <v>2</v>
      </c>
      <c r="V65" s="633"/>
      <c r="W65" s="636"/>
      <c r="X65" s="636"/>
      <c r="Y65" s="7"/>
      <c r="Z65" s="699">
        <v>4</v>
      </c>
      <c r="AA65" s="7"/>
      <c r="AB65" s="618">
        <f t="shared" si="6"/>
        <v>2</v>
      </c>
      <c r="AC65" s="7"/>
      <c r="AD65" s="7"/>
      <c r="AE65" s="7"/>
      <c r="AF65" s="7"/>
      <c r="AG65" s="7"/>
      <c r="AH65" s="7"/>
    </row>
    <row r="66" spans="1:34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5"/>
      <c r="I66" s="215"/>
      <c r="J66" s="215"/>
      <c r="K66" s="215"/>
      <c r="L66" s="620"/>
      <c r="M66" s="620"/>
      <c r="N66" s="632"/>
      <c r="O66" s="213"/>
      <c r="P66" s="213"/>
      <c r="Q66" s="213"/>
      <c r="R66" s="213"/>
      <c r="S66" s="213"/>
      <c r="T66" s="643"/>
      <c r="U66" s="616">
        <f t="shared" si="0"/>
        <v>0</v>
      </c>
      <c r="V66" s="633"/>
      <c r="W66" s="636"/>
      <c r="X66" s="636"/>
      <c r="Y66" s="7"/>
      <c r="Z66" s="699">
        <v>2</v>
      </c>
      <c r="AA66" s="7"/>
      <c r="AB66" s="618"/>
      <c r="AC66" s="7"/>
      <c r="AD66" s="7"/>
      <c r="AE66" s="7"/>
      <c r="AF66" s="7"/>
      <c r="AG66" s="7"/>
      <c r="AH66" s="7"/>
    </row>
    <row r="67" spans="1:34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5"/>
      <c r="I67" s="215"/>
      <c r="J67" s="215"/>
      <c r="K67" s="215"/>
      <c r="L67" s="620"/>
      <c r="M67" s="620"/>
      <c r="N67" s="632"/>
      <c r="O67" s="213"/>
      <c r="P67" s="213"/>
      <c r="Q67" s="213"/>
      <c r="R67" s="213"/>
      <c r="S67" s="213"/>
      <c r="T67" s="643"/>
      <c r="U67" s="616">
        <f t="shared" si="0"/>
        <v>0</v>
      </c>
      <c r="V67" s="633"/>
      <c r="W67" s="634"/>
      <c r="X67" s="634"/>
      <c r="Y67" s="7"/>
      <c r="Z67" s="699"/>
      <c r="AA67" s="7"/>
      <c r="AB67" s="618">
        <f t="shared" ref="AB67:AB68" si="7">Z67-U67</f>
        <v>0</v>
      </c>
      <c r="AC67" s="7"/>
      <c r="AD67" s="7"/>
      <c r="AE67" s="7"/>
      <c r="AF67" s="7"/>
      <c r="AG67" s="7"/>
      <c r="AH67" s="7"/>
    </row>
    <row r="68" spans="1:34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5"/>
      <c r="I68" s="215"/>
      <c r="J68" s="215"/>
      <c r="K68" s="215"/>
      <c r="L68" s="620"/>
      <c r="M68" s="620"/>
      <c r="N68" s="632"/>
      <c r="O68" s="213"/>
      <c r="P68" s="213"/>
      <c r="Q68" s="213"/>
      <c r="R68" s="213"/>
      <c r="S68" s="213"/>
      <c r="T68" s="643"/>
      <c r="U68" s="616">
        <f t="shared" si="0"/>
        <v>0</v>
      </c>
      <c r="V68" s="633"/>
      <c r="W68" s="634"/>
      <c r="X68" s="634"/>
      <c r="Y68" s="7"/>
      <c r="Z68" s="699"/>
      <c r="AA68" s="7"/>
      <c r="AB68" s="618">
        <f t="shared" si="7"/>
        <v>0</v>
      </c>
      <c r="AC68" s="7"/>
      <c r="AD68" s="7"/>
      <c r="AE68" s="7"/>
      <c r="AF68" s="7"/>
      <c r="AG68" s="7"/>
      <c r="AH68" s="7"/>
    </row>
    <row r="69" spans="1:34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5"/>
      <c r="I69" s="215"/>
      <c r="J69" s="215"/>
      <c r="K69" s="215"/>
      <c r="L69" s="620"/>
      <c r="M69" s="620"/>
      <c r="N69" s="632"/>
      <c r="O69" s="213"/>
      <c r="P69" s="213"/>
      <c r="Q69" s="213"/>
      <c r="R69" s="213"/>
      <c r="S69" s="213"/>
      <c r="T69" s="643"/>
      <c r="U69" s="616">
        <f t="shared" si="0"/>
        <v>0</v>
      </c>
      <c r="V69" s="633"/>
      <c r="W69" s="634"/>
      <c r="X69" s="634"/>
      <c r="Y69" s="7"/>
      <c r="Z69" s="699"/>
      <c r="AA69" s="7"/>
      <c r="AB69" s="618"/>
      <c r="AC69" s="7"/>
      <c r="AD69" s="7"/>
      <c r="AE69" s="7"/>
      <c r="AF69" s="7"/>
      <c r="AG69" s="7"/>
      <c r="AH69" s="7"/>
    </row>
    <row r="70" spans="1:34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5"/>
      <c r="I70" s="215"/>
      <c r="J70" s="215"/>
      <c r="K70" s="215"/>
      <c r="L70" s="620"/>
      <c r="M70" s="620"/>
      <c r="N70" s="632"/>
      <c r="O70" s="213"/>
      <c r="P70" s="213"/>
      <c r="Q70" s="213"/>
      <c r="R70" s="213"/>
      <c r="S70" s="213"/>
      <c r="T70" s="643"/>
      <c r="U70" s="616">
        <f t="shared" si="0"/>
        <v>0</v>
      </c>
      <c r="V70" s="633"/>
      <c r="W70" s="634"/>
      <c r="X70" s="634"/>
      <c r="Y70" s="7"/>
      <c r="Z70" s="699"/>
      <c r="AA70" s="7"/>
      <c r="AB70" s="618">
        <f t="shared" ref="AB70:AB90" si="8">Z70-U70</f>
        <v>0</v>
      </c>
      <c r="AC70" s="7"/>
      <c r="AD70" s="7"/>
      <c r="AE70" s="7"/>
      <c r="AF70" s="7"/>
      <c r="AG70" s="7"/>
      <c r="AH70" s="7"/>
    </row>
    <row r="71" spans="1:34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5"/>
      <c r="I71" s="215"/>
      <c r="J71" s="215"/>
      <c r="K71" s="215"/>
      <c r="L71" s="620"/>
      <c r="M71" s="620"/>
      <c r="N71" s="632"/>
      <c r="O71" s="213"/>
      <c r="P71" s="213"/>
      <c r="Q71" s="213"/>
      <c r="R71" s="213"/>
      <c r="S71" s="213"/>
      <c r="T71" s="643"/>
      <c r="U71" s="616">
        <f t="shared" si="0"/>
        <v>0</v>
      </c>
      <c r="V71" s="633"/>
      <c r="W71" s="636"/>
      <c r="X71" s="636"/>
      <c r="Y71" s="7"/>
      <c r="Z71" s="699">
        <v>2</v>
      </c>
      <c r="AA71" s="7"/>
      <c r="AB71" s="618">
        <f t="shared" si="8"/>
        <v>2</v>
      </c>
      <c r="AC71" s="7"/>
      <c r="AD71" s="7"/>
      <c r="AE71" s="7"/>
      <c r="AF71" s="7"/>
      <c r="AG71" s="7"/>
      <c r="AH71" s="7"/>
    </row>
    <row r="72" spans="1:34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5"/>
      <c r="I72" s="215"/>
      <c r="J72" s="215"/>
      <c r="K72" s="215"/>
      <c r="L72" s="647"/>
      <c r="M72" s="647"/>
      <c r="N72" s="632"/>
      <c r="O72" s="213"/>
      <c r="P72" s="213"/>
      <c r="Q72" s="213"/>
      <c r="R72" s="213"/>
      <c r="S72" s="213"/>
      <c r="T72" s="643"/>
      <c r="U72" s="616">
        <f t="shared" si="0"/>
        <v>0</v>
      </c>
      <c r="V72" s="633"/>
      <c r="W72" s="648"/>
      <c r="X72" s="648"/>
      <c r="Y72" s="7"/>
      <c r="Z72" s="699"/>
      <c r="AA72" s="7"/>
      <c r="AB72" s="618">
        <f t="shared" si="8"/>
        <v>0</v>
      </c>
      <c r="AC72" s="7"/>
      <c r="AD72" s="7"/>
      <c r="AE72" s="7"/>
      <c r="AF72" s="7"/>
      <c r="AG72" s="7"/>
      <c r="AH72" s="7"/>
    </row>
    <row r="73" spans="1:34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5"/>
      <c r="I73" s="215"/>
      <c r="J73" s="215"/>
      <c r="K73" s="215"/>
      <c r="L73" s="647"/>
      <c r="M73" s="647"/>
      <c r="N73" s="632"/>
      <c r="O73" s="213"/>
      <c r="P73" s="213"/>
      <c r="Q73" s="213"/>
      <c r="R73" s="213"/>
      <c r="S73" s="213"/>
      <c r="T73" s="643"/>
      <c r="U73" s="616">
        <f t="shared" si="0"/>
        <v>0</v>
      </c>
      <c r="V73" s="633"/>
      <c r="W73" s="648"/>
      <c r="X73" s="648"/>
      <c r="Y73" s="7"/>
      <c r="Z73" s="699"/>
      <c r="AA73" s="7"/>
      <c r="AB73" s="618">
        <f t="shared" si="8"/>
        <v>0</v>
      </c>
      <c r="AC73" s="7"/>
      <c r="AD73" s="7"/>
      <c r="AE73" s="7"/>
      <c r="AF73" s="7"/>
      <c r="AG73" s="7"/>
      <c r="AH73" s="7"/>
    </row>
    <row r="74" spans="1:34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5"/>
      <c r="I74" s="215"/>
      <c r="J74" s="215"/>
      <c r="K74" s="215"/>
      <c r="L74" s="647"/>
      <c r="M74" s="647"/>
      <c r="N74" s="632"/>
      <c r="O74" s="213"/>
      <c r="P74" s="213"/>
      <c r="Q74" s="213"/>
      <c r="R74" s="213"/>
      <c r="S74" s="213"/>
      <c r="T74" s="643"/>
      <c r="U74" s="616">
        <f t="shared" si="0"/>
        <v>0</v>
      </c>
      <c r="V74" s="633"/>
      <c r="W74" s="648"/>
      <c r="X74" s="648"/>
      <c r="Y74" s="7"/>
      <c r="Z74" s="699"/>
      <c r="AA74" s="7"/>
      <c r="AB74" s="618">
        <f t="shared" si="8"/>
        <v>0</v>
      </c>
      <c r="AC74" s="7"/>
      <c r="AD74" s="7"/>
      <c r="AE74" s="7"/>
      <c r="AF74" s="7"/>
      <c r="AG74" s="7"/>
      <c r="AH74" s="7"/>
    </row>
    <row r="75" spans="1:34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5"/>
      <c r="I75" s="215"/>
      <c r="J75" s="215"/>
      <c r="K75" s="215"/>
      <c r="L75" s="638"/>
      <c r="M75" s="638"/>
      <c r="N75" s="632"/>
      <c r="O75" s="213"/>
      <c r="P75" s="213"/>
      <c r="Q75" s="213"/>
      <c r="R75" s="213"/>
      <c r="S75" s="213"/>
      <c r="T75" s="643"/>
      <c r="U75" s="616">
        <f t="shared" si="0"/>
        <v>0</v>
      </c>
      <c r="V75" s="633"/>
      <c r="W75" s="636"/>
      <c r="X75" s="636"/>
      <c r="Y75" s="7"/>
      <c r="Z75" s="699"/>
      <c r="AA75" s="7"/>
      <c r="AB75" s="618">
        <f t="shared" si="8"/>
        <v>0</v>
      </c>
      <c r="AC75" s="7"/>
      <c r="AD75" s="7"/>
      <c r="AE75" s="7"/>
      <c r="AF75" s="7"/>
      <c r="AG75" s="7"/>
      <c r="AH75" s="7"/>
    </row>
    <row r="76" spans="1:34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5"/>
      <c r="I76" s="215"/>
      <c r="J76" s="215"/>
      <c r="K76" s="215"/>
      <c r="L76" s="638"/>
      <c r="M76" s="638"/>
      <c r="N76" s="632"/>
      <c r="O76" s="213"/>
      <c r="P76" s="213"/>
      <c r="Q76" s="213"/>
      <c r="R76" s="213"/>
      <c r="S76" s="213"/>
      <c r="T76" s="643"/>
      <c r="U76" s="616">
        <f t="shared" si="0"/>
        <v>0</v>
      </c>
      <c r="V76" s="633"/>
      <c r="W76" s="636"/>
      <c r="X76" s="636"/>
      <c r="Y76" s="7"/>
      <c r="Z76" s="699"/>
      <c r="AA76" s="7"/>
      <c r="AB76" s="618">
        <f t="shared" si="8"/>
        <v>0</v>
      </c>
      <c r="AC76" s="7"/>
      <c r="AD76" s="7"/>
      <c r="AE76" s="7"/>
      <c r="AF76" s="7"/>
      <c r="AG76" s="7"/>
      <c r="AH76" s="7"/>
    </row>
    <row r="77" spans="1:34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5"/>
      <c r="I77" s="215"/>
      <c r="J77" s="215"/>
      <c r="K77" s="215"/>
      <c r="L77" s="638"/>
      <c r="M77" s="638"/>
      <c r="N77" s="632"/>
      <c r="O77" s="213"/>
      <c r="P77" s="213"/>
      <c r="Q77" s="213"/>
      <c r="R77" s="213"/>
      <c r="S77" s="213"/>
      <c r="T77" s="643"/>
      <c r="U77" s="616">
        <f t="shared" si="0"/>
        <v>0</v>
      </c>
      <c r="V77" s="633"/>
      <c r="W77" s="640"/>
      <c r="X77" s="640"/>
      <c r="Y77" s="7"/>
      <c r="Z77" s="699"/>
      <c r="AA77" s="7"/>
      <c r="AB77" s="618">
        <f t="shared" si="8"/>
        <v>0</v>
      </c>
      <c r="AC77" s="7"/>
      <c r="AD77" s="7"/>
      <c r="AE77" s="7"/>
      <c r="AF77" s="7"/>
      <c r="AG77" s="7"/>
      <c r="AH77" s="7"/>
    </row>
    <row r="78" spans="1:34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5"/>
      <c r="I78" s="215"/>
      <c r="J78" s="215"/>
      <c r="K78" s="215"/>
      <c r="L78" s="649"/>
      <c r="M78" s="649"/>
      <c r="N78" s="632"/>
      <c r="O78" s="213"/>
      <c r="P78" s="213"/>
      <c r="Q78" s="213"/>
      <c r="R78" s="213"/>
      <c r="S78" s="213"/>
      <c r="T78" s="643"/>
      <c r="U78" s="616">
        <f t="shared" si="0"/>
        <v>0</v>
      </c>
      <c r="V78" s="633"/>
      <c r="W78" s="636"/>
      <c r="X78" s="636"/>
      <c r="Y78" s="7"/>
      <c r="Z78" s="699"/>
      <c r="AA78" s="7"/>
      <c r="AB78" s="618">
        <f t="shared" si="8"/>
        <v>0</v>
      </c>
      <c r="AC78" s="7"/>
      <c r="AD78" s="7"/>
      <c r="AE78" s="7"/>
      <c r="AF78" s="7"/>
      <c r="AG78" s="7"/>
      <c r="AH78" s="7"/>
    </row>
    <row r="79" spans="1:34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5"/>
      <c r="I79" s="215"/>
      <c r="J79" s="215"/>
      <c r="K79" s="215"/>
      <c r="L79" s="620"/>
      <c r="M79" s="620"/>
      <c r="N79" s="632"/>
      <c r="O79" s="213"/>
      <c r="P79" s="213"/>
      <c r="Q79" s="213"/>
      <c r="R79" s="213"/>
      <c r="S79" s="213"/>
      <c r="T79" s="643"/>
      <c r="U79" s="616">
        <f t="shared" si="0"/>
        <v>0</v>
      </c>
      <c r="V79" s="633"/>
      <c r="W79" s="634"/>
      <c r="X79" s="634"/>
      <c r="Y79" s="7"/>
      <c r="Z79" s="699"/>
      <c r="AA79" s="7"/>
      <c r="AB79" s="618">
        <f t="shared" si="8"/>
        <v>0</v>
      </c>
      <c r="AC79" s="7"/>
      <c r="AD79" s="7"/>
      <c r="AE79" s="7"/>
      <c r="AF79" s="7"/>
      <c r="AG79" s="7"/>
      <c r="AH79" s="7"/>
    </row>
    <row r="80" spans="1:34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5"/>
      <c r="I80" s="215"/>
      <c r="J80" s="215"/>
      <c r="K80" s="215"/>
      <c r="L80" s="620"/>
      <c r="M80" s="620"/>
      <c r="N80" s="632"/>
      <c r="O80" s="213"/>
      <c r="P80" s="213"/>
      <c r="Q80" s="213"/>
      <c r="R80" s="213"/>
      <c r="S80" s="213"/>
      <c r="T80" s="643"/>
      <c r="U80" s="616">
        <f t="shared" si="0"/>
        <v>0</v>
      </c>
      <c r="V80" s="633"/>
      <c r="W80" s="634"/>
      <c r="X80" s="634"/>
      <c r="Y80" s="7"/>
      <c r="Z80" s="699"/>
      <c r="AA80" s="7"/>
      <c r="AB80" s="618">
        <f t="shared" si="8"/>
        <v>0</v>
      </c>
      <c r="AC80" s="7"/>
      <c r="AD80" s="7"/>
      <c r="AE80" s="7"/>
      <c r="AF80" s="7"/>
      <c r="AG80" s="7"/>
      <c r="AH80" s="7"/>
    </row>
    <row r="81" spans="1:34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5"/>
      <c r="I81" s="215"/>
      <c r="J81" s="215"/>
      <c r="K81" s="215"/>
      <c r="L81" s="620"/>
      <c r="M81" s="620"/>
      <c r="N81" s="632"/>
      <c r="O81" s="213"/>
      <c r="P81" s="213"/>
      <c r="Q81" s="213"/>
      <c r="R81" s="213"/>
      <c r="S81" s="213"/>
      <c r="T81" s="643"/>
      <c r="U81" s="616">
        <f t="shared" si="0"/>
        <v>0</v>
      </c>
      <c r="V81" s="633"/>
      <c r="W81" s="634"/>
      <c r="X81" s="634"/>
      <c r="Y81" s="7"/>
      <c r="Z81" s="699"/>
      <c r="AA81" s="7"/>
      <c r="AB81" s="618">
        <f t="shared" si="8"/>
        <v>0</v>
      </c>
      <c r="AC81" s="7"/>
      <c r="AD81" s="7"/>
      <c r="AE81" s="7"/>
      <c r="AF81" s="7"/>
      <c r="AG81" s="7"/>
      <c r="AH81" s="7"/>
    </row>
    <row r="82" spans="1:34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5"/>
      <c r="I82" s="215"/>
      <c r="J82" s="215"/>
      <c r="K82" s="215"/>
      <c r="L82" s="620"/>
      <c r="M82" s="620"/>
      <c r="N82" s="632"/>
      <c r="O82" s="213"/>
      <c r="P82" s="213"/>
      <c r="Q82" s="213"/>
      <c r="R82" s="213"/>
      <c r="S82" s="213"/>
      <c r="T82" s="643"/>
      <c r="U82" s="616">
        <f t="shared" si="0"/>
        <v>0</v>
      </c>
      <c r="V82" s="633"/>
      <c r="W82" s="634"/>
      <c r="X82" s="634"/>
      <c r="Y82" s="7"/>
      <c r="Z82" s="699"/>
      <c r="AA82" s="7"/>
      <c r="AB82" s="618">
        <f t="shared" si="8"/>
        <v>0</v>
      </c>
      <c r="AC82" s="7"/>
      <c r="AD82" s="7"/>
      <c r="AE82" s="7"/>
      <c r="AF82" s="7"/>
      <c r="AG82" s="7"/>
      <c r="AH82" s="7"/>
    </row>
    <row r="83" spans="1:34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5"/>
      <c r="I83" s="215"/>
      <c r="J83" s="215"/>
      <c r="K83" s="215"/>
      <c r="L83" s="649"/>
      <c r="M83" s="649"/>
      <c r="N83" s="632"/>
      <c r="O83" s="213"/>
      <c r="P83" s="213"/>
      <c r="Q83" s="213"/>
      <c r="R83" s="213"/>
      <c r="S83" s="213"/>
      <c r="T83" s="643"/>
      <c r="U83" s="616">
        <f t="shared" si="0"/>
        <v>0</v>
      </c>
      <c r="V83" s="633"/>
      <c r="W83" s="636"/>
      <c r="X83" s="636"/>
      <c r="Y83" s="7"/>
      <c r="Z83" s="699"/>
      <c r="AA83" s="7"/>
      <c r="AB83" s="618">
        <f t="shared" si="8"/>
        <v>0</v>
      </c>
      <c r="AC83" s="7"/>
      <c r="AD83" s="7"/>
      <c r="AE83" s="7"/>
      <c r="AF83" s="7"/>
      <c r="AG83" s="7"/>
      <c r="AH83" s="7"/>
    </row>
    <row r="84" spans="1:34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5"/>
      <c r="I84" s="215"/>
      <c r="J84" s="215"/>
      <c r="K84" s="215"/>
      <c r="L84" s="647"/>
      <c r="M84" s="647"/>
      <c r="N84" s="632"/>
      <c r="O84" s="213"/>
      <c r="P84" s="213"/>
      <c r="Q84" s="213"/>
      <c r="R84" s="213"/>
      <c r="S84" s="213"/>
      <c r="T84" s="643"/>
      <c r="U84" s="616">
        <f t="shared" si="0"/>
        <v>0</v>
      </c>
      <c r="V84" s="633"/>
      <c r="W84" s="648"/>
      <c r="X84" s="648"/>
      <c r="Y84" s="7"/>
      <c r="Z84" s="699"/>
      <c r="AA84" s="7"/>
      <c r="AB84" s="618">
        <f t="shared" si="8"/>
        <v>0</v>
      </c>
      <c r="AC84" s="7"/>
      <c r="AD84" s="7"/>
      <c r="AE84" s="7"/>
      <c r="AF84" s="7"/>
      <c r="AG84" s="7"/>
      <c r="AH84" s="7"/>
    </row>
    <row r="85" spans="1:34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5"/>
      <c r="I85" s="215"/>
      <c r="J85" s="215"/>
      <c r="K85" s="215"/>
      <c r="L85" s="647"/>
      <c r="M85" s="647"/>
      <c r="N85" s="632"/>
      <c r="O85" s="213"/>
      <c r="P85" s="213"/>
      <c r="Q85" s="213"/>
      <c r="R85" s="213"/>
      <c r="S85" s="213"/>
      <c r="T85" s="643"/>
      <c r="U85" s="616">
        <f t="shared" si="0"/>
        <v>0</v>
      </c>
      <c r="V85" s="633"/>
      <c r="W85" s="648"/>
      <c r="X85" s="648"/>
      <c r="Y85" s="7"/>
      <c r="Z85" s="699"/>
      <c r="AA85" s="7"/>
      <c r="AB85" s="618">
        <f t="shared" si="8"/>
        <v>0</v>
      </c>
      <c r="AC85" s="7"/>
      <c r="AD85" s="7"/>
      <c r="AE85" s="7"/>
      <c r="AF85" s="7"/>
      <c r="AG85" s="7"/>
      <c r="AH85" s="7"/>
    </row>
    <row r="86" spans="1:34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5"/>
      <c r="I86" s="215"/>
      <c r="J86" s="215"/>
      <c r="K86" s="215"/>
      <c r="L86" s="647"/>
      <c r="M86" s="647"/>
      <c r="N86" s="632"/>
      <c r="O86" s="213"/>
      <c r="P86" s="213"/>
      <c r="Q86" s="213"/>
      <c r="R86" s="213"/>
      <c r="S86" s="213"/>
      <c r="T86" s="643"/>
      <c r="U86" s="616">
        <f t="shared" si="0"/>
        <v>0</v>
      </c>
      <c r="V86" s="633"/>
      <c r="W86" s="648"/>
      <c r="X86" s="648"/>
      <c r="Y86" s="7"/>
      <c r="Z86" s="699"/>
      <c r="AA86" s="7"/>
      <c r="AB86" s="618">
        <f t="shared" si="8"/>
        <v>0</v>
      </c>
      <c r="AC86" s="7"/>
      <c r="AD86" s="7"/>
      <c r="AE86" s="7"/>
      <c r="AF86" s="7"/>
      <c r="AG86" s="7"/>
      <c r="AH86" s="7"/>
    </row>
    <row r="87" spans="1:34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5"/>
      <c r="I87" s="215"/>
      <c r="J87" s="215"/>
      <c r="K87" s="215"/>
      <c r="L87" s="638"/>
      <c r="M87" s="638"/>
      <c r="N87" s="632"/>
      <c r="O87" s="213"/>
      <c r="P87" s="213"/>
      <c r="Q87" s="213"/>
      <c r="R87" s="213"/>
      <c r="S87" s="213"/>
      <c r="T87" s="643"/>
      <c r="U87" s="616">
        <f t="shared" si="0"/>
        <v>0</v>
      </c>
      <c r="V87" s="633"/>
      <c r="W87" s="636"/>
      <c r="X87" s="636"/>
      <c r="Y87" s="7"/>
      <c r="Z87" s="699"/>
      <c r="AA87" s="7"/>
      <c r="AB87" s="618">
        <f t="shared" si="8"/>
        <v>0</v>
      </c>
      <c r="AC87" s="7"/>
      <c r="AD87" s="7"/>
      <c r="AE87" s="7"/>
      <c r="AF87" s="7"/>
      <c r="AG87" s="7"/>
      <c r="AH87" s="7"/>
    </row>
    <row r="88" spans="1:34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5"/>
      <c r="I88" s="215"/>
      <c r="J88" s="215"/>
      <c r="K88" s="215"/>
      <c r="L88" s="638"/>
      <c r="M88" s="638"/>
      <c r="N88" s="632"/>
      <c r="O88" s="213"/>
      <c r="P88" s="213"/>
      <c r="Q88" s="213"/>
      <c r="R88" s="213"/>
      <c r="S88" s="213"/>
      <c r="T88" s="643"/>
      <c r="U88" s="616">
        <f t="shared" si="0"/>
        <v>0</v>
      </c>
      <c r="V88" s="633"/>
      <c r="W88" s="636"/>
      <c r="X88" s="636"/>
      <c r="Y88" s="7"/>
      <c r="Z88" s="699"/>
      <c r="AA88" s="7"/>
      <c r="AB88" s="618">
        <f t="shared" si="8"/>
        <v>0</v>
      </c>
      <c r="AC88" s="7"/>
      <c r="AD88" s="7"/>
      <c r="AE88" s="7"/>
      <c r="AF88" s="7"/>
      <c r="AG88" s="7"/>
      <c r="AH88" s="7"/>
    </row>
    <row r="89" spans="1:34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5"/>
      <c r="I89" s="215"/>
      <c r="J89" s="215"/>
      <c r="K89" s="215"/>
      <c r="L89" s="638"/>
      <c r="M89" s="638"/>
      <c r="N89" s="632"/>
      <c r="O89" s="213"/>
      <c r="P89" s="213"/>
      <c r="Q89" s="213"/>
      <c r="R89" s="213"/>
      <c r="S89" s="213"/>
      <c r="T89" s="643"/>
      <c r="U89" s="616">
        <f t="shared" si="0"/>
        <v>0</v>
      </c>
      <c r="V89" s="633"/>
      <c r="W89" s="636"/>
      <c r="X89" s="636"/>
      <c r="Y89" s="7"/>
      <c r="Z89" s="699"/>
      <c r="AA89" s="7"/>
      <c r="AB89" s="618">
        <f t="shared" si="8"/>
        <v>0</v>
      </c>
      <c r="AC89" s="7"/>
      <c r="AD89" s="7"/>
      <c r="AE89" s="7"/>
      <c r="AF89" s="7"/>
      <c r="AG89" s="7"/>
      <c r="AH89" s="7"/>
    </row>
    <row r="90" spans="1:34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5"/>
      <c r="I90" s="215"/>
      <c r="J90" s="215"/>
      <c r="K90" s="215"/>
      <c r="L90" s="638"/>
      <c r="M90" s="638"/>
      <c r="N90" s="632"/>
      <c r="O90" s="213"/>
      <c r="P90" s="213"/>
      <c r="Q90" s="213"/>
      <c r="R90" s="213"/>
      <c r="S90" s="213"/>
      <c r="T90" s="643"/>
      <c r="U90" s="616">
        <f t="shared" si="0"/>
        <v>0</v>
      </c>
      <c r="V90" s="633"/>
      <c r="W90" s="640"/>
      <c r="X90" s="640"/>
      <c r="Y90" s="7"/>
      <c r="Z90" s="699"/>
      <c r="AA90" s="7"/>
      <c r="AB90" s="618">
        <f t="shared" si="8"/>
        <v>0</v>
      </c>
      <c r="AC90" s="7"/>
      <c r="AD90" s="7"/>
      <c r="AE90" s="7"/>
      <c r="AF90" s="7"/>
      <c r="AG90" s="7"/>
      <c r="AH90" s="7"/>
    </row>
    <row r="91" spans="1:34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5"/>
      <c r="I91" s="215"/>
      <c r="J91" s="215"/>
      <c r="K91" s="215"/>
      <c r="L91" s="620"/>
      <c r="M91" s="620"/>
      <c r="N91" s="632"/>
      <c r="O91" s="213"/>
      <c r="P91" s="213">
        <v>1</v>
      </c>
      <c r="Q91" s="213"/>
      <c r="R91" s="213"/>
      <c r="S91" s="213"/>
      <c r="T91" s="643"/>
      <c r="U91" s="616">
        <f t="shared" si="0"/>
        <v>1</v>
      </c>
      <c r="V91" s="633"/>
      <c r="W91" s="636"/>
      <c r="X91" s="636"/>
      <c r="Y91" s="7"/>
      <c r="Z91" s="699"/>
      <c r="AA91" s="7"/>
      <c r="AB91" s="618"/>
      <c r="AC91" s="7"/>
      <c r="AD91" s="7"/>
      <c r="AE91" s="7"/>
      <c r="AF91" s="7"/>
      <c r="AG91" s="7"/>
      <c r="AH91" s="7"/>
    </row>
    <row r="92" spans="1:34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5"/>
      <c r="I92" s="215"/>
      <c r="J92" s="215"/>
      <c r="K92" s="215"/>
      <c r="L92" s="620"/>
      <c r="M92" s="620"/>
      <c r="N92" s="632"/>
      <c r="O92" s="213"/>
      <c r="P92" s="213"/>
      <c r="Q92" s="213"/>
      <c r="R92" s="213"/>
      <c r="S92" s="213"/>
      <c r="T92" s="643"/>
      <c r="U92" s="616">
        <f t="shared" si="0"/>
        <v>0</v>
      </c>
      <c r="V92" s="633"/>
      <c r="W92" s="636"/>
      <c r="X92" s="636"/>
      <c r="Y92" s="7"/>
      <c r="Z92" s="699"/>
      <c r="AA92" s="7"/>
      <c r="AB92" s="618">
        <f t="shared" ref="AB92:AB93" si="9">Z92-U92</f>
        <v>0</v>
      </c>
      <c r="AC92" s="7"/>
      <c r="AD92" s="7"/>
      <c r="AE92" s="7"/>
      <c r="AF92" s="7"/>
      <c r="AG92" s="7"/>
      <c r="AH92" s="7"/>
    </row>
    <row r="93" spans="1:34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5"/>
      <c r="I93" s="215"/>
      <c r="J93" s="215"/>
      <c r="K93" s="215"/>
      <c r="L93" s="620"/>
      <c r="M93" s="620"/>
      <c r="N93" s="632"/>
      <c r="O93" s="213"/>
      <c r="P93" s="213"/>
      <c r="Q93" s="213"/>
      <c r="R93" s="213"/>
      <c r="S93" s="213"/>
      <c r="T93" s="643"/>
      <c r="U93" s="616">
        <f t="shared" si="0"/>
        <v>0</v>
      </c>
      <c r="V93" s="633"/>
      <c r="W93" s="636"/>
      <c r="X93" s="636"/>
      <c r="Y93" s="7"/>
      <c r="Z93" s="699"/>
      <c r="AA93" s="7"/>
      <c r="AB93" s="618">
        <f t="shared" si="9"/>
        <v>0</v>
      </c>
      <c r="AC93" s="7"/>
      <c r="AD93" s="7"/>
      <c r="AE93" s="7"/>
      <c r="AF93" s="7"/>
      <c r="AG93" s="7"/>
      <c r="AH93" s="7"/>
    </row>
    <row r="94" spans="1:34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5"/>
      <c r="I94" s="215"/>
      <c r="J94" s="215"/>
      <c r="K94" s="215"/>
      <c r="L94" s="620"/>
      <c r="M94" s="620"/>
      <c r="N94" s="632"/>
      <c r="O94" s="213"/>
      <c r="P94" s="213"/>
      <c r="Q94" s="213"/>
      <c r="R94" s="213"/>
      <c r="S94" s="213"/>
      <c r="T94" s="643"/>
      <c r="U94" s="616">
        <f t="shared" si="0"/>
        <v>0</v>
      </c>
      <c r="V94" s="633"/>
      <c r="W94" s="636"/>
      <c r="X94" s="636"/>
      <c r="Y94" s="7"/>
      <c r="Z94" s="699"/>
      <c r="AA94" s="7"/>
      <c r="AB94" s="618"/>
      <c r="AC94" s="7"/>
      <c r="AD94" s="7"/>
      <c r="AE94" s="7"/>
      <c r="AF94" s="7"/>
      <c r="AG94" s="7"/>
      <c r="AH94" s="7"/>
    </row>
    <row r="95" spans="1:34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5"/>
      <c r="I95" s="215"/>
      <c r="J95" s="215"/>
      <c r="K95" s="215"/>
      <c r="L95" s="620"/>
      <c r="M95" s="620"/>
      <c r="N95" s="632"/>
      <c r="O95" s="213"/>
      <c r="P95" s="213"/>
      <c r="Q95" s="213"/>
      <c r="R95" s="213"/>
      <c r="S95" s="213"/>
      <c r="T95" s="643"/>
      <c r="U95" s="616">
        <f t="shared" si="0"/>
        <v>0</v>
      </c>
      <c r="V95" s="633"/>
      <c r="W95" s="636"/>
      <c r="X95" s="636"/>
      <c r="Y95" s="7"/>
      <c r="Z95" s="699"/>
      <c r="AA95" s="7"/>
      <c r="AB95" s="618">
        <f t="shared" ref="AB95:AB103" si="10">Z95-U95</f>
        <v>0</v>
      </c>
      <c r="AC95" s="7"/>
      <c r="AD95" s="7"/>
      <c r="AE95" s="7"/>
      <c r="AF95" s="7"/>
      <c r="AG95" s="7"/>
      <c r="AH95" s="7"/>
    </row>
    <row r="96" spans="1:34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5"/>
      <c r="I96" s="215"/>
      <c r="J96" s="215"/>
      <c r="K96" s="215"/>
      <c r="L96" s="620"/>
      <c r="M96" s="620"/>
      <c r="N96" s="632"/>
      <c r="O96" s="213"/>
      <c r="P96" s="213"/>
      <c r="Q96" s="213"/>
      <c r="R96" s="213"/>
      <c r="S96" s="213"/>
      <c r="T96" s="643"/>
      <c r="U96" s="616">
        <f t="shared" si="0"/>
        <v>0</v>
      </c>
      <c r="V96" s="633"/>
      <c r="W96" s="636"/>
      <c r="X96" s="636"/>
      <c r="Y96" s="7"/>
      <c r="Z96" s="699"/>
      <c r="AA96" s="7"/>
      <c r="AB96" s="618">
        <f t="shared" si="10"/>
        <v>0</v>
      </c>
      <c r="AC96" s="7"/>
      <c r="AD96" s="7"/>
      <c r="AE96" s="7"/>
      <c r="AF96" s="7"/>
      <c r="AG96" s="7"/>
      <c r="AH96" s="7"/>
    </row>
    <row r="97" spans="1:34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5"/>
      <c r="I97" s="215"/>
      <c r="J97" s="215"/>
      <c r="K97" s="215"/>
      <c r="L97" s="620"/>
      <c r="M97" s="620"/>
      <c r="N97" s="632"/>
      <c r="O97" s="213"/>
      <c r="P97" s="213"/>
      <c r="Q97" s="213"/>
      <c r="R97" s="213"/>
      <c r="S97" s="213"/>
      <c r="T97" s="643"/>
      <c r="U97" s="616">
        <f t="shared" si="0"/>
        <v>0</v>
      </c>
      <c r="V97" s="633"/>
      <c r="W97" s="636"/>
      <c r="X97" s="636"/>
      <c r="Y97" s="7"/>
      <c r="Z97" s="699"/>
      <c r="AA97" s="7"/>
      <c r="AB97" s="618">
        <f t="shared" si="10"/>
        <v>0</v>
      </c>
      <c r="AC97" s="7"/>
      <c r="AD97" s="7"/>
      <c r="AE97" s="7"/>
      <c r="AF97" s="7"/>
      <c r="AG97" s="7"/>
      <c r="AH97" s="7"/>
    </row>
    <row r="98" spans="1:34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5"/>
      <c r="I98" s="215"/>
      <c r="J98" s="215"/>
      <c r="K98" s="215"/>
      <c r="L98" s="620"/>
      <c r="M98" s="620"/>
      <c r="N98" s="632"/>
      <c r="O98" s="213"/>
      <c r="P98" s="213"/>
      <c r="Q98" s="213"/>
      <c r="R98" s="213"/>
      <c r="S98" s="213"/>
      <c r="T98" s="643"/>
      <c r="U98" s="616">
        <f t="shared" si="0"/>
        <v>0</v>
      </c>
      <c r="V98" s="633"/>
      <c r="W98" s="636"/>
      <c r="X98" s="636"/>
      <c r="Y98" s="7"/>
      <c r="Z98" s="699"/>
      <c r="AA98" s="7"/>
      <c r="AB98" s="618">
        <f t="shared" si="10"/>
        <v>0</v>
      </c>
      <c r="AC98" s="7"/>
      <c r="AD98" s="7"/>
      <c r="AE98" s="7"/>
      <c r="AF98" s="7"/>
      <c r="AG98" s="7"/>
      <c r="AH98" s="7"/>
    </row>
    <row r="99" spans="1:34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5"/>
      <c r="I99" s="215"/>
      <c r="J99" s="215"/>
      <c r="K99" s="215"/>
      <c r="L99" s="620"/>
      <c r="M99" s="620"/>
      <c r="N99" s="632"/>
      <c r="O99" s="213"/>
      <c r="P99" s="213"/>
      <c r="Q99" s="213"/>
      <c r="R99" s="213"/>
      <c r="S99" s="213"/>
      <c r="T99" s="643"/>
      <c r="U99" s="616">
        <f t="shared" si="0"/>
        <v>0</v>
      </c>
      <c r="V99" s="633"/>
      <c r="W99" s="636"/>
      <c r="X99" s="636"/>
      <c r="Y99" s="7"/>
      <c r="Z99" s="699"/>
      <c r="AA99" s="7"/>
      <c r="AB99" s="618">
        <f t="shared" si="10"/>
        <v>0</v>
      </c>
      <c r="AC99" s="7"/>
      <c r="AD99" s="7"/>
      <c r="AE99" s="7"/>
      <c r="AF99" s="7"/>
      <c r="AG99" s="7"/>
      <c r="AH99" s="7"/>
    </row>
    <row r="100" spans="1:34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5"/>
      <c r="I100" s="215"/>
      <c r="J100" s="215"/>
      <c r="K100" s="215"/>
      <c r="L100" s="620"/>
      <c r="M100" s="620"/>
      <c r="N100" s="632"/>
      <c r="O100" s="213"/>
      <c r="P100" s="213"/>
      <c r="Q100" s="213"/>
      <c r="R100" s="213"/>
      <c r="S100" s="213"/>
      <c r="T100" s="643"/>
      <c r="U100" s="616">
        <f t="shared" si="0"/>
        <v>0</v>
      </c>
      <c r="V100" s="633"/>
      <c r="W100" s="636"/>
      <c r="X100" s="636"/>
      <c r="Y100" s="7"/>
      <c r="Z100" s="699"/>
      <c r="AA100" s="7"/>
      <c r="AB100" s="618">
        <f t="shared" si="10"/>
        <v>0</v>
      </c>
      <c r="AC100" s="7"/>
      <c r="AD100" s="7"/>
      <c r="AE100" s="7"/>
      <c r="AF100" s="7"/>
      <c r="AG100" s="7"/>
      <c r="AH100" s="7"/>
    </row>
    <row r="101" spans="1:34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5"/>
      <c r="I101" s="215"/>
      <c r="J101" s="215"/>
      <c r="K101" s="215"/>
      <c r="L101" s="638"/>
      <c r="M101" s="638"/>
      <c r="N101" s="632"/>
      <c r="O101" s="213"/>
      <c r="P101" s="213"/>
      <c r="Q101" s="213"/>
      <c r="R101" s="213"/>
      <c r="S101" s="213"/>
      <c r="T101" s="643"/>
      <c r="U101" s="616">
        <f t="shared" si="0"/>
        <v>0</v>
      </c>
      <c r="V101" s="633"/>
      <c r="W101" s="636"/>
      <c r="X101" s="636"/>
      <c r="Y101" s="7"/>
      <c r="Z101" s="699"/>
      <c r="AA101" s="7"/>
      <c r="AB101" s="618">
        <f t="shared" si="10"/>
        <v>0</v>
      </c>
      <c r="AC101" s="7"/>
      <c r="AD101" s="7"/>
      <c r="AE101" s="7"/>
      <c r="AF101" s="7"/>
      <c r="AG101" s="7"/>
      <c r="AH101" s="7"/>
    </row>
    <row r="102" spans="1:34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5"/>
      <c r="I102" s="215"/>
      <c r="J102" s="215"/>
      <c r="K102" s="215"/>
      <c r="L102" s="638"/>
      <c r="M102" s="638"/>
      <c r="N102" s="632"/>
      <c r="O102" s="213"/>
      <c r="P102" s="213"/>
      <c r="Q102" s="213"/>
      <c r="R102" s="213"/>
      <c r="S102" s="213"/>
      <c r="T102" s="643"/>
      <c r="U102" s="616">
        <f t="shared" si="0"/>
        <v>0</v>
      </c>
      <c r="V102" s="633"/>
      <c r="W102" s="636"/>
      <c r="X102" s="636"/>
      <c r="Y102" s="7"/>
      <c r="Z102" s="699"/>
      <c r="AA102" s="7"/>
      <c r="AB102" s="618">
        <f t="shared" si="10"/>
        <v>0</v>
      </c>
      <c r="AC102" s="7"/>
      <c r="AD102" s="7"/>
      <c r="AE102" s="7"/>
      <c r="AF102" s="7"/>
      <c r="AG102" s="7"/>
      <c r="AH102" s="7"/>
    </row>
    <row r="103" spans="1:34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5"/>
      <c r="I103" s="215"/>
      <c r="J103" s="215"/>
      <c r="K103" s="215"/>
      <c r="L103" s="638"/>
      <c r="M103" s="638"/>
      <c r="N103" s="632"/>
      <c r="O103" s="213"/>
      <c r="P103" s="213"/>
      <c r="Q103" s="213"/>
      <c r="R103" s="213"/>
      <c r="S103" s="213"/>
      <c r="T103" s="643"/>
      <c r="U103" s="616">
        <f t="shared" si="0"/>
        <v>0</v>
      </c>
      <c r="V103" s="650" t="s">
        <v>1579</v>
      </c>
      <c r="W103" s="640"/>
      <c r="X103" s="640"/>
      <c r="Y103" s="7"/>
      <c r="Z103" s="699"/>
      <c r="AA103" s="7"/>
      <c r="AB103" s="618">
        <f t="shared" si="10"/>
        <v>0</v>
      </c>
      <c r="AC103" s="7"/>
      <c r="AD103" s="7"/>
      <c r="AE103" s="7"/>
      <c r="AF103" s="7"/>
      <c r="AG103" s="7"/>
      <c r="AH103" s="7"/>
    </row>
    <row r="104" spans="1:34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/>
      <c r="G104" s="213"/>
      <c r="H104" s="215"/>
      <c r="I104" s="215"/>
      <c r="J104" s="215">
        <v>0.3</v>
      </c>
      <c r="K104" s="215"/>
      <c r="L104" s="620"/>
      <c r="M104" s="620"/>
      <c r="N104" s="632">
        <v>15.02</v>
      </c>
      <c r="O104" s="213">
        <v>41.05</v>
      </c>
      <c r="P104" s="213">
        <v>72.94</v>
      </c>
      <c r="Q104" s="213"/>
      <c r="R104" s="213"/>
      <c r="S104" s="213"/>
      <c r="T104" s="643"/>
      <c r="U104" s="616">
        <f t="shared" si="0"/>
        <v>129.31</v>
      </c>
      <c r="V104" s="633">
        <f>U104+U126+U115</f>
        <v>277.69</v>
      </c>
      <c r="W104" s="636"/>
      <c r="X104" s="636"/>
      <c r="Y104" s="7"/>
      <c r="Z104" s="701">
        <v>893.6</v>
      </c>
      <c r="AA104" s="7"/>
      <c r="AB104" s="618"/>
      <c r="AC104" s="7"/>
      <c r="AD104" s="7"/>
      <c r="AE104" s="7"/>
      <c r="AF104" s="7"/>
      <c r="AG104" s="7"/>
      <c r="AH104" s="7"/>
    </row>
    <row r="105" spans="1:34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5"/>
      <c r="I105" s="215"/>
      <c r="J105" s="215"/>
      <c r="K105" s="215"/>
      <c r="L105" s="647"/>
      <c r="M105" s="647"/>
      <c r="N105" s="632"/>
      <c r="O105" s="213"/>
      <c r="P105" s="213"/>
      <c r="Q105" s="213"/>
      <c r="R105" s="213"/>
      <c r="S105" s="213"/>
      <c r="T105" s="643"/>
      <c r="U105" s="616">
        <f t="shared" si="0"/>
        <v>0</v>
      </c>
      <c r="V105" s="633"/>
      <c r="W105" s="654"/>
      <c r="X105" s="654"/>
      <c r="Y105" s="7"/>
      <c r="Z105" s="701">
        <v>409.2063</v>
      </c>
      <c r="AA105" s="7"/>
      <c r="AB105" s="618"/>
      <c r="AC105" s="7"/>
      <c r="AD105" s="7"/>
      <c r="AE105" s="7"/>
      <c r="AF105" s="7"/>
      <c r="AG105" s="7"/>
      <c r="AH105" s="7"/>
    </row>
    <row r="106" spans="1:34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5"/>
      <c r="I106" s="215"/>
      <c r="J106" s="215"/>
      <c r="K106" s="215"/>
      <c r="L106" s="647"/>
      <c r="M106" s="647"/>
      <c r="N106" s="632"/>
      <c r="O106" s="213"/>
      <c r="P106" s="213"/>
      <c r="Q106" s="213"/>
      <c r="R106" s="213"/>
      <c r="S106" s="213"/>
      <c r="T106" s="643"/>
      <c r="U106" s="616">
        <f t="shared" si="0"/>
        <v>0</v>
      </c>
      <c r="V106" s="633"/>
      <c r="W106" s="648"/>
      <c r="X106" s="648"/>
      <c r="Y106" s="7"/>
      <c r="Z106" s="701">
        <v>172.91299999999998</v>
      </c>
      <c r="AA106" s="7"/>
      <c r="AB106" s="618"/>
      <c r="AC106" s="7"/>
      <c r="AD106" s="7"/>
      <c r="AE106" s="7"/>
      <c r="AF106" s="7"/>
      <c r="AG106" s="7"/>
      <c r="AH106" s="7"/>
    </row>
    <row r="107" spans="1:34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5"/>
      <c r="I107" s="215"/>
      <c r="J107" s="215"/>
      <c r="K107" s="215"/>
      <c r="L107" s="647"/>
      <c r="M107" s="647"/>
      <c r="N107" s="632"/>
      <c r="O107" s="213"/>
      <c r="P107" s="213"/>
      <c r="Q107" s="213"/>
      <c r="R107" s="213"/>
      <c r="S107" s="213"/>
      <c r="T107" s="643"/>
      <c r="U107" s="616">
        <f t="shared" si="0"/>
        <v>0</v>
      </c>
      <c r="V107" s="633"/>
      <c r="W107" s="648"/>
      <c r="X107" s="648"/>
      <c r="Y107" s="7"/>
      <c r="Z107" s="701">
        <v>105.14229999999999</v>
      </c>
      <c r="AA107" s="7"/>
      <c r="AB107" s="618"/>
      <c r="AC107" s="7"/>
      <c r="AD107" s="7"/>
      <c r="AE107" s="7"/>
      <c r="AF107" s="7"/>
      <c r="AG107" s="7"/>
      <c r="AH107" s="7"/>
    </row>
    <row r="108" spans="1:34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5"/>
      <c r="I108" s="215"/>
      <c r="J108" s="215"/>
      <c r="K108" s="215"/>
      <c r="L108" s="647"/>
      <c r="M108" s="647"/>
      <c r="N108" s="632"/>
      <c r="O108" s="213"/>
      <c r="P108" s="213"/>
      <c r="Q108" s="213"/>
      <c r="R108" s="213"/>
      <c r="S108" s="213"/>
      <c r="T108" s="643"/>
      <c r="U108" s="616">
        <f t="shared" si="0"/>
        <v>0</v>
      </c>
      <c r="V108" s="633"/>
      <c r="W108" s="648"/>
      <c r="X108" s="648"/>
      <c r="Y108" s="7"/>
      <c r="Z108" s="701">
        <v>39.769999999999996</v>
      </c>
      <c r="AA108" s="7"/>
      <c r="AB108" s="618"/>
      <c r="AC108" s="7"/>
      <c r="AD108" s="7"/>
      <c r="AE108" s="7"/>
      <c r="AF108" s="7"/>
      <c r="AG108" s="7"/>
      <c r="AH108" s="7"/>
    </row>
    <row r="109" spans="1:34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5"/>
      <c r="I109" s="215"/>
      <c r="J109" s="215"/>
      <c r="K109" s="215"/>
      <c r="L109" s="647"/>
      <c r="M109" s="647"/>
      <c r="N109" s="632"/>
      <c r="O109" s="213"/>
      <c r="P109" s="213"/>
      <c r="Q109" s="213"/>
      <c r="R109" s="213"/>
      <c r="S109" s="213"/>
      <c r="T109" s="643"/>
      <c r="U109" s="616">
        <f t="shared" si="0"/>
        <v>0</v>
      </c>
      <c r="V109" s="633"/>
      <c r="W109" s="648"/>
      <c r="X109" s="648"/>
      <c r="Y109" s="7"/>
      <c r="Z109" s="701">
        <v>91.381000000000014</v>
      </c>
      <c r="AA109" s="7"/>
      <c r="AB109" s="618"/>
      <c r="AC109" s="7"/>
      <c r="AD109" s="7"/>
      <c r="AE109" s="7"/>
      <c r="AF109" s="7"/>
      <c r="AG109" s="7"/>
      <c r="AH109" s="7"/>
    </row>
    <row r="110" spans="1:34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5"/>
      <c r="I110" s="215"/>
      <c r="J110" s="215"/>
      <c r="K110" s="215"/>
      <c r="L110" s="647"/>
      <c r="M110" s="647"/>
      <c r="N110" s="632"/>
      <c r="O110" s="213"/>
      <c r="P110" s="213"/>
      <c r="Q110" s="213"/>
      <c r="R110" s="213"/>
      <c r="S110" s="213"/>
      <c r="T110" s="643"/>
      <c r="U110" s="616">
        <f t="shared" si="0"/>
        <v>0</v>
      </c>
      <c r="V110" s="633"/>
      <c r="W110" s="654"/>
      <c r="X110" s="654"/>
      <c r="Y110" s="7"/>
      <c r="Z110" s="701">
        <v>346.54499999999996</v>
      </c>
      <c r="AA110" s="7"/>
      <c r="AB110" s="618">
        <f t="shared" ref="AB110:AB114" si="11">Z110-U110</f>
        <v>346.54499999999996</v>
      </c>
      <c r="AC110" s="7"/>
      <c r="AD110" s="7"/>
      <c r="AE110" s="7"/>
      <c r="AF110" s="7"/>
      <c r="AG110" s="7"/>
      <c r="AH110" s="7"/>
    </row>
    <row r="111" spans="1:34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5"/>
      <c r="I111" s="215"/>
      <c r="J111" s="215"/>
      <c r="K111" s="215"/>
      <c r="L111" s="647"/>
      <c r="M111" s="647"/>
      <c r="N111" s="632"/>
      <c r="O111" s="213"/>
      <c r="P111" s="213"/>
      <c r="Q111" s="213"/>
      <c r="R111" s="213"/>
      <c r="S111" s="213"/>
      <c r="T111" s="643"/>
      <c r="U111" s="616">
        <f t="shared" si="0"/>
        <v>0</v>
      </c>
      <c r="V111" s="633"/>
      <c r="W111" s="634"/>
      <c r="X111" s="634"/>
      <c r="Y111" s="7"/>
      <c r="Z111" s="701">
        <v>321.93</v>
      </c>
      <c r="AA111" s="7"/>
      <c r="AB111" s="618">
        <f t="shared" si="11"/>
        <v>321.93</v>
      </c>
      <c r="AC111" s="7"/>
      <c r="AD111" s="7"/>
      <c r="AE111" s="7"/>
      <c r="AF111" s="7"/>
      <c r="AG111" s="7"/>
      <c r="AH111" s="7"/>
    </row>
    <row r="112" spans="1:34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5"/>
      <c r="I112" s="215"/>
      <c r="J112" s="215"/>
      <c r="K112" s="215"/>
      <c r="L112" s="647"/>
      <c r="M112" s="647"/>
      <c r="N112" s="632"/>
      <c r="O112" s="213"/>
      <c r="P112" s="213"/>
      <c r="Q112" s="213"/>
      <c r="R112" s="213"/>
      <c r="S112" s="213"/>
      <c r="T112" s="643"/>
      <c r="U112" s="616">
        <f t="shared" si="0"/>
        <v>0</v>
      </c>
      <c r="V112" s="633"/>
      <c r="W112" s="634"/>
      <c r="X112" s="634"/>
      <c r="Y112" s="7"/>
      <c r="Z112" s="701">
        <v>13.965</v>
      </c>
      <c r="AA112" s="7"/>
      <c r="AB112" s="618">
        <f t="shared" si="11"/>
        <v>13.965</v>
      </c>
      <c r="AC112" s="7"/>
      <c r="AD112" s="7"/>
      <c r="AE112" s="7"/>
      <c r="AF112" s="7"/>
      <c r="AG112" s="7"/>
      <c r="AH112" s="7"/>
    </row>
    <row r="113" spans="1:34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5"/>
      <c r="I113" s="215"/>
      <c r="J113" s="215"/>
      <c r="K113" s="215"/>
      <c r="L113" s="647"/>
      <c r="M113" s="647"/>
      <c r="N113" s="632"/>
      <c r="O113" s="213"/>
      <c r="P113" s="213"/>
      <c r="Q113" s="213"/>
      <c r="R113" s="213"/>
      <c r="S113" s="213"/>
      <c r="T113" s="643"/>
      <c r="U113" s="616">
        <f t="shared" si="0"/>
        <v>0</v>
      </c>
      <c r="V113" s="633"/>
      <c r="W113" s="634"/>
      <c r="X113" s="634"/>
      <c r="Y113" s="7"/>
      <c r="Z113" s="701">
        <v>6.5</v>
      </c>
      <c r="AA113" s="7"/>
      <c r="AB113" s="618">
        <f t="shared" si="11"/>
        <v>6.5</v>
      </c>
      <c r="AC113" s="7"/>
      <c r="AD113" s="7"/>
      <c r="AE113" s="7"/>
      <c r="AF113" s="7"/>
      <c r="AG113" s="7"/>
      <c r="AH113" s="7"/>
    </row>
    <row r="114" spans="1:34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5"/>
      <c r="I114" s="215"/>
      <c r="J114" s="215"/>
      <c r="K114" s="215"/>
      <c r="L114" s="647"/>
      <c r="M114" s="647"/>
      <c r="N114" s="632"/>
      <c r="O114" s="213"/>
      <c r="P114" s="213"/>
      <c r="Q114" s="213"/>
      <c r="R114" s="213"/>
      <c r="S114" s="213"/>
      <c r="T114" s="643"/>
      <c r="U114" s="616">
        <f t="shared" si="0"/>
        <v>0</v>
      </c>
      <c r="V114" s="633"/>
      <c r="W114" s="634"/>
      <c r="X114" s="634"/>
      <c r="Y114" s="7"/>
      <c r="Z114" s="701">
        <v>4.1500000000000004</v>
      </c>
      <c r="AA114" s="7"/>
      <c r="AB114" s="618">
        <f t="shared" si="11"/>
        <v>4.1500000000000004</v>
      </c>
      <c r="AC114" s="7"/>
      <c r="AD114" s="7"/>
      <c r="AE114" s="7"/>
      <c r="AF114" s="7"/>
      <c r="AG114" s="7"/>
      <c r="AH114" s="7"/>
    </row>
    <row r="115" spans="1:34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5"/>
      <c r="I115" s="215"/>
      <c r="J115" s="215"/>
      <c r="K115" s="215"/>
      <c r="L115" s="647"/>
      <c r="M115" s="647">
        <v>8.1999999999999993</v>
      </c>
      <c r="N115" s="632"/>
      <c r="O115" s="213"/>
      <c r="P115" s="213"/>
      <c r="Q115" s="213"/>
      <c r="R115" s="213"/>
      <c r="S115" s="213"/>
      <c r="T115" s="643"/>
      <c r="U115" s="616">
        <f t="shared" si="0"/>
        <v>8.1999999999999993</v>
      </c>
      <c r="V115" s="633"/>
      <c r="W115" s="636"/>
      <c r="X115" s="636"/>
      <c r="Y115" s="7"/>
      <c r="Z115" s="701">
        <v>52.9</v>
      </c>
      <c r="AA115" s="7"/>
      <c r="AB115" s="618"/>
      <c r="AC115" s="7"/>
      <c r="AD115" s="7"/>
      <c r="AE115" s="7"/>
      <c r="AF115" s="7"/>
      <c r="AG115" s="7"/>
      <c r="AH115" s="7"/>
    </row>
    <row r="116" spans="1:34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5"/>
      <c r="I116" s="215"/>
      <c r="J116" s="215"/>
      <c r="K116" s="215"/>
      <c r="L116" s="647"/>
      <c r="M116" s="647"/>
      <c r="N116" s="632"/>
      <c r="O116" s="213"/>
      <c r="P116" s="213"/>
      <c r="Q116" s="213"/>
      <c r="R116" s="213"/>
      <c r="S116" s="213"/>
      <c r="T116" s="643"/>
      <c r="U116" s="616">
        <f t="shared" si="0"/>
        <v>0</v>
      </c>
      <c r="V116" s="633"/>
      <c r="W116" s="654"/>
      <c r="X116" s="654"/>
      <c r="Y116" s="7"/>
      <c r="Z116" s="701">
        <v>4.45</v>
      </c>
      <c r="AA116" s="7"/>
      <c r="AB116" s="618">
        <f t="shared" ref="AB116:AB125" si="12">Z116-U116</f>
        <v>4.45</v>
      </c>
      <c r="AC116" s="7"/>
      <c r="AD116" s="7"/>
      <c r="AE116" s="7"/>
      <c r="AF116" s="7"/>
      <c r="AG116" s="7"/>
      <c r="AH116" s="7"/>
    </row>
    <row r="117" spans="1:34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5"/>
      <c r="I117" s="215"/>
      <c r="J117" s="215"/>
      <c r="K117" s="215"/>
      <c r="L117" s="647"/>
      <c r="M117" s="647"/>
      <c r="N117" s="632"/>
      <c r="O117" s="213"/>
      <c r="P117" s="213"/>
      <c r="Q117" s="213"/>
      <c r="R117" s="213"/>
      <c r="S117" s="213"/>
      <c r="T117" s="643"/>
      <c r="U117" s="616">
        <f t="shared" si="0"/>
        <v>0</v>
      </c>
      <c r="V117" s="633"/>
      <c r="W117" s="648"/>
      <c r="X117" s="648"/>
      <c r="Y117" s="7"/>
      <c r="Z117" s="699"/>
      <c r="AA117" s="7"/>
      <c r="AB117" s="618">
        <f t="shared" si="12"/>
        <v>0</v>
      </c>
      <c r="AC117" s="7"/>
      <c r="AD117" s="7"/>
      <c r="AE117" s="7"/>
      <c r="AF117" s="7"/>
      <c r="AG117" s="7"/>
      <c r="AH117" s="7"/>
    </row>
    <row r="118" spans="1:34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5"/>
      <c r="I118" s="215"/>
      <c r="J118" s="215"/>
      <c r="K118" s="215"/>
      <c r="L118" s="647"/>
      <c r="M118" s="647"/>
      <c r="N118" s="632"/>
      <c r="O118" s="213"/>
      <c r="P118" s="213"/>
      <c r="Q118" s="213"/>
      <c r="R118" s="213"/>
      <c r="S118" s="213"/>
      <c r="T118" s="643"/>
      <c r="U118" s="616">
        <f t="shared" si="0"/>
        <v>0</v>
      </c>
      <c r="V118" s="633"/>
      <c r="W118" s="648"/>
      <c r="X118" s="648"/>
      <c r="Y118" s="7"/>
      <c r="Z118" s="701">
        <v>4.45</v>
      </c>
      <c r="AA118" s="7"/>
      <c r="AB118" s="618">
        <f t="shared" si="12"/>
        <v>4.45</v>
      </c>
      <c r="AC118" s="7"/>
      <c r="AD118" s="7"/>
      <c r="AE118" s="7"/>
      <c r="AF118" s="7"/>
      <c r="AG118" s="7"/>
      <c r="AH118" s="7"/>
    </row>
    <row r="119" spans="1:34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5"/>
      <c r="I119" s="215"/>
      <c r="J119" s="215"/>
      <c r="K119" s="215"/>
      <c r="L119" s="647"/>
      <c r="M119" s="647"/>
      <c r="N119" s="632"/>
      <c r="O119" s="213"/>
      <c r="P119" s="213"/>
      <c r="Q119" s="213"/>
      <c r="R119" s="213"/>
      <c r="S119" s="213"/>
      <c r="T119" s="643"/>
      <c r="U119" s="616">
        <f t="shared" si="0"/>
        <v>0</v>
      </c>
      <c r="V119" s="633"/>
      <c r="W119" s="648"/>
      <c r="X119" s="648"/>
      <c r="Y119" s="7"/>
      <c r="Z119" s="699"/>
      <c r="AA119" s="7"/>
      <c r="AB119" s="618">
        <f t="shared" si="12"/>
        <v>0</v>
      </c>
      <c r="AC119" s="7"/>
      <c r="AD119" s="7"/>
      <c r="AE119" s="7"/>
      <c r="AF119" s="7"/>
      <c r="AG119" s="7"/>
      <c r="AH119" s="7"/>
    </row>
    <row r="120" spans="1:34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5"/>
      <c r="I120" s="215"/>
      <c r="J120" s="215"/>
      <c r="K120" s="215"/>
      <c r="L120" s="647"/>
      <c r="M120" s="647"/>
      <c r="N120" s="632"/>
      <c r="O120" s="213"/>
      <c r="P120" s="213"/>
      <c r="Q120" s="213"/>
      <c r="R120" s="213"/>
      <c r="S120" s="213"/>
      <c r="T120" s="643"/>
      <c r="U120" s="616">
        <f t="shared" si="0"/>
        <v>0</v>
      </c>
      <c r="V120" s="633"/>
      <c r="W120" s="648"/>
      <c r="X120" s="648"/>
      <c r="Y120" s="7"/>
      <c r="Z120" s="699"/>
      <c r="AA120" s="7"/>
      <c r="AB120" s="618">
        <f t="shared" si="12"/>
        <v>0</v>
      </c>
      <c r="AC120" s="7"/>
      <c r="AD120" s="7"/>
      <c r="AE120" s="7"/>
      <c r="AF120" s="7"/>
      <c r="AG120" s="7"/>
      <c r="AH120" s="7"/>
    </row>
    <row r="121" spans="1:34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5"/>
      <c r="I121" s="215"/>
      <c r="J121" s="215"/>
      <c r="K121" s="215"/>
      <c r="L121" s="647"/>
      <c r="M121" s="647"/>
      <c r="N121" s="632"/>
      <c r="O121" s="213"/>
      <c r="P121" s="213"/>
      <c r="Q121" s="213"/>
      <c r="R121" s="213"/>
      <c r="S121" s="213"/>
      <c r="T121" s="643"/>
      <c r="U121" s="616">
        <f t="shared" si="0"/>
        <v>0</v>
      </c>
      <c r="V121" s="633"/>
      <c r="W121" s="654"/>
      <c r="X121" s="654"/>
      <c r="Y121" s="7"/>
      <c r="Z121" s="701">
        <v>48.222000000000001</v>
      </c>
      <c r="AA121" s="7"/>
      <c r="AB121" s="618">
        <f t="shared" si="12"/>
        <v>48.222000000000001</v>
      </c>
      <c r="AC121" s="7"/>
      <c r="AD121" s="7"/>
      <c r="AE121" s="7"/>
      <c r="AF121" s="7"/>
      <c r="AG121" s="7"/>
      <c r="AH121" s="7"/>
    </row>
    <row r="122" spans="1:34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5"/>
      <c r="I122" s="215"/>
      <c r="J122" s="215"/>
      <c r="K122" s="215"/>
      <c r="L122" s="647"/>
      <c r="M122" s="647"/>
      <c r="N122" s="632"/>
      <c r="O122" s="213"/>
      <c r="P122" s="213"/>
      <c r="Q122" s="213"/>
      <c r="R122" s="213"/>
      <c r="S122" s="213"/>
      <c r="T122" s="643"/>
      <c r="U122" s="616">
        <f t="shared" si="0"/>
        <v>0</v>
      </c>
      <c r="V122" s="633"/>
      <c r="W122" s="648"/>
      <c r="X122" s="648"/>
      <c r="Y122" s="7"/>
      <c r="Z122" s="701">
        <v>48.222000000000001</v>
      </c>
      <c r="AA122" s="7"/>
      <c r="AB122" s="618">
        <f t="shared" si="12"/>
        <v>48.222000000000001</v>
      </c>
      <c r="AC122" s="7"/>
      <c r="AD122" s="7"/>
      <c r="AE122" s="7"/>
      <c r="AF122" s="7"/>
      <c r="AG122" s="7"/>
      <c r="AH122" s="7"/>
    </row>
    <row r="123" spans="1:34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5"/>
      <c r="I123" s="215"/>
      <c r="J123" s="215"/>
      <c r="K123" s="215"/>
      <c r="L123" s="647"/>
      <c r="M123" s="647"/>
      <c r="N123" s="632"/>
      <c r="O123" s="213"/>
      <c r="P123" s="213"/>
      <c r="Q123" s="213"/>
      <c r="R123" s="213"/>
      <c r="S123" s="213"/>
      <c r="T123" s="643"/>
      <c r="U123" s="616">
        <f t="shared" si="0"/>
        <v>0</v>
      </c>
      <c r="V123" s="633"/>
      <c r="W123" s="648"/>
      <c r="X123" s="648"/>
      <c r="Y123" s="7"/>
      <c r="Z123" s="699"/>
      <c r="AA123" s="7"/>
      <c r="AB123" s="618">
        <f t="shared" si="12"/>
        <v>0</v>
      </c>
      <c r="AC123" s="7"/>
      <c r="AD123" s="7"/>
      <c r="AE123" s="7"/>
      <c r="AF123" s="7"/>
      <c r="AG123" s="7"/>
      <c r="AH123" s="7"/>
    </row>
    <row r="124" spans="1:34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5"/>
      <c r="I124" s="215"/>
      <c r="J124" s="215"/>
      <c r="K124" s="215"/>
      <c r="L124" s="647"/>
      <c r="M124" s="647"/>
      <c r="N124" s="632"/>
      <c r="O124" s="213"/>
      <c r="P124" s="213"/>
      <c r="Q124" s="213"/>
      <c r="R124" s="213"/>
      <c r="S124" s="213"/>
      <c r="T124" s="643"/>
      <c r="U124" s="616">
        <f t="shared" si="0"/>
        <v>0</v>
      </c>
      <c r="V124" s="633"/>
      <c r="W124" s="648"/>
      <c r="X124" s="648"/>
      <c r="Y124" s="7"/>
      <c r="Z124" s="699"/>
      <c r="AA124" s="7"/>
      <c r="AB124" s="618">
        <f t="shared" si="12"/>
        <v>0</v>
      </c>
      <c r="AC124" s="7"/>
      <c r="AD124" s="7"/>
      <c r="AE124" s="7"/>
      <c r="AF124" s="7"/>
      <c r="AG124" s="7"/>
      <c r="AH124" s="7"/>
    </row>
    <row r="125" spans="1:34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5"/>
      <c r="I125" s="215"/>
      <c r="J125" s="215"/>
      <c r="K125" s="215"/>
      <c r="L125" s="647"/>
      <c r="M125" s="647"/>
      <c r="N125" s="632"/>
      <c r="O125" s="213"/>
      <c r="P125" s="213"/>
      <c r="Q125" s="213"/>
      <c r="R125" s="213"/>
      <c r="S125" s="213"/>
      <c r="T125" s="643"/>
      <c r="U125" s="616">
        <f t="shared" si="0"/>
        <v>0</v>
      </c>
      <c r="V125" s="633"/>
      <c r="W125" s="648"/>
      <c r="X125" s="648"/>
      <c r="Y125" s="7"/>
      <c r="Z125" s="699"/>
      <c r="AA125" s="7"/>
      <c r="AB125" s="618">
        <f t="shared" si="12"/>
        <v>0</v>
      </c>
      <c r="AC125" s="7"/>
      <c r="AD125" s="7"/>
      <c r="AE125" s="7"/>
      <c r="AF125" s="7"/>
      <c r="AG125" s="7"/>
      <c r="AH125" s="7"/>
    </row>
    <row r="126" spans="1:34" ht="20.25" customHeight="1">
      <c r="A126" s="486"/>
      <c r="B126" s="487" t="s">
        <v>299</v>
      </c>
      <c r="C126" s="635" t="s">
        <v>300</v>
      </c>
      <c r="D126" s="412" t="s">
        <v>271</v>
      </c>
      <c r="E126" s="213"/>
      <c r="F126" s="213"/>
      <c r="G126" s="213"/>
      <c r="H126" s="215"/>
      <c r="I126" s="215"/>
      <c r="J126" s="215"/>
      <c r="K126" s="215"/>
      <c r="L126" s="620"/>
      <c r="M126" s="620"/>
      <c r="N126" s="632"/>
      <c r="O126" s="213">
        <v>23</v>
      </c>
      <c r="P126" s="213">
        <f>19.95+97.23</f>
        <v>117.18</v>
      </c>
      <c r="Q126" s="213"/>
      <c r="R126" s="213"/>
      <c r="S126" s="213"/>
      <c r="T126" s="643"/>
      <c r="U126" s="616">
        <f t="shared" si="0"/>
        <v>140.18</v>
      </c>
      <c r="V126" s="633"/>
      <c r="W126" s="636"/>
      <c r="X126" s="636"/>
      <c r="Y126" s="7"/>
      <c r="Z126" s="702">
        <v>2033.3</v>
      </c>
      <c r="AA126" s="7"/>
      <c r="AB126" s="618"/>
      <c r="AC126" s="7"/>
      <c r="AD126" s="7"/>
      <c r="AE126" s="7"/>
      <c r="AF126" s="7"/>
      <c r="AG126" s="7"/>
      <c r="AH126" s="7"/>
    </row>
    <row r="127" spans="1:34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5"/>
      <c r="I127" s="215"/>
      <c r="J127" s="215"/>
      <c r="K127" s="215"/>
      <c r="L127" s="647"/>
      <c r="M127" s="647"/>
      <c r="N127" s="632"/>
      <c r="O127" s="213"/>
      <c r="P127" s="213"/>
      <c r="Q127" s="213"/>
      <c r="R127" s="213"/>
      <c r="S127" s="213"/>
      <c r="T127" s="643"/>
      <c r="U127" s="616">
        <f t="shared" si="0"/>
        <v>0</v>
      </c>
      <c r="V127" s="633"/>
      <c r="W127" s="634"/>
      <c r="X127" s="634"/>
      <c r="Y127" s="7"/>
      <c r="Z127" s="701">
        <v>1793.923</v>
      </c>
      <c r="AA127" s="7"/>
      <c r="AB127" s="618"/>
      <c r="AC127" s="7"/>
      <c r="AD127" s="7"/>
      <c r="AE127" s="7"/>
      <c r="AF127" s="7"/>
      <c r="AG127" s="7"/>
      <c r="AH127" s="7"/>
    </row>
    <row r="128" spans="1:34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5"/>
      <c r="I128" s="215"/>
      <c r="J128" s="215"/>
      <c r="K128" s="215"/>
      <c r="L128" s="647"/>
      <c r="M128" s="647"/>
      <c r="N128" s="632"/>
      <c r="O128" s="213"/>
      <c r="P128" s="213"/>
      <c r="Q128" s="213"/>
      <c r="R128" s="213"/>
      <c r="S128" s="213"/>
      <c r="T128" s="643"/>
      <c r="U128" s="616">
        <f t="shared" si="0"/>
        <v>0</v>
      </c>
      <c r="V128" s="633"/>
      <c r="W128" s="634"/>
      <c r="X128" s="634"/>
      <c r="Y128" s="7"/>
      <c r="Z128" s="701">
        <v>3.38</v>
      </c>
      <c r="AA128" s="7"/>
      <c r="AB128" s="618">
        <f>Z128-U128</f>
        <v>3.38</v>
      </c>
      <c r="AC128" s="7"/>
      <c r="AD128" s="7"/>
      <c r="AE128" s="7"/>
      <c r="AF128" s="7"/>
      <c r="AG128" s="7"/>
      <c r="AH128" s="7"/>
    </row>
    <row r="129" spans="1:34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5"/>
      <c r="I129" s="215"/>
      <c r="J129" s="215"/>
      <c r="K129" s="215"/>
      <c r="L129" s="647"/>
      <c r="M129" s="647"/>
      <c r="N129" s="632"/>
      <c r="O129" s="213"/>
      <c r="P129" s="213"/>
      <c r="Q129" s="213"/>
      <c r="R129" s="213"/>
      <c r="S129" s="213"/>
      <c r="T129" s="643"/>
      <c r="U129" s="616">
        <f t="shared" si="0"/>
        <v>0</v>
      </c>
      <c r="V129" s="633"/>
      <c r="W129" s="634"/>
      <c r="X129" s="634"/>
      <c r="Y129" s="7"/>
      <c r="Z129" s="701">
        <v>95.64</v>
      </c>
      <c r="AA129" s="7"/>
      <c r="AB129" s="618"/>
      <c r="AC129" s="7"/>
      <c r="AD129" s="7"/>
      <c r="AE129" s="7"/>
      <c r="AF129" s="7"/>
      <c r="AG129" s="7"/>
      <c r="AH129" s="7"/>
    </row>
    <row r="130" spans="1:34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5"/>
      <c r="I130" s="215"/>
      <c r="J130" s="215"/>
      <c r="K130" s="215"/>
      <c r="L130" s="647"/>
      <c r="M130" s="647"/>
      <c r="N130" s="632"/>
      <c r="O130" s="213"/>
      <c r="P130" s="213"/>
      <c r="Q130" s="213"/>
      <c r="R130" s="213"/>
      <c r="S130" s="213"/>
      <c r="T130" s="643"/>
      <c r="U130" s="616">
        <f t="shared" si="0"/>
        <v>0</v>
      </c>
      <c r="V130" s="633"/>
      <c r="W130" s="634"/>
      <c r="X130" s="634"/>
      <c r="Y130" s="7"/>
      <c r="Z130" s="701">
        <v>61.28</v>
      </c>
      <c r="AA130" s="7"/>
      <c r="AB130" s="618"/>
      <c r="AC130" s="7"/>
      <c r="AD130" s="7"/>
      <c r="AE130" s="7"/>
      <c r="AF130" s="7"/>
      <c r="AG130" s="7"/>
      <c r="AH130" s="7"/>
    </row>
    <row r="131" spans="1:34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5"/>
      <c r="I131" s="215"/>
      <c r="J131" s="215"/>
      <c r="K131" s="215"/>
      <c r="L131" s="620"/>
      <c r="M131" s="620"/>
      <c r="N131" s="632"/>
      <c r="O131" s="213"/>
      <c r="P131" s="213"/>
      <c r="Q131" s="213"/>
      <c r="R131" s="213"/>
      <c r="S131" s="213"/>
      <c r="T131" s="643"/>
      <c r="U131" s="616">
        <f t="shared" si="0"/>
        <v>0</v>
      </c>
      <c r="V131" s="633"/>
      <c r="W131" s="636"/>
      <c r="X131" s="636"/>
      <c r="Y131" s="7"/>
      <c r="Z131" s="699"/>
      <c r="AA131" s="7"/>
      <c r="AB131" s="618">
        <f t="shared" ref="AB131:AB135" si="13">Z131-U131</f>
        <v>0</v>
      </c>
      <c r="AC131" s="7"/>
      <c r="AD131" s="7"/>
      <c r="AE131" s="7"/>
      <c r="AF131" s="7"/>
      <c r="AG131" s="7"/>
      <c r="AH131" s="7"/>
    </row>
    <row r="132" spans="1:34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5"/>
      <c r="I132" s="215"/>
      <c r="J132" s="215"/>
      <c r="K132" s="215"/>
      <c r="L132" s="647"/>
      <c r="M132" s="647"/>
      <c r="N132" s="632"/>
      <c r="O132" s="213"/>
      <c r="P132" s="213"/>
      <c r="Q132" s="213"/>
      <c r="R132" s="213"/>
      <c r="S132" s="213"/>
      <c r="T132" s="643"/>
      <c r="U132" s="616">
        <f t="shared" si="0"/>
        <v>0</v>
      </c>
      <c r="V132" s="633"/>
      <c r="W132" s="634"/>
      <c r="X132" s="634"/>
      <c r="Y132" s="7"/>
      <c r="Z132" s="699"/>
      <c r="AA132" s="7"/>
      <c r="AB132" s="618">
        <f t="shared" si="13"/>
        <v>0</v>
      </c>
      <c r="AC132" s="7"/>
      <c r="AD132" s="7"/>
      <c r="AE132" s="7"/>
      <c r="AF132" s="7"/>
      <c r="AG132" s="7"/>
      <c r="AH132" s="7"/>
    </row>
    <row r="133" spans="1:34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5"/>
      <c r="I133" s="215"/>
      <c r="J133" s="215"/>
      <c r="K133" s="215"/>
      <c r="L133" s="647"/>
      <c r="M133" s="647"/>
      <c r="N133" s="632"/>
      <c r="O133" s="213"/>
      <c r="P133" s="213"/>
      <c r="Q133" s="213"/>
      <c r="R133" s="213"/>
      <c r="S133" s="213"/>
      <c r="T133" s="643"/>
      <c r="U133" s="616">
        <f t="shared" si="0"/>
        <v>0</v>
      </c>
      <c r="V133" s="633"/>
      <c r="W133" s="634"/>
      <c r="X133" s="634"/>
      <c r="Y133" s="7"/>
      <c r="Z133" s="699"/>
      <c r="AA133" s="7"/>
      <c r="AB133" s="618">
        <f t="shared" si="13"/>
        <v>0</v>
      </c>
      <c r="AC133" s="7"/>
      <c r="AD133" s="7"/>
      <c r="AE133" s="7"/>
      <c r="AF133" s="7"/>
      <c r="AG133" s="7"/>
      <c r="AH133" s="7"/>
    </row>
    <row r="134" spans="1:34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5"/>
      <c r="I134" s="215"/>
      <c r="J134" s="215"/>
      <c r="K134" s="215"/>
      <c r="L134" s="647"/>
      <c r="M134" s="647"/>
      <c r="N134" s="632"/>
      <c r="O134" s="213"/>
      <c r="P134" s="213"/>
      <c r="Q134" s="213"/>
      <c r="R134" s="213"/>
      <c r="S134" s="213"/>
      <c r="T134" s="643"/>
      <c r="U134" s="616">
        <f t="shared" si="0"/>
        <v>0</v>
      </c>
      <c r="V134" s="633"/>
      <c r="W134" s="634"/>
      <c r="X134" s="634"/>
      <c r="Y134" s="7"/>
      <c r="Z134" s="699"/>
      <c r="AA134" s="7"/>
      <c r="AB134" s="618">
        <f t="shared" si="13"/>
        <v>0</v>
      </c>
      <c r="AC134" s="7"/>
      <c r="AD134" s="7"/>
      <c r="AE134" s="7"/>
      <c r="AF134" s="7"/>
      <c r="AG134" s="7"/>
      <c r="AH134" s="7"/>
    </row>
    <row r="135" spans="1:34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5"/>
      <c r="I135" s="215"/>
      <c r="J135" s="215"/>
      <c r="K135" s="215"/>
      <c r="L135" s="647"/>
      <c r="M135" s="647"/>
      <c r="N135" s="632"/>
      <c r="O135" s="213"/>
      <c r="P135" s="213"/>
      <c r="Q135" s="213"/>
      <c r="R135" s="213"/>
      <c r="S135" s="213"/>
      <c r="T135" s="643"/>
      <c r="U135" s="616">
        <f t="shared" si="0"/>
        <v>0</v>
      </c>
      <c r="V135" s="633"/>
      <c r="W135" s="634"/>
      <c r="X135" s="634"/>
      <c r="Y135" s="7"/>
      <c r="Z135" s="699"/>
      <c r="AA135" s="7"/>
      <c r="AB135" s="618">
        <f t="shared" si="13"/>
        <v>0</v>
      </c>
      <c r="AC135" s="7"/>
      <c r="AD135" s="7"/>
      <c r="AE135" s="7"/>
      <c r="AF135" s="7"/>
      <c r="AG135" s="7"/>
      <c r="AH135" s="7"/>
    </row>
    <row r="136" spans="1:34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5"/>
      <c r="I136" s="215"/>
      <c r="J136" s="215"/>
      <c r="K136" s="215"/>
      <c r="L136" s="620"/>
      <c r="M136" s="620"/>
      <c r="N136" s="632"/>
      <c r="O136" s="213"/>
      <c r="P136" s="213"/>
      <c r="Q136" s="213"/>
      <c r="R136" s="213"/>
      <c r="S136" s="213"/>
      <c r="T136" s="643"/>
      <c r="U136" s="616">
        <f t="shared" si="0"/>
        <v>0</v>
      </c>
      <c r="V136" s="633"/>
      <c r="W136" s="636"/>
      <c r="X136" s="636"/>
      <c r="Y136" s="7"/>
      <c r="Z136" s="702">
        <v>42.7</v>
      </c>
      <c r="AA136" s="7"/>
      <c r="AB136" s="618"/>
      <c r="AC136" s="7"/>
      <c r="AD136" s="7"/>
      <c r="AE136" s="7"/>
      <c r="AF136" s="7"/>
      <c r="AG136" s="7"/>
      <c r="AH136" s="7"/>
    </row>
    <row r="137" spans="1:34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5"/>
      <c r="I137" s="215"/>
      <c r="J137" s="215"/>
      <c r="K137" s="215"/>
      <c r="L137" s="647"/>
      <c r="M137" s="647"/>
      <c r="N137" s="632"/>
      <c r="O137" s="213"/>
      <c r="P137" s="213"/>
      <c r="Q137" s="213"/>
      <c r="R137" s="213"/>
      <c r="S137" s="213"/>
      <c r="T137" s="643"/>
      <c r="U137" s="616">
        <f t="shared" si="0"/>
        <v>0</v>
      </c>
      <c r="V137" s="633"/>
      <c r="W137" s="648"/>
      <c r="X137" s="648"/>
      <c r="Y137" s="7"/>
      <c r="Z137" s="701">
        <v>3.1</v>
      </c>
      <c r="AA137" s="7"/>
      <c r="AB137" s="618"/>
      <c r="AC137" s="7"/>
      <c r="AD137" s="7"/>
      <c r="AE137" s="7"/>
      <c r="AF137" s="7"/>
      <c r="AG137" s="7"/>
      <c r="AH137" s="7"/>
    </row>
    <row r="138" spans="1:34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5"/>
      <c r="I138" s="215"/>
      <c r="J138" s="215"/>
      <c r="K138" s="215"/>
      <c r="L138" s="647"/>
      <c r="M138" s="647"/>
      <c r="N138" s="632"/>
      <c r="O138" s="213"/>
      <c r="P138" s="213"/>
      <c r="Q138" s="213"/>
      <c r="R138" s="213"/>
      <c r="S138" s="213"/>
      <c r="T138" s="643"/>
      <c r="U138" s="616">
        <f t="shared" si="0"/>
        <v>0</v>
      </c>
      <c r="V138" s="633"/>
      <c r="W138" s="648"/>
      <c r="X138" s="648"/>
      <c r="Y138" s="7"/>
      <c r="Z138" s="699"/>
      <c r="AA138" s="7"/>
      <c r="AB138" s="618"/>
      <c r="AC138" s="7"/>
      <c r="AD138" s="7"/>
      <c r="AE138" s="7"/>
      <c r="AF138" s="7"/>
      <c r="AG138" s="7"/>
      <c r="AH138" s="7"/>
    </row>
    <row r="139" spans="1:34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5"/>
      <c r="I139" s="215"/>
      <c r="J139" s="215"/>
      <c r="K139" s="215"/>
      <c r="L139" s="647"/>
      <c r="M139" s="647"/>
      <c r="N139" s="632"/>
      <c r="O139" s="213"/>
      <c r="P139" s="213"/>
      <c r="Q139" s="213"/>
      <c r="R139" s="213"/>
      <c r="S139" s="213"/>
      <c r="T139" s="643"/>
      <c r="U139" s="616">
        <f t="shared" si="0"/>
        <v>0</v>
      </c>
      <c r="V139" s="633"/>
      <c r="W139" s="648"/>
      <c r="X139" s="648"/>
      <c r="Y139" s="7"/>
      <c r="Z139" s="699"/>
      <c r="AA139" s="7"/>
      <c r="AB139" s="618"/>
      <c r="AC139" s="7"/>
      <c r="AD139" s="7"/>
      <c r="AE139" s="7"/>
      <c r="AF139" s="7"/>
      <c r="AG139" s="7"/>
      <c r="AH139" s="7"/>
    </row>
    <row r="140" spans="1:34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5"/>
      <c r="I140" s="215"/>
      <c r="J140" s="215"/>
      <c r="K140" s="215"/>
      <c r="L140" s="647"/>
      <c r="M140" s="647"/>
      <c r="N140" s="632"/>
      <c r="O140" s="213"/>
      <c r="P140" s="213"/>
      <c r="Q140" s="213"/>
      <c r="R140" s="213"/>
      <c r="S140" s="213"/>
      <c r="T140" s="643"/>
      <c r="U140" s="616">
        <f t="shared" si="0"/>
        <v>0</v>
      </c>
      <c r="V140" s="633"/>
      <c r="W140" s="648"/>
      <c r="X140" s="648"/>
      <c r="Y140" s="7"/>
      <c r="Z140" s="699"/>
      <c r="AA140" s="7"/>
      <c r="AB140" s="618"/>
      <c r="AC140" s="7"/>
      <c r="AD140" s="7"/>
      <c r="AE140" s="7"/>
      <c r="AF140" s="7"/>
      <c r="AG140" s="7"/>
      <c r="AH140" s="7"/>
    </row>
    <row r="141" spans="1:34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5"/>
      <c r="I141" s="215"/>
      <c r="J141" s="215"/>
      <c r="K141" s="215"/>
      <c r="L141" s="620"/>
      <c r="M141" s="620"/>
      <c r="N141" s="632">
        <v>8.75</v>
      </c>
      <c r="O141" s="213">
        <v>2.4</v>
      </c>
      <c r="P141" s="213"/>
      <c r="Q141" s="213"/>
      <c r="R141" s="213"/>
      <c r="S141" s="213"/>
      <c r="T141" s="643"/>
      <c r="U141" s="616">
        <f t="shared" si="0"/>
        <v>11.15</v>
      </c>
      <c r="V141" s="633"/>
      <c r="W141" s="636"/>
      <c r="X141" s="636"/>
      <c r="Y141" s="7"/>
      <c r="Z141" s="702">
        <v>655.6</v>
      </c>
      <c r="AA141" s="7"/>
      <c r="AB141" s="618"/>
      <c r="AC141" s="7"/>
      <c r="AD141" s="7"/>
      <c r="AE141" s="7"/>
      <c r="AF141" s="7"/>
      <c r="AG141" s="7"/>
      <c r="AH141" s="7"/>
    </row>
    <row r="142" spans="1:34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5"/>
      <c r="I142" s="215"/>
      <c r="J142" s="215"/>
      <c r="K142" s="215"/>
      <c r="L142" s="647"/>
      <c r="M142" s="647"/>
      <c r="N142" s="632"/>
      <c r="O142" s="213"/>
      <c r="P142" s="213"/>
      <c r="Q142" s="213"/>
      <c r="R142" s="213"/>
      <c r="S142" s="213"/>
      <c r="T142" s="643"/>
      <c r="U142" s="616">
        <f t="shared" si="0"/>
        <v>0</v>
      </c>
      <c r="V142" s="633"/>
      <c r="W142" s="648"/>
      <c r="X142" s="648"/>
      <c r="Y142" s="7"/>
      <c r="Z142" s="701">
        <v>45.088000000000001</v>
      </c>
      <c r="AA142" s="7"/>
      <c r="AB142" s="618">
        <f t="shared" ref="AB142:AB144" si="14">Z142-U142</f>
        <v>45.088000000000001</v>
      </c>
      <c r="AC142" s="7"/>
      <c r="AD142" s="7"/>
      <c r="AE142" s="7"/>
      <c r="AF142" s="7"/>
      <c r="AG142" s="7"/>
      <c r="AH142" s="7"/>
    </row>
    <row r="143" spans="1:34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5"/>
      <c r="I143" s="215"/>
      <c r="J143" s="215"/>
      <c r="K143" s="215"/>
      <c r="L143" s="647"/>
      <c r="M143" s="647"/>
      <c r="N143" s="632"/>
      <c r="O143" s="213"/>
      <c r="P143" s="213"/>
      <c r="Q143" s="213"/>
      <c r="R143" s="213"/>
      <c r="S143" s="213"/>
      <c r="T143" s="643"/>
      <c r="U143" s="616">
        <f t="shared" si="0"/>
        <v>0</v>
      </c>
      <c r="V143" s="633"/>
      <c r="W143" s="648"/>
      <c r="X143" s="648"/>
      <c r="Y143" s="7"/>
      <c r="Z143" s="701">
        <v>1.4</v>
      </c>
      <c r="AA143" s="7"/>
      <c r="AB143" s="618">
        <f t="shared" si="14"/>
        <v>1.4</v>
      </c>
      <c r="AC143" s="7"/>
      <c r="AD143" s="7"/>
      <c r="AE143" s="7"/>
      <c r="AF143" s="7"/>
      <c r="AG143" s="7"/>
      <c r="AH143" s="7"/>
    </row>
    <row r="144" spans="1:34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5"/>
      <c r="I144" s="215"/>
      <c r="J144" s="215"/>
      <c r="K144" s="215"/>
      <c r="L144" s="647"/>
      <c r="M144" s="647"/>
      <c r="N144" s="632"/>
      <c r="O144" s="213"/>
      <c r="P144" s="213"/>
      <c r="Q144" s="213"/>
      <c r="R144" s="213"/>
      <c r="S144" s="213"/>
      <c r="T144" s="643"/>
      <c r="U144" s="616">
        <f t="shared" si="0"/>
        <v>0</v>
      </c>
      <c r="V144" s="633"/>
      <c r="W144" s="648"/>
      <c r="X144" s="648"/>
      <c r="Y144" s="7"/>
      <c r="Z144" s="701">
        <v>6.67</v>
      </c>
      <c r="AA144" s="7"/>
      <c r="AB144" s="618">
        <f t="shared" si="14"/>
        <v>6.67</v>
      </c>
      <c r="AC144" s="7"/>
      <c r="AD144" s="7"/>
      <c r="AE144" s="7"/>
      <c r="AF144" s="7"/>
      <c r="AG144" s="7"/>
      <c r="AH144" s="7"/>
    </row>
    <row r="145" spans="1:34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5"/>
      <c r="I145" s="215"/>
      <c r="J145" s="215"/>
      <c r="K145" s="215"/>
      <c r="L145" s="647"/>
      <c r="M145" s="647"/>
      <c r="N145" s="632"/>
      <c r="O145" s="213"/>
      <c r="P145" s="213"/>
      <c r="Q145" s="213"/>
      <c r="R145" s="213"/>
      <c r="S145" s="213"/>
      <c r="T145" s="643"/>
      <c r="U145" s="616">
        <f t="shared" si="0"/>
        <v>0</v>
      </c>
      <c r="V145" s="633"/>
      <c r="W145" s="648"/>
      <c r="X145" s="648"/>
      <c r="Y145" s="7"/>
      <c r="Z145" s="701">
        <v>607.84</v>
      </c>
      <c r="AA145" s="7"/>
      <c r="AB145" s="618"/>
      <c r="AC145" s="7"/>
      <c r="AD145" s="7"/>
      <c r="AE145" s="7"/>
      <c r="AF145" s="7"/>
      <c r="AG145" s="7"/>
      <c r="AH145" s="7"/>
    </row>
    <row r="146" spans="1:34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3"/>
      <c r="H146" s="215"/>
      <c r="I146" s="215"/>
      <c r="J146" s="215"/>
      <c r="K146" s="215"/>
      <c r="L146" s="620"/>
      <c r="M146" s="620"/>
      <c r="N146" s="632"/>
      <c r="O146" s="213"/>
      <c r="P146" s="213">
        <v>3</v>
      </c>
      <c r="Q146" s="213"/>
      <c r="R146" s="213"/>
      <c r="S146" s="213"/>
      <c r="T146" s="643"/>
      <c r="U146" s="616">
        <f t="shared" si="0"/>
        <v>3</v>
      </c>
      <c r="V146" s="633"/>
      <c r="W146" s="636"/>
      <c r="X146" s="636"/>
      <c r="Y146" s="7"/>
      <c r="Z146" s="701">
        <v>208.5</v>
      </c>
      <c r="AA146" s="7"/>
      <c r="AB146" s="618"/>
      <c r="AC146" s="7"/>
      <c r="AD146" s="7"/>
      <c r="AE146" s="7"/>
      <c r="AF146" s="7"/>
      <c r="AG146" s="7"/>
      <c r="AH146" s="7"/>
    </row>
    <row r="147" spans="1:34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5"/>
      <c r="I147" s="215"/>
      <c r="J147" s="215"/>
      <c r="K147" s="215"/>
      <c r="L147" s="647"/>
      <c r="M147" s="647"/>
      <c r="N147" s="632"/>
      <c r="O147" s="213"/>
      <c r="P147" s="213"/>
      <c r="Q147" s="213"/>
      <c r="R147" s="213"/>
      <c r="S147" s="213"/>
      <c r="T147" s="643"/>
      <c r="U147" s="616">
        <f t="shared" si="0"/>
        <v>0</v>
      </c>
      <c r="V147" s="633"/>
      <c r="W147" s="634"/>
      <c r="X147" s="634"/>
      <c r="Y147" s="7"/>
      <c r="Z147" s="701">
        <v>125.453</v>
      </c>
      <c r="AA147" s="7"/>
      <c r="AB147" s="618"/>
      <c r="AC147" s="7"/>
      <c r="AD147" s="7"/>
      <c r="AE147" s="7"/>
      <c r="AF147" s="7"/>
      <c r="AG147" s="7"/>
      <c r="AH147" s="7"/>
    </row>
    <row r="148" spans="1:34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5"/>
      <c r="I148" s="215"/>
      <c r="J148" s="215"/>
      <c r="K148" s="215"/>
      <c r="L148" s="647"/>
      <c r="M148" s="647"/>
      <c r="N148" s="632"/>
      <c r="O148" s="213"/>
      <c r="P148" s="213"/>
      <c r="Q148" s="213"/>
      <c r="R148" s="213"/>
      <c r="S148" s="213"/>
      <c r="T148" s="643"/>
      <c r="U148" s="616">
        <f t="shared" si="0"/>
        <v>0</v>
      </c>
      <c r="V148" s="633"/>
      <c r="W148" s="634"/>
      <c r="X148" s="634"/>
      <c r="Y148" s="7"/>
      <c r="Z148" s="701">
        <v>81.010000000000005</v>
      </c>
      <c r="AA148" s="7"/>
      <c r="AB148" s="618"/>
      <c r="AC148" s="7"/>
      <c r="AD148" s="7"/>
      <c r="AE148" s="7"/>
      <c r="AF148" s="7"/>
      <c r="AG148" s="7"/>
      <c r="AH148" s="7"/>
    </row>
    <row r="149" spans="1:34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5"/>
      <c r="I149" s="215"/>
      <c r="J149" s="215"/>
      <c r="K149" s="215"/>
      <c r="L149" s="647"/>
      <c r="M149" s="647"/>
      <c r="N149" s="632"/>
      <c r="O149" s="213"/>
      <c r="P149" s="213"/>
      <c r="Q149" s="213"/>
      <c r="R149" s="213"/>
      <c r="S149" s="213"/>
      <c r="T149" s="643"/>
      <c r="U149" s="616">
        <f t="shared" si="0"/>
        <v>0</v>
      </c>
      <c r="V149" s="633"/>
      <c r="W149" s="634"/>
      <c r="X149" s="634"/>
      <c r="Y149" s="7"/>
      <c r="Z149" s="699"/>
      <c r="AA149" s="7"/>
      <c r="AB149" s="618">
        <f t="shared" ref="AB149:AB150" si="15">Z149-U149</f>
        <v>0</v>
      </c>
      <c r="AC149" s="7"/>
      <c r="AD149" s="7"/>
      <c r="AE149" s="7"/>
      <c r="AF149" s="7"/>
      <c r="AG149" s="7"/>
      <c r="AH149" s="7"/>
    </row>
    <row r="150" spans="1:34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5"/>
      <c r="I150" s="215"/>
      <c r="J150" s="215"/>
      <c r="K150" s="215"/>
      <c r="L150" s="647"/>
      <c r="M150" s="647"/>
      <c r="N150" s="632"/>
      <c r="O150" s="213"/>
      <c r="P150" s="213"/>
      <c r="Q150" s="213"/>
      <c r="R150" s="213"/>
      <c r="S150" s="213"/>
      <c r="T150" s="643"/>
      <c r="U150" s="616">
        <f t="shared" si="0"/>
        <v>0</v>
      </c>
      <c r="V150" s="633"/>
      <c r="W150" s="634"/>
      <c r="X150" s="634"/>
      <c r="Y150" s="7"/>
      <c r="Z150" s="699"/>
      <c r="AA150" s="7"/>
      <c r="AB150" s="618">
        <f t="shared" si="15"/>
        <v>0</v>
      </c>
      <c r="AC150" s="7"/>
      <c r="AD150" s="7"/>
      <c r="AE150" s="7"/>
      <c r="AF150" s="7"/>
      <c r="AG150" s="7"/>
      <c r="AH150" s="7"/>
    </row>
    <row r="151" spans="1:34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/>
      <c r="G151" s="213"/>
      <c r="H151" s="215"/>
      <c r="I151" s="215"/>
      <c r="J151" s="215"/>
      <c r="K151" s="215"/>
      <c r="L151" s="620"/>
      <c r="M151" s="620"/>
      <c r="N151" s="632"/>
      <c r="O151" s="213"/>
      <c r="P151" s="213"/>
      <c r="Q151" s="213"/>
      <c r="R151" s="213"/>
      <c r="S151" s="213"/>
      <c r="T151" s="643"/>
      <c r="U151" s="616">
        <f t="shared" si="0"/>
        <v>0</v>
      </c>
      <c r="V151" s="633"/>
      <c r="W151" s="636"/>
      <c r="X151" s="636"/>
      <c r="Y151" s="7"/>
      <c r="Z151" s="699"/>
      <c r="AA151" s="7"/>
      <c r="AB151" s="618"/>
      <c r="AC151" s="7"/>
      <c r="AD151" s="7"/>
      <c r="AE151" s="7"/>
      <c r="AF151" s="7"/>
      <c r="AG151" s="7"/>
      <c r="AH151" s="7"/>
    </row>
    <row r="152" spans="1:34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5"/>
      <c r="I152" s="215"/>
      <c r="J152" s="215"/>
      <c r="K152" s="215"/>
      <c r="L152" s="647"/>
      <c r="M152" s="647"/>
      <c r="N152" s="632"/>
      <c r="O152" s="213"/>
      <c r="P152" s="213"/>
      <c r="Q152" s="213"/>
      <c r="R152" s="213"/>
      <c r="S152" s="213"/>
      <c r="T152" s="643"/>
      <c r="U152" s="616">
        <f t="shared" si="0"/>
        <v>0</v>
      </c>
      <c r="V152" s="633"/>
      <c r="W152" s="634"/>
      <c r="X152" s="634"/>
      <c r="Y152" s="7"/>
      <c r="Z152" s="699"/>
      <c r="AA152" s="7"/>
      <c r="AB152" s="618">
        <f>Z152-U152</f>
        <v>0</v>
      </c>
      <c r="AC152" s="7"/>
      <c r="AD152" s="7"/>
      <c r="AE152" s="7"/>
      <c r="AF152" s="7"/>
      <c r="AG152" s="7"/>
      <c r="AH152" s="7"/>
    </row>
    <row r="153" spans="1:34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5"/>
      <c r="I153" s="215"/>
      <c r="J153" s="215"/>
      <c r="K153" s="215"/>
      <c r="L153" s="647"/>
      <c r="M153" s="647"/>
      <c r="N153" s="632"/>
      <c r="O153" s="213"/>
      <c r="P153" s="213"/>
      <c r="Q153" s="213"/>
      <c r="R153" s="213"/>
      <c r="S153" s="213"/>
      <c r="T153" s="643"/>
      <c r="U153" s="616">
        <f t="shared" si="0"/>
        <v>0</v>
      </c>
      <c r="V153" s="633"/>
      <c r="W153" s="634"/>
      <c r="X153" s="634"/>
      <c r="Y153" s="7"/>
      <c r="Z153" s="699"/>
      <c r="AA153" s="7"/>
      <c r="AB153" s="618"/>
      <c r="AC153" s="7"/>
      <c r="AD153" s="7"/>
      <c r="AE153" s="7"/>
      <c r="AF153" s="7"/>
      <c r="AG153" s="7"/>
      <c r="AH153" s="7"/>
    </row>
    <row r="154" spans="1:34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5"/>
      <c r="I154" s="215"/>
      <c r="J154" s="215"/>
      <c r="K154" s="215"/>
      <c r="L154" s="647"/>
      <c r="M154" s="647"/>
      <c r="N154" s="632"/>
      <c r="O154" s="213"/>
      <c r="P154" s="213"/>
      <c r="Q154" s="213"/>
      <c r="R154" s="213"/>
      <c r="S154" s="213"/>
      <c r="T154" s="643"/>
      <c r="U154" s="616">
        <f t="shared" si="0"/>
        <v>0</v>
      </c>
      <c r="V154" s="633"/>
      <c r="W154" s="634"/>
      <c r="X154" s="634"/>
      <c r="Y154" s="7"/>
      <c r="Z154" s="699"/>
      <c r="AA154" s="7"/>
      <c r="AB154" s="618">
        <f t="shared" ref="AB154:AB160" si="16">Z154-U154</f>
        <v>0</v>
      </c>
      <c r="AC154" s="7"/>
      <c r="AD154" s="7"/>
      <c r="AE154" s="7"/>
      <c r="AF154" s="7"/>
      <c r="AG154" s="7"/>
      <c r="AH154" s="7"/>
    </row>
    <row r="155" spans="1:34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5"/>
      <c r="I155" s="215"/>
      <c r="J155" s="215"/>
      <c r="K155" s="215"/>
      <c r="L155" s="647"/>
      <c r="M155" s="647"/>
      <c r="N155" s="632"/>
      <c r="O155" s="213"/>
      <c r="P155" s="213"/>
      <c r="Q155" s="213"/>
      <c r="R155" s="213"/>
      <c r="S155" s="213"/>
      <c r="T155" s="643"/>
      <c r="U155" s="616">
        <f t="shared" si="0"/>
        <v>0</v>
      </c>
      <c r="V155" s="633"/>
      <c r="W155" s="634"/>
      <c r="X155" s="634"/>
      <c r="Y155" s="7"/>
      <c r="Z155" s="699"/>
      <c r="AA155" s="7"/>
      <c r="AB155" s="618">
        <f t="shared" si="16"/>
        <v>0</v>
      </c>
      <c r="AC155" s="7"/>
      <c r="AD155" s="7"/>
      <c r="AE155" s="7"/>
      <c r="AF155" s="7"/>
      <c r="AG155" s="7"/>
      <c r="AH155" s="7"/>
    </row>
    <row r="156" spans="1:34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5"/>
      <c r="I156" s="215"/>
      <c r="J156" s="215"/>
      <c r="K156" s="215"/>
      <c r="L156" s="620"/>
      <c r="M156" s="620"/>
      <c r="N156" s="632"/>
      <c r="O156" s="213"/>
      <c r="P156" s="213"/>
      <c r="Q156" s="213"/>
      <c r="R156" s="213"/>
      <c r="S156" s="213"/>
      <c r="T156" s="643"/>
      <c r="U156" s="616">
        <f t="shared" si="0"/>
        <v>0</v>
      </c>
      <c r="V156" s="633"/>
      <c r="W156" s="636"/>
      <c r="X156" s="636"/>
      <c r="Y156" s="7"/>
      <c r="Z156" s="699"/>
      <c r="AA156" s="7"/>
      <c r="AB156" s="618">
        <f t="shared" si="16"/>
        <v>0</v>
      </c>
      <c r="AC156" s="7"/>
      <c r="AD156" s="7"/>
      <c r="AE156" s="7"/>
      <c r="AF156" s="7"/>
      <c r="AG156" s="7"/>
      <c r="AH156" s="7"/>
    </row>
    <row r="157" spans="1:34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5"/>
      <c r="I157" s="215"/>
      <c r="J157" s="215"/>
      <c r="K157" s="215"/>
      <c r="L157" s="647"/>
      <c r="M157" s="647"/>
      <c r="N157" s="632"/>
      <c r="O157" s="213"/>
      <c r="P157" s="213"/>
      <c r="Q157" s="213"/>
      <c r="R157" s="213"/>
      <c r="S157" s="213"/>
      <c r="T157" s="643"/>
      <c r="U157" s="616">
        <f t="shared" si="0"/>
        <v>0</v>
      </c>
      <c r="V157" s="633"/>
      <c r="W157" s="648"/>
      <c r="X157" s="648"/>
      <c r="Y157" s="7"/>
      <c r="Z157" s="699"/>
      <c r="AA157" s="7"/>
      <c r="AB157" s="618">
        <f t="shared" si="16"/>
        <v>0</v>
      </c>
      <c r="AC157" s="7"/>
      <c r="AD157" s="7"/>
      <c r="AE157" s="7"/>
      <c r="AF157" s="7"/>
      <c r="AG157" s="7"/>
      <c r="AH157" s="7"/>
    </row>
    <row r="158" spans="1:34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5"/>
      <c r="I158" s="215"/>
      <c r="J158" s="215"/>
      <c r="K158" s="215"/>
      <c r="L158" s="647"/>
      <c r="M158" s="647"/>
      <c r="N158" s="632"/>
      <c r="O158" s="213"/>
      <c r="P158" s="213"/>
      <c r="Q158" s="213"/>
      <c r="R158" s="213"/>
      <c r="S158" s="213"/>
      <c r="T158" s="643"/>
      <c r="U158" s="616">
        <f t="shared" si="0"/>
        <v>0</v>
      </c>
      <c r="V158" s="633"/>
      <c r="W158" s="648"/>
      <c r="X158" s="648"/>
      <c r="Y158" s="7"/>
      <c r="Z158" s="699"/>
      <c r="AA158" s="7"/>
      <c r="AB158" s="618">
        <f t="shared" si="16"/>
        <v>0</v>
      </c>
      <c r="AC158" s="7"/>
      <c r="AD158" s="7"/>
      <c r="AE158" s="7"/>
      <c r="AF158" s="7"/>
      <c r="AG158" s="7"/>
      <c r="AH158" s="7"/>
    </row>
    <row r="159" spans="1:34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5"/>
      <c r="I159" s="215"/>
      <c r="J159" s="215"/>
      <c r="K159" s="215"/>
      <c r="L159" s="647"/>
      <c r="M159" s="647"/>
      <c r="N159" s="632"/>
      <c r="O159" s="213"/>
      <c r="P159" s="213"/>
      <c r="Q159" s="213"/>
      <c r="R159" s="213"/>
      <c r="S159" s="213"/>
      <c r="T159" s="643"/>
      <c r="U159" s="616">
        <f t="shared" si="0"/>
        <v>0</v>
      </c>
      <c r="V159" s="633"/>
      <c r="W159" s="648"/>
      <c r="X159" s="648"/>
      <c r="Y159" s="7"/>
      <c r="Z159" s="699"/>
      <c r="AA159" s="7"/>
      <c r="AB159" s="618">
        <f t="shared" si="16"/>
        <v>0</v>
      </c>
      <c r="AC159" s="7"/>
      <c r="AD159" s="7"/>
      <c r="AE159" s="7"/>
      <c r="AF159" s="7"/>
      <c r="AG159" s="7"/>
      <c r="AH159" s="7"/>
    </row>
    <row r="160" spans="1:34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5"/>
      <c r="I160" s="215"/>
      <c r="J160" s="215"/>
      <c r="K160" s="215"/>
      <c r="L160" s="647"/>
      <c r="M160" s="647"/>
      <c r="N160" s="632"/>
      <c r="O160" s="213"/>
      <c r="P160" s="213"/>
      <c r="Q160" s="213"/>
      <c r="R160" s="213"/>
      <c r="S160" s="213"/>
      <c r="T160" s="643"/>
      <c r="U160" s="616">
        <f t="shared" si="0"/>
        <v>0</v>
      </c>
      <c r="V160" s="633"/>
      <c r="W160" s="648"/>
      <c r="X160" s="648"/>
      <c r="Y160" s="7"/>
      <c r="Z160" s="699"/>
      <c r="AA160" s="7"/>
      <c r="AB160" s="618">
        <f t="shared" si="16"/>
        <v>0</v>
      </c>
      <c r="AC160" s="7"/>
      <c r="AD160" s="7"/>
      <c r="AE160" s="7"/>
      <c r="AF160" s="7"/>
      <c r="AG160" s="7"/>
      <c r="AH160" s="7"/>
    </row>
    <row r="161" spans="1:34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5"/>
      <c r="I161" s="215"/>
      <c r="J161" s="215"/>
      <c r="K161" s="215"/>
      <c r="L161" s="620"/>
      <c r="M161" s="620"/>
      <c r="N161" s="632"/>
      <c r="O161" s="213"/>
      <c r="P161" s="213"/>
      <c r="Q161" s="213"/>
      <c r="R161" s="213"/>
      <c r="S161" s="213"/>
      <c r="T161" s="643"/>
      <c r="U161" s="616">
        <f t="shared" si="0"/>
        <v>0</v>
      </c>
      <c r="V161" s="633"/>
      <c r="W161" s="636"/>
      <c r="X161" s="636"/>
      <c r="Y161" s="7"/>
      <c r="Z161" s="699"/>
      <c r="AA161" s="7"/>
      <c r="AB161" s="618"/>
      <c r="AC161" s="7"/>
      <c r="AD161" s="7"/>
      <c r="AE161" s="7"/>
      <c r="AF161" s="7"/>
      <c r="AG161" s="7"/>
      <c r="AH161" s="7"/>
    </row>
    <row r="162" spans="1:34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5"/>
      <c r="I162" s="215"/>
      <c r="J162" s="215"/>
      <c r="K162" s="215"/>
      <c r="L162" s="620"/>
      <c r="M162" s="620"/>
      <c r="N162" s="632"/>
      <c r="O162" s="213"/>
      <c r="P162" s="213"/>
      <c r="Q162" s="213"/>
      <c r="R162" s="213"/>
      <c r="S162" s="213"/>
      <c r="T162" s="643"/>
      <c r="U162" s="616">
        <f t="shared" si="0"/>
        <v>0</v>
      </c>
      <c r="V162" s="633"/>
      <c r="W162" s="636"/>
      <c r="X162" s="636"/>
      <c r="Y162" s="7"/>
      <c r="Z162" s="699"/>
      <c r="AA162" s="7"/>
      <c r="AB162" s="618">
        <f t="shared" ref="AB162:AB173" si="17">Z162-U162</f>
        <v>0</v>
      </c>
      <c r="AC162" s="7"/>
      <c r="AD162" s="7"/>
      <c r="AE162" s="7"/>
      <c r="AF162" s="7"/>
      <c r="AG162" s="7"/>
      <c r="AH162" s="7"/>
    </row>
    <row r="163" spans="1:34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5"/>
      <c r="I163" s="215"/>
      <c r="J163" s="215"/>
      <c r="K163" s="215"/>
      <c r="L163" s="620"/>
      <c r="M163" s="620"/>
      <c r="N163" s="632"/>
      <c r="O163" s="213"/>
      <c r="P163" s="213"/>
      <c r="Q163" s="213"/>
      <c r="R163" s="213"/>
      <c r="S163" s="213"/>
      <c r="T163" s="643"/>
      <c r="U163" s="616">
        <f t="shared" si="0"/>
        <v>0</v>
      </c>
      <c r="V163" s="633"/>
      <c r="W163" s="636"/>
      <c r="X163" s="636"/>
      <c r="Y163" s="7"/>
      <c r="Z163" s="699"/>
      <c r="AA163" s="7"/>
      <c r="AB163" s="618">
        <f t="shared" si="17"/>
        <v>0</v>
      </c>
      <c r="AC163" s="7"/>
      <c r="AD163" s="7"/>
      <c r="AE163" s="7"/>
      <c r="AF163" s="7"/>
      <c r="AG163" s="7"/>
      <c r="AH163" s="7"/>
    </row>
    <row r="164" spans="1:34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5"/>
      <c r="I164" s="215"/>
      <c r="J164" s="215"/>
      <c r="K164" s="215"/>
      <c r="L164" s="620"/>
      <c r="M164" s="620"/>
      <c r="N164" s="632"/>
      <c r="O164" s="213"/>
      <c r="P164" s="213"/>
      <c r="Q164" s="213"/>
      <c r="R164" s="213"/>
      <c r="S164" s="213"/>
      <c r="T164" s="643"/>
      <c r="U164" s="616">
        <f t="shared" si="0"/>
        <v>0</v>
      </c>
      <c r="V164" s="633"/>
      <c r="W164" s="636"/>
      <c r="X164" s="636"/>
      <c r="Y164" s="7"/>
      <c r="Z164" s="699"/>
      <c r="AA164" s="7"/>
      <c r="AB164" s="618">
        <f t="shared" si="17"/>
        <v>0</v>
      </c>
      <c r="AC164" s="7"/>
      <c r="AD164" s="7"/>
      <c r="AE164" s="7"/>
      <c r="AF164" s="7"/>
      <c r="AG164" s="7"/>
      <c r="AH164" s="7"/>
    </row>
    <row r="165" spans="1:34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5"/>
      <c r="I165" s="215"/>
      <c r="J165" s="215"/>
      <c r="K165" s="215"/>
      <c r="L165" s="620"/>
      <c r="M165" s="620"/>
      <c r="N165" s="632"/>
      <c r="O165" s="213"/>
      <c r="P165" s="213"/>
      <c r="Q165" s="213"/>
      <c r="R165" s="213"/>
      <c r="S165" s="213"/>
      <c r="T165" s="643"/>
      <c r="U165" s="616">
        <f t="shared" si="0"/>
        <v>0</v>
      </c>
      <c r="V165" s="633"/>
      <c r="W165" s="636"/>
      <c r="X165" s="636"/>
      <c r="Y165" s="7"/>
      <c r="Z165" s="699"/>
      <c r="AA165" s="7"/>
      <c r="AB165" s="618">
        <f t="shared" si="17"/>
        <v>0</v>
      </c>
      <c r="AC165" s="7"/>
      <c r="AD165" s="7"/>
      <c r="AE165" s="7"/>
      <c r="AF165" s="7"/>
      <c r="AG165" s="7"/>
      <c r="AH165" s="7"/>
    </row>
    <row r="166" spans="1:34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5"/>
      <c r="I166" s="215"/>
      <c r="J166" s="215"/>
      <c r="K166" s="215"/>
      <c r="L166" s="620"/>
      <c r="M166" s="620"/>
      <c r="N166" s="632"/>
      <c r="O166" s="213"/>
      <c r="P166" s="213"/>
      <c r="Q166" s="213"/>
      <c r="R166" s="213"/>
      <c r="S166" s="213"/>
      <c r="T166" s="643"/>
      <c r="U166" s="616">
        <f t="shared" si="0"/>
        <v>0</v>
      </c>
      <c r="V166" s="633"/>
      <c r="W166" s="636"/>
      <c r="X166" s="636"/>
      <c r="Y166" s="7"/>
      <c r="Z166" s="699"/>
      <c r="AA166" s="7"/>
      <c r="AB166" s="618">
        <f t="shared" si="17"/>
        <v>0</v>
      </c>
      <c r="AC166" s="7"/>
      <c r="AD166" s="7"/>
      <c r="AE166" s="7"/>
      <c r="AF166" s="7"/>
      <c r="AG166" s="7"/>
      <c r="AH166" s="7"/>
    </row>
    <row r="167" spans="1:34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5"/>
      <c r="I167" s="215"/>
      <c r="J167" s="215"/>
      <c r="K167" s="215"/>
      <c r="L167" s="620"/>
      <c r="M167" s="620"/>
      <c r="N167" s="632"/>
      <c r="O167" s="213"/>
      <c r="P167" s="213"/>
      <c r="Q167" s="213"/>
      <c r="R167" s="213"/>
      <c r="S167" s="213"/>
      <c r="T167" s="643"/>
      <c r="U167" s="616">
        <f t="shared" si="0"/>
        <v>0</v>
      </c>
      <c r="V167" s="633"/>
      <c r="W167" s="636"/>
      <c r="X167" s="636"/>
      <c r="Y167" s="7"/>
      <c r="Z167" s="699"/>
      <c r="AA167" s="7"/>
      <c r="AB167" s="618">
        <f t="shared" si="17"/>
        <v>0</v>
      </c>
      <c r="AC167" s="7"/>
      <c r="AD167" s="7"/>
      <c r="AE167" s="7"/>
      <c r="AF167" s="7"/>
      <c r="AG167" s="7"/>
      <c r="AH167" s="7"/>
    </row>
    <row r="168" spans="1:34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5"/>
      <c r="I168" s="215"/>
      <c r="J168" s="215"/>
      <c r="K168" s="215"/>
      <c r="L168" s="620"/>
      <c r="M168" s="620"/>
      <c r="N168" s="632"/>
      <c r="O168" s="213"/>
      <c r="P168" s="213"/>
      <c r="Q168" s="213"/>
      <c r="R168" s="213"/>
      <c r="S168" s="213"/>
      <c r="T168" s="643"/>
      <c r="U168" s="616">
        <f t="shared" si="0"/>
        <v>0</v>
      </c>
      <c r="V168" s="633"/>
      <c r="W168" s="636"/>
      <c r="X168" s="636"/>
      <c r="Y168" s="7"/>
      <c r="Z168" s="699"/>
      <c r="AA168" s="7"/>
      <c r="AB168" s="618">
        <f t="shared" si="17"/>
        <v>0</v>
      </c>
      <c r="AC168" s="7"/>
      <c r="AD168" s="7"/>
      <c r="AE168" s="7"/>
      <c r="AF168" s="7"/>
      <c r="AG168" s="7"/>
      <c r="AH168" s="7"/>
    </row>
    <row r="169" spans="1:34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5"/>
      <c r="I169" s="215"/>
      <c r="J169" s="215"/>
      <c r="K169" s="215"/>
      <c r="L169" s="620"/>
      <c r="M169" s="620"/>
      <c r="N169" s="632"/>
      <c r="O169" s="213"/>
      <c r="P169" s="213"/>
      <c r="Q169" s="213"/>
      <c r="R169" s="213"/>
      <c r="S169" s="213"/>
      <c r="T169" s="643"/>
      <c r="U169" s="616">
        <f t="shared" si="0"/>
        <v>0</v>
      </c>
      <c r="V169" s="633"/>
      <c r="W169" s="636"/>
      <c r="X169" s="636"/>
      <c r="Y169" s="7"/>
      <c r="Z169" s="699"/>
      <c r="AA169" s="7"/>
      <c r="AB169" s="618">
        <f t="shared" si="17"/>
        <v>0</v>
      </c>
      <c r="AC169" s="7"/>
      <c r="AD169" s="7"/>
      <c r="AE169" s="7"/>
      <c r="AF169" s="7"/>
      <c r="AG169" s="7"/>
      <c r="AH169" s="7"/>
    </row>
    <row r="170" spans="1:34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5"/>
      <c r="I170" s="215"/>
      <c r="J170" s="215"/>
      <c r="K170" s="215"/>
      <c r="L170" s="620"/>
      <c r="M170" s="620"/>
      <c r="N170" s="632"/>
      <c r="O170" s="213"/>
      <c r="P170" s="213"/>
      <c r="Q170" s="213"/>
      <c r="R170" s="213"/>
      <c r="S170" s="213"/>
      <c r="T170" s="643"/>
      <c r="U170" s="616">
        <f t="shared" si="0"/>
        <v>0</v>
      </c>
      <c r="V170" s="633"/>
      <c r="W170" s="636"/>
      <c r="X170" s="636"/>
      <c r="Y170" s="7"/>
      <c r="Z170" s="699"/>
      <c r="AA170" s="7"/>
      <c r="AB170" s="618">
        <f t="shared" si="17"/>
        <v>0</v>
      </c>
      <c r="AC170" s="7"/>
      <c r="AD170" s="7"/>
      <c r="AE170" s="7"/>
      <c r="AF170" s="7"/>
      <c r="AG170" s="7"/>
      <c r="AH170" s="7"/>
    </row>
    <row r="171" spans="1:34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5"/>
      <c r="I171" s="215"/>
      <c r="J171" s="215"/>
      <c r="K171" s="215"/>
      <c r="L171" s="638"/>
      <c r="M171" s="638"/>
      <c r="N171" s="632"/>
      <c r="O171" s="213"/>
      <c r="P171" s="213"/>
      <c r="Q171" s="213"/>
      <c r="R171" s="213"/>
      <c r="S171" s="213"/>
      <c r="T171" s="643"/>
      <c r="U171" s="616">
        <f t="shared" si="0"/>
        <v>0</v>
      </c>
      <c r="V171" s="633"/>
      <c r="W171" s="636"/>
      <c r="X171" s="636"/>
      <c r="Y171" s="7"/>
      <c r="Z171" s="699"/>
      <c r="AA171" s="7"/>
      <c r="AB171" s="618">
        <f t="shared" si="17"/>
        <v>0</v>
      </c>
      <c r="AC171" s="7"/>
      <c r="AD171" s="7"/>
      <c r="AE171" s="7"/>
      <c r="AF171" s="7"/>
      <c r="AG171" s="7"/>
      <c r="AH171" s="7"/>
    </row>
    <row r="172" spans="1:34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5"/>
      <c r="I172" s="215"/>
      <c r="J172" s="215"/>
      <c r="K172" s="215"/>
      <c r="L172" s="638"/>
      <c r="M172" s="638"/>
      <c r="N172" s="632"/>
      <c r="O172" s="213"/>
      <c r="P172" s="213"/>
      <c r="Q172" s="213"/>
      <c r="R172" s="213"/>
      <c r="S172" s="213"/>
      <c r="T172" s="643"/>
      <c r="U172" s="616">
        <f t="shared" si="0"/>
        <v>0</v>
      </c>
      <c r="V172" s="633"/>
      <c r="W172" s="640"/>
      <c r="X172" s="640"/>
      <c r="Y172" s="7"/>
      <c r="Z172" s="699"/>
      <c r="AA172" s="7"/>
      <c r="AB172" s="618">
        <f t="shared" si="17"/>
        <v>0</v>
      </c>
      <c r="AC172" s="7"/>
      <c r="AD172" s="7"/>
      <c r="AE172" s="7"/>
      <c r="AF172" s="7"/>
      <c r="AG172" s="7"/>
      <c r="AH172" s="7"/>
    </row>
    <row r="173" spans="1:34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5"/>
      <c r="I173" s="215"/>
      <c r="J173" s="215">
        <v>2</v>
      </c>
      <c r="K173" s="215"/>
      <c r="L173" s="620">
        <v>4</v>
      </c>
      <c r="M173" s="620">
        <v>1987</v>
      </c>
      <c r="N173" s="632"/>
      <c r="O173" s="213"/>
      <c r="P173" s="213"/>
      <c r="Q173" s="213"/>
      <c r="R173" s="213"/>
      <c r="S173" s="213"/>
      <c r="T173" s="643"/>
      <c r="U173" s="616">
        <f t="shared" si="0"/>
        <v>1993</v>
      </c>
      <c r="V173" s="633"/>
      <c r="W173" s="636"/>
      <c r="X173" s="636"/>
      <c r="Y173" s="7"/>
      <c r="Z173" s="699">
        <v>2388</v>
      </c>
      <c r="AA173" s="7"/>
      <c r="AB173" s="618">
        <f t="shared" si="17"/>
        <v>395</v>
      </c>
      <c r="AC173" s="7"/>
      <c r="AD173" s="7"/>
      <c r="AE173" s="7"/>
      <c r="AF173" s="7"/>
      <c r="AG173" s="7"/>
      <c r="AH173" s="7"/>
    </row>
    <row r="174" spans="1:34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5"/>
      <c r="I174" s="215"/>
      <c r="J174" s="215"/>
      <c r="K174" s="215"/>
      <c r="L174" s="647"/>
      <c r="M174" s="647">
        <f>546+1031</f>
        <v>1577</v>
      </c>
      <c r="N174" s="632"/>
      <c r="O174" s="213"/>
      <c r="P174" s="213"/>
      <c r="Q174" s="213"/>
      <c r="R174" s="213"/>
      <c r="S174" s="213"/>
      <c r="T174" s="643"/>
      <c r="U174" s="616">
        <f t="shared" si="0"/>
        <v>1577</v>
      </c>
      <c r="V174" s="633"/>
      <c r="W174" s="648"/>
      <c r="X174" s="648"/>
      <c r="Y174" s="7"/>
      <c r="Z174" s="699">
        <f>416+222+779+375+20</f>
        <v>1812</v>
      </c>
      <c r="AA174" s="7"/>
      <c r="AB174" s="618"/>
      <c r="AC174" s="7"/>
      <c r="AD174" s="7"/>
      <c r="AE174" s="7"/>
      <c r="AF174" s="7"/>
      <c r="AG174" s="7"/>
      <c r="AH174" s="7"/>
    </row>
    <row r="175" spans="1:34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5"/>
      <c r="I175" s="215"/>
      <c r="J175" s="215"/>
      <c r="K175" s="215"/>
      <c r="L175" s="647"/>
      <c r="M175" s="647">
        <v>410</v>
      </c>
      <c r="N175" s="632"/>
      <c r="O175" s="213"/>
      <c r="P175" s="213"/>
      <c r="Q175" s="213"/>
      <c r="R175" s="213"/>
      <c r="S175" s="213"/>
      <c r="T175" s="643"/>
      <c r="U175" s="616">
        <f t="shared" si="0"/>
        <v>410</v>
      </c>
      <c r="V175" s="633"/>
      <c r="W175" s="648"/>
      <c r="X175" s="648"/>
      <c r="Y175" s="7"/>
      <c r="Z175" s="699">
        <v>313</v>
      </c>
      <c r="AA175" s="7"/>
      <c r="AB175" s="618"/>
      <c r="AC175" s="7"/>
      <c r="AD175" s="7"/>
      <c r="AE175" s="7"/>
      <c r="AF175" s="7"/>
      <c r="AG175" s="7"/>
      <c r="AH175" s="7"/>
    </row>
    <row r="176" spans="1:34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5"/>
      <c r="I176" s="215"/>
      <c r="J176" s="215"/>
      <c r="K176" s="215"/>
      <c r="L176" s="647"/>
      <c r="M176" s="647"/>
      <c r="N176" s="632"/>
      <c r="O176" s="213"/>
      <c r="P176" s="213"/>
      <c r="Q176" s="213"/>
      <c r="R176" s="213"/>
      <c r="S176" s="213"/>
      <c r="T176" s="643"/>
      <c r="U176" s="616">
        <f t="shared" si="0"/>
        <v>0</v>
      </c>
      <c r="V176" s="633"/>
      <c r="W176" s="648"/>
      <c r="X176" s="648"/>
      <c r="Y176" s="7"/>
      <c r="Z176" s="699">
        <v>209</v>
      </c>
      <c r="AA176" s="7"/>
      <c r="AB176" s="618"/>
      <c r="AC176" s="7"/>
      <c r="AD176" s="7"/>
      <c r="AE176" s="7"/>
      <c r="AF176" s="7"/>
      <c r="AG176" s="7"/>
      <c r="AH176" s="7"/>
    </row>
    <row r="177" spans="1:34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5"/>
      <c r="I177" s="215"/>
      <c r="J177" s="215"/>
      <c r="K177" s="215"/>
      <c r="L177" s="647"/>
      <c r="M177" s="647"/>
      <c r="N177" s="632"/>
      <c r="O177" s="213"/>
      <c r="P177" s="213"/>
      <c r="Q177" s="213"/>
      <c r="R177" s="213"/>
      <c r="S177" s="213"/>
      <c r="T177" s="643"/>
      <c r="U177" s="616">
        <f t="shared" si="0"/>
        <v>0</v>
      </c>
      <c r="V177" s="633"/>
      <c r="W177" s="648"/>
      <c r="X177" s="648"/>
      <c r="Y177" s="7"/>
      <c r="Z177" s="699"/>
      <c r="AA177" s="7"/>
      <c r="AB177" s="618">
        <f t="shared" ref="AB177:AB178" si="18">Z177-U177</f>
        <v>0</v>
      </c>
      <c r="AC177" s="7"/>
      <c r="AD177" s="7"/>
      <c r="AE177" s="7"/>
      <c r="AF177" s="7"/>
      <c r="AG177" s="7"/>
      <c r="AH177" s="7"/>
    </row>
    <row r="178" spans="1:34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5"/>
      <c r="I178" s="215"/>
      <c r="J178" s="215"/>
      <c r="K178" s="215"/>
      <c r="L178" s="620"/>
      <c r="M178" s="620"/>
      <c r="N178" s="632">
        <v>33</v>
      </c>
      <c r="O178" s="213"/>
      <c r="P178" s="213"/>
      <c r="Q178" s="213"/>
      <c r="R178" s="213"/>
      <c r="S178" s="213"/>
      <c r="T178" s="657"/>
      <c r="U178" s="616">
        <f t="shared" si="0"/>
        <v>33</v>
      </c>
      <c r="V178" s="633"/>
      <c r="W178" s="636"/>
      <c r="X178" s="636"/>
      <c r="Y178" s="7"/>
      <c r="Z178" s="699">
        <v>1465</v>
      </c>
      <c r="AA178" s="7"/>
      <c r="AB178" s="618">
        <f t="shared" si="18"/>
        <v>1432</v>
      </c>
      <c r="AC178" s="7"/>
      <c r="AD178" s="7"/>
      <c r="AE178" s="7"/>
      <c r="AF178" s="7"/>
      <c r="AG178" s="7"/>
      <c r="AH178" s="7"/>
    </row>
    <row r="179" spans="1:34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5"/>
      <c r="I179" s="215"/>
      <c r="J179" s="215"/>
      <c r="K179" s="215"/>
      <c r="L179" s="647"/>
      <c r="M179" s="647"/>
      <c r="N179" s="632"/>
      <c r="O179" s="213"/>
      <c r="P179" s="213"/>
      <c r="Q179" s="213"/>
      <c r="R179" s="213"/>
      <c r="S179" s="213"/>
      <c r="T179" s="643"/>
      <c r="U179" s="616">
        <f t="shared" si="0"/>
        <v>0</v>
      </c>
      <c r="V179" s="633"/>
      <c r="W179" s="648"/>
      <c r="X179" s="648"/>
      <c r="Y179" s="7"/>
      <c r="Z179" s="699">
        <v>445</v>
      </c>
      <c r="AA179" s="7"/>
      <c r="AB179" s="618"/>
      <c r="AC179" s="7"/>
      <c r="AD179" s="7"/>
      <c r="AE179" s="7"/>
      <c r="AF179" s="7"/>
      <c r="AG179" s="7"/>
      <c r="AH179" s="7"/>
    </row>
    <row r="180" spans="1:34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5"/>
      <c r="I180" s="215"/>
      <c r="J180" s="215"/>
      <c r="K180" s="215"/>
      <c r="L180" s="647"/>
      <c r="M180" s="647"/>
      <c r="N180" s="632"/>
      <c r="O180" s="213"/>
      <c r="P180" s="213"/>
      <c r="Q180" s="213"/>
      <c r="R180" s="213"/>
      <c r="S180" s="213"/>
      <c r="T180" s="643"/>
      <c r="U180" s="616">
        <f t="shared" si="0"/>
        <v>0</v>
      </c>
      <c r="V180" s="633"/>
      <c r="W180" s="648"/>
      <c r="X180" s="648"/>
      <c r="Y180" s="7"/>
      <c r="Z180" s="699"/>
      <c r="AA180" s="7"/>
      <c r="AB180" s="618">
        <f t="shared" ref="AB180:AB200" si="19">Z180-U180</f>
        <v>0</v>
      </c>
      <c r="AC180" s="7"/>
      <c r="AD180" s="7"/>
      <c r="AE180" s="7"/>
      <c r="AF180" s="7"/>
      <c r="AG180" s="7"/>
      <c r="AH180" s="7"/>
    </row>
    <row r="181" spans="1:34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5"/>
      <c r="I181" s="215"/>
      <c r="J181" s="215"/>
      <c r="K181" s="215"/>
      <c r="L181" s="647"/>
      <c r="M181" s="647"/>
      <c r="N181" s="632"/>
      <c r="O181" s="213"/>
      <c r="P181" s="213"/>
      <c r="Q181" s="213"/>
      <c r="R181" s="213"/>
      <c r="S181" s="213"/>
      <c r="T181" s="643"/>
      <c r="U181" s="616">
        <f t="shared" si="0"/>
        <v>0</v>
      </c>
      <c r="V181" s="633"/>
      <c r="W181" s="636"/>
      <c r="X181" s="636"/>
      <c r="Y181" s="7"/>
      <c r="Z181" s="699"/>
      <c r="AA181" s="7"/>
      <c r="AB181" s="618">
        <f t="shared" si="19"/>
        <v>0</v>
      </c>
      <c r="AC181" s="7"/>
      <c r="AD181" s="7"/>
      <c r="AE181" s="7"/>
      <c r="AF181" s="7"/>
      <c r="AG181" s="7"/>
      <c r="AH181" s="7"/>
    </row>
    <row r="182" spans="1:34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5"/>
      <c r="I182" s="215"/>
      <c r="J182" s="215"/>
      <c r="K182" s="215"/>
      <c r="L182" s="620"/>
      <c r="M182" s="620"/>
      <c r="N182" s="632"/>
      <c r="O182" s="213"/>
      <c r="P182" s="213"/>
      <c r="Q182" s="213"/>
      <c r="R182" s="213"/>
      <c r="S182" s="213"/>
      <c r="T182" s="643"/>
      <c r="U182" s="616">
        <f t="shared" si="0"/>
        <v>0</v>
      </c>
      <c r="V182" s="633"/>
      <c r="W182" s="636"/>
      <c r="X182" s="636"/>
      <c r="Y182" s="7"/>
      <c r="Z182" s="699"/>
      <c r="AA182" s="7"/>
      <c r="AB182" s="618">
        <f t="shared" si="19"/>
        <v>0</v>
      </c>
      <c r="AC182" s="7"/>
      <c r="AD182" s="7"/>
      <c r="AE182" s="7"/>
      <c r="AF182" s="7"/>
      <c r="AG182" s="7"/>
      <c r="AH182" s="7"/>
    </row>
    <row r="183" spans="1:34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5"/>
      <c r="I183" s="215"/>
      <c r="J183" s="215"/>
      <c r="K183" s="215"/>
      <c r="L183" s="638"/>
      <c r="M183" s="638"/>
      <c r="N183" s="632"/>
      <c r="O183" s="213"/>
      <c r="P183" s="213"/>
      <c r="Q183" s="213"/>
      <c r="R183" s="213"/>
      <c r="S183" s="213"/>
      <c r="T183" s="643"/>
      <c r="U183" s="616">
        <f t="shared" si="0"/>
        <v>0</v>
      </c>
      <c r="V183" s="633"/>
      <c r="W183" s="636"/>
      <c r="X183" s="636"/>
      <c r="Y183" s="7"/>
      <c r="Z183" s="699"/>
      <c r="AA183" s="7"/>
      <c r="AB183" s="618">
        <f t="shared" si="19"/>
        <v>0</v>
      </c>
      <c r="AC183" s="7"/>
      <c r="AD183" s="7"/>
      <c r="AE183" s="7"/>
      <c r="AF183" s="7"/>
      <c r="AG183" s="7"/>
      <c r="AH183" s="7"/>
    </row>
    <row r="184" spans="1:34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5"/>
      <c r="I184" s="215"/>
      <c r="J184" s="215"/>
      <c r="K184" s="215"/>
      <c r="L184" s="638"/>
      <c r="M184" s="638"/>
      <c r="N184" s="632"/>
      <c r="O184" s="213"/>
      <c r="P184" s="213"/>
      <c r="Q184" s="213"/>
      <c r="R184" s="213"/>
      <c r="S184" s="213"/>
      <c r="T184" s="643"/>
      <c r="U184" s="616">
        <f t="shared" si="0"/>
        <v>0</v>
      </c>
      <c r="V184" s="633"/>
      <c r="W184" s="636"/>
      <c r="X184" s="636"/>
      <c r="Y184" s="7"/>
      <c r="Z184" s="699"/>
      <c r="AA184" s="7"/>
      <c r="AB184" s="618">
        <f t="shared" si="19"/>
        <v>0</v>
      </c>
      <c r="AC184" s="7"/>
      <c r="AD184" s="7"/>
      <c r="AE184" s="7"/>
      <c r="AF184" s="7"/>
      <c r="AG184" s="7"/>
      <c r="AH184" s="7"/>
    </row>
    <row r="185" spans="1:34" ht="18.75" customHeight="1">
      <c r="A185" s="486">
        <v>7.7</v>
      </c>
      <c r="B185" s="487" t="s">
        <v>412</v>
      </c>
      <c r="C185" s="635" t="s">
        <v>413</v>
      </c>
      <c r="D185" s="412" t="s">
        <v>1905</v>
      </c>
      <c r="E185" s="213"/>
      <c r="F185" s="213"/>
      <c r="G185" s="213"/>
      <c r="H185" s="215"/>
      <c r="I185" s="215"/>
      <c r="J185" s="215"/>
      <c r="K185" s="215"/>
      <c r="L185" s="620"/>
      <c r="M185" s="620"/>
      <c r="N185" s="632"/>
      <c r="O185" s="213"/>
      <c r="P185" s="213"/>
      <c r="Q185" s="213"/>
      <c r="R185" s="213"/>
      <c r="S185" s="213"/>
      <c r="T185" s="643"/>
      <c r="U185" s="616">
        <f t="shared" si="0"/>
        <v>0</v>
      </c>
      <c r="V185" s="633"/>
      <c r="W185" s="636"/>
      <c r="X185" s="636"/>
      <c r="Y185" s="7"/>
      <c r="Z185" s="699"/>
      <c r="AA185" s="7"/>
      <c r="AB185" s="618">
        <f t="shared" si="19"/>
        <v>0</v>
      </c>
      <c r="AC185" s="7"/>
      <c r="AD185" s="7"/>
      <c r="AE185" s="7"/>
      <c r="AF185" s="7"/>
      <c r="AG185" s="7"/>
      <c r="AH185" s="7"/>
    </row>
    <row r="186" spans="1:34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5"/>
      <c r="I186" s="215"/>
      <c r="J186" s="215"/>
      <c r="K186" s="215"/>
      <c r="L186" s="638"/>
      <c r="M186" s="638"/>
      <c r="N186" s="632"/>
      <c r="O186" s="213"/>
      <c r="P186" s="213"/>
      <c r="Q186" s="213"/>
      <c r="R186" s="213"/>
      <c r="S186" s="213"/>
      <c r="T186" s="643"/>
      <c r="U186" s="616">
        <f t="shared" si="0"/>
        <v>0</v>
      </c>
      <c r="V186" s="633"/>
      <c r="W186" s="636"/>
      <c r="X186" s="636"/>
      <c r="Y186" s="7"/>
      <c r="Z186" s="699"/>
      <c r="AA186" s="7"/>
      <c r="AB186" s="618">
        <f t="shared" si="19"/>
        <v>0</v>
      </c>
      <c r="AC186" s="7"/>
      <c r="AD186" s="7"/>
      <c r="AE186" s="7"/>
      <c r="AF186" s="7"/>
      <c r="AG186" s="7"/>
      <c r="AH186" s="7"/>
    </row>
    <row r="187" spans="1:34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5"/>
      <c r="I187" s="215"/>
      <c r="J187" s="215"/>
      <c r="K187" s="215"/>
      <c r="L187" s="638"/>
      <c r="M187" s="638"/>
      <c r="N187" s="632"/>
      <c r="O187" s="213"/>
      <c r="P187" s="213"/>
      <c r="Q187" s="213"/>
      <c r="R187" s="213"/>
      <c r="S187" s="213"/>
      <c r="T187" s="643"/>
      <c r="U187" s="616">
        <f t="shared" si="0"/>
        <v>0</v>
      </c>
      <c r="V187" s="633"/>
      <c r="W187" s="640"/>
      <c r="X187" s="640"/>
      <c r="Y187" s="7"/>
      <c r="Z187" s="699"/>
      <c r="AA187" s="7"/>
      <c r="AB187" s="618">
        <f t="shared" si="19"/>
        <v>0</v>
      </c>
      <c r="AC187" s="7"/>
      <c r="AD187" s="7"/>
      <c r="AE187" s="7"/>
      <c r="AF187" s="7"/>
      <c r="AG187" s="7"/>
      <c r="AH187" s="7"/>
    </row>
    <row r="188" spans="1:34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5"/>
      <c r="I188" s="215"/>
      <c r="J188" s="215"/>
      <c r="K188" s="215"/>
      <c r="L188" s="647"/>
      <c r="M188" s="647"/>
      <c r="N188" s="632"/>
      <c r="O188" s="213"/>
      <c r="P188" s="213"/>
      <c r="Q188" s="213"/>
      <c r="R188" s="213"/>
      <c r="S188" s="213"/>
      <c r="T188" s="643"/>
      <c r="U188" s="616">
        <f t="shared" si="0"/>
        <v>0</v>
      </c>
      <c r="V188" s="633"/>
      <c r="W188" s="636"/>
      <c r="X188" s="636"/>
      <c r="Y188" s="7"/>
      <c r="Z188" s="699"/>
      <c r="AA188" s="7"/>
      <c r="AB188" s="618">
        <f t="shared" si="19"/>
        <v>0</v>
      </c>
      <c r="AC188" s="7"/>
      <c r="AD188" s="7"/>
      <c r="AE188" s="7"/>
      <c r="AF188" s="7"/>
      <c r="AG188" s="7"/>
      <c r="AH188" s="7"/>
    </row>
    <row r="189" spans="1:34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5"/>
      <c r="I189" s="215"/>
      <c r="J189" s="215"/>
      <c r="K189" s="215"/>
      <c r="L189" s="647"/>
      <c r="M189" s="647"/>
      <c r="N189" s="632"/>
      <c r="O189" s="213"/>
      <c r="P189" s="213"/>
      <c r="Q189" s="213"/>
      <c r="R189" s="213"/>
      <c r="S189" s="213"/>
      <c r="T189" s="643"/>
      <c r="U189" s="616">
        <f t="shared" si="0"/>
        <v>0</v>
      </c>
      <c r="V189" s="633"/>
      <c r="W189" s="648"/>
      <c r="X189" s="648"/>
      <c r="Y189" s="7"/>
      <c r="Z189" s="699"/>
      <c r="AA189" s="7"/>
      <c r="AB189" s="618">
        <f t="shared" si="19"/>
        <v>0</v>
      </c>
      <c r="AC189" s="7"/>
      <c r="AD189" s="7"/>
      <c r="AE189" s="7"/>
      <c r="AF189" s="7"/>
      <c r="AG189" s="7"/>
      <c r="AH189" s="7"/>
    </row>
    <row r="190" spans="1:34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5"/>
      <c r="I190" s="215"/>
      <c r="J190" s="215"/>
      <c r="K190" s="215"/>
      <c r="L190" s="647"/>
      <c r="M190" s="647"/>
      <c r="N190" s="632"/>
      <c r="O190" s="213"/>
      <c r="P190" s="213"/>
      <c r="Q190" s="213"/>
      <c r="R190" s="213"/>
      <c r="S190" s="213"/>
      <c r="T190" s="643"/>
      <c r="U190" s="616">
        <f t="shared" si="0"/>
        <v>0</v>
      </c>
      <c r="V190" s="633"/>
      <c r="W190" s="648"/>
      <c r="X190" s="648"/>
      <c r="Y190" s="7"/>
      <c r="Z190" s="699"/>
      <c r="AA190" s="7"/>
      <c r="AB190" s="618">
        <f t="shared" si="19"/>
        <v>0</v>
      </c>
      <c r="AC190" s="7"/>
      <c r="AD190" s="7"/>
      <c r="AE190" s="7"/>
      <c r="AF190" s="7"/>
      <c r="AG190" s="7"/>
      <c r="AH190" s="7"/>
    </row>
    <row r="191" spans="1:34" ht="20.25" customHeight="1">
      <c r="A191" s="503"/>
      <c r="B191" s="483" t="s">
        <v>428</v>
      </c>
      <c r="C191" s="658" t="s">
        <v>429</v>
      </c>
      <c r="D191" s="504" t="s">
        <v>1906</v>
      </c>
      <c r="E191" s="213"/>
      <c r="F191" s="213"/>
      <c r="G191" s="213"/>
      <c r="H191" s="215"/>
      <c r="I191" s="215"/>
      <c r="J191" s="215"/>
      <c r="K191" s="215"/>
      <c r="L191" s="647"/>
      <c r="M191" s="647"/>
      <c r="N191" s="632"/>
      <c r="O191" s="213"/>
      <c r="P191" s="213"/>
      <c r="Q191" s="213"/>
      <c r="R191" s="213"/>
      <c r="S191" s="213"/>
      <c r="T191" s="643"/>
      <c r="U191" s="616">
        <f t="shared" si="0"/>
        <v>0</v>
      </c>
      <c r="V191" s="633"/>
      <c r="W191" s="648"/>
      <c r="X191" s="648"/>
      <c r="Y191" s="7"/>
      <c r="Z191" s="699"/>
      <c r="AA191" s="7"/>
      <c r="AB191" s="618">
        <f t="shared" si="19"/>
        <v>0</v>
      </c>
      <c r="AC191" s="7"/>
      <c r="AD191" s="7"/>
      <c r="AE191" s="7"/>
      <c r="AF191" s="7"/>
      <c r="AG191" s="7"/>
      <c r="AH191" s="7"/>
    </row>
    <row r="192" spans="1:34" ht="20.25" customHeight="1">
      <c r="A192" s="503"/>
      <c r="B192" s="483" t="s">
        <v>426</v>
      </c>
      <c r="C192" s="658" t="s">
        <v>431</v>
      </c>
      <c r="D192" s="504" t="s">
        <v>1907</v>
      </c>
      <c r="E192" s="213"/>
      <c r="F192" s="213"/>
      <c r="G192" s="213"/>
      <c r="H192" s="215"/>
      <c r="I192" s="215"/>
      <c r="J192" s="215"/>
      <c r="K192" s="215"/>
      <c r="L192" s="647"/>
      <c r="M192" s="647"/>
      <c r="N192" s="632"/>
      <c r="O192" s="213"/>
      <c r="P192" s="213"/>
      <c r="Q192" s="213"/>
      <c r="R192" s="213"/>
      <c r="S192" s="213"/>
      <c r="T192" s="643"/>
      <c r="U192" s="616">
        <f t="shared" si="0"/>
        <v>0</v>
      </c>
      <c r="V192" s="633"/>
      <c r="W192" s="636"/>
      <c r="X192" s="636"/>
      <c r="Y192" s="7"/>
      <c r="Z192" s="699"/>
      <c r="AA192" s="7"/>
      <c r="AB192" s="618">
        <f t="shared" si="19"/>
        <v>0</v>
      </c>
      <c r="AC192" s="7"/>
      <c r="AD192" s="7"/>
      <c r="AE192" s="7"/>
      <c r="AF192" s="7"/>
      <c r="AG192" s="7"/>
      <c r="AH192" s="7"/>
    </row>
    <row r="193" spans="1:34" ht="20.25" customHeight="1">
      <c r="A193" s="503"/>
      <c r="B193" s="483" t="s">
        <v>428</v>
      </c>
      <c r="C193" s="658" t="s">
        <v>433</v>
      </c>
      <c r="D193" s="504" t="s">
        <v>1908</v>
      </c>
      <c r="E193" s="213"/>
      <c r="F193" s="213"/>
      <c r="G193" s="213"/>
      <c r="H193" s="215"/>
      <c r="I193" s="215"/>
      <c r="J193" s="215"/>
      <c r="K193" s="215"/>
      <c r="L193" s="647"/>
      <c r="M193" s="647"/>
      <c r="N193" s="632"/>
      <c r="O193" s="213"/>
      <c r="P193" s="213"/>
      <c r="Q193" s="213"/>
      <c r="R193" s="213"/>
      <c r="S193" s="213"/>
      <c r="T193" s="643"/>
      <c r="U193" s="616">
        <f t="shared" si="0"/>
        <v>0</v>
      </c>
      <c r="V193" s="633"/>
      <c r="W193" s="648"/>
      <c r="X193" s="648"/>
      <c r="Y193" s="7"/>
      <c r="Z193" s="699"/>
      <c r="AA193" s="7"/>
      <c r="AB193" s="618">
        <f t="shared" si="19"/>
        <v>0</v>
      </c>
      <c r="AC193" s="7"/>
      <c r="AD193" s="7"/>
      <c r="AE193" s="7"/>
      <c r="AF193" s="7"/>
      <c r="AG193" s="7"/>
      <c r="AH193" s="7"/>
    </row>
    <row r="194" spans="1:34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5"/>
      <c r="I194" s="215"/>
      <c r="J194" s="215"/>
      <c r="K194" s="215"/>
      <c r="L194" s="620"/>
      <c r="M194" s="620"/>
      <c r="N194" s="632"/>
      <c r="O194" s="213"/>
      <c r="P194" s="213"/>
      <c r="Q194" s="213"/>
      <c r="R194" s="213"/>
      <c r="S194" s="213"/>
      <c r="T194" s="643"/>
      <c r="U194" s="616">
        <f t="shared" si="0"/>
        <v>0</v>
      </c>
      <c r="V194" s="633"/>
      <c r="W194" s="654"/>
      <c r="X194" s="654"/>
      <c r="Y194" s="7"/>
      <c r="Z194" s="699"/>
      <c r="AA194" s="7"/>
      <c r="AB194" s="618">
        <f t="shared" si="19"/>
        <v>0</v>
      </c>
      <c r="AC194" s="7"/>
      <c r="AD194" s="7"/>
      <c r="AE194" s="7"/>
      <c r="AF194" s="7"/>
      <c r="AG194" s="7"/>
      <c r="AH194" s="7"/>
    </row>
    <row r="195" spans="1:34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5"/>
      <c r="I195" s="215"/>
      <c r="J195" s="215"/>
      <c r="K195" s="215"/>
      <c r="L195" s="647"/>
      <c r="M195" s="647"/>
      <c r="N195" s="632"/>
      <c r="O195" s="213"/>
      <c r="P195" s="213"/>
      <c r="Q195" s="213"/>
      <c r="R195" s="213"/>
      <c r="S195" s="213"/>
      <c r="T195" s="643"/>
      <c r="U195" s="616">
        <f t="shared" si="0"/>
        <v>0</v>
      </c>
      <c r="V195" s="633"/>
      <c r="W195" s="648"/>
      <c r="X195" s="648"/>
      <c r="Y195" s="7"/>
      <c r="Z195" s="699"/>
      <c r="AA195" s="7"/>
      <c r="AB195" s="618">
        <f t="shared" si="19"/>
        <v>0</v>
      </c>
      <c r="AC195" s="7"/>
      <c r="AD195" s="7"/>
      <c r="AE195" s="7"/>
      <c r="AF195" s="7"/>
      <c r="AG195" s="7"/>
      <c r="AH195" s="7"/>
    </row>
    <row r="196" spans="1:34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5"/>
      <c r="I196" s="215"/>
      <c r="J196" s="215"/>
      <c r="K196" s="215"/>
      <c r="L196" s="647"/>
      <c r="M196" s="647"/>
      <c r="N196" s="632"/>
      <c r="O196" s="213"/>
      <c r="P196" s="213"/>
      <c r="Q196" s="213"/>
      <c r="R196" s="213"/>
      <c r="S196" s="213"/>
      <c r="T196" s="643"/>
      <c r="U196" s="616">
        <f t="shared" si="0"/>
        <v>0</v>
      </c>
      <c r="V196" s="633"/>
      <c r="W196" s="636"/>
      <c r="X196" s="636"/>
      <c r="Y196" s="7"/>
      <c r="Z196" s="699"/>
      <c r="AA196" s="7"/>
      <c r="AB196" s="618">
        <f t="shared" si="19"/>
        <v>0</v>
      </c>
      <c r="AC196" s="7"/>
      <c r="AD196" s="7"/>
      <c r="AE196" s="7"/>
      <c r="AF196" s="7"/>
      <c r="AG196" s="7"/>
      <c r="AH196" s="7"/>
    </row>
    <row r="197" spans="1:34" ht="20.25" customHeight="1">
      <c r="A197" s="503"/>
      <c r="B197" s="483" t="s">
        <v>440</v>
      </c>
      <c r="C197" s="658" t="s">
        <v>429</v>
      </c>
      <c r="D197" s="504" t="s">
        <v>1909</v>
      </c>
      <c r="E197" s="213"/>
      <c r="F197" s="213"/>
      <c r="G197" s="213"/>
      <c r="H197" s="215"/>
      <c r="I197" s="215"/>
      <c r="J197" s="215"/>
      <c r="K197" s="215"/>
      <c r="L197" s="647"/>
      <c r="M197" s="647"/>
      <c r="N197" s="632"/>
      <c r="O197" s="213"/>
      <c r="P197" s="213"/>
      <c r="Q197" s="213"/>
      <c r="R197" s="213"/>
      <c r="S197" s="213"/>
      <c r="T197" s="643"/>
      <c r="U197" s="616">
        <f t="shared" si="0"/>
        <v>0</v>
      </c>
      <c r="V197" s="633"/>
      <c r="W197" s="648"/>
      <c r="X197" s="648"/>
      <c r="Y197" s="7"/>
      <c r="Z197" s="699"/>
      <c r="AA197" s="7"/>
      <c r="AB197" s="618">
        <f t="shared" si="19"/>
        <v>0</v>
      </c>
      <c r="AC197" s="7"/>
      <c r="AD197" s="7"/>
      <c r="AE197" s="7"/>
      <c r="AF197" s="7"/>
      <c r="AG197" s="7"/>
      <c r="AH197" s="7"/>
    </row>
    <row r="198" spans="1:34" ht="20.25" customHeight="1">
      <c r="A198" s="503"/>
      <c r="B198" s="483" t="s">
        <v>439</v>
      </c>
      <c r="C198" s="658" t="s">
        <v>431</v>
      </c>
      <c r="D198" s="504" t="s">
        <v>1910</v>
      </c>
      <c r="E198" s="213"/>
      <c r="F198" s="213"/>
      <c r="G198" s="213"/>
      <c r="H198" s="215"/>
      <c r="I198" s="215"/>
      <c r="J198" s="215"/>
      <c r="K198" s="215"/>
      <c r="L198" s="647"/>
      <c r="M198" s="647"/>
      <c r="N198" s="632"/>
      <c r="O198" s="213"/>
      <c r="P198" s="213"/>
      <c r="Q198" s="213"/>
      <c r="R198" s="213"/>
      <c r="S198" s="213"/>
      <c r="T198" s="643"/>
      <c r="U198" s="616">
        <f t="shared" si="0"/>
        <v>0</v>
      </c>
      <c r="V198" s="633"/>
      <c r="W198" s="648"/>
      <c r="X198" s="648"/>
      <c r="Y198" s="7"/>
      <c r="Z198" s="699"/>
      <c r="AA198" s="7"/>
      <c r="AB198" s="618">
        <f t="shared" si="19"/>
        <v>0</v>
      </c>
      <c r="AC198" s="7"/>
      <c r="AD198" s="7"/>
      <c r="AE198" s="7"/>
      <c r="AF198" s="7"/>
      <c r="AG198" s="7"/>
      <c r="AH198" s="7"/>
    </row>
    <row r="199" spans="1:34" ht="20.25" customHeight="1">
      <c r="A199" s="503"/>
      <c r="B199" s="483" t="s">
        <v>440</v>
      </c>
      <c r="C199" s="658" t="s">
        <v>433</v>
      </c>
      <c r="D199" s="504" t="s">
        <v>1911</v>
      </c>
      <c r="E199" s="213"/>
      <c r="F199" s="213"/>
      <c r="G199" s="213"/>
      <c r="H199" s="215"/>
      <c r="I199" s="215"/>
      <c r="J199" s="215"/>
      <c r="K199" s="215"/>
      <c r="L199" s="647"/>
      <c r="M199" s="647"/>
      <c r="N199" s="632"/>
      <c r="O199" s="213"/>
      <c r="P199" s="213"/>
      <c r="Q199" s="213"/>
      <c r="R199" s="213"/>
      <c r="S199" s="213"/>
      <c r="T199" s="643"/>
      <c r="U199" s="616">
        <f t="shared" si="0"/>
        <v>0</v>
      </c>
      <c r="V199" s="633"/>
      <c r="W199" s="648"/>
      <c r="X199" s="648"/>
      <c r="Y199" s="7"/>
      <c r="Z199" s="699"/>
      <c r="AA199" s="7"/>
      <c r="AB199" s="618">
        <f t="shared" si="19"/>
        <v>0</v>
      </c>
      <c r="AC199" s="7"/>
      <c r="AD199" s="7"/>
      <c r="AE199" s="7"/>
      <c r="AF199" s="7"/>
      <c r="AG199" s="7"/>
      <c r="AH199" s="7"/>
    </row>
    <row r="200" spans="1:34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5"/>
      <c r="I200" s="215"/>
      <c r="J200" s="215"/>
      <c r="K200" s="215"/>
      <c r="L200" s="620"/>
      <c r="M200" s="620"/>
      <c r="N200" s="632"/>
      <c r="O200" s="213"/>
      <c r="P200" s="213"/>
      <c r="Q200" s="213"/>
      <c r="R200" s="213"/>
      <c r="S200" s="213"/>
      <c r="T200" s="643"/>
      <c r="U200" s="616">
        <f t="shared" si="0"/>
        <v>0</v>
      </c>
      <c r="V200" s="633"/>
      <c r="W200" s="636"/>
      <c r="X200" s="636"/>
      <c r="Y200" s="7"/>
      <c r="Z200" s="699"/>
      <c r="AA200" s="7"/>
      <c r="AB200" s="618">
        <f t="shared" si="19"/>
        <v>0</v>
      </c>
      <c r="AC200" s="7"/>
      <c r="AD200" s="7"/>
      <c r="AE200" s="7"/>
      <c r="AF200" s="7"/>
      <c r="AG200" s="7"/>
      <c r="AH200" s="7"/>
    </row>
    <row r="201" spans="1:34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5"/>
      <c r="I201" s="215"/>
      <c r="J201" s="215"/>
      <c r="K201" s="215"/>
      <c r="L201" s="647"/>
      <c r="M201" s="647"/>
      <c r="N201" s="632"/>
      <c r="O201" s="213"/>
      <c r="P201" s="213"/>
      <c r="Q201" s="213"/>
      <c r="R201" s="213"/>
      <c r="S201" s="213"/>
      <c r="T201" s="643"/>
      <c r="U201" s="616">
        <f t="shared" si="0"/>
        <v>0</v>
      </c>
      <c r="V201" s="633"/>
      <c r="W201" s="648"/>
      <c r="X201" s="648"/>
      <c r="Y201" s="7"/>
      <c r="Z201" s="699">
        <v>659</v>
      </c>
      <c r="AA201" s="7"/>
      <c r="AB201" s="618"/>
      <c r="AC201" s="7"/>
      <c r="AD201" s="7"/>
      <c r="AE201" s="7"/>
      <c r="AF201" s="7"/>
      <c r="AG201" s="7"/>
      <c r="AH201" s="7"/>
    </row>
    <row r="202" spans="1:34" ht="20.25" customHeight="1">
      <c r="A202" s="503"/>
      <c r="B202" s="483" t="s">
        <v>449</v>
      </c>
      <c r="C202" s="658" t="s">
        <v>450</v>
      </c>
      <c r="D202" s="504" t="s">
        <v>1912</v>
      </c>
      <c r="E202" s="213"/>
      <c r="F202" s="213"/>
      <c r="G202" s="213"/>
      <c r="H202" s="215"/>
      <c r="I202" s="215"/>
      <c r="J202" s="215"/>
      <c r="K202" s="215"/>
      <c r="L202" s="647"/>
      <c r="M202" s="647"/>
      <c r="N202" s="632"/>
      <c r="O202" s="213"/>
      <c r="P202" s="213"/>
      <c r="Q202" s="213"/>
      <c r="R202" s="213"/>
      <c r="S202" s="213"/>
      <c r="T202" s="643"/>
      <c r="U202" s="616">
        <f t="shared" si="0"/>
        <v>0</v>
      </c>
      <c r="V202" s="633"/>
      <c r="W202" s="648"/>
      <c r="X202" s="648"/>
      <c r="Y202" s="7"/>
      <c r="Z202" s="699"/>
      <c r="AA202" s="7"/>
      <c r="AB202" s="618">
        <f>Z202-U202</f>
        <v>0</v>
      </c>
      <c r="AC202" s="7"/>
      <c r="AD202" s="7"/>
      <c r="AE202" s="7"/>
      <c r="AF202" s="7"/>
      <c r="AG202" s="7"/>
      <c r="AH202" s="7"/>
    </row>
    <row r="203" spans="1:34" ht="20.25" customHeight="1">
      <c r="A203" s="503"/>
      <c r="B203" s="483" t="s">
        <v>449</v>
      </c>
      <c r="C203" s="658" t="s">
        <v>431</v>
      </c>
      <c r="D203" s="504" t="s">
        <v>1913</v>
      </c>
      <c r="E203" s="213"/>
      <c r="F203" s="213"/>
      <c r="G203" s="213"/>
      <c r="H203" s="215"/>
      <c r="I203" s="215"/>
      <c r="J203" s="215"/>
      <c r="K203" s="215"/>
      <c r="L203" s="647"/>
      <c r="M203" s="647"/>
      <c r="N203" s="632"/>
      <c r="O203" s="213"/>
      <c r="P203" s="213"/>
      <c r="Q203" s="213"/>
      <c r="R203" s="213"/>
      <c r="S203" s="213"/>
      <c r="T203" s="643"/>
      <c r="U203" s="616">
        <f t="shared" si="0"/>
        <v>0</v>
      </c>
      <c r="V203" s="633"/>
      <c r="W203" s="648"/>
      <c r="X203" s="648"/>
      <c r="Y203" s="7"/>
      <c r="Z203" s="699"/>
      <c r="AA203" s="7"/>
      <c r="AB203" s="618"/>
      <c r="AC203" s="7"/>
      <c r="AD203" s="7"/>
      <c r="AE203" s="7"/>
      <c r="AF203" s="7"/>
      <c r="AG203" s="7"/>
      <c r="AH203" s="7"/>
    </row>
    <row r="204" spans="1:34" ht="20.25" customHeight="1">
      <c r="A204" s="503"/>
      <c r="B204" s="483" t="s">
        <v>453</v>
      </c>
      <c r="C204" s="658" t="s">
        <v>433</v>
      </c>
      <c r="D204" s="504" t="s">
        <v>1914</v>
      </c>
      <c r="E204" s="213"/>
      <c r="F204" s="213"/>
      <c r="G204" s="213"/>
      <c r="H204" s="215"/>
      <c r="I204" s="215"/>
      <c r="J204" s="215"/>
      <c r="K204" s="215"/>
      <c r="L204" s="647"/>
      <c r="M204" s="647"/>
      <c r="N204" s="632"/>
      <c r="O204" s="213"/>
      <c r="P204" s="213"/>
      <c r="Q204" s="213"/>
      <c r="R204" s="213"/>
      <c r="S204" s="213"/>
      <c r="T204" s="643"/>
      <c r="U204" s="616">
        <f t="shared" si="0"/>
        <v>0</v>
      </c>
      <c r="V204" s="633"/>
      <c r="W204" s="636"/>
      <c r="X204" s="636"/>
      <c r="Y204" s="7"/>
      <c r="Z204" s="699"/>
      <c r="AA204" s="7"/>
      <c r="AB204" s="618">
        <f t="shared" ref="AB204:AB205" si="20">Z204-U204</f>
        <v>0</v>
      </c>
      <c r="AC204" s="7"/>
      <c r="AD204" s="7"/>
      <c r="AE204" s="7"/>
      <c r="AF204" s="7"/>
      <c r="AG204" s="7"/>
      <c r="AH204" s="7"/>
    </row>
    <row r="205" spans="1:34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5"/>
      <c r="I205" s="215"/>
      <c r="J205" s="215"/>
      <c r="K205" s="215"/>
      <c r="L205" s="647"/>
      <c r="M205" s="647"/>
      <c r="N205" s="632"/>
      <c r="O205" s="213"/>
      <c r="P205" s="213"/>
      <c r="Q205" s="213"/>
      <c r="R205" s="213"/>
      <c r="S205" s="213"/>
      <c r="T205" s="643"/>
      <c r="U205" s="616">
        <f t="shared" si="0"/>
        <v>0</v>
      </c>
      <c r="V205" s="633"/>
      <c r="W205" s="636"/>
      <c r="X205" s="636"/>
      <c r="Y205" s="7"/>
      <c r="Z205" s="699"/>
      <c r="AA205" s="7"/>
      <c r="AB205" s="618">
        <f t="shared" si="20"/>
        <v>0</v>
      </c>
      <c r="AC205" s="7"/>
      <c r="AD205" s="7"/>
      <c r="AE205" s="7"/>
      <c r="AF205" s="7"/>
      <c r="AG205" s="7"/>
      <c r="AH205" s="7"/>
    </row>
    <row r="206" spans="1:34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5"/>
      <c r="I206" s="215"/>
      <c r="J206" s="215"/>
      <c r="K206" s="215"/>
      <c r="L206" s="647"/>
      <c r="M206" s="647"/>
      <c r="N206" s="632">
        <v>147</v>
      </c>
      <c r="O206" s="213">
        <v>333</v>
      </c>
      <c r="P206" s="213"/>
      <c r="Q206" s="213"/>
      <c r="R206" s="213"/>
      <c r="S206" s="213"/>
      <c r="T206" s="643"/>
      <c r="U206" s="616">
        <f t="shared" si="0"/>
        <v>480</v>
      </c>
      <c r="V206" s="633"/>
      <c r="W206" s="648"/>
      <c r="X206" s="648"/>
      <c r="Y206" s="7"/>
      <c r="Z206" s="702">
        <v>9011.7000000000007</v>
      </c>
      <c r="AA206" s="7"/>
      <c r="AB206" s="618"/>
      <c r="AC206" s="7"/>
      <c r="AD206" s="7"/>
      <c r="AE206" s="7"/>
      <c r="AF206" s="7"/>
      <c r="AG206" s="7"/>
      <c r="AH206" s="7"/>
    </row>
    <row r="207" spans="1:34" ht="20.25" customHeight="1">
      <c r="A207" s="503"/>
      <c r="B207" s="483" t="s">
        <v>461</v>
      </c>
      <c r="C207" s="658" t="s">
        <v>431</v>
      </c>
      <c r="D207" s="504" t="s">
        <v>1915</v>
      </c>
      <c r="E207" s="213"/>
      <c r="F207" s="213"/>
      <c r="G207" s="213"/>
      <c r="H207" s="215"/>
      <c r="I207" s="215"/>
      <c r="J207" s="215"/>
      <c r="K207" s="215"/>
      <c r="L207" s="647"/>
      <c r="M207" s="647"/>
      <c r="N207" s="632">
        <v>51</v>
      </c>
      <c r="O207" s="213"/>
      <c r="P207" s="213"/>
      <c r="Q207" s="213"/>
      <c r="R207" s="213"/>
      <c r="S207" s="213"/>
      <c r="T207" s="643"/>
      <c r="U207" s="616">
        <f t="shared" si="0"/>
        <v>51</v>
      </c>
      <c r="V207" s="633"/>
      <c r="W207" s="648"/>
      <c r="X207" s="648"/>
      <c r="Y207" s="7"/>
      <c r="Z207" s="702">
        <v>3342</v>
      </c>
      <c r="AA207" s="7"/>
      <c r="AB207" s="618"/>
      <c r="AC207" s="7"/>
      <c r="AD207" s="7"/>
      <c r="AE207" s="7"/>
      <c r="AF207" s="7"/>
      <c r="AG207" s="7"/>
      <c r="AH207" s="7"/>
    </row>
    <row r="208" spans="1:34" ht="20.25" customHeight="1">
      <c r="A208" s="503"/>
      <c r="B208" s="483" t="s">
        <v>464</v>
      </c>
      <c r="C208" s="658" t="s">
        <v>433</v>
      </c>
      <c r="D208" s="504" t="s">
        <v>1916</v>
      </c>
      <c r="E208" s="213"/>
      <c r="F208" s="213"/>
      <c r="G208" s="213"/>
      <c r="H208" s="215"/>
      <c r="I208" s="215"/>
      <c r="J208" s="215"/>
      <c r="K208" s="215"/>
      <c r="L208" s="647"/>
      <c r="M208" s="647"/>
      <c r="N208" s="632"/>
      <c r="O208" s="213"/>
      <c r="P208" s="213"/>
      <c r="Q208" s="213"/>
      <c r="R208" s="213"/>
      <c r="S208" s="213"/>
      <c r="T208" s="643"/>
      <c r="U208" s="616">
        <f t="shared" si="0"/>
        <v>0</v>
      </c>
      <c r="V208" s="633"/>
      <c r="W208" s="636"/>
      <c r="X208" s="636"/>
      <c r="Y208" s="7"/>
      <c r="Z208" s="702"/>
      <c r="AA208" s="7"/>
      <c r="AB208" s="618">
        <f t="shared" ref="AB208:AB213" si="21">Z208-U208</f>
        <v>0</v>
      </c>
      <c r="AC208" s="7"/>
      <c r="AD208" s="7"/>
      <c r="AE208" s="7"/>
      <c r="AF208" s="7"/>
      <c r="AG208" s="7"/>
      <c r="AH208" s="7"/>
    </row>
    <row r="209" spans="1:34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5"/>
      <c r="I209" s="215"/>
      <c r="J209" s="215"/>
      <c r="K209" s="215"/>
      <c r="L209" s="620"/>
      <c r="M209" s="620"/>
      <c r="N209" s="632"/>
      <c r="O209" s="213"/>
      <c r="P209" s="213"/>
      <c r="Q209" s="213"/>
      <c r="R209" s="213"/>
      <c r="S209" s="213"/>
      <c r="T209" s="643"/>
      <c r="U209" s="616">
        <f t="shared" si="0"/>
        <v>0</v>
      </c>
      <c r="V209" s="633"/>
      <c r="W209" s="648"/>
      <c r="X209" s="648"/>
      <c r="Y209" s="7"/>
      <c r="Z209" s="699"/>
      <c r="AA209" s="7"/>
      <c r="AB209" s="618">
        <f t="shared" si="21"/>
        <v>0</v>
      </c>
      <c r="AC209" s="7"/>
      <c r="AD209" s="7"/>
      <c r="AE209" s="7"/>
      <c r="AF209" s="7"/>
      <c r="AG209" s="7"/>
      <c r="AH209" s="7"/>
    </row>
    <row r="210" spans="1:34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5"/>
      <c r="I210" s="215"/>
      <c r="J210" s="215"/>
      <c r="K210" s="215"/>
      <c r="L210" s="647"/>
      <c r="M210" s="647"/>
      <c r="N210" s="632"/>
      <c r="O210" s="213"/>
      <c r="P210" s="213"/>
      <c r="Q210" s="213"/>
      <c r="R210" s="213"/>
      <c r="S210" s="213"/>
      <c r="T210" s="643"/>
      <c r="U210" s="616">
        <f t="shared" si="0"/>
        <v>0</v>
      </c>
      <c r="V210" s="633"/>
      <c r="W210" s="648"/>
      <c r="X210" s="648"/>
      <c r="Y210" s="7"/>
      <c r="Z210" s="699"/>
      <c r="AA210" s="7"/>
      <c r="AB210" s="618">
        <f t="shared" si="21"/>
        <v>0</v>
      </c>
      <c r="AC210" s="7"/>
      <c r="AD210" s="7"/>
      <c r="AE210" s="7"/>
      <c r="AF210" s="7"/>
      <c r="AG210" s="7"/>
      <c r="AH210" s="7"/>
    </row>
    <row r="211" spans="1:34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5"/>
      <c r="I211" s="215"/>
      <c r="J211" s="215"/>
      <c r="K211" s="215"/>
      <c r="L211" s="647"/>
      <c r="M211" s="647"/>
      <c r="N211" s="632"/>
      <c r="O211" s="213"/>
      <c r="P211" s="213"/>
      <c r="Q211" s="213"/>
      <c r="R211" s="213"/>
      <c r="S211" s="213"/>
      <c r="T211" s="643"/>
      <c r="U211" s="616">
        <f t="shared" si="0"/>
        <v>0</v>
      </c>
      <c r="V211" s="633"/>
      <c r="W211" s="636"/>
      <c r="X211" s="636"/>
      <c r="Y211" s="7"/>
      <c r="Z211" s="699"/>
      <c r="AA211" s="7"/>
      <c r="AB211" s="618">
        <f t="shared" si="21"/>
        <v>0</v>
      </c>
      <c r="AC211" s="7"/>
      <c r="AD211" s="7"/>
      <c r="AE211" s="7"/>
      <c r="AF211" s="7"/>
      <c r="AG211" s="7"/>
      <c r="AH211" s="7"/>
    </row>
    <row r="212" spans="1:34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5"/>
      <c r="I212" s="215"/>
      <c r="J212" s="215"/>
      <c r="K212" s="215"/>
      <c r="L212" s="647"/>
      <c r="M212" s="647"/>
      <c r="N212" s="632"/>
      <c r="O212" s="213"/>
      <c r="P212" s="213"/>
      <c r="Q212" s="213"/>
      <c r="R212" s="213"/>
      <c r="S212" s="213"/>
      <c r="T212" s="643"/>
      <c r="U212" s="616">
        <f t="shared" si="0"/>
        <v>0</v>
      </c>
      <c r="V212" s="633"/>
      <c r="W212" s="636"/>
      <c r="X212" s="636"/>
      <c r="Y212" s="7"/>
      <c r="Z212" s="699"/>
      <c r="AA212" s="7"/>
      <c r="AB212" s="618">
        <f t="shared" si="21"/>
        <v>0</v>
      </c>
      <c r="AC212" s="7"/>
      <c r="AD212" s="7"/>
      <c r="AE212" s="7"/>
      <c r="AF212" s="7"/>
      <c r="AG212" s="7"/>
      <c r="AH212" s="7"/>
    </row>
    <row r="213" spans="1:34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5"/>
      <c r="I213" s="215"/>
      <c r="J213" s="215"/>
      <c r="K213" s="215"/>
      <c r="L213" s="620"/>
      <c r="M213" s="620"/>
      <c r="N213" s="632"/>
      <c r="O213" s="213"/>
      <c r="P213" s="213"/>
      <c r="Q213" s="213"/>
      <c r="R213" s="213"/>
      <c r="S213" s="213"/>
      <c r="T213" s="643"/>
      <c r="U213" s="616">
        <f t="shared" si="0"/>
        <v>0</v>
      </c>
      <c r="V213" s="633"/>
      <c r="W213" s="636"/>
      <c r="X213" s="636"/>
      <c r="Y213" s="7"/>
      <c r="Z213" s="703">
        <f>Z214+Z215</f>
        <v>22</v>
      </c>
      <c r="AA213" s="7"/>
      <c r="AB213" s="618">
        <f t="shared" si="21"/>
        <v>22</v>
      </c>
      <c r="AC213" s="7"/>
      <c r="AD213" s="7"/>
      <c r="AE213" s="7"/>
      <c r="AF213" s="7"/>
      <c r="AG213" s="7"/>
      <c r="AH213" s="7"/>
    </row>
    <row r="214" spans="1:34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5"/>
      <c r="I214" s="215"/>
      <c r="J214" s="215"/>
      <c r="K214" s="215"/>
      <c r="L214" s="647"/>
      <c r="M214" s="647"/>
      <c r="N214" s="632"/>
      <c r="O214" s="213">
        <v>1</v>
      </c>
      <c r="P214" s="213"/>
      <c r="Q214" s="213"/>
      <c r="R214" s="213"/>
      <c r="S214" s="213"/>
      <c r="T214" s="643"/>
      <c r="U214" s="616">
        <f t="shared" si="0"/>
        <v>1</v>
      </c>
      <c r="V214" s="633"/>
      <c r="W214" s="636"/>
      <c r="X214" s="636"/>
      <c r="Y214" s="7"/>
      <c r="Z214" s="699">
        <v>21</v>
      </c>
      <c r="AA214" s="7"/>
      <c r="AB214" s="618"/>
      <c r="AC214" s="7"/>
      <c r="AD214" s="7"/>
      <c r="AE214" s="7"/>
      <c r="AF214" s="7"/>
      <c r="AG214" s="7"/>
      <c r="AH214" s="7"/>
    </row>
    <row r="215" spans="1:34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5"/>
      <c r="I215" s="215"/>
      <c r="J215" s="215"/>
      <c r="K215" s="215"/>
      <c r="L215" s="647"/>
      <c r="M215" s="647"/>
      <c r="N215" s="632"/>
      <c r="O215" s="213"/>
      <c r="P215" s="213"/>
      <c r="Q215" s="213"/>
      <c r="R215" s="213"/>
      <c r="S215" s="213"/>
      <c r="T215" s="643"/>
      <c r="U215" s="616">
        <f t="shared" si="0"/>
        <v>0</v>
      </c>
      <c r="V215" s="633"/>
      <c r="W215" s="636"/>
      <c r="X215" s="636"/>
      <c r="Y215" s="7"/>
      <c r="Z215" s="699">
        <v>1</v>
      </c>
      <c r="AA215" s="7"/>
      <c r="AB215" s="618">
        <f t="shared" ref="AB215:AB218" si="22">Z215-U215</f>
        <v>1</v>
      </c>
      <c r="AC215" s="7"/>
      <c r="AD215" s="7"/>
      <c r="AE215" s="7"/>
      <c r="AF215" s="7"/>
      <c r="AG215" s="7"/>
      <c r="AH215" s="7"/>
    </row>
    <row r="216" spans="1:34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5"/>
      <c r="I216" s="215"/>
      <c r="J216" s="215"/>
      <c r="K216" s="215"/>
      <c r="L216" s="647"/>
      <c r="M216" s="647"/>
      <c r="N216" s="632"/>
      <c r="O216" s="213"/>
      <c r="P216" s="213"/>
      <c r="Q216" s="213"/>
      <c r="R216" s="213"/>
      <c r="S216" s="213"/>
      <c r="T216" s="643"/>
      <c r="U216" s="616">
        <f t="shared" si="0"/>
        <v>0</v>
      </c>
      <c r="V216" s="633"/>
      <c r="W216" s="636"/>
      <c r="X216" s="636"/>
      <c r="Y216" s="7"/>
      <c r="Z216" s="699"/>
      <c r="AA216" s="7"/>
      <c r="AB216" s="618">
        <f t="shared" si="22"/>
        <v>0</v>
      </c>
      <c r="AC216" s="7"/>
      <c r="AD216" s="7"/>
      <c r="AE216" s="7"/>
      <c r="AF216" s="7"/>
      <c r="AG216" s="7"/>
      <c r="AH216" s="7"/>
    </row>
    <row r="217" spans="1:34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5"/>
      <c r="I217" s="215"/>
      <c r="J217" s="215"/>
      <c r="K217" s="215"/>
      <c r="L217" s="647"/>
      <c r="M217" s="647"/>
      <c r="N217" s="632"/>
      <c r="O217" s="213"/>
      <c r="P217" s="213"/>
      <c r="Q217" s="213"/>
      <c r="R217" s="213"/>
      <c r="S217" s="213"/>
      <c r="T217" s="643"/>
      <c r="U217" s="616">
        <f t="shared" si="0"/>
        <v>0</v>
      </c>
      <c r="V217" s="633"/>
      <c r="W217" s="636"/>
      <c r="X217" s="636"/>
      <c r="Y217" s="7"/>
      <c r="Z217" s="699"/>
      <c r="AA217" s="7"/>
      <c r="AB217" s="618">
        <f t="shared" si="22"/>
        <v>0</v>
      </c>
      <c r="AC217" s="7"/>
      <c r="AD217" s="7"/>
      <c r="AE217" s="7"/>
      <c r="AF217" s="7"/>
      <c r="AG217" s="7"/>
      <c r="AH217" s="7"/>
    </row>
    <row r="218" spans="1:34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5"/>
      <c r="I218" s="215"/>
      <c r="J218" s="215"/>
      <c r="K218" s="215"/>
      <c r="L218" s="647"/>
      <c r="M218" s="647"/>
      <c r="N218" s="632"/>
      <c r="O218" s="213"/>
      <c r="P218" s="213"/>
      <c r="Q218" s="213"/>
      <c r="R218" s="213"/>
      <c r="S218" s="213"/>
      <c r="T218" s="643"/>
      <c r="U218" s="616">
        <f t="shared" si="0"/>
        <v>0</v>
      </c>
      <c r="V218" s="633"/>
      <c r="W218" s="636"/>
      <c r="X218" s="636"/>
      <c r="Y218" s="7"/>
      <c r="Z218" s="699"/>
      <c r="AA218" s="7"/>
      <c r="AB218" s="618">
        <f t="shared" si="22"/>
        <v>0</v>
      </c>
      <c r="AC218" s="7"/>
      <c r="AD218" s="7"/>
      <c r="AE218" s="7"/>
      <c r="AF218" s="7"/>
      <c r="AG218" s="7"/>
      <c r="AH218" s="7"/>
    </row>
    <row r="219" spans="1:34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5"/>
      <c r="I219" s="215"/>
      <c r="J219" s="215"/>
      <c r="K219" s="215"/>
      <c r="L219" s="647"/>
      <c r="M219" s="647"/>
      <c r="N219" s="632"/>
      <c r="O219" s="213"/>
      <c r="P219" s="213">
        <v>6</v>
      </c>
      <c r="Q219" s="213"/>
      <c r="R219" s="213"/>
      <c r="S219" s="213"/>
      <c r="T219" s="643"/>
      <c r="U219" s="616">
        <f t="shared" si="0"/>
        <v>6</v>
      </c>
      <c r="V219" s="633"/>
      <c r="W219" s="636"/>
      <c r="X219" s="636"/>
      <c r="Y219" s="7"/>
      <c r="Z219" s="699">
        <v>33</v>
      </c>
      <c r="AA219" s="7"/>
      <c r="AB219" s="618"/>
      <c r="AC219" s="7"/>
      <c r="AD219" s="7"/>
      <c r="AE219" s="7"/>
      <c r="AF219" s="7"/>
      <c r="AG219" s="7"/>
      <c r="AH219" s="7"/>
    </row>
    <row r="220" spans="1:34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5"/>
      <c r="I220" s="215"/>
      <c r="J220" s="215"/>
      <c r="K220" s="215"/>
      <c r="L220" s="647"/>
      <c r="M220" s="647"/>
      <c r="N220" s="632"/>
      <c r="O220" s="213"/>
      <c r="P220" s="213"/>
      <c r="Q220" s="213"/>
      <c r="R220" s="213"/>
      <c r="S220" s="213"/>
      <c r="T220" s="643"/>
      <c r="U220" s="616">
        <f t="shared" si="0"/>
        <v>0</v>
      </c>
      <c r="V220" s="633"/>
      <c r="W220" s="636"/>
      <c r="X220" s="636"/>
      <c r="Y220" s="7"/>
      <c r="Z220" s="699"/>
      <c r="AA220" s="7"/>
      <c r="AB220" s="618">
        <f t="shared" ref="AB220:AB232" si="23">Z220-U220</f>
        <v>0</v>
      </c>
      <c r="AC220" s="7"/>
      <c r="AD220" s="7"/>
      <c r="AE220" s="7"/>
      <c r="AF220" s="7"/>
      <c r="AG220" s="7"/>
      <c r="AH220" s="7"/>
    </row>
    <row r="221" spans="1:34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5"/>
      <c r="I221" s="215"/>
      <c r="J221" s="215"/>
      <c r="K221" s="215"/>
      <c r="L221" s="620"/>
      <c r="M221" s="620"/>
      <c r="N221" s="632"/>
      <c r="O221" s="213"/>
      <c r="P221" s="213"/>
      <c r="Q221" s="213"/>
      <c r="R221" s="213"/>
      <c r="S221" s="213"/>
      <c r="T221" s="643"/>
      <c r="U221" s="616">
        <f t="shared" si="0"/>
        <v>0</v>
      </c>
      <c r="V221" s="633"/>
      <c r="W221" s="634"/>
      <c r="X221" s="634"/>
      <c r="Y221" s="7"/>
      <c r="Z221" s="699"/>
      <c r="AA221" s="7"/>
      <c r="AB221" s="618">
        <f t="shared" si="23"/>
        <v>0</v>
      </c>
      <c r="AC221" s="7"/>
      <c r="AD221" s="7"/>
      <c r="AE221" s="7"/>
      <c r="AF221" s="7"/>
      <c r="AG221" s="7"/>
      <c r="AH221" s="7"/>
    </row>
    <row r="222" spans="1:34" ht="20.25" customHeight="1">
      <c r="A222" s="482" t="s">
        <v>1007</v>
      </c>
      <c r="B222" s="483" t="s">
        <v>502</v>
      </c>
      <c r="C222" s="629" t="s">
        <v>503</v>
      </c>
      <c r="D222" s="504" t="s">
        <v>1917</v>
      </c>
      <c r="E222" s="213"/>
      <c r="F222" s="213"/>
      <c r="G222" s="213"/>
      <c r="H222" s="215"/>
      <c r="I222" s="215"/>
      <c r="J222" s="215"/>
      <c r="K222" s="215"/>
      <c r="L222" s="647"/>
      <c r="M222" s="647"/>
      <c r="N222" s="632"/>
      <c r="O222" s="213"/>
      <c r="P222" s="213"/>
      <c r="Q222" s="213"/>
      <c r="R222" s="213"/>
      <c r="S222" s="213"/>
      <c r="T222" s="643"/>
      <c r="U222" s="616">
        <f t="shared" si="0"/>
        <v>0</v>
      </c>
      <c r="V222" s="633"/>
      <c r="W222" s="634"/>
      <c r="X222" s="634"/>
      <c r="Y222" s="7"/>
      <c r="Z222" s="699"/>
      <c r="AA222" s="7"/>
      <c r="AB222" s="618">
        <f t="shared" si="23"/>
        <v>0</v>
      </c>
      <c r="AC222" s="7"/>
      <c r="AD222" s="7"/>
      <c r="AE222" s="7"/>
      <c r="AF222" s="7"/>
      <c r="AG222" s="7"/>
      <c r="AH222" s="7"/>
    </row>
    <row r="223" spans="1:34" ht="20.25" customHeight="1">
      <c r="A223" s="482"/>
      <c r="B223" s="483" t="s">
        <v>506</v>
      </c>
      <c r="C223" s="629" t="s">
        <v>507</v>
      </c>
      <c r="D223" s="485" t="s">
        <v>1918</v>
      </c>
      <c r="E223" s="213"/>
      <c r="F223" s="213"/>
      <c r="G223" s="213"/>
      <c r="H223" s="215"/>
      <c r="I223" s="215"/>
      <c r="J223" s="215"/>
      <c r="K223" s="215"/>
      <c r="L223" s="620"/>
      <c r="M223" s="620"/>
      <c r="N223" s="632"/>
      <c r="O223" s="213"/>
      <c r="P223" s="213"/>
      <c r="Q223" s="213"/>
      <c r="R223" s="213"/>
      <c r="S223" s="213"/>
      <c r="T223" s="643"/>
      <c r="U223" s="616">
        <f t="shared" si="0"/>
        <v>0</v>
      </c>
      <c r="V223" s="633"/>
      <c r="W223" s="634"/>
      <c r="X223" s="634"/>
      <c r="Y223" s="7"/>
      <c r="Z223" s="699"/>
      <c r="AA223" s="7"/>
      <c r="AB223" s="618">
        <f t="shared" si="23"/>
        <v>0</v>
      </c>
      <c r="AC223" s="7"/>
      <c r="AD223" s="7"/>
      <c r="AE223" s="7"/>
      <c r="AF223" s="7"/>
      <c r="AG223" s="7"/>
      <c r="AH223" s="7"/>
    </row>
    <row r="224" spans="1:34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5"/>
      <c r="I224" s="215"/>
      <c r="J224" s="215"/>
      <c r="K224" s="215"/>
      <c r="L224" s="638"/>
      <c r="M224" s="638"/>
      <c r="N224" s="632"/>
      <c r="O224" s="213"/>
      <c r="P224" s="213"/>
      <c r="Q224" s="213"/>
      <c r="R224" s="213"/>
      <c r="S224" s="213"/>
      <c r="T224" s="643"/>
      <c r="U224" s="616">
        <f t="shared" si="0"/>
        <v>0</v>
      </c>
      <c r="V224" s="633"/>
      <c r="W224" s="636"/>
      <c r="X224" s="636"/>
      <c r="Y224" s="7"/>
      <c r="Z224" s="699"/>
      <c r="AA224" s="7"/>
      <c r="AB224" s="618">
        <f t="shared" si="23"/>
        <v>0</v>
      </c>
      <c r="AC224" s="7"/>
      <c r="AD224" s="7"/>
      <c r="AE224" s="7"/>
      <c r="AF224" s="7"/>
      <c r="AG224" s="7"/>
      <c r="AH224" s="7"/>
    </row>
    <row r="225" spans="1:34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5"/>
      <c r="I225" s="215"/>
      <c r="J225" s="215"/>
      <c r="K225" s="215"/>
      <c r="L225" s="638"/>
      <c r="M225" s="638"/>
      <c r="N225" s="632"/>
      <c r="O225" s="213"/>
      <c r="P225" s="213"/>
      <c r="Q225" s="213"/>
      <c r="R225" s="213"/>
      <c r="S225" s="213"/>
      <c r="T225" s="643"/>
      <c r="U225" s="616">
        <f t="shared" si="0"/>
        <v>0</v>
      </c>
      <c r="V225" s="660" t="s">
        <v>1594</v>
      </c>
      <c r="W225" s="640"/>
      <c r="X225" s="640"/>
      <c r="Y225" s="7"/>
      <c r="Z225" s="699"/>
      <c r="AA225" s="7"/>
      <c r="AB225" s="618">
        <f t="shared" si="23"/>
        <v>0</v>
      </c>
      <c r="AC225" s="7"/>
      <c r="AD225" s="7"/>
      <c r="AE225" s="7"/>
      <c r="AF225" s="7"/>
      <c r="AG225" s="7"/>
      <c r="AH225" s="7"/>
    </row>
    <row r="226" spans="1:34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5"/>
      <c r="I226" s="215"/>
      <c r="J226" s="215"/>
      <c r="K226" s="215"/>
      <c r="L226" s="647"/>
      <c r="M226" s="647"/>
      <c r="N226" s="632"/>
      <c r="O226" s="213"/>
      <c r="P226" s="213" t="s">
        <v>1919</v>
      </c>
      <c r="Q226" s="213"/>
      <c r="R226" s="213"/>
      <c r="S226" s="213"/>
      <c r="T226" s="643"/>
      <c r="U226" s="616">
        <f t="shared" si="0"/>
        <v>0</v>
      </c>
      <c r="V226" s="642">
        <f>U227+U237</f>
        <v>325</v>
      </c>
      <c r="W226" s="636"/>
      <c r="X226" s="636"/>
      <c r="Y226" s="7"/>
      <c r="Z226" s="699"/>
      <c r="AA226" s="7"/>
      <c r="AB226" s="618">
        <f t="shared" si="23"/>
        <v>0</v>
      </c>
      <c r="AC226" s="7"/>
      <c r="AD226" s="7"/>
      <c r="AE226" s="7"/>
      <c r="AF226" s="7"/>
      <c r="AG226" s="7"/>
      <c r="AH226" s="7"/>
    </row>
    <row r="227" spans="1:34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5"/>
      <c r="I227" s="215"/>
      <c r="J227" s="215"/>
      <c r="K227" s="215"/>
      <c r="L227" s="647"/>
      <c r="M227" s="647"/>
      <c r="N227" s="632"/>
      <c r="O227" s="213"/>
      <c r="P227" s="213">
        <v>58</v>
      </c>
      <c r="Q227" s="213"/>
      <c r="R227" s="213"/>
      <c r="S227" s="213"/>
      <c r="T227" s="643"/>
      <c r="U227" s="616">
        <f t="shared" si="0"/>
        <v>58</v>
      </c>
      <c r="V227" s="648"/>
      <c r="W227" s="648"/>
      <c r="X227" s="648"/>
      <c r="Y227" s="7"/>
      <c r="Z227" s="699">
        <v>785</v>
      </c>
      <c r="AA227" s="7"/>
      <c r="AB227" s="618">
        <f t="shared" si="23"/>
        <v>727</v>
      </c>
      <c r="AC227" s="7"/>
      <c r="AD227" s="7"/>
      <c r="AE227" s="7"/>
      <c r="AF227" s="7"/>
      <c r="AG227" s="7"/>
      <c r="AH227" s="7"/>
    </row>
    <row r="228" spans="1:34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5"/>
      <c r="I228" s="215"/>
      <c r="J228" s="215"/>
      <c r="K228" s="215"/>
      <c r="L228" s="647"/>
      <c r="M228" s="647"/>
      <c r="N228" s="632"/>
      <c r="O228" s="213"/>
      <c r="P228" s="213">
        <v>140</v>
      </c>
      <c r="Q228" s="213"/>
      <c r="R228" s="213"/>
      <c r="S228" s="213"/>
      <c r="T228" s="643"/>
      <c r="U228" s="616">
        <f t="shared" si="0"/>
        <v>140</v>
      </c>
      <c r="V228" s="661" t="s">
        <v>1595</v>
      </c>
      <c r="W228" s="648"/>
      <c r="X228" s="648"/>
      <c r="Y228" s="7"/>
      <c r="Z228" s="699">
        <v>490</v>
      </c>
      <c r="AA228" s="7"/>
      <c r="AB228" s="618">
        <f t="shared" si="23"/>
        <v>350</v>
      </c>
      <c r="AC228" s="7"/>
      <c r="AD228" s="7"/>
      <c r="AE228" s="7"/>
      <c r="AF228" s="7"/>
      <c r="AG228" s="7"/>
      <c r="AH228" s="7"/>
    </row>
    <row r="229" spans="1:34" ht="19.5" customHeight="1">
      <c r="A229" s="503"/>
      <c r="B229" s="483" t="s">
        <v>523</v>
      </c>
      <c r="C229" s="629" t="s">
        <v>524</v>
      </c>
      <c r="D229" s="504" t="s">
        <v>1920</v>
      </c>
      <c r="E229" s="213"/>
      <c r="F229" s="213"/>
      <c r="G229" s="213"/>
      <c r="H229" s="215"/>
      <c r="I229" s="215"/>
      <c r="J229" s="215"/>
      <c r="K229" s="215"/>
      <c r="L229" s="647"/>
      <c r="M229" s="647"/>
      <c r="N229" s="632"/>
      <c r="O229" s="213"/>
      <c r="P229" s="213">
        <v>4315</v>
      </c>
      <c r="Q229" s="213"/>
      <c r="R229" s="213"/>
      <c r="S229" s="213"/>
      <c r="T229" s="643"/>
      <c r="U229" s="616">
        <f t="shared" si="0"/>
        <v>4315</v>
      </c>
      <c r="V229" s="642">
        <f>U229+U230+U239+U240</f>
        <v>21043</v>
      </c>
      <c r="W229" s="648"/>
      <c r="X229" s="648"/>
      <c r="Y229" s="7"/>
      <c r="Z229" s="699">
        <v>72400</v>
      </c>
      <c r="AA229" s="7"/>
      <c r="AB229" s="618">
        <f t="shared" si="23"/>
        <v>68085</v>
      </c>
      <c r="AC229" s="7"/>
      <c r="AD229" s="7"/>
      <c r="AE229" s="7"/>
      <c r="AF229" s="7"/>
      <c r="AG229" s="7"/>
      <c r="AH229" s="7"/>
    </row>
    <row r="230" spans="1:34" ht="20.25" customHeight="1">
      <c r="A230" s="503"/>
      <c r="B230" s="483" t="s">
        <v>526</v>
      </c>
      <c r="C230" s="629" t="s">
        <v>527</v>
      </c>
      <c r="D230" s="504" t="s">
        <v>1921</v>
      </c>
      <c r="E230" s="213"/>
      <c r="F230" s="213"/>
      <c r="G230" s="213"/>
      <c r="H230" s="215"/>
      <c r="I230" s="215"/>
      <c r="J230" s="215"/>
      <c r="K230" s="215"/>
      <c r="L230" s="647"/>
      <c r="M230" s="647"/>
      <c r="N230" s="632"/>
      <c r="O230" s="213"/>
      <c r="P230" s="213"/>
      <c r="Q230" s="213"/>
      <c r="R230" s="213"/>
      <c r="S230" s="213"/>
      <c r="T230" s="643"/>
      <c r="U230" s="616">
        <f t="shared" si="0"/>
        <v>0</v>
      </c>
      <c r="V230" s="633"/>
      <c r="W230" s="648"/>
      <c r="X230" s="648"/>
      <c r="Y230" s="7"/>
      <c r="Z230" s="699">
        <v>1842</v>
      </c>
      <c r="AA230" s="7"/>
      <c r="AB230" s="618">
        <f t="shared" si="23"/>
        <v>1842</v>
      </c>
      <c r="AC230" s="7"/>
      <c r="AD230" s="7"/>
      <c r="AE230" s="7"/>
      <c r="AF230" s="7"/>
      <c r="AG230" s="7"/>
      <c r="AH230" s="7"/>
    </row>
    <row r="231" spans="1:34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5"/>
      <c r="I231" s="215"/>
      <c r="J231" s="215"/>
      <c r="K231" s="215"/>
      <c r="L231" s="647"/>
      <c r="M231" s="647"/>
      <c r="N231" s="632"/>
      <c r="O231" s="213"/>
      <c r="P231" s="213"/>
      <c r="Q231" s="213"/>
      <c r="R231" s="213"/>
      <c r="S231" s="213"/>
      <c r="T231" s="643"/>
      <c r="U231" s="616">
        <f t="shared" si="0"/>
        <v>0</v>
      </c>
      <c r="V231" s="633"/>
      <c r="W231" s="648"/>
      <c r="X231" s="648"/>
      <c r="Y231" s="7"/>
      <c r="Z231" s="699">
        <v>2</v>
      </c>
      <c r="AA231" s="7"/>
      <c r="AB231" s="618">
        <f t="shared" si="23"/>
        <v>2</v>
      </c>
      <c r="AC231" s="7"/>
      <c r="AD231" s="7"/>
      <c r="AE231" s="7"/>
      <c r="AF231" s="7"/>
      <c r="AG231" s="7"/>
      <c r="AH231" s="7"/>
    </row>
    <row r="232" spans="1:34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5"/>
      <c r="I232" s="215"/>
      <c r="J232" s="215"/>
      <c r="K232" s="215"/>
      <c r="L232" s="647"/>
      <c r="M232" s="647"/>
      <c r="N232" s="632"/>
      <c r="O232" s="213"/>
      <c r="P232" s="213"/>
      <c r="Q232" s="213"/>
      <c r="R232" s="213"/>
      <c r="S232" s="213"/>
      <c r="T232" s="643"/>
      <c r="U232" s="616">
        <f t="shared" si="0"/>
        <v>0</v>
      </c>
      <c r="V232" s="633"/>
      <c r="W232" s="648"/>
      <c r="X232" s="648"/>
      <c r="Y232" s="7"/>
      <c r="Z232" s="699">
        <v>24</v>
      </c>
      <c r="AA232" s="7"/>
      <c r="AB232" s="618">
        <f t="shared" si="23"/>
        <v>24</v>
      </c>
      <c r="AC232" s="7"/>
      <c r="AD232" s="7"/>
      <c r="AE232" s="7"/>
      <c r="AF232" s="7"/>
      <c r="AG232" s="7"/>
      <c r="AH232" s="7"/>
    </row>
    <row r="233" spans="1:34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5"/>
      <c r="I233" s="215"/>
      <c r="J233" s="215"/>
      <c r="K233" s="215"/>
      <c r="L233" s="647"/>
      <c r="M233" s="647"/>
      <c r="N233" s="632"/>
      <c r="O233" s="213"/>
      <c r="P233" s="213">
        <f>178+3</f>
        <v>181</v>
      </c>
      <c r="Q233" s="213"/>
      <c r="R233" s="213"/>
      <c r="S233" s="213"/>
      <c r="T233" s="643"/>
      <c r="U233" s="616">
        <f t="shared" si="0"/>
        <v>181</v>
      </c>
      <c r="V233" s="633"/>
      <c r="W233" s="648"/>
      <c r="X233" s="648"/>
      <c r="Y233" s="7"/>
      <c r="Z233" s="699"/>
      <c r="AA233" s="7"/>
      <c r="AB233" s="618"/>
      <c r="AC233" s="7"/>
      <c r="AD233" s="7"/>
      <c r="AE233" s="7"/>
      <c r="AF233" s="7"/>
      <c r="AG233" s="7"/>
      <c r="AH233" s="7"/>
    </row>
    <row r="234" spans="1:34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5"/>
      <c r="I234" s="215"/>
      <c r="J234" s="215"/>
      <c r="K234" s="215"/>
      <c r="L234" s="662"/>
      <c r="M234" s="662"/>
      <c r="N234" s="632"/>
      <c r="O234" s="213"/>
      <c r="P234" s="213"/>
      <c r="Q234" s="213"/>
      <c r="R234" s="213"/>
      <c r="S234" s="213"/>
      <c r="T234" s="643"/>
      <c r="U234" s="616">
        <f t="shared" si="0"/>
        <v>0</v>
      </c>
      <c r="V234" s="633"/>
      <c r="W234" s="648"/>
      <c r="X234" s="648"/>
      <c r="Y234" s="7"/>
      <c r="Z234" s="699"/>
      <c r="AA234" s="7"/>
      <c r="AB234" s="618">
        <f t="shared" ref="AB234:AB235" si="24">Z234-U234</f>
        <v>0</v>
      </c>
      <c r="AC234" s="7"/>
      <c r="AD234" s="7"/>
      <c r="AE234" s="7"/>
      <c r="AF234" s="7"/>
      <c r="AG234" s="7"/>
      <c r="AH234" s="7"/>
    </row>
    <row r="235" spans="1:34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5"/>
      <c r="I235" s="215"/>
      <c r="J235" s="215"/>
      <c r="K235" s="215"/>
      <c r="L235" s="647"/>
      <c r="M235" s="647"/>
      <c r="N235" s="632"/>
      <c r="O235" s="213"/>
      <c r="P235" s="213"/>
      <c r="Q235" s="213"/>
      <c r="R235" s="213"/>
      <c r="S235" s="213"/>
      <c r="T235" s="643"/>
      <c r="U235" s="616">
        <f t="shared" si="0"/>
        <v>0</v>
      </c>
      <c r="V235" s="633"/>
      <c r="W235" s="648"/>
      <c r="X235" s="648"/>
      <c r="Y235" s="7"/>
      <c r="Z235" s="699"/>
      <c r="AA235" s="7"/>
      <c r="AB235" s="618">
        <f t="shared" si="24"/>
        <v>0</v>
      </c>
      <c r="AC235" s="7"/>
      <c r="AD235" s="7"/>
      <c r="AE235" s="7"/>
      <c r="AF235" s="7"/>
      <c r="AG235" s="7"/>
      <c r="AH235" s="7"/>
    </row>
    <row r="236" spans="1:34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5"/>
      <c r="I236" s="215"/>
      <c r="J236" s="215"/>
      <c r="K236" s="215"/>
      <c r="L236" s="647"/>
      <c r="M236" s="647"/>
      <c r="N236" s="632"/>
      <c r="O236" s="213"/>
      <c r="P236" s="213"/>
      <c r="Q236" s="213"/>
      <c r="R236" s="213"/>
      <c r="S236" s="213"/>
      <c r="T236" s="643"/>
      <c r="U236" s="616">
        <f t="shared" si="0"/>
        <v>0</v>
      </c>
      <c r="V236" s="633"/>
      <c r="W236" s="636"/>
      <c r="X236" s="636"/>
      <c r="Y236" s="7"/>
      <c r="Z236" s="699"/>
      <c r="AA236" s="7"/>
      <c r="AB236" s="618"/>
      <c r="AC236" s="7"/>
      <c r="AD236" s="7"/>
      <c r="AE236" s="7"/>
      <c r="AF236" s="7"/>
      <c r="AG236" s="7"/>
      <c r="AH236" s="7"/>
    </row>
    <row r="237" spans="1:34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213"/>
      <c r="H237" s="215"/>
      <c r="I237" s="215"/>
      <c r="J237" s="215"/>
      <c r="K237" s="215"/>
      <c r="L237" s="647"/>
      <c r="M237" s="647"/>
      <c r="N237" s="632"/>
      <c r="O237" s="213"/>
      <c r="P237" s="213">
        <f>137+130</f>
        <v>267</v>
      </c>
      <c r="Q237" s="213"/>
      <c r="R237" s="213"/>
      <c r="S237" s="213"/>
      <c r="T237" s="643"/>
      <c r="U237" s="616">
        <f t="shared" si="0"/>
        <v>267</v>
      </c>
      <c r="V237" s="633"/>
      <c r="W237" s="648"/>
      <c r="X237" s="648"/>
      <c r="Y237" s="7"/>
      <c r="Z237" s="702">
        <v>1702</v>
      </c>
      <c r="AA237" s="7"/>
      <c r="AB237" s="618"/>
      <c r="AC237" s="7"/>
      <c r="AD237" s="7"/>
      <c r="AE237" s="7"/>
      <c r="AF237" s="7"/>
      <c r="AG237" s="7"/>
      <c r="AH237" s="7"/>
    </row>
    <row r="238" spans="1:34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5"/>
      <c r="I238" s="215"/>
      <c r="J238" s="215"/>
      <c r="K238" s="215"/>
      <c r="L238" s="647"/>
      <c r="M238" s="647"/>
      <c r="N238" s="632"/>
      <c r="O238" s="213"/>
      <c r="P238" s="213"/>
      <c r="Q238" s="213"/>
      <c r="R238" s="213"/>
      <c r="S238" s="213"/>
      <c r="T238" s="643"/>
      <c r="U238" s="616">
        <f t="shared" si="0"/>
        <v>0</v>
      </c>
      <c r="V238" s="633"/>
      <c r="W238" s="648"/>
      <c r="X238" s="648"/>
      <c r="Y238" s="7"/>
      <c r="Z238" s="702">
        <v>720</v>
      </c>
      <c r="AA238" s="7"/>
      <c r="AB238" s="618">
        <f t="shared" ref="AB238:AB240" si="25">Z238-U238</f>
        <v>720</v>
      </c>
      <c r="AC238" s="7"/>
      <c r="AD238" s="7"/>
      <c r="AE238" s="7"/>
      <c r="AF238" s="7"/>
      <c r="AG238" s="7"/>
      <c r="AH238" s="7"/>
    </row>
    <row r="239" spans="1:34" ht="20.25" customHeight="1">
      <c r="A239" s="503"/>
      <c r="B239" s="483" t="s">
        <v>551</v>
      </c>
      <c r="C239" s="629" t="s">
        <v>524</v>
      </c>
      <c r="D239" s="504" t="s">
        <v>1922</v>
      </c>
      <c r="E239" s="213"/>
      <c r="F239" s="213"/>
      <c r="G239" s="213"/>
      <c r="H239" s="215"/>
      <c r="I239" s="215"/>
      <c r="J239" s="215"/>
      <c r="K239" s="215"/>
      <c r="L239" s="647"/>
      <c r="M239" s="647"/>
      <c r="N239" s="632">
        <v>5290</v>
      </c>
      <c r="O239" s="213"/>
      <c r="P239" s="213">
        <v>11438</v>
      </c>
      <c r="Q239" s="213"/>
      <c r="R239" s="213"/>
      <c r="S239" s="213"/>
      <c r="T239" s="643"/>
      <c r="U239" s="616">
        <f t="shared" si="0"/>
        <v>16728</v>
      </c>
      <c r="V239" s="633"/>
      <c r="W239" s="648"/>
      <c r="X239" s="648"/>
      <c r="Y239" s="7"/>
      <c r="Z239" s="702">
        <v>252415</v>
      </c>
      <c r="AA239" s="7"/>
      <c r="AB239" s="618">
        <f t="shared" si="25"/>
        <v>235687</v>
      </c>
      <c r="AC239" s="7"/>
      <c r="AD239" s="7"/>
      <c r="AE239" s="7"/>
      <c r="AF239" s="7"/>
      <c r="AG239" s="7"/>
      <c r="AH239" s="7"/>
    </row>
    <row r="240" spans="1:34" ht="20.25" customHeight="1">
      <c r="A240" s="503"/>
      <c r="B240" s="483" t="s">
        <v>553</v>
      </c>
      <c r="C240" s="629" t="s">
        <v>527</v>
      </c>
      <c r="D240" s="504" t="s">
        <v>1923</v>
      </c>
      <c r="E240" s="213"/>
      <c r="F240" s="213"/>
      <c r="G240" s="213"/>
      <c r="H240" s="215"/>
      <c r="I240" s="215"/>
      <c r="J240" s="215"/>
      <c r="K240" s="215"/>
      <c r="L240" s="647"/>
      <c r="M240" s="647"/>
      <c r="N240" s="632"/>
      <c r="O240" s="213"/>
      <c r="P240" s="213"/>
      <c r="Q240" s="213"/>
      <c r="R240" s="213"/>
      <c r="S240" s="213"/>
      <c r="T240" s="643"/>
      <c r="U240" s="616">
        <f t="shared" si="0"/>
        <v>0</v>
      </c>
      <c r="V240" s="633"/>
      <c r="W240" s="648"/>
      <c r="X240" s="648"/>
      <c r="Y240" s="7"/>
      <c r="Z240" s="699">
        <v>2201</v>
      </c>
      <c r="AA240" s="7"/>
      <c r="AB240" s="618">
        <f t="shared" si="25"/>
        <v>2201</v>
      </c>
      <c r="AC240" s="7"/>
      <c r="AD240" s="7"/>
      <c r="AE240" s="7"/>
      <c r="AF240" s="7"/>
      <c r="AG240" s="7"/>
      <c r="AH240" s="7"/>
    </row>
    <row r="241" spans="1:34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5"/>
      <c r="I241" s="215"/>
      <c r="J241" s="215"/>
      <c r="K241" s="215"/>
      <c r="L241" s="647"/>
      <c r="M241" s="647"/>
      <c r="N241" s="632"/>
      <c r="O241" s="213">
        <v>1</v>
      </c>
      <c r="P241" s="213">
        <v>1</v>
      </c>
      <c r="Q241" s="213"/>
      <c r="R241" s="213"/>
      <c r="S241" s="213"/>
      <c r="T241" s="643"/>
      <c r="U241" s="616">
        <f t="shared" si="0"/>
        <v>2</v>
      </c>
      <c r="V241" s="633"/>
      <c r="W241" s="648"/>
      <c r="X241" s="648"/>
      <c r="Y241" s="7"/>
      <c r="Z241" s="702">
        <v>8</v>
      </c>
      <c r="AA241" s="7"/>
      <c r="AB241" s="618"/>
      <c r="AC241" s="7"/>
      <c r="AD241" s="7"/>
      <c r="AE241" s="7"/>
      <c r="AF241" s="7"/>
      <c r="AG241" s="7"/>
      <c r="AH241" s="7"/>
    </row>
    <row r="242" spans="1:34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5"/>
      <c r="I242" s="215"/>
      <c r="J242" s="215"/>
      <c r="K242" s="215"/>
      <c r="L242" s="647"/>
      <c r="M242" s="647"/>
      <c r="N242" s="632"/>
      <c r="O242" s="213"/>
      <c r="P242" s="213"/>
      <c r="Q242" s="213"/>
      <c r="R242" s="213"/>
      <c r="S242" s="213"/>
      <c r="T242" s="643"/>
      <c r="U242" s="616">
        <f t="shared" si="0"/>
        <v>0</v>
      </c>
      <c r="V242" s="633"/>
      <c r="W242" s="648"/>
      <c r="X242" s="648"/>
      <c r="Y242" s="7"/>
      <c r="Z242" s="702">
        <v>70</v>
      </c>
      <c r="AA242" s="7"/>
      <c r="AB242" s="618">
        <f>Z242-U242</f>
        <v>70</v>
      </c>
      <c r="AC242" s="7"/>
      <c r="AD242" s="7"/>
      <c r="AE242" s="7"/>
      <c r="AF242" s="7"/>
      <c r="AG242" s="7"/>
      <c r="AH242" s="7"/>
    </row>
    <row r="243" spans="1:34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5"/>
      <c r="I243" s="215"/>
      <c r="J243" s="215"/>
      <c r="K243" s="215"/>
      <c r="L243" s="647"/>
      <c r="M243" s="647"/>
      <c r="N243" s="632"/>
      <c r="O243" s="213">
        <v>5</v>
      </c>
      <c r="P243" s="213">
        <f>351+7</f>
        <v>358</v>
      </c>
      <c r="Q243" s="213"/>
      <c r="R243" s="213"/>
      <c r="S243" s="213"/>
      <c r="T243" s="643"/>
      <c r="U243" s="616">
        <f t="shared" si="0"/>
        <v>363</v>
      </c>
      <c r="V243" s="633"/>
      <c r="W243" s="648"/>
      <c r="X243" s="648"/>
      <c r="Y243" s="7"/>
      <c r="Z243" s="699"/>
      <c r="AA243" s="7"/>
      <c r="AB243" s="618"/>
      <c r="AC243" s="7"/>
      <c r="AD243" s="7"/>
      <c r="AE243" s="7"/>
      <c r="AF243" s="7"/>
      <c r="AG243" s="7"/>
      <c r="AH243" s="7"/>
    </row>
    <row r="244" spans="1:34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5"/>
      <c r="I244" s="215"/>
      <c r="J244" s="215"/>
      <c r="K244" s="215"/>
      <c r="L244" s="662"/>
      <c r="M244" s="662"/>
      <c r="N244" s="632"/>
      <c r="O244" s="213"/>
      <c r="P244" s="213"/>
      <c r="Q244" s="213"/>
      <c r="R244" s="213"/>
      <c r="S244" s="213"/>
      <c r="T244" s="643"/>
      <c r="U244" s="616">
        <f t="shared" si="0"/>
        <v>0</v>
      </c>
      <c r="V244" s="633"/>
      <c r="W244" s="648"/>
      <c r="X244" s="648"/>
      <c r="Y244" s="7"/>
      <c r="Z244" s="699"/>
      <c r="AA244" s="7"/>
      <c r="AB244" s="618">
        <f t="shared" ref="AB244:AB370" si="26">Z244-U244</f>
        <v>0</v>
      </c>
      <c r="AC244" s="7"/>
      <c r="AD244" s="7"/>
      <c r="AE244" s="7"/>
      <c r="AF244" s="7"/>
      <c r="AG244" s="7"/>
      <c r="AH244" s="7"/>
    </row>
    <row r="245" spans="1:34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5"/>
      <c r="I245" s="215"/>
      <c r="J245" s="215"/>
      <c r="K245" s="215"/>
      <c r="L245" s="647"/>
      <c r="M245" s="647"/>
      <c r="N245" s="632"/>
      <c r="O245" s="213"/>
      <c r="P245" s="213"/>
      <c r="Q245" s="213"/>
      <c r="R245" s="213"/>
      <c r="S245" s="213"/>
      <c r="T245" s="643"/>
      <c r="U245" s="616">
        <f t="shared" si="0"/>
        <v>0</v>
      </c>
      <c r="V245" s="633"/>
      <c r="W245" s="648"/>
      <c r="X245" s="648"/>
      <c r="Y245" s="7"/>
      <c r="Z245" s="699"/>
      <c r="AA245" s="7"/>
      <c r="AB245" s="618">
        <f t="shared" si="26"/>
        <v>0</v>
      </c>
      <c r="AC245" s="7"/>
      <c r="AD245" s="7"/>
      <c r="AE245" s="7"/>
      <c r="AF245" s="7"/>
      <c r="AG245" s="7"/>
      <c r="AH245" s="7"/>
    </row>
    <row r="246" spans="1:34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5"/>
      <c r="I246" s="215"/>
      <c r="J246" s="215"/>
      <c r="K246" s="215"/>
      <c r="L246" s="620"/>
      <c r="M246" s="620"/>
      <c r="N246" s="632"/>
      <c r="O246" s="213"/>
      <c r="P246" s="213"/>
      <c r="Q246" s="213"/>
      <c r="R246" s="213"/>
      <c r="S246" s="213"/>
      <c r="T246" s="643"/>
      <c r="U246" s="616">
        <f t="shared" si="0"/>
        <v>0</v>
      </c>
      <c r="V246" s="633"/>
      <c r="W246" s="636"/>
      <c r="X246" s="636"/>
      <c r="Y246" s="7"/>
      <c r="Z246" s="699"/>
      <c r="AA246" s="7"/>
      <c r="AB246" s="618">
        <f t="shared" si="26"/>
        <v>0</v>
      </c>
      <c r="AC246" s="7"/>
      <c r="AD246" s="7"/>
      <c r="AE246" s="7"/>
      <c r="AF246" s="7"/>
      <c r="AG246" s="7"/>
      <c r="AH246" s="7"/>
    </row>
    <row r="247" spans="1:34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5"/>
      <c r="I247" s="215"/>
      <c r="J247" s="215"/>
      <c r="K247" s="215"/>
      <c r="L247" s="620"/>
      <c r="M247" s="620"/>
      <c r="N247" s="632"/>
      <c r="O247" s="213"/>
      <c r="P247" s="213"/>
      <c r="Q247" s="213"/>
      <c r="R247" s="213"/>
      <c r="S247" s="213"/>
      <c r="T247" s="643"/>
      <c r="U247" s="616">
        <f t="shared" si="0"/>
        <v>0</v>
      </c>
      <c r="V247" s="633"/>
      <c r="W247" s="636"/>
      <c r="X247" s="636"/>
      <c r="Y247" s="7"/>
      <c r="Z247" s="699"/>
      <c r="AA247" s="7"/>
      <c r="AB247" s="618">
        <f t="shared" si="26"/>
        <v>0</v>
      </c>
      <c r="AC247" s="7"/>
      <c r="AD247" s="7"/>
      <c r="AE247" s="7"/>
      <c r="AF247" s="7"/>
      <c r="AG247" s="7"/>
      <c r="AH247" s="7"/>
    </row>
    <row r="248" spans="1:34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5"/>
      <c r="I248" s="215"/>
      <c r="J248" s="215"/>
      <c r="K248" s="215"/>
      <c r="L248" s="620"/>
      <c r="M248" s="620"/>
      <c r="N248" s="632"/>
      <c r="O248" s="213"/>
      <c r="P248" s="213"/>
      <c r="Q248" s="213"/>
      <c r="R248" s="213"/>
      <c r="S248" s="213"/>
      <c r="T248" s="643"/>
      <c r="U248" s="616">
        <f t="shared" si="0"/>
        <v>0</v>
      </c>
      <c r="V248" s="633"/>
      <c r="W248" s="636"/>
      <c r="X248" s="636"/>
      <c r="Y248" s="7"/>
      <c r="Z248" s="699"/>
      <c r="AA248" s="7"/>
      <c r="AB248" s="618">
        <f t="shared" si="26"/>
        <v>0</v>
      </c>
      <c r="AC248" s="7"/>
      <c r="AD248" s="7"/>
      <c r="AE248" s="7"/>
      <c r="AF248" s="7"/>
      <c r="AG248" s="7"/>
      <c r="AH248" s="7"/>
    </row>
    <row r="249" spans="1:34" ht="20.25" customHeight="1">
      <c r="A249" s="503" t="s">
        <v>1020</v>
      </c>
      <c r="B249" s="483" t="s">
        <v>566</v>
      </c>
      <c r="C249" s="629" t="s">
        <v>567</v>
      </c>
      <c r="D249" s="485" t="s">
        <v>1924</v>
      </c>
      <c r="E249" s="213"/>
      <c r="F249" s="213"/>
      <c r="G249" s="213"/>
      <c r="H249" s="215"/>
      <c r="I249" s="215"/>
      <c r="J249" s="215"/>
      <c r="K249" s="215"/>
      <c r="L249" s="620"/>
      <c r="M249" s="620"/>
      <c r="N249" s="632"/>
      <c r="O249" s="213"/>
      <c r="P249" s="213"/>
      <c r="Q249" s="213"/>
      <c r="R249" s="213"/>
      <c r="S249" s="213"/>
      <c r="T249" s="643"/>
      <c r="U249" s="616">
        <f t="shared" si="0"/>
        <v>0</v>
      </c>
      <c r="V249" s="633"/>
      <c r="W249" s="636"/>
      <c r="X249" s="636"/>
      <c r="Y249" s="7"/>
      <c r="Z249" s="699"/>
      <c r="AA249" s="7"/>
      <c r="AB249" s="618">
        <f t="shared" si="26"/>
        <v>0</v>
      </c>
      <c r="AC249" s="7"/>
      <c r="AD249" s="7"/>
      <c r="AE249" s="7"/>
      <c r="AF249" s="7"/>
      <c r="AG249" s="7"/>
      <c r="AH249" s="7"/>
    </row>
    <row r="250" spans="1:34" ht="20.25" customHeight="1">
      <c r="A250" s="503" t="s">
        <v>1022</v>
      </c>
      <c r="B250" s="483" t="s">
        <v>569</v>
      </c>
      <c r="C250" s="629" t="s">
        <v>570</v>
      </c>
      <c r="D250" s="485" t="s">
        <v>1925</v>
      </c>
      <c r="E250" s="213"/>
      <c r="F250" s="213"/>
      <c r="G250" s="213"/>
      <c r="H250" s="215"/>
      <c r="I250" s="215"/>
      <c r="J250" s="215"/>
      <c r="K250" s="215"/>
      <c r="L250" s="620"/>
      <c r="M250" s="620"/>
      <c r="N250" s="632"/>
      <c r="O250" s="213"/>
      <c r="P250" s="213"/>
      <c r="Q250" s="213"/>
      <c r="R250" s="213"/>
      <c r="S250" s="213"/>
      <c r="T250" s="643"/>
      <c r="U250" s="616">
        <f t="shared" si="0"/>
        <v>0</v>
      </c>
      <c r="V250" s="633"/>
      <c r="W250" s="636"/>
      <c r="X250" s="636"/>
      <c r="Y250" s="7"/>
      <c r="Z250" s="699"/>
      <c r="AA250" s="7"/>
      <c r="AB250" s="618">
        <f t="shared" si="26"/>
        <v>0</v>
      </c>
      <c r="AC250" s="7"/>
      <c r="AD250" s="7"/>
      <c r="AE250" s="7"/>
      <c r="AF250" s="7"/>
      <c r="AG250" s="7"/>
      <c r="AH250" s="7"/>
    </row>
    <row r="251" spans="1:34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5"/>
      <c r="I251" s="215"/>
      <c r="J251" s="215"/>
      <c r="K251" s="215"/>
      <c r="L251" s="647"/>
      <c r="M251" s="647"/>
      <c r="N251" s="632"/>
      <c r="O251" s="213"/>
      <c r="P251" s="213"/>
      <c r="Q251" s="213"/>
      <c r="R251" s="213"/>
      <c r="S251" s="213"/>
      <c r="T251" s="643"/>
      <c r="U251" s="616">
        <f t="shared" si="0"/>
        <v>0</v>
      </c>
      <c r="V251" s="633"/>
      <c r="W251" s="636"/>
      <c r="X251" s="636"/>
      <c r="Y251" s="7"/>
      <c r="Z251" s="699"/>
      <c r="AA251" s="7"/>
      <c r="AB251" s="618">
        <f t="shared" si="26"/>
        <v>0</v>
      </c>
      <c r="AC251" s="7"/>
      <c r="AD251" s="7"/>
      <c r="AE251" s="7"/>
      <c r="AF251" s="7"/>
      <c r="AG251" s="7"/>
      <c r="AH251" s="7"/>
    </row>
    <row r="252" spans="1:34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5"/>
      <c r="I252" s="215"/>
      <c r="J252" s="215"/>
      <c r="K252" s="215"/>
      <c r="L252" s="647"/>
      <c r="M252" s="647"/>
      <c r="N252" s="632"/>
      <c r="O252" s="213"/>
      <c r="P252" s="213"/>
      <c r="Q252" s="213"/>
      <c r="R252" s="213"/>
      <c r="S252" s="213"/>
      <c r="T252" s="643"/>
      <c r="U252" s="616">
        <f t="shared" si="0"/>
        <v>0</v>
      </c>
      <c r="V252" s="633"/>
      <c r="W252" s="636"/>
      <c r="X252" s="636"/>
      <c r="Y252" s="7"/>
      <c r="Z252" s="699"/>
      <c r="AA252" s="7"/>
      <c r="AB252" s="618">
        <f t="shared" si="26"/>
        <v>0</v>
      </c>
      <c r="AC252" s="7"/>
      <c r="AD252" s="7"/>
      <c r="AE252" s="7"/>
      <c r="AF252" s="7"/>
      <c r="AG252" s="7"/>
      <c r="AH252" s="7"/>
    </row>
    <row r="253" spans="1:34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5"/>
      <c r="I253" s="215"/>
      <c r="J253" s="215"/>
      <c r="K253" s="215"/>
      <c r="L253" s="662"/>
      <c r="M253" s="662"/>
      <c r="N253" s="632"/>
      <c r="O253" s="213"/>
      <c r="P253" s="213"/>
      <c r="Q253" s="213"/>
      <c r="R253" s="213"/>
      <c r="S253" s="213"/>
      <c r="T253" s="643"/>
      <c r="U253" s="616">
        <f t="shared" si="0"/>
        <v>0</v>
      </c>
      <c r="V253" s="633"/>
      <c r="W253" s="636"/>
      <c r="X253" s="636"/>
      <c r="Y253" s="7"/>
      <c r="Z253" s="699"/>
      <c r="AA253" s="7"/>
      <c r="AB253" s="618">
        <f t="shared" si="26"/>
        <v>0</v>
      </c>
      <c r="AC253" s="7"/>
      <c r="AD253" s="7"/>
      <c r="AE253" s="7"/>
      <c r="AF253" s="7"/>
      <c r="AG253" s="7"/>
      <c r="AH253" s="7"/>
    </row>
    <row r="254" spans="1:34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5"/>
      <c r="I254" s="215"/>
      <c r="J254" s="215"/>
      <c r="K254" s="215"/>
      <c r="L254" s="620"/>
      <c r="M254" s="620"/>
      <c r="N254" s="632"/>
      <c r="O254" s="213"/>
      <c r="P254" s="213"/>
      <c r="Q254" s="213"/>
      <c r="R254" s="213"/>
      <c r="S254" s="213"/>
      <c r="T254" s="643"/>
      <c r="U254" s="616">
        <f t="shared" si="0"/>
        <v>0</v>
      </c>
      <c r="V254" s="633"/>
      <c r="W254" s="636"/>
      <c r="X254" s="636"/>
      <c r="Y254" s="7"/>
      <c r="Z254" s="699"/>
      <c r="AA254" s="7"/>
      <c r="AB254" s="618">
        <f t="shared" si="26"/>
        <v>0</v>
      </c>
      <c r="AC254" s="7"/>
      <c r="AD254" s="7"/>
      <c r="AE254" s="7"/>
      <c r="AF254" s="7"/>
      <c r="AG254" s="7"/>
      <c r="AH254" s="7"/>
    </row>
    <row r="255" spans="1:34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5"/>
      <c r="I255" s="215"/>
      <c r="J255" s="215"/>
      <c r="K255" s="215"/>
      <c r="L255" s="647"/>
      <c r="M255" s="647"/>
      <c r="N255" s="632"/>
      <c r="O255" s="213"/>
      <c r="P255" s="213"/>
      <c r="Q255" s="213"/>
      <c r="R255" s="213"/>
      <c r="S255" s="213"/>
      <c r="T255" s="643"/>
      <c r="U255" s="616">
        <f t="shared" si="0"/>
        <v>0</v>
      </c>
      <c r="V255" s="633"/>
      <c r="W255" s="636"/>
      <c r="X255" s="636"/>
      <c r="Y255" s="7"/>
      <c r="Z255" s="699"/>
      <c r="AA255" s="7"/>
      <c r="AB255" s="618">
        <f t="shared" si="26"/>
        <v>0</v>
      </c>
      <c r="AC255" s="7"/>
      <c r="AD255" s="7"/>
      <c r="AE255" s="7"/>
      <c r="AF255" s="7"/>
      <c r="AG255" s="7"/>
      <c r="AH255" s="7"/>
    </row>
    <row r="256" spans="1:34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5"/>
      <c r="I256" s="215"/>
      <c r="J256" s="215"/>
      <c r="K256" s="215"/>
      <c r="L256" s="647"/>
      <c r="M256" s="647"/>
      <c r="N256" s="632"/>
      <c r="O256" s="213"/>
      <c r="P256" s="213"/>
      <c r="Q256" s="213"/>
      <c r="R256" s="213"/>
      <c r="S256" s="213"/>
      <c r="T256" s="643"/>
      <c r="U256" s="616">
        <f t="shared" si="0"/>
        <v>0</v>
      </c>
      <c r="V256" s="633"/>
      <c r="W256" s="636"/>
      <c r="X256" s="636"/>
      <c r="Y256" s="7"/>
      <c r="Z256" s="699"/>
      <c r="AA256" s="7"/>
      <c r="AB256" s="618">
        <f t="shared" si="26"/>
        <v>0</v>
      </c>
      <c r="AC256" s="7"/>
      <c r="AD256" s="7"/>
      <c r="AE256" s="7"/>
      <c r="AF256" s="7"/>
      <c r="AG256" s="7"/>
      <c r="AH256" s="7"/>
    </row>
    <row r="257" spans="1:34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5"/>
      <c r="I257" s="215"/>
      <c r="J257" s="215"/>
      <c r="K257" s="215"/>
      <c r="L257" s="647"/>
      <c r="M257" s="647"/>
      <c r="N257" s="632"/>
      <c r="O257" s="213"/>
      <c r="P257" s="213"/>
      <c r="Q257" s="213"/>
      <c r="R257" s="213"/>
      <c r="S257" s="213"/>
      <c r="T257" s="643"/>
      <c r="U257" s="616">
        <f t="shared" si="0"/>
        <v>0</v>
      </c>
      <c r="V257" s="633"/>
      <c r="W257" s="648"/>
      <c r="X257" s="648"/>
      <c r="Y257" s="7"/>
      <c r="Z257" s="699"/>
      <c r="AA257" s="7"/>
      <c r="AB257" s="618">
        <f t="shared" si="26"/>
        <v>0</v>
      </c>
      <c r="AC257" s="7"/>
      <c r="AD257" s="7"/>
      <c r="AE257" s="7"/>
      <c r="AF257" s="7"/>
      <c r="AG257" s="7"/>
      <c r="AH257" s="7"/>
    </row>
    <row r="258" spans="1:34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5"/>
      <c r="I258" s="215"/>
      <c r="J258" s="215"/>
      <c r="K258" s="215"/>
      <c r="L258" s="647"/>
      <c r="M258" s="647"/>
      <c r="N258" s="632"/>
      <c r="O258" s="213"/>
      <c r="P258" s="213"/>
      <c r="Q258" s="213"/>
      <c r="R258" s="213"/>
      <c r="S258" s="213"/>
      <c r="T258" s="643"/>
      <c r="U258" s="616">
        <f t="shared" si="0"/>
        <v>0</v>
      </c>
      <c r="V258" s="633"/>
      <c r="W258" s="648"/>
      <c r="X258" s="648"/>
      <c r="Y258" s="7"/>
      <c r="Z258" s="699"/>
      <c r="AA258" s="7"/>
      <c r="AB258" s="618">
        <f t="shared" si="26"/>
        <v>0</v>
      </c>
      <c r="AC258" s="7"/>
      <c r="AD258" s="7"/>
      <c r="AE258" s="7"/>
      <c r="AF258" s="7"/>
      <c r="AG258" s="7"/>
      <c r="AH258" s="7"/>
    </row>
    <row r="259" spans="1:34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5"/>
      <c r="I259" s="215"/>
      <c r="J259" s="215"/>
      <c r="K259" s="215"/>
      <c r="L259" s="662"/>
      <c r="M259" s="662"/>
      <c r="N259" s="632"/>
      <c r="O259" s="213"/>
      <c r="P259" s="213"/>
      <c r="Q259" s="213"/>
      <c r="R259" s="213"/>
      <c r="S259" s="213"/>
      <c r="T259" s="643"/>
      <c r="U259" s="616">
        <f t="shared" si="0"/>
        <v>0</v>
      </c>
      <c r="V259" s="633"/>
      <c r="W259" s="648"/>
      <c r="X259" s="648"/>
      <c r="Y259" s="7"/>
      <c r="Z259" s="699"/>
      <c r="AA259" s="7"/>
      <c r="AB259" s="618">
        <f t="shared" si="26"/>
        <v>0</v>
      </c>
      <c r="AC259" s="7"/>
      <c r="AD259" s="7"/>
      <c r="AE259" s="7"/>
      <c r="AF259" s="7"/>
      <c r="AG259" s="7"/>
      <c r="AH259" s="7"/>
    </row>
    <row r="260" spans="1:34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5"/>
      <c r="I260" s="215"/>
      <c r="J260" s="215"/>
      <c r="K260" s="215"/>
      <c r="L260" s="647"/>
      <c r="M260" s="647"/>
      <c r="N260" s="632"/>
      <c r="O260" s="213"/>
      <c r="P260" s="213"/>
      <c r="Q260" s="213"/>
      <c r="R260" s="213"/>
      <c r="S260" s="213"/>
      <c r="T260" s="643"/>
      <c r="U260" s="616">
        <f t="shared" si="0"/>
        <v>0</v>
      </c>
      <c r="V260" s="633"/>
      <c r="W260" s="648"/>
      <c r="X260" s="648"/>
      <c r="Y260" s="7"/>
      <c r="Z260" s="699"/>
      <c r="AA260" s="7"/>
      <c r="AB260" s="618">
        <f t="shared" si="26"/>
        <v>0</v>
      </c>
      <c r="AC260" s="7"/>
      <c r="AD260" s="7"/>
      <c r="AE260" s="7"/>
      <c r="AF260" s="7"/>
      <c r="AG260" s="7"/>
      <c r="AH260" s="7"/>
    </row>
    <row r="261" spans="1:34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5"/>
      <c r="I261" s="215"/>
      <c r="J261" s="215"/>
      <c r="K261" s="215"/>
      <c r="L261" s="647"/>
      <c r="M261" s="647"/>
      <c r="N261" s="632"/>
      <c r="O261" s="213"/>
      <c r="P261" s="213"/>
      <c r="Q261" s="213"/>
      <c r="R261" s="213"/>
      <c r="S261" s="213"/>
      <c r="T261" s="643"/>
      <c r="U261" s="616">
        <f t="shared" si="0"/>
        <v>0</v>
      </c>
      <c r="V261" s="633"/>
      <c r="W261" s="648"/>
      <c r="X261" s="648"/>
      <c r="Y261" s="7"/>
      <c r="Z261" s="699"/>
      <c r="AA261" s="7"/>
      <c r="AB261" s="618">
        <f t="shared" si="26"/>
        <v>0</v>
      </c>
      <c r="AC261" s="7"/>
      <c r="AD261" s="7"/>
      <c r="AE261" s="7"/>
      <c r="AF261" s="7"/>
      <c r="AG261" s="7"/>
      <c r="AH261" s="7"/>
    </row>
    <row r="262" spans="1:34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5"/>
      <c r="I262" s="215"/>
      <c r="J262" s="215"/>
      <c r="K262" s="215"/>
      <c r="L262" s="647"/>
      <c r="M262" s="647"/>
      <c r="N262" s="632"/>
      <c r="O262" s="213"/>
      <c r="P262" s="213"/>
      <c r="Q262" s="213"/>
      <c r="R262" s="213"/>
      <c r="S262" s="213"/>
      <c r="T262" s="643"/>
      <c r="U262" s="616">
        <f t="shared" si="0"/>
        <v>0</v>
      </c>
      <c r="V262" s="633"/>
      <c r="W262" s="648"/>
      <c r="X262" s="648"/>
      <c r="Y262" s="7"/>
      <c r="Z262" s="699"/>
      <c r="AA262" s="7"/>
      <c r="AB262" s="618">
        <f t="shared" si="26"/>
        <v>0</v>
      </c>
      <c r="AC262" s="7"/>
      <c r="AD262" s="7"/>
      <c r="AE262" s="7"/>
      <c r="AF262" s="7"/>
      <c r="AG262" s="7"/>
      <c r="AH262" s="7"/>
    </row>
    <row r="263" spans="1:34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5"/>
      <c r="I263" s="215"/>
      <c r="J263" s="215"/>
      <c r="K263" s="215"/>
      <c r="L263" s="647"/>
      <c r="M263" s="647"/>
      <c r="N263" s="632"/>
      <c r="O263" s="213"/>
      <c r="P263" s="213"/>
      <c r="Q263" s="213"/>
      <c r="R263" s="213"/>
      <c r="S263" s="213"/>
      <c r="T263" s="643"/>
      <c r="U263" s="616">
        <f t="shared" si="0"/>
        <v>0</v>
      </c>
      <c r="V263" s="633"/>
      <c r="W263" s="636"/>
      <c r="X263" s="636"/>
      <c r="Y263" s="7"/>
      <c r="Z263" s="699"/>
      <c r="AA263" s="7"/>
      <c r="AB263" s="618">
        <f t="shared" si="26"/>
        <v>0</v>
      </c>
      <c r="AC263" s="7"/>
      <c r="AD263" s="7"/>
      <c r="AE263" s="7"/>
      <c r="AF263" s="7"/>
      <c r="AG263" s="7"/>
      <c r="AH263" s="7"/>
    </row>
    <row r="264" spans="1:34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5"/>
      <c r="I264" s="215"/>
      <c r="J264" s="215"/>
      <c r="K264" s="215"/>
      <c r="L264" s="647"/>
      <c r="M264" s="647"/>
      <c r="N264" s="632"/>
      <c r="O264" s="213"/>
      <c r="P264" s="213"/>
      <c r="Q264" s="213"/>
      <c r="R264" s="213"/>
      <c r="S264" s="213"/>
      <c r="T264" s="643"/>
      <c r="U264" s="616">
        <f t="shared" si="0"/>
        <v>0</v>
      </c>
      <c r="V264" s="633"/>
      <c r="W264" s="648"/>
      <c r="X264" s="648"/>
      <c r="Y264" s="7"/>
      <c r="Z264" s="699"/>
      <c r="AA264" s="7"/>
      <c r="AB264" s="618">
        <f t="shared" si="26"/>
        <v>0</v>
      </c>
      <c r="AC264" s="7"/>
      <c r="AD264" s="7"/>
      <c r="AE264" s="7"/>
      <c r="AF264" s="7"/>
      <c r="AG264" s="7"/>
      <c r="AH264" s="7"/>
    </row>
    <row r="265" spans="1:34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5"/>
      <c r="I265" s="215"/>
      <c r="J265" s="215"/>
      <c r="K265" s="215"/>
      <c r="L265" s="662"/>
      <c r="M265" s="662"/>
      <c r="N265" s="632"/>
      <c r="O265" s="213"/>
      <c r="P265" s="213"/>
      <c r="Q265" s="213"/>
      <c r="R265" s="213"/>
      <c r="S265" s="213"/>
      <c r="T265" s="643"/>
      <c r="U265" s="616">
        <f t="shared" si="0"/>
        <v>0</v>
      </c>
      <c r="V265" s="633"/>
      <c r="W265" s="648"/>
      <c r="X265" s="648"/>
      <c r="Y265" s="7"/>
      <c r="Z265" s="699"/>
      <c r="AA265" s="7"/>
      <c r="AB265" s="618">
        <f t="shared" si="26"/>
        <v>0</v>
      </c>
      <c r="AC265" s="7"/>
      <c r="AD265" s="7"/>
      <c r="AE265" s="7"/>
      <c r="AF265" s="7"/>
      <c r="AG265" s="7"/>
      <c r="AH265" s="7"/>
    </row>
    <row r="266" spans="1:34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5"/>
      <c r="I266" s="215"/>
      <c r="J266" s="215"/>
      <c r="K266" s="215"/>
      <c r="L266" s="647"/>
      <c r="M266" s="647"/>
      <c r="N266" s="632"/>
      <c r="O266" s="213"/>
      <c r="P266" s="213"/>
      <c r="Q266" s="213"/>
      <c r="R266" s="213"/>
      <c r="S266" s="213"/>
      <c r="T266" s="643"/>
      <c r="U266" s="616">
        <f t="shared" si="0"/>
        <v>0</v>
      </c>
      <c r="V266" s="633"/>
      <c r="W266" s="648"/>
      <c r="X266" s="648"/>
      <c r="Y266" s="7"/>
      <c r="Z266" s="699"/>
      <c r="AA266" s="7"/>
      <c r="AB266" s="618">
        <f t="shared" si="26"/>
        <v>0</v>
      </c>
      <c r="AC266" s="7"/>
      <c r="AD266" s="7"/>
      <c r="AE266" s="7"/>
      <c r="AF266" s="7"/>
      <c r="AG266" s="7"/>
      <c r="AH266" s="7"/>
    </row>
    <row r="267" spans="1:34" ht="20.25" customHeight="1">
      <c r="A267" s="503" t="s">
        <v>605</v>
      </c>
      <c r="B267" s="483" t="s">
        <v>606</v>
      </c>
      <c r="C267" s="629" t="s">
        <v>593</v>
      </c>
      <c r="D267" s="485" t="s">
        <v>1926</v>
      </c>
      <c r="E267" s="213"/>
      <c r="F267" s="213"/>
      <c r="G267" s="213"/>
      <c r="H267" s="215"/>
      <c r="I267" s="215"/>
      <c r="J267" s="215"/>
      <c r="K267" s="215"/>
      <c r="L267" s="620"/>
      <c r="M267" s="620"/>
      <c r="N267" s="632"/>
      <c r="O267" s="213"/>
      <c r="P267" s="213"/>
      <c r="Q267" s="213"/>
      <c r="R267" s="213"/>
      <c r="S267" s="213"/>
      <c r="T267" s="643"/>
      <c r="U267" s="616">
        <f t="shared" si="0"/>
        <v>0</v>
      </c>
      <c r="V267" s="633"/>
      <c r="W267" s="648"/>
      <c r="X267" s="648"/>
      <c r="Y267" s="7"/>
      <c r="Z267" s="699"/>
      <c r="AA267" s="7"/>
      <c r="AB267" s="618">
        <f t="shared" si="26"/>
        <v>0</v>
      </c>
      <c r="AC267" s="7"/>
      <c r="AD267" s="7"/>
      <c r="AE267" s="7"/>
      <c r="AF267" s="7"/>
      <c r="AG267" s="7"/>
      <c r="AH267" s="7"/>
    </row>
    <row r="268" spans="1:34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5"/>
      <c r="I268" s="215"/>
      <c r="J268" s="215"/>
      <c r="K268" s="215"/>
      <c r="L268" s="647"/>
      <c r="M268" s="647"/>
      <c r="N268" s="632"/>
      <c r="O268" s="213"/>
      <c r="P268" s="213"/>
      <c r="Q268" s="213"/>
      <c r="R268" s="213"/>
      <c r="S268" s="213"/>
      <c r="T268" s="643"/>
      <c r="U268" s="616">
        <f t="shared" si="0"/>
        <v>0</v>
      </c>
      <c r="V268" s="633"/>
      <c r="W268" s="648"/>
      <c r="X268" s="648"/>
      <c r="Y268" s="7"/>
      <c r="Z268" s="699"/>
      <c r="AA268" s="7"/>
      <c r="AB268" s="618">
        <f t="shared" si="26"/>
        <v>0</v>
      </c>
      <c r="AC268" s="7"/>
      <c r="AD268" s="7"/>
      <c r="AE268" s="7"/>
      <c r="AF268" s="7"/>
      <c r="AG268" s="7"/>
      <c r="AH268" s="7"/>
    </row>
    <row r="269" spans="1:34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5"/>
      <c r="I269" s="215"/>
      <c r="J269" s="215"/>
      <c r="K269" s="215"/>
      <c r="L269" s="647"/>
      <c r="M269" s="647"/>
      <c r="N269" s="632"/>
      <c r="O269" s="213"/>
      <c r="P269" s="213"/>
      <c r="Q269" s="213"/>
      <c r="R269" s="213"/>
      <c r="S269" s="213"/>
      <c r="T269" s="643"/>
      <c r="U269" s="616">
        <f t="shared" si="0"/>
        <v>0</v>
      </c>
      <c r="V269" s="633"/>
      <c r="W269" s="636"/>
      <c r="X269" s="636"/>
      <c r="Y269" s="7"/>
      <c r="Z269" s="699"/>
      <c r="AA269" s="7"/>
      <c r="AB269" s="618">
        <f t="shared" si="26"/>
        <v>0</v>
      </c>
      <c r="AC269" s="7"/>
      <c r="AD269" s="7"/>
      <c r="AE269" s="7"/>
      <c r="AF269" s="7"/>
      <c r="AG269" s="7"/>
      <c r="AH269" s="7"/>
    </row>
    <row r="270" spans="1:34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5"/>
      <c r="I270" s="215"/>
      <c r="J270" s="215"/>
      <c r="K270" s="215"/>
      <c r="L270" s="647"/>
      <c r="M270" s="647"/>
      <c r="N270" s="632"/>
      <c r="O270" s="213"/>
      <c r="P270" s="213"/>
      <c r="Q270" s="213"/>
      <c r="R270" s="213"/>
      <c r="S270" s="213"/>
      <c r="T270" s="643"/>
      <c r="U270" s="616">
        <f t="shared" si="0"/>
        <v>0</v>
      </c>
      <c r="V270" s="633"/>
      <c r="W270" s="648"/>
      <c r="X270" s="648"/>
      <c r="Y270" s="7"/>
      <c r="Z270" s="699"/>
      <c r="AA270" s="7"/>
      <c r="AB270" s="618">
        <f t="shared" si="26"/>
        <v>0</v>
      </c>
      <c r="AC270" s="7"/>
      <c r="AD270" s="7"/>
      <c r="AE270" s="7"/>
      <c r="AF270" s="7"/>
      <c r="AG270" s="7"/>
      <c r="AH270" s="7"/>
    </row>
    <row r="271" spans="1:34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5"/>
      <c r="I271" s="215"/>
      <c r="J271" s="215"/>
      <c r="K271" s="215"/>
      <c r="L271" s="647"/>
      <c r="M271" s="647"/>
      <c r="N271" s="632"/>
      <c r="O271" s="213"/>
      <c r="P271" s="213"/>
      <c r="Q271" s="213"/>
      <c r="R271" s="213"/>
      <c r="S271" s="213"/>
      <c r="T271" s="643"/>
      <c r="U271" s="616">
        <f t="shared" si="0"/>
        <v>0</v>
      </c>
      <c r="V271" s="633"/>
      <c r="W271" s="648"/>
      <c r="X271" s="648"/>
      <c r="Y271" s="7"/>
      <c r="Z271" s="699"/>
      <c r="AA271" s="7"/>
      <c r="AB271" s="618">
        <f t="shared" si="26"/>
        <v>0</v>
      </c>
      <c r="AC271" s="7"/>
      <c r="AD271" s="7"/>
      <c r="AE271" s="7"/>
      <c r="AF271" s="7"/>
      <c r="AG271" s="7"/>
      <c r="AH271" s="7"/>
    </row>
    <row r="272" spans="1:34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5"/>
      <c r="I272" s="215"/>
      <c r="J272" s="215"/>
      <c r="K272" s="215"/>
      <c r="L272" s="662"/>
      <c r="M272" s="662"/>
      <c r="N272" s="632"/>
      <c r="O272" s="213"/>
      <c r="P272" s="213"/>
      <c r="Q272" s="213"/>
      <c r="R272" s="213"/>
      <c r="S272" s="213"/>
      <c r="T272" s="643"/>
      <c r="U272" s="616">
        <f t="shared" si="0"/>
        <v>0</v>
      </c>
      <c r="V272" s="633"/>
      <c r="W272" s="648"/>
      <c r="X272" s="648"/>
      <c r="Y272" s="7"/>
      <c r="Z272" s="699"/>
      <c r="AA272" s="7"/>
      <c r="AB272" s="618">
        <f t="shared" si="26"/>
        <v>0</v>
      </c>
      <c r="AC272" s="7"/>
      <c r="AD272" s="7"/>
      <c r="AE272" s="7"/>
      <c r="AF272" s="7"/>
      <c r="AG272" s="7"/>
      <c r="AH272" s="7"/>
    </row>
    <row r="273" spans="1:34" ht="20.25" customHeight="1">
      <c r="A273" s="503" t="s">
        <v>620</v>
      </c>
      <c r="B273" s="483" t="s">
        <v>621</v>
      </c>
      <c r="C273" s="629" t="s">
        <v>622</v>
      </c>
      <c r="D273" s="485" t="s">
        <v>1927</v>
      </c>
      <c r="E273" s="213"/>
      <c r="F273" s="213"/>
      <c r="G273" s="213"/>
      <c r="H273" s="215"/>
      <c r="I273" s="215"/>
      <c r="J273" s="215"/>
      <c r="K273" s="215"/>
      <c r="L273" s="620"/>
      <c r="M273" s="620"/>
      <c r="N273" s="632"/>
      <c r="O273" s="213"/>
      <c r="P273" s="213"/>
      <c r="Q273" s="213"/>
      <c r="R273" s="213"/>
      <c r="S273" s="213"/>
      <c r="T273" s="643"/>
      <c r="U273" s="616">
        <f t="shared" si="0"/>
        <v>0</v>
      </c>
      <c r="V273" s="633"/>
      <c r="W273" s="648"/>
      <c r="X273" s="648"/>
      <c r="Y273" s="7"/>
      <c r="Z273" s="699"/>
      <c r="AA273" s="7"/>
      <c r="AB273" s="618">
        <f t="shared" si="26"/>
        <v>0</v>
      </c>
      <c r="AC273" s="7"/>
      <c r="AD273" s="7"/>
      <c r="AE273" s="7"/>
      <c r="AF273" s="7"/>
      <c r="AG273" s="7"/>
      <c r="AH273" s="7"/>
    </row>
    <row r="274" spans="1:34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5"/>
      <c r="I274" s="215"/>
      <c r="J274" s="215"/>
      <c r="K274" s="215"/>
      <c r="L274" s="647"/>
      <c r="M274" s="647"/>
      <c r="N274" s="632"/>
      <c r="O274" s="213"/>
      <c r="P274" s="213"/>
      <c r="Q274" s="213"/>
      <c r="R274" s="213"/>
      <c r="S274" s="213"/>
      <c r="T274" s="643"/>
      <c r="U274" s="616">
        <f t="shared" si="0"/>
        <v>0</v>
      </c>
      <c r="V274" s="633"/>
      <c r="W274" s="648"/>
      <c r="X274" s="648"/>
      <c r="Y274" s="7"/>
      <c r="Z274" s="699"/>
      <c r="AA274" s="7"/>
      <c r="AB274" s="618">
        <f t="shared" si="26"/>
        <v>0</v>
      </c>
      <c r="AC274" s="7"/>
      <c r="AD274" s="7"/>
      <c r="AE274" s="7"/>
      <c r="AF274" s="7"/>
      <c r="AG274" s="7"/>
      <c r="AH274" s="7"/>
    </row>
    <row r="275" spans="1:34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5"/>
      <c r="I275" s="215"/>
      <c r="J275" s="215"/>
      <c r="K275" s="215"/>
      <c r="L275" s="620"/>
      <c r="M275" s="620"/>
      <c r="N275" s="632"/>
      <c r="O275" s="213"/>
      <c r="P275" s="213"/>
      <c r="Q275" s="213"/>
      <c r="R275" s="213"/>
      <c r="S275" s="213"/>
      <c r="T275" s="643"/>
      <c r="U275" s="616">
        <f t="shared" ref="U275:U447" si="27">+SUM(E275:T275)</f>
        <v>0</v>
      </c>
      <c r="V275" s="633"/>
      <c r="W275" s="636"/>
      <c r="X275" s="636"/>
      <c r="Y275" s="7"/>
      <c r="Z275" s="699"/>
      <c r="AA275" s="7"/>
      <c r="AB275" s="618">
        <f t="shared" si="26"/>
        <v>0</v>
      </c>
      <c r="AC275" s="7"/>
      <c r="AD275" s="7"/>
      <c r="AE275" s="7"/>
      <c r="AF275" s="7"/>
      <c r="AG275" s="7"/>
      <c r="AH275" s="7"/>
    </row>
    <row r="276" spans="1:34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5"/>
      <c r="I276" s="215"/>
      <c r="J276" s="215"/>
      <c r="K276" s="215"/>
      <c r="L276" s="647"/>
      <c r="M276" s="647"/>
      <c r="N276" s="632"/>
      <c r="O276" s="213"/>
      <c r="P276" s="213"/>
      <c r="Q276" s="213"/>
      <c r="R276" s="213"/>
      <c r="S276" s="213"/>
      <c r="T276" s="643"/>
      <c r="U276" s="616">
        <f t="shared" si="27"/>
        <v>0</v>
      </c>
      <c r="V276" s="633"/>
      <c r="W276" s="648"/>
      <c r="X276" s="648"/>
      <c r="Y276" s="7"/>
      <c r="Z276" s="699"/>
      <c r="AA276" s="7"/>
      <c r="AB276" s="618">
        <f t="shared" si="26"/>
        <v>0</v>
      </c>
      <c r="AC276" s="7"/>
      <c r="AD276" s="7"/>
      <c r="AE276" s="7"/>
      <c r="AF276" s="7"/>
      <c r="AG276" s="7"/>
      <c r="AH276" s="7"/>
    </row>
    <row r="277" spans="1:34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5"/>
      <c r="I277" s="215"/>
      <c r="J277" s="215"/>
      <c r="K277" s="215"/>
      <c r="L277" s="662"/>
      <c r="M277" s="662"/>
      <c r="N277" s="632"/>
      <c r="O277" s="213"/>
      <c r="P277" s="213"/>
      <c r="Q277" s="213"/>
      <c r="R277" s="213"/>
      <c r="S277" s="213"/>
      <c r="T277" s="643"/>
      <c r="U277" s="616">
        <f t="shared" si="27"/>
        <v>0</v>
      </c>
      <c r="V277" s="633"/>
      <c r="W277" s="648"/>
      <c r="X277" s="648"/>
      <c r="Y277" s="7"/>
      <c r="Z277" s="699"/>
      <c r="AA277" s="7"/>
      <c r="AB277" s="618">
        <f t="shared" si="26"/>
        <v>0</v>
      </c>
      <c r="AC277" s="7"/>
      <c r="AD277" s="7"/>
      <c r="AE277" s="7"/>
      <c r="AF277" s="7"/>
      <c r="AG277" s="7"/>
      <c r="AH277" s="7"/>
    </row>
    <row r="278" spans="1:34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5"/>
      <c r="I278" s="215"/>
      <c r="J278" s="215"/>
      <c r="K278" s="215"/>
      <c r="L278" s="647"/>
      <c r="M278" s="647"/>
      <c r="N278" s="632"/>
      <c r="O278" s="213"/>
      <c r="P278" s="213"/>
      <c r="Q278" s="213"/>
      <c r="R278" s="213"/>
      <c r="S278" s="213"/>
      <c r="T278" s="643"/>
      <c r="U278" s="616">
        <f t="shared" si="27"/>
        <v>0</v>
      </c>
      <c r="V278" s="633"/>
      <c r="W278" s="648"/>
      <c r="X278" s="648"/>
      <c r="Y278" s="7"/>
      <c r="Z278" s="699"/>
      <c r="AA278" s="7"/>
      <c r="AB278" s="618">
        <f t="shared" si="26"/>
        <v>0</v>
      </c>
      <c r="AC278" s="7"/>
      <c r="AD278" s="7"/>
      <c r="AE278" s="7"/>
      <c r="AF278" s="7"/>
      <c r="AG278" s="7"/>
      <c r="AH278" s="7"/>
    </row>
    <row r="279" spans="1:34" ht="20.25" customHeight="1">
      <c r="A279" s="503" t="s">
        <v>636</v>
      </c>
      <c r="B279" s="483" t="s">
        <v>637</v>
      </c>
      <c r="C279" s="629" t="s">
        <v>638</v>
      </c>
      <c r="D279" s="485" t="s">
        <v>1928</v>
      </c>
      <c r="E279" s="213"/>
      <c r="F279" s="213"/>
      <c r="G279" s="213"/>
      <c r="H279" s="215"/>
      <c r="I279" s="215"/>
      <c r="J279" s="215"/>
      <c r="K279" s="215"/>
      <c r="L279" s="620"/>
      <c r="M279" s="620"/>
      <c r="N279" s="632"/>
      <c r="O279" s="213"/>
      <c r="P279" s="213"/>
      <c r="Q279" s="213"/>
      <c r="R279" s="213"/>
      <c r="S279" s="213"/>
      <c r="T279" s="643"/>
      <c r="U279" s="616">
        <f t="shared" si="27"/>
        <v>0</v>
      </c>
      <c r="V279" s="633"/>
      <c r="W279" s="648"/>
      <c r="X279" s="648"/>
      <c r="Y279" s="7"/>
      <c r="Z279" s="699"/>
      <c r="AA279" s="7"/>
      <c r="AB279" s="618">
        <f t="shared" si="26"/>
        <v>0</v>
      </c>
      <c r="AC279" s="7"/>
      <c r="AD279" s="7"/>
      <c r="AE279" s="7"/>
      <c r="AF279" s="7"/>
      <c r="AG279" s="7"/>
      <c r="AH279" s="7"/>
    </row>
    <row r="280" spans="1:34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5"/>
      <c r="I280" s="215"/>
      <c r="J280" s="215"/>
      <c r="K280" s="215"/>
      <c r="L280" s="647"/>
      <c r="M280" s="647"/>
      <c r="N280" s="632"/>
      <c r="O280" s="213"/>
      <c r="P280" s="213"/>
      <c r="Q280" s="213"/>
      <c r="R280" s="213"/>
      <c r="S280" s="213"/>
      <c r="T280" s="643"/>
      <c r="U280" s="616">
        <f t="shared" si="27"/>
        <v>0</v>
      </c>
      <c r="V280" s="633"/>
      <c r="W280" s="648"/>
      <c r="X280" s="648"/>
      <c r="Y280" s="7"/>
      <c r="Z280" s="699"/>
      <c r="AA280" s="7"/>
      <c r="AB280" s="618">
        <f t="shared" si="26"/>
        <v>0</v>
      </c>
      <c r="AC280" s="7"/>
      <c r="AD280" s="7"/>
      <c r="AE280" s="7"/>
      <c r="AF280" s="7"/>
      <c r="AG280" s="7"/>
      <c r="AH280" s="7"/>
    </row>
    <row r="281" spans="1:34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5"/>
      <c r="I281" s="215"/>
      <c r="J281" s="215"/>
      <c r="K281" s="215"/>
      <c r="L281" s="662"/>
      <c r="M281" s="662"/>
      <c r="N281" s="632"/>
      <c r="O281" s="213"/>
      <c r="P281" s="213"/>
      <c r="Q281" s="213"/>
      <c r="R281" s="213"/>
      <c r="S281" s="213"/>
      <c r="T281" s="643"/>
      <c r="U281" s="616">
        <f t="shared" si="27"/>
        <v>0</v>
      </c>
      <c r="V281" s="633"/>
      <c r="W281" s="648"/>
      <c r="X281" s="648"/>
      <c r="Y281" s="7"/>
      <c r="Z281" s="699"/>
      <c r="AA281" s="7"/>
      <c r="AB281" s="618">
        <f t="shared" si="26"/>
        <v>0</v>
      </c>
      <c r="AC281" s="7"/>
      <c r="AD281" s="7"/>
      <c r="AE281" s="7"/>
      <c r="AF281" s="7"/>
      <c r="AG281" s="7"/>
      <c r="AH281" s="7"/>
    </row>
    <row r="282" spans="1:34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5"/>
      <c r="I282" s="215"/>
      <c r="J282" s="215"/>
      <c r="K282" s="215"/>
      <c r="L282" s="662"/>
      <c r="M282" s="662"/>
      <c r="N282" s="632"/>
      <c r="O282" s="213"/>
      <c r="P282" s="213"/>
      <c r="Q282" s="213"/>
      <c r="R282" s="213"/>
      <c r="S282" s="213"/>
      <c r="T282" s="643"/>
      <c r="U282" s="616">
        <f t="shared" si="27"/>
        <v>0</v>
      </c>
      <c r="V282" s="633"/>
      <c r="W282" s="640"/>
      <c r="X282" s="640"/>
      <c r="Y282" s="7"/>
      <c r="Z282" s="699"/>
      <c r="AA282" s="7"/>
      <c r="AB282" s="618">
        <f t="shared" si="26"/>
        <v>0</v>
      </c>
      <c r="AC282" s="7"/>
      <c r="AD282" s="7"/>
      <c r="AE282" s="7"/>
      <c r="AF282" s="7"/>
      <c r="AG282" s="7"/>
      <c r="AH282" s="7"/>
    </row>
    <row r="283" spans="1:34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5"/>
      <c r="I283" s="215"/>
      <c r="J283" s="215"/>
      <c r="K283" s="215"/>
      <c r="L283" s="620"/>
      <c r="M283" s="620"/>
      <c r="N283" s="632">
        <v>3.03</v>
      </c>
      <c r="O283" s="213">
        <v>8.4</v>
      </c>
      <c r="P283" s="213">
        <v>12.19</v>
      </c>
      <c r="Q283" s="213"/>
      <c r="R283" s="213"/>
      <c r="S283" s="213"/>
      <c r="T283" s="643"/>
      <c r="U283" s="616">
        <f t="shared" si="27"/>
        <v>23.619999999999997</v>
      </c>
      <c r="V283" s="633"/>
      <c r="W283" s="636"/>
      <c r="X283" s="636"/>
      <c r="Y283" s="7"/>
      <c r="Z283" s="702">
        <v>51.1</v>
      </c>
      <c r="AA283" s="7"/>
      <c r="AB283" s="618">
        <f t="shared" si="26"/>
        <v>27.480000000000004</v>
      </c>
      <c r="AC283" s="7"/>
      <c r="AD283" s="7"/>
      <c r="AE283" s="7"/>
      <c r="AF283" s="7"/>
      <c r="AG283" s="7"/>
      <c r="AH283" s="7"/>
    </row>
    <row r="284" spans="1:34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5"/>
      <c r="I284" s="215"/>
      <c r="J284" s="215"/>
      <c r="K284" s="215"/>
      <c r="L284" s="647"/>
      <c r="M284" s="647"/>
      <c r="N284" s="632"/>
      <c r="O284" s="213"/>
      <c r="P284" s="213"/>
      <c r="Q284" s="213"/>
      <c r="R284" s="213"/>
      <c r="S284" s="213"/>
      <c r="T284" s="643"/>
      <c r="U284" s="616">
        <f t="shared" si="27"/>
        <v>0</v>
      </c>
      <c r="V284" s="633"/>
      <c r="W284" s="654"/>
      <c r="X284" s="654"/>
      <c r="Y284" s="7"/>
      <c r="Z284" s="702">
        <v>41.739000000000004</v>
      </c>
      <c r="AA284" s="7"/>
      <c r="AB284" s="618">
        <f t="shared" si="26"/>
        <v>41.739000000000004</v>
      </c>
      <c r="AC284" s="7"/>
      <c r="AD284" s="7"/>
      <c r="AE284" s="7"/>
      <c r="AF284" s="7"/>
      <c r="AG284" s="7"/>
      <c r="AH284" s="7"/>
    </row>
    <row r="285" spans="1:34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5"/>
      <c r="I285" s="215"/>
      <c r="J285" s="215"/>
      <c r="K285" s="215"/>
      <c r="L285" s="647"/>
      <c r="M285" s="647"/>
      <c r="N285" s="632"/>
      <c r="O285" s="213"/>
      <c r="P285" s="213"/>
      <c r="Q285" s="213"/>
      <c r="R285" s="213"/>
      <c r="S285" s="213"/>
      <c r="T285" s="643"/>
      <c r="U285" s="616">
        <f t="shared" si="27"/>
        <v>0</v>
      </c>
      <c r="V285" s="633"/>
      <c r="W285" s="654"/>
      <c r="X285" s="654"/>
      <c r="Y285" s="7"/>
      <c r="Z285" s="702">
        <v>13.019</v>
      </c>
      <c r="AA285" s="7"/>
      <c r="AB285" s="618">
        <f t="shared" si="26"/>
        <v>13.019</v>
      </c>
      <c r="AC285" s="7"/>
      <c r="AD285" s="7"/>
      <c r="AE285" s="7"/>
      <c r="AF285" s="7"/>
      <c r="AG285" s="7"/>
      <c r="AH285" s="7"/>
    </row>
    <row r="286" spans="1:34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5"/>
      <c r="I286" s="215"/>
      <c r="J286" s="215"/>
      <c r="K286" s="215"/>
      <c r="L286" s="647"/>
      <c r="M286" s="647"/>
      <c r="N286" s="632"/>
      <c r="O286" s="213"/>
      <c r="P286" s="213"/>
      <c r="Q286" s="213"/>
      <c r="R286" s="213"/>
      <c r="S286" s="213"/>
      <c r="T286" s="643"/>
      <c r="U286" s="616">
        <f t="shared" si="27"/>
        <v>0</v>
      </c>
      <c r="V286" s="633"/>
      <c r="W286" s="654"/>
      <c r="X286" s="654"/>
      <c r="Y286" s="7"/>
      <c r="Z286" s="702"/>
      <c r="AA286" s="7"/>
      <c r="AB286" s="618">
        <f t="shared" si="26"/>
        <v>0</v>
      </c>
      <c r="AC286" s="7"/>
      <c r="AD286" s="7"/>
      <c r="AE286" s="7"/>
      <c r="AF286" s="7"/>
      <c r="AG286" s="7"/>
      <c r="AH286" s="7"/>
    </row>
    <row r="287" spans="1:34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5"/>
      <c r="I287" s="215"/>
      <c r="J287" s="215"/>
      <c r="K287" s="215"/>
      <c r="L287" s="647"/>
      <c r="M287" s="647"/>
      <c r="N287" s="632"/>
      <c r="O287" s="213"/>
      <c r="P287" s="213"/>
      <c r="Q287" s="213"/>
      <c r="R287" s="213"/>
      <c r="S287" s="213"/>
      <c r="T287" s="643"/>
      <c r="U287" s="616">
        <f t="shared" si="27"/>
        <v>0</v>
      </c>
      <c r="V287" s="633"/>
      <c r="W287" s="654"/>
      <c r="X287" s="654"/>
      <c r="Y287" s="7"/>
      <c r="Z287" s="702">
        <v>6.74</v>
      </c>
      <c r="AA287" s="7"/>
      <c r="AB287" s="618">
        <f t="shared" si="26"/>
        <v>6.74</v>
      </c>
      <c r="AC287" s="7"/>
      <c r="AD287" s="7"/>
      <c r="AE287" s="7"/>
      <c r="AF287" s="7"/>
      <c r="AG287" s="7"/>
      <c r="AH287" s="7"/>
    </row>
    <row r="288" spans="1:34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5"/>
      <c r="I288" s="215"/>
      <c r="J288" s="215"/>
      <c r="K288" s="215"/>
      <c r="L288" s="647"/>
      <c r="M288" s="647"/>
      <c r="N288" s="632"/>
      <c r="O288" s="213"/>
      <c r="P288" s="213"/>
      <c r="Q288" s="213"/>
      <c r="R288" s="213"/>
      <c r="S288" s="213"/>
      <c r="T288" s="643"/>
      <c r="U288" s="616">
        <f t="shared" si="27"/>
        <v>0</v>
      </c>
      <c r="V288" s="633"/>
      <c r="W288" s="654"/>
      <c r="X288" s="654"/>
      <c r="Y288" s="7"/>
      <c r="Z288" s="702">
        <v>21.98</v>
      </c>
      <c r="AA288" s="7"/>
      <c r="AB288" s="618">
        <f t="shared" si="26"/>
        <v>21.98</v>
      </c>
      <c r="AC288" s="7"/>
      <c r="AD288" s="7"/>
      <c r="AE288" s="7"/>
      <c r="AF288" s="7"/>
      <c r="AG288" s="7"/>
      <c r="AH288" s="7"/>
    </row>
    <row r="289" spans="1:34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5"/>
      <c r="I289" s="215"/>
      <c r="J289" s="215"/>
      <c r="K289" s="215"/>
      <c r="L289" s="647"/>
      <c r="M289" s="647"/>
      <c r="N289" s="632"/>
      <c r="O289" s="213"/>
      <c r="P289" s="213"/>
      <c r="Q289" s="213"/>
      <c r="R289" s="213"/>
      <c r="S289" s="213"/>
      <c r="T289" s="643"/>
      <c r="U289" s="616">
        <f t="shared" si="27"/>
        <v>0</v>
      </c>
      <c r="V289" s="633"/>
      <c r="W289" s="654"/>
      <c r="X289" s="654"/>
      <c r="Y289" s="7"/>
      <c r="Z289" s="699"/>
      <c r="AA289" s="7"/>
      <c r="AB289" s="618">
        <f t="shared" si="26"/>
        <v>0</v>
      </c>
      <c r="AC289" s="7"/>
      <c r="AD289" s="7"/>
      <c r="AE289" s="7"/>
      <c r="AF289" s="7"/>
      <c r="AG289" s="7"/>
      <c r="AH289" s="7"/>
    </row>
    <row r="290" spans="1:34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5"/>
      <c r="I290" s="215"/>
      <c r="J290" s="215"/>
      <c r="K290" s="215"/>
      <c r="L290" s="647"/>
      <c r="M290" s="647"/>
      <c r="N290" s="632"/>
      <c r="O290" s="213"/>
      <c r="P290" s="213"/>
      <c r="Q290" s="213"/>
      <c r="R290" s="213"/>
      <c r="S290" s="213"/>
      <c r="T290" s="643"/>
      <c r="U290" s="616">
        <f t="shared" si="27"/>
        <v>0</v>
      </c>
      <c r="V290" s="633"/>
      <c r="W290" s="648"/>
      <c r="X290" s="648"/>
      <c r="Y290" s="7"/>
      <c r="Z290" s="699"/>
      <c r="AA290" s="7"/>
      <c r="AB290" s="618">
        <f t="shared" si="26"/>
        <v>0</v>
      </c>
      <c r="AC290" s="7"/>
      <c r="AD290" s="7"/>
      <c r="AE290" s="7"/>
      <c r="AF290" s="7"/>
      <c r="AG290" s="7"/>
      <c r="AH290" s="7"/>
    </row>
    <row r="291" spans="1:34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5"/>
      <c r="I291" s="215"/>
      <c r="J291" s="215"/>
      <c r="K291" s="215"/>
      <c r="L291" s="647"/>
      <c r="M291" s="647"/>
      <c r="N291" s="632"/>
      <c r="O291" s="213"/>
      <c r="P291" s="213"/>
      <c r="Q291" s="213"/>
      <c r="R291" s="213"/>
      <c r="S291" s="213"/>
      <c r="T291" s="643"/>
      <c r="U291" s="616">
        <f t="shared" si="27"/>
        <v>0</v>
      </c>
      <c r="V291" s="633"/>
      <c r="W291" s="648"/>
      <c r="X291" s="648"/>
      <c r="Y291" s="7"/>
      <c r="Z291" s="699"/>
      <c r="AA291" s="7"/>
      <c r="AB291" s="618">
        <f t="shared" si="26"/>
        <v>0</v>
      </c>
      <c r="AC291" s="7"/>
      <c r="AD291" s="7"/>
      <c r="AE291" s="7"/>
      <c r="AF291" s="7"/>
      <c r="AG291" s="7"/>
      <c r="AH291" s="7"/>
    </row>
    <row r="292" spans="1:34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5"/>
      <c r="I292" s="215"/>
      <c r="J292" s="215"/>
      <c r="K292" s="215"/>
      <c r="L292" s="647"/>
      <c r="M292" s="647"/>
      <c r="N292" s="632"/>
      <c r="O292" s="213"/>
      <c r="P292" s="213"/>
      <c r="Q292" s="213"/>
      <c r="R292" s="213"/>
      <c r="S292" s="213"/>
      <c r="T292" s="643"/>
      <c r="U292" s="616">
        <f t="shared" si="27"/>
        <v>0</v>
      </c>
      <c r="V292" s="633"/>
      <c r="W292" s="648"/>
      <c r="X292" s="648"/>
      <c r="Y292" s="7"/>
      <c r="Z292" s="699"/>
      <c r="AA292" s="7"/>
      <c r="AB292" s="618">
        <f t="shared" si="26"/>
        <v>0</v>
      </c>
      <c r="AC292" s="7"/>
      <c r="AD292" s="7"/>
      <c r="AE292" s="7"/>
      <c r="AF292" s="7"/>
      <c r="AG292" s="7"/>
      <c r="AH292" s="7"/>
    </row>
    <row r="293" spans="1:34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5"/>
      <c r="I293" s="215"/>
      <c r="J293" s="215"/>
      <c r="K293" s="215"/>
      <c r="L293" s="647"/>
      <c r="M293" s="647"/>
      <c r="N293" s="632"/>
      <c r="O293" s="213"/>
      <c r="P293" s="213"/>
      <c r="Q293" s="213"/>
      <c r="R293" s="213"/>
      <c r="S293" s="213"/>
      <c r="T293" s="643"/>
      <c r="U293" s="616">
        <f t="shared" si="27"/>
        <v>0</v>
      </c>
      <c r="V293" s="633"/>
      <c r="W293" s="648"/>
      <c r="X293" s="648"/>
      <c r="Y293" s="7"/>
      <c r="Z293" s="699"/>
      <c r="AA293" s="7"/>
      <c r="AB293" s="618">
        <f t="shared" si="26"/>
        <v>0</v>
      </c>
      <c r="AC293" s="7"/>
      <c r="AD293" s="7"/>
      <c r="AE293" s="7"/>
      <c r="AF293" s="7"/>
      <c r="AG293" s="7"/>
      <c r="AH293" s="7"/>
    </row>
    <row r="294" spans="1:34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5"/>
      <c r="I294" s="215"/>
      <c r="J294" s="215"/>
      <c r="K294" s="215"/>
      <c r="L294" s="620"/>
      <c r="M294" s="620"/>
      <c r="N294" s="632"/>
      <c r="O294" s="213"/>
      <c r="P294" s="213"/>
      <c r="Q294" s="213"/>
      <c r="R294" s="213"/>
      <c r="S294" s="213"/>
      <c r="T294" s="643"/>
      <c r="U294" s="616">
        <f t="shared" si="27"/>
        <v>0</v>
      </c>
      <c r="V294" s="633"/>
      <c r="W294" s="654"/>
      <c r="X294" s="654"/>
      <c r="Y294" s="7"/>
      <c r="Z294" s="699"/>
      <c r="AA294" s="7"/>
      <c r="AB294" s="618">
        <f t="shared" si="26"/>
        <v>0</v>
      </c>
      <c r="AC294" s="7"/>
      <c r="AD294" s="7"/>
      <c r="AE294" s="7"/>
      <c r="AF294" s="7"/>
      <c r="AG294" s="7"/>
      <c r="AH294" s="7"/>
    </row>
    <row r="295" spans="1:34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5"/>
      <c r="I295" s="215"/>
      <c r="J295" s="215"/>
      <c r="K295" s="215"/>
      <c r="L295" s="647"/>
      <c r="M295" s="647"/>
      <c r="N295" s="632"/>
      <c r="O295" s="213"/>
      <c r="P295" s="213"/>
      <c r="Q295" s="213"/>
      <c r="R295" s="213"/>
      <c r="S295" s="213"/>
      <c r="T295" s="643"/>
      <c r="U295" s="616">
        <f t="shared" si="27"/>
        <v>0</v>
      </c>
      <c r="V295" s="633"/>
      <c r="W295" s="648"/>
      <c r="X295" s="648"/>
      <c r="Y295" s="7"/>
      <c r="Z295" s="699"/>
      <c r="AA295" s="7"/>
      <c r="AB295" s="618">
        <f t="shared" si="26"/>
        <v>0</v>
      </c>
      <c r="AC295" s="7"/>
      <c r="AD295" s="7"/>
      <c r="AE295" s="7"/>
      <c r="AF295" s="7"/>
      <c r="AG295" s="7"/>
      <c r="AH295" s="7"/>
    </row>
    <row r="296" spans="1:34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5"/>
      <c r="I296" s="215"/>
      <c r="J296" s="215"/>
      <c r="K296" s="215"/>
      <c r="L296" s="647"/>
      <c r="M296" s="647"/>
      <c r="N296" s="632"/>
      <c r="O296" s="213"/>
      <c r="P296" s="213"/>
      <c r="Q296" s="213"/>
      <c r="R296" s="213"/>
      <c r="S296" s="213"/>
      <c r="T296" s="643"/>
      <c r="U296" s="616">
        <f t="shared" si="27"/>
        <v>0</v>
      </c>
      <c r="V296" s="633"/>
      <c r="W296" s="648"/>
      <c r="X296" s="648"/>
      <c r="Y296" s="7"/>
      <c r="Z296" s="699"/>
      <c r="AA296" s="7"/>
      <c r="AB296" s="618">
        <f t="shared" si="26"/>
        <v>0</v>
      </c>
      <c r="AC296" s="7"/>
      <c r="AD296" s="7"/>
      <c r="AE296" s="7"/>
      <c r="AF296" s="7"/>
      <c r="AG296" s="7"/>
      <c r="AH296" s="7"/>
    </row>
    <row r="297" spans="1:34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5"/>
      <c r="I297" s="215"/>
      <c r="J297" s="215"/>
      <c r="K297" s="215"/>
      <c r="L297" s="647"/>
      <c r="M297" s="647"/>
      <c r="N297" s="632"/>
      <c r="O297" s="213"/>
      <c r="P297" s="213"/>
      <c r="Q297" s="213"/>
      <c r="R297" s="213"/>
      <c r="S297" s="213"/>
      <c r="T297" s="643"/>
      <c r="U297" s="616">
        <f t="shared" si="27"/>
        <v>0</v>
      </c>
      <c r="V297" s="633"/>
      <c r="W297" s="648"/>
      <c r="X297" s="648"/>
      <c r="Y297" s="7"/>
      <c r="Z297" s="699"/>
      <c r="AA297" s="7"/>
      <c r="AB297" s="618">
        <f t="shared" si="26"/>
        <v>0</v>
      </c>
      <c r="AC297" s="7"/>
      <c r="AD297" s="7"/>
      <c r="AE297" s="7"/>
      <c r="AF297" s="7"/>
      <c r="AG297" s="7"/>
      <c r="AH297" s="7"/>
    </row>
    <row r="298" spans="1:34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5"/>
      <c r="I298" s="215"/>
      <c r="J298" s="215"/>
      <c r="K298" s="215"/>
      <c r="L298" s="647"/>
      <c r="M298" s="647"/>
      <c r="N298" s="632"/>
      <c r="O298" s="213"/>
      <c r="P298" s="213"/>
      <c r="Q298" s="213"/>
      <c r="R298" s="213"/>
      <c r="S298" s="213"/>
      <c r="T298" s="643"/>
      <c r="U298" s="616">
        <f t="shared" si="27"/>
        <v>0</v>
      </c>
      <c r="V298" s="633"/>
      <c r="W298" s="648"/>
      <c r="X298" s="648"/>
      <c r="Y298" s="7"/>
      <c r="Z298" s="699"/>
      <c r="AA298" s="7"/>
      <c r="AB298" s="618">
        <f t="shared" si="26"/>
        <v>0</v>
      </c>
      <c r="AC298" s="7"/>
      <c r="AD298" s="7"/>
      <c r="AE298" s="7"/>
      <c r="AF298" s="7"/>
      <c r="AG298" s="7"/>
      <c r="AH298" s="7"/>
    </row>
    <row r="299" spans="1:34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5"/>
      <c r="I299" s="215"/>
      <c r="J299" s="215"/>
      <c r="K299" s="215"/>
      <c r="L299" s="620"/>
      <c r="M299" s="620"/>
      <c r="N299" s="632"/>
      <c r="O299" s="213"/>
      <c r="P299" s="213"/>
      <c r="Q299" s="213"/>
      <c r="R299" s="213"/>
      <c r="S299" s="213"/>
      <c r="T299" s="643"/>
      <c r="U299" s="616">
        <f t="shared" si="27"/>
        <v>0</v>
      </c>
      <c r="V299" s="633"/>
      <c r="W299" s="636"/>
      <c r="X299" s="636"/>
      <c r="Y299" s="7"/>
      <c r="Z299" s="699">
        <v>0.3</v>
      </c>
      <c r="AA299" s="7"/>
      <c r="AB299" s="618">
        <f t="shared" si="26"/>
        <v>0.3</v>
      </c>
      <c r="AC299" s="7"/>
      <c r="AD299" s="7"/>
      <c r="AE299" s="7"/>
      <c r="AF299" s="7"/>
      <c r="AG299" s="7"/>
      <c r="AH299" s="7"/>
    </row>
    <row r="300" spans="1:34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5"/>
      <c r="I300" s="215"/>
      <c r="J300" s="215"/>
      <c r="K300" s="215"/>
      <c r="L300" s="620"/>
      <c r="M300" s="620"/>
      <c r="N300" s="632"/>
      <c r="O300" s="213"/>
      <c r="P300" s="213"/>
      <c r="Q300" s="213"/>
      <c r="R300" s="213"/>
      <c r="S300" s="213"/>
      <c r="T300" s="643"/>
      <c r="U300" s="616">
        <f t="shared" si="27"/>
        <v>0</v>
      </c>
      <c r="V300" s="633"/>
      <c r="W300" s="636"/>
      <c r="X300" s="636"/>
      <c r="Y300" s="7"/>
      <c r="Z300" s="699"/>
      <c r="AA300" s="7"/>
      <c r="AB300" s="618">
        <f t="shared" si="26"/>
        <v>0</v>
      </c>
      <c r="AC300" s="7"/>
      <c r="AD300" s="7"/>
      <c r="AE300" s="7"/>
      <c r="AF300" s="7"/>
      <c r="AG300" s="7"/>
      <c r="AH300" s="7"/>
    </row>
    <row r="301" spans="1:34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5"/>
      <c r="I301" s="215"/>
      <c r="J301" s="215"/>
      <c r="K301" s="215"/>
      <c r="L301" s="647"/>
      <c r="M301" s="647"/>
      <c r="N301" s="632"/>
      <c r="O301" s="213"/>
      <c r="P301" s="213"/>
      <c r="Q301" s="213"/>
      <c r="R301" s="213"/>
      <c r="S301" s="213"/>
      <c r="T301" s="643"/>
      <c r="U301" s="616">
        <f t="shared" si="27"/>
        <v>0</v>
      </c>
      <c r="V301" s="633"/>
      <c r="W301" s="648"/>
      <c r="X301" s="648"/>
      <c r="Y301" s="7"/>
      <c r="Z301" s="699"/>
      <c r="AA301" s="7"/>
      <c r="AB301" s="618">
        <f t="shared" si="26"/>
        <v>0</v>
      </c>
      <c r="AC301" s="7"/>
      <c r="AD301" s="7"/>
      <c r="AE301" s="7"/>
      <c r="AF301" s="7"/>
      <c r="AG301" s="7"/>
      <c r="AH301" s="7"/>
    </row>
    <row r="302" spans="1:34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5"/>
      <c r="I302" s="215"/>
      <c r="J302" s="215"/>
      <c r="K302" s="215"/>
      <c r="L302" s="647"/>
      <c r="M302" s="647"/>
      <c r="N302" s="632"/>
      <c r="O302" s="213"/>
      <c r="P302" s="213"/>
      <c r="Q302" s="213"/>
      <c r="R302" s="213"/>
      <c r="S302" s="213"/>
      <c r="T302" s="643"/>
      <c r="U302" s="616">
        <f t="shared" si="27"/>
        <v>0</v>
      </c>
      <c r="V302" s="633"/>
      <c r="W302" s="648"/>
      <c r="X302" s="648"/>
      <c r="Y302" s="7"/>
      <c r="Z302" s="699"/>
      <c r="AA302" s="7"/>
      <c r="AB302" s="618">
        <f t="shared" si="26"/>
        <v>0</v>
      </c>
      <c r="AC302" s="7"/>
      <c r="AD302" s="7"/>
      <c r="AE302" s="7"/>
      <c r="AF302" s="7"/>
      <c r="AG302" s="7"/>
      <c r="AH302" s="7"/>
    </row>
    <row r="303" spans="1:34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5"/>
      <c r="I303" s="215"/>
      <c r="J303" s="215"/>
      <c r="K303" s="215"/>
      <c r="L303" s="647"/>
      <c r="M303" s="647"/>
      <c r="N303" s="632"/>
      <c r="O303" s="213"/>
      <c r="P303" s="213"/>
      <c r="Q303" s="213"/>
      <c r="R303" s="213"/>
      <c r="S303" s="213"/>
      <c r="T303" s="643"/>
      <c r="U303" s="616">
        <f t="shared" si="27"/>
        <v>0</v>
      </c>
      <c r="V303" s="633"/>
      <c r="W303" s="648"/>
      <c r="X303" s="648"/>
      <c r="Y303" s="7"/>
      <c r="Z303" s="699"/>
      <c r="AA303" s="7"/>
      <c r="AB303" s="618">
        <f t="shared" si="26"/>
        <v>0</v>
      </c>
      <c r="AC303" s="7"/>
      <c r="AD303" s="7"/>
      <c r="AE303" s="7"/>
      <c r="AF303" s="7"/>
      <c r="AG303" s="7"/>
      <c r="AH303" s="7"/>
    </row>
    <row r="304" spans="1:34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5"/>
      <c r="I304" s="215"/>
      <c r="J304" s="215"/>
      <c r="K304" s="215"/>
      <c r="L304" s="647"/>
      <c r="M304" s="647"/>
      <c r="N304" s="632"/>
      <c r="O304" s="213"/>
      <c r="P304" s="213"/>
      <c r="Q304" s="213"/>
      <c r="R304" s="213"/>
      <c r="S304" s="213"/>
      <c r="T304" s="643"/>
      <c r="U304" s="616">
        <f t="shared" si="27"/>
        <v>0</v>
      </c>
      <c r="V304" s="633"/>
      <c r="W304" s="648"/>
      <c r="X304" s="648"/>
      <c r="Y304" s="7"/>
      <c r="Z304" s="699"/>
      <c r="AA304" s="7"/>
      <c r="AB304" s="618">
        <f t="shared" si="26"/>
        <v>0</v>
      </c>
      <c r="AC304" s="7"/>
      <c r="AD304" s="7"/>
      <c r="AE304" s="7"/>
      <c r="AF304" s="7"/>
      <c r="AG304" s="7"/>
      <c r="AH304" s="7"/>
    </row>
    <row r="305" spans="1:34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5"/>
      <c r="I305" s="215"/>
      <c r="J305" s="215"/>
      <c r="K305" s="215"/>
      <c r="L305" s="620"/>
      <c r="M305" s="620"/>
      <c r="N305" s="632"/>
      <c r="O305" s="213"/>
      <c r="P305" s="213"/>
      <c r="Q305" s="213"/>
      <c r="R305" s="213"/>
      <c r="S305" s="213"/>
      <c r="T305" s="643"/>
      <c r="U305" s="616">
        <f t="shared" si="27"/>
        <v>0</v>
      </c>
      <c r="V305" s="633"/>
      <c r="W305" s="636"/>
      <c r="X305" s="636"/>
      <c r="Y305" s="7"/>
      <c r="Z305" s="699"/>
      <c r="AA305" s="7"/>
      <c r="AB305" s="618">
        <f t="shared" si="26"/>
        <v>0</v>
      </c>
      <c r="AC305" s="7"/>
      <c r="AD305" s="7"/>
      <c r="AE305" s="7"/>
      <c r="AF305" s="7"/>
      <c r="AG305" s="7"/>
      <c r="AH305" s="7"/>
    </row>
    <row r="306" spans="1:34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5"/>
      <c r="I306" s="215"/>
      <c r="J306" s="215"/>
      <c r="K306" s="215"/>
      <c r="L306" s="647"/>
      <c r="M306" s="647"/>
      <c r="N306" s="632"/>
      <c r="O306" s="213"/>
      <c r="P306" s="213"/>
      <c r="Q306" s="213"/>
      <c r="R306" s="213"/>
      <c r="S306" s="213"/>
      <c r="T306" s="643"/>
      <c r="U306" s="616">
        <f t="shared" si="27"/>
        <v>0</v>
      </c>
      <c r="V306" s="633"/>
      <c r="W306" s="648"/>
      <c r="X306" s="648"/>
      <c r="Y306" s="7"/>
      <c r="Z306" s="699"/>
      <c r="AA306" s="7"/>
      <c r="AB306" s="618">
        <f t="shared" si="26"/>
        <v>0</v>
      </c>
      <c r="AC306" s="7"/>
      <c r="AD306" s="7"/>
      <c r="AE306" s="7"/>
      <c r="AF306" s="7"/>
      <c r="AG306" s="7"/>
      <c r="AH306" s="7"/>
    </row>
    <row r="307" spans="1:34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5"/>
      <c r="I307" s="215"/>
      <c r="J307" s="215"/>
      <c r="K307" s="215"/>
      <c r="L307" s="647"/>
      <c r="M307" s="647"/>
      <c r="N307" s="632"/>
      <c r="O307" s="213"/>
      <c r="P307" s="213"/>
      <c r="Q307" s="213"/>
      <c r="R307" s="213"/>
      <c r="S307" s="213"/>
      <c r="T307" s="643"/>
      <c r="U307" s="616">
        <f t="shared" si="27"/>
        <v>0</v>
      </c>
      <c r="V307" s="633"/>
      <c r="W307" s="648"/>
      <c r="X307" s="648"/>
      <c r="Y307" s="7"/>
      <c r="Z307" s="699"/>
      <c r="AA307" s="7"/>
      <c r="AB307" s="618">
        <f t="shared" si="26"/>
        <v>0</v>
      </c>
      <c r="AC307" s="7"/>
      <c r="AD307" s="7"/>
      <c r="AE307" s="7"/>
      <c r="AF307" s="7"/>
      <c r="AG307" s="7"/>
      <c r="AH307" s="7"/>
    </row>
    <row r="308" spans="1:34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5"/>
      <c r="I308" s="215"/>
      <c r="J308" s="215"/>
      <c r="K308" s="215"/>
      <c r="L308" s="647"/>
      <c r="M308" s="647"/>
      <c r="N308" s="632"/>
      <c r="O308" s="213"/>
      <c r="P308" s="213"/>
      <c r="Q308" s="213"/>
      <c r="R308" s="213"/>
      <c r="S308" s="213"/>
      <c r="T308" s="643"/>
      <c r="U308" s="616">
        <f t="shared" si="27"/>
        <v>0</v>
      </c>
      <c r="V308" s="633"/>
      <c r="W308" s="648"/>
      <c r="X308" s="648"/>
      <c r="Y308" s="7"/>
      <c r="Z308" s="699"/>
      <c r="AA308" s="7"/>
      <c r="AB308" s="618">
        <f t="shared" si="26"/>
        <v>0</v>
      </c>
      <c r="AC308" s="7"/>
      <c r="AD308" s="7"/>
      <c r="AE308" s="7"/>
      <c r="AF308" s="7"/>
      <c r="AG308" s="7"/>
      <c r="AH308" s="7"/>
    </row>
    <row r="309" spans="1:34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5"/>
      <c r="I309" s="215"/>
      <c r="J309" s="215"/>
      <c r="K309" s="215"/>
      <c r="L309" s="647"/>
      <c r="M309" s="647"/>
      <c r="N309" s="632"/>
      <c r="O309" s="213"/>
      <c r="P309" s="213"/>
      <c r="Q309" s="213"/>
      <c r="R309" s="213"/>
      <c r="S309" s="213"/>
      <c r="T309" s="643"/>
      <c r="U309" s="616">
        <f t="shared" si="27"/>
        <v>0</v>
      </c>
      <c r="V309" s="633"/>
      <c r="W309" s="648"/>
      <c r="X309" s="648"/>
      <c r="Y309" s="7"/>
      <c r="Z309" s="699"/>
      <c r="AA309" s="7"/>
      <c r="AB309" s="618">
        <f t="shared" si="26"/>
        <v>0</v>
      </c>
      <c r="AC309" s="7"/>
      <c r="AD309" s="7"/>
      <c r="AE309" s="7"/>
      <c r="AF309" s="7"/>
      <c r="AG309" s="7"/>
      <c r="AH309" s="7"/>
    </row>
    <row r="310" spans="1:34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5"/>
      <c r="I310" s="215"/>
      <c r="J310" s="215"/>
      <c r="K310" s="215"/>
      <c r="L310" s="620"/>
      <c r="M310" s="620"/>
      <c r="N310" s="632"/>
      <c r="O310" s="213"/>
      <c r="P310" s="213"/>
      <c r="Q310" s="213"/>
      <c r="R310" s="213"/>
      <c r="S310" s="213"/>
      <c r="T310" s="643"/>
      <c r="U310" s="616">
        <f t="shared" si="27"/>
        <v>0</v>
      </c>
      <c r="V310" s="633"/>
      <c r="W310" s="636"/>
      <c r="X310" s="636"/>
      <c r="Y310" s="7"/>
      <c r="Z310" s="699"/>
      <c r="AA310" s="7"/>
      <c r="AB310" s="618">
        <f t="shared" si="26"/>
        <v>0</v>
      </c>
      <c r="AC310" s="7"/>
      <c r="AD310" s="7"/>
      <c r="AE310" s="7"/>
      <c r="AF310" s="7"/>
      <c r="AG310" s="7"/>
      <c r="AH310" s="7"/>
    </row>
    <row r="311" spans="1:34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5"/>
      <c r="I311" s="215"/>
      <c r="J311" s="215"/>
      <c r="K311" s="215"/>
      <c r="L311" s="647"/>
      <c r="M311" s="647"/>
      <c r="N311" s="632"/>
      <c r="O311" s="213"/>
      <c r="P311" s="213"/>
      <c r="Q311" s="213"/>
      <c r="R311" s="213"/>
      <c r="S311" s="213"/>
      <c r="T311" s="643"/>
      <c r="U311" s="616">
        <f t="shared" si="27"/>
        <v>0</v>
      </c>
      <c r="V311" s="633"/>
      <c r="W311" s="648"/>
      <c r="X311" s="648"/>
      <c r="Y311" s="7"/>
      <c r="Z311" s="699"/>
      <c r="AA311" s="7"/>
      <c r="AB311" s="618">
        <f t="shared" si="26"/>
        <v>0</v>
      </c>
      <c r="AC311" s="7"/>
      <c r="AD311" s="7"/>
      <c r="AE311" s="7"/>
      <c r="AF311" s="7"/>
      <c r="AG311" s="7"/>
      <c r="AH311" s="7"/>
    </row>
    <row r="312" spans="1:34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5"/>
      <c r="I312" s="215"/>
      <c r="J312" s="215"/>
      <c r="K312" s="215"/>
      <c r="L312" s="647"/>
      <c r="M312" s="647"/>
      <c r="N312" s="632"/>
      <c r="O312" s="213"/>
      <c r="P312" s="213"/>
      <c r="Q312" s="213"/>
      <c r="R312" s="213"/>
      <c r="S312" s="213"/>
      <c r="T312" s="643"/>
      <c r="U312" s="616">
        <f t="shared" si="27"/>
        <v>0</v>
      </c>
      <c r="V312" s="633"/>
      <c r="W312" s="648"/>
      <c r="X312" s="648"/>
      <c r="Y312" s="7"/>
      <c r="Z312" s="699"/>
      <c r="AA312" s="7"/>
      <c r="AB312" s="618">
        <f t="shared" si="26"/>
        <v>0</v>
      </c>
      <c r="AC312" s="7"/>
      <c r="AD312" s="7"/>
      <c r="AE312" s="7"/>
      <c r="AF312" s="7"/>
      <c r="AG312" s="7"/>
      <c r="AH312" s="7"/>
    </row>
    <row r="313" spans="1:34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5"/>
      <c r="I313" s="215"/>
      <c r="J313" s="215"/>
      <c r="K313" s="215"/>
      <c r="L313" s="647"/>
      <c r="M313" s="647"/>
      <c r="N313" s="632"/>
      <c r="O313" s="213"/>
      <c r="P313" s="213"/>
      <c r="Q313" s="213"/>
      <c r="R313" s="213"/>
      <c r="S313" s="213"/>
      <c r="T313" s="643"/>
      <c r="U313" s="616">
        <f t="shared" si="27"/>
        <v>0</v>
      </c>
      <c r="V313" s="633"/>
      <c r="W313" s="648"/>
      <c r="X313" s="648"/>
      <c r="Y313" s="7"/>
      <c r="Z313" s="699"/>
      <c r="AA313" s="7"/>
      <c r="AB313" s="618">
        <f t="shared" si="26"/>
        <v>0</v>
      </c>
      <c r="AC313" s="7"/>
      <c r="AD313" s="7"/>
      <c r="AE313" s="7"/>
      <c r="AF313" s="7"/>
      <c r="AG313" s="7"/>
      <c r="AH313" s="7"/>
    </row>
    <row r="314" spans="1:34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5"/>
      <c r="I314" s="215"/>
      <c r="J314" s="215"/>
      <c r="K314" s="215"/>
      <c r="L314" s="647"/>
      <c r="M314" s="647"/>
      <c r="N314" s="632"/>
      <c r="O314" s="213"/>
      <c r="P314" s="213"/>
      <c r="Q314" s="213"/>
      <c r="R314" s="213"/>
      <c r="S314" s="213"/>
      <c r="T314" s="643"/>
      <c r="U314" s="616">
        <f t="shared" si="27"/>
        <v>0</v>
      </c>
      <c r="V314" s="633"/>
      <c r="W314" s="648"/>
      <c r="X314" s="648"/>
      <c r="Y314" s="7"/>
      <c r="Z314" s="699"/>
      <c r="AA314" s="7"/>
      <c r="AB314" s="618">
        <f t="shared" si="26"/>
        <v>0</v>
      </c>
      <c r="AC314" s="7"/>
      <c r="AD314" s="7"/>
      <c r="AE314" s="7"/>
      <c r="AF314" s="7"/>
      <c r="AG314" s="7"/>
      <c r="AH314" s="7"/>
    </row>
    <row r="315" spans="1:34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5"/>
      <c r="I315" s="215"/>
      <c r="J315" s="215"/>
      <c r="K315" s="215"/>
      <c r="L315" s="647"/>
      <c r="M315" s="647"/>
      <c r="N315" s="632"/>
      <c r="O315" s="213"/>
      <c r="P315" s="213"/>
      <c r="Q315" s="213"/>
      <c r="R315" s="213"/>
      <c r="S315" s="213"/>
      <c r="T315" s="643"/>
      <c r="U315" s="616">
        <f t="shared" si="27"/>
        <v>0</v>
      </c>
      <c r="V315" s="633"/>
      <c r="W315" s="636"/>
      <c r="X315" s="636"/>
      <c r="Y315" s="7"/>
      <c r="Z315" s="699"/>
      <c r="AA315" s="7"/>
      <c r="AB315" s="618">
        <f t="shared" si="26"/>
        <v>0</v>
      </c>
      <c r="AC315" s="7"/>
      <c r="AD315" s="7"/>
      <c r="AE315" s="7"/>
      <c r="AF315" s="7"/>
      <c r="AG315" s="7"/>
      <c r="AH315" s="7"/>
    </row>
    <row r="316" spans="1:34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5"/>
      <c r="I316" s="215"/>
      <c r="J316" s="215"/>
      <c r="K316" s="215"/>
      <c r="L316" s="647"/>
      <c r="M316" s="647"/>
      <c r="N316" s="632"/>
      <c r="O316" s="213"/>
      <c r="P316" s="213"/>
      <c r="Q316" s="213"/>
      <c r="R316" s="213"/>
      <c r="S316" s="213"/>
      <c r="T316" s="643"/>
      <c r="U316" s="616">
        <f t="shared" si="27"/>
        <v>0</v>
      </c>
      <c r="V316" s="633"/>
      <c r="W316" s="648"/>
      <c r="X316" s="648"/>
      <c r="Y316" s="7"/>
      <c r="Z316" s="699"/>
      <c r="AA316" s="7"/>
      <c r="AB316" s="618">
        <f t="shared" si="26"/>
        <v>0</v>
      </c>
      <c r="AC316" s="7"/>
      <c r="AD316" s="7"/>
      <c r="AE316" s="7"/>
      <c r="AF316" s="7"/>
      <c r="AG316" s="7"/>
      <c r="AH316" s="7"/>
    </row>
    <row r="317" spans="1:34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5"/>
      <c r="I317" s="215"/>
      <c r="J317" s="215"/>
      <c r="K317" s="215"/>
      <c r="L317" s="647"/>
      <c r="M317" s="647"/>
      <c r="N317" s="632"/>
      <c r="O317" s="213"/>
      <c r="P317" s="213"/>
      <c r="Q317" s="213"/>
      <c r="R317" s="213"/>
      <c r="S317" s="213"/>
      <c r="T317" s="643"/>
      <c r="U317" s="616">
        <f t="shared" si="27"/>
        <v>0</v>
      </c>
      <c r="V317" s="633"/>
      <c r="W317" s="648"/>
      <c r="X317" s="648"/>
      <c r="Y317" s="7"/>
      <c r="Z317" s="699"/>
      <c r="AA317" s="7"/>
      <c r="AB317" s="618">
        <f t="shared" si="26"/>
        <v>0</v>
      </c>
      <c r="AC317" s="7"/>
      <c r="AD317" s="7"/>
      <c r="AE317" s="7"/>
      <c r="AF317" s="7"/>
      <c r="AG317" s="7"/>
      <c r="AH317" s="7"/>
    </row>
    <row r="318" spans="1:34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5"/>
      <c r="I318" s="215"/>
      <c r="J318" s="215"/>
      <c r="K318" s="215"/>
      <c r="L318" s="647"/>
      <c r="M318" s="647"/>
      <c r="N318" s="632"/>
      <c r="O318" s="213"/>
      <c r="P318" s="213"/>
      <c r="Q318" s="213"/>
      <c r="R318" s="213"/>
      <c r="S318" s="213"/>
      <c r="T318" s="643"/>
      <c r="U318" s="616">
        <f t="shared" si="27"/>
        <v>0</v>
      </c>
      <c r="V318" s="633"/>
      <c r="W318" s="648"/>
      <c r="X318" s="648"/>
      <c r="Y318" s="7"/>
      <c r="Z318" s="699"/>
      <c r="AA318" s="7"/>
      <c r="AB318" s="618">
        <f t="shared" si="26"/>
        <v>0</v>
      </c>
      <c r="AC318" s="7"/>
      <c r="AD318" s="7"/>
      <c r="AE318" s="7"/>
      <c r="AF318" s="7"/>
      <c r="AG318" s="7"/>
      <c r="AH318" s="7"/>
    </row>
    <row r="319" spans="1:34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5"/>
      <c r="I319" s="215"/>
      <c r="J319" s="215"/>
      <c r="K319" s="215"/>
      <c r="L319" s="647"/>
      <c r="M319" s="647"/>
      <c r="N319" s="632"/>
      <c r="O319" s="213"/>
      <c r="P319" s="213"/>
      <c r="Q319" s="213"/>
      <c r="R319" s="213"/>
      <c r="S319" s="213"/>
      <c r="T319" s="643"/>
      <c r="U319" s="616">
        <f t="shared" si="27"/>
        <v>0</v>
      </c>
      <c r="V319" s="633"/>
      <c r="W319" s="648"/>
      <c r="X319" s="648"/>
      <c r="Y319" s="7"/>
      <c r="Z319" s="699"/>
      <c r="AA319" s="7"/>
      <c r="AB319" s="618">
        <f t="shared" si="26"/>
        <v>0</v>
      </c>
      <c r="AC319" s="7"/>
      <c r="AD319" s="7"/>
      <c r="AE319" s="7"/>
      <c r="AF319" s="7"/>
      <c r="AG319" s="7"/>
      <c r="AH319" s="7"/>
    </row>
    <row r="320" spans="1:34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5"/>
      <c r="I320" s="215"/>
      <c r="J320" s="215"/>
      <c r="K320" s="215"/>
      <c r="L320" s="620"/>
      <c r="M320" s="620"/>
      <c r="N320" s="632"/>
      <c r="O320" s="213"/>
      <c r="P320" s="213"/>
      <c r="Q320" s="213"/>
      <c r="R320" s="213"/>
      <c r="S320" s="213"/>
      <c r="T320" s="643"/>
      <c r="U320" s="616">
        <f t="shared" si="27"/>
        <v>0</v>
      </c>
      <c r="V320" s="633"/>
      <c r="W320" s="636"/>
      <c r="X320" s="636"/>
      <c r="Y320" s="7"/>
      <c r="Z320" s="699"/>
      <c r="AA320" s="7"/>
      <c r="AB320" s="618">
        <f t="shared" si="26"/>
        <v>0</v>
      </c>
      <c r="AC320" s="7"/>
      <c r="AD320" s="7"/>
      <c r="AE320" s="7"/>
      <c r="AF320" s="7"/>
      <c r="AG320" s="7"/>
      <c r="AH320" s="7"/>
    </row>
    <row r="321" spans="1:34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5"/>
      <c r="I321" s="215"/>
      <c r="J321" s="215"/>
      <c r="K321" s="215"/>
      <c r="L321" s="647"/>
      <c r="M321" s="647"/>
      <c r="N321" s="632"/>
      <c r="O321" s="213"/>
      <c r="P321" s="213"/>
      <c r="Q321" s="213"/>
      <c r="R321" s="213"/>
      <c r="S321" s="213"/>
      <c r="T321" s="643"/>
      <c r="U321" s="616">
        <f t="shared" si="27"/>
        <v>0</v>
      </c>
      <c r="V321" s="633"/>
      <c r="W321" s="636"/>
      <c r="X321" s="636"/>
      <c r="Y321" s="7"/>
      <c r="Z321" s="699"/>
      <c r="AA321" s="7"/>
      <c r="AB321" s="618">
        <f t="shared" si="26"/>
        <v>0</v>
      </c>
      <c r="AC321" s="7"/>
      <c r="AD321" s="7"/>
      <c r="AE321" s="7"/>
      <c r="AF321" s="7"/>
      <c r="AG321" s="7"/>
      <c r="AH321" s="7"/>
    </row>
    <row r="322" spans="1:34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5"/>
      <c r="I322" s="215"/>
      <c r="J322" s="215"/>
      <c r="K322" s="215"/>
      <c r="L322" s="647"/>
      <c r="M322" s="647"/>
      <c r="N322" s="632"/>
      <c r="O322" s="213"/>
      <c r="P322" s="213"/>
      <c r="Q322" s="213"/>
      <c r="R322" s="213"/>
      <c r="S322" s="213"/>
      <c r="T322" s="643"/>
      <c r="U322" s="616">
        <f t="shared" si="27"/>
        <v>0</v>
      </c>
      <c r="V322" s="633"/>
      <c r="W322" s="636"/>
      <c r="X322" s="636"/>
      <c r="Y322" s="7"/>
      <c r="Z322" s="699"/>
      <c r="AA322" s="7"/>
      <c r="AB322" s="618">
        <f t="shared" si="26"/>
        <v>0</v>
      </c>
      <c r="AC322" s="7"/>
      <c r="AD322" s="7"/>
      <c r="AE322" s="7"/>
      <c r="AF322" s="7"/>
      <c r="AG322" s="7"/>
      <c r="AH322" s="7"/>
    </row>
    <row r="323" spans="1:34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5"/>
      <c r="I323" s="215"/>
      <c r="J323" s="215"/>
      <c r="K323" s="215"/>
      <c r="L323" s="647"/>
      <c r="M323" s="647"/>
      <c r="N323" s="632"/>
      <c r="O323" s="213"/>
      <c r="P323" s="213"/>
      <c r="Q323" s="213"/>
      <c r="R323" s="213"/>
      <c r="S323" s="213"/>
      <c r="T323" s="643"/>
      <c r="U323" s="616">
        <f t="shared" si="27"/>
        <v>0</v>
      </c>
      <c r="V323" s="633"/>
      <c r="W323" s="636"/>
      <c r="X323" s="636"/>
      <c r="Y323" s="7"/>
      <c r="Z323" s="699"/>
      <c r="AA323" s="7"/>
      <c r="AB323" s="618">
        <f t="shared" si="26"/>
        <v>0</v>
      </c>
      <c r="AC323" s="7"/>
      <c r="AD323" s="7"/>
      <c r="AE323" s="7"/>
      <c r="AF323" s="7"/>
      <c r="AG323" s="7"/>
      <c r="AH323" s="7"/>
    </row>
    <row r="324" spans="1:34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5"/>
      <c r="I324" s="215"/>
      <c r="J324" s="215"/>
      <c r="K324" s="215"/>
      <c r="L324" s="647"/>
      <c r="M324" s="647"/>
      <c r="N324" s="632"/>
      <c r="O324" s="213"/>
      <c r="P324" s="213"/>
      <c r="Q324" s="213"/>
      <c r="R324" s="213"/>
      <c r="S324" s="213"/>
      <c r="T324" s="643"/>
      <c r="U324" s="616">
        <f t="shared" si="27"/>
        <v>0</v>
      </c>
      <c r="V324" s="633"/>
      <c r="W324" s="636"/>
      <c r="X324" s="636"/>
      <c r="Y324" s="7"/>
      <c r="Z324" s="699"/>
      <c r="AA324" s="7"/>
      <c r="AB324" s="618">
        <f t="shared" si="26"/>
        <v>0</v>
      </c>
      <c r="AC324" s="7"/>
      <c r="AD324" s="7"/>
      <c r="AE324" s="7"/>
      <c r="AF324" s="7"/>
      <c r="AG324" s="7"/>
      <c r="AH324" s="7"/>
    </row>
    <row r="325" spans="1:34" ht="33.75" customHeight="1">
      <c r="A325" s="486"/>
      <c r="B325" s="487" t="s">
        <v>703</v>
      </c>
      <c r="C325" s="656" t="s">
        <v>704</v>
      </c>
      <c r="D325" s="519" t="s">
        <v>1929</v>
      </c>
      <c r="E325" s="213"/>
      <c r="F325" s="213"/>
      <c r="G325" s="213"/>
      <c r="H325" s="215"/>
      <c r="I325" s="215"/>
      <c r="J325" s="215"/>
      <c r="K325" s="215"/>
      <c r="L325" s="193"/>
      <c r="M325" s="193"/>
      <c r="N325" s="632"/>
      <c r="O325" s="213"/>
      <c r="P325" s="213"/>
      <c r="Q325" s="213"/>
      <c r="R325" s="213"/>
      <c r="S325" s="213"/>
      <c r="T325" s="643"/>
      <c r="U325" s="616">
        <f t="shared" si="27"/>
        <v>0</v>
      </c>
      <c r="V325" s="633"/>
      <c r="W325" s="636"/>
      <c r="X325" s="636"/>
      <c r="Y325" s="7"/>
      <c r="Z325" s="699"/>
      <c r="AA325" s="7"/>
      <c r="AB325" s="618">
        <f t="shared" si="26"/>
        <v>0</v>
      </c>
      <c r="AC325" s="7"/>
      <c r="AD325" s="7"/>
      <c r="AE325" s="7"/>
      <c r="AF325" s="7"/>
      <c r="AG325" s="7"/>
      <c r="AH325" s="7"/>
    </row>
    <row r="326" spans="1:34" ht="25.5" customHeight="1">
      <c r="A326" s="503"/>
      <c r="B326" s="483" t="s">
        <v>707</v>
      </c>
      <c r="C326" s="629" t="s">
        <v>131</v>
      </c>
      <c r="D326" s="354" t="s">
        <v>1930</v>
      </c>
      <c r="E326" s="213"/>
      <c r="F326" s="213"/>
      <c r="G326" s="213"/>
      <c r="H326" s="215"/>
      <c r="I326" s="215"/>
      <c r="J326" s="215"/>
      <c r="K326" s="215"/>
      <c r="L326" s="193"/>
      <c r="M326" s="193"/>
      <c r="N326" s="632"/>
      <c r="O326" s="213"/>
      <c r="P326" s="213"/>
      <c r="Q326" s="213"/>
      <c r="R326" s="213"/>
      <c r="S326" s="213"/>
      <c r="T326" s="643"/>
      <c r="U326" s="616">
        <f t="shared" si="27"/>
        <v>0</v>
      </c>
      <c r="V326" s="633"/>
      <c r="W326" s="634"/>
      <c r="X326" s="634"/>
      <c r="Y326" s="7"/>
      <c r="Z326" s="699"/>
      <c r="AA326" s="7"/>
      <c r="AB326" s="618">
        <f t="shared" si="26"/>
        <v>0</v>
      </c>
      <c r="AC326" s="7"/>
      <c r="AD326" s="7"/>
      <c r="AE326" s="7"/>
      <c r="AF326" s="7"/>
      <c r="AG326" s="7"/>
      <c r="AH326" s="7"/>
    </row>
    <row r="327" spans="1:34" ht="21" customHeight="1">
      <c r="A327" s="503"/>
      <c r="B327" s="483" t="s">
        <v>709</v>
      </c>
      <c r="C327" s="629" t="s">
        <v>200</v>
      </c>
      <c r="D327" s="354" t="s">
        <v>1931</v>
      </c>
      <c r="E327" s="213"/>
      <c r="F327" s="213"/>
      <c r="G327" s="213"/>
      <c r="H327" s="215"/>
      <c r="I327" s="215"/>
      <c r="J327" s="215"/>
      <c r="K327" s="215"/>
      <c r="L327" s="193"/>
      <c r="M327" s="193"/>
      <c r="N327" s="632"/>
      <c r="O327" s="213"/>
      <c r="P327" s="213"/>
      <c r="Q327" s="213"/>
      <c r="R327" s="213"/>
      <c r="S327" s="213"/>
      <c r="T327" s="643"/>
      <c r="U327" s="616">
        <f t="shared" si="27"/>
        <v>0</v>
      </c>
      <c r="V327" s="633"/>
      <c r="W327" s="636"/>
      <c r="X327" s="636"/>
      <c r="Y327" s="7"/>
      <c r="Z327" s="699"/>
      <c r="AA327" s="7"/>
      <c r="AB327" s="618">
        <f t="shared" si="26"/>
        <v>0</v>
      </c>
      <c r="AC327" s="7"/>
      <c r="AD327" s="7"/>
      <c r="AE327" s="7"/>
      <c r="AF327" s="7"/>
      <c r="AG327" s="7"/>
      <c r="AH327" s="7"/>
    </row>
    <row r="328" spans="1:34" ht="21" customHeight="1">
      <c r="A328" s="503"/>
      <c r="B328" s="483" t="s">
        <v>711</v>
      </c>
      <c r="C328" s="629" t="s">
        <v>203</v>
      </c>
      <c r="D328" s="354" t="s">
        <v>1932</v>
      </c>
      <c r="E328" s="213"/>
      <c r="F328" s="213"/>
      <c r="G328" s="213"/>
      <c r="H328" s="215"/>
      <c r="I328" s="215"/>
      <c r="J328" s="215"/>
      <c r="K328" s="215"/>
      <c r="L328" s="193"/>
      <c r="M328" s="193"/>
      <c r="N328" s="632"/>
      <c r="O328" s="213"/>
      <c r="P328" s="213"/>
      <c r="Q328" s="213"/>
      <c r="R328" s="213"/>
      <c r="S328" s="213"/>
      <c r="T328" s="643"/>
      <c r="U328" s="616">
        <f t="shared" si="27"/>
        <v>0</v>
      </c>
      <c r="V328" s="633"/>
      <c r="W328" s="636"/>
      <c r="X328" s="636"/>
      <c r="Y328" s="7"/>
      <c r="Z328" s="699"/>
      <c r="AA328" s="7"/>
      <c r="AB328" s="618">
        <f t="shared" si="26"/>
        <v>0</v>
      </c>
      <c r="AC328" s="7"/>
      <c r="AD328" s="7"/>
      <c r="AE328" s="7"/>
      <c r="AF328" s="7"/>
      <c r="AG328" s="7"/>
      <c r="AH328" s="7"/>
    </row>
    <row r="329" spans="1:34" ht="21" customHeight="1">
      <c r="A329" s="503"/>
      <c r="B329" s="483" t="s">
        <v>713</v>
      </c>
      <c r="C329" s="629" t="s">
        <v>159</v>
      </c>
      <c r="D329" s="354" t="s">
        <v>1933</v>
      </c>
      <c r="E329" s="213"/>
      <c r="F329" s="213"/>
      <c r="G329" s="213"/>
      <c r="H329" s="215"/>
      <c r="I329" s="215"/>
      <c r="J329" s="215"/>
      <c r="K329" s="215"/>
      <c r="L329" s="193"/>
      <c r="M329" s="193"/>
      <c r="N329" s="632"/>
      <c r="O329" s="213"/>
      <c r="P329" s="213"/>
      <c r="Q329" s="213"/>
      <c r="R329" s="213"/>
      <c r="S329" s="213"/>
      <c r="T329" s="643"/>
      <c r="U329" s="616">
        <f t="shared" si="27"/>
        <v>0</v>
      </c>
      <c r="V329" s="633"/>
      <c r="W329" s="636"/>
      <c r="X329" s="636"/>
      <c r="Y329" s="7"/>
      <c r="Z329" s="699"/>
      <c r="AA329" s="7"/>
      <c r="AB329" s="618">
        <f t="shared" si="26"/>
        <v>0</v>
      </c>
      <c r="AC329" s="7"/>
      <c r="AD329" s="7"/>
      <c r="AE329" s="7"/>
      <c r="AF329" s="7"/>
      <c r="AG329" s="7"/>
      <c r="AH329" s="7"/>
    </row>
    <row r="330" spans="1:34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5"/>
      <c r="I330" s="215"/>
      <c r="J330" s="215"/>
      <c r="K330" s="215"/>
      <c r="L330" s="620"/>
      <c r="M330" s="620"/>
      <c r="N330" s="632"/>
      <c r="O330" s="213"/>
      <c r="P330" s="213"/>
      <c r="Q330" s="213"/>
      <c r="R330" s="213"/>
      <c r="S330" s="213"/>
      <c r="T330" s="643"/>
      <c r="U330" s="616">
        <f t="shared" si="27"/>
        <v>0</v>
      </c>
      <c r="V330" s="633"/>
      <c r="W330" s="636"/>
      <c r="X330" s="636"/>
      <c r="Y330" s="7"/>
      <c r="Z330" s="699"/>
      <c r="AA330" s="7"/>
      <c r="AB330" s="618">
        <f t="shared" si="26"/>
        <v>0</v>
      </c>
      <c r="AC330" s="7"/>
      <c r="AD330" s="7"/>
      <c r="AE330" s="7"/>
      <c r="AF330" s="7"/>
      <c r="AG330" s="7"/>
      <c r="AH330" s="7"/>
    </row>
    <row r="331" spans="1:34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5"/>
      <c r="I331" s="215"/>
      <c r="J331" s="215"/>
      <c r="K331" s="215"/>
      <c r="L331" s="647"/>
      <c r="M331" s="647"/>
      <c r="N331" s="632"/>
      <c r="O331" s="213"/>
      <c r="P331" s="213"/>
      <c r="Q331" s="213"/>
      <c r="R331" s="213"/>
      <c r="S331" s="213"/>
      <c r="T331" s="643"/>
      <c r="U331" s="616">
        <f t="shared" si="27"/>
        <v>0</v>
      </c>
      <c r="V331" s="633"/>
      <c r="W331" s="654"/>
      <c r="X331" s="654"/>
      <c r="Y331" s="7"/>
      <c r="Z331" s="699"/>
      <c r="AA331" s="7"/>
      <c r="AB331" s="618">
        <f t="shared" si="26"/>
        <v>0</v>
      </c>
      <c r="AC331" s="7"/>
      <c r="AD331" s="7"/>
      <c r="AE331" s="7"/>
      <c r="AF331" s="7"/>
      <c r="AG331" s="7"/>
      <c r="AH331" s="7"/>
    </row>
    <row r="332" spans="1:34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5"/>
      <c r="I332" s="215"/>
      <c r="J332" s="215"/>
      <c r="K332" s="215"/>
      <c r="L332" s="647"/>
      <c r="M332" s="647"/>
      <c r="N332" s="632"/>
      <c r="O332" s="213"/>
      <c r="P332" s="213"/>
      <c r="Q332" s="213"/>
      <c r="R332" s="213"/>
      <c r="S332" s="213"/>
      <c r="T332" s="643"/>
      <c r="U332" s="616">
        <f t="shared" si="27"/>
        <v>0</v>
      </c>
      <c r="V332" s="633"/>
      <c r="W332" s="648"/>
      <c r="X332" s="648"/>
      <c r="Y332" s="7"/>
      <c r="Z332" s="699"/>
      <c r="AA332" s="7"/>
      <c r="AB332" s="618">
        <f t="shared" si="26"/>
        <v>0</v>
      </c>
      <c r="AC332" s="7"/>
      <c r="AD332" s="7"/>
      <c r="AE332" s="7"/>
      <c r="AF332" s="7"/>
      <c r="AG332" s="7"/>
      <c r="AH332" s="7"/>
    </row>
    <row r="333" spans="1:34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5"/>
      <c r="I333" s="215"/>
      <c r="J333" s="215"/>
      <c r="K333" s="215"/>
      <c r="L333" s="647"/>
      <c r="M333" s="647"/>
      <c r="N333" s="632"/>
      <c r="O333" s="213"/>
      <c r="P333" s="213"/>
      <c r="Q333" s="213"/>
      <c r="R333" s="213"/>
      <c r="S333" s="213"/>
      <c r="T333" s="643"/>
      <c r="U333" s="616">
        <f t="shared" si="27"/>
        <v>0</v>
      </c>
      <c r="V333" s="633"/>
      <c r="W333" s="648"/>
      <c r="X333" s="648"/>
      <c r="Y333" s="7"/>
      <c r="Z333" s="699"/>
      <c r="AA333" s="7"/>
      <c r="AB333" s="618">
        <f t="shared" si="26"/>
        <v>0</v>
      </c>
      <c r="AC333" s="7"/>
      <c r="AD333" s="7"/>
      <c r="AE333" s="7"/>
      <c r="AF333" s="7"/>
      <c r="AG333" s="7"/>
      <c r="AH333" s="7"/>
    </row>
    <row r="334" spans="1:34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5"/>
      <c r="I334" s="215"/>
      <c r="J334" s="215"/>
      <c r="K334" s="215"/>
      <c r="L334" s="647"/>
      <c r="M334" s="647"/>
      <c r="N334" s="632"/>
      <c r="O334" s="213"/>
      <c r="P334" s="213"/>
      <c r="Q334" s="213"/>
      <c r="R334" s="213"/>
      <c r="S334" s="213"/>
      <c r="T334" s="643"/>
      <c r="U334" s="616">
        <f t="shared" si="27"/>
        <v>0</v>
      </c>
      <c r="V334" s="633"/>
      <c r="W334" s="648"/>
      <c r="X334" s="648"/>
      <c r="Y334" s="7"/>
      <c r="Z334" s="699"/>
      <c r="AA334" s="7"/>
      <c r="AB334" s="618">
        <f t="shared" si="26"/>
        <v>0</v>
      </c>
      <c r="AC334" s="7"/>
      <c r="AD334" s="7"/>
      <c r="AE334" s="7"/>
      <c r="AF334" s="7"/>
      <c r="AG334" s="7"/>
      <c r="AH334" s="7"/>
    </row>
    <row r="335" spans="1:34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5"/>
      <c r="I335" s="215"/>
      <c r="J335" s="215"/>
      <c r="K335" s="215"/>
      <c r="L335" s="647"/>
      <c r="M335" s="647"/>
      <c r="N335" s="632"/>
      <c r="O335" s="213"/>
      <c r="P335" s="213"/>
      <c r="Q335" s="213"/>
      <c r="R335" s="213"/>
      <c r="S335" s="213"/>
      <c r="T335" s="643"/>
      <c r="U335" s="616">
        <f t="shared" si="27"/>
        <v>0</v>
      </c>
      <c r="V335" s="633"/>
      <c r="W335" s="648"/>
      <c r="X335" s="648"/>
      <c r="Y335" s="7"/>
      <c r="Z335" s="699"/>
      <c r="AA335" s="7"/>
      <c r="AB335" s="618">
        <f t="shared" si="26"/>
        <v>0</v>
      </c>
      <c r="AC335" s="7"/>
      <c r="AD335" s="7"/>
      <c r="AE335" s="7"/>
      <c r="AF335" s="7"/>
      <c r="AG335" s="7"/>
      <c r="AH335" s="7"/>
    </row>
    <row r="336" spans="1:34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5"/>
      <c r="I336" s="215"/>
      <c r="J336" s="215"/>
      <c r="K336" s="215"/>
      <c r="L336" s="647"/>
      <c r="M336" s="647"/>
      <c r="N336" s="632"/>
      <c r="O336" s="213"/>
      <c r="P336" s="213"/>
      <c r="Q336" s="213"/>
      <c r="R336" s="213"/>
      <c r="S336" s="213"/>
      <c r="T336" s="643"/>
      <c r="U336" s="616">
        <f t="shared" si="27"/>
        <v>0</v>
      </c>
      <c r="V336" s="633"/>
      <c r="W336" s="654"/>
      <c r="X336" s="654"/>
      <c r="Y336" s="7"/>
      <c r="Z336" s="699"/>
      <c r="AA336" s="7"/>
      <c r="AB336" s="618">
        <f t="shared" si="26"/>
        <v>0</v>
      </c>
      <c r="AC336" s="7"/>
      <c r="AD336" s="7"/>
      <c r="AE336" s="7"/>
      <c r="AF336" s="7"/>
      <c r="AG336" s="7"/>
      <c r="AH336" s="7"/>
    </row>
    <row r="337" spans="1:34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5"/>
      <c r="I337" s="215"/>
      <c r="J337" s="215"/>
      <c r="K337" s="215"/>
      <c r="L337" s="647"/>
      <c r="M337" s="647"/>
      <c r="N337" s="632"/>
      <c r="O337" s="213"/>
      <c r="P337" s="213"/>
      <c r="Q337" s="213"/>
      <c r="R337" s="213"/>
      <c r="S337" s="213"/>
      <c r="T337" s="643"/>
      <c r="U337" s="616">
        <f t="shared" si="27"/>
        <v>0</v>
      </c>
      <c r="V337" s="633"/>
      <c r="W337" s="654"/>
      <c r="X337" s="654"/>
      <c r="Y337" s="7"/>
      <c r="Z337" s="699"/>
      <c r="AA337" s="7"/>
      <c r="AB337" s="618">
        <f t="shared" si="26"/>
        <v>0</v>
      </c>
      <c r="AC337" s="7"/>
      <c r="AD337" s="7"/>
      <c r="AE337" s="7"/>
      <c r="AF337" s="7"/>
      <c r="AG337" s="7"/>
      <c r="AH337" s="7"/>
    </row>
    <row r="338" spans="1:34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5"/>
      <c r="I338" s="215"/>
      <c r="J338" s="215"/>
      <c r="K338" s="215"/>
      <c r="L338" s="647"/>
      <c r="M338" s="647"/>
      <c r="N338" s="632"/>
      <c r="O338" s="213"/>
      <c r="P338" s="213"/>
      <c r="Q338" s="213"/>
      <c r="R338" s="213"/>
      <c r="S338" s="213"/>
      <c r="T338" s="643"/>
      <c r="U338" s="616">
        <f t="shared" si="27"/>
        <v>0</v>
      </c>
      <c r="V338" s="633"/>
      <c r="W338" s="654"/>
      <c r="X338" s="654"/>
      <c r="Y338" s="7"/>
      <c r="Z338" s="699"/>
      <c r="AA338" s="7"/>
      <c r="AB338" s="618">
        <f t="shared" si="26"/>
        <v>0</v>
      </c>
      <c r="AC338" s="7"/>
      <c r="AD338" s="7"/>
      <c r="AE338" s="7"/>
      <c r="AF338" s="7"/>
      <c r="AG338" s="7"/>
      <c r="AH338" s="7"/>
    </row>
    <row r="339" spans="1:34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5"/>
      <c r="I339" s="215"/>
      <c r="J339" s="215"/>
      <c r="K339" s="215"/>
      <c r="L339" s="647"/>
      <c r="M339" s="647"/>
      <c r="N339" s="632"/>
      <c r="O339" s="213"/>
      <c r="P339" s="213"/>
      <c r="Q339" s="213"/>
      <c r="R339" s="213"/>
      <c r="S339" s="213"/>
      <c r="T339" s="643"/>
      <c r="U339" s="616">
        <f t="shared" si="27"/>
        <v>0</v>
      </c>
      <c r="V339" s="633"/>
      <c r="W339" s="654"/>
      <c r="X339" s="654"/>
      <c r="Y339" s="7"/>
      <c r="Z339" s="699"/>
      <c r="AA339" s="7"/>
      <c r="AB339" s="618">
        <f t="shared" si="26"/>
        <v>0</v>
      </c>
      <c r="AC339" s="7"/>
      <c r="AD339" s="7"/>
      <c r="AE339" s="7"/>
      <c r="AF339" s="7"/>
      <c r="AG339" s="7"/>
      <c r="AH339" s="7"/>
    </row>
    <row r="340" spans="1:34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5"/>
      <c r="I340" s="215"/>
      <c r="J340" s="215"/>
      <c r="K340" s="215"/>
      <c r="L340" s="647"/>
      <c r="M340" s="647"/>
      <c r="N340" s="632"/>
      <c r="O340" s="213"/>
      <c r="P340" s="213"/>
      <c r="Q340" s="213"/>
      <c r="R340" s="213"/>
      <c r="S340" s="213"/>
      <c r="T340" s="643"/>
      <c r="U340" s="616">
        <f t="shared" si="27"/>
        <v>0</v>
      </c>
      <c r="V340" s="633"/>
      <c r="W340" s="648"/>
      <c r="X340" s="648"/>
      <c r="Y340" s="7"/>
      <c r="Z340" s="699"/>
      <c r="AA340" s="7"/>
      <c r="AB340" s="618">
        <f t="shared" si="26"/>
        <v>0</v>
      </c>
      <c r="AC340" s="7"/>
      <c r="AD340" s="7"/>
      <c r="AE340" s="7"/>
      <c r="AF340" s="7"/>
      <c r="AG340" s="7"/>
      <c r="AH340" s="7"/>
    </row>
    <row r="341" spans="1:34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5"/>
      <c r="I341" s="215"/>
      <c r="J341" s="215"/>
      <c r="K341" s="215"/>
      <c r="L341" s="647"/>
      <c r="M341" s="647"/>
      <c r="N341" s="632"/>
      <c r="O341" s="213"/>
      <c r="P341" s="213"/>
      <c r="Q341" s="213"/>
      <c r="R341" s="213"/>
      <c r="S341" s="213"/>
      <c r="T341" s="643"/>
      <c r="U341" s="616">
        <f t="shared" si="27"/>
        <v>0</v>
      </c>
      <c r="V341" s="633"/>
      <c r="W341" s="654"/>
      <c r="X341" s="654"/>
      <c r="Y341" s="7"/>
      <c r="Z341" s="699"/>
      <c r="AA341" s="7"/>
      <c r="AB341" s="618">
        <f t="shared" si="26"/>
        <v>0</v>
      </c>
      <c r="AC341" s="7"/>
      <c r="AD341" s="7"/>
      <c r="AE341" s="7"/>
      <c r="AF341" s="7"/>
      <c r="AG341" s="7"/>
      <c r="AH341" s="7"/>
    </row>
    <row r="342" spans="1:34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5"/>
      <c r="I342" s="215"/>
      <c r="J342" s="215"/>
      <c r="K342" s="215"/>
      <c r="L342" s="647"/>
      <c r="M342" s="647"/>
      <c r="N342" s="632"/>
      <c r="O342" s="213"/>
      <c r="P342" s="213"/>
      <c r="Q342" s="213"/>
      <c r="R342" s="213"/>
      <c r="S342" s="213"/>
      <c r="T342" s="643"/>
      <c r="U342" s="616">
        <f t="shared" si="27"/>
        <v>0</v>
      </c>
      <c r="V342" s="633"/>
      <c r="W342" s="654"/>
      <c r="X342" s="654"/>
      <c r="Y342" s="7"/>
      <c r="Z342" s="699"/>
      <c r="AA342" s="7"/>
      <c r="AB342" s="618">
        <f t="shared" si="26"/>
        <v>0</v>
      </c>
      <c r="AC342" s="7"/>
      <c r="AD342" s="7"/>
      <c r="AE342" s="7"/>
      <c r="AF342" s="7"/>
      <c r="AG342" s="7"/>
      <c r="AH342" s="7"/>
    </row>
    <row r="343" spans="1:34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5"/>
      <c r="I343" s="215"/>
      <c r="J343" s="215"/>
      <c r="K343" s="215"/>
      <c r="L343" s="647"/>
      <c r="M343" s="647"/>
      <c r="N343" s="632"/>
      <c r="O343" s="213"/>
      <c r="P343" s="213"/>
      <c r="Q343" s="213"/>
      <c r="R343" s="213"/>
      <c r="S343" s="213"/>
      <c r="T343" s="643"/>
      <c r="U343" s="616">
        <f t="shared" si="27"/>
        <v>0</v>
      </c>
      <c r="V343" s="633"/>
      <c r="W343" s="654"/>
      <c r="X343" s="654"/>
      <c r="Y343" s="7"/>
      <c r="Z343" s="699"/>
      <c r="AA343" s="7"/>
      <c r="AB343" s="618">
        <f t="shared" si="26"/>
        <v>0</v>
      </c>
      <c r="AC343" s="7"/>
      <c r="AD343" s="7"/>
      <c r="AE343" s="7"/>
      <c r="AF343" s="7"/>
      <c r="AG343" s="7"/>
      <c r="AH343" s="7"/>
    </row>
    <row r="344" spans="1:34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5"/>
      <c r="I344" s="215"/>
      <c r="J344" s="215"/>
      <c r="K344" s="215"/>
      <c r="L344" s="647"/>
      <c r="M344" s="647"/>
      <c r="N344" s="632"/>
      <c r="O344" s="213"/>
      <c r="P344" s="213"/>
      <c r="Q344" s="213"/>
      <c r="R344" s="213"/>
      <c r="S344" s="213"/>
      <c r="T344" s="643"/>
      <c r="U344" s="616">
        <f t="shared" si="27"/>
        <v>0</v>
      </c>
      <c r="V344" s="633"/>
      <c r="W344" s="654"/>
      <c r="X344" s="654"/>
      <c r="Y344" s="7"/>
      <c r="Z344" s="699"/>
      <c r="AA344" s="7"/>
      <c r="AB344" s="618">
        <f t="shared" si="26"/>
        <v>0</v>
      </c>
      <c r="AC344" s="7"/>
      <c r="AD344" s="7"/>
      <c r="AE344" s="7"/>
      <c r="AF344" s="7"/>
      <c r="AG344" s="7"/>
      <c r="AH344" s="7"/>
    </row>
    <row r="345" spans="1:34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5"/>
      <c r="I345" s="215"/>
      <c r="J345" s="215"/>
      <c r="K345" s="215"/>
      <c r="L345" s="647"/>
      <c r="M345" s="647"/>
      <c r="N345" s="632"/>
      <c r="O345" s="213"/>
      <c r="P345" s="213"/>
      <c r="Q345" s="213"/>
      <c r="R345" s="213"/>
      <c r="S345" s="213"/>
      <c r="T345" s="643"/>
      <c r="U345" s="616">
        <f t="shared" si="27"/>
        <v>0</v>
      </c>
      <c r="V345" s="633"/>
      <c r="W345" s="654"/>
      <c r="X345" s="654"/>
      <c r="Y345" s="7"/>
      <c r="Z345" s="699"/>
      <c r="AA345" s="7"/>
      <c r="AB345" s="618">
        <f t="shared" si="26"/>
        <v>0</v>
      </c>
      <c r="AC345" s="7"/>
      <c r="AD345" s="7"/>
      <c r="AE345" s="7"/>
      <c r="AF345" s="7"/>
      <c r="AG345" s="7"/>
      <c r="AH345" s="7"/>
    </row>
    <row r="346" spans="1:34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5"/>
      <c r="I346" s="215"/>
      <c r="J346" s="215"/>
      <c r="K346" s="215"/>
      <c r="L346" s="662"/>
      <c r="M346" s="662"/>
      <c r="N346" s="632"/>
      <c r="O346" s="213"/>
      <c r="P346" s="213"/>
      <c r="Q346" s="213"/>
      <c r="R346" s="213"/>
      <c r="S346" s="213"/>
      <c r="T346" s="643"/>
      <c r="U346" s="616">
        <f t="shared" si="27"/>
        <v>0</v>
      </c>
      <c r="V346" s="633"/>
      <c r="W346" s="636"/>
      <c r="X346" s="636"/>
      <c r="Y346" s="7"/>
      <c r="Z346" s="699"/>
      <c r="AA346" s="7"/>
      <c r="AB346" s="618">
        <f t="shared" si="26"/>
        <v>0</v>
      </c>
      <c r="AC346" s="7"/>
      <c r="AD346" s="7"/>
      <c r="AE346" s="7"/>
      <c r="AF346" s="7"/>
      <c r="AG346" s="7"/>
      <c r="AH346" s="7"/>
    </row>
    <row r="347" spans="1:34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5"/>
      <c r="I347" s="215"/>
      <c r="J347" s="215"/>
      <c r="K347" s="215"/>
      <c r="L347" s="662"/>
      <c r="M347" s="662"/>
      <c r="N347" s="632"/>
      <c r="O347" s="213"/>
      <c r="P347" s="213"/>
      <c r="Q347" s="213"/>
      <c r="R347" s="213"/>
      <c r="S347" s="213"/>
      <c r="T347" s="643"/>
      <c r="U347" s="616">
        <f t="shared" si="27"/>
        <v>0</v>
      </c>
      <c r="V347" s="633"/>
      <c r="W347" s="636"/>
      <c r="X347" s="636"/>
      <c r="Y347" s="7"/>
      <c r="Z347" s="699"/>
      <c r="AA347" s="7"/>
      <c r="AB347" s="618">
        <f t="shared" si="26"/>
        <v>0</v>
      </c>
      <c r="AC347" s="7"/>
      <c r="AD347" s="7"/>
      <c r="AE347" s="7"/>
      <c r="AF347" s="7"/>
      <c r="AG347" s="7"/>
      <c r="AH347" s="7"/>
    </row>
    <row r="348" spans="1:34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5"/>
      <c r="I348" s="215"/>
      <c r="J348" s="215"/>
      <c r="K348" s="215"/>
      <c r="L348" s="662"/>
      <c r="M348" s="662"/>
      <c r="N348" s="632"/>
      <c r="O348" s="213"/>
      <c r="P348" s="213"/>
      <c r="Q348" s="213"/>
      <c r="R348" s="213"/>
      <c r="S348" s="213"/>
      <c r="T348" s="643"/>
      <c r="U348" s="616">
        <f t="shared" si="27"/>
        <v>0</v>
      </c>
      <c r="V348" s="633"/>
      <c r="W348" s="636"/>
      <c r="X348" s="636"/>
      <c r="Y348" s="7"/>
      <c r="Z348" s="699"/>
      <c r="AA348" s="7"/>
      <c r="AB348" s="618">
        <f t="shared" si="26"/>
        <v>0</v>
      </c>
      <c r="AC348" s="7"/>
      <c r="AD348" s="7"/>
      <c r="AE348" s="7"/>
      <c r="AF348" s="7"/>
      <c r="AG348" s="7"/>
      <c r="AH348" s="7"/>
    </row>
    <row r="349" spans="1:34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5"/>
      <c r="I349" s="215"/>
      <c r="J349" s="215"/>
      <c r="K349" s="215"/>
      <c r="L349" s="662"/>
      <c r="M349" s="662"/>
      <c r="N349" s="632"/>
      <c r="O349" s="213"/>
      <c r="P349" s="213"/>
      <c r="Q349" s="213"/>
      <c r="R349" s="213"/>
      <c r="S349" s="213"/>
      <c r="T349" s="643"/>
      <c r="U349" s="616">
        <f t="shared" si="27"/>
        <v>0</v>
      </c>
      <c r="V349" s="633"/>
      <c r="W349" s="636"/>
      <c r="X349" s="636"/>
      <c r="Y349" s="7"/>
      <c r="Z349" s="699"/>
      <c r="AA349" s="7"/>
      <c r="AB349" s="618">
        <f t="shared" si="26"/>
        <v>0</v>
      </c>
      <c r="AC349" s="7"/>
      <c r="AD349" s="7"/>
      <c r="AE349" s="7"/>
      <c r="AF349" s="7"/>
      <c r="AG349" s="7"/>
      <c r="AH349" s="7"/>
    </row>
    <row r="350" spans="1:34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5"/>
      <c r="I350" s="215"/>
      <c r="J350" s="215"/>
      <c r="K350" s="215"/>
      <c r="L350" s="662"/>
      <c r="M350" s="662"/>
      <c r="N350" s="632"/>
      <c r="O350" s="213"/>
      <c r="P350" s="213"/>
      <c r="Q350" s="213"/>
      <c r="R350" s="213"/>
      <c r="S350" s="213"/>
      <c r="T350" s="643"/>
      <c r="U350" s="616">
        <f t="shared" si="27"/>
        <v>0</v>
      </c>
      <c r="V350" s="633"/>
      <c r="W350" s="636"/>
      <c r="X350" s="636"/>
      <c r="Y350" s="7"/>
      <c r="Z350" s="699"/>
      <c r="AA350" s="7"/>
      <c r="AB350" s="618">
        <f t="shared" si="26"/>
        <v>0</v>
      </c>
      <c r="AC350" s="7"/>
      <c r="AD350" s="7"/>
      <c r="AE350" s="7"/>
      <c r="AF350" s="7"/>
      <c r="AG350" s="7"/>
      <c r="AH350" s="7"/>
    </row>
    <row r="351" spans="1:34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5"/>
      <c r="I351" s="215"/>
      <c r="J351" s="215"/>
      <c r="K351" s="215"/>
      <c r="L351" s="665"/>
      <c r="M351" s="665"/>
      <c r="N351" s="632"/>
      <c r="O351" s="213"/>
      <c r="P351" s="213"/>
      <c r="Q351" s="213"/>
      <c r="R351" s="213"/>
      <c r="S351" s="213"/>
      <c r="T351" s="643"/>
      <c r="U351" s="616">
        <f t="shared" si="27"/>
        <v>0</v>
      </c>
      <c r="V351" s="633"/>
      <c r="W351" s="636"/>
      <c r="X351" s="636"/>
      <c r="Y351" s="7"/>
      <c r="Z351" s="699"/>
      <c r="AA351" s="7"/>
      <c r="AB351" s="618">
        <f t="shared" si="26"/>
        <v>0</v>
      </c>
      <c r="AC351" s="7"/>
      <c r="AD351" s="7"/>
      <c r="AE351" s="7"/>
      <c r="AF351" s="7"/>
      <c r="AG351" s="7"/>
      <c r="AH351" s="7"/>
    </row>
    <row r="352" spans="1:34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5"/>
      <c r="I352" s="215"/>
      <c r="J352" s="215"/>
      <c r="K352" s="215"/>
      <c r="L352" s="662"/>
      <c r="M352" s="662"/>
      <c r="N352" s="632"/>
      <c r="O352" s="213"/>
      <c r="P352" s="213"/>
      <c r="Q352" s="213"/>
      <c r="R352" s="213"/>
      <c r="S352" s="213"/>
      <c r="T352" s="643"/>
      <c r="U352" s="616">
        <f t="shared" si="27"/>
        <v>0</v>
      </c>
      <c r="V352" s="633"/>
      <c r="W352" s="636"/>
      <c r="X352" s="636"/>
      <c r="Y352" s="7"/>
      <c r="Z352" s="699"/>
      <c r="AA352" s="7"/>
      <c r="AB352" s="618">
        <f t="shared" si="26"/>
        <v>0</v>
      </c>
      <c r="AC352" s="7"/>
      <c r="AD352" s="7"/>
      <c r="AE352" s="7"/>
      <c r="AF352" s="7"/>
      <c r="AG352" s="7"/>
      <c r="AH352" s="7"/>
    </row>
    <row r="353" spans="1:34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5"/>
      <c r="I353" s="215"/>
      <c r="J353" s="215"/>
      <c r="K353" s="215"/>
      <c r="L353" s="662"/>
      <c r="M353" s="662"/>
      <c r="N353" s="632"/>
      <c r="O353" s="213"/>
      <c r="P353" s="213"/>
      <c r="Q353" s="213"/>
      <c r="R353" s="213"/>
      <c r="S353" s="213"/>
      <c r="T353" s="643"/>
      <c r="U353" s="616">
        <f t="shared" si="27"/>
        <v>0</v>
      </c>
      <c r="V353" s="633"/>
      <c r="W353" s="640"/>
      <c r="X353" s="640"/>
      <c r="Y353" s="7"/>
      <c r="Z353" s="699"/>
      <c r="AA353" s="7"/>
      <c r="AB353" s="618">
        <f t="shared" si="26"/>
        <v>0</v>
      </c>
      <c r="AC353" s="7"/>
      <c r="AD353" s="7"/>
      <c r="AE353" s="7"/>
      <c r="AF353" s="7"/>
      <c r="AG353" s="7"/>
      <c r="AH353" s="7"/>
    </row>
    <row r="354" spans="1:34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5"/>
      <c r="I354" s="215"/>
      <c r="J354" s="215"/>
      <c r="K354" s="215"/>
      <c r="L354" s="649"/>
      <c r="M354" s="649"/>
      <c r="N354" s="632"/>
      <c r="O354" s="213"/>
      <c r="P354" s="213"/>
      <c r="Q354" s="213"/>
      <c r="R354" s="213"/>
      <c r="S354" s="213"/>
      <c r="T354" s="643"/>
      <c r="U354" s="616">
        <f t="shared" si="27"/>
        <v>0</v>
      </c>
      <c r="V354" s="633"/>
      <c r="W354" s="547"/>
      <c r="X354" s="547"/>
      <c r="Y354" s="7"/>
      <c r="Z354" s="699">
        <v>1</v>
      </c>
      <c r="AA354" s="7"/>
      <c r="AB354" s="618">
        <f t="shared" si="26"/>
        <v>1</v>
      </c>
      <c r="AC354" s="7"/>
      <c r="AD354" s="7"/>
      <c r="AE354" s="7"/>
      <c r="AF354" s="7"/>
      <c r="AG354" s="7"/>
      <c r="AH354" s="7"/>
    </row>
    <row r="355" spans="1:34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5"/>
      <c r="I355" s="215"/>
      <c r="J355" s="215"/>
      <c r="K355" s="215"/>
      <c r="L355" s="649"/>
      <c r="M355" s="649"/>
      <c r="N355" s="632"/>
      <c r="O355" s="213"/>
      <c r="P355" s="213"/>
      <c r="Q355" s="213"/>
      <c r="R355" s="213"/>
      <c r="S355" s="213"/>
      <c r="T355" s="643"/>
      <c r="U355" s="616">
        <f t="shared" si="27"/>
        <v>0</v>
      </c>
      <c r="V355" s="633"/>
      <c r="W355" s="666"/>
      <c r="X355" s="666"/>
      <c r="Y355" s="7"/>
      <c r="Z355" s="699"/>
      <c r="AA355" s="7"/>
      <c r="AB355" s="618">
        <f t="shared" si="26"/>
        <v>0</v>
      </c>
      <c r="AC355" s="7"/>
      <c r="AD355" s="7"/>
      <c r="AE355" s="7"/>
      <c r="AF355" s="7"/>
      <c r="AG355" s="7"/>
      <c r="AH355" s="7"/>
    </row>
    <row r="356" spans="1:34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5"/>
      <c r="I356" s="215"/>
      <c r="J356" s="215"/>
      <c r="K356" s="215"/>
      <c r="L356" s="649"/>
      <c r="M356" s="649"/>
      <c r="N356" s="632"/>
      <c r="O356" s="213"/>
      <c r="P356" s="213"/>
      <c r="Q356" s="213"/>
      <c r="R356" s="213"/>
      <c r="S356" s="213"/>
      <c r="T356" s="643"/>
      <c r="U356" s="616">
        <f t="shared" si="27"/>
        <v>0</v>
      </c>
      <c r="V356" s="633"/>
      <c r="W356" s="666"/>
      <c r="X356" s="666"/>
      <c r="Y356" s="7"/>
      <c r="Z356" s="699"/>
      <c r="AA356" s="7"/>
      <c r="AB356" s="618">
        <f t="shared" si="26"/>
        <v>0</v>
      </c>
      <c r="AC356" s="7"/>
      <c r="AD356" s="7"/>
      <c r="AE356" s="7"/>
      <c r="AF356" s="7"/>
      <c r="AG356" s="7"/>
      <c r="AH356" s="7"/>
    </row>
    <row r="357" spans="1:34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5"/>
      <c r="I357" s="215"/>
      <c r="J357" s="215"/>
      <c r="K357" s="215"/>
      <c r="L357" s="649"/>
      <c r="M357" s="649"/>
      <c r="N357" s="632"/>
      <c r="O357" s="213"/>
      <c r="P357" s="213"/>
      <c r="Q357" s="213"/>
      <c r="R357" s="213"/>
      <c r="S357" s="213"/>
      <c r="T357" s="643"/>
      <c r="U357" s="616">
        <f t="shared" si="27"/>
        <v>0</v>
      </c>
      <c r="V357" s="633"/>
      <c r="W357" s="542"/>
      <c r="X357" s="542"/>
      <c r="Y357" s="7"/>
      <c r="Z357" s="699"/>
      <c r="AA357" s="7"/>
      <c r="AB357" s="618">
        <f t="shared" si="26"/>
        <v>0</v>
      </c>
      <c r="AC357" s="7"/>
      <c r="AD357" s="7"/>
      <c r="AE357" s="7"/>
      <c r="AF357" s="7"/>
      <c r="AG357" s="7"/>
      <c r="AH357" s="7"/>
    </row>
    <row r="358" spans="1:34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5"/>
      <c r="I358" s="215"/>
      <c r="J358" s="215"/>
      <c r="K358" s="215"/>
      <c r="L358" s="649"/>
      <c r="M358" s="649"/>
      <c r="N358" s="632"/>
      <c r="O358" s="213"/>
      <c r="P358" s="213"/>
      <c r="Q358" s="213"/>
      <c r="R358" s="213"/>
      <c r="S358" s="213"/>
      <c r="T358" s="643"/>
      <c r="U358" s="616">
        <f t="shared" si="27"/>
        <v>0</v>
      </c>
      <c r="V358" s="633"/>
      <c r="W358" s="542"/>
      <c r="X358" s="542"/>
      <c r="Y358" s="7"/>
      <c r="Z358" s="699"/>
      <c r="AA358" s="7"/>
      <c r="AB358" s="618">
        <f t="shared" si="26"/>
        <v>0</v>
      </c>
      <c r="AC358" s="7"/>
      <c r="AD358" s="7"/>
      <c r="AE358" s="7"/>
      <c r="AF358" s="7"/>
      <c r="AG358" s="7"/>
      <c r="AH358" s="7"/>
    </row>
    <row r="359" spans="1:34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5"/>
      <c r="I359" s="215"/>
      <c r="J359" s="215"/>
      <c r="K359" s="215"/>
      <c r="L359" s="649"/>
      <c r="M359" s="649"/>
      <c r="N359" s="632"/>
      <c r="O359" s="213"/>
      <c r="P359" s="213"/>
      <c r="Q359" s="213"/>
      <c r="R359" s="213"/>
      <c r="S359" s="213"/>
      <c r="T359" s="643"/>
      <c r="U359" s="616">
        <f t="shared" si="27"/>
        <v>0</v>
      </c>
      <c r="V359" s="633"/>
      <c r="W359" s="542"/>
      <c r="X359" s="542"/>
      <c r="Y359" s="7"/>
      <c r="Z359" s="699"/>
      <c r="AA359" s="7"/>
      <c r="AB359" s="618">
        <f t="shared" si="26"/>
        <v>0</v>
      </c>
      <c r="AC359" s="7"/>
      <c r="AD359" s="7"/>
      <c r="AE359" s="7"/>
      <c r="AF359" s="7"/>
      <c r="AG359" s="7"/>
      <c r="AH359" s="7"/>
    </row>
    <row r="360" spans="1:34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5"/>
      <c r="I360" s="215"/>
      <c r="J360" s="215"/>
      <c r="K360" s="215"/>
      <c r="L360" s="649"/>
      <c r="M360" s="649"/>
      <c r="N360" s="632"/>
      <c r="O360" s="213"/>
      <c r="P360" s="213"/>
      <c r="Q360" s="213"/>
      <c r="R360" s="213"/>
      <c r="S360" s="213"/>
      <c r="T360" s="643"/>
      <c r="U360" s="616">
        <f t="shared" si="27"/>
        <v>0</v>
      </c>
      <c r="V360" s="633"/>
      <c r="W360" s="542"/>
      <c r="X360" s="542"/>
      <c r="Y360" s="7"/>
      <c r="Z360" s="699"/>
      <c r="AA360" s="7"/>
      <c r="AB360" s="618">
        <f t="shared" si="26"/>
        <v>0</v>
      </c>
      <c r="AC360" s="7"/>
      <c r="AD360" s="7"/>
      <c r="AE360" s="7"/>
      <c r="AF360" s="7"/>
      <c r="AG360" s="7"/>
      <c r="AH360" s="7"/>
    </row>
    <row r="361" spans="1:34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5"/>
      <c r="I361" s="215"/>
      <c r="J361" s="215"/>
      <c r="K361" s="215"/>
      <c r="L361" s="662"/>
      <c r="M361" s="662"/>
      <c r="N361" s="632"/>
      <c r="O361" s="213"/>
      <c r="P361" s="213"/>
      <c r="Q361" s="213"/>
      <c r="R361" s="213"/>
      <c r="S361" s="213"/>
      <c r="T361" s="643"/>
      <c r="U361" s="616">
        <f t="shared" si="27"/>
        <v>0</v>
      </c>
      <c r="V361" s="633"/>
      <c r="W361" s="547"/>
      <c r="X361" s="547"/>
      <c r="Y361" s="7"/>
      <c r="Z361" s="699"/>
      <c r="AA361" s="7"/>
      <c r="AB361" s="618">
        <f t="shared" si="26"/>
        <v>0</v>
      </c>
      <c r="AC361" s="7"/>
      <c r="AD361" s="7"/>
      <c r="AE361" s="7"/>
      <c r="AF361" s="7"/>
      <c r="AG361" s="7"/>
      <c r="AH361" s="7"/>
    </row>
    <row r="362" spans="1:34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5"/>
      <c r="I362" s="215"/>
      <c r="J362" s="215"/>
      <c r="K362" s="215"/>
      <c r="L362" s="662"/>
      <c r="M362" s="662"/>
      <c r="N362" s="632"/>
      <c r="O362" s="213"/>
      <c r="P362" s="213"/>
      <c r="Q362" s="213"/>
      <c r="R362" s="213"/>
      <c r="S362" s="213"/>
      <c r="T362" s="643"/>
      <c r="U362" s="616">
        <f t="shared" si="27"/>
        <v>0</v>
      </c>
      <c r="V362" s="633"/>
      <c r="W362" s="241"/>
      <c r="X362" s="241"/>
      <c r="Y362" s="7"/>
      <c r="Z362" s="699"/>
      <c r="AA362" s="7"/>
      <c r="AB362" s="618">
        <f t="shared" si="26"/>
        <v>0</v>
      </c>
      <c r="AC362" s="7"/>
      <c r="AD362" s="7"/>
      <c r="AE362" s="7"/>
      <c r="AF362" s="7"/>
      <c r="AG362" s="7"/>
      <c r="AH362" s="7"/>
    </row>
    <row r="363" spans="1:34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5"/>
      <c r="I363" s="215"/>
      <c r="J363" s="215"/>
      <c r="K363" s="215"/>
      <c r="L363" s="662"/>
      <c r="M363" s="662"/>
      <c r="N363" s="632"/>
      <c r="O363" s="213"/>
      <c r="P363" s="213"/>
      <c r="Q363" s="213"/>
      <c r="R363" s="213"/>
      <c r="S363" s="213"/>
      <c r="T363" s="643"/>
      <c r="U363" s="616">
        <f t="shared" si="27"/>
        <v>0</v>
      </c>
      <c r="V363" s="633"/>
      <c r="W363" s="241"/>
      <c r="X363" s="241"/>
      <c r="Y363" s="7"/>
      <c r="Z363" s="699"/>
      <c r="AA363" s="7"/>
      <c r="AB363" s="618">
        <f t="shared" si="26"/>
        <v>0</v>
      </c>
      <c r="AC363" s="7"/>
      <c r="AD363" s="7"/>
      <c r="AE363" s="7"/>
      <c r="AF363" s="7"/>
      <c r="AG363" s="7"/>
      <c r="AH363" s="7"/>
    </row>
    <row r="364" spans="1:34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5"/>
      <c r="I364" s="215"/>
      <c r="J364" s="215"/>
      <c r="K364" s="215"/>
      <c r="L364" s="662"/>
      <c r="M364" s="662"/>
      <c r="N364" s="632"/>
      <c r="O364" s="213"/>
      <c r="P364" s="213"/>
      <c r="Q364" s="213"/>
      <c r="R364" s="213"/>
      <c r="S364" s="213"/>
      <c r="T364" s="643"/>
      <c r="U364" s="616">
        <f t="shared" si="27"/>
        <v>0</v>
      </c>
      <c r="V364" s="633"/>
      <c r="W364" s="241"/>
      <c r="X364" s="241"/>
      <c r="Y364" s="7"/>
      <c r="Z364" s="699"/>
      <c r="AA364" s="7"/>
      <c r="AB364" s="618">
        <f t="shared" si="26"/>
        <v>0</v>
      </c>
      <c r="AC364" s="7"/>
      <c r="AD364" s="7"/>
      <c r="AE364" s="7"/>
      <c r="AF364" s="7"/>
      <c r="AG364" s="7"/>
      <c r="AH364" s="7"/>
    </row>
    <row r="365" spans="1:34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5"/>
      <c r="I365" s="215"/>
      <c r="J365" s="215"/>
      <c r="K365" s="215"/>
      <c r="L365" s="662"/>
      <c r="M365" s="662"/>
      <c r="N365" s="632"/>
      <c r="O365" s="213"/>
      <c r="P365" s="213"/>
      <c r="Q365" s="213"/>
      <c r="R365" s="213"/>
      <c r="S365" s="213"/>
      <c r="T365" s="643"/>
      <c r="U365" s="616">
        <f t="shared" si="27"/>
        <v>0</v>
      </c>
      <c r="V365" s="633"/>
      <c r="W365" s="241"/>
      <c r="X365" s="241"/>
      <c r="Y365" s="7"/>
      <c r="Z365" s="699"/>
      <c r="AA365" s="7"/>
      <c r="AB365" s="618">
        <f t="shared" si="26"/>
        <v>0</v>
      </c>
      <c r="AC365" s="7"/>
      <c r="AD365" s="7"/>
      <c r="AE365" s="7"/>
      <c r="AF365" s="7"/>
      <c r="AG365" s="7"/>
      <c r="AH365" s="7"/>
    </row>
    <row r="366" spans="1:34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5"/>
      <c r="I366" s="215"/>
      <c r="J366" s="215"/>
      <c r="K366" s="215"/>
      <c r="L366" s="662"/>
      <c r="M366" s="662"/>
      <c r="N366" s="632"/>
      <c r="O366" s="213"/>
      <c r="P366" s="213"/>
      <c r="Q366" s="213"/>
      <c r="R366" s="213"/>
      <c r="S366" s="213"/>
      <c r="T366" s="643"/>
      <c r="U366" s="616">
        <f t="shared" si="27"/>
        <v>0</v>
      </c>
      <c r="V366" s="633"/>
      <c r="W366" s="547"/>
      <c r="X366" s="547"/>
      <c r="Y366" s="7"/>
      <c r="Z366" s="699"/>
      <c r="AA366" s="7"/>
      <c r="AB366" s="618">
        <f t="shared" si="26"/>
        <v>0</v>
      </c>
      <c r="AC366" s="7"/>
      <c r="AD366" s="7"/>
      <c r="AE366" s="7"/>
      <c r="AF366" s="7"/>
      <c r="AG366" s="7"/>
      <c r="AH366" s="7"/>
    </row>
    <row r="367" spans="1:34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5"/>
      <c r="I367" s="215"/>
      <c r="J367" s="215"/>
      <c r="K367" s="215"/>
      <c r="L367" s="662"/>
      <c r="M367" s="662"/>
      <c r="N367" s="632"/>
      <c r="O367" s="213"/>
      <c r="P367" s="213"/>
      <c r="Q367" s="213"/>
      <c r="R367" s="213"/>
      <c r="S367" s="213"/>
      <c r="T367" s="643"/>
      <c r="U367" s="616">
        <f t="shared" si="27"/>
        <v>0</v>
      </c>
      <c r="V367" s="633"/>
      <c r="W367" s="547"/>
      <c r="X367" s="547"/>
      <c r="Y367" s="7"/>
      <c r="Z367" s="699"/>
      <c r="AA367" s="7"/>
      <c r="AB367" s="618">
        <f t="shared" si="26"/>
        <v>0</v>
      </c>
      <c r="AC367" s="7"/>
      <c r="AD367" s="7"/>
      <c r="AE367" s="7"/>
      <c r="AF367" s="7"/>
      <c r="AG367" s="7"/>
      <c r="AH367" s="7"/>
    </row>
    <row r="368" spans="1:34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5"/>
      <c r="I368" s="215"/>
      <c r="J368" s="215"/>
      <c r="K368" s="215"/>
      <c r="L368" s="662"/>
      <c r="M368" s="662"/>
      <c r="N368" s="632"/>
      <c r="O368" s="213"/>
      <c r="P368" s="213"/>
      <c r="Q368" s="213"/>
      <c r="R368" s="213"/>
      <c r="S368" s="213"/>
      <c r="T368" s="643"/>
      <c r="U368" s="616">
        <f t="shared" si="27"/>
        <v>0</v>
      </c>
      <c r="V368" s="633"/>
      <c r="W368" s="640"/>
      <c r="X368" s="640"/>
      <c r="Y368" s="7"/>
      <c r="Z368" s="699"/>
      <c r="AA368" s="7"/>
      <c r="AB368" s="618">
        <f t="shared" si="26"/>
        <v>0</v>
      </c>
      <c r="AC368" s="7"/>
      <c r="AD368" s="7"/>
      <c r="AE368" s="7"/>
      <c r="AF368" s="7"/>
      <c r="AG368" s="7"/>
      <c r="AH368" s="7"/>
    </row>
    <row r="369" spans="1:34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/>
      <c r="H369" s="215"/>
      <c r="I369" s="215"/>
      <c r="J369" s="215"/>
      <c r="K369" s="215"/>
      <c r="L369" s="620"/>
      <c r="M369" s="620"/>
      <c r="N369" s="632"/>
      <c r="O369" s="213"/>
      <c r="P369" s="213">
        <v>7</v>
      </c>
      <c r="Q369" s="213"/>
      <c r="R369" s="213"/>
      <c r="S369" s="213"/>
      <c r="T369" s="657"/>
      <c r="U369" s="616">
        <f t="shared" si="27"/>
        <v>7</v>
      </c>
      <c r="V369" s="633"/>
      <c r="W369" s="636"/>
      <c r="X369" s="636"/>
      <c r="Y369" s="7"/>
      <c r="Z369" s="699">
        <v>65</v>
      </c>
      <c r="AA369" s="7"/>
      <c r="AB369" s="618">
        <f t="shared" si="26"/>
        <v>58</v>
      </c>
      <c r="AC369" s="7"/>
      <c r="AD369" s="7"/>
      <c r="AE369" s="7"/>
      <c r="AF369" s="7"/>
      <c r="AG369" s="7"/>
      <c r="AH369" s="7"/>
    </row>
    <row r="370" spans="1:34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315"/>
      <c r="I370" s="215"/>
      <c r="J370" s="215"/>
      <c r="K370" s="215"/>
      <c r="L370" s="647"/>
      <c r="M370" s="647"/>
      <c r="N370" s="668"/>
      <c r="O370" s="213"/>
      <c r="P370" s="213"/>
      <c r="Q370" s="213"/>
      <c r="R370" s="213"/>
      <c r="S370" s="213"/>
      <c r="T370" s="643"/>
      <c r="U370" s="616">
        <f t="shared" si="27"/>
        <v>0</v>
      </c>
      <c r="V370" s="633"/>
      <c r="W370" s="648"/>
      <c r="X370" s="648"/>
      <c r="Y370" s="7"/>
      <c r="Z370" s="699"/>
      <c r="AA370" s="7"/>
      <c r="AB370" s="618">
        <f t="shared" si="26"/>
        <v>0</v>
      </c>
      <c r="AC370" s="7"/>
      <c r="AD370" s="7"/>
      <c r="AE370" s="7"/>
      <c r="AF370" s="7"/>
      <c r="AG370" s="7"/>
      <c r="AH370" s="7"/>
    </row>
    <row r="371" spans="1:34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315"/>
      <c r="I371" s="215"/>
      <c r="J371" s="215"/>
      <c r="K371" s="215"/>
      <c r="L371" s="647"/>
      <c r="M371" s="647"/>
      <c r="N371" s="668"/>
      <c r="O371" s="213"/>
      <c r="P371" s="213"/>
      <c r="Q371" s="213"/>
      <c r="R371" s="213"/>
      <c r="S371" s="213"/>
      <c r="T371" s="643"/>
      <c r="U371" s="616">
        <f t="shared" si="27"/>
        <v>0</v>
      </c>
      <c r="V371" s="633"/>
      <c r="W371" s="648"/>
      <c r="X371" s="648"/>
      <c r="Y371" s="7"/>
      <c r="Z371" s="699">
        <v>65</v>
      </c>
      <c r="AA371" s="7"/>
      <c r="AB371" s="618"/>
      <c r="AC371" s="7"/>
      <c r="AD371" s="7"/>
      <c r="AE371" s="7"/>
      <c r="AF371" s="7"/>
      <c r="AG371" s="7"/>
      <c r="AH371" s="7"/>
    </row>
    <row r="372" spans="1:34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315"/>
      <c r="I372" s="215"/>
      <c r="J372" s="215"/>
      <c r="K372" s="215"/>
      <c r="L372" s="620"/>
      <c r="M372" s="620"/>
      <c r="N372" s="668"/>
      <c r="O372" s="213"/>
      <c r="P372" s="213"/>
      <c r="Q372" s="213"/>
      <c r="R372" s="213"/>
      <c r="S372" s="213"/>
      <c r="T372" s="657"/>
      <c r="U372" s="616">
        <f t="shared" si="27"/>
        <v>0</v>
      </c>
      <c r="V372" s="633"/>
      <c r="W372" s="636"/>
      <c r="X372" s="636"/>
      <c r="Y372" s="7"/>
      <c r="Z372" s="699">
        <v>938</v>
      </c>
      <c r="AA372" s="7"/>
      <c r="AB372" s="618">
        <f t="shared" ref="AB372:AB447" si="28">Z372-U372</f>
        <v>938</v>
      </c>
      <c r="AC372" s="7"/>
      <c r="AD372" s="7"/>
      <c r="AE372" s="7"/>
      <c r="AF372" s="7"/>
      <c r="AG372" s="7"/>
      <c r="AH372" s="7"/>
    </row>
    <row r="373" spans="1:34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315"/>
      <c r="I373" s="215"/>
      <c r="J373" s="215"/>
      <c r="K373" s="215"/>
      <c r="L373" s="647"/>
      <c r="M373" s="647"/>
      <c r="N373" s="668"/>
      <c r="O373" s="213"/>
      <c r="P373" s="213"/>
      <c r="Q373" s="213"/>
      <c r="R373" s="213"/>
      <c r="S373" s="213"/>
      <c r="T373" s="643"/>
      <c r="U373" s="616">
        <f t="shared" si="27"/>
        <v>0</v>
      </c>
      <c r="V373" s="633"/>
      <c r="W373" s="648"/>
      <c r="X373" s="648"/>
      <c r="Y373" s="7"/>
      <c r="Z373" s="699"/>
      <c r="AA373" s="7"/>
      <c r="AB373" s="618">
        <f t="shared" si="28"/>
        <v>0</v>
      </c>
      <c r="AC373" s="7"/>
      <c r="AD373" s="7"/>
      <c r="AE373" s="7"/>
      <c r="AF373" s="7"/>
      <c r="AG373" s="7"/>
      <c r="AH373" s="7"/>
    </row>
    <row r="374" spans="1:34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315"/>
      <c r="I374" s="215"/>
      <c r="J374" s="215"/>
      <c r="K374" s="215"/>
      <c r="L374" s="647"/>
      <c r="M374" s="647"/>
      <c r="N374" s="668"/>
      <c r="O374" s="213"/>
      <c r="P374" s="213"/>
      <c r="Q374" s="213"/>
      <c r="R374" s="213"/>
      <c r="S374" s="213"/>
      <c r="T374" s="643"/>
      <c r="U374" s="616">
        <f t="shared" si="27"/>
        <v>0</v>
      </c>
      <c r="V374" s="633"/>
      <c r="W374" s="648"/>
      <c r="X374" s="648"/>
      <c r="Y374" s="7"/>
      <c r="Z374" s="699">
        <v>938</v>
      </c>
      <c r="AA374" s="7"/>
      <c r="AB374" s="618">
        <f t="shared" si="28"/>
        <v>938</v>
      </c>
      <c r="AC374" s="7"/>
      <c r="AD374" s="7"/>
      <c r="AE374" s="7"/>
      <c r="AF374" s="7"/>
      <c r="AG374" s="7"/>
      <c r="AH374" s="7"/>
    </row>
    <row r="375" spans="1:34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315"/>
      <c r="I375" s="215"/>
      <c r="J375" s="215"/>
      <c r="K375" s="215"/>
      <c r="L375" s="620"/>
      <c r="M375" s="620"/>
      <c r="N375" s="668"/>
      <c r="O375" s="213"/>
      <c r="P375" s="213"/>
      <c r="Q375" s="213"/>
      <c r="R375" s="213"/>
      <c r="S375" s="213"/>
      <c r="T375" s="643"/>
      <c r="U375" s="616">
        <f t="shared" si="27"/>
        <v>0</v>
      </c>
      <c r="V375" s="633"/>
      <c r="W375" s="636"/>
      <c r="X375" s="636"/>
      <c r="Y375" s="7"/>
      <c r="Z375" s="704"/>
      <c r="AA375" s="7"/>
      <c r="AB375" s="618">
        <f t="shared" si="28"/>
        <v>0</v>
      </c>
      <c r="AC375" s="7"/>
      <c r="AD375" s="7"/>
      <c r="AE375" s="7"/>
      <c r="AF375" s="7"/>
      <c r="AG375" s="7"/>
      <c r="AH375" s="7"/>
    </row>
    <row r="376" spans="1:34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315"/>
      <c r="I376" s="215"/>
      <c r="J376" s="215"/>
      <c r="K376" s="215"/>
      <c r="L376" s="647"/>
      <c r="M376" s="647"/>
      <c r="N376" s="668"/>
      <c r="O376" s="213"/>
      <c r="P376" s="213"/>
      <c r="Q376" s="213"/>
      <c r="R376" s="213"/>
      <c r="S376" s="213"/>
      <c r="T376" s="643"/>
      <c r="U376" s="616">
        <f t="shared" si="27"/>
        <v>0</v>
      </c>
      <c r="V376" s="633"/>
      <c r="W376" s="648"/>
      <c r="X376" s="648"/>
      <c r="Y376" s="7"/>
      <c r="Z376" s="704"/>
      <c r="AA376" s="7"/>
      <c r="AB376" s="618">
        <f t="shared" si="28"/>
        <v>0</v>
      </c>
      <c r="AC376" s="7"/>
      <c r="AD376" s="7"/>
      <c r="AE376" s="7"/>
      <c r="AF376" s="7"/>
      <c r="AG376" s="7"/>
      <c r="AH376" s="7"/>
    </row>
    <row r="377" spans="1:34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315"/>
      <c r="I377" s="215"/>
      <c r="J377" s="215"/>
      <c r="K377" s="215"/>
      <c r="L377" s="647"/>
      <c r="M377" s="647"/>
      <c r="N377" s="668"/>
      <c r="O377" s="213"/>
      <c r="P377" s="213"/>
      <c r="Q377" s="213"/>
      <c r="R377" s="213"/>
      <c r="S377" s="213"/>
      <c r="T377" s="643"/>
      <c r="U377" s="616">
        <f t="shared" si="27"/>
        <v>0</v>
      </c>
      <c r="V377" s="633"/>
      <c r="W377" s="648"/>
      <c r="X377" s="648"/>
      <c r="Y377" s="7"/>
      <c r="Z377" s="704"/>
      <c r="AA377" s="7"/>
      <c r="AB377" s="618">
        <f t="shared" si="28"/>
        <v>0</v>
      </c>
      <c r="AC377" s="7"/>
      <c r="AD377" s="7"/>
      <c r="AE377" s="7"/>
      <c r="AF377" s="7"/>
      <c r="AG377" s="7"/>
      <c r="AH377" s="7"/>
    </row>
    <row r="378" spans="1:34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315"/>
      <c r="I378" s="215"/>
      <c r="J378" s="215"/>
      <c r="K378" s="215"/>
      <c r="L378" s="620"/>
      <c r="M378" s="620"/>
      <c r="N378" s="668"/>
      <c r="O378" s="213"/>
      <c r="P378" s="213"/>
      <c r="Q378" s="213"/>
      <c r="R378" s="213"/>
      <c r="S378" s="213"/>
      <c r="T378" s="643"/>
      <c r="U378" s="616">
        <f t="shared" si="27"/>
        <v>0</v>
      </c>
      <c r="V378" s="633"/>
      <c r="W378" s="636"/>
      <c r="X378" s="636"/>
      <c r="Y378" s="7"/>
      <c r="Z378" s="704"/>
      <c r="AA378" s="7"/>
      <c r="AB378" s="618">
        <f t="shared" si="28"/>
        <v>0</v>
      </c>
      <c r="AC378" s="7"/>
      <c r="AD378" s="7"/>
      <c r="AE378" s="7"/>
      <c r="AF378" s="7"/>
      <c r="AG378" s="7"/>
      <c r="AH378" s="7"/>
    </row>
    <row r="379" spans="1:34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315"/>
      <c r="I379" s="215"/>
      <c r="J379" s="215"/>
      <c r="K379" s="215"/>
      <c r="L379" s="647"/>
      <c r="M379" s="647"/>
      <c r="N379" s="668"/>
      <c r="O379" s="213"/>
      <c r="P379" s="213"/>
      <c r="Q379" s="213"/>
      <c r="R379" s="213"/>
      <c r="S379" s="213"/>
      <c r="T379" s="643"/>
      <c r="U379" s="616">
        <f t="shared" si="27"/>
        <v>0</v>
      </c>
      <c r="V379" s="633"/>
      <c r="W379" s="648"/>
      <c r="X379" s="648"/>
      <c r="Y379" s="7"/>
      <c r="Z379" s="704"/>
      <c r="AA379" s="7"/>
      <c r="AB379" s="618">
        <f t="shared" si="28"/>
        <v>0</v>
      </c>
      <c r="AC379" s="7"/>
      <c r="AD379" s="7"/>
      <c r="AE379" s="7"/>
      <c r="AF379" s="7"/>
      <c r="AG379" s="7"/>
      <c r="AH379" s="7"/>
    </row>
    <row r="380" spans="1:34" ht="21.75" customHeight="1">
      <c r="A380" s="503" t="s">
        <v>1499</v>
      </c>
      <c r="B380" s="483" t="s">
        <v>828</v>
      </c>
      <c r="C380" s="658" t="s">
        <v>829</v>
      </c>
      <c r="D380" s="504" t="s">
        <v>1934</v>
      </c>
      <c r="E380" s="213"/>
      <c r="F380" s="213"/>
      <c r="G380" s="213"/>
      <c r="H380" s="315"/>
      <c r="I380" s="215"/>
      <c r="J380" s="215"/>
      <c r="K380" s="215"/>
      <c r="L380" s="647"/>
      <c r="M380" s="647"/>
      <c r="N380" s="668"/>
      <c r="O380" s="213"/>
      <c r="P380" s="213"/>
      <c r="Q380" s="213"/>
      <c r="R380" s="213"/>
      <c r="S380" s="213"/>
      <c r="T380" s="643"/>
      <c r="U380" s="616">
        <f t="shared" si="27"/>
        <v>0</v>
      </c>
      <c r="V380" s="633"/>
      <c r="W380" s="648"/>
      <c r="X380" s="648"/>
      <c r="Y380" s="7"/>
      <c r="Z380" s="704"/>
      <c r="AA380" s="7"/>
      <c r="AB380" s="618">
        <f t="shared" si="28"/>
        <v>0</v>
      </c>
      <c r="AC380" s="7"/>
      <c r="AD380" s="7"/>
      <c r="AE380" s="7"/>
      <c r="AF380" s="7"/>
      <c r="AG380" s="7"/>
      <c r="AH380" s="7"/>
    </row>
    <row r="381" spans="1:34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315"/>
      <c r="I381" s="215"/>
      <c r="J381" s="215"/>
      <c r="K381" s="215"/>
      <c r="L381" s="647"/>
      <c r="M381" s="647"/>
      <c r="N381" s="668"/>
      <c r="O381" s="213"/>
      <c r="P381" s="213"/>
      <c r="Q381" s="213"/>
      <c r="R381" s="213"/>
      <c r="S381" s="213"/>
      <c r="T381" s="643"/>
      <c r="U381" s="616">
        <f t="shared" si="27"/>
        <v>0</v>
      </c>
      <c r="V381" s="633"/>
      <c r="W381" s="648"/>
      <c r="X381" s="648"/>
      <c r="Y381" s="7"/>
      <c r="Z381" s="704"/>
      <c r="AA381" s="7"/>
      <c r="AB381" s="618">
        <f t="shared" si="28"/>
        <v>0</v>
      </c>
      <c r="AC381" s="7"/>
      <c r="AD381" s="7"/>
      <c r="AE381" s="7"/>
      <c r="AF381" s="7"/>
      <c r="AG381" s="7"/>
      <c r="AH381" s="7"/>
    </row>
    <row r="382" spans="1:34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315"/>
      <c r="I382" s="215"/>
      <c r="J382" s="215"/>
      <c r="K382" s="215"/>
      <c r="L382" s="620"/>
      <c r="M382" s="620"/>
      <c r="N382" s="668"/>
      <c r="O382" s="213"/>
      <c r="P382" s="213"/>
      <c r="Q382" s="213"/>
      <c r="R382" s="213"/>
      <c r="S382" s="213"/>
      <c r="T382" s="643"/>
      <c r="U382" s="616">
        <f t="shared" si="27"/>
        <v>0</v>
      </c>
      <c r="V382" s="633"/>
      <c r="W382" s="636"/>
      <c r="X382" s="636"/>
      <c r="Y382" s="7"/>
      <c r="Z382" s="704"/>
      <c r="AA382" s="7"/>
      <c r="AB382" s="618">
        <f t="shared" si="28"/>
        <v>0</v>
      </c>
      <c r="AC382" s="7"/>
      <c r="AD382" s="7"/>
      <c r="AE382" s="7"/>
      <c r="AF382" s="7"/>
      <c r="AG382" s="7"/>
      <c r="AH382" s="7"/>
    </row>
    <row r="383" spans="1:34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315"/>
      <c r="I383" s="215"/>
      <c r="J383" s="215"/>
      <c r="K383" s="215"/>
      <c r="L383" s="620"/>
      <c r="M383" s="620"/>
      <c r="N383" s="668"/>
      <c r="O383" s="213"/>
      <c r="P383" s="213"/>
      <c r="Q383" s="213"/>
      <c r="R383" s="213"/>
      <c r="S383" s="213"/>
      <c r="T383" s="643"/>
      <c r="U383" s="616">
        <f t="shared" si="27"/>
        <v>0</v>
      </c>
      <c r="V383" s="633"/>
      <c r="W383" s="636"/>
      <c r="X383" s="636"/>
      <c r="Y383" s="7"/>
      <c r="Z383" s="704"/>
      <c r="AA383" s="7"/>
      <c r="AB383" s="618">
        <f t="shared" si="28"/>
        <v>0</v>
      </c>
      <c r="AC383" s="7"/>
      <c r="AD383" s="7"/>
      <c r="AE383" s="7"/>
      <c r="AF383" s="7"/>
      <c r="AG383" s="7"/>
      <c r="AH383" s="7"/>
    </row>
    <row r="384" spans="1:34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315"/>
      <c r="I384" s="215"/>
      <c r="J384" s="215"/>
      <c r="K384" s="215"/>
      <c r="L384" s="620"/>
      <c r="M384" s="620"/>
      <c r="N384" s="668"/>
      <c r="O384" s="213"/>
      <c r="P384" s="213"/>
      <c r="Q384" s="213"/>
      <c r="R384" s="213"/>
      <c r="S384" s="213"/>
      <c r="T384" s="643"/>
      <c r="U384" s="616">
        <f t="shared" si="27"/>
        <v>0</v>
      </c>
      <c r="V384" s="633"/>
      <c r="W384" s="648"/>
      <c r="X384" s="648"/>
      <c r="Y384" s="7"/>
      <c r="Z384" s="704"/>
      <c r="AA384" s="7"/>
      <c r="AB384" s="618">
        <f t="shared" si="28"/>
        <v>0</v>
      </c>
      <c r="AC384" s="7"/>
      <c r="AD384" s="7"/>
      <c r="AE384" s="7"/>
      <c r="AF384" s="7"/>
      <c r="AG384" s="7"/>
      <c r="AH384" s="7"/>
    </row>
    <row r="385" spans="1:34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315"/>
      <c r="I385" s="215"/>
      <c r="J385" s="215"/>
      <c r="K385" s="215"/>
      <c r="L385" s="620"/>
      <c r="M385" s="620"/>
      <c r="N385" s="668"/>
      <c r="O385" s="213"/>
      <c r="P385" s="213"/>
      <c r="Q385" s="213"/>
      <c r="R385" s="213"/>
      <c r="S385" s="213"/>
      <c r="T385" s="643"/>
      <c r="U385" s="616">
        <f t="shared" si="27"/>
        <v>0</v>
      </c>
      <c r="V385" s="633"/>
      <c r="W385" s="648"/>
      <c r="X385" s="648"/>
      <c r="Y385" s="7"/>
      <c r="Z385" s="704"/>
      <c r="AA385" s="7"/>
      <c r="AB385" s="618">
        <f t="shared" si="28"/>
        <v>0</v>
      </c>
      <c r="AC385" s="7"/>
      <c r="AD385" s="7"/>
      <c r="AE385" s="7"/>
      <c r="AF385" s="7"/>
      <c r="AG385" s="7"/>
      <c r="AH385" s="7"/>
    </row>
    <row r="386" spans="1:34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315"/>
      <c r="I386" s="215"/>
      <c r="J386" s="215"/>
      <c r="K386" s="215"/>
      <c r="L386" s="620"/>
      <c r="M386" s="620"/>
      <c r="N386" s="668"/>
      <c r="O386" s="213"/>
      <c r="P386" s="213"/>
      <c r="Q386" s="213"/>
      <c r="R386" s="213"/>
      <c r="S386" s="213"/>
      <c r="T386" s="643"/>
      <c r="U386" s="616">
        <f t="shared" si="27"/>
        <v>0</v>
      </c>
      <c r="V386" s="633"/>
      <c r="W386" s="648"/>
      <c r="X386" s="648"/>
      <c r="Y386" s="7"/>
      <c r="Z386" s="704"/>
      <c r="AA386" s="7"/>
      <c r="AB386" s="618">
        <f t="shared" si="28"/>
        <v>0</v>
      </c>
      <c r="AC386" s="7"/>
      <c r="AD386" s="7"/>
      <c r="AE386" s="7"/>
      <c r="AF386" s="7"/>
      <c r="AG386" s="7"/>
      <c r="AH386" s="7"/>
    </row>
    <row r="387" spans="1:34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315"/>
      <c r="I387" s="215"/>
      <c r="J387" s="215"/>
      <c r="K387" s="215"/>
      <c r="L387" s="620"/>
      <c r="M387" s="620"/>
      <c r="N387" s="668"/>
      <c r="O387" s="213"/>
      <c r="P387" s="213"/>
      <c r="Q387" s="213"/>
      <c r="R387" s="213"/>
      <c r="S387" s="213"/>
      <c r="T387" s="643"/>
      <c r="U387" s="616">
        <f t="shared" si="27"/>
        <v>0</v>
      </c>
      <c r="V387" s="633"/>
      <c r="W387" s="648"/>
      <c r="X387" s="648"/>
      <c r="Y387" s="7"/>
      <c r="Z387" s="704"/>
      <c r="AA387" s="7"/>
      <c r="AB387" s="618">
        <f t="shared" si="28"/>
        <v>0</v>
      </c>
      <c r="AC387" s="7"/>
      <c r="AD387" s="7"/>
      <c r="AE387" s="7"/>
      <c r="AF387" s="7"/>
      <c r="AG387" s="7"/>
      <c r="AH387" s="7"/>
    </row>
    <row r="388" spans="1:34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315"/>
      <c r="I388" s="215"/>
      <c r="J388" s="215"/>
      <c r="K388" s="215"/>
      <c r="L388" s="620"/>
      <c r="M388" s="620"/>
      <c r="N388" s="668"/>
      <c r="O388" s="213"/>
      <c r="P388" s="213"/>
      <c r="Q388" s="213"/>
      <c r="R388" s="213"/>
      <c r="S388" s="213"/>
      <c r="T388" s="643"/>
      <c r="U388" s="616">
        <f t="shared" si="27"/>
        <v>0</v>
      </c>
      <c r="V388" s="633"/>
      <c r="W388" s="636"/>
      <c r="X388" s="636"/>
      <c r="Y388" s="7"/>
      <c r="Z388" s="704"/>
      <c r="AA388" s="7"/>
      <c r="AB388" s="618">
        <f t="shared" si="28"/>
        <v>0</v>
      </c>
      <c r="AC388" s="7"/>
      <c r="AD388" s="7"/>
      <c r="AE388" s="7"/>
      <c r="AF388" s="7"/>
      <c r="AG388" s="7"/>
      <c r="AH388" s="7"/>
    </row>
    <row r="389" spans="1:34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315"/>
      <c r="I389" s="215"/>
      <c r="J389" s="215"/>
      <c r="K389" s="215"/>
      <c r="L389" s="620"/>
      <c r="M389" s="620"/>
      <c r="N389" s="668"/>
      <c r="O389" s="213"/>
      <c r="P389" s="213"/>
      <c r="Q389" s="213"/>
      <c r="R389" s="213"/>
      <c r="S389" s="213"/>
      <c r="T389" s="643"/>
      <c r="U389" s="616">
        <f t="shared" si="27"/>
        <v>0</v>
      </c>
      <c r="V389" s="633"/>
      <c r="W389" s="636"/>
      <c r="X389" s="636"/>
      <c r="Y389" s="7"/>
      <c r="Z389" s="704"/>
      <c r="AA389" s="7"/>
      <c r="AB389" s="618">
        <f t="shared" si="28"/>
        <v>0</v>
      </c>
      <c r="AC389" s="7"/>
      <c r="AD389" s="7"/>
      <c r="AE389" s="7"/>
      <c r="AF389" s="7"/>
      <c r="AG389" s="7"/>
      <c r="AH389" s="7"/>
    </row>
    <row r="390" spans="1:34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315"/>
      <c r="I390" s="215"/>
      <c r="J390" s="215"/>
      <c r="K390" s="215"/>
      <c r="L390" s="662"/>
      <c r="M390" s="662"/>
      <c r="N390" s="671"/>
      <c r="O390" s="213"/>
      <c r="P390" s="213"/>
      <c r="Q390" s="213"/>
      <c r="R390" s="213"/>
      <c r="S390" s="213"/>
      <c r="T390" s="643"/>
      <c r="U390" s="616">
        <f t="shared" si="27"/>
        <v>0</v>
      </c>
      <c r="V390" s="633"/>
      <c r="W390" s="636"/>
      <c r="X390" s="636"/>
      <c r="Y390" s="7"/>
      <c r="Z390" s="704"/>
      <c r="AA390" s="7"/>
      <c r="AB390" s="618">
        <f t="shared" si="28"/>
        <v>0</v>
      </c>
      <c r="AC390" s="7"/>
      <c r="AD390" s="7"/>
      <c r="AE390" s="7"/>
      <c r="AF390" s="7"/>
      <c r="AG390" s="7"/>
      <c r="AH390" s="7"/>
    </row>
    <row r="391" spans="1:34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315"/>
      <c r="I391" s="215"/>
      <c r="J391" s="215"/>
      <c r="K391" s="215"/>
      <c r="L391" s="662"/>
      <c r="M391" s="662"/>
      <c r="N391" s="671"/>
      <c r="O391" s="213"/>
      <c r="P391" s="213"/>
      <c r="Q391" s="213"/>
      <c r="R391" s="213"/>
      <c r="S391" s="213"/>
      <c r="T391" s="643"/>
      <c r="U391" s="616">
        <f t="shared" si="27"/>
        <v>0</v>
      </c>
      <c r="V391" s="633"/>
      <c r="W391" s="636"/>
      <c r="X391" s="636"/>
      <c r="Y391" s="7"/>
      <c r="Z391" s="704"/>
      <c r="AA391" s="7"/>
      <c r="AB391" s="618">
        <f t="shared" si="28"/>
        <v>0</v>
      </c>
      <c r="AC391" s="7"/>
      <c r="AD391" s="7"/>
      <c r="AE391" s="7"/>
      <c r="AF391" s="7"/>
      <c r="AG391" s="7"/>
      <c r="AH391" s="7"/>
    </row>
    <row r="392" spans="1:34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315"/>
      <c r="I392" s="215"/>
      <c r="J392" s="215"/>
      <c r="K392" s="215"/>
      <c r="L392" s="662"/>
      <c r="M392" s="662"/>
      <c r="N392" s="671"/>
      <c r="O392" s="213"/>
      <c r="P392" s="213"/>
      <c r="Q392" s="213"/>
      <c r="R392" s="213"/>
      <c r="S392" s="213"/>
      <c r="T392" s="643"/>
      <c r="U392" s="616">
        <f t="shared" si="27"/>
        <v>0</v>
      </c>
      <c r="V392" s="633"/>
      <c r="W392" s="636"/>
      <c r="X392" s="636"/>
      <c r="Y392" s="7"/>
      <c r="Z392" s="704"/>
      <c r="AA392" s="7"/>
      <c r="AB392" s="618">
        <f t="shared" si="28"/>
        <v>0</v>
      </c>
      <c r="AC392" s="7"/>
      <c r="AD392" s="7"/>
      <c r="AE392" s="7"/>
      <c r="AF392" s="7"/>
      <c r="AG392" s="7"/>
      <c r="AH392" s="7"/>
    </row>
    <row r="393" spans="1:34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315"/>
      <c r="I393" s="215"/>
      <c r="J393" s="215"/>
      <c r="K393" s="215"/>
      <c r="L393" s="662"/>
      <c r="M393" s="662"/>
      <c r="N393" s="671"/>
      <c r="O393" s="213"/>
      <c r="P393" s="213"/>
      <c r="Q393" s="213"/>
      <c r="R393" s="213"/>
      <c r="S393" s="213"/>
      <c r="T393" s="643"/>
      <c r="U393" s="616">
        <f t="shared" si="27"/>
        <v>0</v>
      </c>
      <c r="V393" s="633"/>
      <c r="W393" s="636"/>
      <c r="X393" s="636"/>
      <c r="Y393" s="7"/>
      <c r="Z393" s="704"/>
      <c r="AA393" s="7"/>
      <c r="AB393" s="618">
        <f t="shared" si="28"/>
        <v>0</v>
      </c>
      <c r="AC393" s="7"/>
      <c r="AD393" s="7"/>
      <c r="AE393" s="7"/>
      <c r="AF393" s="7"/>
      <c r="AG393" s="7"/>
      <c r="AH393" s="7"/>
    </row>
    <row r="394" spans="1:34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315"/>
      <c r="I394" s="215"/>
      <c r="J394" s="215"/>
      <c r="K394" s="215"/>
      <c r="L394" s="620"/>
      <c r="M394" s="620"/>
      <c r="N394" s="668"/>
      <c r="O394" s="213"/>
      <c r="P394" s="213"/>
      <c r="Q394" s="213"/>
      <c r="R394" s="213"/>
      <c r="S394" s="213"/>
      <c r="T394" s="643"/>
      <c r="U394" s="616">
        <f t="shared" si="27"/>
        <v>0</v>
      </c>
      <c r="V394" s="633"/>
      <c r="W394" s="634"/>
      <c r="X394" s="634"/>
      <c r="Y394" s="7"/>
      <c r="Z394" s="704"/>
      <c r="AA394" s="7"/>
      <c r="AB394" s="618">
        <f t="shared" si="28"/>
        <v>0</v>
      </c>
      <c r="AC394" s="7"/>
      <c r="AD394" s="7"/>
      <c r="AE394" s="7"/>
      <c r="AF394" s="7"/>
      <c r="AG394" s="7"/>
      <c r="AH394" s="7"/>
    </row>
    <row r="395" spans="1:34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315"/>
      <c r="I395" s="215"/>
      <c r="J395" s="215"/>
      <c r="K395" s="215"/>
      <c r="L395" s="620"/>
      <c r="M395" s="620"/>
      <c r="N395" s="668"/>
      <c r="O395" s="213"/>
      <c r="P395" s="213"/>
      <c r="Q395" s="213"/>
      <c r="R395" s="213"/>
      <c r="S395" s="213"/>
      <c r="T395" s="643"/>
      <c r="U395" s="616">
        <f t="shared" si="27"/>
        <v>0</v>
      </c>
      <c r="V395" s="633"/>
      <c r="W395" s="634"/>
      <c r="X395" s="634"/>
      <c r="Y395" s="7"/>
      <c r="Z395" s="704"/>
      <c r="AA395" s="7"/>
      <c r="AB395" s="618">
        <f t="shared" si="28"/>
        <v>0</v>
      </c>
      <c r="AC395" s="7"/>
      <c r="AD395" s="7"/>
      <c r="AE395" s="7"/>
      <c r="AF395" s="7"/>
      <c r="AG395" s="7"/>
      <c r="AH395" s="7"/>
    </row>
    <row r="396" spans="1:34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315"/>
      <c r="I396" s="215"/>
      <c r="J396" s="215"/>
      <c r="K396" s="215"/>
      <c r="L396" s="620"/>
      <c r="M396" s="620"/>
      <c r="N396" s="668"/>
      <c r="O396" s="213"/>
      <c r="P396" s="213"/>
      <c r="Q396" s="213"/>
      <c r="R396" s="213"/>
      <c r="S396" s="213"/>
      <c r="T396" s="643"/>
      <c r="U396" s="616">
        <f t="shared" si="27"/>
        <v>0</v>
      </c>
      <c r="V396" s="633"/>
      <c r="W396" s="634"/>
      <c r="X396" s="634"/>
      <c r="Y396" s="7"/>
      <c r="Z396" s="704"/>
      <c r="AA396" s="7"/>
      <c r="AB396" s="618">
        <f t="shared" si="28"/>
        <v>0</v>
      </c>
      <c r="AC396" s="7"/>
      <c r="AD396" s="7"/>
      <c r="AE396" s="7"/>
      <c r="AF396" s="7"/>
      <c r="AG396" s="7"/>
      <c r="AH396" s="7"/>
    </row>
    <row r="397" spans="1:34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315"/>
      <c r="I397" s="215"/>
      <c r="J397" s="215"/>
      <c r="K397" s="215"/>
      <c r="L397" s="620"/>
      <c r="M397" s="620"/>
      <c r="N397" s="668"/>
      <c r="O397" s="213"/>
      <c r="P397" s="213"/>
      <c r="Q397" s="213"/>
      <c r="R397" s="213"/>
      <c r="S397" s="213"/>
      <c r="T397" s="643"/>
      <c r="U397" s="616">
        <f t="shared" si="27"/>
        <v>0</v>
      </c>
      <c r="V397" s="633"/>
      <c r="W397" s="636"/>
      <c r="X397" s="636"/>
      <c r="Y397" s="7"/>
      <c r="Z397" s="704"/>
      <c r="AA397" s="7"/>
      <c r="AB397" s="618">
        <f t="shared" si="28"/>
        <v>0</v>
      </c>
      <c r="AC397" s="7"/>
      <c r="AD397" s="7"/>
      <c r="AE397" s="7"/>
      <c r="AF397" s="7"/>
      <c r="AG397" s="7"/>
      <c r="AH397" s="7"/>
    </row>
    <row r="398" spans="1:34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315"/>
      <c r="I398" s="215"/>
      <c r="J398" s="215"/>
      <c r="K398" s="215"/>
      <c r="L398" s="620"/>
      <c r="M398" s="620"/>
      <c r="N398" s="668"/>
      <c r="O398" s="213"/>
      <c r="P398" s="213"/>
      <c r="Q398" s="213"/>
      <c r="R398" s="213"/>
      <c r="S398" s="213"/>
      <c r="T398" s="643"/>
      <c r="U398" s="616">
        <f t="shared" si="27"/>
        <v>0</v>
      </c>
      <c r="V398" s="633"/>
      <c r="W398" s="634"/>
      <c r="X398" s="634"/>
      <c r="Y398" s="7"/>
      <c r="Z398" s="704"/>
      <c r="AA398" s="7"/>
      <c r="AB398" s="618">
        <f t="shared" si="28"/>
        <v>0</v>
      </c>
      <c r="AC398" s="7"/>
      <c r="AD398" s="7"/>
      <c r="AE398" s="7"/>
      <c r="AF398" s="7"/>
      <c r="AG398" s="7"/>
      <c r="AH398" s="7"/>
    </row>
    <row r="399" spans="1:34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315"/>
      <c r="I399" s="215"/>
      <c r="J399" s="215"/>
      <c r="K399" s="215"/>
      <c r="L399" s="620"/>
      <c r="M399" s="620"/>
      <c r="N399" s="668"/>
      <c r="O399" s="213"/>
      <c r="P399" s="213"/>
      <c r="Q399" s="213"/>
      <c r="R399" s="213"/>
      <c r="S399" s="213"/>
      <c r="T399" s="643"/>
      <c r="U399" s="616">
        <f t="shared" si="27"/>
        <v>0</v>
      </c>
      <c r="V399" s="633"/>
      <c r="W399" s="634"/>
      <c r="X399" s="634"/>
      <c r="Y399" s="7"/>
      <c r="Z399" s="704"/>
      <c r="AA399" s="7"/>
      <c r="AB399" s="618">
        <f t="shared" si="28"/>
        <v>0</v>
      </c>
      <c r="AC399" s="7"/>
      <c r="AD399" s="7"/>
      <c r="AE399" s="7"/>
      <c r="AF399" s="7"/>
      <c r="AG399" s="7"/>
      <c r="AH399" s="7"/>
    </row>
    <row r="400" spans="1:34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315"/>
      <c r="I400" s="215"/>
      <c r="J400" s="215"/>
      <c r="K400" s="215"/>
      <c r="L400" s="620"/>
      <c r="M400" s="620"/>
      <c r="N400" s="668"/>
      <c r="O400" s="213"/>
      <c r="P400" s="213"/>
      <c r="Q400" s="213"/>
      <c r="R400" s="213"/>
      <c r="S400" s="213"/>
      <c r="T400" s="643"/>
      <c r="U400" s="616">
        <f t="shared" si="27"/>
        <v>0</v>
      </c>
      <c r="V400" s="633"/>
      <c r="W400" s="636"/>
      <c r="X400" s="636"/>
      <c r="Y400" s="7"/>
      <c r="Z400" s="704"/>
      <c r="AA400" s="7"/>
      <c r="AB400" s="618">
        <f t="shared" si="28"/>
        <v>0</v>
      </c>
      <c r="AC400" s="7"/>
      <c r="AD400" s="7"/>
      <c r="AE400" s="7"/>
      <c r="AF400" s="7"/>
      <c r="AG400" s="7"/>
      <c r="AH400" s="7"/>
    </row>
    <row r="401" spans="1:34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315"/>
      <c r="I401" s="215"/>
      <c r="J401" s="215"/>
      <c r="K401" s="215"/>
      <c r="L401" s="620"/>
      <c r="M401" s="620"/>
      <c r="N401" s="668"/>
      <c r="O401" s="213"/>
      <c r="P401" s="213"/>
      <c r="Q401" s="213"/>
      <c r="R401" s="213"/>
      <c r="S401" s="213"/>
      <c r="T401" s="643"/>
      <c r="U401" s="616">
        <f t="shared" si="27"/>
        <v>0</v>
      </c>
      <c r="V401" s="633"/>
      <c r="W401" s="634"/>
      <c r="X401" s="634"/>
      <c r="Y401" s="7"/>
      <c r="Z401" s="704"/>
      <c r="AA401" s="7"/>
      <c r="AB401" s="618">
        <f t="shared" si="28"/>
        <v>0</v>
      </c>
      <c r="AC401" s="7"/>
      <c r="AD401" s="7"/>
      <c r="AE401" s="7"/>
      <c r="AF401" s="7"/>
      <c r="AG401" s="7"/>
      <c r="AH401" s="7"/>
    </row>
    <row r="402" spans="1:34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315"/>
      <c r="I402" s="215"/>
      <c r="J402" s="215"/>
      <c r="K402" s="215"/>
      <c r="L402" s="620"/>
      <c r="M402" s="620"/>
      <c r="N402" s="668"/>
      <c r="O402" s="213"/>
      <c r="P402" s="213"/>
      <c r="Q402" s="213"/>
      <c r="R402" s="213"/>
      <c r="S402" s="213"/>
      <c r="T402" s="643"/>
      <c r="U402" s="616">
        <f t="shared" si="27"/>
        <v>0</v>
      </c>
      <c r="V402" s="633"/>
      <c r="W402" s="634"/>
      <c r="X402" s="634"/>
      <c r="Y402" s="7"/>
      <c r="Z402" s="704"/>
      <c r="AA402" s="7"/>
      <c r="AB402" s="618">
        <f t="shared" si="28"/>
        <v>0</v>
      </c>
      <c r="AC402" s="7"/>
      <c r="AD402" s="7"/>
      <c r="AE402" s="7"/>
      <c r="AF402" s="7"/>
      <c r="AG402" s="7"/>
      <c r="AH402" s="7"/>
    </row>
    <row r="403" spans="1:34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315"/>
      <c r="I403" s="215"/>
      <c r="J403" s="215"/>
      <c r="K403" s="215"/>
      <c r="L403" s="662"/>
      <c r="M403" s="662"/>
      <c r="N403" s="671"/>
      <c r="O403" s="213"/>
      <c r="P403" s="213"/>
      <c r="Q403" s="213"/>
      <c r="R403" s="213"/>
      <c r="S403" s="213"/>
      <c r="T403" s="643"/>
      <c r="U403" s="616">
        <f t="shared" si="27"/>
        <v>0</v>
      </c>
      <c r="V403" s="633"/>
      <c r="W403" s="634"/>
      <c r="X403" s="634"/>
      <c r="Y403" s="7"/>
      <c r="Z403" s="704"/>
      <c r="AA403" s="7"/>
      <c r="AB403" s="618">
        <f t="shared" si="28"/>
        <v>0</v>
      </c>
      <c r="AC403" s="7"/>
      <c r="AD403" s="7"/>
      <c r="AE403" s="7"/>
      <c r="AF403" s="7"/>
      <c r="AG403" s="7"/>
      <c r="AH403" s="7"/>
    </row>
    <row r="404" spans="1:34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315"/>
      <c r="I404" s="215"/>
      <c r="J404" s="215"/>
      <c r="K404" s="215"/>
      <c r="L404" s="662"/>
      <c r="M404" s="662"/>
      <c r="N404" s="671"/>
      <c r="O404" s="213"/>
      <c r="P404" s="213"/>
      <c r="Q404" s="213"/>
      <c r="R404" s="213"/>
      <c r="S404" s="213"/>
      <c r="T404" s="643"/>
      <c r="U404" s="616">
        <f t="shared" si="27"/>
        <v>0</v>
      </c>
      <c r="V404" s="633"/>
      <c r="W404" s="640"/>
      <c r="X404" s="640"/>
      <c r="Y404" s="7"/>
      <c r="Z404" s="704"/>
      <c r="AA404" s="7"/>
      <c r="AB404" s="618">
        <f t="shared" si="28"/>
        <v>0</v>
      </c>
      <c r="AC404" s="7"/>
      <c r="AD404" s="7"/>
      <c r="AE404" s="7"/>
      <c r="AF404" s="7"/>
      <c r="AG404" s="7"/>
      <c r="AH404" s="7"/>
    </row>
    <row r="405" spans="1:34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315"/>
      <c r="I405" s="215"/>
      <c r="J405" s="215"/>
      <c r="K405" s="215"/>
      <c r="L405" s="662"/>
      <c r="M405" s="662"/>
      <c r="N405" s="671"/>
      <c r="O405" s="213"/>
      <c r="P405" s="213"/>
      <c r="Q405" s="213"/>
      <c r="R405" s="213"/>
      <c r="S405" s="213"/>
      <c r="T405" s="643"/>
      <c r="U405" s="616">
        <f t="shared" si="27"/>
        <v>0</v>
      </c>
      <c r="V405" s="633"/>
      <c r="W405" s="636"/>
      <c r="X405" s="636"/>
      <c r="Y405" s="7"/>
      <c r="Z405" s="704"/>
      <c r="AA405" s="7"/>
      <c r="AB405" s="618">
        <f t="shared" si="28"/>
        <v>0</v>
      </c>
      <c r="AC405" s="7"/>
      <c r="AD405" s="7"/>
      <c r="AE405" s="7"/>
      <c r="AF405" s="7"/>
      <c r="AG405" s="7"/>
      <c r="AH405" s="7"/>
    </row>
    <row r="406" spans="1:34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315"/>
      <c r="I406" s="215"/>
      <c r="J406" s="215"/>
      <c r="K406" s="215"/>
      <c r="L406" s="662"/>
      <c r="M406" s="662"/>
      <c r="N406" s="671"/>
      <c r="O406" s="213"/>
      <c r="P406" s="213"/>
      <c r="Q406" s="213"/>
      <c r="R406" s="213"/>
      <c r="S406" s="213"/>
      <c r="T406" s="643"/>
      <c r="U406" s="616">
        <f t="shared" si="27"/>
        <v>0</v>
      </c>
      <c r="V406" s="633"/>
      <c r="W406" s="636"/>
      <c r="X406" s="636"/>
      <c r="Y406" s="7"/>
      <c r="Z406" s="704"/>
      <c r="AA406" s="7"/>
      <c r="AB406" s="618">
        <f t="shared" si="28"/>
        <v>0</v>
      </c>
      <c r="AC406" s="7"/>
      <c r="AD406" s="7"/>
      <c r="AE406" s="7"/>
      <c r="AF406" s="7"/>
      <c r="AG406" s="7"/>
      <c r="AH406" s="7"/>
    </row>
    <row r="407" spans="1:34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315"/>
      <c r="I407" s="215"/>
      <c r="J407" s="215"/>
      <c r="K407" s="215"/>
      <c r="L407" s="662"/>
      <c r="M407" s="662"/>
      <c r="N407" s="671"/>
      <c r="O407" s="213"/>
      <c r="P407" s="213"/>
      <c r="Q407" s="213"/>
      <c r="R407" s="213"/>
      <c r="S407" s="213"/>
      <c r="T407" s="643"/>
      <c r="U407" s="616">
        <f t="shared" si="27"/>
        <v>0</v>
      </c>
      <c r="V407" s="633"/>
      <c r="W407" s="636"/>
      <c r="X407" s="636"/>
      <c r="Y407" s="7"/>
      <c r="Z407" s="704"/>
      <c r="AA407" s="7"/>
      <c r="AB407" s="618">
        <f t="shared" si="28"/>
        <v>0</v>
      </c>
      <c r="AC407" s="7"/>
      <c r="AD407" s="7"/>
      <c r="AE407" s="7"/>
      <c r="AF407" s="7"/>
      <c r="AG407" s="7"/>
      <c r="AH407" s="7"/>
    </row>
    <row r="408" spans="1:34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315"/>
      <c r="I408" s="215"/>
      <c r="J408" s="215"/>
      <c r="K408" s="215"/>
      <c r="L408" s="662"/>
      <c r="M408" s="662"/>
      <c r="N408" s="671"/>
      <c r="O408" s="213"/>
      <c r="P408" s="213"/>
      <c r="Q408" s="213"/>
      <c r="R408" s="213"/>
      <c r="S408" s="213"/>
      <c r="T408" s="643"/>
      <c r="U408" s="616">
        <f t="shared" si="27"/>
        <v>0</v>
      </c>
      <c r="V408" s="633"/>
      <c r="W408" s="636"/>
      <c r="X408" s="636"/>
      <c r="Y408" s="7"/>
      <c r="Z408" s="704"/>
      <c r="AA408" s="7"/>
      <c r="AB408" s="618">
        <f t="shared" si="28"/>
        <v>0</v>
      </c>
      <c r="AC408" s="7"/>
      <c r="AD408" s="7"/>
      <c r="AE408" s="7"/>
      <c r="AF408" s="7"/>
      <c r="AG408" s="7"/>
      <c r="AH408" s="7"/>
    </row>
    <row r="409" spans="1:34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315"/>
      <c r="I409" s="215"/>
      <c r="J409" s="215"/>
      <c r="K409" s="215"/>
      <c r="L409" s="662"/>
      <c r="M409" s="662"/>
      <c r="N409" s="671"/>
      <c r="O409" s="213"/>
      <c r="P409" s="213"/>
      <c r="Q409" s="213"/>
      <c r="R409" s="213"/>
      <c r="S409" s="213"/>
      <c r="T409" s="643"/>
      <c r="U409" s="616">
        <f t="shared" si="27"/>
        <v>0</v>
      </c>
      <c r="V409" s="633"/>
      <c r="W409" s="636"/>
      <c r="X409" s="636"/>
      <c r="Y409" s="7"/>
      <c r="Z409" s="704"/>
      <c r="AA409" s="7"/>
      <c r="AB409" s="618">
        <f t="shared" si="28"/>
        <v>0</v>
      </c>
      <c r="AC409" s="7"/>
      <c r="AD409" s="7"/>
      <c r="AE409" s="7"/>
      <c r="AF409" s="7"/>
      <c r="AG409" s="7"/>
      <c r="AH409" s="7"/>
    </row>
    <row r="410" spans="1:34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315"/>
      <c r="I410" s="215"/>
      <c r="J410" s="215"/>
      <c r="K410" s="215"/>
      <c r="L410" s="662"/>
      <c r="M410" s="662"/>
      <c r="N410" s="671"/>
      <c r="O410" s="213"/>
      <c r="P410" s="213"/>
      <c r="Q410" s="213"/>
      <c r="R410" s="213"/>
      <c r="S410" s="213"/>
      <c r="T410" s="643"/>
      <c r="U410" s="616">
        <f t="shared" si="27"/>
        <v>0</v>
      </c>
      <c r="V410" s="633"/>
      <c r="W410" s="636"/>
      <c r="X410" s="636"/>
      <c r="Y410" s="7"/>
      <c r="Z410" s="704"/>
      <c r="AA410" s="7"/>
      <c r="AB410" s="618">
        <f t="shared" si="28"/>
        <v>0</v>
      </c>
      <c r="AC410" s="7"/>
      <c r="AD410" s="7"/>
      <c r="AE410" s="7"/>
      <c r="AF410" s="7"/>
      <c r="AG410" s="7"/>
      <c r="AH410" s="7"/>
    </row>
    <row r="411" spans="1:34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315"/>
      <c r="I411" s="215"/>
      <c r="J411" s="215"/>
      <c r="K411" s="215"/>
      <c r="L411" s="662"/>
      <c r="M411" s="662"/>
      <c r="N411" s="671"/>
      <c r="O411" s="213"/>
      <c r="P411" s="213"/>
      <c r="Q411" s="213"/>
      <c r="R411" s="213"/>
      <c r="S411" s="213"/>
      <c r="T411" s="643"/>
      <c r="U411" s="616">
        <f t="shared" si="27"/>
        <v>0</v>
      </c>
      <c r="V411" s="633"/>
      <c r="W411" s="636"/>
      <c r="X411" s="636"/>
      <c r="Y411" s="7"/>
      <c r="Z411" s="704"/>
      <c r="AA411" s="7"/>
      <c r="AB411" s="618">
        <f t="shared" si="28"/>
        <v>0</v>
      </c>
      <c r="AC411" s="7"/>
      <c r="AD411" s="7"/>
      <c r="AE411" s="7"/>
      <c r="AF411" s="7"/>
      <c r="AG411" s="7"/>
      <c r="AH411" s="7"/>
    </row>
    <row r="412" spans="1:34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315"/>
      <c r="I412" s="215"/>
      <c r="J412" s="215"/>
      <c r="K412" s="215"/>
      <c r="L412" s="662"/>
      <c r="M412" s="662"/>
      <c r="N412" s="671"/>
      <c r="O412" s="213"/>
      <c r="P412" s="213"/>
      <c r="Q412" s="213"/>
      <c r="R412" s="213"/>
      <c r="S412" s="213"/>
      <c r="T412" s="643"/>
      <c r="U412" s="616">
        <f t="shared" si="27"/>
        <v>0</v>
      </c>
      <c r="V412" s="633"/>
      <c r="W412" s="636"/>
      <c r="X412" s="636"/>
      <c r="Y412" s="7"/>
      <c r="Z412" s="704"/>
      <c r="AA412" s="7"/>
      <c r="AB412" s="618">
        <f t="shared" si="28"/>
        <v>0</v>
      </c>
      <c r="AC412" s="7"/>
      <c r="AD412" s="7"/>
      <c r="AE412" s="7"/>
      <c r="AF412" s="7"/>
      <c r="AG412" s="7"/>
      <c r="AH412" s="7"/>
    </row>
    <row r="413" spans="1:34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315"/>
      <c r="I413" s="215"/>
      <c r="J413" s="215"/>
      <c r="K413" s="215"/>
      <c r="L413" s="662"/>
      <c r="M413" s="662"/>
      <c r="N413" s="671"/>
      <c r="O413" s="213"/>
      <c r="P413" s="213"/>
      <c r="Q413" s="213"/>
      <c r="R413" s="213"/>
      <c r="S413" s="213"/>
      <c r="T413" s="643"/>
      <c r="U413" s="616">
        <f t="shared" si="27"/>
        <v>0</v>
      </c>
      <c r="V413" s="633"/>
      <c r="W413" s="636"/>
      <c r="X413" s="636"/>
      <c r="Y413" s="7"/>
      <c r="Z413" s="704"/>
      <c r="AA413" s="7"/>
      <c r="AB413" s="618">
        <f t="shared" si="28"/>
        <v>0</v>
      </c>
      <c r="AC413" s="7"/>
      <c r="AD413" s="7"/>
      <c r="AE413" s="7"/>
      <c r="AF413" s="7"/>
      <c r="AG413" s="7"/>
      <c r="AH413" s="7"/>
    </row>
    <row r="414" spans="1:34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315"/>
      <c r="I414" s="215"/>
      <c r="J414" s="215"/>
      <c r="K414" s="215"/>
      <c r="L414" s="662"/>
      <c r="M414" s="662"/>
      <c r="N414" s="671"/>
      <c r="O414" s="213"/>
      <c r="P414" s="213"/>
      <c r="Q414" s="213"/>
      <c r="R414" s="213"/>
      <c r="S414" s="213"/>
      <c r="T414" s="643"/>
      <c r="U414" s="616">
        <f t="shared" si="27"/>
        <v>0</v>
      </c>
      <c r="V414" s="633"/>
      <c r="W414" s="636"/>
      <c r="X414" s="636"/>
      <c r="Y414" s="7"/>
      <c r="Z414" s="704"/>
      <c r="AA414" s="7"/>
      <c r="AB414" s="618">
        <f t="shared" si="28"/>
        <v>0</v>
      </c>
      <c r="AC414" s="7"/>
      <c r="AD414" s="7"/>
      <c r="AE414" s="7"/>
      <c r="AF414" s="7"/>
      <c r="AG414" s="7"/>
      <c r="AH414" s="7"/>
    </row>
    <row r="415" spans="1:34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315"/>
      <c r="I415" s="215"/>
      <c r="J415" s="215"/>
      <c r="K415" s="215"/>
      <c r="L415" s="662"/>
      <c r="M415" s="662"/>
      <c r="N415" s="671"/>
      <c r="O415" s="213"/>
      <c r="P415" s="213"/>
      <c r="Q415" s="213"/>
      <c r="R415" s="213"/>
      <c r="S415" s="213"/>
      <c r="T415" s="643"/>
      <c r="U415" s="616">
        <f t="shared" si="27"/>
        <v>0</v>
      </c>
      <c r="V415" s="633"/>
      <c r="W415" s="636"/>
      <c r="X415" s="636"/>
      <c r="Y415" s="7"/>
      <c r="Z415" s="704"/>
      <c r="AA415" s="7"/>
      <c r="AB415" s="618">
        <f t="shared" si="28"/>
        <v>0</v>
      </c>
      <c r="AC415" s="7"/>
      <c r="AD415" s="7"/>
      <c r="AE415" s="7"/>
      <c r="AF415" s="7"/>
      <c r="AG415" s="7"/>
      <c r="AH415" s="7"/>
    </row>
    <row r="416" spans="1:34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315"/>
      <c r="I416" s="215"/>
      <c r="J416" s="215"/>
      <c r="K416" s="215"/>
      <c r="L416" s="662"/>
      <c r="M416" s="662"/>
      <c r="N416" s="671"/>
      <c r="O416" s="213"/>
      <c r="P416" s="213"/>
      <c r="Q416" s="213"/>
      <c r="R416" s="213"/>
      <c r="S416" s="213"/>
      <c r="T416" s="643"/>
      <c r="U416" s="616">
        <f t="shared" si="27"/>
        <v>0</v>
      </c>
      <c r="V416" s="633"/>
      <c r="W416" s="636"/>
      <c r="X416" s="636"/>
      <c r="Y416" s="7"/>
      <c r="Z416" s="704"/>
      <c r="AA416" s="7"/>
      <c r="AB416" s="618">
        <f t="shared" si="28"/>
        <v>0</v>
      </c>
      <c r="AC416" s="7"/>
      <c r="AD416" s="7"/>
      <c r="AE416" s="7"/>
      <c r="AF416" s="7"/>
      <c r="AG416" s="7"/>
      <c r="AH416" s="7"/>
    </row>
    <row r="417" spans="1:34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315"/>
      <c r="I417" s="215"/>
      <c r="J417" s="215"/>
      <c r="K417" s="215"/>
      <c r="L417" s="662"/>
      <c r="M417" s="662"/>
      <c r="N417" s="671"/>
      <c r="O417" s="213"/>
      <c r="P417" s="213"/>
      <c r="Q417" s="213"/>
      <c r="R417" s="213"/>
      <c r="S417" s="213"/>
      <c r="T417" s="643"/>
      <c r="U417" s="616">
        <f t="shared" si="27"/>
        <v>0</v>
      </c>
      <c r="V417" s="633"/>
      <c r="W417" s="636"/>
      <c r="X417" s="636"/>
      <c r="Y417" s="7"/>
      <c r="Z417" s="704"/>
      <c r="AA417" s="7"/>
      <c r="AB417" s="618">
        <f t="shared" si="28"/>
        <v>0</v>
      </c>
      <c r="AC417" s="7"/>
      <c r="AD417" s="7"/>
      <c r="AE417" s="7"/>
      <c r="AF417" s="7"/>
      <c r="AG417" s="7"/>
      <c r="AH417" s="7"/>
    </row>
    <row r="418" spans="1:34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315"/>
      <c r="I418" s="215"/>
      <c r="J418" s="215"/>
      <c r="K418" s="215"/>
      <c r="L418" s="662"/>
      <c r="M418" s="662"/>
      <c r="N418" s="671"/>
      <c r="O418" s="213"/>
      <c r="P418" s="213"/>
      <c r="Q418" s="213"/>
      <c r="R418" s="213"/>
      <c r="S418" s="213"/>
      <c r="T418" s="643"/>
      <c r="U418" s="616">
        <f t="shared" si="27"/>
        <v>0</v>
      </c>
      <c r="V418" s="633"/>
      <c r="W418" s="636"/>
      <c r="X418" s="636"/>
      <c r="Y418" s="7"/>
      <c r="Z418" s="704"/>
      <c r="AA418" s="7"/>
      <c r="AB418" s="618">
        <f t="shared" si="28"/>
        <v>0</v>
      </c>
      <c r="AC418" s="7"/>
      <c r="AD418" s="7"/>
      <c r="AE418" s="7"/>
      <c r="AF418" s="7"/>
      <c r="AG418" s="7"/>
      <c r="AH418" s="7"/>
    </row>
    <row r="419" spans="1:34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315"/>
      <c r="I419" s="215"/>
      <c r="J419" s="215"/>
      <c r="K419" s="215"/>
      <c r="L419" s="662"/>
      <c r="M419" s="662"/>
      <c r="N419" s="671"/>
      <c r="O419" s="213"/>
      <c r="P419" s="213"/>
      <c r="Q419" s="213"/>
      <c r="R419" s="213"/>
      <c r="S419" s="213"/>
      <c r="T419" s="643"/>
      <c r="U419" s="616">
        <f t="shared" si="27"/>
        <v>0</v>
      </c>
      <c r="V419" s="633"/>
      <c r="W419" s="636"/>
      <c r="X419" s="636"/>
      <c r="Y419" s="7"/>
      <c r="Z419" s="704"/>
      <c r="AA419" s="7"/>
      <c r="AB419" s="618">
        <f t="shared" si="28"/>
        <v>0</v>
      </c>
      <c r="AC419" s="7"/>
      <c r="AD419" s="7"/>
      <c r="AE419" s="7"/>
      <c r="AF419" s="7"/>
      <c r="AG419" s="7"/>
      <c r="AH419" s="7"/>
    </row>
    <row r="420" spans="1:34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315"/>
      <c r="I420" s="215"/>
      <c r="J420" s="215"/>
      <c r="K420" s="215"/>
      <c r="L420" s="662"/>
      <c r="M420" s="662"/>
      <c r="N420" s="671"/>
      <c r="O420" s="213"/>
      <c r="P420" s="213"/>
      <c r="Q420" s="213"/>
      <c r="R420" s="213"/>
      <c r="S420" s="213"/>
      <c r="T420" s="643"/>
      <c r="U420" s="616">
        <f t="shared" si="27"/>
        <v>0</v>
      </c>
      <c r="V420" s="633"/>
      <c r="W420" s="636"/>
      <c r="X420" s="636"/>
      <c r="Y420" s="7"/>
      <c r="Z420" s="704"/>
      <c r="AA420" s="7"/>
      <c r="AB420" s="618">
        <f t="shared" si="28"/>
        <v>0</v>
      </c>
      <c r="AC420" s="7"/>
      <c r="AD420" s="7"/>
      <c r="AE420" s="7"/>
      <c r="AF420" s="7"/>
      <c r="AG420" s="7"/>
      <c r="AH420" s="7"/>
    </row>
    <row r="421" spans="1:34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315"/>
      <c r="I421" s="215"/>
      <c r="J421" s="215"/>
      <c r="K421" s="215"/>
      <c r="L421" s="662"/>
      <c r="M421" s="662"/>
      <c r="N421" s="671"/>
      <c r="O421" s="213"/>
      <c r="P421" s="213"/>
      <c r="Q421" s="213"/>
      <c r="R421" s="213"/>
      <c r="S421" s="213"/>
      <c r="T421" s="643"/>
      <c r="U421" s="616">
        <f t="shared" si="27"/>
        <v>0</v>
      </c>
      <c r="V421" s="633"/>
      <c r="W421" s="640"/>
      <c r="X421" s="640"/>
      <c r="Y421" s="7"/>
      <c r="Z421" s="704"/>
      <c r="AA421" s="7"/>
      <c r="AB421" s="618">
        <f t="shared" si="28"/>
        <v>0</v>
      </c>
      <c r="AC421" s="7"/>
      <c r="AD421" s="7"/>
      <c r="AE421" s="7"/>
      <c r="AF421" s="7"/>
      <c r="AG421" s="7"/>
      <c r="AH421" s="7"/>
    </row>
    <row r="422" spans="1:34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316"/>
      <c r="I422" s="215"/>
      <c r="J422" s="215"/>
      <c r="K422" s="215"/>
      <c r="L422" s="672"/>
      <c r="M422" s="672"/>
      <c r="N422" s="674"/>
      <c r="O422" s="213"/>
      <c r="P422" s="213"/>
      <c r="Q422" s="213"/>
      <c r="R422" s="213"/>
      <c r="S422" s="213"/>
      <c r="T422" s="643"/>
      <c r="U422" s="616">
        <f t="shared" si="27"/>
        <v>0</v>
      </c>
      <c r="V422" s="633"/>
      <c r="W422" s="634"/>
      <c r="X422" s="634"/>
      <c r="Y422" s="7"/>
      <c r="Z422" s="704"/>
      <c r="AA422" s="7"/>
      <c r="AB422" s="618">
        <f t="shared" si="28"/>
        <v>0</v>
      </c>
      <c r="AC422" s="7"/>
      <c r="AD422" s="7"/>
      <c r="AE422" s="7"/>
      <c r="AF422" s="7"/>
      <c r="AG422" s="7"/>
      <c r="AH422" s="7"/>
    </row>
    <row r="423" spans="1:34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316"/>
      <c r="I423" s="215"/>
      <c r="J423" s="215"/>
      <c r="K423" s="215"/>
      <c r="L423" s="672"/>
      <c r="M423" s="672"/>
      <c r="N423" s="674"/>
      <c r="O423" s="213"/>
      <c r="P423" s="213"/>
      <c r="Q423" s="213"/>
      <c r="R423" s="213"/>
      <c r="S423" s="213"/>
      <c r="T423" s="643"/>
      <c r="U423" s="616">
        <f t="shared" si="27"/>
        <v>0</v>
      </c>
      <c r="V423" s="633"/>
      <c r="W423" s="634"/>
      <c r="X423" s="634"/>
      <c r="Y423" s="7"/>
      <c r="Z423" s="704"/>
      <c r="AA423" s="7"/>
      <c r="AB423" s="618">
        <f t="shared" si="28"/>
        <v>0</v>
      </c>
      <c r="AC423" s="7"/>
      <c r="AD423" s="7"/>
      <c r="AE423" s="7"/>
      <c r="AF423" s="7"/>
      <c r="AG423" s="7"/>
      <c r="AH423" s="7"/>
    </row>
    <row r="424" spans="1:34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316"/>
      <c r="I424" s="215"/>
      <c r="J424" s="215"/>
      <c r="K424" s="215"/>
      <c r="L424" s="672"/>
      <c r="M424" s="672"/>
      <c r="N424" s="674"/>
      <c r="O424" s="213"/>
      <c r="P424" s="213"/>
      <c r="Q424" s="213"/>
      <c r="R424" s="213"/>
      <c r="S424" s="213"/>
      <c r="T424" s="643"/>
      <c r="U424" s="616">
        <f t="shared" si="27"/>
        <v>0</v>
      </c>
      <c r="V424" s="633"/>
      <c r="W424" s="634"/>
      <c r="X424" s="634"/>
      <c r="Y424" s="7"/>
      <c r="Z424" s="704"/>
      <c r="AA424" s="7"/>
      <c r="AB424" s="618">
        <f t="shared" si="28"/>
        <v>0</v>
      </c>
      <c r="AC424" s="7"/>
      <c r="AD424" s="7"/>
      <c r="AE424" s="7"/>
      <c r="AF424" s="7"/>
      <c r="AG424" s="7"/>
      <c r="AH424" s="7"/>
    </row>
    <row r="425" spans="1:34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316"/>
      <c r="I425" s="215"/>
      <c r="J425" s="215"/>
      <c r="K425" s="215"/>
      <c r="L425" s="672"/>
      <c r="M425" s="672"/>
      <c r="N425" s="674"/>
      <c r="O425" s="213">
        <v>1</v>
      </c>
      <c r="P425" s="213"/>
      <c r="Q425" s="213"/>
      <c r="R425" s="213"/>
      <c r="S425" s="213"/>
      <c r="T425" s="643"/>
      <c r="U425" s="616">
        <f t="shared" si="27"/>
        <v>1</v>
      </c>
      <c r="V425" s="633"/>
      <c r="W425" s="636"/>
      <c r="X425" s="636"/>
      <c r="Y425" s="7"/>
      <c r="Z425" s="704">
        <v>4</v>
      </c>
      <c r="AA425" s="7"/>
      <c r="AB425" s="618">
        <f t="shared" si="28"/>
        <v>3</v>
      </c>
      <c r="AC425" s="7"/>
      <c r="AD425" s="7"/>
      <c r="AE425" s="7"/>
      <c r="AF425" s="7"/>
      <c r="AG425" s="7"/>
      <c r="AH425" s="7"/>
    </row>
    <row r="426" spans="1:34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315"/>
      <c r="I426" s="215"/>
      <c r="J426" s="215"/>
      <c r="K426" s="215"/>
      <c r="L426" s="662"/>
      <c r="M426" s="662"/>
      <c r="N426" s="671"/>
      <c r="O426" s="213"/>
      <c r="P426" s="213"/>
      <c r="Q426" s="213"/>
      <c r="R426" s="213"/>
      <c r="S426" s="213"/>
      <c r="T426" s="643"/>
      <c r="U426" s="616">
        <f t="shared" si="27"/>
        <v>0</v>
      </c>
      <c r="V426" s="633"/>
      <c r="W426" s="634"/>
      <c r="X426" s="634"/>
      <c r="Y426" s="7"/>
      <c r="Z426" s="704"/>
      <c r="AA426" s="7"/>
      <c r="AB426" s="618">
        <f t="shared" si="28"/>
        <v>0</v>
      </c>
      <c r="AC426" s="7"/>
      <c r="AD426" s="7"/>
      <c r="AE426" s="7"/>
      <c r="AF426" s="7"/>
      <c r="AG426" s="7"/>
      <c r="AH426" s="7"/>
    </row>
    <row r="427" spans="1:34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315"/>
      <c r="I427" s="215"/>
      <c r="J427" s="215"/>
      <c r="K427" s="215"/>
      <c r="L427" s="662"/>
      <c r="M427" s="662"/>
      <c r="N427" s="671"/>
      <c r="O427" s="213"/>
      <c r="P427" s="213"/>
      <c r="Q427" s="213"/>
      <c r="R427" s="213"/>
      <c r="S427" s="213"/>
      <c r="T427" s="643"/>
      <c r="U427" s="616">
        <f t="shared" si="27"/>
        <v>0</v>
      </c>
      <c r="V427" s="633"/>
      <c r="W427" s="640"/>
      <c r="X427" s="640"/>
      <c r="Y427" s="7"/>
      <c r="Z427" s="704"/>
      <c r="AA427" s="7"/>
      <c r="AB427" s="618">
        <f t="shared" si="28"/>
        <v>0</v>
      </c>
      <c r="AC427" s="7"/>
      <c r="AD427" s="7"/>
      <c r="AE427" s="7"/>
      <c r="AF427" s="7"/>
      <c r="AG427" s="7"/>
      <c r="AH427" s="7"/>
    </row>
    <row r="428" spans="1:34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315"/>
      <c r="I428" s="215"/>
      <c r="J428" s="215"/>
      <c r="K428" s="215"/>
      <c r="L428" s="620"/>
      <c r="M428" s="620"/>
      <c r="N428" s="668"/>
      <c r="O428" s="213"/>
      <c r="P428" s="213"/>
      <c r="Q428" s="213"/>
      <c r="R428" s="213"/>
      <c r="S428" s="213"/>
      <c r="T428" s="643"/>
      <c r="U428" s="616">
        <f t="shared" si="27"/>
        <v>0</v>
      </c>
      <c r="V428" s="633"/>
      <c r="W428" s="636"/>
      <c r="X428" s="636"/>
      <c r="Y428" s="7"/>
      <c r="Z428" s="704">
        <v>1</v>
      </c>
      <c r="AA428" s="7"/>
      <c r="AB428" s="618">
        <f t="shared" si="28"/>
        <v>1</v>
      </c>
      <c r="AC428" s="7"/>
      <c r="AD428" s="7"/>
      <c r="AE428" s="7"/>
      <c r="AF428" s="7"/>
      <c r="AG428" s="7"/>
      <c r="AH428" s="7"/>
    </row>
    <row r="429" spans="1:34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315"/>
      <c r="I429" s="215"/>
      <c r="J429" s="215"/>
      <c r="K429" s="215"/>
      <c r="L429" s="620"/>
      <c r="M429" s="620"/>
      <c r="N429" s="668"/>
      <c r="O429" s="213"/>
      <c r="P429" s="213"/>
      <c r="Q429" s="213"/>
      <c r="R429" s="213"/>
      <c r="S429" s="213"/>
      <c r="T429" s="643"/>
      <c r="U429" s="616">
        <f t="shared" si="27"/>
        <v>0</v>
      </c>
      <c r="V429" s="633"/>
      <c r="W429" s="636"/>
      <c r="X429" s="636"/>
      <c r="Y429" s="7"/>
      <c r="Z429" s="704"/>
      <c r="AA429" s="7"/>
      <c r="AB429" s="618">
        <f t="shared" si="28"/>
        <v>0</v>
      </c>
      <c r="AC429" s="7"/>
      <c r="AD429" s="7"/>
      <c r="AE429" s="7"/>
      <c r="AF429" s="7"/>
      <c r="AG429" s="7"/>
      <c r="AH429" s="7"/>
    </row>
    <row r="430" spans="1:34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315"/>
      <c r="I430" s="215"/>
      <c r="J430" s="215"/>
      <c r="K430" s="215"/>
      <c r="L430" s="620"/>
      <c r="M430" s="620"/>
      <c r="N430" s="668"/>
      <c r="O430" s="213"/>
      <c r="P430" s="213"/>
      <c r="Q430" s="213"/>
      <c r="R430" s="213"/>
      <c r="S430" s="213"/>
      <c r="T430" s="643"/>
      <c r="U430" s="616">
        <f t="shared" si="27"/>
        <v>0</v>
      </c>
      <c r="V430" s="633"/>
      <c r="W430" s="636"/>
      <c r="X430" s="636"/>
      <c r="Y430" s="7"/>
      <c r="Z430" s="704"/>
      <c r="AA430" s="7"/>
      <c r="AB430" s="618">
        <f t="shared" si="28"/>
        <v>0</v>
      </c>
      <c r="AC430" s="7"/>
      <c r="AD430" s="7"/>
      <c r="AE430" s="7"/>
      <c r="AF430" s="7"/>
      <c r="AG430" s="7"/>
      <c r="AH430" s="7"/>
    </row>
    <row r="431" spans="1:34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315"/>
      <c r="I431" s="215"/>
      <c r="J431" s="215"/>
      <c r="K431" s="215"/>
      <c r="L431" s="620"/>
      <c r="M431" s="620"/>
      <c r="N431" s="668"/>
      <c r="O431" s="213"/>
      <c r="P431" s="213"/>
      <c r="Q431" s="213"/>
      <c r="R431" s="213"/>
      <c r="S431" s="213"/>
      <c r="T431" s="643"/>
      <c r="U431" s="616">
        <f t="shared" si="27"/>
        <v>0</v>
      </c>
      <c r="V431" s="633"/>
      <c r="W431" s="636"/>
      <c r="X431" s="636"/>
      <c r="Y431" s="7"/>
      <c r="Z431" s="704"/>
      <c r="AA431" s="7"/>
      <c r="AB431" s="618">
        <f t="shared" si="28"/>
        <v>0</v>
      </c>
      <c r="AC431" s="7"/>
      <c r="AD431" s="7"/>
      <c r="AE431" s="7"/>
      <c r="AF431" s="7"/>
      <c r="AG431" s="7"/>
      <c r="AH431" s="7"/>
    </row>
    <row r="432" spans="1:34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315"/>
      <c r="I432" s="215"/>
      <c r="J432" s="215"/>
      <c r="K432" s="215"/>
      <c r="L432" s="620"/>
      <c r="M432" s="620"/>
      <c r="N432" s="668"/>
      <c r="O432" s="213"/>
      <c r="P432" s="213"/>
      <c r="Q432" s="213"/>
      <c r="R432" s="213"/>
      <c r="S432" s="213"/>
      <c r="T432" s="643"/>
      <c r="U432" s="616">
        <f t="shared" si="27"/>
        <v>0</v>
      </c>
      <c r="V432" s="633"/>
      <c r="W432" s="636"/>
      <c r="X432" s="636"/>
      <c r="Y432" s="7"/>
      <c r="Z432" s="704">
        <v>1</v>
      </c>
      <c r="AA432" s="7"/>
      <c r="AB432" s="618">
        <f t="shared" si="28"/>
        <v>1</v>
      </c>
      <c r="AC432" s="7"/>
      <c r="AD432" s="7"/>
      <c r="AE432" s="7"/>
      <c r="AF432" s="7"/>
      <c r="AG432" s="7"/>
      <c r="AH432" s="7"/>
    </row>
    <row r="433" spans="1:34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315"/>
      <c r="I433" s="215"/>
      <c r="J433" s="215"/>
      <c r="K433" s="215"/>
      <c r="L433" s="620"/>
      <c r="M433" s="620"/>
      <c r="N433" s="668"/>
      <c r="O433" s="213"/>
      <c r="P433" s="213"/>
      <c r="Q433" s="213"/>
      <c r="R433" s="213"/>
      <c r="S433" s="213"/>
      <c r="T433" s="643"/>
      <c r="U433" s="616">
        <f t="shared" si="27"/>
        <v>0</v>
      </c>
      <c r="V433" s="633"/>
      <c r="W433" s="636"/>
      <c r="X433" s="636"/>
      <c r="Y433" s="7"/>
      <c r="Z433" s="704">
        <v>1</v>
      </c>
      <c r="AA433" s="7"/>
      <c r="AB433" s="618">
        <f t="shared" si="28"/>
        <v>1</v>
      </c>
      <c r="AC433" s="7"/>
      <c r="AD433" s="7"/>
      <c r="AE433" s="7"/>
      <c r="AF433" s="7"/>
      <c r="AG433" s="7"/>
      <c r="AH433" s="7"/>
    </row>
    <row r="434" spans="1:34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315"/>
      <c r="I434" s="215"/>
      <c r="J434" s="215"/>
      <c r="K434" s="215"/>
      <c r="L434" s="620"/>
      <c r="M434" s="620"/>
      <c r="N434" s="668"/>
      <c r="O434" s="213"/>
      <c r="P434" s="213"/>
      <c r="Q434" s="213"/>
      <c r="R434" s="213"/>
      <c r="S434" s="213"/>
      <c r="T434" s="643"/>
      <c r="U434" s="616">
        <f t="shared" si="27"/>
        <v>0</v>
      </c>
      <c r="V434" s="633"/>
      <c r="W434" s="636"/>
      <c r="X434" s="636"/>
      <c r="Y434" s="7"/>
      <c r="Z434" s="704"/>
      <c r="AA434" s="7"/>
      <c r="AB434" s="618">
        <f t="shared" si="28"/>
        <v>0</v>
      </c>
      <c r="AC434" s="7"/>
      <c r="AD434" s="7"/>
      <c r="AE434" s="7"/>
      <c r="AF434" s="7"/>
      <c r="AG434" s="7"/>
      <c r="AH434" s="7"/>
    </row>
    <row r="435" spans="1:34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315"/>
      <c r="I435" s="215"/>
      <c r="J435" s="215"/>
      <c r="K435" s="215"/>
      <c r="L435" s="620"/>
      <c r="M435" s="620"/>
      <c r="N435" s="668"/>
      <c r="O435" s="213"/>
      <c r="P435" s="213"/>
      <c r="Q435" s="213"/>
      <c r="R435" s="213"/>
      <c r="S435" s="213"/>
      <c r="T435" s="643"/>
      <c r="U435" s="616">
        <f t="shared" si="27"/>
        <v>0</v>
      </c>
      <c r="V435" s="633"/>
      <c r="W435" s="636"/>
      <c r="X435" s="636"/>
      <c r="Y435" s="7"/>
      <c r="Z435" s="704"/>
      <c r="AA435" s="7"/>
      <c r="AB435" s="618">
        <f t="shared" si="28"/>
        <v>0</v>
      </c>
      <c r="AC435" s="7"/>
      <c r="AD435" s="7"/>
      <c r="AE435" s="7"/>
      <c r="AF435" s="7"/>
      <c r="AG435" s="7"/>
      <c r="AH435" s="7"/>
    </row>
    <row r="436" spans="1:34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315"/>
      <c r="I436" s="215"/>
      <c r="J436" s="215"/>
      <c r="K436" s="215"/>
      <c r="L436" s="620"/>
      <c r="M436" s="620"/>
      <c r="N436" s="668"/>
      <c r="O436" s="213"/>
      <c r="P436" s="213"/>
      <c r="Q436" s="213"/>
      <c r="R436" s="213"/>
      <c r="S436" s="213"/>
      <c r="T436" s="643"/>
      <c r="U436" s="616">
        <f t="shared" si="27"/>
        <v>0</v>
      </c>
      <c r="V436" s="633"/>
      <c r="W436" s="636"/>
      <c r="X436" s="636"/>
      <c r="Y436" s="7"/>
      <c r="Z436" s="704"/>
      <c r="AA436" s="7"/>
      <c r="AB436" s="618">
        <f t="shared" si="28"/>
        <v>0</v>
      </c>
      <c r="AC436" s="7"/>
      <c r="AD436" s="7"/>
      <c r="AE436" s="7"/>
      <c r="AF436" s="7"/>
      <c r="AG436" s="7"/>
      <c r="AH436" s="7"/>
    </row>
    <row r="437" spans="1:34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315"/>
      <c r="I437" s="215"/>
      <c r="J437" s="215"/>
      <c r="K437" s="215"/>
      <c r="L437" s="620"/>
      <c r="M437" s="620"/>
      <c r="N437" s="668"/>
      <c r="O437" s="213"/>
      <c r="P437" s="213"/>
      <c r="Q437" s="213"/>
      <c r="R437" s="213"/>
      <c r="S437" s="213"/>
      <c r="T437" s="643"/>
      <c r="U437" s="616">
        <f t="shared" si="27"/>
        <v>0</v>
      </c>
      <c r="V437" s="633"/>
      <c r="W437" s="636"/>
      <c r="X437" s="636"/>
      <c r="Y437" s="7"/>
      <c r="Z437" s="704">
        <v>1</v>
      </c>
      <c r="AA437" s="7"/>
      <c r="AB437" s="618">
        <f t="shared" si="28"/>
        <v>1</v>
      </c>
      <c r="AC437" s="7"/>
      <c r="AD437" s="7"/>
      <c r="AE437" s="7"/>
      <c r="AF437" s="7"/>
      <c r="AG437" s="7"/>
      <c r="AH437" s="7"/>
    </row>
    <row r="438" spans="1:34" ht="21.75" customHeight="1">
      <c r="A438" s="486">
        <v>15.3</v>
      </c>
      <c r="B438" s="487" t="s">
        <v>947</v>
      </c>
      <c r="C438" s="635" t="s">
        <v>948</v>
      </c>
      <c r="D438" s="412" t="s">
        <v>1935</v>
      </c>
      <c r="E438" s="213"/>
      <c r="F438" s="213"/>
      <c r="G438" s="213"/>
      <c r="H438" s="315"/>
      <c r="I438" s="215"/>
      <c r="J438" s="215"/>
      <c r="K438" s="215"/>
      <c r="L438" s="620"/>
      <c r="M438" s="620"/>
      <c r="N438" s="668"/>
      <c r="O438" s="213"/>
      <c r="P438" s="213"/>
      <c r="Q438" s="213"/>
      <c r="R438" s="213"/>
      <c r="S438" s="213"/>
      <c r="T438" s="643"/>
      <c r="U438" s="616">
        <f t="shared" si="27"/>
        <v>0</v>
      </c>
      <c r="V438" s="633"/>
      <c r="W438" s="636"/>
      <c r="X438" s="636"/>
      <c r="Y438" s="7"/>
      <c r="Z438" s="704">
        <v>1</v>
      </c>
      <c r="AA438" s="7"/>
      <c r="AB438" s="618">
        <f t="shared" si="28"/>
        <v>1</v>
      </c>
      <c r="AC438" s="7"/>
      <c r="AD438" s="7"/>
      <c r="AE438" s="7"/>
      <c r="AF438" s="7"/>
      <c r="AG438" s="7"/>
      <c r="AH438" s="7"/>
    </row>
    <row r="439" spans="1:34" ht="21.75" customHeight="1">
      <c r="A439" s="503" t="s">
        <v>1515</v>
      </c>
      <c r="B439" s="483" t="s">
        <v>951</v>
      </c>
      <c r="C439" s="629" t="s">
        <v>131</v>
      </c>
      <c r="D439" s="485" t="s">
        <v>1936</v>
      </c>
      <c r="E439" s="213"/>
      <c r="F439" s="213"/>
      <c r="G439" s="213"/>
      <c r="H439" s="315"/>
      <c r="I439" s="215"/>
      <c r="J439" s="215"/>
      <c r="K439" s="215"/>
      <c r="L439" s="620"/>
      <c r="M439" s="620"/>
      <c r="N439" s="668"/>
      <c r="O439" s="213"/>
      <c r="P439" s="213"/>
      <c r="Q439" s="213"/>
      <c r="R439" s="213"/>
      <c r="S439" s="213"/>
      <c r="T439" s="643"/>
      <c r="U439" s="616">
        <f t="shared" si="27"/>
        <v>0</v>
      </c>
      <c r="V439" s="633"/>
      <c r="W439" s="636"/>
      <c r="X439" s="636"/>
      <c r="Y439" s="7"/>
      <c r="Z439" s="704"/>
      <c r="AA439" s="7"/>
      <c r="AB439" s="618">
        <f t="shared" si="28"/>
        <v>0</v>
      </c>
      <c r="AC439" s="7"/>
      <c r="AD439" s="7"/>
      <c r="AE439" s="7"/>
      <c r="AF439" s="7"/>
      <c r="AG439" s="7"/>
      <c r="AH439" s="7"/>
    </row>
    <row r="440" spans="1:34" ht="21.75" customHeight="1">
      <c r="A440" s="503" t="s">
        <v>1517</v>
      </c>
      <c r="B440" s="483" t="s">
        <v>953</v>
      </c>
      <c r="C440" s="629" t="s">
        <v>200</v>
      </c>
      <c r="D440" s="485" t="s">
        <v>1937</v>
      </c>
      <c r="E440" s="213"/>
      <c r="F440" s="213"/>
      <c r="G440" s="213"/>
      <c r="H440" s="315"/>
      <c r="I440" s="215"/>
      <c r="J440" s="215"/>
      <c r="K440" s="215"/>
      <c r="L440" s="620"/>
      <c r="M440" s="620"/>
      <c r="N440" s="668"/>
      <c r="O440" s="213"/>
      <c r="P440" s="213"/>
      <c r="Q440" s="213"/>
      <c r="R440" s="213"/>
      <c r="S440" s="213"/>
      <c r="T440" s="643"/>
      <c r="U440" s="616">
        <f t="shared" si="27"/>
        <v>0</v>
      </c>
      <c r="V440" s="633"/>
      <c r="W440" s="636"/>
      <c r="X440" s="636"/>
      <c r="Y440" s="7"/>
      <c r="Z440" s="704">
        <v>1</v>
      </c>
      <c r="AA440" s="7"/>
      <c r="AB440" s="618">
        <f t="shared" si="28"/>
        <v>1</v>
      </c>
      <c r="AC440" s="7"/>
      <c r="AD440" s="7"/>
      <c r="AE440" s="7"/>
      <c r="AF440" s="7"/>
      <c r="AG440" s="7"/>
      <c r="AH440" s="7"/>
    </row>
    <row r="441" spans="1:34" ht="21.75" customHeight="1">
      <c r="A441" s="503" t="s">
        <v>1519</v>
      </c>
      <c r="B441" s="483" t="s">
        <v>955</v>
      </c>
      <c r="C441" s="629" t="s">
        <v>203</v>
      </c>
      <c r="D441" s="485" t="s">
        <v>1938</v>
      </c>
      <c r="E441" s="213"/>
      <c r="F441" s="213"/>
      <c r="G441" s="213"/>
      <c r="H441" s="315"/>
      <c r="I441" s="215"/>
      <c r="J441" s="215"/>
      <c r="K441" s="215"/>
      <c r="L441" s="620"/>
      <c r="M441" s="620"/>
      <c r="N441" s="668"/>
      <c r="O441" s="213"/>
      <c r="P441" s="213"/>
      <c r="Q441" s="213"/>
      <c r="R441" s="213"/>
      <c r="S441" s="213"/>
      <c r="T441" s="643"/>
      <c r="U441" s="616">
        <f t="shared" si="27"/>
        <v>0</v>
      </c>
      <c r="V441" s="633"/>
      <c r="W441" s="636"/>
      <c r="X441" s="636"/>
      <c r="Y441" s="7"/>
      <c r="Z441" s="704"/>
      <c r="AA441" s="7"/>
      <c r="AB441" s="618">
        <f t="shared" si="28"/>
        <v>0</v>
      </c>
      <c r="AC441" s="7"/>
      <c r="AD441" s="7"/>
      <c r="AE441" s="7"/>
      <c r="AF441" s="7"/>
      <c r="AG441" s="7"/>
      <c r="AH441" s="7"/>
    </row>
    <row r="442" spans="1:34" ht="21.75" customHeight="1">
      <c r="A442" s="503" t="s">
        <v>1521</v>
      </c>
      <c r="B442" s="483" t="s">
        <v>957</v>
      </c>
      <c r="C442" s="629" t="s">
        <v>159</v>
      </c>
      <c r="D442" s="485" t="s">
        <v>1939</v>
      </c>
      <c r="E442" s="213"/>
      <c r="F442" s="213"/>
      <c r="G442" s="213"/>
      <c r="H442" s="315"/>
      <c r="I442" s="215"/>
      <c r="J442" s="215"/>
      <c r="K442" s="215"/>
      <c r="L442" s="620"/>
      <c r="M442" s="620"/>
      <c r="N442" s="668"/>
      <c r="O442" s="213"/>
      <c r="P442" s="213"/>
      <c r="Q442" s="213"/>
      <c r="R442" s="213"/>
      <c r="S442" s="213"/>
      <c r="T442" s="643"/>
      <c r="U442" s="616">
        <f t="shared" si="27"/>
        <v>0</v>
      </c>
      <c r="V442" s="633"/>
      <c r="W442" s="636"/>
      <c r="X442" s="636"/>
      <c r="Y442" s="7"/>
      <c r="Z442" s="704"/>
      <c r="AA442" s="7"/>
      <c r="AB442" s="618">
        <f t="shared" si="28"/>
        <v>0</v>
      </c>
      <c r="AC442" s="7"/>
      <c r="AD442" s="7"/>
      <c r="AE442" s="7"/>
      <c r="AF442" s="7"/>
      <c r="AG442" s="7"/>
      <c r="AH442" s="7"/>
    </row>
    <row r="443" spans="1:34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315"/>
      <c r="I443" s="215"/>
      <c r="J443" s="215"/>
      <c r="K443" s="215"/>
      <c r="L443" s="620"/>
      <c r="M443" s="620"/>
      <c r="N443" s="668"/>
      <c r="O443" s="213"/>
      <c r="P443" s="213"/>
      <c r="Q443" s="213"/>
      <c r="R443" s="213"/>
      <c r="S443" s="213"/>
      <c r="T443" s="643"/>
      <c r="U443" s="616">
        <f t="shared" si="27"/>
        <v>0</v>
      </c>
      <c r="V443" s="633"/>
      <c r="W443" s="636"/>
      <c r="X443" s="636"/>
      <c r="Y443" s="7"/>
      <c r="Z443" s="704"/>
      <c r="AA443" s="7"/>
      <c r="AB443" s="618">
        <f t="shared" si="28"/>
        <v>0</v>
      </c>
      <c r="AC443" s="7"/>
      <c r="AD443" s="7"/>
      <c r="AE443" s="7"/>
      <c r="AF443" s="7"/>
      <c r="AG443" s="7"/>
      <c r="AH443" s="7"/>
    </row>
    <row r="444" spans="1:34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315"/>
      <c r="I444" s="215"/>
      <c r="J444" s="215"/>
      <c r="K444" s="215"/>
      <c r="L444" s="662"/>
      <c r="M444" s="662"/>
      <c r="N444" s="671"/>
      <c r="O444" s="213"/>
      <c r="P444" s="213"/>
      <c r="Q444" s="213"/>
      <c r="R444" s="213"/>
      <c r="S444" s="213"/>
      <c r="T444" s="643"/>
      <c r="U444" s="616">
        <f t="shared" si="27"/>
        <v>0</v>
      </c>
      <c r="V444" s="633"/>
      <c r="W444" s="636"/>
      <c r="X444" s="636"/>
      <c r="Y444" s="7"/>
      <c r="Z444" s="704"/>
      <c r="AA444" s="7"/>
      <c r="AB444" s="618">
        <f t="shared" si="28"/>
        <v>0</v>
      </c>
      <c r="AC444" s="7"/>
      <c r="AD444" s="7"/>
      <c r="AE444" s="7"/>
      <c r="AF444" s="7"/>
      <c r="AG444" s="7"/>
      <c r="AH444" s="7"/>
    </row>
    <row r="445" spans="1:34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315"/>
      <c r="I445" s="215"/>
      <c r="J445" s="215"/>
      <c r="K445" s="215"/>
      <c r="L445" s="662"/>
      <c r="M445" s="662"/>
      <c r="N445" s="671"/>
      <c r="O445" s="213"/>
      <c r="P445" s="213"/>
      <c r="Q445" s="213"/>
      <c r="R445" s="213"/>
      <c r="S445" s="213"/>
      <c r="T445" s="643"/>
      <c r="U445" s="616">
        <f t="shared" si="27"/>
        <v>0</v>
      </c>
      <c r="V445" s="633"/>
      <c r="W445" s="636"/>
      <c r="X445" s="636"/>
      <c r="Y445" s="7"/>
      <c r="Z445" s="704"/>
      <c r="AA445" s="7"/>
      <c r="AB445" s="618">
        <f t="shared" si="28"/>
        <v>0</v>
      </c>
      <c r="AC445" s="7"/>
      <c r="AD445" s="7"/>
      <c r="AE445" s="7"/>
      <c r="AF445" s="7"/>
      <c r="AG445" s="7"/>
      <c r="AH445" s="7"/>
    </row>
    <row r="446" spans="1:34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315"/>
      <c r="I446" s="215"/>
      <c r="J446" s="215"/>
      <c r="K446" s="215"/>
      <c r="L446" s="662"/>
      <c r="M446" s="662"/>
      <c r="N446" s="671"/>
      <c r="O446" s="213"/>
      <c r="P446" s="213"/>
      <c r="Q446" s="213"/>
      <c r="R446" s="213"/>
      <c r="S446" s="213"/>
      <c r="T446" s="643"/>
      <c r="U446" s="616">
        <f t="shared" si="27"/>
        <v>0</v>
      </c>
      <c r="V446" s="633"/>
      <c r="W446" s="636"/>
      <c r="X446" s="636"/>
      <c r="Y446" s="7"/>
      <c r="Z446" s="704"/>
      <c r="AA446" s="7"/>
      <c r="AB446" s="618">
        <f t="shared" si="28"/>
        <v>0</v>
      </c>
      <c r="AC446" s="7"/>
      <c r="AD446" s="7"/>
      <c r="AE446" s="7"/>
      <c r="AF446" s="7"/>
      <c r="AG446" s="7"/>
      <c r="AH446" s="7"/>
    </row>
    <row r="447" spans="1:34" ht="42" customHeight="1">
      <c r="A447" s="519"/>
      <c r="B447" s="801" t="s">
        <v>969</v>
      </c>
      <c r="C447" s="771"/>
      <c r="D447" s="491" t="s">
        <v>970</v>
      </c>
      <c r="E447" s="231">
        <v>1000</v>
      </c>
      <c r="F447" s="231"/>
      <c r="G447" s="231"/>
      <c r="H447" s="219"/>
      <c r="I447" s="235"/>
      <c r="J447" s="235">
        <v>49</v>
      </c>
      <c r="K447" s="235"/>
      <c r="L447" s="675"/>
      <c r="M447" s="675">
        <v>27647</v>
      </c>
      <c r="N447" s="677">
        <v>4726</v>
      </c>
      <c r="O447" s="219">
        <v>1761.1</v>
      </c>
      <c r="P447" s="231">
        <v>7100</v>
      </c>
      <c r="Q447" s="231"/>
      <c r="R447" s="231"/>
      <c r="S447" s="231"/>
      <c r="T447" s="678"/>
      <c r="U447" s="616">
        <f t="shared" si="27"/>
        <v>42283.1</v>
      </c>
      <c r="V447" s="633"/>
      <c r="W447" s="537"/>
      <c r="X447" s="537"/>
      <c r="Y447" s="7"/>
      <c r="Z447" s="679">
        <v>370870</v>
      </c>
      <c r="AA447" s="7"/>
      <c r="AB447" s="618">
        <f t="shared" si="28"/>
        <v>328586.90000000002</v>
      </c>
      <c r="AC447" s="7"/>
      <c r="AD447" s="7"/>
      <c r="AE447" s="7"/>
      <c r="AF447" s="7"/>
      <c r="AG447" s="7"/>
      <c r="AH447" s="7"/>
    </row>
    <row r="448" spans="1:34" ht="21.75" customHeight="1">
      <c r="A448" s="534"/>
      <c r="B448" s="535"/>
      <c r="C448" s="680"/>
      <c r="D448" s="536"/>
      <c r="E448" s="539"/>
      <c r="F448" s="539"/>
      <c r="G448" s="239"/>
      <c r="H448" s="239"/>
      <c r="I448" s="539"/>
      <c r="J448" s="7"/>
      <c r="K448" s="7"/>
      <c r="L448" s="239"/>
      <c r="M448" s="7"/>
      <c r="N448" s="7"/>
      <c r="O448" s="7"/>
      <c r="P448" s="7"/>
      <c r="Q448" s="7"/>
      <c r="R448" s="7"/>
      <c r="S448" s="7"/>
      <c r="T448" s="7"/>
      <c r="U448" s="7"/>
      <c r="V448" s="705"/>
      <c r="W448" s="7"/>
      <c r="X448" s="7"/>
      <c r="Y448" s="7"/>
      <c r="Z448" s="7"/>
      <c r="AA448" s="7"/>
      <c r="AB448" s="7"/>
      <c r="AC448" s="7"/>
      <c r="AD448" s="7"/>
    </row>
    <row r="449" spans="1:30" ht="15.75" customHeight="1">
      <c r="A449" s="541"/>
      <c r="B449" s="542" t="s">
        <v>1523</v>
      </c>
      <c r="C449" s="542"/>
      <c r="D449" s="541"/>
      <c r="E449" s="539"/>
      <c r="F449" s="539"/>
      <c r="G449" s="239"/>
      <c r="H449" s="239"/>
      <c r="I449" s="539"/>
      <c r="J449" s="7"/>
      <c r="K449" s="7"/>
      <c r="L449" s="239"/>
      <c r="M449" s="7"/>
      <c r="N449" s="7"/>
      <c r="O449" s="7"/>
      <c r="P449" s="7"/>
      <c r="Q449" s="7"/>
      <c r="R449" s="7"/>
      <c r="S449" s="7"/>
      <c r="T449" s="7"/>
      <c r="U449" s="7"/>
      <c r="V449" s="707"/>
      <c r="W449" s="7"/>
      <c r="X449" s="7"/>
      <c r="Y449" s="7"/>
      <c r="Z449" s="7"/>
      <c r="AA449" s="7"/>
      <c r="AB449" s="7"/>
      <c r="AC449" s="7"/>
      <c r="AD449" s="7"/>
    </row>
    <row r="450" spans="1:30" ht="15.75" customHeight="1">
      <c r="A450" s="541"/>
      <c r="B450" s="545" t="s">
        <v>1524</v>
      </c>
      <c r="C450" s="542" t="s">
        <v>1525</v>
      </c>
      <c r="D450" s="541"/>
      <c r="E450" s="539"/>
      <c r="F450" s="539"/>
      <c r="G450" s="239"/>
      <c r="H450" s="239"/>
      <c r="I450" s="539"/>
      <c r="J450" s="7"/>
      <c r="K450" s="7"/>
      <c r="L450" s="239"/>
      <c r="M450" s="7"/>
      <c r="N450" s="7"/>
      <c r="O450" s="7"/>
      <c r="P450" s="7"/>
      <c r="Q450" s="7"/>
      <c r="R450" s="7"/>
      <c r="S450" s="7"/>
      <c r="T450" s="7"/>
      <c r="U450" s="7"/>
      <c r="V450" s="708"/>
      <c r="W450" s="7"/>
      <c r="X450" s="7"/>
      <c r="Y450" s="7"/>
      <c r="Z450" s="7"/>
      <c r="AA450" s="7"/>
      <c r="AB450" s="7"/>
      <c r="AC450" s="7"/>
      <c r="AD450" s="7"/>
    </row>
    <row r="451" spans="1:30" ht="15.75" customHeight="1">
      <c r="A451" s="541"/>
      <c r="B451" s="545" t="s">
        <v>1526</v>
      </c>
      <c r="C451" s="542" t="s">
        <v>1527</v>
      </c>
      <c r="D451" s="541"/>
      <c r="E451" s="681"/>
      <c r="F451" s="681"/>
      <c r="G451" s="239"/>
      <c r="H451" s="239"/>
      <c r="I451" s="681"/>
      <c r="J451" s="7"/>
      <c r="K451" s="7"/>
      <c r="L451" s="239"/>
      <c r="M451" s="7"/>
      <c r="N451" s="7"/>
      <c r="O451" s="7"/>
      <c r="P451" s="7"/>
      <c r="Q451" s="7"/>
      <c r="R451" s="7"/>
      <c r="S451" s="7"/>
      <c r="T451" s="7"/>
      <c r="U451" s="7"/>
      <c r="V451" s="708"/>
      <c r="W451" s="7"/>
      <c r="X451" s="7"/>
      <c r="Y451" s="7"/>
      <c r="Z451" s="7"/>
      <c r="AA451" s="7"/>
      <c r="AB451" s="7"/>
      <c r="AC451" s="7"/>
      <c r="AD451" s="7"/>
    </row>
    <row r="452" spans="1:30" ht="15.75" customHeight="1">
      <c r="A452" s="541"/>
      <c r="B452" s="545"/>
      <c r="C452" s="542"/>
      <c r="D452" s="541"/>
      <c r="E452" s="681"/>
      <c r="F452" s="681"/>
      <c r="G452" s="239"/>
      <c r="H452" s="239"/>
      <c r="I452" s="681"/>
      <c r="J452" s="7"/>
      <c r="K452" s="7"/>
      <c r="L452" s="239"/>
      <c r="M452" s="7"/>
      <c r="N452" s="7"/>
      <c r="O452" s="7"/>
      <c r="P452" s="7"/>
      <c r="Q452" s="7"/>
      <c r="R452" s="7"/>
      <c r="S452" s="7"/>
      <c r="T452" s="7"/>
      <c r="U452" s="7"/>
      <c r="V452" s="708"/>
      <c r="W452" s="7"/>
      <c r="X452" s="7"/>
      <c r="Y452" s="7"/>
      <c r="Z452" s="7"/>
      <c r="AA452" s="7"/>
      <c r="AB452" s="7"/>
      <c r="AC452" s="7"/>
      <c r="AD452" s="7"/>
    </row>
    <row r="453" spans="1:30" ht="15.75" customHeight="1">
      <c r="A453" s="541"/>
      <c r="B453" s="802" t="s">
        <v>1528</v>
      </c>
      <c r="C453" s="791"/>
      <c r="D453" s="541"/>
      <c r="E453" s="681"/>
      <c r="F453" s="681"/>
      <c r="G453" s="239"/>
      <c r="H453" s="239"/>
      <c r="I453" s="681"/>
      <c r="J453" s="7"/>
      <c r="K453" s="7"/>
      <c r="L453" s="239"/>
      <c r="M453" s="7"/>
      <c r="N453" s="7"/>
      <c r="O453" s="7"/>
      <c r="P453" s="7"/>
      <c r="Q453" s="7"/>
      <c r="R453" s="7"/>
      <c r="S453" s="7"/>
      <c r="T453" s="7"/>
      <c r="U453" s="7"/>
      <c r="V453" s="708"/>
      <c r="W453" s="7"/>
      <c r="X453" s="7"/>
      <c r="Y453" s="7"/>
      <c r="Z453" s="7"/>
      <c r="AA453" s="7"/>
      <c r="AB453" s="7"/>
      <c r="AC453" s="7"/>
      <c r="AD453" s="7"/>
    </row>
    <row r="454" spans="1:30" ht="15.75" customHeight="1">
      <c r="A454" s="541"/>
      <c r="B454" s="790" t="s">
        <v>1529</v>
      </c>
      <c r="C454" s="791"/>
      <c r="D454" s="541" t="s">
        <v>1530</v>
      </c>
      <c r="E454" s="681"/>
      <c r="F454" s="681"/>
      <c r="G454" s="239"/>
      <c r="H454" s="239"/>
      <c r="I454" s="681"/>
      <c r="J454" s="7"/>
      <c r="K454" s="7"/>
      <c r="L454" s="239"/>
      <c r="M454" s="7"/>
      <c r="N454" s="7"/>
      <c r="O454" s="7"/>
      <c r="P454" s="7"/>
      <c r="Q454" s="7"/>
      <c r="R454" s="7"/>
      <c r="S454" s="7"/>
      <c r="T454" s="7"/>
      <c r="U454" s="7"/>
      <c r="V454" s="708"/>
      <c r="W454" s="7"/>
      <c r="X454" s="7"/>
      <c r="Y454" s="7"/>
      <c r="Z454" s="7"/>
      <c r="AA454" s="7"/>
      <c r="AB454" s="7"/>
      <c r="AC454" s="7"/>
      <c r="AD454" s="7"/>
    </row>
    <row r="455" spans="1:30" ht="15.75" customHeight="1">
      <c r="A455" s="541"/>
      <c r="B455" s="545"/>
      <c r="C455" s="542"/>
      <c r="D455" s="541"/>
      <c r="E455" s="681"/>
      <c r="F455" s="681"/>
      <c r="G455" s="239"/>
      <c r="H455" s="239"/>
      <c r="I455" s="681"/>
      <c r="J455" s="7"/>
      <c r="K455" s="7"/>
      <c r="L455" s="239"/>
      <c r="M455" s="7"/>
      <c r="N455" s="7"/>
      <c r="O455" s="7"/>
      <c r="P455" s="7"/>
      <c r="Q455" s="7"/>
      <c r="R455" s="7"/>
      <c r="S455" s="7"/>
      <c r="T455" s="7"/>
      <c r="U455" s="7"/>
      <c r="V455" s="708"/>
      <c r="W455" s="7"/>
      <c r="X455" s="7"/>
      <c r="Y455" s="7"/>
      <c r="Z455" s="7"/>
      <c r="AA455" s="7"/>
      <c r="AB455" s="7"/>
      <c r="AC455" s="7"/>
      <c r="AD455" s="7"/>
    </row>
    <row r="456" spans="1:30" ht="15.75" customHeight="1">
      <c r="A456" s="546" t="s">
        <v>971</v>
      </c>
      <c r="B456" s="547"/>
      <c r="C456" s="547"/>
      <c r="D456" s="547"/>
      <c r="E456" s="682"/>
      <c r="F456" s="682"/>
      <c r="G456" s="239"/>
      <c r="H456" s="239"/>
      <c r="I456" s="682"/>
      <c r="J456" s="7"/>
      <c r="K456" s="7"/>
      <c r="L456" s="239"/>
      <c r="M456" s="7"/>
      <c r="N456" s="7"/>
      <c r="O456" s="7"/>
      <c r="P456" s="7"/>
      <c r="Q456" s="7"/>
      <c r="R456" s="7"/>
      <c r="S456" s="7"/>
      <c r="T456" s="7"/>
      <c r="U456" s="7"/>
      <c r="V456" s="708"/>
      <c r="W456" s="7"/>
      <c r="X456" s="7"/>
      <c r="Y456" s="7"/>
      <c r="Z456" s="7"/>
      <c r="AA456" s="7"/>
      <c r="AB456" s="7"/>
      <c r="AC456" s="7"/>
      <c r="AD456" s="7"/>
    </row>
    <row r="457" spans="1:30" ht="15.75" customHeight="1">
      <c r="A457" s="549" t="s">
        <v>972</v>
      </c>
      <c r="B457" s="550"/>
      <c r="C457" s="550"/>
      <c r="D457" s="550"/>
      <c r="E457" s="684"/>
      <c r="F457" s="684"/>
      <c r="G457" s="239"/>
      <c r="H457" s="239"/>
      <c r="I457" s="684"/>
      <c r="J457" s="7"/>
      <c r="K457" s="7"/>
      <c r="L457" s="239"/>
      <c r="M457" s="7"/>
      <c r="N457" s="7"/>
      <c r="O457" s="7"/>
      <c r="P457" s="7"/>
      <c r="Q457" s="7"/>
      <c r="R457" s="7"/>
      <c r="S457" s="7"/>
      <c r="T457" s="7"/>
      <c r="U457" s="7"/>
      <c r="V457" s="708"/>
      <c r="W457" s="7"/>
      <c r="X457" s="7"/>
      <c r="Y457" s="7"/>
      <c r="Z457" s="7"/>
      <c r="AA457" s="7"/>
      <c r="AB457" s="7"/>
      <c r="AC457" s="7"/>
      <c r="AD457" s="7"/>
    </row>
    <row r="458" spans="1:30" ht="15.75" customHeight="1">
      <c r="A458" s="546"/>
      <c r="B458" s="547"/>
      <c r="C458" s="241" t="s">
        <v>12</v>
      </c>
      <c r="D458" s="242">
        <f>COUNTIF($D$11:$U$11,"Hà Giang")</f>
        <v>0</v>
      </c>
      <c r="E458" s="539"/>
      <c r="F458" s="539"/>
      <c r="G458" s="239"/>
      <c r="H458" s="239"/>
      <c r="I458" s="539"/>
      <c r="J458" s="7"/>
      <c r="K458" s="7"/>
      <c r="L458" s="239"/>
      <c r="M458" s="7"/>
      <c r="N458" s="7"/>
      <c r="O458" s="7"/>
      <c r="P458" s="7"/>
      <c r="Q458" s="7"/>
      <c r="R458" s="7"/>
      <c r="S458" s="7"/>
      <c r="T458" s="7"/>
      <c r="U458" s="7"/>
      <c r="V458" s="708"/>
      <c r="W458" s="7"/>
      <c r="X458" s="7"/>
      <c r="Y458" s="7"/>
      <c r="Z458" s="7"/>
      <c r="AA458" s="7"/>
      <c r="AB458" s="7"/>
      <c r="AC458" s="7"/>
      <c r="AD458" s="7"/>
    </row>
    <row r="459" spans="1:30" ht="15.75" customHeight="1">
      <c r="A459" s="546"/>
      <c r="B459" s="547"/>
      <c r="C459" s="241" t="s">
        <v>14</v>
      </c>
      <c r="D459" s="242">
        <f>COUNTIF($D$11:$U$11,"Lào Cai")</f>
        <v>0</v>
      </c>
      <c r="E459" s="539"/>
      <c r="F459" s="539"/>
      <c r="G459" s="239"/>
      <c r="H459" s="239"/>
      <c r="I459" s="539"/>
      <c r="J459" s="7"/>
      <c r="K459" s="7"/>
      <c r="L459" s="239"/>
      <c r="M459" s="7"/>
      <c r="N459" s="7"/>
      <c r="O459" s="7"/>
      <c r="P459" s="7"/>
      <c r="Q459" s="7"/>
      <c r="R459" s="7"/>
      <c r="S459" s="7"/>
      <c r="T459" s="7"/>
      <c r="U459" s="7"/>
      <c r="V459" s="708"/>
      <c r="W459" s="7"/>
      <c r="X459" s="7"/>
      <c r="Y459" s="7"/>
      <c r="Z459" s="7"/>
      <c r="AA459" s="7"/>
      <c r="AB459" s="7"/>
      <c r="AC459" s="7"/>
      <c r="AD459" s="7"/>
    </row>
    <row r="460" spans="1:30" ht="15.75" customHeight="1">
      <c r="A460" s="546"/>
      <c r="B460" s="552"/>
      <c r="C460" s="241" t="s">
        <v>23</v>
      </c>
      <c r="D460" s="242">
        <f>COUNTIF($D$11:$U$11,"Lai Châu")</f>
        <v>0</v>
      </c>
      <c r="E460" s="539"/>
      <c r="F460" s="539"/>
      <c r="G460" s="239"/>
      <c r="H460" s="239"/>
      <c r="I460" s="539"/>
      <c r="J460" s="7"/>
      <c r="K460" s="7"/>
      <c r="L460" s="239"/>
      <c r="M460" s="7"/>
      <c r="N460" s="7"/>
      <c r="O460" s="7"/>
      <c r="P460" s="7"/>
      <c r="Q460" s="7"/>
      <c r="R460" s="7"/>
      <c r="S460" s="7"/>
      <c r="T460" s="7"/>
      <c r="U460" s="7"/>
      <c r="V460" s="708"/>
      <c r="W460" s="7"/>
      <c r="X460" s="7"/>
      <c r="Y460" s="7"/>
      <c r="Z460" s="7"/>
      <c r="AA460" s="7"/>
      <c r="AB460" s="7"/>
      <c r="AC460" s="7"/>
      <c r="AD460" s="7"/>
    </row>
    <row r="461" spans="1:30" ht="15.75" customHeight="1">
      <c r="A461" s="686"/>
      <c r="B461" s="687"/>
      <c r="C461" s="243" t="s">
        <v>17</v>
      </c>
      <c r="D461" s="242">
        <f>COUNTIF($D$11:$U$11,"Điện Biên")</f>
        <v>0</v>
      </c>
      <c r="E461" s="688"/>
      <c r="F461" s="688"/>
      <c r="G461" s="239"/>
      <c r="H461" s="239"/>
      <c r="I461" s="688"/>
      <c r="J461" s="7"/>
      <c r="K461" s="7"/>
      <c r="L461" s="239"/>
      <c r="M461" s="7"/>
      <c r="N461" s="7"/>
      <c r="O461" s="7"/>
      <c r="P461" s="7"/>
      <c r="Q461" s="7"/>
      <c r="R461" s="7"/>
      <c r="S461" s="7"/>
      <c r="T461" s="7"/>
      <c r="U461" s="7"/>
      <c r="V461" s="708"/>
      <c r="W461" s="7"/>
      <c r="X461" s="7"/>
      <c r="Y461" s="7"/>
      <c r="Z461" s="7"/>
      <c r="AA461" s="7"/>
      <c r="AB461" s="7"/>
      <c r="AC461" s="7"/>
      <c r="AD461" s="7"/>
    </row>
    <row r="462" spans="1:30" ht="15.75" customHeight="1">
      <c r="A462" s="686"/>
      <c r="B462" s="687"/>
      <c r="C462" s="243" t="s">
        <v>16</v>
      </c>
      <c r="D462" s="242">
        <f>COUNTIF($D$11:$U$11,"Lạng Sơn")</f>
        <v>0</v>
      </c>
      <c r="E462" s="688"/>
      <c r="F462" s="688"/>
      <c r="G462" s="239"/>
      <c r="H462" s="239"/>
      <c r="I462" s="688"/>
      <c r="J462" s="7"/>
      <c r="K462" s="7"/>
      <c r="L462" s="239"/>
      <c r="M462" s="7"/>
      <c r="N462" s="7"/>
      <c r="O462" s="7"/>
      <c r="P462" s="7"/>
      <c r="Q462" s="7"/>
      <c r="R462" s="7"/>
      <c r="S462" s="7"/>
      <c r="T462" s="7"/>
      <c r="U462" s="7"/>
      <c r="V462" s="708"/>
      <c r="W462" s="7"/>
      <c r="X462" s="7"/>
      <c r="Y462" s="7"/>
      <c r="Z462" s="7"/>
      <c r="AA462" s="7"/>
      <c r="AB462" s="7"/>
      <c r="AC462" s="7"/>
      <c r="AD462" s="7"/>
    </row>
    <row r="463" spans="1:30" ht="15.75" customHeight="1">
      <c r="A463" s="686"/>
      <c r="B463" s="687"/>
      <c r="C463" s="243" t="s">
        <v>13</v>
      </c>
      <c r="D463" s="242">
        <f>COUNTIF($D$11:$U$11,"Cao Bằng")</f>
        <v>0</v>
      </c>
      <c r="E463" s="688"/>
      <c r="F463" s="688"/>
      <c r="G463" s="239"/>
      <c r="H463" s="239"/>
      <c r="I463" s="688"/>
      <c r="J463" s="7"/>
      <c r="K463" s="7"/>
      <c r="L463" s="239"/>
      <c r="M463" s="7"/>
      <c r="N463" s="7"/>
      <c r="O463" s="7"/>
      <c r="P463" s="7"/>
      <c r="Q463" s="7"/>
      <c r="R463" s="7"/>
      <c r="S463" s="7"/>
      <c r="T463" s="7"/>
      <c r="U463" s="7"/>
      <c r="V463" s="708"/>
      <c r="W463" s="7"/>
      <c r="X463" s="7"/>
      <c r="Y463" s="7"/>
      <c r="Z463" s="7"/>
      <c r="AA463" s="7"/>
      <c r="AB463" s="7"/>
      <c r="AC463" s="7"/>
      <c r="AD463" s="7"/>
    </row>
    <row r="464" spans="1:30" ht="15.75" customHeight="1">
      <c r="A464" s="686"/>
      <c r="B464" s="687"/>
      <c r="C464" s="243" t="s">
        <v>1090</v>
      </c>
      <c r="D464" s="242">
        <f>COUNTIF($D$11:$U$11,"Sơn La")</f>
        <v>13</v>
      </c>
      <c r="E464" s="688"/>
      <c r="F464" s="688"/>
      <c r="G464" s="239"/>
      <c r="H464" s="239"/>
      <c r="I464" s="688"/>
      <c r="J464" s="7"/>
      <c r="K464" s="7"/>
      <c r="L464" s="239"/>
      <c r="M464" s="7"/>
      <c r="N464" s="7"/>
      <c r="O464" s="7"/>
      <c r="P464" s="7"/>
      <c r="Q464" s="7"/>
      <c r="R464" s="7"/>
      <c r="S464" s="7"/>
      <c r="T464" s="7"/>
      <c r="U464" s="7"/>
      <c r="V464" s="708"/>
      <c r="W464" s="7"/>
      <c r="X464" s="7"/>
      <c r="Y464" s="7"/>
      <c r="Z464" s="7"/>
      <c r="AA464" s="7"/>
      <c r="AB464" s="7"/>
      <c r="AC464" s="7"/>
      <c r="AD464" s="7"/>
    </row>
    <row r="465" spans="1:30" ht="15.75" customHeight="1">
      <c r="A465" s="686"/>
      <c r="B465" s="687"/>
      <c r="C465" s="243" t="s">
        <v>19</v>
      </c>
      <c r="D465" s="242">
        <f>COUNTIF($D$11:$U$11,"Yên Bái")</f>
        <v>0</v>
      </c>
      <c r="E465" s="688"/>
      <c r="F465" s="688"/>
      <c r="G465" s="239"/>
      <c r="H465" s="239"/>
      <c r="I465" s="688"/>
      <c r="J465" s="7"/>
      <c r="K465" s="7"/>
      <c r="L465" s="239"/>
      <c r="M465" s="7"/>
      <c r="N465" s="7"/>
      <c r="O465" s="7"/>
      <c r="P465" s="7"/>
      <c r="Q465" s="7"/>
      <c r="R465" s="7"/>
      <c r="S465" s="7"/>
      <c r="T465" s="7"/>
      <c r="U465" s="7"/>
      <c r="V465" s="708"/>
      <c r="W465" s="7"/>
      <c r="X465" s="7"/>
      <c r="Y465" s="7"/>
      <c r="Z465" s="7"/>
      <c r="AA465" s="7"/>
      <c r="AB465" s="7"/>
      <c r="AC465" s="7"/>
      <c r="AD465" s="7"/>
    </row>
    <row r="466" spans="1:30" ht="15.75" customHeight="1">
      <c r="A466" s="686"/>
      <c r="B466" s="687"/>
      <c r="C466" s="243" t="s">
        <v>18</v>
      </c>
      <c r="D466" s="242">
        <f>COUNTIF($D$11:$U$11,"Tuyên Quang")</f>
        <v>0</v>
      </c>
      <c r="E466" s="688"/>
      <c r="F466" s="688"/>
      <c r="G466" s="239"/>
      <c r="H466" s="239"/>
      <c r="I466" s="688"/>
      <c r="J466" s="7"/>
      <c r="K466" s="7"/>
      <c r="L466" s="239"/>
      <c r="M466" s="7"/>
      <c r="N466" s="7"/>
      <c r="O466" s="7"/>
      <c r="P466" s="7"/>
      <c r="Q466" s="7"/>
      <c r="R466" s="7"/>
      <c r="S466" s="7"/>
      <c r="T466" s="7"/>
      <c r="U466" s="7"/>
      <c r="V466" s="708"/>
      <c r="W466" s="7"/>
      <c r="X466" s="7"/>
      <c r="Y466" s="7"/>
      <c r="Z466" s="7"/>
      <c r="AA466" s="7"/>
      <c r="AB466" s="7"/>
      <c r="AC466" s="7"/>
      <c r="AD466" s="7"/>
    </row>
    <row r="467" spans="1:30" ht="15.75" customHeight="1">
      <c r="A467" s="686"/>
      <c r="B467" s="687"/>
      <c r="C467" s="243" t="s">
        <v>1091</v>
      </c>
      <c r="D467" s="242">
        <f>COUNTIF($D$11:$U$11,"Thái Nguyên")</f>
        <v>0</v>
      </c>
      <c r="E467" s="688"/>
      <c r="F467" s="688"/>
      <c r="G467" s="239"/>
      <c r="H467" s="239"/>
      <c r="I467" s="688"/>
      <c r="J467" s="7"/>
      <c r="K467" s="7"/>
      <c r="L467" s="239"/>
      <c r="M467" s="7"/>
      <c r="N467" s="7"/>
      <c r="O467" s="7"/>
      <c r="P467" s="7"/>
      <c r="Q467" s="7"/>
      <c r="R467" s="7"/>
      <c r="S467" s="7"/>
      <c r="T467" s="7"/>
      <c r="U467" s="7"/>
      <c r="V467" s="708"/>
      <c r="W467" s="7"/>
      <c r="X467" s="7"/>
      <c r="Y467" s="7"/>
      <c r="Z467" s="7"/>
      <c r="AA467" s="7"/>
      <c r="AB467" s="7"/>
      <c r="AC467" s="7"/>
      <c r="AD467" s="7"/>
    </row>
    <row r="468" spans="1:30" ht="15.75" customHeight="1">
      <c r="A468" s="686"/>
      <c r="B468" s="687"/>
      <c r="C468" s="243" t="s">
        <v>15</v>
      </c>
      <c r="D468" s="242">
        <f>COUNTIF($D$11:$U$11,"Bắc Kạn")</f>
        <v>0</v>
      </c>
      <c r="E468" s="688"/>
      <c r="F468" s="688"/>
      <c r="G468" s="239"/>
      <c r="H468" s="239"/>
      <c r="I468" s="688"/>
      <c r="J468" s="7"/>
      <c r="K468" s="7"/>
      <c r="L468" s="239"/>
      <c r="M468" s="7"/>
      <c r="N468" s="7"/>
      <c r="O468" s="7"/>
      <c r="P468" s="7"/>
      <c r="Q468" s="7"/>
      <c r="R468" s="7"/>
      <c r="S468" s="7"/>
      <c r="T468" s="7"/>
      <c r="U468" s="7"/>
      <c r="V468" s="708"/>
      <c r="W468" s="7"/>
      <c r="X468" s="7"/>
      <c r="Y468" s="7"/>
      <c r="Z468" s="7"/>
      <c r="AA468" s="7"/>
      <c r="AB468" s="7"/>
      <c r="AC468" s="7"/>
      <c r="AD468" s="7"/>
    </row>
    <row r="469" spans="1:30" ht="15.75" customHeight="1">
      <c r="A469" s="686"/>
      <c r="B469" s="687"/>
      <c r="C469" s="243" t="s">
        <v>25</v>
      </c>
      <c r="D469" s="242">
        <f>COUNTIF($D$11:$U$11,"Hoà Bình")</f>
        <v>0</v>
      </c>
      <c r="E469" s="688"/>
      <c r="F469" s="688"/>
      <c r="G469" s="239"/>
      <c r="H469" s="239"/>
      <c r="I469" s="688"/>
      <c r="J469" s="7"/>
      <c r="K469" s="7"/>
      <c r="L469" s="239"/>
      <c r="M469" s="7"/>
      <c r="N469" s="7"/>
      <c r="O469" s="7"/>
      <c r="P469" s="7"/>
      <c r="Q469" s="7"/>
      <c r="R469" s="7"/>
      <c r="S469" s="7"/>
      <c r="T469" s="7"/>
      <c r="U469" s="7"/>
      <c r="V469" s="708"/>
      <c r="W469" s="7"/>
      <c r="X469" s="7"/>
      <c r="Y469" s="7"/>
      <c r="Z469" s="7"/>
      <c r="AA469" s="7"/>
      <c r="AB469" s="7"/>
      <c r="AC469" s="7"/>
      <c r="AD469" s="7"/>
    </row>
    <row r="470" spans="1:30" ht="15.75" customHeight="1">
      <c r="A470" s="686"/>
      <c r="B470" s="687"/>
      <c r="C470" s="243" t="s">
        <v>1092</v>
      </c>
      <c r="D470" s="242">
        <f>COUNTIF($D$11:$U$11,"Bắc Giang")</f>
        <v>0</v>
      </c>
      <c r="E470" s="688"/>
      <c r="F470" s="688"/>
      <c r="G470" s="239"/>
      <c r="H470" s="239"/>
      <c r="I470" s="688"/>
      <c r="J470" s="7"/>
      <c r="K470" s="7"/>
      <c r="L470" s="239"/>
      <c r="M470" s="7"/>
      <c r="N470" s="7"/>
      <c r="O470" s="7"/>
      <c r="P470" s="7"/>
      <c r="Q470" s="7"/>
      <c r="R470" s="7"/>
      <c r="S470" s="7"/>
      <c r="T470" s="7"/>
      <c r="U470" s="7"/>
      <c r="V470" s="708"/>
      <c r="W470" s="7"/>
      <c r="X470" s="7"/>
      <c r="Y470" s="7"/>
      <c r="Z470" s="7"/>
      <c r="AA470" s="7"/>
      <c r="AB470" s="7"/>
      <c r="AC470" s="7"/>
      <c r="AD470" s="7"/>
    </row>
    <row r="471" spans="1:30" ht="15.75" customHeight="1">
      <c r="A471" s="686"/>
      <c r="B471" s="687"/>
      <c r="C471" s="243" t="s">
        <v>28</v>
      </c>
      <c r="D471" s="242">
        <f>COUNTIF($D$11:$U$11,"Quảng Ninh")</f>
        <v>0</v>
      </c>
      <c r="E471" s="688"/>
      <c r="F471" s="688"/>
      <c r="G471" s="239"/>
      <c r="H471" s="239"/>
      <c r="I471" s="688"/>
      <c r="J471" s="7"/>
      <c r="K471" s="7"/>
      <c r="L471" s="239"/>
      <c r="M471" s="7"/>
      <c r="N471" s="7"/>
      <c r="O471" s="7"/>
      <c r="P471" s="7"/>
      <c r="Q471" s="7"/>
      <c r="R471" s="7"/>
      <c r="S471" s="7"/>
      <c r="T471" s="7"/>
      <c r="U471" s="7"/>
      <c r="V471" s="708"/>
      <c r="W471" s="7"/>
      <c r="X471" s="7"/>
      <c r="Y471" s="7"/>
      <c r="Z471" s="7"/>
      <c r="AA471" s="7"/>
      <c r="AB471" s="7"/>
      <c r="AC471" s="7"/>
      <c r="AD471" s="7"/>
    </row>
    <row r="472" spans="1:30" ht="15.75" customHeight="1">
      <c r="A472" s="686"/>
      <c r="B472" s="687"/>
      <c r="C472" s="243" t="s">
        <v>26</v>
      </c>
      <c r="D472" s="242">
        <f>COUNTIF($D$11:$U$11,"Hà Nội")</f>
        <v>0</v>
      </c>
      <c r="E472" s="688"/>
      <c r="F472" s="688"/>
      <c r="G472" s="239"/>
      <c r="H472" s="239"/>
      <c r="I472" s="688"/>
      <c r="J472" s="7"/>
      <c r="K472" s="7"/>
      <c r="L472" s="239"/>
      <c r="M472" s="7"/>
      <c r="N472" s="7"/>
      <c r="O472" s="7"/>
      <c r="P472" s="7"/>
      <c r="Q472" s="7"/>
      <c r="R472" s="7"/>
      <c r="S472" s="7"/>
      <c r="T472" s="7"/>
      <c r="U472" s="7"/>
      <c r="V472" s="708"/>
      <c r="W472" s="7"/>
      <c r="X472" s="7"/>
      <c r="Y472" s="7"/>
      <c r="Z472" s="7"/>
      <c r="AA472" s="7"/>
      <c r="AB472" s="7"/>
      <c r="AC472" s="7"/>
      <c r="AD472" s="7"/>
    </row>
    <row r="473" spans="1:30" ht="15.75" customHeight="1">
      <c r="A473" s="686"/>
      <c r="B473" s="687"/>
      <c r="C473" s="243" t="s">
        <v>21</v>
      </c>
      <c r="D473" s="242">
        <f>COUNTIF($D$11:$U$11,"Phú Thọ")</f>
        <v>0</v>
      </c>
      <c r="E473" s="688"/>
      <c r="F473" s="688"/>
      <c r="G473" s="239"/>
      <c r="H473" s="239"/>
      <c r="I473" s="688"/>
      <c r="J473" s="7"/>
      <c r="K473" s="7"/>
      <c r="L473" s="239"/>
      <c r="M473" s="7"/>
      <c r="N473" s="7"/>
      <c r="O473" s="7"/>
      <c r="P473" s="7"/>
      <c r="Q473" s="7"/>
      <c r="R473" s="7"/>
      <c r="S473" s="7"/>
      <c r="T473" s="7"/>
      <c r="U473" s="7"/>
      <c r="V473" s="708"/>
      <c r="W473" s="7"/>
      <c r="X473" s="7"/>
      <c r="Y473" s="7"/>
      <c r="Z473" s="7"/>
      <c r="AA473" s="7"/>
      <c r="AB473" s="7"/>
      <c r="AC473" s="7"/>
      <c r="AD473" s="7"/>
    </row>
    <row r="474" spans="1:30" ht="15.75" customHeight="1">
      <c r="A474" s="686"/>
      <c r="B474" s="687"/>
      <c r="C474" s="243" t="s">
        <v>1093</v>
      </c>
      <c r="D474" s="242">
        <f>COUNTIF($D$11:$U$11,"Vĩnh Phúc")</f>
        <v>0</v>
      </c>
      <c r="E474" s="688"/>
      <c r="F474" s="688"/>
      <c r="G474" s="239"/>
      <c r="H474" s="239"/>
      <c r="I474" s="688"/>
      <c r="J474" s="7"/>
      <c r="K474" s="7"/>
      <c r="L474" s="239"/>
      <c r="M474" s="7"/>
      <c r="N474" s="7"/>
      <c r="O474" s="7"/>
      <c r="P474" s="7"/>
      <c r="Q474" s="7"/>
      <c r="R474" s="7"/>
      <c r="S474" s="7"/>
      <c r="T474" s="7"/>
      <c r="U474" s="7"/>
      <c r="V474" s="708"/>
      <c r="W474" s="7"/>
      <c r="X474" s="7"/>
      <c r="Y474" s="7"/>
      <c r="Z474" s="7"/>
      <c r="AA474" s="7"/>
      <c r="AB474" s="7"/>
      <c r="AC474" s="7"/>
      <c r="AD474" s="7"/>
    </row>
    <row r="475" spans="1:30" ht="15.75" customHeight="1">
      <c r="A475" s="686"/>
      <c r="B475" s="687"/>
      <c r="C475" s="243" t="s">
        <v>32</v>
      </c>
      <c r="D475" s="242">
        <f>COUNTIF($D$11:$U$11,"Bắc Ninh")</f>
        <v>0</v>
      </c>
      <c r="E475" s="688"/>
      <c r="F475" s="688"/>
      <c r="G475" s="239"/>
      <c r="H475" s="239"/>
      <c r="I475" s="688"/>
      <c r="J475" s="7"/>
      <c r="K475" s="7"/>
      <c r="L475" s="239"/>
      <c r="M475" s="7"/>
      <c r="N475" s="7"/>
      <c r="O475" s="7"/>
      <c r="P475" s="7"/>
      <c r="Q475" s="7"/>
      <c r="R475" s="7"/>
      <c r="S475" s="7"/>
      <c r="T475" s="7"/>
      <c r="U475" s="7"/>
      <c r="V475" s="708"/>
      <c r="W475" s="7"/>
      <c r="X475" s="7"/>
      <c r="Y475" s="7"/>
      <c r="Z475" s="7"/>
      <c r="AA475" s="7"/>
      <c r="AB475" s="7"/>
      <c r="AC475" s="7"/>
      <c r="AD475" s="7"/>
    </row>
    <row r="476" spans="1:30" ht="15.75" customHeight="1">
      <c r="A476" s="686"/>
      <c r="B476" s="687"/>
      <c r="C476" s="243" t="s">
        <v>29</v>
      </c>
      <c r="D476" s="242">
        <f>COUNTIF($D$11:$U$11,"Hải Dương")</f>
        <v>0</v>
      </c>
      <c r="E476" s="688"/>
      <c r="F476" s="688"/>
      <c r="G476" s="239"/>
      <c r="H476" s="239"/>
      <c r="I476" s="688"/>
      <c r="J476" s="7"/>
      <c r="K476" s="7"/>
      <c r="L476" s="239"/>
      <c r="M476" s="7"/>
      <c r="N476" s="7"/>
      <c r="O476" s="7"/>
      <c r="P476" s="7"/>
      <c r="Q476" s="7"/>
      <c r="R476" s="7"/>
      <c r="S476" s="7"/>
      <c r="T476" s="7"/>
      <c r="U476" s="7"/>
      <c r="V476" s="708"/>
      <c r="W476" s="7"/>
      <c r="X476" s="7"/>
      <c r="Y476" s="7"/>
      <c r="Z476" s="7"/>
      <c r="AA476" s="7"/>
      <c r="AB476" s="7"/>
      <c r="AC476" s="7"/>
      <c r="AD476" s="7"/>
    </row>
    <row r="477" spans="1:30" ht="15.75" customHeight="1">
      <c r="A477" s="686"/>
      <c r="B477" s="687"/>
      <c r="C477" s="243" t="s">
        <v>30</v>
      </c>
      <c r="D477" s="242">
        <f>COUNTIF($D$11:$U$11,"Hưng Yên")</f>
        <v>0</v>
      </c>
      <c r="E477" s="688"/>
      <c r="F477" s="688"/>
      <c r="G477" s="239"/>
      <c r="H477" s="239"/>
      <c r="I477" s="688"/>
      <c r="J477" s="7"/>
      <c r="K477" s="7"/>
      <c r="L477" s="239"/>
      <c r="M477" s="7"/>
      <c r="N477" s="7"/>
      <c r="O477" s="7"/>
      <c r="P477" s="7"/>
      <c r="Q477" s="7"/>
      <c r="R477" s="7"/>
      <c r="S477" s="7"/>
      <c r="T477" s="7"/>
      <c r="U477" s="7"/>
      <c r="V477" s="708"/>
      <c r="W477" s="7"/>
      <c r="X477" s="7"/>
      <c r="Y477" s="7"/>
      <c r="Z477" s="7"/>
      <c r="AA477" s="7"/>
      <c r="AB477" s="7"/>
      <c r="AC477" s="7"/>
      <c r="AD477" s="7"/>
    </row>
    <row r="478" spans="1:30" ht="15.75" customHeight="1">
      <c r="A478" s="686"/>
      <c r="B478" s="687"/>
      <c r="C478" s="243" t="s">
        <v>27</v>
      </c>
      <c r="D478" s="242">
        <f>COUNTIF($D$11:$U$11,"Hải Phòng")</f>
        <v>0</v>
      </c>
      <c r="E478" s="688"/>
      <c r="F478" s="688"/>
      <c r="G478" s="239"/>
      <c r="H478" s="239"/>
      <c r="I478" s="688"/>
      <c r="J478" s="7"/>
      <c r="K478" s="7"/>
      <c r="L478" s="239"/>
      <c r="M478" s="7"/>
      <c r="N478" s="7"/>
      <c r="O478" s="7"/>
      <c r="P478" s="7"/>
      <c r="Q478" s="7"/>
      <c r="R478" s="7"/>
      <c r="S478" s="7"/>
      <c r="T478" s="7"/>
      <c r="U478" s="7"/>
      <c r="V478" s="708"/>
      <c r="W478" s="7"/>
      <c r="X478" s="7"/>
      <c r="Y478" s="7"/>
      <c r="Z478" s="7"/>
      <c r="AA478" s="7"/>
      <c r="AB478" s="7"/>
      <c r="AC478" s="7"/>
      <c r="AD478" s="7"/>
    </row>
    <row r="479" spans="1:30" ht="15.75" customHeight="1">
      <c r="A479" s="686"/>
      <c r="B479" s="687"/>
      <c r="C479" s="243" t="s">
        <v>33</v>
      </c>
      <c r="D479" s="242">
        <f>COUNTIF($D$11:$U$11,"Hà Nam")</f>
        <v>0</v>
      </c>
      <c r="E479" s="688"/>
      <c r="F479" s="688"/>
      <c r="G479" s="239"/>
      <c r="H479" s="239"/>
      <c r="I479" s="688"/>
      <c r="J479" s="7"/>
      <c r="K479" s="7"/>
      <c r="L479" s="239"/>
      <c r="M479" s="7"/>
      <c r="N479" s="7"/>
      <c r="O479" s="7"/>
      <c r="P479" s="7"/>
      <c r="Q479" s="7"/>
      <c r="R479" s="7"/>
      <c r="S479" s="7"/>
      <c r="T479" s="7"/>
      <c r="U479" s="7"/>
      <c r="V479" s="708"/>
      <c r="W479" s="7"/>
      <c r="X479" s="7"/>
      <c r="Y479" s="7"/>
      <c r="Z479" s="7"/>
      <c r="AA479" s="7"/>
      <c r="AB479" s="7"/>
      <c r="AC479" s="7"/>
      <c r="AD479" s="7"/>
    </row>
    <row r="480" spans="1:30" ht="15.75" customHeight="1">
      <c r="A480" s="686"/>
      <c r="B480" s="687"/>
      <c r="C480" s="243" t="s">
        <v>36</v>
      </c>
      <c r="D480" s="242">
        <f>COUNTIF($D$11:$U$11,"Nam Định")</f>
        <v>0</v>
      </c>
      <c r="E480" s="688"/>
      <c r="F480" s="688"/>
      <c r="G480" s="239"/>
      <c r="H480" s="239"/>
      <c r="I480" s="688"/>
      <c r="J480" s="7"/>
      <c r="K480" s="7"/>
      <c r="L480" s="239"/>
      <c r="M480" s="7"/>
      <c r="N480" s="7"/>
      <c r="O480" s="7"/>
      <c r="P480" s="7"/>
      <c r="Q480" s="7"/>
      <c r="R480" s="7"/>
      <c r="S480" s="7"/>
      <c r="T480" s="7"/>
      <c r="U480" s="7"/>
      <c r="V480" s="708"/>
      <c r="W480" s="7"/>
      <c r="X480" s="7"/>
      <c r="Y480" s="7"/>
      <c r="Z480" s="7"/>
      <c r="AA480" s="7"/>
      <c r="AB480" s="7"/>
      <c r="AC480" s="7"/>
      <c r="AD480" s="7"/>
    </row>
    <row r="481" spans="1:30" ht="15.75" customHeight="1">
      <c r="A481" s="686"/>
      <c r="B481" s="687"/>
      <c r="C481" s="243" t="s">
        <v>1094</v>
      </c>
      <c r="D481" s="242">
        <f>COUNTIF($D$11:$U$11,"Thái Bình")</f>
        <v>0</v>
      </c>
      <c r="E481" s="688"/>
      <c r="F481" s="688"/>
      <c r="G481" s="239"/>
      <c r="H481" s="239"/>
      <c r="I481" s="688"/>
      <c r="J481" s="7"/>
      <c r="K481" s="7"/>
      <c r="L481" s="239"/>
      <c r="M481" s="7"/>
      <c r="N481" s="7"/>
      <c r="O481" s="7"/>
      <c r="P481" s="7"/>
      <c r="Q481" s="7"/>
      <c r="R481" s="7"/>
      <c r="S481" s="7"/>
      <c r="T481" s="7"/>
      <c r="U481" s="7"/>
      <c r="V481" s="708"/>
      <c r="W481" s="7"/>
      <c r="X481" s="7"/>
      <c r="Y481" s="7"/>
      <c r="Z481" s="7"/>
      <c r="AA481" s="7"/>
      <c r="AB481" s="7"/>
      <c r="AC481" s="7"/>
      <c r="AD481" s="7"/>
    </row>
    <row r="482" spans="1:30" ht="15.75" customHeight="1">
      <c r="A482" s="686"/>
      <c r="B482" s="687"/>
      <c r="C482" s="243" t="s">
        <v>34</v>
      </c>
      <c r="D482" s="242">
        <f>COUNTIF($D$11:$U$11,"Ninh Bình")</f>
        <v>0</v>
      </c>
      <c r="E482" s="688"/>
      <c r="F482" s="688"/>
      <c r="G482" s="239"/>
      <c r="H482" s="239"/>
      <c r="I482" s="688"/>
      <c r="J482" s="7"/>
      <c r="K482" s="7"/>
      <c r="L482" s="239"/>
      <c r="M482" s="7"/>
      <c r="N482" s="7"/>
      <c r="O482" s="7"/>
      <c r="P482" s="7"/>
      <c r="Q482" s="7"/>
      <c r="R482" s="7"/>
      <c r="S482" s="7"/>
      <c r="T482" s="7"/>
      <c r="U482" s="7"/>
      <c r="V482" s="708"/>
      <c r="W482" s="7"/>
      <c r="X482" s="7"/>
      <c r="Y482" s="7"/>
      <c r="Z482" s="7"/>
      <c r="AA482" s="7"/>
      <c r="AB482" s="7"/>
      <c r="AC482" s="7"/>
      <c r="AD482" s="7"/>
    </row>
    <row r="483" spans="1:30" ht="15.75" customHeight="1">
      <c r="A483" s="686"/>
      <c r="B483" s="687"/>
      <c r="C483" s="243" t="s">
        <v>37</v>
      </c>
      <c r="D483" s="242">
        <f>COUNTIF($D$11:$U$11,"Thanh Hoá")</f>
        <v>0</v>
      </c>
      <c r="E483" s="688"/>
      <c r="F483" s="688"/>
      <c r="G483" s="239"/>
      <c r="H483" s="239"/>
      <c r="I483" s="688"/>
      <c r="J483" s="7"/>
      <c r="K483" s="7"/>
      <c r="L483" s="239"/>
      <c r="M483" s="7"/>
      <c r="N483" s="7"/>
      <c r="O483" s="7"/>
      <c r="P483" s="7"/>
      <c r="Q483" s="7"/>
      <c r="R483" s="7"/>
      <c r="S483" s="7"/>
      <c r="T483" s="7"/>
      <c r="U483" s="7"/>
      <c r="V483" s="708"/>
      <c r="W483" s="7"/>
      <c r="X483" s="7"/>
      <c r="Y483" s="7"/>
      <c r="Z483" s="7"/>
      <c r="AA483" s="7"/>
      <c r="AB483" s="7"/>
      <c r="AC483" s="7"/>
      <c r="AD483" s="7"/>
    </row>
    <row r="484" spans="1:30" ht="15.75" customHeight="1">
      <c r="A484" s="686"/>
      <c r="B484" s="687"/>
      <c r="C484" s="243" t="s">
        <v>1095</v>
      </c>
      <c r="D484" s="242">
        <f>COUNTIF($D$11:$U$11,"Nghệ An")</f>
        <v>0</v>
      </c>
      <c r="E484" s="688"/>
      <c r="F484" s="688"/>
      <c r="G484" s="239"/>
      <c r="H484" s="239"/>
      <c r="I484" s="688"/>
      <c r="J484" s="7"/>
      <c r="K484" s="7"/>
      <c r="L484" s="239"/>
      <c r="M484" s="7"/>
      <c r="N484" s="7"/>
      <c r="O484" s="7"/>
      <c r="P484" s="7"/>
      <c r="Q484" s="7"/>
      <c r="R484" s="7"/>
      <c r="S484" s="7"/>
      <c r="T484" s="7"/>
      <c r="U484" s="7"/>
      <c r="V484" s="708"/>
      <c r="W484" s="7"/>
      <c r="X484" s="7"/>
      <c r="Y484" s="7"/>
      <c r="Z484" s="7"/>
      <c r="AA484" s="7"/>
      <c r="AB484" s="7"/>
      <c r="AC484" s="7"/>
      <c r="AD484" s="7"/>
    </row>
    <row r="485" spans="1:30" ht="15.75" customHeight="1">
      <c r="A485" s="686"/>
      <c r="B485" s="687"/>
      <c r="C485" s="243" t="s">
        <v>1096</v>
      </c>
      <c r="D485" s="242">
        <f>COUNTIF($D$11:$U$11,"Hà Tĩnh")</f>
        <v>0</v>
      </c>
      <c r="E485" s="688"/>
      <c r="F485" s="688"/>
      <c r="G485" s="239"/>
      <c r="H485" s="239"/>
      <c r="I485" s="688"/>
      <c r="J485" s="7"/>
      <c r="K485" s="7"/>
      <c r="L485" s="239"/>
      <c r="M485" s="7"/>
      <c r="N485" s="7"/>
      <c r="O485" s="7"/>
      <c r="P485" s="7"/>
      <c r="Q485" s="7"/>
      <c r="R485" s="7"/>
      <c r="S485" s="7"/>
      <c r="T485" s="7"/>
      <c r="U485" s="7"/>
      <c r="V485" s="708"/>
      <c r="W485" s="7"/>
      <c r="X485" s="7"/>
      <c r="Y485" s="7"/>
      <c r="Z485" s="7"/>
      <c r="AA485" s="7"/>
      <c r="AB485" s="7"/>
      <c r="AC485" s="7"/>
      <c r="AD485" s="7"/>
    </row>
    <row r="486" spans="1:30" ht="15.75" customHeight="1">
      <c r="A486" s="686"/>
      <c r="B486" s="687"/>
      <c r="C486" s="243" t="s">
        <v>1097</v>
      </c>
      <c r="D486" s="242">
        <f>COUNTIF($D$11:$U$11,"Quảng Bình")</f>
        <v>0</v>
      </c>
      <c r="E486" s="688"/>
      <c r="F486" s="688"/>
      <c r="G486" s="239"/>
      <c r="H486" s="239"/>
      <c r="I486" s="688"/>
      <c r="J486" s="7"/>
      <c r="K486" s="7"/>
      <c r="L486" s="239"/>
      <c r="M486" s="7"/>
      <c r="N486" s="7"/>
      <c r="O486" s="7"/>
      <c r="P486" s="7"/>
      <c r="Q486" s="7"/>
      <c r="R486" s="7"/>
      <c r="S486" s="7"/>
      <c r="T486" s="7"/>
      <c r="U486" s="7"/>
      <c r="V486" s="708"/>
      <c r="W486" s="7"/>
      <c r="X486" s="7"/>
      <c r="Y486" s="7"/>
      <c r="Z486" s="7"/>
      <c r="AA486" s="7"/>
      <c r="AB486" s="7"/>
      <c r="AC486" s="7"/>
      <c r="AD486" s="7"/>
    </row>
    <row r="487" spans="1:30" ht="15.75" customHeight="1">
      <c r="A487" s="686"/>
      <c r="B487" s="687"/>
      <c r="C487" s="243" t="s">
        <v>1098</v>
      </c>
      <c r="D487" s="242">
        <f>COUNTIF($D$11:$U$11,"Quảng Trị")</f>
        <v>0</v>
      </c>
      <c r="E487" s="688"/>
      <c r="F487" s="688"/>
      <c r="G487" s="239"/>
      <c r="H487" s="239"/>
      <c r="I487" s="688"/>
      <c r="J487" s="7"/>
      <c r="K487" s="7"/>
      <c r="L487" s="239"/>
      <c r="M487" s="7"/>
      <c r="N487" s="7"/>
      <c r="O487" s="7"/>
      <c r="P487" s="7"/>
      <c r="Q487" s="7"/>
      <c r="R487" s="7"/>
      <c r="S487" s="7"/>
      <c r="T487" s="7"/>
      <c r="U487" s="7"/>
      <c r="V487" s="708"/>
      <c r="W487" s="7"/>
      <c r="X487" s="7"/>
      <c r="Y487" s="7"/>
      <c r="Z487" s="7"/>
      <c r="AA487" s="7"/>
      <c r="AB487" s="7"/>
      <c r="AC487" s="7"/>
      <c r="AD487" s="7"/>
    </row>
    <row r="488" spans="1:30" ht="15.75" customHeight="1">
      <c r="A488" s="686"/>
      <c r="B488" s="687"/>
      <c r="C488" s="243" t="s">
        <v>1099</v>
      </c>
      <c r="D488" s="242">
        <f>COUNTIF($D$11:$U$11,"Thừa Thiên Huế")</f>
        <v>0</v>
      </c>
      <c r="E488" s="688"/>
      <c r="F488" s="688"/>
      <c r="G488" s="239"/>
      <c r="H488" s="239"/>
      <c r="I488" s="688"/>
      <c r="J488" s="7"/>
      <c r="K488" s="7"/>
      <c r="L488" s="239"/>
      <c r="M488" s="7"/>
      <c r="N488" s="7"/>
      <c r="O488" s="7"/>
      <c r="P488" s="7"/>
      <c r="Q488" s="7"/>
      <c r="R488" s="7"/>
      <c r="S488" s="7"/>
      <c r="T488" s="7"/>
      <c r="U488" s="7"/>
      <c r="V488" s="708"/>
      <c r="W488" s="7"/>
      <c r="X488" s="7"/>
      <c r="Y488" s="7"/>
      <c r="Z488" s="7"/>
      <c r="AA488" s="7"/>
      <c r="AB488" s="7"/>
      <c r="AC488" s="7"/>
      <c r="AD488" s="7"/>
    </row>
    <row r="489" spans="1:30" ht="15.75" customHeight="1">
      <c r="A489" s="686"/>
      <c r="B489" s="687"/>
      <c r="C489" s="243" t="s">
        <v>1100</v>
      </c>
      <c r="D489" s="242">
        <f>COUNTIF($D$11:$U$11,"Đà Nẵng")</f>
        <v>0</v>
      </c>
      <c r="E489" s="688"/>
      <c r="F489" s="688"/>
      <c r="G489" s="239"/>
      <c r="H489" s="239"/>
      <c r="I489" s="688"/>
      <c r="J489" s="7"/>
      <c r="K489" s="7"/>
      <c r="L489" s="239"/>
      <c r="M489" s="7"/>
      <c r="N489" s="7"/>
      <c r="O489" s="7"/>
      <c r="P489" s="7"/>
      <c r="Q489" s="7"/>
      <c r="R489" s="7"/>
      <c r="S489" s="7"/>
      <c r="T489" s="7"/>
      <c r="U489" s="7"/>
      <c r="V489" s="708"/>
      <c r="W489" s="7"/>
      <c r="X489" s="7"/>
      <c r="Y489" s="7"/>
      <c r="Z489" s="7"/>
      <c r="AA489" s="7"/>
      <c r="AB489" s="7"/>
      <c r="AC489" s="7"/>
      <c r="AD489" s="7"/>
    </row>
    <row r="490" spans="1:30" ht="15.75" customHeight="1">
      <c r="A490" s="686"/>
      <c r="B490" s="687"/>
      <c r="C490" s="243" t="s">
        <v>1101</v>
      </c>
      <c r="D490" s="242">
        <f>COUNTIF($D$11:$U$11,"Quảng Nam")</f>
        <v>0</v>
      </c>
      <c r="E490" s="688"/>
      <c r="F490" s="688"/>
      <c r="G490" s="239"/>
      <c r="H490" s="239"/>
      <c r="I490" s="688"/>
      <c r="J490" s="7"/>
      <c r="K490" s="7"/>
      <c r="L490" s="239"/>
      <c r="M490" s="7"/>
      <c r="N490" s="7"/>
      <c r="O490" s="7"/>
      <c r="P490" s="7"/>
      <c r="Q490" s="7"/>
      <c r="R490" s="7"/>
      <c r="S490" s="7"/>
      <c r="T490" s="7"/>
      <c r="U490" s="7"/>
      <c r="V490" s="708"/>
      <c r="W490" s="7"/>
      <c r="X490" s="7"/>
      <c r="Y490" s="7"/>
      <c r="Z490" s="7"/>
      <c r="AA490" s="7"/>
      <c r="AB490" s="7"/>
      <c r="AC490" s="7"/>
      <c r="AD490" s="7"/>
    </row>
    <row r="491" spans="1:30" ht="15.75" customHeight="1">
      <c r="A491" s="686"/>
      <c r="B491" s="687"/>
      <c r="C491" s="243" t="s">
        <v>1102</v>
      </c>
      <c r="D491" s="242">
        <f>COUNTIF($D$11:$U$11,"Quảng Ngãi")</f>
        <v>0</v>
      </c>
      <c r="E491" s="688"/>
      <c r="F491" s="688"/>
      <c r="G491" s="239"/>
      <c r="H491" s="239"/>
      <c r="I491" s="688"/>
      <c r="J491" s="7"/>
      <c r="K491" s="7"/>
      <c r="L491" s="239"/>
      <c r="M491" s="7"/>
      <c r="N491" s="7"/>
      <c r="O491" s="7"/>
      <c r="P491" s="7"/>
      <c r="Q491" s="7"/>
      <c r="R491" s="7"/>
      <c r="S491" s="7"/>
      <c r="T491" s="7"/>
      <c r="U491" s="7"/>
      <c r="V491" s="708"/>
      <c r="W491" s="7"/>
      <c r="X491" s="7"/>
      <c r="Y491" s="7"/>
      <c r="Z491" s="7"/>
      <c r="AA491" s="7"/>
      <c r="AB491" s="7"/>
      <c r="AC491" s="7"/>
      <c r="AD491" s="7"/>
    </row>
    <row r="492" spans="1:30" ht="15.75" customHeight="1">
      <c r="A492" s="686"/>
      <c r="B492" s="687"/>
      <c r="C492" s="243" t="s">
        <v>1103</v>
      </c>
      <c r="D492" s="242">
        <f>COUNTIF($D$11:$U$11,"Bình Định")</f>
        <v>0</v>
      </c>
      <c r="E492" s="688"/>
      <c r="F492" s="688"/>
      <c r="G492" s="239"/>
      <c r="H492" s="239"/>
      <c r="I492" s="688"/>
      <c r="J492" s="7"/>
      <c r="K492" s="7"/>
      <c r="L492" s="239"/>
      <c r="M492" s="7"/>
      <c r="N492" s="7"/>
      <c r="O492" s="7"/>
      <c r="P492" s="7"/>
      <c r="Q492" s="7"/>
      <c r="R492" s="7"/>
      <c r="S492" s="7"/>
      <c r="T492" s="7"/>
      <c r="U492" s="7"/>
      <c r="V492" s="708"/>
      <c r="W492" s="7"/>
      <c r="X492" s="7"/>
      <c r="Y492" s="7"/>
      <c r="Z492" s="7"/>
      <c r="AA492" s="7"/>
      <c r="AB492" s="7"/>
      <c r="AC492" s="7"/>
      <c r="AD492" s="7"/>
    </row>
    <row r="493" spans="1:30" ht="15.75" customHeight="1">
      <c r="A493" s="686"/>
      <c r="B493" s="687"/>
      <c r="C493" s="243" t="s">
        <v>1104</v>
      </c>
      <c r="D493" s="242">
        <f>COUNTIF($D$11:$U$11,"Phú Yên")</f>
        <v>0</v>
      </c>
      <c r="E493" s="688"/>
      <c r="F493" s="688"/>
      <c r="G493" s="239"/>
      <c r="H493" s="239"/>
      <c r="I493" s="688"/>
      <c r="J493" s="7"/>
      <c r="K493" s="7"/>
      <c r="L493" s="239"/>
      <c r="M493" s="7"/>
      <c r="N493" s="7"/>
      <c r="O493" s="7"/>
      <c r="P493" s="7"/>
      <c r="Q493" s="7"/>
      <c r="R493" s="7"/>
      <c r="S493" s="7"/>
      <c r="T493" s="7"/>
      <c r="U493" s="7"/>
      <c r="V493" s="708"/>
      <c r="W493" s="7"/>
      <c r="X493" s="7"/>
      <c r="Y493" s="7"/>
      <c r="Z493" s="7"/>
      <c r="AA493" s="7"/>
      <c r="AB493" s="7"/>
      <c r="AC493" s="7"/>
      <c r="AD493" s="7"/>
    </row>
    <row r="494" spans="1:30" ht="15.75" customHeight="1">
      <c r="A494" s="686"/>
      <c r="B494" s="687"/>
      <c r="C494" s="243" t="s">
        <v>1105</v>
      </c>
      <c r="D494" s="242">
        <f>COUNTIF($D$11:$U$11,"Khánh Hoà")</f>
        <v>0</v>
      </c>
      <c r="E494" s="688"/>
      <c r="F494" s="688"/>
      <c r="G494" s="239"/>
      <c r="H494" s="239"/>
      <c r="I494" s="688"/>
      <c r="J494" s="7"/>
      <c r="K494" s="7"/>
      <c r="L494" s="239"/>
      <c r="M494" s="7"/>
      <c r="N494" s="7"/>
      <c r="O494" s="7"/>
      <c r="P494" s="7"/>
      <c r="Q494" s="7"/>
      <c r="R494" s="7"/>
      <c r="S494" s="7"/>
      <c r="T494" s="7"/>
      <c r="U494" s="7"/>
      <c r="V494" s="708"/>
      <c r="W494" s="7"/>
      <c r="X494" s="7"/>
      <c r="Y494" s="7"/>
      <c r="Z494" s="7"/>
      <c r="AA494" s="7"/>
      <c r="AB494" s="7"/>
      <c r="AC494" s="7"/>
      <c r="AD494" s="7"/>
    </row>
    <row r="495" spans="1:30" ht="15.75" customHeight="1">
      <c r="A495" s="686"/>
      <c r="B495" s="687"/>
      <c r="C495" s="243" t="s">
        <v>1106</v>
      </c>
      <c r="D495" s="242">
        <f>COUNTIF($D$11:$U$11,"Ninh Thuận")</f>
        <v>0</v>
      </c>
      <c r="E495" s="688"/>
      <c r="F495" s="688"/>
      <c r="G495" s="239"/>
      <c r="H495" s="239"/>
      <c r="I495" s="688"/>
      <c r="J495" s="7"/>
      <c r="K495" s="7"/>
      <c r="L495" s="239"/>
      <c r="M495" s="7"/>
      <c r="N495" s="7"/>
      <c r="O495" s="7"/>
      <c r="P495" s="7"/>
      <c r="Q495" s="7"/>
      <c r="R495" s="7"/>
      <c r="S495" s="7"/>
      <c r="T495" s="7"/>
      <c r="U495" s="7"/>
      <c r="V495" s="708"/>
      <c r="W495" s="7"/>
      <c r="X495" s="7"/>
      <c r="Y495" s="7"/>
      <c r="Z495" s="7"/>
      <c r="AA495" s="7"/>
      <c r="AB495" s="7"/>
      <c r="AC495" s="7"/>
      <c r="AD495" s="7"/>
    </row>
    <row r="496" spans="1:30" ht="15.75" customHeight="1">
      <c r="A496" s="686"/>
      <c r="B496" s="687"/>
      <c r="C496" s="243" t="s">
        <v>1107</v>
      </c>
      <c r="D496" s="242">
        <f>COUNTIF($D$11:$U$11,"Bình Thuận")</f>
        <v>0</v>
      </c>
      <c r="E496" s="688"/>
      <c r="F496" s="688"/>
      <c r="G496" s="239"/>
      <c r="H496" s="239"/>
      <c r="I496" s="688"/>
      <c r="J496" s="7"/>
      <c r="K496" s="7"/>
      <c r="L496" s="239"/>
      <c r="M496" s="7"/>
      <c r="N496" s="7"/>
      <c r="O496" s="7"/>
      <c r="P496" s="7"/>
      <c r="Q496" s="7"/>
      <c r="R496" s="7"/>
      <c r="S496" s="7"/>
      <c r="T496" s="7"/>
      <c r="U496" s="7"/>
      <c r="V496" s="708"/>
      <c r="W496" s="7"/>
      <c r="X496" s="7"/>
      <c r="Y496" s="7"/>
      <c r="Z496" s="7"/>
      <c r="AA496" s="7"/>
      <c r="AB496" s="7"/>
      <c r="AC496" s="7"/>
      <c r="AD496" s="7"/>
    </row>
    <row r="497" spans="1:30" ht="15.75" customHeight="1">
      <c r="A497" s="686"/>
      <c r="B497" s="687"/>
      <c r="C497" s="243" t="s">
        <v>1108</v>
      </c>
      <c r="D497" s="242">
        <f>COUNTIF($D$11:$U$11,"Kon Tum")</f>
        <v>0</v>
      </c>
      <c r="E497" s="688"/>
      <c r="F497" s="688"/>
      <c r="G497" s="239"/>
      <c r="H497" s="239"/>
      <c r="I497" s="688"/>
      <c r="J497" s="7"/>
      <c r="K497" s="7"/>
      <c r="L497" s="239"/>
      <c r="M497" s="7"/>
      <c r="N497" s="7"/>
      <c r="O497" s="7"/>
      <c r="P497" s="7"/>
      <c r="Q497" s="7"/>
      <c r="R497" s="7"/>
      <c r="S497" s="7"/>
      <c r="T497" s="7"/>
      <c r="U497" s="7"/>
      <c r="V497" s="708"/>
      <c r="W497" s="7"/>
      <c r="X497" s="7"/>
      <c r="Y497" s="7"/>
      <c r="Z497" s="7"/>
      <c r="AA497" s="7"/>
      <c r="AB497" s="7"/>
      <c r="AC497" s="7"/>
      <c r="AD497" s="7"/>
    </row>
    <row r="498" spans="1:30" ht="15.75" customHeight="1">
      <c r="A498" s="686"/>
      <c r="B498" s="687"/>
      <c r="C498" s="243" t="s">
        <v>1109</v>
      </c>
      <c r="D498" s="242">
        <f>COUNTIF($D$11:$U$11,"Gia Lai")</f>
        <v>0</v>
      </c>
      <c r="E498" s="688"/>
      <c r="F498" s="688"/>
      <c r="G498" s="239"/>
      <c r="H498" s="239"/>
      <c r="I498" s="688"/>
      <c r="J498" s="7"/>
      <c r="K498" s="7"/>
      <c r="L498" s="239"/>
      <c r="M498" s="7"/>
      <c r="N498" s="7"/>
      <c r="O498" s="7"/>
      <c r="P498" s="7"/>
      <c r="Q498" s="7"/>
      <c r="R498" s="7"/>
      <c r="S498" s="7"/>
      <c r="T498" s="7"/>
      <c r="U498" s="7"/>
      <c r="V498" s="708"/>
      <c r="W498" s="7"/>
      <c r="X498" s="7"/>
      <c r="Y498" s="7"/>
      <c r="Z498" s="7"/>
      <c r="AA498" s="7"/>
      <c r="AB498" s="7"/>
      <c r="AC498" s="7"/>
      <c r="AD498" s="7"/>
    </row>
    <row r="499" spans="1:30" ht="15.75" customHeight="1">
      <c r="A499" s="686"/>
      <c r="B499" s="687"/>
      <c r="C499" s="243" t="s">
        <v>1110</v>
      </c>
      <c r="D499" s="242">
        <f>COUNTIF($D$11:$U$11,"Đắk Lắk")</f>
        <v>0</v>
      </c>
      <c r="E499" s="688"/>
      <c r="F499" s="688"/>
      <c r="G499" s="239"/>
      <c r="H499" s="239"/>
      <c r="I499" s="688"/>
      <c r="J499" s="7"/>
      <c r="K499" s="7"/>
      <c r="L499" s="239"/>
      <c r="M499" s="7"/>
      <c r="N499" s="7"/>
      <c r="O499" s="7"/>
      <c r="P499" s="7"/>
      <c r="Q499" s="7"/>
      <c r="R499" s="7"/>
      <c r="S499" s="7"/>
      <c r="T499" s="7"/>
      <c r="U499" s="7"/>
      <c r="V499" s="708"/>
      <c r="W499" s="7"/>
      <c r="X499" s="7"/>
      <c r="Y499" s="7"/>
      <c r="Z499" s="7"/>
      <c r="AA499" s="7"/>
      <c r="AB499" s="7"/>
      <c r="AC499" s="7"/>
      <c r="AD499" s="7"/>
    </row>
    <row r="500" spans="1:30" ht="15.75" customHeight="1">
      <c r="A500" s="686"/>
      <c r="B500" s="687"/>
      <c r="C500" s="243" t="s">
        <v>1111</v>
      </c>
      <c r="D500" s="242">
        <f>COUNTIF($D$11:$U$11,"Đắk Nông")</f>
        <v>0</v>
      </c>
      <c r="E500" s="688"/>
      <c r="F500" s="688"/>
      <c r="G500" s="239"/>
      <c r="H500" s="239"/>
      <c r="I500" s="688"/>
      <c r="J500" s="7"/>
      <c r="K500" s="7"/>
      <c r="L500" s="239"/>
      <c r="M500" s="7"/>
      <c r="N500" s="7"/>
      <c r="O500" s="7"/>
      <c r="P500" s="7"/>
      <c r="Q500" s="7"/>
      <c r="R500" s="7"/>
      <c r="S500" s="7"/>
      <c r="T500" s="7"/>
      <c r="U500" s="7"/>
      <c r="V500" s="708"/>
      <c r="W500" s="7"/>
      <c r="X500" s="7"/>
      <c r="Y500" s="7"/>
      <c r="Z500" s="7"/>
      <c r="AA500" s="7"/>
      <c r="AB500" s="7"/>
      <c r="AC500" s="7"/>
      <c r="AD500" s="7"/>
    </row>
    <row r="501" spans="1:30" ht="15.75" customHeight="1">
      <c r="A501" s="686"/>
      <c r="B501" s="687"/>
      <c r="C501" s="243" t="s">
        <v>1112</v>
      </c>
      <c r="D501" s="242">
        <f>COUNTIF($D$11:$U$11,"Lâm Đồng")</f>
        <v>0</v>
      </c>
      <c r="E501" s="688"/>
      <c r="F501" s="688"/>
      <c r="G501" s="239"/>
      <c r="H501" s="239"/>
      <c r="I501" s="688"/>
      <c r="J501" s="7"/>
      <c r="K501" s="7"/>
      <c r="L501" s="239"/>
      <c r="M501" s="7"/>
      <c r="N501" s="7"/>
      <c r="O501" s="7"/>
      <c r="P501" s="7"/>
      <c r="Q501" s="7"/>
      <c r="R501" s="7"/>
      <c r="S501" s="7"/>
      <c r="T501" s="7"/>
      <c r="U501" s="7"/>
      <c r="V501" s="708"/>
      <c r="W501" s="7"/>
      <c r="X501" s="7"/>
      <c r="Y501" s="7"/>
      <c r="Z501" s="7"/>
      <c r="AA501" s="7"/>
      <c r="AB501" s="7"/>
      <c r="AC501" s="7"/>
      <c r="AD501" s="7"/>
    </row>
    <row r="502" spans="1:30" ht="15.75" customHeight="1">
      <c r="A502" s="686"/>
      <c r="B502" s="687"/>
      <c r="C502" s="243" t="s">
        <v>1113</v>
      </c>
      <c r="D502" s="242">
        <f>COUNTIF($D$11:$U$11,"Tây Ninh")</f>
        <v>0</v>
      </c>
      <c r="E502" s="688"/>
      <c r="F502" s="688"/>
      <c r="G502" s="239"/>
      <c r="H502" s="239"/>
      <c r="I502" s="688"/>
      <c r="J502" s="7"/>
      <c r="K502" s="7"/>
      <c r="L502" s="239"/>
      <c r="M502" s="7"/>
      <c r="N502" s="7"/>
      <c r="O502" s="7"/>
      <c r="P502" s="7"/>
      <c r="Q502" s="7"/>
      <c r="R502" s="7"/>
      <c r="S502" s="7"/>
      <c r="T502" s="7"/>
      <c r="U502" s="7"/>
      <c r="V502" s="708"/>
      <c r="W502" s="7"/>
      <c r="X502" s="7"/>
      <c r="Y502" s="7"/>
      <c r="Z502" s="7"/>
      <c r="AA502" s="7"/>
      <c r="AB502" s="7"/>
      <c r="AC502" s="7"/>
      <c r="AD502" s="7"/>
    </row>
    <row r="503" spans="1:30" ht="15.75" customHeight="1">
      <c r="A503" s="686"/>
      <c r="B503" s="687"/>
      <c r="C503" s="243" t="s">
        <v>1114</v>
      </c>
      <c r="D503" s="242">
        <f>COUNTIF($D$11:$U$11,"Bình Phước")</f>
        <v>0</v>
      </c>
      <c r="E503" s="688"/>
      <c r="F503" s="688"/>
      <c r="G503" s="239"/>
      <c r="H503" s="239"/>
      <c r="I503" s="688"/>
      <c r="J503" s="7"/>
      <c r="K503" s="7"/>
      <c r="L503" s="239"/>
      <c r="M503" s="7"/>
      <c r="N503" s="7"/>
      <c r="O503" s="7"/>
      <c r="P503" s="7"/>
      <c r="Q503" s="7"/>
      <c r="R503" s="7"/>
      <c r="S503" s="7"/>
      <c r="T503" s="7"/>
      <c r="U503" s="7"/>
      <c r="V503" s="708"/>
      <c r="W503" s="7"/>
      <c r="X503" s="7"/>
      <c r="Y503" s="7"/>
      <c r="Z503" s="7"/>
      <c r="AA503" s="7"/>
      <c r="AB503" s="7"/>
      <c r="AC503" s="7"/>
      <c r="AD503" s="7"/>
    </row>
    <row r="504" spans="1:30" ht="15.75" customHeight="1">
      <c r="A504" s="686"/>
      <c r="B504" s="687"/>
      <c r="C504" s="243" t="s">
        <v>1115</v>
      </c>
      <c r="D504" s="242">
        <f>COUNTIF($D$11:$U$11,"Bình Dương")</f>
        <v>0</v>
      </c>
      <c r="E504" s="688"/>
      <c r="F504" s="688"/>
      <c r="G504" s="239"/>
      <c r="H504" s="239"/>
      <c r="I504" s="688"/>
      <c r="J504" s="7"/>
      <c r="K504" s="7"/>
      <c r="L504" s="239"/>
      <c r="M504" s="7"/>
      <c r="N504" s="7"/>
      <c r="O504" s="7"/>
      <c r="P504" s="7"/>
      <c r="Q504" s="7"/>
      <c r="R504" s="7"/>
      <c r="S504" s="7"/>
      <c r="T504" s="7"/>
      <c r="U504" s="7"/>
      <c r="V504" s="708"/>
      <c r="W504" s="7"/>
      <c r="X504" s="7"/>
      <c r="Y504" s="7"/>
      <c r="Z504" s="7"/>
      <c r="AA504" s="7"/>
      <c r="AB504" s="7"/>
      <c r="AC504" s="7"/>
      <c r="AD504" s="7"/>
    </row>
    <row r="505" spans="1:30" ht="15.75" customHeight="1">
      <c r="A505" s="686"/>
      <c r="B505" s="687"/>
      <c r="C505" s="243" t="s">
        <v>1116</v>
      </c>
      <c r="D505" s="242">
        <f>COUNTIF($D$11:$U$11,"Bà Rịa - Vũng Tàu")</f>
        <v>0</v>
      </c>
      <c r="E505" s="688"/>
      <c r="F505" s="688"/>
      <c r="G505" s="239"/>
      <c r="H505" s="239"/>
      <c r="I505" s="688"/>
      <c r="J505" s="7"/>
      <c r="K505" s="7"/>
      <c r="L505" s="239"/>
      <c r="M505" s="7"/>
      <c r="N505" s="7"/>
      <c r="O505" s="7"/>
      <c r="P505" s="7"/>
      <c r="Q505" s="7"/>
      <c r="R505" s="7"/>
      <c r="S505" s="7"/>
      <c r="T505" s="7"/>
      <c r="U505" s="7"/>
      <c r="V505" s="708"/>
      <c r="W505" s="7"/>
      <c r="X505" s="7"/>
      <c r="Y505" s="7"/>
      <c r="Z505" s="7"/>
      <c r="AA505" s="7"/>
      <c r="AB505" s="7"/>
      <c r="AC505" s="7"/>
      <c r="AD505" s="7"/>
    </row>
    <row r="506" spans="1:30" ht="15.75" customHeight="1">
      <c r="A506" s="686"/>
      <c r="B506" s="687"/>
      <c r="C506" s="243" t="s">
        <v>1117</v>
      </c>
      <c r="D506" s="242">
        <f>COUNTIF($D$11:$U$11,"Bến Tre")</f>
        <v>0</v>
      </c>
      <c r="E506" s="688"/>
      <c r="F506" s="688"/>
      <c r="G506" s="239"/>
      <c r="H506" s="239"/>
      <c r="I506" s="688"/>
      <c r="J506" s="7"/>
      <c r="K506" s="7"/>
      <c r="L506" s="239"/>
      <c r="M506" s="7"/>
      <c r="N506" s="7"/>
      <c r="O506" s="7"/>
      <c r="P506" s="7"/>
      <c r="Q506" s="7"/>
      <c r="R506" s="7"/>
      <c r="S506" s="7"/>
      <c r="T506" s="7"/>
      <c r="U506" s="7"/>
      <c r="V506" s="708"/>
      <c r="W506" s="7"/>
      <c r="X506" s="7"/>
      <c r="Y506" s="7"/>
      <c r="Z506" s="7"/>
      <c r="AA506" s="7"/>
      <c r="AB506" s="7"/>
      <c r="AC506" s="7"/>
      <c r="AD506" s="7"/>
    </row>
    <row r="507" spans="1:30" ht="15.75" customHeight="1">
      <c r="A507" s="686"/>
      <c r="B507" s="687"/>
      <c r="C507" s="243" t="s">
        <v>1118</v>
      </c>
      <c r="D507" s="242">
        <f>COUNTIF($D$11:$U$11,"An Giang")</f>
        <v>0</v>
      </c>
      <c r="E507" s="688"/>
      <c r="F507" s="688"/>
      <c r="G507" s="239"/>
      <c r="H507" s="239"/>
      <c r="I507" s="688"/>
      <c r="J507" s="7"/>
      <c r="K507" s="7"/>
      <c r="L507" s="239"/>
      <c r="M507" s="7"/>
      <c r="N507" s="7"/>
      <c r="O507" s="7"/>
      <c r="P507" s="7"/>
      <c r="Q507" s="7"/>
      <c r="R507" s="7"/>
      <c r="S507" s="7"/>
      <c r="T507" s="7"/>
      <c r="U507" s="7"/>
      <c r="V507" s="708"/>
      <c r="W507" s="7"/>
      <c r="X507" s="7"/>
      <c r="Y507" s="7"/>
      <c r="Z507" s="7"/>
      <c r="AA507" s="7"/>
      <c r="AB507" s="7"/>
      <c r="AC507" s="7"/>
      <c r="AD507" s="7"/>
    </row>
    <row r="508" spans="1:30" ht="15.75" customHeight="1">
      <c r="A508" s="686"/>
      <c r="B508" s="687"/>
      <c r="C508" s="243" t="s">
        <v>1119</v>
      </c>
      <c r="D508" s="242">
        <f>COUNTIF($D$11:$U$11,"Vĩnh Long")</f>
        <v>0</v>
      </c>
      <c r="E508" s="688"/>
      <c r="F508" s="688"/>
      <c r="G508" s="239"/>
      <c r="H508" s="239"/>
      <c r="I508" s="688"/>
      <c r="J508" s="7"/>
      <c r="K508" s="7"/>
      <c r="L508" s="239"/>
      <c r="M508" s="7"/>
      <c r="N508" s="7"/>
      <c r="O508" s="7"/>
      <c r="P508" s="7"/>
      <c r="Q508" s="7"/>
      <c r="R508" s="7"/>
      <c r="S508" s="7"/>
      <c r="T508" s="7"/>
      <c r="U508" s="7"/>
      <c r="V508" s="708"/>
      <c r="W508" s="7"/>
      <c r="X508" s="7"/>
      <c r="Y508" s="7"/>
      <c r="Z508" s="7"/>
      <c r="AA508" s="7"/>
      <c r="AB508" s="7"/>
      <c r="AC508" s="7"/>
      <c r="AD508" s="7"/>
    </row>
    <row r="509" spans="1:30" ht="15.75" customHeight="1">
      <c r="A509" s="686"/>
      <c r="B509" s="687"/>
      <c r="C509" s="243" t="s">
        <v>1120</v>
      </c>
      <c r="D509" s="242">
        <f>COUNTIF($D$11:$U$11,"Cần Thơ")</f>
        <v>0</v>
      </c>
      <c r="E509" s="688"/>
      <c r="F509" s="688"/>
      <c r="G509" s="239"/>
      <c r="H509" s="239"/>
      <c r="I509" s="688"/>
      <c r="J509" s="7"/>
      <c r="K509" s="7"/>
      <c r="L509" s="239"/>
      <c r="M509" s="7"/>
      <c r="N509" s="7"/>
      <c r="O509" s="7"/>
      <c r="P509" s="7"/>
      <c r="Q509" s="7"/>
      <c r="R509" s="7"/>
      <c r="S509" s="7"/>
      <c r="T509" s="7"/>
      <c r="U509" s="7"/>
      <c r="V509" s="708"/>
      <c r="W509" s="7"/>
      <c r="X509" s="7"/>
      <c r="Y509" s="7"/>
      <c r="Z509" s="7"/>
      <c r="AA509" s="7"/>
      <c r="AB509" s="7"/>
      <c r="AC509" s="7"/>
      <c r="AD509" s="7"/>
    </row>
    <row r="510" spans="1:30" ht="15.75" customHeight="1">
      <c r="A510" s="686"/>
      <c r="B510" s="687"/>
      <c r="C510" s="243" t="s">
        <v>1121</v>
      </c>
      <c r="D510" s="242">
        <f>COUNTIF($D$11:$U$11,"Hậu Giang")</f>
        <v>0</v>
      </c>
      <c r="E510" s="688"/>
      <c r="F510" s="688"/>
      <c r="G510" s="239"/>
      <c r="H510" s="239"/>
      <c r="I510" s="688"/>
      <c r="J510" s="7"/>
      <c r="K510" s="7"/>
      <c r="L510" s="239"/>
      <c r="M510" s="7"/>
      <c r="N510" s="7"/>
      <c r="O510" s="7"/>
      <c r="P510" s="7"/>
      <c r="Q510" s="7"/>
      <c r="R510" s="7"/>
      <c r="S510" s="7"/>
      <c r="T510" s="7"/>
      <c r="U510" s="7"/>
      <c r="V510" s="708"/>
      <c r="W510" s="7"/>
      <c r="X510" s="7"/>
      <c r="Y510" s="7"/>
      <c r="Z510" s="7"/>
      <c r="AA510" s="7"/>
      <c r="AB510" s="7"/>
      <c r="AC510" s="7"/>
      <c r="AD510" s="7"/>
    </row>
    <row r="511" spans="1:30" ht="15.75" customHeight="1">
      <c r="A511" s="686"/>
      <c r="B511" s="687"/>
      <c r="C511" s="243" t="s">
        <v>1122</v>
      </c>
      <c r="D511" s="242">
        <f>COUNTIF($D$11:$U$11,"Sóc Trăng")</f>
        <v>0</v>
      </c>
      <c r="E511" s="688"/>
      <c r="F511" s="688"/>
      <c r="G511" s="239"/>
      <c r="H511" s="239"/>
      <c r="I511" s="688"/>
      <c r="J511" s="7"/>
      <c r="K511" s="7"/>
      <c r="L511" s="239"/>
      <c r="M511" s="7"/>
      <c r="N511" s="7"/>
      <c r="O511" s="7"/>
      <c r="P511" s="7"/>
      <c r="Q511" s="7"/>
      <c r="R511" s="7"/>
      <c r="S511" s="7"/>
      <c r="T511" s="7"/>
      <c r="U511" s="7"/>
      <c r="V511" s="708"/>
      <c r="W511" s="7"/>
      <c r="X511" s="7"/>
      <c r="Y511" s="7"/>
      <c r="Z511" s="7"/>
      <c r="AA511" s="7"/>
      <c r="AB511" s="7"/>
      <c r="AC511" s="7"/>
      <c r="AD511" s="7"/>
    </row>
    <row r="512" spans="1:30" ht="15.75" customHeight="1">
      <c r="A512" s="686"/>
      <c r="B512" s="687"/>
      <c r="C512" s="243" t="s">
        <v>1123</v>
      </c>
      <c r="D512" s="242">
        <f>COUNTIF($D$11:$U$11,"Bạc Liêu")</f>
        <v>0</v>
      </c>
      <c r="E512" s="688"/>
      <c r="F512" s="688"/>
      <c r="G512" s="239"/>
      <c r="H512" s="239"/>
      <c r="I512" s="688"/>
      <c r="J512" s="7"/>
      <c r="K512" s="7"/>
      <c r="L512" s="239"/>
      <c r="M512" s="7"/>
      <c r="N512" s="7"/>
      <c r="O512" s="7"/>
      <c r="P512" s="7"/>
      <c r="Q512" s="7"/>
      <c r="R512" s="7"/>
      <c r="S512" s="7"/>
      <c r="T512" s="7"/>
      <c r="U512" s="7"/>
      <c r="V512" s="708"/>
      <c r="W512" s="7"/>
      <c r="X512" s="7"/>
      <c r="Y512" s="7"/>
      <c r="Z512" s="7"/>
      <c r="AA512" s="7"/>
      <c r="AB512" s="7"/>
      <c r="AC512" s="7"/>
      <c r="AD512" s="7"/>
    </row>
    <row r="513" spans="1:30" ht="15.75" customHeight="1">
      <c r="A513" s="686"/>
      <c r="B513" s="687"/>
      <c r="C513" s="243" t="s">
        <v>1124</v>
      </c>
      <c r="D513" s="242">
        <f>COUNTIF($D$11:$U$11,"Cà Mau")</f>
        <v>0</v>
      </c>
      <c r="E513" s="688"/>
      <c r="F513" s="688"/>
      <c r="G513" s="239"/>
      <c r="H513" s="239"/>
      <c r="I513" s="688"/>
      <c r="J513" s="7"/>
      <c r="K513" s="7"/>
      <c r="L513" s="239"/>
      <c r="M513" s="7"/>
      <c r="N513" s="7"/>
      <c r="O513" s="7"/>
      <c r="P513" s="7"/>
      <c r="Q513" s="7"/>
      <c r="R513" s="7"/>
      <c r="S513" s="7"/>
      <c r="T513" s="7"/>
      <c r="U513" s="7"/>
      <c r="V513" s="708"/>
      <c r="W513" s="7"/>
      <c r="X513" s="7"/>
      <c r="Y513" s="7"/>
      <c r="Z513" s="7"/>
      <c r="AA513" s="7"/>
      <c r="AB513" s="7"/>
      <c r="AC513" s="7"/>
      <c r="AD513" s="7"/>
    </row>
    <row r="514" spans="1:30" ht="15.75" customHeight="1">
      <c r="A514" s="686"/>
      <c r="B514" s="687"/>
      <c r="C514" s="243" t="s">
        <v>1125</v>
      </c>
      <c r="D514" s="242">
        <f>COUNTIF($D$11:$U$11,"Kiên Giang")</f>
        <v>0</v>
      </c>
      <c r="E514" s="688"/>
      <c r="F514" s="688"/>
      <c r="G514" s="239"/>
      <c r="H514" s="239"/>
      <c r="I514" s="688"/>
      <c r="J514" s="7"/>
      <c r="K514" s="7"/>
      <c r="L514" s="239"/>
      <c r="M514" s="7"/>
      <c r="N514" s="7"/>
      <c r="O514" s="7"/>
      <c r="P514" s="7"/>
      <c r="Q514" s="7"/>
      <c r="R514" s="7"/>
      <c r="S514" s="7"/>
      <c r="T514" s="7"/>
      <c r="U514" s="7"/>
      <c r="V514" s="708"/>
      <c r="W514" s="7"/>
      <c r="X514" s="7"/>
      <c r="Y514" s="7"/>
      <c r="Z514" s="7"/>
      <c r="AA514" s="7"/>
      <c r="AB514" s="7"/>
      <c r="AC514" s="7"/>
      <c r="AD514" s="7"/>
    </row>
    <row r="515" spans="1:30" ht="15.75" customHeight="1">
      <c r="A515" s="686"/>
      <c r="B515" s="687"/>
      <c r="C515" s="243" t="s">
        <v>1126</v>
      </c>
      <c r="D515" s="242">
        <f>COUNTIF($D$11:$U$11,"Đồng Tháp")</f>
        <v>0</v>
      </c>
      <c r="E515" s="688"/>
      <c r="F515" s="688"/>
      <c r="G515" s="239"/>
      <c r="H515" s="239"/>
      <c r="I515" s="688"/>
      <c r="J515" s="7"/>
      <c r="K515" s="7"/>
      <c r="L515" s="239"/>
      <c r="M515" s="7"/>
      <c r="N515" s="7"/>
      <c r="O515" s="7"/>
      <c r="P515" s="7"/>
      <c r="Q515" s="7"/>
      <c r="R515" s="7"/>
      <c r="S515" s="7"/>
      <c r="T515" s="7"/>
      <c r="U515" s="7"/>
      <c r="V515" s="708"/>
      <c r="W515" s="7"/>
      <c r="X515" s="7"/>
      <c r="Y515" s="7"/>
      <c r="Z515" s="7"/>
      <c r="AA515" s="7"/>
      <c r="AB515" s="7"/>
      <c r="AC515" s="7"/>
      <c r="AD515" s="7"/>
    </row>
    <row r="516" spans="1:30" ht="15.75" customHeight="1">
      <c r="A516" s="686"/>
      <c r="B516" s="687"/>
      <c r="C516" s="243" t="s">
        <v>1127</v>
      </c>
      <c r="D516" s="242">
        <f>COUNTIF($D$11:$U$11,"Trà Vinh")</f>
        <v>0</v>
      </c>
      <c r="E516" s="688"/>
      <c r="F516" s="688"/>
      <c r="G516" s="239"/>
      <c r="H516" s="239"/>
      <c r="I516" s="688"/>
      <c r="J516" s="7"/>
      <c r="K516" s="7"/>
      <c r="L516" s="239"/>
      <c r="M516" s="7"/>
      <c r="N516" s="7"/>
      <c r="O516" s="7"/>
      <c r="P516" s="7"/>
      <c r="Q516" s="7"/>
      <c r="R516" s="7"/>
      <c r="S516" s="7"/>
      <c r="T516" s="7"/>
      <c r="U516" s="7"/>
      <c r="V516" s="708"/>
      <c r="W516" s="7"/>
      <c r="X516" s="7"/>
      <c r="Y516" s="7"/>
      <c r="Z516" s="7"/>
      <c r="AA516" s="7"/>
      <c r="AB516" s="7"/>
      <c r="AC516" s="7"/>
      <c r="AD516" s="7"/>
    </row>
    <row r="517" spans="1:30" ht="15.75" customHeight="1">
      <c r="A517" s="686"/>
      <c r="B517" s="687"/>
      <c r="C517" s="243" t="s">
        <v>1128</v>
      </c>
      <c r="D517" s="242">
        <f>COUNTIF($D$11:$U$11,"Tiền Giang")</f>
        <v>0</v>
      </c>
      <c r="E517" s="688"/>
      <c r="F517" s="688"/>
      <c r="G517" s="239"/>
      <c r="H517" s="239"/>
      <c r="I517" s="688"/>
      <c r="J517" s="7"/>
      <c r="K517" s="7"/>
      <c r="L517" s="239"/>
      <c r="M517" s="7"/>
      <c r="N517" s="7"/>
      <c r="O517" s="7"/>
      <c r="P517" s="7"/>
      <c r="Q517" s="7"/>
      <c r="R517" s="7"/>
      <c r="S517" s="7"/>
      <c r="T517" s="7"/>
      <c r="U517" s="7"/>
      <c r="V517" s="708"/>
      <c r="W517" s="7"/>
      <c r="X517" s="7"/>
      <c r="Y517" s="7"/>
      <c r="Z517" s="7"/>
      <c r="AA517" s="7"/>
      <c r="AB517" s="7"/>
      <c r="AC517" s="7"/>
      <c r="AD517" s="7"/>
    </row>
    <row r="518" spans="1:30" ht="15.75" customHeight="1">
      <c r="A518" s="686"/>
      <c r="B518" s="687"/>
      <c r="C518" s="243" t="s">
        <v>1129</v>
      </c>
      <c r="D518" s="242">
        <f>COUNTIF($D$11:$U$11,"Long An")</f>
        <v>0</v>
      </c>
      <c r="E518" s="688"/>
      <c r="F518" s="688"/>
      <c r="G518" s="239"/>
      <c r="H518" s="239"/>
      <c r="I518" s="688"/>
      <c r="J518" s="7"/>
      <c r="K518" s="7"/>
      <c r="L518" s="239"/>
      <c r="M518" s="7"/>
      <c r="N518" s="7"/>
      <c r="O518" s="7"/>
      <c r="P518" s="7"/>
      <c r="Q518" s="7"/>
      <c r="R518" s="7"/>
      <c r="S518" s="7"/>
      <c r="T518" s="7"/>
      <c r="U518" s="7"/>
      <c r="V518" s="708"/>
      <c r="W518" s="7"/>
      <c r="X518" s="7"/>
      <c r="Y518" s="7"/>
      <c r="Z518" s="7"/>
      <c r="AA518" s="7"/>
      <c r="AB518" s="7"/>
      <c r="AC518" s="7"/>
      <c r="AD518" s="7"/>
    </row>
    <row r="519" spans="1:30" ht="15.75" customHeight="1">
      <c r="A519" s="686"/>
      <c r="B519" s="687"/>
      <c r="C519" s="243" t="s">
        <v>1130</v>
      </c>
      <c r="D519" s="242">
        <f>COUNTIF($D$11:$U$11,"Đồng Nai")</f>
        <v>0</v>
      </c>
      <c r="E519" s="688"/>
      <c r="F519" s="688"/>
      <c r="G519" s="239"/>
      <c r="H519" s="239"/>
      <c r="I519" s="688"/>
      <c r="J519" s="7"/>
      <c r="K519" s="7"/>
      <c r="L519" s="239"/>
      <c r="M519" s="7"/>
      <c r="N519" s="7"/>
      <c r="O519" s="7"/>
      <c r="P519" s="7"/>
      <c r="Q519" s="7"/>
      <c r="R519" s="7"/>
      <c r="S519" s="7"/>
      <c r="T519" s="7"/>
      <c r="U519" s="7"/>
      <c r="V519" s="708"/>
      <c r="W519" s="7"/>
      <c r="X519" s="7"/>
      <c r="Y519" s="7"/>
      <c r="Z519" s="7"/>
      <c r="AA519" s="7"/>
      <c r="AB519" s="7"/>
      <c r="AC519" s="7"/>
      <c r="AD519" s="7"/>
    </row>
    <row r="520" spans="1:30" ht="15.75" customHeight="1">
      <c r="A520" s="686"/>
      <c r="B520" s="687"/>
      <c r="C520" s="243" t="s">
        <v>1131</v>
      </c>
      <c r="D520" s="242">
        <f>COUNTIF($D$11:$U$11,"TP Hồ Chí Minh")</f>
        <v>0</v>
      </c>
      <c r="E520" s="688"/>
      <c r="F520" s="688"/>
      <c r="G520" s="239"/>
      <c r="H520" s="239"/>
      <c r="I520" s="688"/>
      <c r="J520" s="7"/>
      <c r="K520" s="7"/>
      <c r="L520" s="239"/>
      <c r="M520" s="7"/>
      <c r="N520" s="7"/>
      <c r="O520" s="7"/>
      <c r="P520" s="7"/>
      <c r="Q520" s="7"/>
      <c r="R520" s="7"/>
      <c r="S520" s="7"/>
      <c r="T520" s="7"/>
      <c r="U520" s="7"/>
      <c r="V520" s="708"/>
      <c r="W520" s="7"/>
      <c r="X520" s="7"/>
      <c r="Y520" s="7"/>
      <c r="Z520" s="7"/>
      <c r="AA520" s="7"/>
      <c r="AB520" s="7"/>
      <c r="AC520" s="7"/>
      <c r="AD520" s="7"/>
    </row>
    <row r="521" spans="1:30" ht="15.75" customHeight="1">
      <c r="A521" s="686"/>
      <c r="B521" s="687"/>
      <c r="C521" s="243"/>
      <c r="D521" s="244"/>
      <c r="E521" s="688"/>
      <c r="F521" s="688"/>
      <c r="G521" s="239"/>
      <c r="H521" s="239"/>
      <c r="I521" s="688"/>
      <c r="J521" s="7"/>
      <c r="K521" s="7"/>
      <c r="L521" s="239"/>
      <c r="M521" s="7"/>
      <c r="N521" s="7"/>
      <c r="O521" s="7"/>
      <c r="P521" s="7"/>
      <c r="Q521" s="7"/>
      <c r="R521" s="7"/>
      <c r="S521" s="7"/>
      <c r="T521" s="7"/>
      <c r="U521" s="7"/>
      <c r="V521" s="708"/>
      <c r="W521" s="7"/>
      <c r="X521" s="7"/>
      <c r="Y521" s="7"/>
      <c r="Z521" s="7"/>
      <c r="AA521" s="7"/>
      <c r="AB521" s="7"/>
      <c r="AC521" s="7"/>
      <c r="AD521" s="7"/>
    </row>
    <row r="522" spans="1:30" ht="15.75" customHeight="1">
      <c r="A522" s="686"/>
      <c r="B522" s="687"/>
      <c r="C522" s="243"/>
      <c r="D522" s="245">
        <f>SUM(D458:D520)</f>
        <v>13</v>
      </c>
      <c r="E522" s="688"/>
      <c r="F522" s="688"/>
      <c r="G522" s="239"/>
      <c r="H522" s="239"/>
      <c r="I522" s="688"/>
      <c r="J522" s="7"/>
      <c r="K522" s="7"/>
      <c r="L522" s="239"/>
      <c r="M522" s="7"/>
      <c r="N522" s="7"/>
      <c r="O522" s="7"/>
      <c r="P522" s="7"/>
      <c r="Q522" s="7"/>
      <c r="R522" s="7"/>
      <c r="S522" s="7"/>
      <c r="T522" s="7"/>
      <c r="U522" s="7"/>
      <c r="V522" s="708"/>
      <c r="W522" s="7"/>
      <c r="X522" s="7"/>
      <c r="Y522" s="7"/>
      <c r="Z522" s="7"/>
      <c r="AA522" s="7"/>
      <c r="AB522" s="7"/>
      <c r="AC522" s="7"/>
      <c r="AD522" s="7"/>
    </row>
    <row r="523" spans="1:30" ht="15.75" customHeight="1">
      <c r="A523" s="686"/>
      <c r="B523" s="687"/>
      <c r="C523" s="243"/>
      <c r="D523" s="244"/>
      <c r="E523" s="688"/>
      <c r="F523" s="688"/>
      <c r="G523" s="239"/>
      <c r="H523" s="239"/>
      <c r="I523" s="688"/>
      <c r="J523" s="7"/>
      <c r="K523" s="7"/>
      <c r="L523" s="239"/>
      <c r="M523" s="7"/>
      <c r="N523" s="7"/>
      <c r="O523" s="7"/>
      <c r="P523" s="7"/>
      <c r="Q523" s="7"/>
      <c r="R523" s="7"/>
      <c r="S523" s="7"/>
      <c r="T523" s="7"/>
      <c r="U523" s="7"/>
      <c r="V523" s="708"/>
      <c r="W523" s="7"/>
      <c r="X523" s="7"/>
      <c r="Y523" s="7"/>
      <c r="Z523" s="7"/>
      <c r="AA523" s="7"/>
      <c r="AB523" s="7"/>
      <c r="AC523" s="7"/>
      <c r="AD523" s="7"/>
    </row>
    <row r="524" spans="1:30" ht="15.75" customHeight="1">
      <c r="A524" s="686"/>
      <c r="B524" s="687"/>
      <c r="C524" s="243"/>
      <c r="D524" s="244"/>
      <c r="E524" s="688"/>
      <c r="F524" s="688"/>
      <c r="G524" s="239"/>
      <c r="H524" s="239"/>
      <c r="I524" s="688"/>
      <c r="J524" s="7"/>
      <c r="K524" s="7"/>
      <c r="L524" s="239"/>
      <c r="M524" s="7"/>
      <c r="N524" s="7"/>
      <c r="O524" s="7"/>
      <c r="P524" s="7"/>
      <c r="Q524" s="7"/>
      <c r="R524" s="7"/>
      <c r="S524" s="7"/>
      <c r="T524" s="7"/>
      <c r="U524" s="7"/>
      <c r="V524" s="708"/>
      <c r="W524" s="7"/>
      <c r="X524" s="7"/>
      <c r="Y524" s="7"/>
      <c r="Z524" s="7"/>
      <c r="AA524" s="7"/>
      <c r="AB524" s="7"/>
      <c r="AC524" s="7"/>
      <c r="AD524" s="7"/>
    </row>
    <row r="525" spans="1:30" ht="15.75" customHeight="1">
      <c r="A525" s="686"/>
      <c r="B525" s="687"/>
      <c r="C525" s="243"/>
      <c r="D525" s="244"/>
      <c r="E525" s="688"/>
      <c r="F525" s="688"/>
      <c r="G525" s="239"/>
      <c r="H525" s="239"/>
      <c r="I525" s="688"/>
      <c r="J525" s="7"/>
      <c r="K525" s="7"/>
      <c r="L525" s="239"/>
      <c r="M525" s="7"/>
      <c r="N525" s="7"/>
      <c r="O525" s="7"/>
      <c r="P525" s="7"/>
      <c r="Q525" s="7"/>
      <c r="R525" s="7"/>
      <c r="S525" s="7"/>
      <c r="T525" s="7"/>
      <c r="U525" s="7"/>
      <c r="V525" s="708"/>
      <c r="W525" s="7"/>
      <c r="X525" s="7"/>
      <c r="Y525" s="7"/>
      <c r="Z525" s="7"/>
      <c r="AA525" s="7"/>
      <c r="AB525" s="7"/>
      <c r="AC525" s="7"/>
      <c r="AD525" s="7"/>
    </row>
    <row r="526" spans="1:30" ht="15.75" customHeight="1">
      <c r="A526" s="686"/>
      <c r="B526" s="687"/>
      <c r="C526" s="243"/>
      <c r="D526" s="244"/>
      <c r="E526" s="688"/>
      <c r="F526" s="688"/>
      <c r="G526" s="239"/>
      <c r="H526" s="239"/>
      <c r="I526" s="688"/>
      <c r="J526" s="7"/>
      <c r="K526" s="7"/>
      <c r="L526" s="239"/>
      <c r="M526" s="7"/>
      <c r="N526" s="7"/>
      <c r="O526" s="7"/>
      <c r="P526" s="7"/>
      <c r="Q526" s="7"/>
      <c r="R526" s="7"/>
      <c r="S526" s="7"/>
      <c r="T526" s="7"/>
      <c r="U526" s="7"/>
      <c r="V526" s="708"/>
      <c r="W526" s="7"/>
      <c r="X526" s="7"/>
      <c r="Y526" s="7"/>
      <c r="Z526" s="7"/>
      <c r="AA526" s="7"/>
      <c r="AB526" s="7"/>
      <c r="AC526" s="7"/>
      <c r="AD526" s="7"/>
    </row>
    <row r="527" spans="1:30" ht="15.75" customHeight="1">
      <c r="A527" s="686"/>
      <c r="B527" s="687"/>
      <c r="C527" s="243"/>
      <c r="D527" s="244"/>
      <c r="E527" s="688"/>
      <c r="F527" s="688"/>
      <c r="G527" s="239"/>
      <c r="H527" s="239"/>
      <c r="I527" s="688"/>
      <c r="J527" s="7"/>
      <c r="K527" s="7"/>
      <c r="L527" s="239"/>
      <c r="M527" s="7"/>
      <c r="N527" s="7"/>
      <c r="O527" s="7"/>
      <c r="P527" s="7"/>
      <c r="Q527" s="7"/>
      <c r="R527" s="7"/>
      <c r="S527" s="7"/>
      <c r="T527" s="7"/>
      <c r="U527" s="7"/>
      <c r="V527" s="708"/>
      <c r="W527" s="7"/>
      <c r="X527" s="7"/>
      <c r="Y527" s="7"/>
      <c r="Z527" s="7"/>
      <c r="AA527" s="7"/>
      <c r="AB527" s="7"/>
      <c r="AC527" s="7"/>
      <c r="AD527" s="7"/>
    </row>
    <row r="528" spans="1:30" ht="15.75" customHeight="1">
      <c r="A528" s="686"/>
      <c r="B528" s="687"/>
      <c r="C528" s="243"/>
      <c r="D528" s="244"/>
      <c r="E528" s="688"/>
      <c r="F528" s="688"/>
      <c r="G528" s="239"/>
      <c r="H528" s="239"/>
      <c r="I528" s="688"/>
      <c r="J528" s="7"/>
      <c r="K528" s="7"/>
      <c r="L528" s="239"/>
      <c r="M528" s="7"/>
      <c r="N528" s="7"/>
      <c r="O528" s="7"/>
      <c r="P528" s="7"/>
      <c r="Q528" s="7"/>
      <c r="R528" s="7"/>
      <c r="S528" s="7"/>
      <c r="T528" s="7"/>
      <c r="U528" s="7"/>
      <c r="V528" s="708"/>
      <c r="W528" s="7"/>
      <c r="X528" s="7"/>
      <c r="Y528" s="7"/>
      <c r="Z528" s="7"/>
      <c r="AA528" s="7"/>
      <c r="AB528" s="7"/>
      <c r="AC528" s="7"/>
      <c r="AD528" s="7"/>
    </row>
    <row r="529" spans="1:30" ht="15.75" customHeight="1">
      <c r="A529" s="686"/>
      <c r="B529" s="687"/>
      <c r="C529" s="243"/>
      <c r="D529" s="244"/>
      <c r="E529" s="688"/>
      <c r="F529" s="688"/>
      <c r="G529" s="239"/>
      <c r="H529" s="239"/>
      <c r="I529" s="688"/>
      <c r="J529" s="7"/>
      <c r="K529" s="7"/>
      <c r="L529" s="239"/>
      <c r="M529" s="7"/>
      <c r="N529" s="7"/>
      <c r="O529" s="7"/>
      <c r="P529" s="7"/>
      <c r="Q529" s="7"/>
      <c r="R529" s="7"/>
      <c r="S529" s="7"/>
      <c r="T529" s="7"/>
      <c r="U529" s="7"/>
      <c r="V529" s="708"/>
      <c r="W529" s="7"/>
      <c r="X529" s="7"/>
      <c r="Y529" s="7"/>
      <c r="Z529" s="7"/>
      <c r="AA529" s="7"/>
      <c r="AB529" s="7"/>
      <c r="AC529" s="7"/>
      <c r="AD529" s="7"/>
    </row>
    <row r="530" spans="1:30" ht="15.75" customHeight="1">
      <c r="A530" s="686"/>
      <c r="B530" s="687"/>
      <c r="C530" s="243"/>
      <c r="D530" s="244"/>
      <c r="E530" s="688"/>
      <c r="F530" s="688"/>
      <c r="G530" s="239"/>
      <c r="H530" s="239"/>
      <c r="I530" s="688"/>
      <c r="J530" s="7"/>
      <c r="K530" s="7"/>
      <c r="L530" s="239"/>
      <c r="M530" s="7"/>
      <c r="N530" s="7"/>
      <c r="O530" s="7"/>
      <c r="P530" s="7"/>
      <c r="Q530" s="7"/>
      <c r="R530" s="7"/>
      <c r="S530" s="7"/>
      <c r="T530" s="7"/>
      <c r="U530" s="7"/>
      <c r="V530" s="708"/>
      <c r="W530" s="7"/>
      <c r="X530" s="7"/>
      <c r="Y530" s="7"/>
      <c r="Z530" s="7"/>
      <c r="AA530" s="7"/>
      <c r="AB530" s="7"/>
      <c r="AC530" s="7"/>
      <c r="AD530" s="7"/>
    </row>
    <row r="531" spans="1:30" ht="15.75" customHeight="1">
      <c r="A531" s="686"/>
      <c r="B531" s="687"/>
      <c r="C531" s="243"/>
      <c r="D531" s="244"/>
      <c r="E531" s="688"/>
      <c r="F531" s="688"/>
      <c r="G531" s="239"/>
      <c r="H531" s="239"/>
      <c r="I531" s="688"/>
      <c r="J531" s="7"/>
      <c r="K531" s="7"/>
      <c r="L531" s="239"/>
      <c r="M531" s="7"/>
      <c r="N531" s="7"/>
      <c r="O531" s="7"/>
      <c r="P531" s="7"/>
      <c r="Q531" s="7"/>
      <c r="R531" s="7"/>
      <c r="S531" s="7"/>
      <c r="T531" s="7"/>
      <c r="U531" s="7"/>
      <c r="V531" s="708"/>
      <c r="W531" s="7"/>
      <c r="X531" s="7"/>
      <c r="Y531" s="7"/>
      <c r="Z531" s="7"/>
      <c r="AA531" s="7"/>
      <c r="AB531" s="7"/>
      <c r="AC531" s="7"/>
      <c r="AD531" s="7"/>
    </row>
    <row r="532" spans="1:30" ht="15.75" customHeight="1">
      <c r="A532" s="686"/>
      <c r="B532" s="687"/>
      <c r="C532" s="243"/>
      <c r="D532" s="244"/>
      <c r="E532" s="688"/>
      <c r="F532" s="688"/>
      <c r="G532" s="239"/>
      <c r="H532" s="239"/>
      <c r="I532" s="688"/>
      <c r="J532" s="7"/>
      <c r="K532" s="7"/>
      <c r="L532" s="239"/>
      <c r="M532" s="7"/>
      <c r="N532" s="7"/>
      <c r="O532" s="7"/>
      <c r="P532" s="7"/>
      <c r="Q532" s="7"/>
      <c r="R532" s="7"/>
      <c r="S532" s="7"/>
      <c r="T532" s="7"/>
      <c r="U532" s="7"/>
      <c r="V532" s="708"/>
      <c r="W532" s="7"/>
      <c r="X532" s="7"/>
      <c r="Y532" s="7"/>
      <c r="Z532" s="7"/>
      <c r="AA532" s="7"/>
      <c r="AB532" s="7"/>
      <c r="AC532" s="7"/>
      <c r="AD532" s="7"/>
    </row>
    <row r="533" spans="1:30" ht="15.75" customHeight="1">
      <c r="A533" s="686"/>
      <c r="B533" s="687"/>
      <c r="C533" s="243"/>
      <c r="D533" s="244"/>
      <c r="E533" s="688"/>
      <c r="F533" s="688"/>
      <c r="G533" s="239"/>
      <c r="H533" s="239"/>
      <c r="I533" s="688"/>
      <c r="J533" s="7"/>
      <c r="K533" s="7"/>
      <c r="L533" s="239"/>
      <c r="M533" s="7"/>
      <c r="N533" s="7"/>
      <c r="O533" s="7"/>
      <c r="P533" s="7"/>
      <c r="Q533" s="7"/>
      <c r="R533" s="7"/>
      <c r="S533" s="7"/>
      <c r="T533" s="7"/>
      <c r="U533" s="7"/>
      <c r="V533" s="708"/>
      <c r="W533" s="7"/>
      <c r="X533" s="7"/>
      <c r="Y533" s="7"/>
      <c r="Z533" s="7"/>
      <c r="AA533" s="7"/>
      <c r="AB533" s="7"/>
      <c r="AC533" s="7"/>
      <c r="AD533" s="7"/>
    </row>
    <row r="534" spans="1:30" ht="15.75" customHeight="1">
      <c r="A534" s="686"/>
      <c r="B534" s="687"/>
      <c r="C534" s="243"/>
      <c r="D534" s="244"/>
      <c r="E534" s="688"/>
      <c r="F534" s="688"/>
      <c r="G534" s="239"/>
      <c r="H534" s="239"/>
      <c r="I534" s="688"/>
      <c r="J534" s="7"/>
      <c r="K534" s="7"/>
      <c r="L534" s="239"/>
      <c r="M534" s="7"/>
      <c r="N534" s="7"/>
      <c r="O534" s="7"/>
      <c r="P534" s="7"/>
      <c r="Q534" s="7"/>
      <c r="R534" s="7"/>
      <c r="S534" s="7"/>
      <c r="T534" s="7"/>
      <c r="U534" s="7"/>
      <c r="V534" s="708"/>
      <c r="W534" s="7"/>
      <c r="X534" s="7"/>
      <c r="Y534" s="7"/>
      <c r="Z534" s="7"/>
      <c r="AA534" s="7"/>
      <c r="AB534" s="7"/>
      <c r="AC534" s="7"/>
      <c r="AD534" s="7"/>
    </row>
    <row r="535" spans="1:30" ht="15.75" customHeight="1">
      <c r="A535" s="686"/>
      <c r="B535" s="687"/>
      <c r="C535" s="243"/>
      <c r="D535" s="244"/>
      <c r="E535" s="688"/>
      <c r="F535" s="688"/>
      <c r="G535" s="239"/>
      <c r="H535" s="239"/>
      <c r="I535" s="688"/>
      <c r="J535" s="7"/>
      <c r="K535" s="7"/>
      <c r="L535" s="239"/>
      <c r="M535" s="7"/>
      <c r="N535" s="7"/>
      <c r="O535" s="7"/>
      <c r="P535" s="7"/>
      <c r="Q535" s="7"/>
      <c r="R535" s="7"/>
      <c r="S535" s="7"/>
      <c r="T535" s="7"/>
      <c r="U535" s="7"/>
      <c r="V535" s="708"/>
      <c r="W535" s="7"/>
      <c r="X535" s="7"/>
      <c r="Y535" s="7"/>
      <c r="Z535" s="7"/>
      <c r="AA535" s="7"/>
      <c r="AB535" s="7"/>
      <c r="AC535" s="7"/>
      <c r="AD535" s="7"/>
    </row>
    <row r="536" spans="1:30" ht="15.75" customHeight="1">
      <c r="A536" s="686"/>
      <c r="B536" s="687"/>
      <c r="C536" s="243"/>
      <c r="D536" s="244"/>
      <c r="E536" s="688"/>
      <c r="F536" s="688"/>
      <c r="G536" s="239"/>
      <c r="H536" s="239"/>
      <c r="I536" s="688"/>
      <c r="J536" s="7"/>
      <c r="K536" s="7"/>
      <c r="L536" s="239"/>
      <c r="M536" s="7"/>
      <c r="N536" s="7"/>
      <c r="O536" s="7"/>
      <c r="P536" s="7"/>
      <c r="Q536" s="7"/>
      <c r="R536" s="7"/>
      <c r="S536" s="7"/>
      <c r="T536" s="7"/>
      <c r="U536" s="7"/>
      <c r="V536" s="708"/>
      <c r="W536" s="7"/>
      <c r="X536" s="7"/>
      <c r="Y536" s="7"/>
      <c r="Z536" s="7"/>
      <c r="AA536" s="7"/>
      <c r="AB536" s="7"/>
      <c r="AC536" s="7"/>
      <c r="AD536" s="7"/>
    </row>
    <row r="537" spans="1:30" ht="15.75" customHeight="1">
      <c r="A537" s="686"/>
      <c r="B537" s="687"/>
      <c r="C537" s="243"/>
      <c r="D537" s="244"/>
      <c r="E537" s="688"/>
      <c r="F537" s="688"/>
      <c r="G537" s="239"/>
      <c r="H537" s="239"/>
      <c r="I537" s="688"/>
      <c r="J537" s="7"/>
      <c r="K537" s="7"/>
      <c r="L537" s="239"/>
      <c r="M537" s="7"/>
      <c r="N537" s="7"/>
      <c r="O537" s="7"/>
      <c r="P537" s="7"/>
      <c r="Q537" s="7"/>
      <c r="R537" s="7"/>
      <c r="S537" s="7"/>
      <c r="T537" s="7"/>
      <c r="U537" s="7"/>
      <c r="V537" s="708"/>
      <c r="W537" s="7"/>
      <c r="X537" s="7"/>
      <c r="Y537" s="7"/>
      <c r="Z537" s="7"/>
      <c r="AA537" s="7"/>
      <c r="AB537" s="7"/>
      <c r="AC537" s="7"/>
      <c r="AD537" s="7"/>
    </row>
    <row r="538" spans="1:30" ht="15.75" customHeight="1">
      <c r="A538" s="686"/>
      <c r="B538" s="687"/>
      <c r="C538" s="243"/>
      <c r="D538" s="244"/>
      <c r="E538" s="688"/>
      <c r="F538" s="688"/>
      <c r="G538" s="239"/>
      <c r="H538" s="239"/>
      <c r="I538" s="688"/>
      <c r="J538" s="7"/>
      <c r="K538" s="7"/>
      <c r="L538" s="239"/>
      <c r="M538" s="7"/>
      <c r="N538" s="7"/>
      <c r="O538" s="7"/>
      <c r="P538" s="7"/>
      <c r="Q538" s="7"/>
      <c r="R538" s="7"/>
      <c r="S538" s="7"/>
      <c r="T538" s="7"/>
      <c r="U538" s="7"/>
      <c r="V538" s="708"/>
      <c r="W538" s="7"/>
      <c r="X538" s="7"/>
      <c r="Y538" s="7"/>
      <c r="Z538" s="7"/>
      <c r="AA538" s="7"/>
      <c r="AB538" s="7"/>
      <c r="AC538" s="7"/>
      <c r="AD538" s="7"/>
    </row>
    <row r="539" spans="1:30" ht="15.75" customHeight="1">
      <c r="A539" s="686"/>
      <c r="B539" s="687"/>
      <c r="C539" s="243"/>
      <c r="D539" s="244"/>
      <c r="E539" s="688"/>
      <c r="F539" s="688"/>
      <c r="G539" s="239"/>
      <c r="H539" s="239"/>
      <c r="I539" s="688"/>
      <c r="J539" s="7"/>
      <c r="K539" s="7"/>
      <c r="L539" s="239"/>
      <c r="M539" s="7"/>
      <c r="N539" s="7"/>
      <c r="O539" s="7"/>
      <c r="P539" s="7"/>
      <c r="Q539" s="7"/>
      <c r="R539" s="7"/>
      <c r="S539" s="7"/>
      <c r="T539" s="7"/>
      <c r="U539" s="7"/>
      <c r="V539" s="708"/>
      <c r="W539" s="7"/>
      <c r="X539" s="7"/>
      <c r="Y539" s="7"/>
      <c r="Z539" s="7"/>
      <c r="AA539" s="7"/>
      <c r="AB539" s="7"/>
      <c r="AC539" s="7"/>
      <c r="AD539" s="7"/>
    </row>
    <row r="540" spans="1:30" ht="15.75" customHeight="1">
      <c r="A540" s="686"/>
      <c r="B540" s="687"/>
      <c r="C540" s="243"/>
      <c r="D540" s="244"/>
      <c r="E540" s="688"/>
      <c r="F540" s="688"/>
      <c r="G540" s="239"/>
      <c r="H540" s="239"/>
      <c r="I540" s="688"/>
      <c r="J540" s="7"/>
      <c r="K540" s="7"/>
      <c r="L540" s="239"/>
      <c r="M540" s="7"/>
      <c r="N540" s="7"/>
      <c r="O540" s="7"/>
      <c r="P540" s="7"/>
      <c r="Q540" s="7"/>
      <c r="R540" s="7"/>
      <c r="S540" s="7"/>
      <c r="T540" s="7"/>
      <c r="U540" s="7"/>
      <c r="V540" s="708"/>
      <c r="W540" s="7"/>
      <c r="X540" s="7"/>
      <c r="Y540" s="7"/>
      <c r="Z540" s="7"/>
      <c r="AA540" s="7"/>
      <c r="AB540" s="7"/>
      <c r="AC540" s="7"/>
      <c r="AD540" s="7"/>
    </row>
    <row r="541" spans="1:30" ht="15.75" customHeight="1">
      <c r="A541" s="686"/>
      <c r="B541" s="687"/>
      <c r="C541" s="243"/>
      <c r="D541" s="244"/>
      <c r="E541" s="688"/>
      <c r="F541" s="688"/>
      <c r="G541" s="239"/>
      <c r="H541" s="239"/>
      <c r="I541" s="688"/>
      <c r="J541" s="7"/>
      <c r="K541" s="7"/>
      <c r="L541" s="239"/>
      <c r="M541" s="7"/>
      <c r="N541" s="7"/>
      <c r="O541" s="7"/>
      <c r="P541" s="7"/>
      <c r="Q541" s="7"/>
      <c r="R541" s="7"/>
      <c r="S541" s="7"/>
      <c r="T541" s="7"/>
      <c r="U541" s="7"/>
      <c r="V541" s="708"/>
      <c r="W541" s="7"/>
      <c r="X541" s="7"/>
      <c r="Y541" s="7"/>
      <c r="Z541" s="7"/>
      <c r="AA541" s="7"/>
      <c r="AB541" s="7"/>
      <c r="AC541" s="7"/>
      <c r="AD541" s="7"/>
    </row>
    <row r="542" spans="1:30" ht="15.75" customHeight="1">
      <c r="A542" s="686"/>
      <c r="B542" s="687"/>
      <c r="C542" s="243"/>
      <c r="D542" s="244"/>
      <c r="E542" s="688"/>
      <c r="F542" s="688"/>
      <c r="G542" s="239"/>
      <c r="H542" s="239"/>
      <c r="I542" s="688"/>
      <c r="J542" s="7"/>
      <c r="K542" s="7"/>
      <c r="L542" s="239"/>
      <c r="M542" s="7"/>
      <c r="N542" s="7"/>
      <c r="O542" s="7"/>
      <c r="P542" s="7"/>
      <c r="Q542" s="7"/>
      <c r="R542" s="7"/>
      <c r="S542" s="7"/>
      <c r="T542" s="7"/>
      <c r="U542" s="7"/>
      <c r="V542" s="708"/>
      <c r="W542" s="7"/>
      <c r="X542" s="7"/>
      <c r="Y542" s="7"/>
      <c r="Z542" s="7"/>
      <c r="AA542" s="7"/>
      <c r="AB542" s="7"/>
      <c r="AC542" s="7"/>
      <c r="AD542" s="7"/>
    </row>
    <row r="543" spans="1:30" ht="15.75" customHeight="1">
      <c r="A543" s="686"/>
      <c r="B543" s="687"/>
      <c r="C543" s="243"/>
      <c r="D543" s="244"/>
      <c r="E543" s="688"/>
      <c r="F543" s="688"/>
      <c r="G543" s="239"/>
      <c r="H543" s="239"/>
      <c r="I543" s="688"/>
      <c r="J543" s="7"/>
      <c r="K543" s="7"/>
      <c r="L543" s="239"/>
      <c r="M543" s="7"/>
      <c r="N543" s="7"/>
      <c r="O543" s="7"/>
      <c r="P543" s="7"/>
      <c r="Q543" s="7"/>
      <c r="R543" s="7"/>
      <c r="S543" s="7"/>
      <c r="T543" s="7"/>
      <c r="U543" s="7"/>
      <c r="V543" s="708"/>
      <c r="W543" s="7"/>
      <c r="X543" s="7"/>
      <c r="Y543" s="7"/>
      <c r="Z543" s="7"/>
      <c r="AA543" s="7"/>
      <c r="AB543" s="7"/>
      <c r="AC543" s="7"/>
      <c r="AD543" s="7"/>
    </row>
    <row r="544" spans="1:30" ht="15.75" customHeight="1">
      <c r="A544" s="686"/>
      <c r="B544" s="687"/>
      <c r="C544" s="243"/>
      <c r="D544" s="244"/>
      <c r="E544" s="688"/>
      <c r="F544" s="688"/>
      <c r="G544" s="239"/>
      <c r="H544" s="239"/>
      <c r="I544" s="688"/>
      <c r="J544" s="7"/>
      <c r="K544" s="7"/>
      <c r="L544" s="239"/>
      <c r="M544" s="7"/>
      <c r="N544" s="7"/>
      <c r="O544" s="7"/>
      <c r="P544" s="7"/>
      <c r="Q544" s="7"/>
      <c r="R544" s="7"/>
      <c r="S544" s="7"/>
      <c r="T544" s="7"/>
      <c r="U544" s="7"/>
      <c r="V544" s="708"/>
      <c r="W544" s="7"/>
      <c r="X544" s="7"/>
      <c r="Y544" s="7"/>
      <c r="Z544" s="7"/>
      <c r="AA544" s="7"/>
      <c r="AB544" s="7"/>
      <c r="AC544" s="7"/>
      <c r="AD544" s="7"/>
    </row>
    <row r="545" spans="1:30" ht="15.75" customHeight="1">
      <c r="A545" s="686"/>
      <c r="B545" s="687"/>
      <c r="C545" s="243"/>
      <c r="D545" s="244"/>
      <c r="E545" s="688"/>
      <c r="F545" s="688"/>
      <c r="G545" s="239"/>
      <c r="H545" s="239"/>
      <c r="I545" s="688"/>
      <c r="J545" s="7"/>
      <c r="K545" s="7"/>
      <c r="L545" s="239"/>
      <c r="M545" s="7"/>
      <c r="N545" s="7"/>
      <c r="O545" s="7"/>
      <c r="P545" s="7"/>
      <c r="Q545" s="7"/>
      <c r="R545" s="7"/>
      <c r="S545" s="7"/>
      <c r="T545" s="7"/>
      <c r="U545" s="7"/>
      <c r="V545" s="708"/>
      <c r="W545" s="7"/>
      <c r="X545" s="7"/>
      <c r="Y545" s="7"/>
      <c r="Z545" s="7"/>
      <c r="AA545" s="7"/>
      <c r="AB545" s="7"/>
      <c r="AC545" s="7"/>
      <c r="AD545" s="7"/>
    </row>
    <row r="546" spans="1:30" ht="15.75" customHeight="1">
      <c r="A546" s="686"/>
      <c r="B546" s="687"/>
      <c r="C546" s="243"/>
      <c r="D546" s="244"/>
      <c r="E546" s="688"/>
      <c r="F546" s="688"/>
      <c r="G546" s="239"/>
      <c r="H546" s="239"/>
      <c r="I546" s="688"/>
      <c r="J546" s="7"/>
      <c r="K546" s="7"/>
      <c r="L546" s="239"/>
      <c r="M546" s="7"/>
      <c r="N546" s="7"/>
      <c r="O546" s="7"/>
      <c r="P546" s="7"/>
      <c r="Q546" s="7"/>
      <c r="R546" s="7"/>
      <c r="S546" s="7"/>
      <c r="T546" s="7"/>
      <c r="U546" s="7"/>
      <c r="V546" s="708"/>
      <c r="W546" s="7"/>
      <c r="X546" s="7"/>
      <c r="Y546" s="7"/>
      <c r="Z546" s="7"/>
      <c r="AA546" s="7"/>
      <c r="AB546" s="7"/>
      <c r="AC546" s="7"/>
      <c r="AD546" s="7"/>
    </row>
    <row r="547" spans="1:30" ht="15.75" customHeight="1">
      <c r="A547" s="686"/>
      <c r="B547" s="687"/>
      <c r="C547" s="243"/>
      <c r="D547" s="244"/>
      <c r="E547" s="688"/>
      <c r="F547" s="688"/>
      <c r="G547" s="239"/>
      <c r="H547" s="239"/>
      <c r="I547" s="688"/>
      <c r="J547" s="7"/>
      <c r="K547" s="7"/>
      <c r="L547" s="239"/>
      <c r="M547" s="7"/>
      <c r="N547" s="7"/>
      <c r="O547" s="7"/>
      <c r="P547" s="7"/>
      <c r="Q547" s="7"/>
      <c r="R547" s="7"/>
      <c r="S547" s="7"/>
      <c r="T547" s="7"/>
      <c r="U547" s="7"/>
      <c r="V547" s="708"/>
      <c r="W547" s="7"/>
      <c r="X547" s="7"/>
      <c r="Y547" s="7"/>
      <c r="Z547" s="7"/>
      <c r="AA547" s="7"/>
      <c r="AB547" s="7"/>
      <c r="AC547" s="7"/>
      <c r="AD547" s="7"/>
    </row>
    <row r="548" spans="1:30" ht="15.75" customHeight="1">
      <c r="A548" s="686"/>
      <c r="B548" s="687"/>
      <c r="C548" s="243"/>
      <c r="D548" s="244"/>
      <c r="E548" s="688"/>
      <c r="F548" s="688"/>
      <c r="G548" s="239"/>
      <c r="H548" s="239"/>
      <c r="I548" s="688"/>
      <c r="J548" s="7"/>
      <c r="K548" s="7"/>
      <c r="L548" s="239"/>
      <c r="M548" s="7"/>
      <c r="N548" s="7"/>
      <c r="O548" s="7"/>
      <c r="P548" s="7"/>
      <c r="Q548" s="7"/>
      <c r="R548" s="7"/>
      <c r="S548" s="7"/>
      <c r="T548" s="7"/>
      <c r="U548" s="7"/>
      <c r="V548" s="708"/>
      <c r="W548" s="7"/>
      <c r="X548" s="7"/>
      <c r="Y548" s="7"/>
      <c r="Z548" s="7"/>
      <c r="AA548" s="7"/>
      <c r="AB548" s="7"/>
      <c r="AC548" s="7"/>
      <c r="AD548" s="7"/>
    </row>
    <row r="549" spans="1:30" ht="15.75" customHeight="1">
      <c r="A549" s="686"/>
      <c r="B549" s="687"/>
      <c r="C549" s="243"/>
      <c r="D549" s="244"/>
      <c r="E549" s="688"/>
      <c r="F549" s="688"/>
      <c r="G549" s="239"/>
      <c r="H549" s="239"/>
      <c r="I549" s="688"/>
      <c r="J549" s="7"/>
      <c r="K549" s="7"/>
      <c r="L549" s="239"/>
      <c r="M549" s="7"/>
      <c r="N549" s="7"/>
      <c r="O549" s="7"/>
      <c r="P549" s="7"/>
      <c r="Q549" s="7"/>
      <c r="R549" s="7"/>
      <c r="S549" s="7"/>
      <c r="T549" s="7"/>
      <c r="U549" s="7"/>
      <c r="V549" s="708"/>
      <c r="W549" s="7"/>
      <c r="X549" s="7"/>
      <c r="Y549" s="7"/>
      <c r="Z549" s="7"/>
      <c r="AA549" s="7"/>
      <c r="AB549" s="7"/>
      <c r="AC549" s="7"/>
      <c r="AD549" s="7"/>
    </row>
    <row r="550" spans="1:30" ht="15.75" customHeight="1">
      <c r="A550" s="686"/>
      <c r="B550" s="687"/>
      <c r="C550" s="243"/>
      <c r="D550" s="244"/>
      <c r="E550" s="688"/>
      <c r="F550" s="688"/>
      <c r="G550" s="239"/>
      <c r="H550" s="239"/>
      <c r="I550" s="688"/>
      <c r="J550" s="7"/>
      <c r="K550" s="7"/>
      <c r="L550" s="239"/>
      <c r="M550" s="7"/>
      <c r="N550" s="7"/>
      <c r="O550" s="7"/>
      <c r="P550" s="7"/>
      <c r="Q550" s="7"/>
      <c r="R550" s="7"/>
      <c r="S550" s="7"/>
      <c r="T550" s="7"/>
      <c r="U550" s="7"/>
      <c r="V550" s="708"/>
      <c r="W550" s="7"/>
      <c r="X550" s="7"/>
      <c r="Y550" s="7"/>
      <c r="Z550" s="7"/>
      <c r="AA550" s="7"/>
      <c r="AB550" s="7"/>
      <c r="AC550" s="7"/>
      <c r="AD550" s="7"/>
    </row>
    <row r="551" spans="1:30" ht="15.75" customHeight="1">
      <c r="A551" s="686"/>
      <c r="B551" s="687"/>
      <c r="C551" s="243"/>
      <c r="D551" s="244"/>
      <c r="E551" s="688"/>
      <c r="F551" s="688"/>
      <c r="G551" s="239"/>
      <c r="H551" s="239"/>
      <c r="I551" s="688"/>
      <c r="J551" s="7"/>
      <c r="K551" s="7"/>
      <c r="L551" s="239"/>
      <c r="M551" s="7"/>
      <c r="N551" s="7"/>
      <c r="O551" s="7"/>
      <c r="P551" s="7"/>
      <c r="Q551" s="7"/>
      <c r="R551" s="7"/>
      <c r="S551" s="7"/>
      <c r="T551" s="7"/>
      <c r="U551" s="7"/>
      <c r="V551" s="708"/>
      <c r="W551" s="7"/>
      <c r="X551" s="7"/>
      <c r="Y551" s="7"/>
      <c r="Z551" s="7"/>
      <c r="AA551" s="7"/>
      <c r="AB551" s="7"/>
      <c r="AC551" s="7"/>
      <c r="AD551" s="7"/>
    </row>
    <row r="552" spans="1:30" ht="15.75" customHeight="1">
      <c r="A552" s="686"/>
      <c r="B552" s="687"/>
      <c r="C552" s="243"/>
      <c r="D552" s="244"/>
      <c r="E552" s="688"/>
      <c r="F552" s="688"/>
      <c r="G552" s="239"/>
      <c r="H552" s="239"/>
      <c r="I552" s="688"/>
      <c r="J552" s="7"/>
      <c r="K552" s="7"/>
      <c r="L552" s="239"/>
      <c r="M552" s="7"/>
      <c r="N552" s="7"/>
      <c r="O552" s="7"/>
      <c r="P552" s="7"/>
      <c r="Q552" s="7"/>
      <c r="R552" s="7"/>
      <c r="S552" s="7"/>
      <c r="T552" s="7"/>
      <c r="U552" s="7"/>
      <c r="V552" s="708"/>
      <c r="W552" s="7"/>
      <c r="X552" s="7"/>
      <c r="Y552" s="7"/>
      <c r="Z552" s="7"/>
      <c r="AA552" s="7"/>
      <c r="AB552" s="7"/>
      <c r="AC552" s="7"/>
      <c r="AD552" s="7"/>
    </row>
    <row r="553" spans="1:30" ht="15.75" customHeight="1">
      <c r="A553" s="686"/>
      <c r="B553" s="687"/>
      <c r="C553" s="243"/>
      <c r="D553" s="244"/>
      <c r="E553" s="688"/>
      <c r="F553" s="688"/>
      <c r="G553" s="239"/>
      <c r="H553" s="239"/>
      <c r="I553" s="688"/>
      <c r="J553" s="7"/>
      <c r="K553" s="7"/>
      <c r="L553" s="239"/>
      <c r="M553" s="7"/>
      <c r="N553" s="7"/>
      <c r="O553" s="7"/>
      <c r="P553" s="7"/>
      <c r="Q553" s="7"/>
      <c r="R553" s="7"/>
      <c r="S553" s="7"/>
      <c r="T553" s="7"/>
      <c r="U553" s="7"/>
      <c r="V553" s="708"/>
      <c r="W553" s="7"/>
      <c r="X553" s="7"/>
      <c r="Y553" s="7"/>
      <c r="Z553" s="7"/>
      <c r="AA553" s="7"/>
      <c r="AB553" s="7"/>
      <c r="AC553" s="7"/>
      <c r="AD553" s="7"/>
    </row>
    <row r="554" spans="1:30" ht="15.75" customHeight="1">
      <c r="A554" s="686"/>
      <c r="B554" s="687"/>
      <c r="C554" s="243"/>
      <c r="D554" s="244"/>
      <c r="E554" s="688"/>
      <c r="F554" s="688"/>
      <c r="G554" s="239"/>
      <c r="H554" s="239"/>
      <c r="I554" s="688"/>
      <c r="J554" s="7"/>
      <c r="K554" s="7"/>
      <c r="L554" s="239"/>
      <c r="M554" s="7"/>
      <c r="N554" s="7"/>
      <c r="O554" s="7"/>
      <c r="P554" s="7"/>
      <c r="Q554" s="7"/>
      <c r="R554" s="7"/>
      <c r="S554" s="7"/>
      <c r="T554" s="7"/>
      <c r="U554" s="7"/>
      <c r="V554" s="708"/>
      <c r="W554" s="7"/>
      <c r="X554" s="7"/>
      <c r="Y554" s="7"/>
      <c r="Z554" s="7"/>
      <c r="AA554" s="7"/>
      <c r="AB554" s="7"/>
      <c r="AC554" s="7"/>
      <c r="AD554" s="7"/>
    </row>
    <row r="555" spans="1:30" ht="15.75" customHeight="1">
      <c r="A555" s="686"/>
      <c r="B555" s="687"/>
      <c r="C555" s="243"/>
      <c r="D555" s="244"/>
      <c r="E555" s="688"/>
      <c r="F555" s="688"/>
      <c r="G555" s="239"/>
      <c r="H555" s="239"/>
      <c r="I555" s="688"/>
      <c r="J555" s="7"/>
      <c r="K555" s="7"/>
      <c r="L555" s="239"/>
      <c r="M555" s="7"/>
      <c r="N555" s="7"/>
      <c r="O555" s="7"/>
      <c r="P555" s="7"/>
      <c r="Q555" s="7"/>
      <c r="R555" s="7"/>
      <c r="S555" s="7"/>
      <c r="T555" s="7"/>
      <c r="U555" s="7"/>
      <c r="V555" s="708"/>
      <c r="W555" s="7"/>
      <c r="X555" s="7"/>
      <c r="Y555" s="7"/>
      <c r="Z555" s="7"/>
      <c r="AA555" s="7"/>
      <c r="AB555" s="7"/>
      <c r="AC555" s="7"/>
      <c r="AD555" s="7"/>
    </row>
    <row r="556" spans="1:30" ht="15.75" customHeight="1">
      <c r="A556" s="686"/>
      <c r="B556" s="687"/>
      <c r="C556" s="243"/>
      <c r="D556" s="244"/>
      <c r="E556" s="688"/>
      <c r="F556" s="688"/>
      <c r="G556" s="239"/>
      <c r="H556" s="239"/>
      <c r="I556" s="688"/>
      <c r="J556" s="7"/>
      <c r="K556" s="7"/>
      <c r="L556" s="239"/>
      <c r="M556" s="7"/>
      <c r="N556" s="7"/>
      <c r="O556" s="7"/>
      <c r="P556" s="7"/>
      <c r="Q556" s="7"/>
      <c r="R556" s="7"/>
      <c r="S556" s="7"/>
      <c r="T556" s="7"/>
      <c r="U556" s="7"/>
      <c r="V556" s="708"/>
      <c r="W556" s="7"/>
      <c r="X556" s="7"/>
      <c r="Y556" s="7"/>
      <c r="Z556" s="7"/>
      <c r="AA556" s="7"/>
      <c r="AB556" s="7"/>
      <c r="AC556" s="7"/>
      <c r="AD556" s="7"/>
    </row>
    <row r="557" spans="1:30" ht="15.75" customHeight="1">
      <c r="A557" s="686"/>
      <c r="B557" s="687"/>
      <c r="C557" s="243"/>
      <c r="D557" s="244"/>
      <c r="E557" s="688"/>
      <c r="F557" s="688"/>
      <c r="G557" s="239"/>
      <c r="H557" s="239"/>
      <c r="I557" s="688"/>
      <c r="J557" s="7"/>
      <c r="K557" s="7"/>
      <c r="L557" s="239"/>
      <c r="M557" s="7"/>
      <c r="N557" s="7"/>
      <c r="O557" s="7"/>
      <c r="P557" s="7"/>
      <c r="Q557" s="7"/>
      <c r="R557" s="7"/>
      <c r="S557" s="7"/>
      <c r="T557" s="7"/>
      <c r="U557" s="7"/>
      <c r="V557" s="708"/>
      <c r="W557" s="7"/>
      <c r="X557" s="7"/>
      <c r="Y557" s="7"/>
      <c r="Z557" s="7"/>
      <c r="AA557" s="7"/>
      <c r="AB557" s="7"/>
      <c r="AC557" s="7"/>
      <c r="AD557" s="7"/>
    </row>
    <row r="558" spans="1:30" ht="15.75" customHeight="1">
      <c r="A558" s="686"/>
      <c r="B558" s="687"/>
      <c r="C558" s="243"/>
      <c r="D558" s="244"/>
      <c r="E558" s="688"/>
      <c r="F558" s="688"/>
      <c r="G558" s="239"/>
      <c r="H558" s="239"/>
      <c r="I558" s="688"/>
      <c r="J558" s="7"/>
      <c r="K558" s="7"/>
      <c r="L558" s="239"/>
      <c r="M558" s="7"/>
      <c r="N558" s="7"/>
      <c r="O558" s="7"/>
      <c r="P558" s="7"/>
      <c r="Q558" s="7"/>
      <c r="R558" s="7"/>
      <c r="S558" s="7"/>
      <c r="T558" s="7"/>
      <c r="U558" s="7"/>
      <c r="V558" s="708"/>
      <c r="W558" s="7"/>
      <c r="X558" s="7"/>
      <c r="Y558" s="7"/>
      <c r="Z558" s="7"/>
      <c r="AA558" s="7"/>
      <c r="AB558" s="7"/>
      <c r="AC558" s="7"/>
      <c r="AD558" s="7"/>
    </row>
    <row r="559" spans="1:30" ht="15.75" customHeight="1">
      <c r="A559" s="686"/>
      <c r="B559" s="687"/>
      <c r="C559" s="243"/>
      <c r="D559" s="244"/>
      <c r="E559" s="688"/>
      <c r="F559" s="688"/>
      <c r="G559" s="239"/>
      <c r="H559" s="239"/>
      <c r="I559" s="688"/>
      <c r="J559" s="7"/>
      <c r="K559" s="7"/>
      <c r="L559" s="239"/>
      <c r="M559" s="7"/>
      <c r="N559" s="7"/>
      <c r="O559" s="7"/>
      <c r="P559" s="7"/>
      <c r="Q559" s="7"/>
      <c r="R559" s="7"/>
      <c r="S559" s="7"/>
      <c r="T559" s="7"/>
      <c r="U559" s="7"/>
      <c r="V559" s="708"/>
      <c r="W559" s="7"/>
      <c r="X559" s="7"/>
      <c r="Y559" s="7"/>
      <c r="Z559" s="7"/>
      <c r="AA559" s="7"/>
      <c r="AB559" s="7"/>
      <c r="AC559" s="7"/>
      <c r="AD559" s="7"/>
    </row>
    <row r="560" spans="1:30" ht="15.75" customHeight="1">
      <c r="A560" s="686"/>
      <c r="B560" s="687"/>
      <c r="C560" s="243"/>
      <c r="D560" s="244"/>
      <c r="E560" s="688"/>
      <c r="F560" s="688"/>
      <c r="G560" s="239"/>
      <c r="H560" s="239"/>
      <c r="I560" s="688"/>
      <c r="J560" s="7"/>
      <c r="K560" s="7"/>
      <c r="L560" s="239"/>
      <c r="M560" s="7"/>
      <c r="N560" s="7"/>
      <c r="O560" s="7"/>
      <c r="P560" s="7"/>
      <c r="Q560" s="7"/>
      <c r="R560" s="7"/>
      <c r="S560" s="7"/>
      <c r="T560" s="7"/>
      <c r="U560" s="7"/>
      <c r="V560" s="708"/>
      <c r="W560" s="7"/>
      <c r="X560" s="7"/>
      <c r="Y560" s="7"/>
      <c r="Z560" s="7"/>
      <c r="AA560" s="7"/>
      <c r="AB560" s="7"/>
      <c r="AC560" s="7"/>
      <c r="AD560" s="7"/>
    </row>
    <row r="561" spans="1:30" ht="15.75" customHeight="1">
      <c r="A561" s="686"/>
      <c r="B561" s="687"/>
      <c r="C561" s="243"/>
      <c r="D561" s="244"/>
      <c r="E561" s="688"/>
      <c r="F561" s="688"/>
      <c r="G561" s="239"/>
      <c r="H561" s="239"/>
      <c r="I561" s="688"/>
      <c r="J561" s="7"/>
      <c r="K561" s="7"/>
      <c r="L561" s="239"/>
      <c r="M561" s="7"/>
      <c r="N561" s="7"/>
      <c r="O561" s="7"/>
      <c r="P561" s="7"/>
      <c r="Q561" s="7"/>
      <c r="R561" s="7"/>
      <c r="S561" s="7"/>
      <c r="T561" s="7"/>
      <c r="U561" s="7"/>
      <c r="V561" s="708"/>
      <c r="W561" s="7"/>
      <c r="X561" s="7"/>
      <c r="Y561" s="7"/>
      <c r="Z561" s="7"/>
      <c r="AA561" s="7"/>
      <c r="AB561" s="7"/>
      <c r="AC561" s="7"/>
      <c r="AD561" s="7"/>
    </row>
    <row r="562" spans="1:30" ht="15.75" customHeight="1">
      <c r="A562" s="686"/>
      <c r="B562" s="687"/>
      <c r="C562" s="243"/>
      <c r="D562" s="244"/>
      <c r="E562" s="688"/>
      <c r="F562" s="688"/>
      <c r="G562" s="239"/>
      <c r="H562" s="239"/>
      <c r="I562" s="688"/>
      <c r="J562" s="7"/>
      <c r="K562" s="7"/>
      <c r="L562" s="239"/>
      <c r="M562" s="7"/>
      <c r="N562" s="7"/>
      <c r="O562" s="7"/>
      <c r="P562" s="7"/>
      <c r="Q562" s="7"/>
      <c r="R562" s="7"/>
      <c r="S562" s="7"/>
      <c r="T562" s="7"/>
      <c r="U562" s="7"/>
      <c r="V562" s="708"/>
      <c r="W562" s="7"/>
      <c r="X562" s="7"/>
      <c r="Y562" s="7"/>
      <c r="Z562" s="7"/>
      <c r="AA562" s="7"/>
      <c r="AB562" s="7"/>
      <c r="AC562" s="7"/>
      <c r="AD562" s="7"/>
    </row>
    <row r="563" spans="1:30" ht="15.75" customHeight="1">
      <c r="A563" s="686"/>
      <c r="B563" s="687"/>
      <c r="C563" s="243"/>
      <c r="D563" s="244"/>
      <c r="E563" s="688"/>
      <c r="F563" s="688"/>
      <c r="G563" s="239"/>
      <c r="H563" s="239"/>
      <c r="I563" s="688"/>
      <c r="J563" s="7"/>
      <c r="K563" s="7"/>
      <c r="L563" s="239"/>
      <c r="M563" s="7"/>
      <c r="N563" s="7"/>
      <c r="O563" s="7"/>
      <c r="P563" s="7"/>
      <c r="Q563" s="7"/>
      <c r="R563" s="7"/>
      <c r="S563" s="7"/>
      <c r="T563" s="7"/>
      <c r="U563" s="7"/>
      <c r="V563" s="708"/>
      <c r="W563" s="7"/>
      <c r="X563" s="7"/>
      <c r="Y563" s="7"/>
      <c r="Z563" s="7"/>
      <c r="AA563" s="7"/>
      <c r="AB563" s="7"/>
      <c r="AC563" s="7"/>
      <c r="AD563" s="7"/>
    </row>
    <row r="564" spans="1:30" ht="15.75" customHeight="1">
      <c r="A564" s="686"/>
      <c r="B564" s="687"/>
      <c r="C564" s="243"/>
      <c r="D564" s="244"/>
      <c r="E564" s="688"/>
      <c r="F564" s="688"/>
      <c r="G564" s="239"/>
      <c r="H564" s="239"/>
      <c r="I564" s="688"/>
      <c r="J564" s="7"/>
      <c r="K564" s="7"/>
      <c r="L564" s="239"/>
      <c r="M564" s="7"/>
      <c r="N564" s="7"/>
      <c r="O564" s="7"/>
      <c r="P564" s="7"/>
      <c r="Q564" s="7"/>
      <c r="R564" s="7"/>
      <c r="S564" s="7"/>
      <c r="T564" s="7"/>
      <c r="U564" s="7"/>
      <c r="V564" s="708"/>
      <c r="W564" s="7"/>
      <c r="X564" s="7"/>
      <c r="Y564" s="7"/>
      <c r="Z564" s="7"/>
      <c r="AA564" s="7"/>
      <c r="AB564" s="7"/>
      <c r="AC564" s="7"/>
      <c r="AD564" s="7"/>
    </row>
    <row r="565" spans="1:30" ht="15.75" customHeight="1">
      <c r="A565" s="686"/>
      <c r="B565" s="687"/>
      <c r="C565" s="243"/>
      <c r="D565" s="244"/>
      <c r="E565" s="688"/>
      <c r="F565" s="688"/>
      <c r="G565" s="239"/>
      <c r="H565" s="239"/>
      <c r="I565" s="688"/>
      <c r="J565" s="7"/>
      <c r="K565" s="7"/>
      <c r="L565" s="239"/>
      <c r="M565" s="7"/>
      <c r="N565" s="7"/>
      <c r="O565" s="7"/>
      <c r="P565" s="7"/>
      <c r="Q565" s="7"/>
      <c r="R565" s="7"/>
      <c r="S565" s="7"/>
      <c r="T565" s="7"/>
      <c r="U565" s="7"/>
      <c r="V565" s="708"/>
      <c r="W565" s="7"/>
      <c r="X565" s="7"/>
      <c r="Y565" s="7"/>
      <c r="Z565" s="7"/>
      <c r="AA565" s="7"/>
      <c r="AB565" s="7"/>
      <c r="AC565" s="7"/>
      <c r="AD565" s="7"/>
    </row>
    <row r="566" spans="1:30" ht="15.75" customHeight="1">
      <c r="A566" s="686"/>
      <c r="B566" s="687"/>
      <c r="C566" s="243"/>
      <c r="D566" s="244"/>
      <c r="E566" s="688"/>
      <c r="F566" s="688"/>
      <c r="G566" s="239"/>
      <c r="H566" s="239"/>
      <c r="I566" s="688"/>
      <c r="J566" s="7"/>
      <c r="K566" s="7"/>
      <c r="L566" s="239"/>
      <c r="M566" s="7"/>
      <c r="N566" s="7"/>
      <c r="O566" s="7"/>
      <c r="P566" s="7"/>
      <c r="Q566" s="7"/>
      <c r="R566" s="7"/>
      <c r="S566" s="7"/>
      <c r="T566" s="7"/>
      <c r="U566" s="7"/>
      <c r="V566" s="708"/>
      <c r="W566" s="7"/>
      <c r="X566" s="7"/>
      <c r="Y566" s="7"/>
      <c r="Z566" s="7"/>
      <c r="AA566" s="7"/>
      <c r="AB566" s="7"/>
      <c r="AC566" s="7"/>
      <c r="AD566" s="7"/>
    </row>
    <row r="567" spans="1:30" ht="15.75" customHeight="1">
      <c r="A567" s="686"/>
      <c r="B567" s="687"/>
      <c r="C567" s="243"/>
      <c r="D567" s="244"/>
      <c r="E567" s="688"/>
      <c r="F567" s="688"/>
      <c r="G567" s="239"/>
      <c r="H567" s="239"/>
      <c r="I567" s="688"/>
      <c r="J567" s="7"/>
      <c r="K567" s="7"/>
      <c r="L567" s="239"/>
      <c r="M567" s="7"/>
      <c r="N567" s="7"/>
      <c r="O567" s="7"/>
      <c r="P567" s="7"/>
      <c r="Q567" s="7"/>
      <c r="R567" s="7"/>
      <c r="S567" s="7"/>
      <c r="T567" s="7"/>
      <c r="U567" s="7"/>
      <c r="V567" s="708"/>
      <c r="W567" s="7"/>
      <c r="X567" s="7"/>
      <c r="Y567" s="7"/>
      <c r="Z567" s="7"/>
      <c r="AA567" s="7"/>
      <c r="AB567" s="7"/>
      <c r="AC567" s="7"/>
      <c r="AD567" s="7"/>
    </row>
    <row r="568" spans="1:30" ht="15.75" customHeight="1">
      <c r="A568" s="686"/>
      <c r="B568" s="687"/>
      <c r="C568" s="243"/>
      <c r="D568" s="244"/>
      <c r="E568" s="688"/>
      <c r="F568" s="688"/>
      <c r="G568" s="239"/>
      <c r="H568" s="239"/>
      <c r="I568" s="688"/>
      <c r="J568" s="7"/>
      <c r="K568" s="7"/>
      <c r="L568" s="239"/>
      <c r="M568" s="7"/>
      <c r="N568" s="7"/>
      <c r="O568" s="7"/>
      <c r="P568" s="7"/>
      <c r="Q568" s="7"/>
      <c r="R568" s="7"/>
      <c r="S568" s="7"/>
      <c r="T568" s="7"/>
      <c r="U568" s="7"/>
      <c r="V568" s="708"/>
      <c r="W568" s="7"/>
      <c r="X568" s="7"/>
      <c r="Y568" s="7"/>
      <c r="Z568" s="7"/>
      <c r="AA568" s="7"/>
      <c r="AB568" s="7"/>
      <c r="AC568" s="7"/>
      <c r="AD568" s="7"/>
    </row>
    <row r="569" spans="1:30" ht="15.75" customHeight="1">
      <c r="A569" s="686"/>
      <c r="B569" s="687"/>
      <c r="C569" s="243"/>
      <c r="D569" s="244"/>
      <c r="E569" s="688"/>
      <c r="F569" s="688"/>
      <c r="G569" s="239"/>
      <c r="H569" s="239"/>
      <c r="I569" s="688"/>
      <c r="J569" s="7"/>
      <c r="K569" s="7"/>
      <c r="L569" s="239"/>
      <c r="M569" s="7"/>
      <c r="N569" s="7"/>
      <c r="O569" s="7"/>
      <c r="P569" s="7"/>
      <c r="Q569" s="7"/>
      <c r="R569" s="7"/>
      <c r="S569" s="7"/>
      <c r="T569" s="7"/>
      <c r="U569" s="7"/>
      <c r="V569" s="708"/>
      <c r="W569" s="7"/>
      <c r="X569" s="7"/>
      <c r="Y569" s="7"/>
      <c r="Z569" s="7"/>
      <c r="AA569" s="7"/>
      <c r="AB569" s="7"/>
      <c r="AC569" s="7"/>
      <c r="AD569" s="7"/>
    </row>
    <row r="570" spans="1:30" ht="15.75" customHeight="1">
      <c r="A570" s="686"/>
      <c r="B570" s="687"/>
      <c r="C570" s="243"/>
      <c r="D570" s="244"/>
      <c r="E570" s="688"/>
      <c r="F570" s="688"/>
      <c r="G570" s="239"/>
      <c r="H570" s="239"/>
      <c r="I570" s="688"/>
      <c r="J570" s="7"/>
      <c r="K570" s="7"/>
      <c r="L570" s="239"/>
      <c r="M570" s="7"/>
      <c r="N570" s="7"/>
      <c r="O570" s="7"/>
      <c r="P570" s="7"/>
      <c r="Q570" s="7"/>
      <c r="R570" s="7"/>
      <c r="S570" s="7"/>
      <c r="T570" s="7"/>
      <c r="U570" s="7"/>
      <c r="V570" s="708"/>
      <c r="W570" s="7"/>
      <c r="X570" s="7"/>
      <c r="Y570" s="7"/>
      <c r="Z570" s="7"/>
      <c r="AA570" s="7"/>
      <c r="AB570" s="7"/>
      <c r="AC570" s="7"/>
      <c r="AD570" s="7"/>
    </row>
    <row r="571" spans="1:30" ht="15.75" customHeight="1">
      <c r="A571" s="686"/>
      <c r="B571" s="687"/>
      <c r="C571" s="243"/>
      <c r="D571" s="244"/>
      <c r="E571" s="688"/>
      <c r="F571" s="688"/>
      <c r="G571" s="239"/>
      <c r="H571" s="239"/>
      <c r="I571" s="688"/>
      <c r="J571" s="7"/>
      <c r="K571" s="7"/>
      <c r="L571" s="239"/>
      <c r="M571" s="7"/>
      <c r="N571" s="7"/>
      <c r="O571" s="7"/>
      <c r="P571" s="7"/>
      <c r="Q571" s="7"/>
      <c r="R571" s="7"/>
      <c r="S571" s="7"/>
      <c r="T571" s="7"/>
      <c r="U571" s="7"/>
      <c r="V571" s="708"/>
      <c r="W571" s="7"/>
      <c r="X571" s="7"/>
      <c r="Y571" s="7"/>
      <c r="Z571" s="7"/>
      <c r="AA571" s="7"/>
      <c r="AB571" s="7"/>
      <c r="AC571" s="7"/>
      <c r="AD571" s="7"/>
    </row>
    <row r="572" spans="1:30" ht="15.75" customHeight="1">
      <c r="A572" s="686"/>
      <c r="B572" s="687"/>
      <c r="C572" s="243"/>
      <c r="D572" s="244"/>
      <c r="E572" s="688"/>
      <c r="F572" s="688"/>
      <c r="G572" s="239"/>
      <c r="H572" s="239"/>
      <c r="I572" s="688"/>
      <c r="J572" s="7"/>
      <c r="K572" s="7"/>
      <c r="L572" s="239"/>
      <c r="M572" s="7"/>
      <c r="N572" s="7"/>
      <c r="O572" s="7"/>
      <c r="P572" s="7"/>
      <c r="Q572" s="7"/>
      <c r="R572" s="7"/>
      <c r="S572" s="7"/>
      <c r="T572" s="7"/>
      <c r="U572" s="7"/>
      <c r="V572" s="708"/>
      <c r="W572" s="7"/>
      <c r="X572" s="7"/>
      <c r="Y572" s="7"/>
      <c r="Z572" s="7"/>
      <c r="AA572" s="7"/>
      <c r="AB572" s="7"/>
      <c r="AC572" s="7"/>
      <c r="AD572" s="7"/>
    </row>
    <row r="573" spans="1:30" ht="15.75" customHeight="1">
      <c r="A573" s="686"/>
      <c r="B573" s="687"/>
      <c r="C573" s="243"/>
      <c r="D573" s="244"/>
      <c r="E573" s="688"/>
      <c r="F573" s="688"/>
      <c r="G573" s="239"/>
      <c r="H573" s="239"/>
      <c r="I573" s="688"/>
      <c r="J573" s="7"/>
      <c r="K573" s="7"/>
      <c r="L573" s="239"/>
      <c r="M573" s="7"/>
      <c r="N573" s="7"/>
      <c r="O573" s="7"/>
      <c r="P573" s="7"/>
      <c r="Q573" s="7"/>
      <c r="R573" s="7"/>
      <c r="S573" s="7"/>
      <c r="T573" s="7"/>
      <c r="U573" s="7"/>
      <c r="V573" s="708"/>
      <c r="W573" s="7"/>
      <c r="X573" s="7"/>
      <c r="Y573" s="7"/>
      <c r="Z573" s="7"/>
      <c r="AA573" s="7"/>
      <c r="AB573" s="7"/>
      <c r="AC573" s="7"/>
      <c r="AD573" s="7"/>
    </row>
    <row r="574" spans="1:30" ht="15.75" customHeight="1">
      <c r="A574" s="686"/>
      <c r="B574" s="687"/>
      <c r="C574" s="243"/>
      <c r="D574" s="244"/>
      <c r="E574" s="688"/>
      <c r="F574" s="688"/>
      <c r="G574" s="239"/>
      <c r="H574" s="239"/>
      <c r="I574" s="688"/>
      <c r="J574" s="7"/>
      <c r="K574" s="7"/>
      <c r="L574" s="239"/>
      <c r="M574" s="7"/>
      <c r="N574" s="7"/>
      <c r="O574" s="7"/>
      <c r="P574" s="7"/>
      <c r="Q574" s="7"/>
      <c r="R574" s="7"/>
      <c r="S574" s="7"/>
      <c r="T574" s="7"/>
      <c r="U574" s="7"/>
      <c r="V574" s="708"/>
      <c r="W574" s="7"/>
      <c r="X574" s="7"/>
      <c r="Y574" s="7"/>
      <c r="Z574" s="7"/>
      <c r="AA574" s="7"/>
      <c r="AB574" s="7"/>
      <c r="AC574" s="7"/>
      <c r="AD574" s="7"/>
    </row>
    <row r="575" spans="1:30" ht="15.75" customHeight="1">
      <c r="A575" s="686"/>
      <c r="B575" s="687"/>
      <c r="C575" s="243"/>
      <c r="D575" s="244"/>
      <c r="E575" s="688"/>
      <c r="F575" s="688"/>
      <c r="G575" s="239"/>
      <c r="H575" s="239"/>
      <c r="I575" s="688"/>
      <c r="J575" s="7"/>
      <c r="K575" s="7"/>
      <c r="L575" s="239"/>
      <c r="M575" s="7"/>
      <c r="N575" s="7"/>
      <c r="O575" s="7"/>
      <c r="P575" s="7"/>
      <c r="Q575" s="7"/>
      <c r="R575" s="7"/>
      <c r="S575" s="7"/>
      <c r="T575" s="7"/>
      <c r="U575" s="7"/>
      <c r="V575" s="708"/>
      <c r="W575" s="7"/>
      <c r="X575" s="7"/>
      <c r="Y575" s="7"/>
      <c r="Z575" s="7"/>
      <c r="AA575" s="7"/>
      <c r="AB575" s="7"/>
      <c r="AC575" s="7"/>
      <c r="AD575" s="7"/>
    </row>
    <row r="576" spans="1:30" ht="15.75" customHeight="1">
      <c r="A576" s="686"/>
      <c r="B576" s="687"/>
      <c r="C576" s="243"/>
      <c r="D576" s="244"/>
      <c r="E576" s="688"/>
      <c r="F576" s="688"/>
      <c r="G576" s="239"/>
      <c r="H576" s="239"/>
      <c r="I576" s="688"/>
      <c r="J576" s="7"/>
      <c r="K576" s="7"/>
      <c r="L576" s="239"/>
      <c r="M576" s="7"/>
      <c r="N576" s="7"/>
      <c r="O576" s="7"/>
      <c r="P576" s="7"/>
      <c r="Q576" s="7"/>
      <c r="R576" s="7"/>
      <c r="S576" s="7"/>
      <c r="T576" s="7"/>
      <c r="U576" s="7"/>
      <c r="V576" s="708"/>
      <c r="W576" s="7"/>
      <c r="X576" s="7"/>
      <c r="Y576" s="7"/>
      <c r="Z576" s="7"/>
      <c r="AA576" s="7"/>
      <c r="AB576" s="7"/>
      <c r="AC576" s="7"/>
      <c r="AD576" s="7"/>
    </row>
    <row r="577" spans="1:30" ht="15.75" customHeight="1">
      <c r="A577" s="686"/>
      <c r="B577" s="687"/>
      <c r="C577" s="243"/>
      <c r="D577" s="244"/>
      <c r="E577" s="688"/>
      <c r="F577" s="688"/>
      <c r="G577" s="239"/>
      <c r="H577" s="239"/>
      <c r="I577" s="688"/>
      <c r="J577" s="7"/>
      <c r="K577" s="7"/>
      <c r="L577" s="239"/>
      <c r="M577" s="7"/>
      <c r="N577" s="7"/>
      <c r="O577" s="7"/>
      <c r="P577" s="7"/>
      <c r="Q577" s="7"/>
      <c r="R577" s="7"/>
      <c r="S577" s="7"/>
      <c r="T577" s="7"/>
      <c r="U577" s="7"/>
      <c r="V577" s="708"/>
      <c r="W577" s="7"/>
      <c r="X577" s="7"/>
      <c r="Y577" s="7"/>
      <c r="Z577" s="7"/>
      <c r="AA577" s="7"/>
      <c r="AB577" s="7"/>
      <c r="AC577" s="7"/>
      <c r="AD577" s="7"/>
    </row>
    <row r="578" spans="1:30" ht="15.75" customHeight="1">
      <c r="A578" s="686"/>
      <c r="B578" s="687"/>
      <c r="C578" s="243"/>
      <c r="D578" s="244"/>
      <c r="E578" s="688"/>
      <c r="F578" s="688"/>
      <c r="G578" s="239"/>
      <c r="H578" s="239"/>
      <c r="I578" s="688"/>
      <c r="J578" s="7"/>
      <c r="K578" s="7"/>
      <c r="L578" s="239"/>
      <c r="M578" s="7"/>
      <c r="N578" s="7"/>
      <c r="O578" s="7"/>
      <c r="P578" s="7"/>
      <c r="Q578" s="7"/>
      <c r="R578" s="7"/>
      <c r="S578" s="7"/>
      <c r="T578" s="7"/>
      <c r="U578" s="7"/>
      <c r="V578" s="708"/>
      <c r="W578" s="7"/>
      <c r="X578" s="7"/>
      <c r="Y578" s="7"/>
      <c r="Z578" s="7"/>
      <c r="AA578" s="7"/>
      <c r="AB578" s="7"/>
      <c r="AC578" s="7"/>
      <c r="AD578" s="7"/>
    </row>
    <row r="579" spans="1:30" ht="15.75" customHeight="1">
      <c r="A579" s="686"/>
      <c r="B579" s="687"/>
      <c r="C579" s="243"/>
      <c r="D579" s="244"/>
      <c r="E579" s="688"/>
      <c r="F579" s="688"/>
      <c r="G579" s="239"/>
      <c r="H579" s="239"/>
      <c r="I579" s="688"/>
      <c r="J579" s="7"/>
      <c r="K579" s="7"/>
      <c r="L579" s="239"/>
      <c r="M579" s="7"/>
      <c r="N579" s="7"/>
      <c r="O579" s="7"/>
      <c r="P579" s="7"/>
      <c r="Q579" s="7"/>
      <c r="R579" s="7"/>
      <c r="S579" s="7"/>
      <c r="T579" s="7"/>
      <c r="U579" s="7"/>
      <c r="V579" s="708"/>
      <c r="W579" s="7"/>
      <c r="X579" s="7"/>
      <c r="Y579" s="7"/>
      <c r="Z579" s="7"/>
      <c r="AA579" s="7"/>
      <c r="AB579" s="7"/>
      <c r="AC579" s="7"/>
      <c r="AD579" s="7"/>
    </row>
    <row r="580" spans="1:30" ht="15.75" customHeight="1">
      <c r="A580" s="686"/>
      <c r="B580" s="687"/>
      <c r="C580" s="243"/>
      <c r="D580" s="244"/>
      <c r="E580" s="688"/>
      <c r="F580" s="688"/>
      <c r="G580" s="239"/>
      <c r="H580" s="239"/>
      <c r="I580" s="688"/>
      <c r="J580" s="7"/>
      <c r="K580" s="7"/>
      <c r="L580" s="239"/>
      <c r="M580" s="7"/>
      <c r="N580" s="7"/>
      <c r="O580" s="7"/>
      <c r="P580" s="7"/>
      <c r="Q580" s="7"/>
      <c r="R580" s="7"/>
      <c r="S580" s="7"/>
      <c r="T580" s="7"/>
      <c r="U580" s="7"/>
      <c r="V580" s="708"/>
      <c r="W580" s="7"/>
      <c r="X580" s="7"/>
      <c r="Y580" s="7"/>
      <c r="Z580" s="7"/>
      <c r="AA580" s="7"/>
      <c r="AB580" s="7"/>
      <c r="AC580" s="7"/>
      <c r="AD580" s="7"/>
    </row>
    <row r="581" spans="1:30" ht="15.75" customHeight="1">
      <c r="A581" s="686"/>
      <c r="B581" s="687"/>
      <c r="C581" s="243"/>
      <c r="D581" s="244"/>
      <c r="E581" s="688"/>
      <c r="F581" s="688"/>
      <c r="G581" s="239"/>
      <c r="H581" s="239"/>
      <c r="I581" s="688"/>
      <c r="J581" s="7"/>
      <c r="K581" s="7"/>
      <c r="L581" s="239"/>
      <c r="M581" s="7"/>
      <c r="N581" s="7"/>
      <c r="O581" s="7"/>
      <c r="P581" s="7"/>
      <c r="Q581" s="7"/>
      <c r="R581" s="7"/>
      <c r="S581" s="7"/>
      <c r="T581" s="7"/>
      <c r="U581" s="7"/>
      <c r="V581" s="708"/>
      <c r="W581" s="7"/>
      <c r="X581" s="7"/>
      <c r="Y581" s="7"/>
      <c r="Z581" s="7"/>
      <c r="AA581" s="7"/>
      <c r="AB581" s="7"/>
      <c r="AC581" s="7"/>
      <c r="AD581" s="7"/>
    </row>
    <row r="582" spans="1:30" ht="15.75" customHeight="1">
      <c r="A582" s="686"/>
      <c r="B582" s="687"/>
      <c r="C582" s="243"/>
      <c r="D582" s="244"/>
      <c r="E582" s="688"/>
      <c r="F582" s="688"/>
      <c r="G582" s="239"/>
      <c r="H582" s="239"/>
      <c r="I582" s="688"/>
      <c r="J582" s="7"/>
      <c r="K582" s="7"/>
      <c r="L582" s="239"/>
      <c r="M582" s="7"/>
      <c r="N582" s="7"/>
      <c r="O582" s="7"/>
      <c r="P582" s="7"/>
      <c r="Q582" s="7"/>
      <c r="R582" s="7"/>
      <c r="S582" s="7"/>
      <c r="T582" s="7"/>
      <c r="U582" s="7"/>
      <c r="V582" s="708"/>
      <c r="W582" s="7"/>
      <c r="X582" s="7"/>
      <c r="Y582" s="7"/>
      <c r="Z582" s="7"/>
      <c r="AA582" s="7"/>
      <c r="AB582" s="7"/>
      <c r="AC582" s="7"/>
      <c r="AD582" s="7"/>
    </row>
    <row r="583" spans="1:30" ht="15.75" customHeight="1">
      <c r="A583" s="686"/>
      <c r="B583" s="687"/>
      <c r="C583" s="243"/>
      <c r="D583" s="244"/>
      <c r="E583" s="688"/>
      <c r="F583" s="688"/>
      <c r="G583" s="239"/>
      <c r="H583" s="239"/>
      <c r="I583" s="688"/>
      <c r="J583" s="7"/>
      <c r="K583" s="7"/>
      <c r="L583" s="239"/>
      <c r="M583" s="7"/>
      <c r="N583" s="7"/>
      <c r="O583" s="7"/>
      <c r="P583" s="7"/>
      <c r="Q583" s="7"/>
      <c r="R583" s="7"/>
      <c r="S583" s="7"/>
      <c r="T583" s="7"/>
      <c r="U583" s="7"/>
      <c r="V583" s="708"/>
      <c r="W583" s="7"/>
      <c r="X583" s="7"/>
      <c r="Y583" s="7"/>
      <c r="Z583" s="7"/>
      <c r="AA583" s="7"/>
      <c r="AB583" s="7"/>
      <c r="AC583" s="7"/>
      <c r="AD583" s="7"/>
    </row>
    <row r="584" spans="1:30" ht="15.75" customHeight="1">
      <c r="A584" s="686"/>
      <c r="B584" s="687"/>
      <c r="C584" s="243"/>
      <c r="D584" s="244"/>
      <c r="E584" s="688"/>
      <c r="F584" s="688"/>
      <c r="G584" s="239"/>
      <c r="H584" s="239"/>
      <c r="I584" s="688"/>
      <c r="J584" s="7"/>
      <c r="K584" s="7"/>
      <c r="L584" s="239"/>
      <c r="M584" s="7"/>
      <c r="N584" s="7"/>
      <c r="O584" s="7"/>
      <c r="P584" s="7"/>
      <c r="Q584" s="7"/>
      <c r="R584" s="7"/>
      <c r="S584" s="7"/>
      <c r="T584" s="7"/>
      <c r="U584" s="7"/>
      <c r="V584" s="708"/>
      <c r="W584" s="7"/>
      <c r="X584" s="7"/>
      <c r="Y584" s="7"/>
      <c r="Z584" s="7"/>
      <c r="AA584" s="7"/>
      <c r="AB584" s="7"/>
      <c r="AC584" s="7"/>
      <c r="AD584" s="7"/>
    </row>
    <row r="585" spans="1:30" ht="15.75" customHeight="1">
      <c r="A585" s="686"/>
      <c r="B585" s="687"/>
      <c r="C585" s="243"/>
      <c r="D585" s="244"/>
      <c r="E585" s="688"/>
      <c r="F585" s="688"/>
      <c r="G585" s="239"/>
      <c r="H585" s="239"/>
      <c r="I585" s="688"/>
      <c r="J585" s="7"/>
      <c r="K585" s="7"/>
      <c r="L585" s="239"/>
      <c r="M585" s="7"/>
      <c r="N585" s="7"/>
      <c r="O585" s="7"/>
      <c r="P585" s="7"/>
      <c r="Q585" s="7"/>
      <c r="R585" s="7"/>
      <c r="S585" s="7"/>
      <c r="T585" s="7"/>
      <c r="U585" s="7"/>
      <c r="V585" s="708"/>
      <c r="W585" s="7"/>
      <c r="X585" s="7"/>
      <c r="Y585" s="7"/>
      <c r="Z585" s="7"/>
      <c r="AA585" s="7"/>
      <c r="AB585" s="7"/>
      <c r="AC585" s="7"/>
      <c r="AD585" s="7"/>
    </row>
    <row r="586" spans="1:30" ht="15.75" customHeight="1">
      <c r="A586" s="686"/>
      <c r="B586" s="687"/>
      <c r="C586" s="243"/>
      <c r="D586" s="244"/>
      <c r="E586" s="688"/>
      <c r="F586" s="688"/>
      <c r="G586" s="239"/>
      <c r="H586" s="239"/>
      <c r="I586" s="688"/>
      <c r="J586" s="7"/>
      <c r="K586" s="7"/>
      <c r="L586" s="239"/>
      <c r="M586" s="7"/>
      <c r="N586" s="7"/>
      <c r="O586" s="7"/>
      <c r="P586" s="7"/>
      <c r="Q586" s="7"/>
      <c r="R586" s="7"/>
      <c r="S586" s="7"/>
      <c r="T586" s="7"/>
      <c r="U586" s="7"/>
      <c r="V586" s="708"/>
      <c r="W586" s="7"/>
      <c r="X586" s="7"/>
      <c r="Y586" s="7"/>
      <c r="Z586" s="7"/>
      <c r="AA586" s="7"/>
      <c r="AB586" s="7"/>
      <c r="AC586" s="7"/>
      <c r="AD586" s="7"/>
    </row>
    <row r="587" spans="1:30" ht="15.75" customHeight="1">
      <c r="A587" s="686"/>
      <c r="B587" s="687"/>
      <c r="C587" s="243"/>
      <c r="D587" s="244"/>
      <c r="E587" s="688"/>
      <c r="F587" s="688"/>
      <c r="G587" s="239"/>
      <c r="H587" s="239"/>
      <c r="I587" s="688"/>
      <c r="J587" s="7"/>
      <c r="K587" s="7"/>
      <c r="L587" s="239"/>
      <c r="M587" s="7"/>
      <c r="N587" s="7"/>
      <c r="O587" s="7"/>
      <c r="P587" s="7"/>
      <c r="Q587" s="7"/>
      <c r="R587" s="7"/>
      <c r="S587" s="7"/>
      <c r="T587" s="7"/>
      <c r="U587" s="7"/>
      <c r="V587" s="708"/>
      <c r="W587" s="7"/>
      <c r="X587" s="7"/>
      <c r="Y587" s="7"/>
      <c r="Z587" s="7"/>
      <c r="AA587" s="7"/>
      <c r="AB587" s="7"/>
      <c r="AC587" s="7"/>
      <c r="AD587" s="7"/>
    </row>
    <row r="588" spans="1:30" ht="15.75" customHeight="1">
      <c r="A588" s="686"/>
      <c r="B588" s="687"/>
      <c r="C588" s="243"/>
      <c r="D588" s="244"/>
      <c r="E588" s="688"/>
      <c r="F588" s="688"/>
      <c r="G588" s="239"/>
      <c r="H588" s="239"/>
      <c r="I588" s="688"/>
      <c r="J588" s="7"/>
      <c r="K588" s="7"/>
      <c r="L588" s="239"/>
      <c r="M588" s="7"/>
      <c r="N588" s="7"/>
      <c r="O588" s="7"/>
      <c r="P588" s="7"/>
      <c r="Q588" s="7"/>
      <c r="R588" s="7"/>
      <c r="S588" s="7"/>
      <c r="T588" s="7"/>
      <c r="U588" s="7"/>
      <c r="V588" s="708"/>
      <c r="W588" s="7"/>
      <c r="X588" s="7"/>
      <c r="Y588" s="7"/>
      <c r="Z588" s="7"/>
      <c r="AA588" s="7"/>
      <c r="AB588" s="7"/>
      <c r="AC588" s="7"/>
      <c r="AD588" s="7"/>
    </row>
    <row r="589" spans="1:30" ht="15.75" customHeight="1">
      <c r="A589" s="686"/>
      <c r="B589" s="687"/>
      <c r="C589" s="243"/>
      <c r="D589" s="244"/>
      <c r="E589" s="688"/>
      <c r="F589" s="688"/>
      <c r="G589" s="239"/>
      <c r="H589" s="239"/>
      <c r="I589" s="688"/>
      <c r="J589" s="7"/>
      <c r="K589" s="7"/>
      <c r="L589" s="239"/>
      <c r="M589" s="7"/>
      <c r="N589" s="7"/>
      <c r="O589" s="7"/>
      <c r="P589" s="7"/>
      <c r="Q589" s="7"/>
      <c r="R589" s="7"/>
      <c r="S589" s="7"/>
      <c r="T589" s="7"/>
      <c r="U589" s="7"/>
      <c r="V589" s="708"/>
      <c r="W589" s="7"/>
      <c r="X589" s="7"/>
      <c r="Y589" s="7"/>
      <c r="Z589" s="7"/>
      <c r="AA589" s="7"/>
      <c r="AB589" s="7"/>
      <c r="AC589" s="7"/>
      <c r="AD589" s="7"/>
    </row>
    <row r="590" spans="1:30" ht="15.75" customHeight="1">
      <c r="A590" s="686"/>
      <c r="B590" s="687"/>
      <c r="C590" s="243"/>
      <c r="D590" s="244"/>
      <c r="E590" s="688"/>
      <c r="F590" s="688"/>
      <c r="G590" s="239"/>
      <c r="H590" s="239"/>
      <c r="I590" s="688"/>
      <c r="J590" s="7"/>
      <c r="K590" s="7"/>
      <c r="L590" s="239"/>
      <c r="M590" s="7"/>
      <c r="N590" s="7"/>
      <c r="O590" s="7"/>
      <c r="P590" s="7"/>
      <c r="Q590" s="7"/>
      <c r="R590" s="7"/>
      <c r="S590" s="7"/>
      <c r="T590" s="7"/>
      <c r="U590" s="7"/>
      <c r="V590" s="708"/>
      <c r="W590" s="7"/>
      <c r="X590" s="7"/>
      <c r="Y590" s="7"/>
      <c r="Z590" s="7"/>
      <c r="AA590" s="7"/>
      <c r="AB590" s="7"/>
      <c r="AC590" s="7"/>
      <c r="AD590" s="7"/>
    </row>
    <row r="591" spans="1:30" ht="15.75" customHeight="1">
      <c r="A591" s="686"/>
      <c r="B591" s="687"/>
      <c r="C591" s="243"/>
      <c r="D591" s="244"/>
      <c r="E591" s="688"/>
      <c r="F591" s="688"/>
      <c r="G591" s="239"/>
      <c r="H591" s="239"/>
      <c r="I591" s="688"/>
      <c r="J591" s="7"/>
      <c r="K591" s="7"/>
      <c r="L591" s="239"/>
      <c r="M591" s="7"/>
      <c r="N591" s="7"/>
      <c r="O591" s="7"/>
      <c r="P591" s="7"/>
      <c r="Q591" s="7"/>
      <c r="R591" s="7"/>
      <c r="S591" s="7"/>
      <c r="T591" s="7"/>
      <c r="U591" s="7"/>
      <c r="V591" s="708"/>
      <c r="W591" s="7"/>
      <c r="X591" s="7"/>
      <c r="Y591" s="7"/>
      <c r="Z591" s="7"/>
      <c r="AA591" s="7"/>
      <c r="AB591" s="7"/>
      <c r="AC591" s="7"/>
      <c r="AD591" s="7"/>
    </row>
    <row r="592" spans="1:30" ht="15.75" customHeight="1">
      <c r="A592" s="686"/>
      <c r="B592" s="687"/>
      <c r="C592" s="243"/>
      <c r="D592" s="244"/>
      <c r="E592" s="688"/>
      <c r="F592" s="688"/>
      <c r="G592" s="239"/>
      <c r="H592" s="239"/>
      <c r="I592" s="688"/>
      <c r="J592" s="7"/>
      <c r="K592" s="7"/>
      <c r="L592" s="239"/>
      <c r="M592" s="7"/>
      <c r="N592" s="7"/>
      <c r="O592" s="7"/>
      <c r="P592" s="7"/>
      <c r="Q592" s="7"/>
      <c r="R592" s="7"/>
      <c r="S592" s="7"/>
      <c r="T592" s="7"/>
      <c r="U592" s="7"/>
      <c r="V592" s="708"/>
      <c r="W592" s="7"/>
      <c r="X592" s="7"/>
      <c r="Y592" s="7"/>
      <c r="Z592" s="7"/>
      <c r="AA592" s="7"/>
      <c r="AB592" s="7"/>
      <c r="AC592" s="7"/>
      <c r="AD592" s="7"/>
    </row>
    <row r="593" spans="1:30" ht="15.75" customHeight="1">
      <c r="A593" s="686"/>
      <c r="B593" s="687"/>
      <c r="C593" s="243"/>
      <c r="D593" s="244"/>
      <c r="E593" s="688"/>
      <c r="F593" s="688"/>
      <c r="G593" s="239"/>
      <c r="H593" s="239"/>
      <c r="I593" s="688"/>
      <c r="J593" s="7"/>
      <c r="K593" s="7"/>
      <c r="L593" s="239"/>
      <c r="M593" s="7"/>
      <c r="N593" s="7"/>
      <c r="O593" s="7"/>
      <c r="P593" s="7"/>
      <c r="Q593" s="7"/>
      <c r="R593" s="7"/>
      <c r="S593" s="7"/>
      <c r="T593" s="7"/>
      <c r="U593" s="7"/>
      <c r="V593" s="708"/>
      <c r="W593" s="7"/>
      <c r="X593" s="7"/>
      <c r="Y593" s="7"/>
      <c r="Z593" s="7"/>
      <c r="AA593" s="7"/>
      <c r="AB593" s="7"/>
      <c r="AC593" s="7"/>
      <c r="AD593" s="7"/>
    </row>
    <row r="594" spans="1:30" ht="15.75" customHeight="1">
      <c r="A594" s="686"/>
      <c r="B594" s="687"/>
      <c r="C594" s="243"/>
      <c r="D594" s="244"/>
      <c r="E594" s="688"/>
      <c r="F594" s="688"/>
      <c r="G594" s="239"/>
      <c r="H594" s="239"/>
      <c r="I594" s="688"/>
      <c r="J594" s="7"/>
      <c r="K594" s="7"/>
      <c r="L594" s="239"/>
      <c r="M594" s="7"/>
      <c r="N594" s="7"/>
      <c r="O594" s="7"/>
      <c r="P594" s="7"/>
      <c r="Q594" s="7"/>
      <c r="R594" s="7"/>
      <c r="S594" s="7"/>
      <c r="T594" s="7"/>
      <c r="U594" s="7"/>
      <c r="V594" s="708"/>
      <c r="W594" s="7"/>
      <c r="X594" s="7"/>
      <c r="Y594" s="7"/>
      <c r="Z594" s="7"/>
      <c r="AA594" s="7"/>
      <c r="AB594" s="7"/>
      <c r="AC594" s="7"/>
      <c r="AD594" s="7"/>
    </row>
    <row r="595" spans="1:30" ht="15.75" customHeight="1">
      <c r="A595" s="686"/>
      <c r="B595" s="687"/>
      <c r="C595" s="243"/>
      <c r="D595" s="244"/>
      <c r="E595" s="688"/>
      <c r="F595" s="688"/>
      <c r="G595" s="239"/>
      <c r="H595" s="239"/>
      <c r="I595" s="688"/>
      <c r="J595" s="7"/>
      <c r="K595" s="7"/>
      <c r="L595" s="239"/>
      <c r="M595" s="7"/>
      <c r="N595" s="7"/>
      <c r="O595" s="7"/>
      <c r="P595" s="7"/>
      <c r="Q595" s="7"/>
      <c r="R595" s="7"/>
      <c r="S595" s="7"/>
      <c r="T595" s="7"/>
      <c r="U595" s="7"/>
      <c r="V595" s="708"/>
      <c r="W595" s="7"/>
      <c r="X595" s="7"/>
      <c r="Y595" s="7"/>
      <c r="Z595" s="7"/>
      <c r="AA595" s="7"/>
      <c r="AB595" s="7"/>
      <c r="AC595" s="7"/>
      <c r="AD595" s="7"/>
    </row>
    <row r="596" spans="1:30" ht="15.75" customHeight="1">
      <c r="A596" s="686"/>
      <c r="B596" s="687"/>
      <c r="C596" s="243"/>
      <c r="D596" s="244"/>
      <c r="E596" s="688"/>
      <c r="F596" s="688"/>
      <c r="G596" s="239"/>
      <c r="H596" s="239"/>
      <c r="I596" s="688"/>
      <c r="J596" s="7"/>
      <c r="K596" s="7"/>
      <c r="L596" s="239"/>
      <c r="M596" s="7"/>
      <c r="N596" s="7"/>
      <c r="O596" s="7"/>
      <c r="P596" s="7"/>
      <c r="Q596" s="7"/>
      <c r="R596" s="7"/>
      <c r="S596" s="7"/>
      <c r="T596" s="7"/>
      <c r="U596" s="7"/>
      <c r="V596" s="708"/>
      <c r="W596" s="7"/>
      <c r="X596" s="7"/>
      <c r="Y596" s="7"/>
      <c r="Z596" s="7"/>
      <c r="AA596" s="7"/>
      <c r="AB596" s="7"/>
      <c r="AC596" s="7"/>
      <c r="AD596" s="7"/>
    </row>
    <row r="597" spans="1:30" ht="15.75" customHeight="1">
      <c r="A597" s="686"/>
      <c r="B597" s="687"/>
      <c r="C597" s="243"/>
      <c r="D597" s="244"/>
      <c r="E597" s="688"/>
      <c r="F597" s="688"/>
      <c r="G597" s="239"/>
      <c r="H597" s="239"/>
      <c r="I597" s="688"/>
      <c r="J597" s="7"/>
      <c r="K597" s="7"/>
      <c r="L597" s="239"/>
      <c r="M597" s="7"/>
      <c r="N597" s="7"/>
      <c r="O597" s="7"/>
      <c r="P597" s="7"/>
      <c r="Q597" s="7"/>
      <c r="R597" s="7"/>
      <c r="S597" s="7"/>
      <c r="T597" s="7"/>
      <c r="U597" s="7"/>
      <c r="V597" s="708"/>
      <c r="W597" s="7"/>
      <c r="X597" s="7"/>
      <c r="Y597" s="7"/>
      <c r="Z597" s="7"/>
      <c r="AA597" s="7"/>
      <c r="AB597" s="7"/>
      <c r="AC597" s="7"/>
      <c r="AD597" s="7"/>
    </row>
    <row r="598" spans="1:30" ht="15.75" customHeight="1">
      <c r="A598" s="686"/>
      <c r="B598" s="687"/>
      <c r="C598" s="243"/>
      <c r="D598" s="244"/>
      <c r="E598" s="688"/>
      <c r="F598" s="688"/>
      <c r="G598" s="239"/>
      <c r="H598" s="239"/>
      <c r="I598" s="688"/>
      <c r="J598" s="7"/>
      <c r="K598" s="7"/>
      <c r="L598" s="239"/>
      <c r="M598" s="7"/>
      <c r="N598" s="7"/>
      <c r="O598" s="7"/>
      <c r="P598" s="7"/>
      <c r="Q598" s="7"/>
      <c r="R598" s="7"/>
      <c r="S598" s="7"/>
      <c r="T598" s="7"/>
      <c r="U598" s="7"/>
      <c r="V598" s="708"/>
      <c r="W598" s="7"/>
      <c r="X598" s="7"/>
      <c r="Y598" s="7"/>
      <c r="Z598" s="7"/>
      <c r="AA598" s="7"/>
      <c r="AB598" s="7"/>
      <c r="AC598" s="7"/>
      <c r="AD598" s="7"/>
    </row>
    <row r="599" spans="1:30" ht="15.75" customHeight="1">
      <c r="A599" s="686"/>
      <c r="B599" s="687"/>
      <c r="C599" s="243"/>
      <c r="D599" s="244"/>
      <c r="E599" s="688"/>
      <c r="F599" s="688"/>
      <c r="G599" s="239"/>
      <c r="H599" s="239"/>
      <c r="I599" s="688"/>
      <c r="J599" s="7"/>
      <c r="K599" s="7"/>
      <c r="L599" s="239"/>
      <c r="M599" s="7"/>
      <c r="N599" s="7"/>
      <c r="O599" s="7"/>
      <c r="P599" s="7"/>
      <c r="Q599" s="7"/>
      <c r="R599" s="7"/>
      <c r="S599" s="7"/>
      <c r="T599" s="7"/>
      <c r="U599" s="7"/>
      <c r="V599" s="708"/>
      <c r="W599" s="7"/>
      <c r="X599" s="7"/>
      <c r="Y599" s="7"/>
      <c r="Z599" s="7"/>
      <c r="AA599" s="7"/>
      <c r="AB599" s="7"/>
      <c r="AC599" s="7"/>
      <c r="AD599" s="7"/>
    </row>
    <row r="600" spans="1:30" ht="15.75" customHeight="1">
      <c r="A600" s="686"/>
      <c r="B600" s="687"/>
      <c r="C600" s="243"/>
      <c r="D600" s="244"/>
      <c r="E600" s="688"/>
      <c r="F600" s="688"/>
      <c r="G600" s="239"/>
      <c r="H600" s="239"/>
      <c r="I600" s="688"/>
      <c r="J600" s="7"/>
      <c r="K600" s="7"/>
      <c r="L600" s="239"/>
      <c r="M600" s="7"/>
      <c r="N600" s="7"/>
      <c r="O600" s="7"/>
      <c r="P600" s="7"/>
      <c r="Q600" s="7"/>
      <c r="R600" s="7"/>
      <c r="S600" s="7"/>
      <c r="T600" s="7"/>
      <c r="U600" s="7"/>
      <c r="V600" s="708"/>
      <c r="W600" s="7"/>
      <c r="X600" s="7"/>
      <c r="Y600" s="7"/>
      <c r="Z600" s="7"/>
      <c r="AA600" s="7"/>
      <c r="AB600" s="7"/>
      <c r="AC600" s="7"/>
      <c r="AD600" s="7"/>
    </row>
    <row r="601" spans="1:30" ht="15.75" customHeight="1">
      <c r="A601" s="686"/>
      <c r="B601" s="687"/>
      <c r="C601" s="243"/>
      <c r="D601" s="244"/>
      <c r="E601" s="688"/>
      <c r="F601" s="688"/>
      <c r="G601" s="239"/>
      <c r="H601" s="239"/>
      <c r="I601" s="688"/>
      <c r="J601" s="7"/>
      <c r="K601" s="7"/>
      <c r="L601" s="239"/>
      <c r="M601" s="7"/>
      <c r="N601" s="7"/>
      <c r="O601" s="7"/>
      <c r="P601" s="7"/>
      <c r="Q601" s="7"/>
      <c r="R601" s="7"/>
      <c r="S601" s="7"/>
      <c r="T601" s="7"/>
      <c r="U601" s="7"/>
      <c r="V601" s="708"/>
      <c r="W601" s="7"/>
      <c r="X601" s="7"/>
      <c r="Y601" s="7"/>
      <c r="Z601" s="7"/>
      <c r="AA601" s="7"/>
      <c r="AB601" s="7"/>
      <c r="AC601" s="7"/>
      <c r="AD601" s="7"/>
    </row>
    <row r="602" spans="1:30" ht="15.75" customHeight="1">
      <c r="A602" s="686"/>
      <c r="B602" s="687"/>
      <c r="C602" s="243"/>
      <c r="D602" s="244"/>
      <c r="E602" s="688"/>
      <c r="F602" s="688"/>
      <c r="G602" s="239"/>
      <c r="H602" s="239"/>
      <c r="I602" s="688"/>
      <c r="J602" s="7"/>
      <c r="K602" s="7"/>
      <c r="L602" s="239"/>
      <c r="M602" s="7"/>
      <c r="N602" s="7"/>
      <c r="O602" s="7"/>
      <c r="P602" s="7"/>
      <c r="Q602" s="7"/>
      <c r="R602" s="7"/>
      <c r="S602" s="7"/>
      <c r="T602" s="7"/>
      <c r="U602" s="7"/>
      <c r="V602" s="708"/>
      <c r="W602" s="7"/>
      <c r="X602" s="7"/>
      <c r="Y602" s="7"/>
      <c r="Z602" s="7"/>
      <c r="AA602" s="7"/>
      <c r="AB602" s="7"/>
      <c r="AC602" s="7"/>
      <c r="AD602" s="7"/>
    </row>
    <row r="603" spans="1:30" ht="15.75" customHeight="1">
      <c r="A603" s="686"/>
      <c r="B603" s="687"/>
      <c r="C603" s="243"/>
      <c r="D603" s="244"/>
      <c r="E603" s="688"/>
      <c r="F603" s="688"/>
      <c r="G603" s="239"/>
      <c r="H603" s="239"/>
      <c r="I603" s="688"/>
      <c r="J603" s="7"/>
      <c r="K603" s="7"/>
      <c r="L603" s="239"/>
      <c r="M603" s="7"/>
      <c r="N603" s="7"/>
      <c r="O603" s="7"/>
      <c r="P603" s="7"/>
      <c r="Q603" s="7"/>
      <c r="R603" s="7"/>
      <c r="S603" s="7"/>
      <c r="T603" s="7"/>
      <c r="U603" s="7"/>
      <c r="V603" s="708"/>
      <c r="W603" s="7"/>
      <c r="X603" s="7"/>
      <c r="Y603" s="7"/>
      <c r="Z603" s="7"/>
      <c r="AA603" s="7"/>
      <c r="AB603" s="7"/>
      <c r="AC603" s="7"/>
      <c r="AD603" s="7"/>
    </row>
    <row r="604" spans="1:30" ht="15.75" customHeight="1">
      <c r="A604" s="686"/>
      <c r="B604" s="687"/>
      <c r="C604" s="243"/>
      <c r="D604" s="244"/>
      <c r="E604" s="688"/>
      <c r="F604" s="688"/>
      <c r="G604" s="239"/>
      <c r="H604" s="239"/>
      <c r="I604" s="688"/>
      <c r="J604" s="7"/>
      <c r="K604" s="7"/>
      <c r="L604" s="239"/>
      <c r="M604" s="7"/>
      <c r="N604" s="7"/>
      <c r="O604" s="7"/>
      <c r="P604" s="7"/>
      <c r="Q604" s="7"/>
      <c r="R604" s="7"/>
      <c r="S604" s="7"/>
      <c r="T604" s="7"/>
      <c r="U604" s="7"/>
      <c r="V604" s="708"/>
      <c r="W604" s="7"/>
      <c r="X604" s="7"/>
      <c r="Y604" s="7"/>
      <c r="Z604" s="7"/>
      <c r="AA604" s="7"/>
      <c r="AB604" s="7"/>
      <c r="AC604" s="7"/>
      <c r="AD604" s="7"/>
    </row>
    <row r="605" spans="1:30" ht="15.75" customHeight="1">
      <c r="A605" s="686"/>
      <c r="B605" s="687"/>
      <c r="C605" s="243"/>
      <c r="D605" s="244"/>
      <c r="E605" s="688"/>
      <c r="F605" s="688"/>
      <c r="G605" s="239"/>
      <c r="H605" s="239"/>
      <c r="I605" s="688"/>
      <c r="J605" s="7"/>
      <c r="K605" s="7"/>
      <c r="L605" s="239"/>
      <c r="M605" s="7"/>
      <c r="N605" s="7"/>
      <c r="O605" s="7"/>
      <c r="P605" s="7"/>
      <c r="Q605" s="7"/>
      <c r="R605" s="7"/>
      <c r="S605" s="7"/>
      <c r="T605" s="7"/>
      <c r="U605" s="7"/>
      <c r="V605" s="708"/>
      <c r="W605" s="7"/>
      <c r="X605" s="7"/>
      <c r="Y605" s="7"/>
      <c r="Z605" s="7"/>
      <c r="AA605" s="7"/>
      <c r="AB605" s="7"/>
      <c r="AC605" s="7"/>
      <c r="AD605" s="7"/>
    </row>
    <row r="606" spans="1:30" ht="15.75" customHeight="1">
      <c r="A606" s="686"/>
      <c r="B606" s="687"/>
      <c r="C606" s="243"/>
      <c r="D606" s="244"/>
      <c r="E606" s="688"/>
      <c r="F606" s="688"/>
      <c r="G606" s="239"/>
      <c r="H606" s="239"/>
      <c r="I606" s="688"/>
      <c r="J606" s="7"/>
      <c r="K606" s="7"/>
      <c r="L606" s="239"/>
      <c r="M606" s="7"/>
      <c r="N606" s="7"/>
      <c r="O606" s="7"/>
      <c r="P606" s="7"/>
      <c r="Q606" s="7"/>
      <c r="R606" s="7"/>
      <c r="S606" s="7"/>
      <c r="T606" s="7"/>
      <c r="U606" s="7"/>
      <c r="V606" s="708"/>
      <c r="W606" s="7"/>
      <c r="X606" s="7"/>
      <c r="Y606" s="7"/>
      <c r="Z606" s="7"/>
      <c r="AA606" s="7"/>
      <c r="AB606" s="7"/>
      <c r="AC606" s="7"/>
      <c r="AD606" s="7"/>
    </row>
    <row r="607" spans="1:30" ht="15.75" customHeight="1">
      <c r="A607" s="686"/>
      <c r="B607" s="687"/>
      <c r="C607" s="243"/>
      <c r="D607" s="244"/>
      <c r="E607" s="688"/>
      <c r="F607" s="688"/>
      <c r="G607" s="239"/>
      <c r="H607" s="239"/>
      <c r="I607" s="688"/>
      <c r="J607" s="7"/>
      <c r="K607" s="7"/>
      <c r="L607" s="239"/>
      <c r="M607" s="7"/>
      <c r="N607" s="7"/>
      <c r="O607" s="7"/>
      <c r="P607" s="7"/>
      <c r="Q607" s="7"/>
      <c r="R607" s="7"/>
      <c r="S607" s="7"/>
      <c r="T607" s="7"/>
      <c r="U607" s="7"/>
      <c r="V607" s="708"/>
      <c r="W607" s="7"/>
      <c r="X607" s="7"/>
      <c r="Y607" s="7"/>
      <c r="Z607" s="7"/>
      <c r="AA607" s="7"/>
      <c r="AB607" s="7"/>
      <c r="AC607" s="7"/>
      <c r="AD607" s="7"/>
    </row>
    <row r="608" spans="1:30" ht="15.75" customHeight="1">
      <c r="A608" s="686"/>
      <c r="B608" s="687"/>
      <c r="C608" s="243"/>
      <c r="D608" s="244"/>
      <c r="E608" s="688"/>
      <c r="F608" s="688"/>
      <c r="G608" s="239"/>
      <c r="H608" s="239"/>
      <c r="I608" s="688"/>
      <c r="J608" s="7"/>
      <c r="K608" s="7"/>
      <c r="L608" s="239"/>
      <c r="M608" s="7"/>
      <c r="N608" s="7"/>
      <c r="O608" s="7"/>
      <c r="P608" s="7"/>
      <c r="Q608" s="7"/>
      <c r="R608" s="7"/>
      <c r="S608" s="7"/>
      <c r="T608" s="7"/>
      <c r="U608" s="7"/>
      <c r="V608" s="708"/>
      <c r="W608" s="7"/>
      <c r="X608" s="7"/>
      <c r="Y608" s="7"/>
      <c r="Z608" s="7"/>
      <c r="AA608" s="7"/>
      <c r="AB608" s="7"/>
      <c r="AC608" s="7"/>
      <c r="AD608" s="7"/>
    </row>
    <row r="609" spans="1:30" ht="15.75" customHeight="1">
      <c r="A609" s="686"/>
      <c r="B609" s="687"/>
      <c r="C609" s="243"/>
      <c r="D609" s="244"/>
      <c r="E609" s="688"/>
      <c r="F609" s="688"/>
      <c r="G609" s="239"/>
      <c r="H609" s="239"/>
      <c r="I609" s="688"/>
      <c r="J609" s="7"/>
      <c r="K609" s="7"/>
      <c r="L609" s="239"/>
      <c r="M609" s="7"/>
      <c r="N609" s="7"/>
      <c r="O609" s="7"/>
      <c r="P609" s="7"/>
      <c r="Q609" s="7"/>
      <c r="R609" s="7"/>
      <c r="S609" s="7"/>
      <c r="T609" s="7"/>
      <c r="U609" s="7"/>
      <c r="V609" s="708"/>
      <c r="W609" s="7"/>
      <c r="X609" s="7"/>
      <c r="Y609" s="7"/>
      <c r="Z609" s="7"/>
      <c r="AA609" s="7"/>
      <c r="AB609" s="7"/>
      <c r="AC609" s="7"/>
      <c r="AD609" s="7"/>
    </row>
    <row r="610" spans="1:30" ht="15.75" customHeight="1">
      <c r="A610" s="686"/>
      <c r="B610" s="687"/>
      <c r="C610" s="243"/>
      <c r="D610" s="244"/>
      <c r="E610" s="688"/>
      <c r="F610" s="688"/>
      <c r="G610" s="239"/>
      <c r="H610" s="239"/>
      <c r="I610" s="688"/>
      <c r="J610" s="7"/>
      <c r="K610" s="7"/>
      <c r="L610" s="239"/>
      <c r="M610" s="7"/>
      <c r="N610" s="7"/>
      <c r="O610" s="7"/>
      <c r="P610" s="7"/>
      <c r="Q610" s="7"/>
      <c r="R610" s="7"/>
      <c r="S610" s="7"/>
      <c r="T610" s="7"/>
      <c r="U610" s="7"/>
      <c r="V610" s="708"/>
      <c r="W610" s="7"/>
      <c r="X610" s="7"/>
      <c r="Y610" s="7"/>
      <c r="Z610" s="7"/>
      <c r="AA610" s="7"/>
      <c r="AB610" s="7"/>
      <c r="AC610" s="7"/>
      <c r="AD610" s="7"/>
    </row>
    <row r="611" spans="1:30" ht="15.75" customHeight="1">
      <c r="A611" s="686"/>
      <c r="B611" s="687"/>
      <c r="C611" s="243"/>
      <c r="D611" s="244"/>
      <c r="E611" s="688"/>
      <c r="F611" s="688"/>
      <c r="G611" s="239"/>
      <c r="H611" s="239"/>
      <c r="I611" s="688"/>
      <c r="J611" s="7"/>
      <c r="K611" s="7"/>
      <c r="L611" s="239"/>
      <c r="M611" s="7"/>
      <c r="N611" s="7"/>
      <c r="O611" s="7"/>
      <c r="P611" s="7"/>
      <c r="Q611" s="7"/>
      <c r="R611" s="7"/>
      <c r="S611" s="7"/>
      <c r="T611" s="7"/>
      <c r="U611" s="7"/>
      <c r="V611" s="708"/>
      <c r="W611" s="7"/>
      <c r="X611" s="7"/>
      <c r="Y611" s="7"/>
      <c r="Z611" s="7"/>
      <c r="AA611" s="7"/>
      <c r="AB611" s="7"/>
      <c r="AC611" s="7"/>
      <c r="AD611" s="7"/>
    </row>
    <row r="612" spans="1:30" ht="15.75" customHeight="1">
      <c r="A612" s="686"/>
      <c r="B612" s="687"/>
      <c r="C612" s="243"/>
      <c r="D612" s="244"/>
      <c r="E612" s="688"/>
      <c r="F612" s="688"/>
      <c r="G612" s="239"/>
      <c r="H612" s="239"/>
      <c r="I612" s="688"/>
      <c r="J612" s="7"/>
      <c r="K612" s="7"/>
      <c r="L612" s="239"/>
      <c r="M612" s="7"/>
      <c r="N612" s="7"/>
      <c r="O612" s="7"/>
      <c r="P612" s="7"/>
      <c r="Q612" s="7"/>
      <c r="R612" s="7"/>
      <c r="S612" s="7"/>
      <c r="T612" s="7"/>
      <c r="U612" s="7"/>
      <c r="V612" s="708"/>
      <c r="W612" s="7"/>
      <c r="X612" s="7"/>
      <c r="Y612" s="7"/>
      <c r="Z612" s="7"/>
      <c r="AA612" s="7"/>
      <c r="AB612" s="7"/>
      <c r="AC612" s="7"/>
      <c r="AD612" s="7"/>
    </row>
    <row r="613" spans="1:30" ht="15.75" customHeight="1">
      <c r="A613" s="686"/>
      <c r="B613" s="687"/>
      <c r="C613" s="243"/>
      <c r="D613" s="244"/>
      <c r="E613" s="688"/>
      <c r="F613" s="688"/>
      <c r="G613" s="239"/>
      <c r="H613" s="239"/>
      <c r="I613" s="688"/>
      <c r="J613" s="7"/>
      <c r="K613" s="7"/>
      <c r="L613" s="239"/>
      <c r="M613" s="7"/>
      <c r="N613" s="7"/>
      <c r="O613" s="7"/>
      <c r="P613" s="7"/>
      <c r="Q613" s="7"/>
      <c r="R613" s="7"/>
      <c r="S613" s="7"/>
      <c r="T613" s="7"/>
      <c r="U613" s="7"/>
      <c r="V613" s="708"/>
      <c r="W613" s="7"/>
      <c r="X613" s="7"/>
      <c r="Y613" s="7"/>
      <c r="Z613" s="7"/>
      <c r="AA613" s="7"/>
      <c r="AB613" s="7"/>
      <c r="AC613" s="7"/>
      <c r="AD613" s="7"/>
    </row>
    <row r="614" spans="1:30" ht="15.75" customHeight="1">
      <c r="A614" s="686"/>
      <c r="B614" s="687"/>
      <c r="C614" s="243"/>
      <c r="D614" s="244"/>
      <c r="E614" s="688"/>
      <c r="F614" s="688"/>
      <c r="G614" s="239"/>
      <c r="H614" s="239"/>
      <c r="I614" s="688"/>
      <c r="J614" s="7"/>
      <c r="K614" s="7"/>
      <c r="L614" s="239"/>
      <c r="M614" s="7"/>
      <c r="N614" s="7"/>
      <c r="O614" s="7"/>
      <c r="P614" s="7"/>
      <c r="Q614" s="7"/>
      <c r="R614" s="7"/>
      <c r="S614" s="7"/>
      <c r="T614" s="7"/>
      <c r="U614" s="7"/>
      <c r="V614" s="708"/>
      <c r="W614" s="7"/>
      <c r="X614" s="7"/>
      <c r="Y614" s="7"/>
      <c r="Z614" s="7"/>
      <c r="AA614" s="7"/>
      <c r="AB614" s="7"/>
      <c r="AC614" s="7"/>
      <c r="AD614" s="7"/>
    </row>
    <row r="615" spans="1:30" ht="15.75" customHeight="1">
      <c r="A615" s="686"/>
      <c r="B615" s="687"/>
      <c r="C615" s="243"/>
      <c r="D615" s="244"/>
      <c r="E615" s="688"/>
      <c r="F615" s="688"/>
      <c r="G615" s="239"/>
      <c r="H615" s="239"/>
      <c r="I615" s="688"/>
      <c r="J615" s="7"/>
      <c r="K615" s="7"/>
      <c r="L615" s="239"/>
      <c r="M615" s="7"/>
      <c r="N615" s="7"/>
      <c r="O615" s="7"/>
      <c r="P615" s="7"/>
      <c r="Q615" s="7"/>
      <c r="R615" s="7"/>
      <c r="S615" s="7"/>
      <c r="T615" s="7"/>
      <c r="U615" s="7"/>
      <c r="V615" s="708"/>
      <c r="W615" s="7"/>
      <c r="X615" s="7"/>
      <c r="Y615" s="7"/>
      <c r="Z615" s="7"/>
      <c r="AA615" s="7"/>
      <c r="AB615" s="7"/>
      <c r="AC615" s="7"/>
      <c r="AD615" s="7"/>
    </row>
    <row r="616" spans="1:30" ht="15.75" customHeight="1">
      <c r="A616" s="686"/>
      <c r="B616" s="687"/>
      <c r="C616" s="243"/>
      <c r="D616" s="244"/>
      <c r="E616" s="688"/>
      <c r="F616" s="688"/>
      <c r="G616" s="239"/>
      <c r="H616" s="239"/>
      <c r="I616" s="688"/>
      <c r="J616" s="7"/>
      <c r="K616" s="7"/>
      <c r="L616" s="239"/>
      <c r="M616" s="7"/>
      <c r="N616" s="7"/>
      <c r="O616" s="7"/>
      <c r="P616" s="7"/>
      <c r="Q616" s="7"/>
      <c r="R616" s="7"/>
      <c r="S616" s="7"/>
      <c r="T616" s="7"/>
      <c r="U616" s="7"/>
      <c r="V616" s="708"/>
      <c r="W616" s="7"/>
      <c r="X616" s="7"/>
      <c r="Y616" s="7"/>
      <c r="Z616" s="7"/>
      <c r="AA616" s="7"/>
      <c r="AB616" s="7"/>
      <c r="AC616" s="7"/>
      <c r="AD616" s="7"/>
    </row>
    <row r="617" spans="1:30" ht="15.75" customHeight="1">
      <c r="A617" s="686"/>
      <c r="B617" s="687"/>
      <c r="C617" s="243"/>
      <c r="D617" s="244"/>
      <c r="E617" s="688"/>
      <c r="F617" s="688"/>
      <c r="G617" s="239"/>
      <c r="H617" s="239"/>
      <c r="I617" s="688"/>
      <c r="J617" s="7"/>
      <c r="K617" s="7"/>
      <c r="L617" s="239"/>
      <c r="M617" s="7"/>
      <c r="N617" s="7"/>
      <c r="O617" s="7"/>
      <c r="P617" s="7"/>
      <c r="Q617" s="7"/>
      <c r="R617" s="7"/>
      <c r="S617" s="7"/>
      <c r="T617" s="7"/>
      <c r="U617" s="7"/>
      <c r="V617" s="708"/>
      <c r="W617" s="7"/>
      <c r="X617" s="7"/>
      <c r="Y617" s="7"/>
      <c r="Z617" s="7"/>
      <c r="AA617" s="7"/>
      <c r="AB617" s="7"/>
      <c r="AC617" s="7"/>
      <c r="AD617" s="7"/>
    </row>
    <row r="618" spans="1:30" ht="15.75" customHeight="1">
      <c r="A618" s="686"/>
      <c r="B618" s="687"/>
      <c r="C618" s="243"/>
      <c r="D618" s="244"/>
      <c r="E618" s="688"/>
      <c r="F618" s="688"/>
      <c r="G618" s="239"/>
      <c r="H618" s="239"/>
      <c r="I618" s="688"/>
      <c r="J618" s="7"/>
      <c r="K618" s="7"/>
      <c r="L618" s="239"/>
      <c r="M618" s="7"/>
      <c r="N618" s="7"/>
      <c r="O618" s="7"/>
      <c r="P618" s="7"/>
      <c r="Q618" s="7"/>
      <c r="R618" s="7"/>
      <c r="S618" s="7"/>
      <c r="T618" s="7"/>
      <c r="U618" s="7"/>
      <c r="V618" s="708"/>
      <c r="W618" s="7"/>
      <c r="X618" s="7"/>
      <c r="Y618" s="7"/>
      <c r="Z618" s="7"/>
      <c r="AA618" s="7"/>
      <c r="AB618" s="7"/>
      <c r="AC618" s="7"/>
      <c r="AD618" s="7"/>
    </row>
    <row r="619" spans="1:30" ht="15.75" customHeight="1">
      <c r="A619" s="686"/>
      <c r="B619" s="687"/>
      <c r="C619" s="243"/>
      <c r="D619" s="244"/>
      <c r="E619" s="688"/>
      <c r="F619" s="688"/>
      <c r="G619" s="239"/>
      <c r="H619" s="239"/>
      <c r="I619" s="688"/>
      <c r="J619" s="7"/>
      <c r="K619" s="7"/>
      <c r="L619" s="239"/>
      <c r="M619" s="7"/>
      <c r="N619" s="7"/>
      <c r="O619" s="7"/>
      <c r="P619" s="7"/>
      <c r="Q619" s="7"/>
      <c r="R619" s="7"/>
      <c r="S619" s="7"/>
      <c r="T619" s="7"/>
      <c r="U619" s="7"/>
      <c r="V619" s="708"/>
      <c r="W619" s="7"/>
      <c r="X619" s="7"/>
      <c r="Y619" s="7"/>
      <c r="Z619" s="7"/>
      <c r="AA619" s="7"/>
      <c r="AB619" s="7"/>
      <c r="AC619" s="7"/>
      <c r="AD619" s="7"/>
    </row>
    <row r="620" spans="1:30" ht="15.75" customHeight="1">
      <c r="A620" s="686"/>
      <c r="B620" s="687"/>
      <c r="C620" s="243"/>
      <c r="D620" s="244"/>
      <c r="E620" s="688"/>
      <c r="F620" s="688"/>
      <c r="G620" s="239"/>
      <c r="H620" s="239"/>
      <c r="I620" s="688"/>
      <c r="J620" s="7"/>
      <c r="K620" s="7"/>
      <c r="L620" s="239"/>
      <c r="M620" s="7"/>
      <c r="N620" s="7"/>
      <c r="O620" s="7"/>
      <c r="P620" s="7"/>
      <c r="Q620" s="7"/>
      <c r="R620" s="7"/>
      <c r="S620" s="7"/>
      <c r="T620" s="7"/>
      <c r="U620" s="7"/>
      <c r="V620" s="708"/>
      <c r="W620" s="7"/>
      <c r="X620" s="7"/>
      <c r="Y620" s="7"/>
      <c r="Z620" s="7"/>
      <c r="AA620" s="7"/>
      <c r="AB620" s="7"/>
      <c r="AC620" s="7"/>
      <c r="AD620" s="7"/>
    </row>
    <row r="621" spans="1:30" ht="15.75" customHeight="1">
      <c r="A621" s="686"/>
      <c r="B621" s="687"/>
      <c r="C621" s="243"/>
      <c r="D621" s="244"/>
      <c r="E621" s="688"/>
      <c r="F621" s="688"/>
      <c r="G621" s="239"/>
      <c r="H621" s="239"/>
      <c r="I621" s="688"/>
      <c r="J621" s="7"/>
      <c r="K621" s="7"/>
      <c r="L621" s="239"/>
      <c r="M621" s="7"/>
      <c r="N621" s="7"/>
      <c r="O621" s="7"/>
      <c r="P621" s="7"/>
      <c r="Q621" s="7"/>
      <c r="R621" s="7"/>
      <c r="S621" s="7"/>
      <c r="T621" s="7"/>
      <c r="U621" s="7"/>
      <c r="V621" s="708"/>
      <c r="W621" s="7"/>
      <c r="X621" s="7"/>
      <c r="Y621" s="7"/>
      <c r="Z621" s="7"/>
      <c r="AA621" s="7"/>
      <c r="AB621" s="7"/>
      <c r="AC621" s="7"/>
      <c r="AD621" s="7"/>
    </row>
    <row r="622" spans="1:30" ht="15.75" customHeight="1">
      <c r="A622" s="686"/>
      <c r="B622" s="687"/>
      <c r="C622" s="243"/>
      <c r="D622" s="244"/>
      <c r="E622" s="688"/>
      <c r="F622" s="688"/>
      <c r="G622" s="239"/>
      <c r="H622" s="239"/>
      <c r="I622" s="688"/>
      <c r="J622" s="7"/>
      <c r="K622" s="7"/>
      <c r="L622" s="239"/>
      <c r="M622" s="7"/>
      <c r="N622" s="7"/>
      <c r="O622" s="7"/>
      <c r="P622" s="7"/>
      <c r="Q622" s="7"/>
      <c r="R622" s="7"/>
      <c r="S622" s="7"/>
      <c r="T622" s="7"/>
      <c r="U622" s="7"/>
      <c r="V622" s="708"/>
      <c r="W622" s="7"/>
      <c r="X622" s="7"/>
      <c r="Y622" s="7"/>
      <c r="Z622" s="7"/>
      <c r="AA622" s="7"/>
      <c r="AB622" s="7"/>
      <c r="AC622" s="7"/>
      <c r="AD622" s="7"/>
    </row>
    <row r="623" spans="1:30" ht="15.75" customHeight="1">
      <c r="A623" s="686"/>
      <c r="B623" s="687"/>
      <c r="C623" s="243"/>
      <c r="D623" s="244"/>
      <c r="E623" s="688"/>
      <c r="F623" s="688"/>
      <c r="G623" s="239"/>
      <c r="H623" s="239"/>
      <c r="I623" s="688"/>
      <c r="J623" s="7"/>
      <c r="K623" s="7"/>
      <c r="L623" s="239"/>
      <c r="M623" s="7"/>
      <c r="N623" s="7"/>
      <c r="O623" s="7"/>
      <c r="P623" s="7"/>
      <c r="Q623" s="7"/>
      <c r="R623" s="7"/>
      <c r="S623" s="7"/>
      <c r="T623" s="7"/>
      <c r="U623" s="7"/>
      <c r="V623" s="708"/>
      <c r="W623" s="7"/>
      <c r="X623" s="7"/>
      <c r="Y623" s="7"/>
      <c r="Z623" s="7"/>
      <c r="AA623" s="7"/>
      <c r="AB623" s="7"/>
      <c r="AC623" s="7"/>
      <c r="AD623" s="7"/>
    </row>
    <row r="624" spans="1:30" ht="15.75" customHeight="1">
      <c r="A624" s="686"/>
      <c r="B624" s="687"/>
      <c r="C624" s="243"/>
      <c r="D624" s="244"/>
      <c r="E624" s="688"/>
      <c r="F624" s="688"/>
      <c r="G624" s="239"/>
      <c r="H624" s="239"/>
      <c r="I624" s="688"/>
      <c r="J624" s="7"/>
      <c r="K624" s="7"/>
      <c r="L624" s="239"/>
      <c r="M624" s="7"/>
      <c r="N624" s="7"/>
      <c r="O624" s="7"/>
      <c r="P624" s="7"/>
      <c r="Q624" s="7"/>
      <c r="R624" s="7"/>
      <c r="S624" s="7"/>
      <c r="T624" s="7"/>
      <c r="U624" s="7"/>
      <c r="V624" s="708"/>
      <c r="W624" s="7"/>
      <c r="X624" s="7"/>
      <c r="Y624" s="7"/>
      <c r="Z624" s="7"/>
      <c r="AA624" s="7"/>
      <c r="AB624" s="7"/>
      <c r="AC624" s="7"/>
      <c r="AD624" s="7"/>
    </row>
    <row r="625" spans="1:30" ht="15.75" customHeight="1">
      <c r="A625" s="686"/>
      <c r="B625" s="687"/>
      <c r="C625" s="243"/>
      <c r="D625" s="244"/>
      <c r="E625" s="688"/>
      <c r="F625" s="688"/>
      <c r="G625" s="239"/>
      <c r="H625" s="239"/>
      <c r="I625" s="688"/>
      <c r="J625" s="7"/>
      <c r="K625" s="7"/>
      <c r="L625" s="239"/>
      <c r="M625" s="7"/>
      <c r="N625" s="7"/>
      <c r="O625" s="7"/>
      <c r="P625" s="7"/>
      <c r="Q625" s="7"/>
      <c r="R625" s="7"/>
      <c r="S625" s="7"/>
      <c r="T625" s="7"/>
      <c r="U625" s="7"/>
      <c r="V625" s="708"/>
      <c r="W625" s="7"/>
      <c r="X625" s="7"/>
      <c r="Y625" s="7"/>
      <c r="Z625" s="7"/>
      <c r="AA625" s="7"/>
      <c r="AB625" s="7"/>
      <c r="AC625" s="7"/>
      <c r="AD625" s="7"/>
    </row>
    <row r="626" spans="1:30" ht="15.75" customHeight="1">
      <c r="A626" s="686"/>
      <c r="B626" s="687"/>
      <c r="C626" s="243"/>
      <c r="D626" s="244"/>
      <c r="E626" s="688"/>
      <c r="F626" s="688"/>
      <c r="G626" s="239"/>
      <c r="H626" s="239"/>
      <c r="I626" s="688"/>
      <c r="J626" s="7"/>
      <c r="K626" s="7"/>
      <c r="L626" s="239"/>
      <c r="M626" s="7"/>
      <c r="N626" s="7"/>
      <c r="O626" s="7"/>
      <c r="P626" s="7"/>
      <c r="Q626" s="7"/>
      <c r="R626" s="7"/>
      <c r="S626" s="7"/>
      <c r="T626" s="7"/>
      <c r="U626" s="7"/>
      <c r="V626" s="708"/>
      <c r="W626" s="7"/>
      <c r="X626" s="7"/>
      <c r="Y626" s="7"/>
      <c r="Z626" s="7"/>
      <c r="AA626" s="7"/>
      <c r="AB626" s="7"/>
      <c r="AC626" s="7"/>
      <c r="AD626" s="7"/>
    </row>
    <row r="627" spans="1:30" ht="15.75" customHeight="1">
      <c r="A627" s="686"/>
      <c r="B627" s="687"/>
      <c r="C627" s="243"/>
      <c r="D627" s="244"/>
      <c r="E627" s="688"/>
      <c r="F627" s="688"/>
      <c r="G627" s="239"/>
      <c r="H627" s="239"/>
      <c r="I627" s="688"/>
      <c r="J627" s="7"/>
      <c r="K627" s="7"/>
      <c r="L627" s="239"/>
      <c r="M627" s="7"/>
      <c r="N627" s="7"/>
      <c r="O627" s="7"/>
      <c r="P627" s="7"/>
      <c r="Q627" s="7"/>
      <c r="R627" s="7"/>
      <c r="S627" s="7"/>
      <c r="T627" s="7"/>
      <c r="U627" s="7"/>
      <c r="V627" s="708"/>
      <c r="W627" s="7"/>
      <c r="X627" s="7"/>
      <c r="Y627" s="7"/>
      <c r="Z627" s="7"/>
      <c r="AA627" s="7"/>
      <c r="AB627" s="7"/>
      <c r="AC627" s="7"/>
      <c r="AD627" s="7"/>
    </row>
    <row r="628" spans="1:30" ht="15.75" customHeight="1">
      <c r="A628" s="686"/>
      <c r="B628" s="687"/>
      <c r="C628" s="243"/>
      <c r="D628" s="244"/>
      <c r="E628" s="688"/>
      <c r="F628" s="688"/>
      <c r="G628" s="239"/>
      <c r="H628" s="239"/>
      <c r="I628" s="688"/>
      <c r="J628" s="7"/>
      <c r="K628" s="7"/>
      <c r="L628" s="239"/>
      <c r="M628" s="7"/>
      <c r="N628" s="7"/>
      <c r="O628" s="7"/>
      <c r="P628" s="7"/>
      <c r="Q628" s="7"/>
      <c r="R628" s="7"/>
      <c r="S628" s="7"/>
      <c r="T628" s="7"/>
      <c r="U628" s="7"/>
      <c r="V628" s="708"/>
      <c r="W628" s="7"/>
      <c r="X628" s="7"/>
      <c r="Y628" s="7"/>
      <c r="Z628" s="7"/>
      <c r="AA628" s="7"/>
      <c r="AB628" s="7"/>
      <c r="AC628" s="7"/>
      <c r="AD628" s="7"/>
    </row>
    <row r="629" spans="1:30" ht="15.75" customHeight="1">
      <c r="A629" s="686"/>
      <c r="B629" s="687"/>
      <c r="C629" s="243"/>
      <c r="D629" s="244"/>
      <c r="E629" s="688"/>
      <c r="F629" s="688"/>
      <c r="G629" s="239"/>
      <c r="H629" s="239"/>
      <c r="I629" s="688"/>
      <c r="J629" s="7"/>
      <c r="K629" s="7"/>
      <c r="L629" s="239"/>
      <c r="M629" s="7"/>
      <c r="N629" s="7"/>
      <c r="O629" s="7"/>
      <c r="P629" s="7"/>
      <c r="Q629" s="7"/>
      <c r="R629" s="7"/>
      <c r="S629" s="7"/>
      <c r="T629" s="7"/>
      <c r="U629" s="7"/>
      <c r="V629" s="708"/>
      <c r="W629" s="7"/>
      <c r="X629" s="7"/>
      <c r="Y629" s="7"/>
      <c r="Z629" s="7"/>
      <c r="AA629" s="7"/>
      <c r="AB629" s="7"/>
      <c r="AC629" s="7"/>
      <c r="AD629" s="7"/>
    </row>
    <row r="630" spans="1:30" ht="15.75" customHeight="1">
      <c r="A630" s="686"/>
      <c r="B630" s="687"/>
      <c r="C630" s="243"/>
      <c r="D630" s="244"/>
      <c r="E630" s="688"/>
      <c r="F630" s="688"/>
      <c r="G630" s="239"/>
      <c r="H630" s="239"/>
      <c r="I630" s="688"/>
      <c r="J630" s="7"/>
      <c r="K630" s="7"/>
      <c r="L630" s="239"/>
      <c r="M630" s="7"/>
      <c r="N630" s="7"/>
      <c r="O630" s="7"/>
      <c r="P630" s="7"/>
      <c r="Q630" s="7"/>
      <c r="R630" s="7"/>
      <c r="S630" s="7"/>
      <c r="T630" s="7"/>
      <c r="U630" s="7"/>
      <c r="V630" s="708"/>
      <c r="W630" s="7"/>
      <c r="X630" s="7"/>
      <c r="Y630" s="7"/>
      <c r="Z630" s="7"/>
      <c r="AA630" s="7"/>
      <c r="AB630" s="7"/>
      <c r="AC630" s="7"/>
      <c r="AD630" s="7"/>
    </row>
    <row r="631" spans="1:30" ht="15.75" customHeight="1">
      <c r="A631" s="686"/>
      <c r="B631" s="687"/>
      <c r="C631" s="243"/>
      <c r="D631" s="244"/>
      <c r="E631" s="688"/>
      <c r="F631" s="688"/>
      <c r="G631" s="239"/>
      <c r="H631" s="239"/>
      <c r="I631" s="688"/>
      <c r="J631" s="7"/>
      <c r="K631" s="7"/>
      <c r="L631" s="239"/>
      <c r="M631" s="7"/>
      <c r="N631" s="7"/>
      <c r="O631" s="7"/>
      <c r="P631" s="7"/>
      <c r="Q631" s="7"/>
      <c r="R631" s="7"/>
      <c r="S631" s="7"/>
      <c r="T631" s="7"/>
      <c r="U631" s="7"/>
      <c r="V631" s="708"/>
      <c r="W631" s="7"/>
      <c r="X631" s="7"/>
      <c r="Y631" s="7"/>
      <c r="Z631" s="7"/>
      <c r="AA631" s="7"/>
      <c r="AB631" s="7"/>
      <c r="AC631" s="7"/>
      <c r="AD631" s="7"/>
    </row>
    <row r="632" spans="1:30" ht="15.75" customHeight="1">
      <c r="A632" s="686"/>
      <c r="B632" s="687"/>
      <c r="C632" s="243"/>
      <c r="D632" s="244"/>
      <c r="E632" s="688"/>
      <c r="F632" s="688"/>
      <c r="G632" s="239"/>
      <c r="H632" s="239"/>
      <c r="I632" s="688"/>
      <c r="J632" s="7"/>
      <c r="K632" s="7"/>
      <c r="L632" s="239"/>
      <c r="M632" s="7"/>
      <c r="N632" s="7"/>
      <c r="O632" s="7"/>
      <c r="P632" s="7"/>
      <c r="Q632" s="7"/>
      <c r="R632" s="7"/>
      <c r="S632" s="7"/>
      <c r="T632" s="7"/>
      <c r="U632" s="7"/>
      <c r="V632" s="708"/>
      <c r="W632" s="7"/>
      <c r="X632" s="7"/>
      <c r="Y632" s="7"/>
      <c r="Z632" s="7"/>
      <c r="AA632" s="7"/>
      <c r="AB632" s="7"/>
      <c r="AC632" s="7"/>
      <c r="AD632" s="7"/>
    </row>
    <row r="633" spans="1:30" ht="15.75" customHeight="1">
      <c r="A633" s="686"/>
      <c r="B633" s="687"/>
      <c r="C633" s="243"/>
      <c r="D633" s="244"/>
      <c r="E633" s="688"/>
      <c r="F633" s="688"/>
      <c r="G633" s="239"/>
      <c r="H633" s="239"/>
      <c r="I633" s="688"/>
      <c r="J633" s="7"/>
      <c r="K633" s="7"/>
      <c r="L633" s="239"/>
      <c r="M633" s="7"/>
      <c r="N633" s="7"/>
      <c r="O633" s="7"/>
      <c r="P633" s="7"/>
      <c r="Q633" s="7"/>
      <c r="R633" s="7"/>
      <c r="S633" s="7"/>
      <c r="T633" s="7"/>
      <c r="U633" s="7"/>
      <c r="V633" s="708"/>
      <c r="W633" s="7"/>
      <c r="X633" s="7"/>
      <c r="Y633" s="7"/>
      <c r="Z633" s="7"/>
      <c r="AA633" s="7"/>
      <c r="AB633" s="7"/>
      <c r="AC633" s="7"/>
      <c r="AD633" s="7"/>
    </row>
    <row r="634" spans="1:30" ht="15.75" customHeight="1">
      <c r="A634" s="686"/>
      <c r="B634" s="687"/>
      <c r="C634" s="243"/>
      <c r="D634" s="244"/>
      <c r="E634" s="688"/>
      <c r="F634" s="688"/>
      <c r="G634" s="239"/>
      <c r="H634" s="239"/>
      <c r="I634" s="688"/>
      <c r="J634" s="7"/>
      <c r="K634" s="7"/>
      <c r="L634" s="239"/>
      <c r="M634" s="7"/>
      <c r="N634" s="7"/>
      <c r="O634" s="7"/>
      <c r="P634" s="7"/>
      <c r="Q634" s="7"/>
      <c r="R634" s="7"/>
      <c r="S634" s="7"/>
      <c r="T634" s="7"/>
      <c r="U634" s="7"/>
      <c r="V634" s="708"/>
      <c r="W634" s="7"/>
      <c r="X634" s="7"/>
      <c r="Y634" s="7"/>
      <c r="Z634" s="7"/>
      <c r="AA634" s="7"/>
      <c r="AB634" s="7"/>
      <c r="AC634" s="7"/>
      <c r="AD634" s="7"/>
    </row>
    <row r="635" spans="1:30" ht="15.75" customHeight="1">
      <c r="A635" s="686"/>
      <c r="B635" s="687"/>
      <c r="C635" s="243"/>
      <c r="D635" s="244"/>
      <c r="E635" s="688"/>
      <c r="F635" s="688"/>
      <c r="G635" s="239"/>
      <c r="H635" s="239"/>
      <c r="I635" s="688"/>
      <c r="J635" s="7"/>
      <c r="K635" s="7"/>
      <c r="L635" s="239"/>
      <c r="M635" s="7"/>
      <c r="N635" s="7"/>
      <c r="O635" s="7"/>
      <c r="P635" s="7"/>
      <c r="Q635" s="7"/>
      <c r="R635" s="7"/>
      <c r="S635" s="7"/>
      <c r="T635" s="7"/>
      <c r="U635" s="7"/>
      <c r="V635" s="708"/>
      <c r="W635" s="7"/>
      <c r="X635" s="7"/>
      <c r="Y635" s="7"/>
      <c r="Z635" s="7"/>
      <c r="AA635" s="7"/>
      <c r="AB635" s="7"/>
      <c r="AC635" s="7"/>
      <c r="AD635" s="7"/>
    </row>
    <row r="636" spans="1:30" ht="15.75" customHeight="1">
      <c r="A636" s="686"/>
      <c r="B636" s="687"/>
      <c r="C636" s="243"/>
      <c r="D636" s="244"/>
      <c r="E636" s="688"/>
      <c r="F636" s="688"/>
      <c r="G636" s="239"/>
      <c r="H636" s="239"/>
      <c r="I636" s="688"/>
      <c r="J636" s="7"/>
      <c r="K636" s="7"/>
      <c r="L636" s="239"/>
      <c r="M636" s="7"/>
      <c r="N636" s="7"/>
      <c r="O636" s="7"/>
      <c r="P636" s="7"/>
      <c r="Q636" s="7"/>
      <c r="R636" s="7"/>
      <c r="S636" s="7"/>
      <c r="T636" s="7"/>
      <c r="U636" s="7"/>
      <c r="V636" s="708"/>
      <c r="W636" s="7"/>
      <c r="X636" s="7"/>
      <c r="Y636" s="7"/>
      <c r="Z636" s="7"/>
      <c r="AA636" s="7"/>
      <c r="AB636" s="7"/>
      <c r="AC636" s="7"/>
      <c r="AD636" s="7"/>
    </row>
    <row r="637" spans="1:30" ht="15.75" customHeight="1">
      <c r="A637" s="686"/>
      <c r="B637" s="687"/>
      <c r="C637" s="243"/>
      <c r="D637" s="244"/>
      <c r="E637" s="688"/>
      <c r="F637" s="688"/>
      <c r="G637" s="239"/>
      <c r="H637" s="239"/>
      <c r="I637" s="688"/>
      <c r="J637" s="7"/>
      <c r="K637" s="7"/>
      <c r="L637" s="239"/>
      <c r="M637" s="7"/>
      <c r="N637" s="7"/>
      <c r="O637" s="7"/>
      <c r="P637" s="7"/>
      <c r="Q637" s="7"/>
      <c r="R637" s="7"/>
      <c r="S637" s="7"/>
      <c r="T637" s="7"/>
      <c r="U637" s="7"/>
      <c r="V637" s="708"/>
      <c r="W637" s="7"/>
      <c r="X637" s="7"/>
      <c r="Y637" s="7"/>
      <c r="Z637" s="7"/>
      <c r="AA637" s="7"/>
      <c r="AB637" s="7"/>
      <c r="AC637" s="7"/>
      <c r="AD637" s="7"/>
    </row>
    <row r="638" spans="1:30" ht="15.75" customHeight="1">
      <c r="A638" s="686"/>
      <c r="B638" s="687"/>
      <c r="C638" s="243"/>
      <c r="D638" s="244"/>
      <c r="E638" s="688"/>
      <c r="F638" s="688"/>
      <c r="G638" s="167"/>
      <c r="H638" s="167"/>
      <c r="I638" s="688"/>
      <c r="J638" s="7"/>
      <c r="K638" s="7"/>
      <c r="L638" s="239"/>
      <c r="M638" s="7"/>
      <c r="N638" s="7"/>
      <c r="O638" s="7"/>
      <c r="P638" s="7"/>
      <c r="Q638" s="7"/>
      <c r="R638" s="7"/>
      <c r="S638" s="7"/>
      <c r="T638" s="7"/>
      <c r="U638" s="7"/>
      <c r="V638" s="708"/>
      <c r="W638" s="7"/>
      <c r="X638" s="7"/>
      <c r="Y638" s="7"/>
      <c r="Z638" s="7"/>
      <c r="AA638" s="7"/>
      <c r="AB638" s="7"/>
      <c r="AC638" s="7"/>
      <c r="AD638" s="7"/>
    </row>
    <row r="639" spans="1:30" ht="15.75" customHeight="1">
      <c r="A639" s="686"/>
      <c r="B639" s="687"/>
      <c r="C639" s="243"/>
      <c r="D639" s="244"/>
      <c r="E639" s="688"/>
      <c r="F639" s="688"/>
      <c r="G639" s="167"/>
      <c r="H639" s="167"/>
      <c r="I639" s="688"/>
      <c r="J639" s="7"/>
      <c r="K639" s="7"/>
      <c r="L639" s="239"/>
      <c r="M639" s="7"/>
      <c r="N639" s="7"/>
      <c r="O639" s="7"/>
      <c r="P639" s="7"/>
      <c r="Q639" s="7"/>
      <c r="R639" s="7"/>
      <c r="S639" s="7"/>
      <c r="T639" s="7"/>
      <c r="U639" s="7"/>
      <c r="V639" s="708"/>
      <c r="W639" s="7"/>
      <c r="X639" s="7"/>
      <c r="Y639" s="7"/>
      <c r="Z639" s="7"/>
      <c r="AA639" s="7"/>
      <c r="AB639" s="7"/>
      <c r="AC639" s="7"/>
      <c r="AD639" s="7"/>
    </row>
    <row r="640" spans="1:30" ht="15.75" customHeight="1">
      <c r="A640" s="686"/>
      <c r="B640" s="687"/>
      <c r="C640" s="243"/>
      <c r="D640" s="244"/>
      <c r="E640" s="688"/>
      <c r="F640" s="688"/>
      <c r="G640" s="167"/>
      <c r="H640" s="167"/>
      <c r="I640" s="688"/>
      <c r="J640" s="7"/>
      <c r="K640" s="7"/>
      <c r="L640" s="239"/>
      <c r="M640" s="7"/>
      <c r="N640" s="7"/>
      <c r="O640" s="7"/>
      <c r="P640" s="7"/>
      <c r="Q640" s="7"/>
      <c r="R640" s="7"/>
      <c r="S640" s="7"/>
      <c r="T640" s="7"/>
      <c r="U640" s="7"/>
      <c r="V640" s="708"/>
      <c r="W640" s="7"/>
      <c r="X640" s="7"/>
      <c r="Y640" s="7"/>
      <c r="Z640" s="7"/>
      <c r="AA640" s="7"/>
      <c r="AB640" s="7"/>
      <c r="AC640" s="7"/>
      <c r="AD640" s="7"/>
    </row>
    <row r="641" spans="1:30" ht="15.75" customHeight="1">
      <c r="A641" s="686"/>
      <c r="B641" s="687"/>
      <c r="C641" s="243"/>
      <c r="D641" s="244"/>
      <c r="E641" s="688"/>
      <c r="F641" s="688"/>
      <c r="G641" s="167"/>
      <c r="H641" s="167"/>
      <c r="I641" s="688"/>
      <c r="J641" s="7"/>
      <c r="K641" s="7"/>
      <c r="L641" s="239"/>
      <c r="M641" s="7"/>
      <c r="N641" s="7"/>
      <c r="O641" s="7"/>
      <c r="P641" s="7"/>
      <c r="Q641" s="7"/>
      <c r="R641" s="7"/>
      <c r="S641" s="7"/>
      <c r="T641" s="7"/>
      <c r="U641" s="7"/>
      <c r="V641" s="708"/>
      <c r="W641" s="7"/>
      <c r="X641" s="7"/>
      <c r="Y641" s="7"/>
      <c r="Z641" s="7"/>
      <c r="AA641" s="7"/>
      <c r="AB641" s="7"/>
      <c r="AC641" s="7"/>
      <c r="AD641" s="7"/>
    </row>
    <row r="642" spans="1:30" ht="15.75" customHeight="1">
      <c r="A642" s="686"/>
      <c r="B642" s="687"/>
      <c r="C642" s="243"/>
      <c r="D642" s="244"/>
      <c r="E642" s="688"/>
      <c r="F642" s="688"/>
      <c r="G642" s="167"/>
      <c r="H642" s="167"/>
      <c r="I642" s="688"/>
      <c r="J642" s="7"/>
      <c r="K642" s="7"/>
      <c r="L642" s="239"/>
      <c r="M642" s="7"/>
      <c r="N642" s="7"/>
      <c r="O642" s="7"/>
      <c r="P642" s="7"/>
      <c r="Q642" s="7"/>
      <c r="R642" s="7"/>
      <c r="S642" s="7"/>
      <c r="T642" s="7"/>
      <c r="U642" s="7"/>
      <c r="V642" s="708"/>
      <c r="W642" s="7"/>
      <c r="X642" s="7"/>
      <c r="Y642" s="7"/>
      <c r="Z642" s="7"/>
      <c r="AA642" s="7"/>
      <c r="AB642" s="7"/>
      <c r="AC642" s="7"/>
      <c r="AD642" s="7"/>
    </row>
    <row r="643" spans="1:30" ht="15.75" customHeight="1">
      <c r="A643" s="686"/>
      <c r="B643" s="687"/>
      <c r="C643" s="243"/>
      <c r="D643" s="244"/>
      <c r="E643" s="688"/>
      <c r="F643" s="688"/>
      <c r="G643" s="167"/>
      <c r="H643" s="167"/>
      <c r="I643" s="688"/>
      <c r="J643" s="7"/>
      <c r="K643" s="7"/>
      <c r="L643" s="239"/>
      <c r="M643" s="7"/>
      <c r="N643" s="7"/>
      <c r="O643" s="7"/>
      <c r="P643" s="7"/>
      <c r="Q643" s="7"/>
      <c r="R643" s="7"/>
      <c r="S643" s="7"/>
      <c r="T643" s="7"/>
      <c r="U643" s="7"/>
      <c r="V643" s="708"/>
      <c r="W643" s="7"/>
      <c r="X643" s="7"/>
      <c r="Y643" s="7"/>
      <c r="Z643" s="7"/>
      <c r="AA643" s="7"/>
      <c r="AB643" s="7"/>
      <c r="AC643" s="7"/>
      <c r="AD643" s="7"/>
    </row>
    <row r="644" spans="1:30" ht="15.75" customHeight="1">
      <c r="A644" s="686"/>
      <c r="B644" s="687"/>
      <c r="C644" s="243"/>
      <c r="D644" s="244"/>
      <c r="E644" s="688"/>
      <c r="F644" s="688"/>
      <c r="G644" s="167"/>
      <c r="H644" s="167"/>
      <c r="I644" s="688"/>
      <c r="J644" s="7"/>
      <c r="K644" s="7"/>
      <c r="L644" s="239"/>
      <c r="M644" s="7"/>
      <c r="N644" s="7"/>
      <c r="O644" s="7"/>
      <c r="P644" s="7"/>
      <c r="Q644" s="7"/>
      <c r="R644" s="7"/>
      <c r="S644" s="7"/>
      <c r="T644" s="7"/>
      <c r="U644" s="7"/>
      <c r="V644" s="708"/>
      <c r="W644" s="7"/>
      <c r="X644" s="7"/>
      <c r="Y644" s="7"/>
      <c r="Z644" s="7"/>
      <c r="AA644" s="7"/>
      <c r="AB644" s="7"/>
      <c r="AC644" s="7"/>
      <c r="AD644" s="7"/>
    </row>
    <row r="645" spans="1:30" ht="15.75" customHeight="1">
      <c r="A645" s="686"/>
      <c r="B645" s="687"/>
      <c r="C645" s="243"/>
      <c r="D645" s="244"/>
      <c r="E645" s="688"/>
      <c r="F645" s="688"/>
      <c r="G645" s="167"/>
      <c r="H645" s="167"/>
      <c r="I645" s="688"/>
      <c r="J645" s="7"/>
      <c r="K645" s="7"/>
      <c r="L645" s="239"/>
      <c r="M645" s="7"/>
      <c r="N645" s="7"/>
      <c r="O645" s="7"/>
      <c r="P645" s="7"/>
      <c r="Q645" s="7"/>
      <c r="R645" s="7"/>
      <c r="S645" s="7"/>
      <c r="T645" s="7"/>
      <c r="U645" s="7"/>
      <c r="V645" s="708"/>
      <c r="W645" s="7"/>
      <c r="X645" s="7"/>
      <c r="Y645" s="7"/>
      <c r="Z645" s="7"/>
      <c r="AA645" s="7"/>
      <c r="AB645" s="7"/>
      <c r="AC645" s="7"/>
      <c r="AD645" s="7"/>
    </row>
    <row r="646" spans="1:30" ht="15.75" customHeight="1">
      <c r="A646" s="686"/>
      <c r="B646" s="687"/>
      <c r="C646" s="243"/>
      <c r="D646" s="244"/>
      <c r="E646" s="688"/>
      <c r="F646" s="688"/>
      <c r="G646" s="167"/>
      <c r="H646" s="167"/>
      <c r="I646" s="688"/>
      <c r="J646" s="7"/>
      <c r="K646" s="7"/>
      <c r="L646" s="239"/>
      <c r="M646" s="7"/>
      <c r="N646" s="7"/>
      <c r="O646" s="7"/>
      <c r="P646" s="7"/>
      <c r="Q646" s="7"/>
      <c r="R646" s="7"/>
      <c r="S646" s="7"/>
      <c r="T646" s="7"/>
      <c r="U646" s="7"/>
      <c r="V646" s="708"/>
      <c r="W646" s="7"/>
      <c r="X646" s="7"/>
      <c r="Y646" s="7"/>
      <c r="Z646" s="7"/>
      <c r="AA646" s="7"/>
      <c r="AB646" s="7"/>
      <c r="AC646" s="7"/>
      <c r="AD646" s="7"/>
    </row>
    <row r="647" spans="1:30" ht="15.75" customHeight="1">
      <c r="A647" s="686"/>
      <c r="B647" s="687"/>
      <c r="C647" s="243"/>
      <c r="D647" s="244"/>
      <c r="E647" s="688"/>
      <c r="F647" s="688"/>
      <c r="G647" s="167"/>
      <c r="H647" s="167"/>
      <c r="I647" s="688"/>
      <c r="J647" s="7"/>
      <c r="K647" s="7"/>
      <c r="L647" s="239"/>
      <c r="M647" s="7"/>
      <c r="N647" s="7"/>
      <c r="O647" s="7"/>
      <c r="P647" s="7"/>
      <c r="Q647" s="7"/>
      <c r="R647" s="7"/>
      <c r="S647" s="7"/>
      <c r="T647" s="7"/>
      <c r="U647" s="7"/>
      <c r="V647" s="708"/>
      <c r="W647" s="7"/>
      <c r="X647" s="7"/>
      <c r="Y647" s="7"/>
      <c r="Z647" s="7"/>
      <c r="AA647" s="7"/>
      <c r="AB647" s="7"/>
      <c r="AC647" s="7"/>
      <c r="AD647" s="7"/>
    </row>
    <row r="648" spans="1:30" ht="15.75" customHeight="1">
      <c r="A648" s="686"/>
      <c r="B648" s="687"/>
      <c r="C648" s="243"/>
      <c r="D648" s="244"/>
      <c r="E648" s="688"/>
      <c r="F648" s="688"/>
      <c r="G648" s="167"/>
      <c r="H648" s="7"/>
      <c r="I648" s="688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08"/>
      <c r="W648" s="7"/>
      <c r="X648" s="7"/>
      <c r="Y648" s="7"/>
      <c r="Z648" s="7"/>
      <c r="AA648" s="7"/>
      <c r="AB648" s="7"/>
      <c r="AC648" s="7"/>
      <c r="AD648" s="7"/>
    </row>
    <row r="649" spans="1:30" ht="15.75" customHeight="1">
      <c r="A649" s="686"/>
      <c r="B649" s="687"/>
      <c r="C649" s="243"/>
      <c r="D649" s="244"/>
      <c r="E649" s="688"/>
      <c r="F649" s="688"/>
      <c r="G649" s="167"/>
      <c r="H649" s="7"/>
      <c r="I649" s="688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08"/>
      <c r="W649" s="7"/>
      <c r="X649" s="7"/>
      <c r="Y649" s="7"/>
      <c r="Z649" s="7"/>
      <c r="AA649" s="7"/>
      <c r="AB649" s="7"/>
      <c r="AC649" s="7"/>
      <c r="AD649" s="7"/>
    </row>
    <row r="650" spans="1:30" ht="15.75" customHeight="1">
      <c r="A650" s="686"/>
      <c r="B650" s="687"/>
      <c r="C650" s="243"/>
      <c r="D650" s="244"/>
      <c r="E650" s="688"/>
      <c r="F650" s="688"/>
      <c r="G650" s="167"/>
      <c r="H650" s="7"/>
      <c r="I650" s="688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08"/>
      <c r="W650" s="7"/>
      <c r="X650" s="7"/>
      <c r="Y650" s="7"/>
      <c r="Z650" s="7"/>
      <c r="AA650" s="7"/>
      <c r="AB650" s="7"/>
      <c r="AC650" s="7"/>
      <c r="AD650" s="7"/>
    </row>
    <row r="651" spans="1:30" ht="15.75" customHeight="1">
      <c r="A651" s="686"/>
      <c r="B651" s="687"/>
      <c r="C651" s="243"/>
      <c r="D651" s="244"/>
      <c r="E651" s="688"/>
      <c r="F651" s="688"/>
      <c r="G651" s="167"/>
      <c r="H651" s="7"/>
      <c r="I651" s="688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08"/>
      <c r="W651" s="7"/>
      <c r="X651" s="7"/>
      <c r="Y651" s="7"/>
      <c r="Z651" s="7"/>
      <c r="AA651" s="7"/>
      <c r="AB651" s="7"/>
      <c r="AC651" s="7"/>
      <c r="AD651" s="7"/>
    </row>
    <row r="652" spans="1:30" ht="15.75" customHeight="1">
      <c r="A652" s="686"/>
      <c r="B652" s="687"/>
      <c r="C652" s="243"/>
      <c r="D652" s="244"/>
      <c r="E652" s="688"/>
      <c r="F652" s="688"/>
      <c r="G652" s="167"/>
      <c r="H652" s="7"/>
      <c r="I652" s="688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08"/>
      <c r="W652" s="7"/>
      <c r="X652" s="7"/>
      <c r="Y652" s="7"/>
      <c r="Z652" s="7"/>
      <c r="AA652" s="7"/>
      <c r="AB652" s="7"/>
      <c r="AC652" s="7"/>
      <c r="AD652" s="7"/>
    </row>
    <row r="653" spans="1:30" ht="15.75" customHeight="1">
      <c r="A653" s="686"/>
      <c r="B653" s="687"/>
      <c r="C653" s="243"/>
      <c r="D653" s="244"/>
      <c r="E653" s="688"/>
      <c r="F653" s="688"/>
      <c r="G653" s="167"/>
      <c r="H653" s="7"/>
      <c r="I653" s="688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08"/>
      <c r="W653" s="7"/>
      <c r="X653" s="7"/>
      <c r="Y653" s="7"/>
      <c r="Z653" s="7"/>
      <c r="AA653" s="7"/>
      <c r="AB653" s="7"/>
      <c r="AC653" s="7"/>
      <c r="AD653" s="7"/>
    </row>
    <row r="654" spans="1:30" ht="15.75" customHeight="1">
      <c r="A654" s="686"/>
      <c r="B654" s="687"/>
      <c r="C654" s="243"/>
      <c r="D654" s="244"/>
      <c r="E654" s="688"/>
      <c r="F654" s="688"/>
      <c r="G654" s="167"/>
      <c r="H654" s="7"/>
      <c r="I654" s="688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08"/>
      <c r="W654" s="7"/>
      <c r="X654" s="7"/>
      <c r="Y654" s="7"/>
      <c r="Z654" s="7"/>
      <c r="AA654" s="7"/>
      <c r="AB654" s="7"/>
      <c r="AC654" s="7"/>
      <c r="AD654" s="7"/>
    </row>
    <row r="655" spans="1:30" ht="15.75" customHeight="1">
      <c r="A655" s="686"/>
      <c r="B655" s="687"/>
      <c r="C655" s="243"/>
      <c r="D655" s="244"/>
      <c r="E655" s="688"/>
      <c r="F655" s="688"/>
      <c r="G655" s="167"/>
      <c r="H655" s="7"/>
      <c r="I655" s="688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08"/>
      <c r="W655" s="7"/>
      <c r="X655" s="7"/>
      <c r="Y655" s="7"/>
      <c r="Z655" s="7"/>
      <c r="AA655" s="7"/>
      <c r="AB655" s="7"/>
      <c r="AC655" s="7"/>
      <c r="AD655" s="7"/>
    </row>
    <row r="656" spans="1:30" ht="15.75" customHeight="1">
      <c r="A656" s="686"/>
      <c r="B656" s="687"/>
      <c r="C656" s="243"/>
      <c r="D656" s="244"/>
      <c r="E656" s="688"/>
      <c r="F656" s="688"/>
      <c r="G656" s="167"/>
      <c r="H656" s="7"/>
      <c r="I656" s="688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08"/>
      <c r="W656" s="7"/>
      <c r="X656" s="7"/>
      <c r="Y656" s="7"/>
      <c r="Z656" s="7"/>
      <c r="AA656" s="7"/>
      <c r="AB656" s="7"/>
      <c r="AC656" s="7"/>
      <c r="AD656" s="7"/>
    </row>
    <row r="657" spans="1:30" ht="15.75" customHeight="1">
      <c r="A657" s="686"/>
      <c r="B657" s="687"/>
      <c r="C657" s="243"/>
      <c r="D657" s="244"/>
      <c r="E657" s="688"/>
      <c r="F657" s="688"/>
      <c r="G657" s="167"/>
      <c r="H657" s="7"/>
      <c r="I657" s="688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08"/>
      <c r="W657" s="7"/>
      <c r="X657" s="7"/>
      <c r="Y657" s="7"/>
      <c r="Z657" s="7"/>
      <c r="AA657" s="7"/>
      <c r="AB657" s="7"/>
      <c r="AC657" s="7"/>
      <c r="AD657" s="7"/>
    </row>
    <row r="658" spans="1:30" ht="14.25" customHeight="1">
      <c r="A658" s="7"/>
      <c r="B658" s="7"/>
      <c r="C658" s="7"/>
      <c r="D658" s="7"/>
      <c r="E658" s="7"/>
      <c r="F658" s="7"/>
      <c r="G658" s="16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08"/>
      <c r="W658" s="7"/>
      <c r="X658" s="7"/>
      <c r="Y658" s="7"/>
      <c r="Z658" s="7"/>
      <c r="AA658" s="7"/>
      <c r="AB658" s="7"/>
      <c r="AC658" s="7"/>
      <c r="AD658" s="7"/>
    </row>
    <row r="659" spans="1:30" ht="14.25" customHeight="1">
      <c r="A659" s="7"/>
      <c r="B659" s="7"/>
      <c r="C659" s="7"/>
      <c r="D659" s="7"/>
      <c r="E659" s="7"/>
      <c r="F659" s="7"/>
      <c r="G659" s="16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08"/>
      <c r="W659" s="7"/>
      <c r="X659" s="7"/>
      <c r="Y659" s="7"/>
      <c r="Z659" s="7"/>
      <c r="AA659" s="7"/>
      <c r="AB659" s="7"/>
      <c r="AC659" s="7"/>
      <c r="AD659" s="7"/>
    </row>
    <row r="660" spans="1:30" ht="14.25" customHeight="1">
      <c r="A660" s="7"/>
      <c r="B660" s="7"/>
      <c r="C660" s="7"/>
      <c r="D660" s="7"/>
      <c r="E660" s="7"/>
      <c r="F660" s="7"/>
      <c r="G660" s="16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08"/>
      <c r="W660" s="7"/>
      <c r="X660" s="7"/>
      <c r="Y660" s="7"/>
      <c r="Z660" s="7"/>
      <c r="AA660" s="7"/>
      <c r="AB660" s="7"/>
      <c r="AC660" s="7"/>
      <c r="AD660" s="7"/>
    </row>
    <row r="661" spans="1:30" ht="14.25" customHeight="1">
      <c r="A661" s="7"/>
      <c r="B661" s="7"/>
      <c r="C661" s="7"/>
      <c r="D661" s="7"/>
      <c r="E661" s="7"/>
      <c r="F661" s="7"/>
      <c r="G661" s="16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08"/>
      <c r="W661" s="7"/>
      <c r="X661" s="7"/>
      <c r="Y661" s="7"/>
      <c r="Z661" s="7"/>
      <c r="AA661" s="7"/>
      <c r="AB661" s="7"/>
      <c r="AC661" s="7"/>
      <c r="AD661" s="7"/>
    </row>
    <row r="662" spans="1:30" ht="14.25" customHeight="1">
      <c r="A662" s="7"/>
      <c r="B662" s="7"/>
      <c r="C662" s="7"/>
      <c r="D662" s="7"/>
      <c r="E662" s="7"/>
      <c r="F662" s="7"/>
      <c r="G662" s="16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08"/>
      <c r="W662" s="7"/>
      <c r="X662" s="7"/>
      <c r="Y662" s="7"/>
      <c r="Z662" s="7"/>
      <c r="AA662" s="7"/>
      <c r="AB662" s="7"/>
      <c r="AC662" s="7"/>
      <c r="AD662" s="7"/>
    </row>
    <row r="663" spans="1:30" ht="14.25" customHeight="1">
      <c r="A663" s="7"/>
      <c r="B663" s="7"/>
      <c r="C663" s="7"/>
      <c r="D663" s="7"/>
      <c r="E663" s="7"/>
      <c r="F663" s="7"/>
      <c r="G663" s="16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08"/>
      <c r="W663" s="7"/>
      <c r="X663" s="7"/>
      <c r="Y663" s="7"/>
      <c r="Z663" s="7"/>
      <c r="AA663" s="7"/>
      <c r="AB663" s="7"/>
      <c r="AC663" s="7"/>
      <c r="AD663" s="7"/>
    </row>
    <row r="664" spans="1:30" ht="14.25" customHeight="1">
      <c r="A664" s="7"/>
      <c r="B664" s="7"/>
      <c r="C664" s="7"/>
      <c r="D664" s="7"/>
      <c r="E664" s="7"/>
      <c r="F664" s="7"/>
      <c r="G664" s="16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08"/>
      <c r="W664" s="7"/>
      <c r="X664" s="7"/>
      <c r="Y664" s="7"/>
      <c r="Z664" s="7"/>
      <c r="AA664" s="7"/>
      <c r="AB664" s="7"/>
      <c r="AC664" s="7"/>
      <c r="AD664" s="7"/>
    </row>
    <row r="665" spans="1:30" ht="14.25" customHeight="1">
      <c r="A665" s="7"/>
      <c r="B665" s="7"/>
      <c r="C665" s="7"/>
      <c r="D665" s="7"/>
      <c r="E665" s="7"/>
      <c r="F665" s="7"/>
      <c r="G665" s="16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08"/>
      <c r="W665" s="7"/>
      <c r="X665" s="7"/>
      <c r="Y665" s="7"/>
      <c r="Z665" s="7"/>
      <c r="AA665" s="7"/>
      <c r="AB665" s="7"/>
      <c r="AC665" s="7"/>
      <c r="AD665" s="7"/>
    </row>
    <row r="666" spans="1:30" ht="14.25" customHeight="1">
      <c r="A666" s="7"/>
      <c r="B666" s="7"/>
      <c r="C666" s="7"/>
      <c r="D666" s="7"/>
      <c r="E666" s="7"/>
      <c r="F666" s="7"/>
      <c r="G666" s="16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08"/>
      <c r="W666" s="7"/>
      <c r="X666" s="7"/>
      <c r="Y666" s="7"/>
      <c r="Z666" s="7"/>
      <c r="AA666" s="7"/>
      <c r="AB666" s="7"/>
      <c r="AC666" s="7"/>
      <c r="AD666" s="7"/>
    </row>
    <row r="667" spans="1:30" ht="14.25" customHeight="1">
      <c r="A667" s="7"/>
      <c r="B667" s="7"/>
      <c r="C667" s="7"/>
      <c r="D667" s="7"/>
      <c r="E667" s="7"/>
      <c r="F667" s="7"/>
      <c r="G667" s="16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08"/>
      <c r="W667" s="7"/>
      <c r="X667" s="7"/>
      <c r="Y667" s="7"/>
      <c r="Z667" s="7"/>
      <c r="AA667" s="7"/>
      <c r="AB667" s="7"/>
      <c r="AC667" s="7"/>
      <c r="AD667" s="7"/>
    </row>
    <row r="668" spans="1:30" ht="14.25" customHeight="1">
      <c r="A668" s="7"/>
      <c r="B668" s="7"/>
      <c r="C668" s="7"/>
      <c r="D668" s="7"/>
      <c r="E668" s="7"/>
      <c r="F668" s="7"/>
      <c r="G668" s="16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08"/>
      <c r="W668" s="7"/>
      <c r="X668" s="7"/>
      <c r="Y668" s="7"/>
      <c r="Z668" s="7"/>
      <c r="AA668" s="7"/>
      <c r="AB668" s="7"/>
      <c r="AC668" s="7"/>
      <c r="AD668" s="7"/>
    </row>
    <row r="669" spans="1:30" ht="14.25" customHeight="1">
      <c r="A669" s="7"/>
      <c r="B669" s="7"/>
      <c r="C669" s="7"/>
      <c r="D669" s="7"/>
      <c r="E669" s="7"/>
      <c r="F669" s="7"/>
      <c r="G669" s="16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08"/>
      <c r="W669" s="7"/>
      <c r="X669" s="7"/>
      <c r="Y669" s="7"/>
      <c r="Z669" s="7"/>
      <c r="AA669" s="7"/>
      <c r="AB669" s="7"/>
      <c r="AC669" s="7"/>
      <c r="AD669" s="7"/>
    </row>
    <row r="670" spans="1:30" ht="14.25" customHeight="1">
      <c r="A670" s="7"/>
      <c r="B670" s="7"/>
      <c r="C670" s="7"/>
      <c r="D670" s="7"/>
      <c r="E670" s="7"/>
      <c r="F670" s="7"/>
      <c r="G670" s="16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08"/>
      <c r="W670" s="7"/>
      <c r="X670" s="7"/>
      <c r="Y670" s="7"/>
      <c r="Z670" s="7"/>
      <c r="AA670" s="7"/>
      <c r="AB670" s="7"/>
      <c r="AC670" s="7"/>
      <c r="AD670" s="7"/>
    </row>
    <row r="671" spans="1:30" ht="14.25" customHeight="1">
      <c r="A671" s="7"/>
      <c r="B671" s="7"/>
      <c r="C671" s="7"/>
      <c r="D671" s="7"/>
      <c r="E671" s="7"/>
      <c r="F671" s="7"/>
      <c r="G671" s="16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08"/>
      <c r="W671" s="7"/>
      <c r="X671" s="7"/>
      <c r="Y671" s="7"/>
      <c r="Z671" s="7"/>
      <c r="AA671" s="7"/>
      <c r="AB671" s="7"/>
      <c r="AC671" s="7"/>
      <c r="AD671" s="7"/>
    </row>
    <row r="672" spans="1:30" ht="14.25" customHeight="1">
      <c r="A672" s="7"/>
      <c r="B672" s="7"/>
      <c r="C672" s="7"/>
      <c r="D672" s="7"/>
      <c r="E672" s="7"/>
      <c r="F672" s="7"/>
      <c r="G672" s="16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08"/>
      <c r="W672" s="7"/>
      <c r="X672" s="7"/>
      <c r="Y672" s="7"/>
      <c r="Z672" s="7"/>
      <c r="AA672" s="7"/>
      <c r="AB672" s="7"/>
      <c r="AC672" s="7"/>
      <c r="AD672" s="7"/>
    </row>
    <row r="673" spans="1:30" ht="14.25" customHeight="1">
      <c r="A673" s="7"/>
      <c r="B673" s="7"/>
      <c r="C673" s="7"/>
      <c r="D673" s="7"/>
      <c r="E673" s="7"/>
      <c r="F673" s="7"/>
      <c r="G673" s="16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08"/>
      <c r="W673" s="7"/>
      <c r="X673" s="7"/>
      <c r="Y673" s="7"/>
      <c r="Z673" s="7"/>
      <c r="AA673" s="7"/>
      <c r="AB673" s="7"/>
      <c r="AC673" s="7"/>
      <c r="AD673" s="7"/>
    </row>
    <row r="674" spans="1:30" ht="14.25" customHeight="1">
      <c r="A674" s="7"/>
      <c r="B674" s="7"/>
      <c r="C674" s="7"/>
      <c r="D674" s="7"/>
      <c r="E674" s="7"/>
      <c r="F674" s="7"/>
      <c r="G674" s="16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08"/>
      <c r="W674" s="7"/>
      <c r="X674" s="7"/>
      <c r="Y674" s="7"/>
      <c r="Z674" s="7"/>
      <c r="AA674" s="7"/>
      <c r="AB674" s="7"/>
      <c r="AC674" s="7"/>
      <c r="AD674" s="7"/>
    </row>
    <row r="675" spans="1:30" ht="14.25" customHeight="1">
      <c r="A675" s="7"/>
      <c r="B675" s="7"/>
      <c r="C675" s="7"/>
      <c r="D675" s="7"/>
      <c r="E675" s="7"/>
      <c r="F675" s="7"/>
      <c r="G675" s="16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08"/>
      <c r="W675" s="7"/>
      <c r="X675" s="7"/>
      <c r="Y675" s="7"/>
      <c r="Z675" s="7"/>
      <c r="AA675" s="7"/>
      <c r="AB675" s="7"/>
      <c r="AC675" s="7"/>
      <c r="AD675" s="7"/>
    </row>
    <row r="676" spans="1:30" ht="14.25" customHeight="1">
      <c r="A676" s="7"/>
      <c r="B676" s="7"/>
      <c r="C676" s="7"/>
      <c r="D676" s="7"/>
      <c r="E676" s="7"/>
      <c r="F676" s="7"/>
      <c r="G676" s="16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08"/>
      <c r="W676" s="7"/>
      <c r="X676" s="7"/>
      <c r="Y676" s="7"/>
      <c r="Z676" s="7"/>
      <c r="AA676" s="7"/>
      <c r="AB676" s="7"/>
      <c r="AC676" s="7"/>
      <c r="AD676" s="7"/>
    </row>
    <row r="677" spans="1:30" ht="14.25" customHeight="1">
      <c r="A677" s="7"/>
      <c r="B677" s="7"/>
      <c r="C677" s="7"/>
      <c r="D677" s="7"/>
      <c r="E677" s="7"/>
      <c r="F677" s="7"/>
      <c r="G677" s="16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08"/>
      <c r="W677" s="7"/>
      <c r="X677" s="7"/>
      <c r="Y677" s="7"/>
      <c r="Z677" s="7"/>
      <c r="AA677" s="7"/>
      <c r="AB677" s="7"/>
      <c r="AC677" s="7"/>
      <c r="AD677" s="7"/>
    </row>
    <row r="678" spans="1:30" ht="14.25" customHeight="1">
      <c r="A678" s="7"/>
      <c r="B678" s="7"/>
      <c r="C678" s="7"/>
      <c r="D678" s="7"/>
      <c r="E678" s="7"/>
      <c r="F678" s="7"/>
      <c r="G678" s="16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08"/>
      <c r="W678" s="7"/>
      <c r="X678" s="7"/>
      <c r="Y678" s="7"/>
      <c r="Z678" s="7"/>
      <c r="AA678" s="7"/>
      <c r="AB678" s="7"/>
      <c r="AC678" s="7"/>
      <c r="AD678" s="7"/>
    </row>
    <row r="679" spans="1:30" ht="14.25" customHeight="1">
      <c r="A679" s="7"/>
      <c r="B679" s="7"/>
      <c r="C679" s="7"/>
      <c r="D679" s="7"/>
      <c r="E679" s="7"/>
      <c r="F679" s="7"/>
      <c r="G679" s="16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08"/>
      <c r="W679" s="7"/>
      <c r="X679" s="7"/>
      <c r="Y679" s="7"/>
      <c r="Z679" s="7"/>
      <c r="AA679" s="7"/>
      <c r="AB679" s="7"/>
      <c r="AC679" s="7"/>
      <c r="AD679" s="7"/>
    </row>
    <row r="680" spans="1:30" ht="14.25" customHeight="1">
      <c r="A680" s="7"/>
      <c r="B680" s="7"/>
      <c r="C680" s="7"/>
      <c r="D680" s="7"/>
      <c r="E680" s="7"/>
      <c r="F680" s="7"/>
      <c r="G680" s="16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08"/>
      <c r="W680" s="7"/>
      <c r="X680" s="7"/>
      <c r="Y680" s="7"/>
      <c r="Z680" s="7"/>
      <c r="AA680" s="7"/>
      <c r="AB680" s="7"/>
      <c r="AC680" s="7"/>
      <c r="AD680" s="7"/>
    </row>
    <row r="681" spans="1:30" ht="14.25" customHeight="1">
      <c r="A681" s="7"/>
      <c r="B681" s="7"/>
      <c r="C681" s="7"/>
      <c r="D681" s="7"/>
      <c r="E681" s="7"/>
      <c r="F681" s="7"/>
      <c r="G681" s="16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08"/>
      <c r="W681" s="7"/>
      <c r="X681" s="7"/>
      <c r="Y681" s="7"/>
      <c r="Z681" s="7"/>
      <c r="AA681" s="7"/>
      <c r="AB681" s="7"/>
      <c r="AC681" s="7"/>
      <c r="AD681" s="7"/>
    </row>
    <row r="682" spans="1:30" ht="14.25" customHeight="1">
      <c r="A682" s="7"/>
      <c r="B682" s="7"/>
      <c r="C682" s="7"/>
      <c r="D682" s="7"/>
      <c r="E682" s="7"/>
      <c r="F682" s="7"/>
      <c r="G682" s="16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08"/>
      <c r="W682" s="7"/>
      <c r="X682" s="7"/>
      <c r="Y682" s="7"/>
      <c r="Z682" s="7"/>
      <c r="AA682" s="7"/>
      <c r="AB682" s="7"/>
      <c r="AC682" s="7"/>
      <c r="AD682" s="7"/>
    </row>
    <row r="683" spans="1:30" ht="14.25" customHeight="1">
      <c r="A683" s="7"/>
      <c r="B683" s="7"/>
      <c r="C683" s="7"/>
      <c r="D683" s="7"/>
      <c r="E683" s="7"/>
      <c r="F683" s="7"/>
      <c r="G683" s="16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08"/>
      <c r="W683" s="7"/>
      <c r="X683" s="7"/>
      <c r="Y683" s="7"/>
      <c r="Z683" s="7"/>
      <c r="AA683" s="7"/>
      <c r="AB683" s="7"/>
      <c r="AC683" s="7"/>
      <c r="AD683" s="7"/>
    </row>
    <row r="684" spans="1:30" ht="14.25" customHeight="1">
      <c r="A684" s="7"/>
      <c r="B684" s="7"/>
      <c r="C684" s="7"/>
      <c r="D684" s="7"/>
      <c r="E684" s="7"/>
      <c r="F684" s="7"/>
      <c r="G684" s="16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08"/>
      <c r="W684" s="7"/>
      <c r="X684" s="7"/>
      <c r="Y684" s="7"/>
      <c r="Z684" s="7"/>
      <c r="AA684" s="7"/>
      <c r="AB684" s="7"/>
      <c r="AC684" s="7"/>
      <c r="AD684" s="7"/>
    </row>
    <row r="685" spans="1:30" ht="14.25" customHeight="1">
      <c r="A685" s="7"/>
      <c r="B685" s="7"/>
      <c r="C685" s="7"/>
      <c r="D685" s="7"/>
      <c r="E685" s="7"/>
      <c r="F685" s="7"/>
      <c r="G685" s="16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08"/>
      <c r="W685" s="7"/>
      <c r="X685" s="7"/>
      <c r="Y685" s="7"/>
      <c r="Z685" s="7"/>
      <c r="AA685" s="7"/>
      <c r="AB685" s="7"/>
      <c r="AC685" s="7"/>
      <c r="AD685" s="7"/>
    </row>
    <row r="686" spans="1:30" ht="14.25" customHeight="1">
      <c r="A686" s="7"/>
      <c r="B686" s="7"/>
      <c r="C686" s="7"/>
      <c r="D686" s="7"/>
      <c r="E686" s="7"/>
      <c r="F686" s="7"/>
      <c r="G686" s="16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08"/>
      <c r="W686" s="7"/>
      <c r="X686" s="7"/>
      <c r="Y686" s="7"/>
      <c r="Z686" s="7"/>
      <c r="AA686" s="7"/>
      <c r="AB686" s="7"/>
      <c r="AC686" s="7"/>
      <c r="AD686" s="7"/>
    </row>
    <row r="687" spans="1:30" ht="14.25" customHeight="1">
      <c r="A687" s="7"/>
      <c r="B687" s="7"/>
      <c r="C687" s="7"/>
      <c r="D687" s="7"/>
      <c r="E687" s="7"/>
      <c r="F687" s="7"/>
      <c r="G687" s="16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08"/>
      <c r="W687" s="7"/>
      <c r="X687" s="7"/>
      <c r="Y687" s="7"/>
      <c r="Z687" s="7"/>
      <c r="AA687" s="7"/>
      <c r="AB687" s="7"/>
      <c r="AC687" s="7"/>
      <c r="AD687" s="7"/>
    </row>
    <row r="688" spans="1:30" ht="14.25" customHeight="1">
      <c r="A688" s="7"/>
      <c r="B688" s="7"/>
      <c r="C688" s="7"/>
      <c r="D688" s="7"/>
      <c r="E688" s="7"/>
      <c r="F688" s="7"/>
      <c r="G688" s="16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08"/>
      <c r="W688" s="7"/>
      <c r="X688" s="7"/>
      <c r="Y688" s="7"/>
      <c r="Z688" s="7"/>
      <c r="AA688" s="7"/>
      <c r="AB688" s="7"/>
      <c r="AC688" s="7"/>
      <c r="AD688" s="7"/>
    </row>
    <row r="689" spans="1:30" ht="14.25" customHeight="1">
      <c r="A689" s="7"/>
      <c r="B689" s="7"/>
      <c r="C689" s="7"/>
      <c r="D689" s="7"/>
      <c r="E689" s="7"/>
      <c r="F689" s="7"/>
      <c r="G689" s="16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08"/>
      <c r="W689" s="7"/>
      <c r="X689" s="7"/>
      <c r="Y689" s="7"/>
      <c r="Z689" s="7"/>
      <c r="AA689" s="7"/>
      <c r="AB689" s="7"/>
      <c r="AC689" s="7"/>
      <c r="AD689" s="7"/>
    </row>
    <row r="690" spans="1:30" ht="14.25" customHeight="1">
      <c r="A690" s="7"/>
      <c r="B690" s="7"/>
      <c r="C690" s="7"/>
      <c r="D690" s="7"/>
      <c r="E690" s="7"/>
      <c r="F690" s="7"/>
      <c r="G690" s="16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08"/>
      <c r="W690" s="7"/>
      <c r="X690" s="7"/>
      <c r="Y690" s="7"/>
      <c r="Z690" s="7"/>
      <c r="AA690" s="7"/>
      <c r="AB690" s="7"/>
      <c r="AC690" s="7"/>
      <c r="AD690" s="7"/>
    </row>
    <row r="691" spans="1:30" ht="14.25" customHeight="1">
      <c r="A691" s="7"/>
      <c r="B691" s="7"/>
      <c r="C691" s="7"/>
      <c r="D691" s="7"/>
      <c r="E691" s="7"/>
      <c r="F691" s="7"/>
      <c r="G691" s="16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08"/>
      <c r="W691" s="7"/>
      <c r="X691" s="7"/>
      <c r="Y691" s="7"/>
      <c r="Z691" s="7"/>
      <c r="AA691" s="7"/>
      <c r="AB691" s="7"/>
      <c r="AC691" s="7"/>
      <c r="AD691" s="7"/>
    </row>
    <row r="692" spans="1:30" ht="14.25" customHeight="1">
      <c r="A692" s="7"/>
      <c r="B692" s="7"/>
      <c r="C692" s="7"/>
      <c r="D692" s="7"/>
      <c r="E692" s="7"/>
      <c r="F692" s="7"/>
      <c r="G692" s="16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08"/>
      <c r="W692" s="7"/>
      <c r="X692" s="7"/>
      <c r="Y692" s="7"/>
      <c r="Z692" s="7"/>
      <c r="AA692" s="7"/>
      <c r="AB692" s="7"/>
      <c r="AC692" s="7"/>
      <c r="AD692" s="7"/>
    </row>
    <row r="693" spans="1:30" ht="14.25" customHeight="1">
      <c r="A693" s="7"/>
      <c r="B693" s="7"/>
      <c r="C693" s="7"/>
      <c r="D693" s="7"/>
      <c r="E693" s="7"/>
      <c r="F693" s="7"/>
      <c r="G693" s="16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08"/>
      <c r="W693" s="7"/>
      <c r="X693" s="7"/>
      <c r="Y693" s="7"/>
      <c r="Z693" s="7"/>
      <c r="AA693" s="7"/>
      <c r="AB693" s="7"/>
      <c r="AC693" s="7"/>
      <c r="AD693" s="7"/>
    </row>
    <row r="694" spans="1:30" ht="14.25" customHeight="1">
      <c r="A694" s="7"/>
      <c r="B694" s="7"/>
      <c r="C694" s="7"/>
      <c r="D694" s="7"/>
      <c r="E694" s="7"/>
      <c r="F694" s="7"/>
      <c r="G694" s="16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08"/>
      <c r="W694" s="7"/>
      <c r="X694" s="7"/>
      <c r="Y694" s="7"/>
      <c r="Z694" s="7"/>
      <c r="AA694" s="7"/>
      <c r="AB694" s="7"/>
      <c r="AC694" s="7"/>
      <c r="AD694" s="7"/>
    </row>
    <row r="695" spans="1:30" ht="14.25" customHeight="1">
      <c r="A695" s="7"/>
      <c r="B695" s="7"/>
      <c r="C695" s="7"/>
      <c r="D695" s="7"/>
      <c r="E695" s="7"/>
      <c r="F695" s="7"/>
      <c r="G695" s="16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08"/>
      <c r="W695" s="7"/>
      <c r="X695" s="7"/>
      <c r="Y695" s="7"/>
      <c r="Z695" s="7"/>
      <c r="AA695" s="7"/>
      <c r="AB695" s="7"/>
      <c r="AC695" s="7"/>
      <c r="AD695" s="7"/>
    </row>
    <row r="696" spans="1:30" ht="14.25" customHeight="1">
      <c r="A696" s="7"/>
      <c r="B696" s="7"/>
      <c r="C696" s="7"/>
      <c r="D696" s="7"/>
      <c r="E696" s="7"/>
      <c r="F696" s="7"/>
      <c r="G696" s="16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08"/>
      <c r="W696" s="7"/>
      <c r="X696" s="7"/>
      <c r="Y696" s="7"/>
      <c r="Z696" s="7"/>
      <c r="AA696" s="7"/>
      <c r="AB696" s="7"/>
      <c r="AC696" s="7"/>
      <c r="AD696" s="7"/>
    </row>
    <row r="697" spans="1:30" ht="14.25" customHeight="1">
      <c r="A697" s="7"/>
      <c r="B697" s="7"/>
      <c r="C697" s="7"/>
      <c r="D697" s="7"/>
      <c r="E697" s="7"/>
      <c r="F697" s="7"/>
      <c r="G697" s="16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08"/>
      <c r="W697" s="7"/>
      <c r="X697" s="7"/>
      <c r="Y697" s="7"/>
      <c r="Z697" s="7"/>
      <c r="AA697" s="7"/>
      <c r="AB697" s="7"/>
      <c r="AC697" s="7"/>
      <c r="AD697" s="7"/>
    </row>
    <row r="698" spans="1:30" ht="14.25" customHeight="1">
      <c r="A698" s="7"/>
      <c r="B698" s="7"/>
      <c r="C698" s="7"/>
      <c r="D698" s="7"/>
      <c r="E698" s="7"/>
      <c r="F698" s="7"/>
      <c r="G698" s="16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08"/>
      <c r="W698" s="7"/>
      <c r="X698" s="7"/>
      <c r="Y698" s="7"/>
      <c r="Z698" s="7"/>
      <c r="AA698" s="7"/>
      <c r="AB698" s="7"/>
      <c r="AC698" s="7"/>
      <c r="AD698" s="7"/>
    </row>
    <row r="699" spans="1:30" ht="14.25" customHeight="1">
      <c r="A699" s="7"/>
      <c r="B699" s="7"/>
      <c r="C699" s="7"/>
      <c r="D699" s="7"/>
      <c r="E699" s="7"/>
      <c r="F699" s="7"/>
      <c r="G699" s="16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08"/>
      <c r="W699" s="7"/>
      <c r="X699" s="7"/>
      <c r="Y699" s="7"/>
      <c r="Z699" s="7"/>
      <c r="AA699" s="7"/>
      <c r="AB699" s="7"/>
      <c r="AC699" s="7"/>
      <c r="AD699" s="7"/>
    </row>
    <row r="700" spans="1:30" ht="14.25" customHeight="1">
      <c r="A700" s="7"/>
      <c r="B700" s="7"/>
      <c r="C700" s="7"/>
      <c r="D700" s="7"/>
      <c r="E700" s="7"/>
      <c r="F700" s="7"/>
      <c r="G700" s="16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08"/>
      <c r="W700" s="7"/>
      <c r="X700" s="7"/>
      <c r="Y700" s="7"/>
      <c r="Z700" s="7"/>
      <c r="AA700" s="7"/>
      <c r="AB700" s="7"/>
      <c r="AC700" s="7"/>
      <c r="AD700" s="7"/>
    </row>
    <row r="701" spans="1:30" ht="14.25" customHeight="1">
      <c r="A701" s="7"/>
      <c r="B701" s="7"/>
      <c r="C701" s="7"/>
      <c r="D701" s="7"/>
      <c r="E701" s="7"/>
      <c r="F701" s="7"/>
      <c r="G701" s="16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08"/>
      <c r="W701" s="7"/>
      <c r="X701" s="7"/>
      <c r="Y701" s="7"/>
      <c r="Z701" s="7"/>
      <c r="AA701" s="7"/>
      <c r="AB701" s="7"/>
      <c r="AC701" s="7"/>
      <c r="AD701" s="7"/>
    </row>
    <row r="702" spans="1:30" ht="14.25" customHeight="1">
      <c r="A702" s="7"/>
      <c r="B702" s="7"/>
      <c r="C702" s="7"/>
      <c r="D702" s="7"/>
      <c r="E702" s="7"/>
      <c r="F702" s="7"/>
      <c r="G702" s="16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08"/>
      <c r="W702" s="7"/>
      <c r="X702" s="7"/>
      <c r="Y702" s="7"/>
      <c r="Z702" s="7"/>
      <c r="AA702" s="7"/>
      <c r="AB702" s="7"/>
      <c r="AC702" s="7"/>
      <c r="AD702" s="7"/>
    </row>
    <row r="703" spans="1:30" ht="14.25" customHeight="1">
      <c r="A703" s="7"/>
      <c r="B703" s="7"/>
      <c r="C703" s="7"/>
      <c r="D703" s="7"/>
      <c r="E703" s="7"/>
      <c r="F703" s="7"/>
      <c r="G703" s="16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08"/>
      <c r="W703" s="7"/>
      <c r="X703" s="7"/>
      <c r="Y703" s="7"/>
      <c r="Z703" s="7"/>
      <c r="AA703" s="7"/>
      <c r="AB703" s="7"/>
      <c r="AC703" s="7"/>
      <c r="AD703" s="7"/>
    </row>
    <row r="704" spans="1:30" ht="14.25" customHeight="1">
      <c r="A704" s="7"/>
      <c r="B704" s="7"/>
      <c r="C704" s="7"/>
      <c r="D704" s="7"/>
      <c r="E704" s="7"/>
      <c r="F704" s="7"/>
      <c r="G704" s="16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08"/>
      <c r="W704" s="7"/>
      <c r="X704" s="7"/>
      <c r="Y704" s="7"/>
      <c r="Z704" s="7"/>
      <c r="AA704" s="7"/>
      <c r="AB704" s="7"/>
      <c r="AC704" s="7"/>
      <c r="AD704" s="7"/>
    </row>
    <row r="705" spans="1:30" ht="14.25" customHeight="1">
      <c r="A705" s="7"/>
      <c r="B705" s="7"/>
      <c r="C705" s="7"/>
      <c r="D705" s="7"/>
      <c r="E705" s="7"/>
      <c r="F705" s="7"/>
      <c r="G705" s="16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08"/>
      <c r="W705" s="7"/>
      <c r="X705" s="7"/>
      <c r="Y705" s="7"/>
      <c r="Z705" s="7"/>
      <c r="AA705" s="7"/>
      <c r="AB705" s="7"/>
      <c r="AC705" s="7"/>
      <c r="AD705" s="7"/>
    </row>
    <row r="706" spans="1:30" ht="14.25" customHeight="1">
      <c r="A706" s="7"/>
      <c r="B706" s="7"/>
      <c r="C706" s="7"/>
      <c r="D706" s="7"/>
      <c r="E706" s="7"/>
      <c r="F706" s="7"/>
      <c r="G706" s="16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08"/>
      <c r="W706" s="7"/>
      <c r="X706" s="7"/>
      <c r="Y706" s="7"/>
      <c r="Z706" s="7"/>
      <c r="AA706" s="7"/>
      <c r="AB706" s="7"/>
      <c r="AC706" s="7"/>
      <c r="AD706" s="7"/>
    </row>
    <row r="707" spans="1:30" ht="14.25" customHeight="1">
      <c r="A707" s="7"/>
      <c r="B707" s="7"/>
      <c r="C707" s="7"/>
      <c r="D707" s="7"/>
      <c r="E707" s="7"/>
      <c r="F707" s="7"/>
      <c r="G707" s="16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08"/>
      <c r="W707" s="7"/>
      <c r="X707" s="7"/>
      <c r="Y707" s="7"/>
      <c r="Z707" s="7"/>
      <c r="AA707" s="7"/>
      <c r="AB707" s="7"/>
      <c r="AC707" s="7"/>
      <c r="AD707" s="7"/>
    </row>
    <row r="708" spans="1:30" ht="14.25" customHeight="1">
      <c r="A708" s="7"/>
      <c r="B708" s="7"/>
      <c r="C708" s="7"/>
      <c r="D708" s="7"/>
      <c r="E708" s="7"/>
      <c r="F708" s="7"/>
      <c r="G708" s="16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08"/>
      <c r="W708" s="7"/>
      <c r="X708" s="7"/>
      <c r="Y708" s="7"/>
      <c r="Z708" s="7"/>
      <c r="AA708" s="7"/>
      <c r="AB708" s="7"/>
      <c r="AC708" s="7"/>
      <c r="AD708" s="7"/>
    </row>
    <row r="709" spans="1:30" ht="14.25" customHeight="1">
      <c r="A709" s="7"/>
      <c r="B709" s="7"/>
      <c r="C709" s="7"/>
      <c r="D709" s="7"/>
      <c r="E709" s="7"/>
      <c r="F709" s="7"/>
      <c r="G709" s="16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08"/>
      <c r="W709" s="7"/>
      <c r="X709" s="7"/>
      <c r="Y709" s="7"/>
      <c r="Z709" s="7"/>
      <c r="AA709" s="7"/>
      <c r="AB709" s="7"/>
      <c r="AC709" s="7"/>
      <c r="AD709" s="7"/>
    </row>
    <row r="710" spans="1:30" ht="14.25" customHeight="1">
      <c r="A710" s="7"/>
      <c r="B710" s="7"/>
      <c r="C710" s="7"/>
      <c r="D710" s="7"/>
      <c r="E710" s="7"/>
      <c r="F710" s="7"/>
      <c r="G710" s="16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08"/>
      <c r="W710" s="7"/>
      <c r="X710" s="7"/>
      <c r="Y710" s="7"/>
      <c r="Z710" s="7"/>
      <c r="AA710" s="7"/>
      <c r="AB710" s="7"/>
      <c r="AC710" s="7"/>
      <c r="AD710" s="7"/>
    </row>
    <row r="711" spans="1:30" ht="14.25" customHeight="1">
      <c r="A711" s="7"/>
      <c r="B711" s="7"/>
      <c r="C711" s="7"/>
      <c r="D711" s="7"/>
      <c r="E711" s="7"/>
      <c r="F711" s="7"/>
      <c r="G711" s="16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08"/>
      <c r="W711" s="7"/>
      <c r="X711" s="7"/>
      <c r="Y711" s="7"/>
      <c r="Z711" s="7"/>
      <c r="AA711" s="7"/>
      <c r="AB711" s="7"/>
      <c r="AC711" s="7"/>
      <c r="AD711" s="7"/>
    </row>
    <row r="712" spans="1:30" ht="14.25" customHeight="1">
      <c r="A712" s="7"/>
      <c r="B712" s="7"/>
      <c r="C712" s="7"/>
      <c r="D712" s="7"/>
      <c r="E712" s="7"/>
      <c r="F712" s="7"/>
      <c r="G712" s="16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08"/>
      <c r="W712" s="7"/>
      <c r="X712" s="7"/>
      <c r="Y712" s="7"/>
      <c r="Z712" s="7"/>
      <c r="AA712" s="7"/>
      <c r="AB712" s="7"/>
      <c r="AC712" s="7"/>
      <c r="AD712" s="7"/>
    </row>
    <row r="713" spans="1:30" ht="14.25" customHeight="1">
      <c r="A713" s="7"/>
      <c r="B713" s="7"/>
      <c r="C713" s="7"/>
      <c r="D713" s="7"/>
      <c r="E713" s="7"/>
      <c r="F713" s="7"/>
      <c r="G713" s="16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08"/>
      <c r="W713" s="7"/>
      <c r="X713" s="7"/>
      <c r="Y713" s="7"/>
      <c r="Z713" s="7"/>
      <c r="AA713" s="7"/>
      <c r="AB713" s="7"/>
      <c r="AC713" s="7"/>
      <c r="AD713" s="7"/>
    </row>
    <row r="714" spans="1:30" ht="14.25" customHeight="1">
      <c r="A714" s="7"/>
      <c r="B714" s="7"/>
      <c r="C714" s="7"/>
      <c r="D714" s="7"/>
      <c r="E714" s="7"/>
      <c r="F714" s="7"/>
      <c r="G714" s="16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08"/>
      <c r="W714" s="7"/>
      <c r="X714" s="7"/>
      <c r="Y714" s="7"/>
      <c r="Z714" s="7"/>
      <c r="AA714" s="7"/>
      <c r="AB714" s="7"/>
      <c r="AC714" s="7"/>
      <c r="AD714" s="7"/>
    </row>
    <row r="715" spans="1:30" ht="14.25" customHeight="1">
      <c r="A715" s="7"/>
      <c r="B715" s="7"/>
      <c r="C715" s="7"/>
      <c r="D715" s="7"/>
      <c r="E715" s="7"/>
      <c r="F715" s="7"/>
      <c r="G715" s="16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08"/>
      <c r="W715" s="7"/>
      <c r="X715" s="7"/>
      <c r="Y715" s="7"/>
      <c r="Z715" s="7"/>
      <c r="AA715" s="7"/>
      <c r="AB715" s="7"/>
      <c r="AC715" s="7"/>
      <c r="AD715" s="7"/>
    </row>
    <row r="716" spans="1:30" ht="14.25" customHeight="1">
      <c r="A716" s="7"/>
      <c r="B716" s="7"/>
      <c r="C716" s="7"/>
      <c r="D716" s="7"/>
      <c r="E716" s="7"/>
      <c r="F716" s="7"/>
      <c r="G716" s="16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08"/>
      <c r="W716" s="7"/>
      <c r="X716" s="7"/>
      <c r="Y716" s="7"/>
      <c r="Z716" s="7"/>
      <c r="AA716" s="7"/>
      <c r="AB716" s="7"/>
      <c r="AC716" s="7"/>
      <c r="AD716" s="7"/>
    </row>
    <row r="717" spans="1:30" ht="14.25" customHeight="1">
      <c r="A717" s="7"/>
      <c r="B717" s="7"/>
      <c r="C717" s="7"/>
      <c r="D717" s="7"/>
      <c r="E717" s="7"/>
      <c r="F717" s="7"/>
      <c r="G717" s="16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08"/>
      <c r="W717" s="7"/>
      <c r="X717" s="7"/>
      <c r="Y717" s="7"/>
      <c r="Z717" s="7"/>
      <c r="AA717" s="7"/>
      <c r="AB717" s="7"/>
      <c r="AC717" s="7"/>
      <c r="AD717" s="7"/>
    </row>
    <row r="718" spans="1:30" ht="14.25" customHeight="1">
      <c r="A718" s="7"/>
      <c r="B718" s="7"/>
      <c r="C718" s="7"/>
      <c r="D718" s="7"/>
      <c r="E718" s="7"/>
      <c r="F718" s="7"/>
      <c r="G718" s="16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08"/>
      <c r="W718" s="7"/>
      <c r="X718" s="7"/>
      <c r="Y718" s="7"/>
      <c r="Z718" s="7"/>
      <c r="AA718" s="7"/>
      <c r="AB718" s="7"/>
      <c r="AC718" s="7"/>
      <c r="AD718" s="7"/>
    </row>
    <row r="719" spans="1:30" ht="14.25" customHeight="1">
      <c r="A719" s="7"/>
      <c r="B719" s="7"/>
      <c r="C719" s="7"/>
      <c r="D719" s="7"/>
      <c r="E719" s="7"/>
      <c r="F719" s="7"/>
      <c r="G719" s="16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08"/>
      <c r="W719" s="7"/>
      <c r="X719" s="7"/>
      <c r="Y719" s="7"/>
      <c r="Z719" s="7"/>
      <c r="AA719" s="7"/>
      <c r="AB719" s="7"/>
      <c r="AC719" s="7"/>
      <c r="AD719" s="7"/>
    </row>
    <row r="720" spans="1:30" ht="14.25" customHeight="1">
      <c r="A720" s="7"/>
      <c r="B720" s="7"/>
      <c r="C720" s="7"/>
      <c r="D720" s="7"/>
      <c r="E720" s="7"/>
      <c r="F720" s="7"/>
      <c r="G720" s="16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08"/>
      <c r="W720" s="7"/>
      <c r="X720" s="7"/>
      <c r="Y720" s="7"/>
      <c r="Z720" s="7"/>
      <c r="AA720" s="7"/>
      <c r="AB720" s="7"/>
      <c r="AC720" s="7"/>
      <c r="AD720" s="7"/>
    </row>
    <row r="721" spans="1:30" ht="14.25" customHeight="1">
      <c r="A721" s="7"/>
      <c r="B721" s="7"/>
      <c r="C721" s="7"/>
      <c r="D721" s="7"/>
      <c r="E721" s="7"/>
      <c r="F721" s="7"/>
      <c r="G721" s="16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08"/>
      <c r="W721" s="7"/>
      <c r="X721" s="7"/>
      <c r="Y721" s="7"/>
      <c r="Z721" s="7"/>
      <c r="AA721" s="7"/>
      <c r="AB721" s="7"/>
      <c r="AC721" s="7"/>
      <c r="AD721" s="7"/>
    </row>
    <row r="722" spans="1:30" ht="14.25" customHeight="1">
      <c r="A722" s="7"/>
      <c r="B722" s="7"/>
      <c r="C722" s="7"/>
      <c r="D722" s="7"/>
      <c r="E722" s="7"/>
      <c r="F722" s="7"/>
      <c r="G722" s="16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08"/>
      <c r="W722" s="7"/>
      <c r="X722" s="7"/>
      <c r="Y722" s="7"/>
      <c r="Z722" s="7"/>
      <c r="AA722" s="7"/>
      <c r="AB722" s="7"/>
      <c r="AC722" s="7"/>
      <c r="AD722" s="7"/>
    </row>
    <row r="723" spans="1:30" ht="15.75" customHeight="1"/>
    <row r="724" spans="1:30" ht="15.75" customHeight="1"/>
    <row r="725" spans="1:30" ht="15.75" customHeight="1"/>
    <row r="726" spans="1:30" ht="15.75" customHeight="1"/>
    <row r="727" spans="1:30" ht="15.75" customHeight="1"/>
    <row r="728" spans="1:30" ht="15.75" customHeight="1"/>
    <row r="729" spans="1:30" ht="15.75" customHeight="1"/>
    <row r="730" spans="1:30" ht="15.75" customHeight="1"/>
    <row r="731" spans="1:30" ht="15.75" customHeight="1"/>
    <row r="732" spans="1:30" ht="15.75" customHeight="1"/>
    <row r="733" spans="1:30" ht="15.75" customHeight="1"/>
    <row r="734" spans="1:30" ht="15.75" customHeight="1"/>
    <row r="735" spans="1:30" ht="15.75" customHeight="1"/>
    <row r="736" spans="1:30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I4"/>
    <mergeCell ref="A5:D5"/>
    <mergeCell ref="A6:I6"/>
    <mergeCell ref="C9:D9"/>
    <mergeCell ref="B447:C447"/>
  </mergeCells>
  <conditionalFormatting sqref="E11:K11">
    <cfRule type="containsText" dxfId="33" priority="1" operator="containsText" text="sơn la">
      <formula>NOT(ISERROR(SEARCH(("sơn la"),(E11))))</formula>
    </cfRule>
  </conditionalFormatting>
  <conditionalFormatting sqref="L11:M11">
    <cfRule type="containsText" dxfId="32" priority="2" operator="containsText" text="&quot;quảng ngãi&quot;">
      <formula>NOT(ISERROR(SEARCH(("""quảng ngãi"""),(L11))))</formula>
    </cfRule>
  </conditionalFormatting>
  <conditionalFormatting sqref="P11:Q11">
    <cfRule type="containsText" dxfId="31" priority="3" operator="containsText" text="&quot;quảng ngãi&quot;">
      <formula>NOT(ISERROR(SEARCH(("""quảng ngãi"""),(P11))))</formula>
    </cfRule>
  </conditionalFormatting>
  <conditionalFormatting sqref="S11:T11">
    <cfRule type="containsText" dxfId="30" priority="4" operator="containsText" text="&quot;quảng ngãi&quot;">
      <formula>NOT(ISERROR(SEARCH(("""quảng ngãi"""),(S11))))</formula>
    </cfRule>
  </conditionalFormatting>
  <conditionalFormatting sqref="S11:AH11 A11:D11">
    <cfRule type="containsText" dxfId="29" priority="5" operator="containsText" text="tây ninh">
      <formula>NOT(ISERROR(SEARCH(("tây ninh"),(A11))))</formula>
    </cfRule>
  </conditionalFormatting>
  <conditionalFormatting sqref="AB17:AB447">
    <cfRule type="cellIs" dxfId="28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722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56" ht="24.75" hidden="1" customHeight="1">
      <c r="A1" s="397" t="s">
        <v>0</v>
      </c>
      <c r="B1" s="398"/>
      <c r="C1" s="398"/>
      <c r="D1" s="399"/>
      <c r="E1" s="562"/>
      <c r="F1" s="7"/>
      <c r="G1" s="7"/>
      <c r="H1" s="7"/>
      <c r="I1" s="7"/>
      <c r="J1" s="7"/>
    </row>
    <row r="2" spans="1:56" ht="33" hidden="1" customHeight="1">
      <c r="A2" s="792" t="s">
        <v>1</v>
      </c>
      <c r="B2" s="793"/>
      <c r="C2" s="791"/>
      <c r="D2" s="399"/>
      <c r="E2" s="562"/>
      <c r="F2" s="7"/>
      <c r="G2" s="7"/>
      <c r="H2" s="7"/>
      <c r="I2" s="7"/>
      <c r="J2" s="7"/>
    </row>
    <row r="3" spans="1:56" ht="23.25" hidden="1" customHeight="1">
      <c r="A3" s="794" t="s">
        <v>2</v>
      </c>
      <c r="B3" s="793"/>
      <c r="C3" s="791"/>
      <c r="D3" s="399"/>
      <c r="E3" s="562"/>
      <c r="F3" s="7"/>
      <c r="G3" s="7"/>
      <c r="H3" s="7"/>
      <c r="I3" s="7"/>
      <c r="J3" s="7"/>
    </row>
    <row r="4" spans="1:56" ht="39.75" customHeight="1">
      <c r="A4" s="803" t="s">
        <v>1537</v>
      </c>
      <c r="B4" s="793"/>
      <c r="C4" s="793"/>
      <c r="D4" s="793"/>
      <c r="E4" s="791"/>
      <c r="F4" s="7"/>
      <c r="G4" s="7"/>
      <c r="H4" s="7"/>
      <c r="I4" s="7"/>
      <c r="J4" s="7"/>
    </row>
    <row r="5" spans="1:56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  <c r="G5" s="7"/>
      <c r="H5" s="7"/>
      <c r="I5" s="7"/>
      <c r="J5" s="7"/>
    </row>
    <row r="6" spans="1:56" ht="21" hidden="1" customHeight="1">
      <c r="A6" s="804" t="s">
        <v>1338</v>
      </c>
      <c r="B6" s="793"/>
      <c r="C6" s="793"/>
      <c r="D6" s="793"/>
      <c r="E6" s="791"/>
      <c r="F6" s="7"/>
      <c r="G6" s="7"/>
      <c r="H6" s="7"/>
      <c r="I6" s="7"/>
      <c r="J6" s="7"/>
    </row>
    <row r="7" spans="1:56" ht="18.75" hidden="1" customHeight="1">
      <c r="A7" s="244"/>
      <c r="B7" s="401"/>
      <c r="C7" s="564" t="s">
        <v>1339</v>
      </c>
      <c r="D7" s="403"/>
      <c r="E7" s="565"/>
      <c r="F7" s="7"/>
      <c r="G7" s="7"/>
      <c r="H7" s="7"/>
      <c r="I7" s="7"/>
      <c r="J7" s="7"/>
    </row>
    <row r="8" spans="1:56" ht="14.25" hidden="1" customHeight="1">
      <c r="A8" s="244"/>
      <c r="B8" s="404"/>
      <c r="C8" s="564" t="s">
        <v>1340</v>
      </c>
      <c r="D8" s="405"/>
      <c r="E8" s="566"/>
      <c r="F8" s="7"/>
      <c r="G8" s="7"/>
      <c r="H8" s="7"/>
      <c r="I8" s="7"/>
      <c r="J8" s="7"/>
    </row>
    <row r="9" spans="1:56" ht="14.25" hidden="1" customHeight="1">
      <c r="A9" s="244"/>
      <c r="B9" s="404"/>
      <c r="C9" s="798" t="s">
        <v>1341</v>
      </c>
      <c r="D9" s="791"/>
      <c r="E9" s="567"/>
      <c r="F9" s="7"/>
      <c r="G9" s="7"/>
      <c r="H9" s="7"/>
      <c r="I9" s="7"/>
      <c r="J9" s="7"/>
    </row>
    <row r="10" spans="1:56" ht="25.5" customHeight="1">
      <c r="A10" s="568"/>
      <c r="B10" s="569"/>
      <c r="C10" s="570"/>
      <c r="D10" s="571"/>
      <c r="E10" s="572"/>
      <c r="F10" s="7"/>
      <c r="G10" s="7"/>
      <c r="H10" s="7"/>
      <c r="I10" s="7"/>
      <c r="J10" s="7"/>
    </row>
    <row r="11" spans="1:56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81" t="s">
        <v>1118</v>
      </c>
      <c r="F11" s="81" t="s">
        <v>1118</v>
      </c>
      <c r="G11" s="81" t="s">
        <v>1118</v>
      </c>
      <c r="H11" s="81" t="s">
        <v>1118</v>
      </c>
      <c r="I11" s="81" t="s">
        <v>1118</v>
      </c>
      <c r="J11" s="81" t="s">
        <v>1118</v>
      </c>
      <c r="K11" s="81" t="s">
        <v>1118</v>
      </c>
      <c r="L11" s="416" t="s">
        <v>1118</v>
      </c>
      <c r="M11" s="416" t="s">
        <v>1118</v>
      </c>
      <c r="N11" s="416" t="s">
        <v>1118</v>
      </c>
      <c r="O11" s="720" t="s">
        <v>1118</v>
      </c>
      <c r="P11" s="720" t="s">
        <v>1118</v>
      </c>
      <c r="Q11" s="416" t="s">
        <v>1118</v>
      </c>
      <c r="R11" s="416" t="s">
        <v>1118</v>
      </c>
      <c r="S11" s="416" t="s">
        <v>1118</v>
      </c>
      <c r="T11" s="416" t="s">
        <v>1118</v>
      </c>
      <c r="U11" s="416" t="s">
        <v>1118</v>
      </c>
      <c r="V11" s="416" t="s">
        <v>1118</v>
      </c>
      <c r="W11" s="22" t="s">
        <v>1118</v>
      </c>
      <c r="X11" s="22" t="s">
        <v>1118</v>
      </c>
      <c r="Y11" s="22" t="s">
        <v>1118</v>
      </c>
      <c r="Z11" s="414" t="s">
        <v>1118</v>
      </c>
      <c r="AA11" s="414" t="s">
        <v>1118</v>
      </c>
      <c r="AB11" s="22" t="s">
        <v>1118</v>
      </c>
      <c r="AC11" s="22" t="s">
        <v>1118</v>
      </c>
      <c r="AD11" s="22" t="s">
        <v>1118</v>
      </c>
      <c r="AE11" s="414" t="s">
        <v>1118</v>
      </c>
      <c r="AF11" s="414" t="s">
        <v>1118</v>
      </c>
      <c r="AG11" s="414" t="s">
        <v>1118</v>
      </c>
      <c r="AH11" s="414" t="s">
        <v>1118</v>
      </c>
      <c r="AI11" s="414" t="s">
        <v>1118</v>
      </c>
      <c r="AJ11" s="414" t="s">
        <v>1118</v>
      </c>
      <c r="AK11" s="414"/>
      <c r="AL11" s="414"/>
      <c r="AM11" s="414"/>
      <c r="AN11" s="22"/>
      <c r="AO11" s="22"/>
      <c r="AP11" s="201"/>
      <c r="AQ11" s="576" t="s">
        <v>38</v>
      </c>
      <c r="AR11" s="577"/>
      <c r="AS11" s="535"/>
      <c r="AT11" s="535"/>
      <c r="AU11" s="7"/>
      <c r="AV11" s="7"/>
      <c r="AW11" s="7"/>
      <c r="AX11" s="7"/>
      <c r="AY11" s="7"/>
      <c r="AZ11" s="7"/>
      <c r="BA11" s="7"/>
      <c r="BB11" s="7"/>
      <c r="BC11" s="7"/>
      <c r="BD11" s="7"/>
    </row>
    <row r="12" spans="1:56" ht="29.25" customHeight="1">
      <c r="A12" s="578"/>
      <c r="B12" s="430"/>
      <c r="C12" s="579" t="s">
        <v>39</v>
      </c>
      <c r="D12" s="186"/>
      <c r="E12" s="29">
        <v>1</v>
      </c>
      <c r="F12" s="29">
        <v>3</v>
      </c>
      <c r="G12" s="29">
        <v>1</v>
      </c>
      <c r="H12" s="29">
        <v>1</v>
      </c>
      <c r="I12" s="29">
        <v>1</v>
      </c>
      <c r="J12" s="29">
        <v>1</v>
      </c>
      <c r="K12" s="29">
        <v>1</v>
      </c>
      <c r="L12" s="293">
        <v>1</v>
      </c>
      <c r="M12" s="293">
        <v>1</v>
      </c>
      <c r="N12" s="293">
        <v>1</v>
      </c>
      <c r="O12" s="27">
        <v>2</v>
      </c>
      <c r="P12" s="27">
        <v>1</v>
      </c>
      <c r="Q12" s="185">
        <v>1</v>
      </c>
      <c r="R12" s="185">
        <v>1</v>
      </c>
      <c r="S12" s="185">
        <v>1</v>
      </c>
      <c r="T12" s="185">
        <v>1</v>
      </c>
      <c r="U12" s="185">
        <v>1</v>
      </c>
      <c r="V12" s="185">
        <v>1</v>
      </c>
      <c r="W12" s="721">
        <v>1</v>
      </c>
      <c r="X12" s="29">
        <v>1</v>
      </c>
      <c r="Y12" s="29">
        <v>1</v>
      </c>
      <c r="Z12" s="185">
        <v>2</v>
      </c>
      <c r="AA12" s="29">
        <v>1</v>
      </c>
      <c r="AB12" s="29">
        <v>1</v>
      </c>
      <c r="AC12" s="29">
        <v>1</v>
      </c>
      <c r="AD12" s="29">
        <v>1</v>
      </c>
      <c r="AE12" s="185">
        <v>2</v>
      </c>
      <c r="AF12" s="185">
        <v>2</v>
      </c>
      <c r="AG12" s="185">
        <v>1</v>
      </c>
      <c r="AH12" s="185">
        <v>1</v>
      </c>
      <c r="AI12" s="185">
        <v>1</v>
      </c>
      <c r="AJ12" s="185">
        <v>1</v>
      </c>
      <c r="AK12" s="185"/>
      <c r="AL12" s="185"/>
      <c r="AM12" s="185"/>
      <c r="AN12" s="29"/>
      <c r="AO12" s="29"/>
      <c r="AP12" s="352"/>
      <c r="AQ12" s="581">
        <f>SUM(E12:AP12)</f>
        <v>38</v>
      </c>
      <c r="AR12" s="582"/>
      <c r="AS12" s="582"/>
      <c r="AT12" s="582"/>
      <c r="AU12" s="7"/>
      <c r="AV12" s="7"/>
      <c r="AW12" s="7"/>
      <c r="AX12" s="7">
        <v>6</v>
      </c>
      <c r="AY12" s="7"/>
      <c r="AZ12" s="7"/>
      <c r="BA12" s="7"/>
      <c r="BB12" s="7"/>
      <c r="BC12" s="7"/>
      <c r="BD12" s="7"/>
    </row>
    <row r="13" spans="1:56" ht="37.5" customHeight="1">
      <c r="A13" s="583"/>
      <c r="B13" s="584"/>
      <c r="C13" s="585" t="s">
        <v>40</v>
      </c>
      <c r="D13" s="584"/>
      <c r="E13" s="32" t="s">
        <v>1940</v>
      </c>
      <c r="F13" s="32" t="s">
        <v>1619</v>
      </c>
      <c r="G13" s="32" t="s">
        <v>1941</v>
      </c>
      <c r="H13" s="32" t="s">
        <v>1942</v>
      </c>
      <c r="I13" s="32" t="s">
        <v>1942</v>
      </c>
      <c r="J13" s="32" t="s">
        <v>1943</v>
      </c>
      <c r="K13" s="32" t="s">
        <v>1944</v>
      </c>
      <c r="L13" s="32" t="s">
        <v>1663</v>
      </c>
      <c r="M13" s="189">
        <v>44901</v>
      </c>
      <c r="N13" s="189" t="s">
        <v>1785</v>
      </c>
      <c r="O13" s="32" t="s">
        <v>1945</v>
      </c>
      <c r="P13" s="697" t="s">
        <v>1946</v>
      </c>
      <c r="Q13" s="40" t="s">
        <v>1947</v>
      </c>
      <c r="R13" s="40" t="s">
        <v>1948</v>
      </c>
      <c r="S13" s="30" t="s">
        <v>1949</v>
      </c>
      <c r="T13" s="40" t="s">
        <v>1668</v>
      </c>
      <c r="U13" s="40" t="s">
        <v>1718</v>
      </c>
      <c r="V13" s="40" t="s">
        <v>1624</v>
      </c>
      <c r="W13" s="32" t="s">
        <v>1950</v>
      </c>
      <c r="X13" s="32" t="s">
        <v>1835</v>
      </c>
      <c r="Y13" s="32" t="s">
        <v>1941</v>
      </c>
      <c r="Z13" s="32" t="s">
        <v>1951</v>
      </c>
      <c r="AA13" s="32" t="s">
        <v>1952</v>
      </c>
      <c r="AB13" s="32" t="s">
        <v>1953</v>
      </c>
      <c r="AC13" s="32" t="s">
        <v>1954</v>
      </c>
      <c r="AD13" s="32">
        <v>44840</v>
      </c>
      <c r="AE13" s="32" t="s">
        <v>1955</v>
      </c>
      <c r="AF13" s="40" t="s">
        <v>1956</v>
      </c>
      <c r="AG13" s="40" t="s">
        <v>1957</v>
      </c>
      <c r="AH13" s="40" t="s">
        <v>1670</v>
      </c>
      <c r="AI13" s="40" t="s">
        <v>1958</v>
      </c>
      <c r="AJ13" s="40" t="s">
        <v>1787</v>
      </c>
      <c r="AK13" s="32"/>
      <c r="AL13" s="32"/>
      <c r="AM13" s="32"/>
      <c r="AN13" s="32"/>
      <c r="AO13" s="32"/>
      <c r="AP13" s="32"/>
      <c r="AQ13" s="581"/>
      <c r="AR13" s="591"/>
      <c r="AS13" s="582"/>
      <c r="AT13" s="591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pans="1:56" ht="53.25" customHeight="1">
      <c r="A14" s="578"/>
      <c r="B14" s="430"/>
      <c r="C14" s="579" t="s">
        <v>41</v>
      </c>
      <c r="D14" s="430"/>
      <c r="E14" s="30"/>
      <c r="F14" s="30"/>
      <c r="G14" s="30"/>
      <c r="H14" s="30"/>
      <c r="I14" s="30" t="s">
        <v>1959</v>
      </c>
      <c r="J14" s="30" t="s">
        <v>1960</v>
      </c>
      <c r="K14" s="30" t="s">
        <v>1961</v>
      </c>
      <c r="L14" s="185" t="s">
        <v>1960</v>
      </c>
      <c r="M14" s="185" t="s">
        <v>1962</v>
      </c>
      <c r="N14" s="185" t="s">
        <v>1961</v>
      </c>
      <c r="O14" s="722" t="s">
        <v>1963</v>
      </c>
      <c r="P14" s="722" t="s">
        <v>1964</v>
      </c>
      <c r="Q14" s="185" t="s">
        <v>1965</v>
      </c>
      <c r="R14" s="185" t="s">
        <v>1966</v>
      </c>
      <c r="S14" s="185" t="s">
        <v>1967</v>
      </c>
      <c r="T14" s="185" t="s">
        <v>1968</v>
      </c>
      <c r="U14" s="185" t="s">
        <v>1960</v>
      </c>
      <c r="V14" s="185" t="s">
        <v>1969</v>
      </c>
      <c r="W14" s="30" t="s">
        <v>1970</v>
      </c>
      <c r="X14" s="30"/>
      <c r="Y14" s="30"/>
      <c r="Z14" s="185" t="s">
        <v>1970</v>
      </c>
      <c r="AA14" s="185" t="s">
        <v>1970</v>
      </c>
      <c r="AB14" s="30" t="s">
        <v>1960</v>
      </c>
      <c r="AC14" s="30" t="s">
        <v>1971</v>
      </c>
      <c r="AD14" s="30" t="s">
        <v>1972</v>
      </c>
      <c r="AE14" s="185" t="s">
        <v>1960</v>
      </c>
      <c r="AF14" s="185" t="s">
        <v>1971</v>
      </c>
      <c r="AG14" s="185" t="s">
        <v>1969</v>
      </c>
      <c r="AH14" s="185" t="s">
        <v>1971</v>
      </c>
      <c r="AI14" s="185" t="s">
        <v>1960</v>
      </c>
      <c r="AJ14" s="185" t="s">
        <v>1960</v>
      </c>
      <c r="AK14" s="185"/>
      <c r="AL14" s="185"/>
      <c r="AM14" s="185"/>
      <c r="AN14" s="30"/>
      <c r="AO14" s="30"/>
      <c r="AP14" s="593"/>
      <c r="AQ14" s="581"/>
      <c r="AR14" s="582"/>
      <c r="AS14" s="582"/>
      <c r="AT14" s="582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pans="1:56" ht="51" customHeight="1">
      <c r="A15" s="578"/>
      <c r="B15" s="430"/>
      <c r="C15" s="579" t="s">
        <v>42</v>
      </c>
      <c r="D15" s="430"/>
      <c r="E15" s="30" t="s">
        <v>1552</v>
      </c>
      <c r="F15" s="30" t="s">
        <v>1552</v>
      </c>
      <c r="G15" s="30" t="s">
        <v>1553</v>
      </c>
      <c r="H15" s="30" t="s">
        <v>1640</v>
      </c>
      <c r="I15" s="30" t="s">
        <v>1640</v>
      </c>
      <c r="J15" s="30" t="s">
        <v>1552</v>
      </c>
      <c r="K15" s="30" t="s">
        <v>1552</v>
      </c>
      <c r="L15" s="191" t="s">
        <v>1552</v>
      </c>
      <c r="M15" s="191" t="s">
        <v>1553</v>
      </c>
      <c r="N15" s="191" t="s">
        <v>1552</v>
      </c>
      <c r="O15" s="595" t="s">
        <v>1641</v>
      </c>
      <c r="P15" s="595" t="s">
        <v>1641</v>
      </c>
      <c r="Q15" s="191" t="s">
        <v>1552</v>
      </c>
      <c r="R15" s="191" t="s">
        <v>1641</v>
      </c>
      <c r="S15" s="191" t="s">
        <v>1973</v>
      </c>
      <c r="T15" s="191" t="s">
        <v>1642</v>
      </c>
      <c r="U15" s="191" t="s">
        <v>1642</v>
      </c>
      <c r="V15" s="191" t="s">
        <v>1642</v>
      </c>
      <c r="W15" s="30" t="s">
        <v>1974</v>
      </c>
      <c r="X15" s="30" t="s">
        <v>1975</v>
      </c>
      <c r="Y15" s="30" t="s">
        <v>1976</v>
      </c>
      <c r="Z15" s="191" t="s">
        <v>1977</v>
      </c>
      <c r="AA15" s="30" t="s">
        <v>1978</v>
      </c>
      <c r="AB15" s="30" t="s">
        <v>1979</v>
      </c>
      <c r="AC15" s="30" t="s">
        <v>1980</v>
      </c>
      <c r="AD15" s="30" t="s">
        <v>1981</v>
      </c>
      <c r="AE15" s="191" t="s">
        <v>1982</v>
      </c>
      <c r="AF15" s="191" t="s">
        <v>1980</v>
      </c>
      <c r="AG15" s="191" t="s">
        <v>1983</v>
      </c>
      <c r="AH15" s="191" t="s">
        <v>1984</v>
      </c>
      <c r="AI15" s="191" t="s">
        <v>1985</v>
      </c>
      <c r="AJ15" s="191" t="s">
        <v>1986</v>
      </c>
      <c r="AK15" s="191"/>
      <c r="AL15" s="191"/>
      <c r="AM15" s="191"/>
      <c r="AN15" s="30"/>
      <c r="AO15" s="30"/>
      <c r="AP15" s="353"/>
      <c r="AQ15" s="576"/>
      <c r="AR15" s="582"/>
      <c r="AS15" s="582"/>
      <c r="AT15" s="582"/>
      <c r="AU15" s="7"/>
      <c r="AV15" s="7"/>
      <c r="AW15" s="7"/>
      <c r="AX15" s="7"/>
      <c r="AY15" s="7"/>
      <c r="AZ15" s="7"/>
      <c r="BA15" s="7"/>
      <c r="BB15" s="7"/>
      <c r="BC15" s="7"/>
      <c r="BD15" s="7"/>
    </row>
    <row r="16" spans="1:56" ht="30.75" customHeight="1">
      <c r="A16" s="579"/>
      <c r="B16" s="186"/>
      <c r="C16" s="579" t="s">
        <v>43</v>
      </c>
      <c r="D16" s="186"/>
      <c r="E16" s="34" t="s">
        <v>1656</v>
      </c>
      <c r="F16" s="34" t="s">
        <v>1987</v>
      </c>
      <c r="G16" s="34" t="s">
        <v>1988</v>
      </c>
      <c r="H16" s="34" t="s">
        <v>1989</v>
      </c>
      <c r="I16" s="34" t="s">
        <v>1990</v>
      </c>
      <c r="J16" s="34" t="s">
        <v>1991</v>
      </c>
      <c r="K16" s="34"/>
      <c r="L16" s="193" t="s">
        <v>1992</v>
      </c>
      <c r="M16" s="193" t="s">
        <v>1832</v>
      </c>
      <c r="N16" s="193" t="s">
        <v>1400</v>
      </c>
      <c r="O16" s="697" t="s">
        <v>1993</v>
      </c>
      <c r="P16" s="697" t="s">
        <v>1400</v>
      </c>
      <c r="Q16" s="193" t="s">
        <v>1994</v>
      </c>
      <c r="R16" s="193" t="s">
        <v>1994</v>
      </c>
      <c r="S16" s="193" t="s">
        <v>1995</v>
      </c>
      <c r="T16" s="193"/>
      <c r="U16" s="193" t="s">
        <v>1996</v>
      </c>
      <c r="V16" s="193" t="s">
        <v>1997</v>
      </c>
      <c r="W16" s="34" t="s">
        <v>1998</v>
      </c>
      <c r="X16" s="34" t="s">
        <v>1656</v>
      </c>
      <c r="Y16" s="34" t="s">
        <v>1987</v>
      </c>
      <c r="Z16" s="193" t="s">
        <v>1990</v>
      </c>
      <c r="AA16" s="193" t="s">
        <v>1999</v>
      </c>
      <c r="AB16" s="34" t="s">
        <v>1991</v>
      </c>
      <c r="AC16" s="34" t="s">
        <v>2000</v>
      </c>
      <c r="AD16" s="34" t="s">
        <v>2001</v>
      </c>
      <c r="AE16" s="193" t="s">
        <v>2002</v>
      </c>
      <c r="AF16" s="193" t="s">
        <v>2003</v>
      </c>
      <c r="AG16" s="193" t="s">
        <v>2004</v>
      </c>
      <c r="AH16" s="193"/>
      <c r="AI16" s="193" t="s">
        <v>2005</v>
      </c>
      <c r="AJ16" s="193" t="s">
        <v>1404</v>
      </c>
      <c r="AK16" s="193"/>
      <c r="AL16" s="193"/>
      <c r="AM16" s="193"/>
      <c r="AN16" s="34"/>
      <c r="AO16" s="34"/>
      <c r="AP16" s="597"/>
      <c r="AQ16" s="598"/>
      <c r="AR16" s="599"/>
      <c r="AS16" s="599"/>
      <c r="AT16" s="599"/>
      <c r="AU16" s="7"/>
      <c r="AV16" s="7"/>
      <c r="AW16" s="7"/>
      <c r="AX16" s="7"/>
      <c r="AY16" s="7"/>
      <c r="AZ16" s="7"/>
      <c r="BA16" s="7"/>
      <c r="BB16" s="7"/>
      <c r="BC16" s="7"/>
      <c r="BD16" s="7"/>
    </row>
    <row r="17" spans="1:56" ht="33.75" customHeight="1">
      <c r="A17" s="583"/>
      <c r="B17" s="584"/>
      <c r="C17" s="585" t="s">
        <v>70</v>
      </c>
      <c r="D17" s="584"/>
      <c r="E17" s="32" t="s">
        <v>2006</v>
      </c>
      <c r="F17" s="32" t="s">
        <v>1941</v>
      </c>
      <c r="G17" s="32" t="s">
        <v>2007</v>
      </c>
      <c r="H17" s="32" t="s">
        <v>1951</v>
      </c>
      <c r="I17" s="32" t="s">
        <v>1951</v>
      </c>
      <c r="J17" s="32" t="s">
        <v>1953</v>
      </c>
      <c r="K17" s="32" t="s">
        <v>2008</v>
      </c>
      <c r="L17" s="32" t="s">
        <v>2009</v>
      </c>
      <c r="M17" s="32" t="s">
        <v>1572</v>
      </c>
      <c r="N17" s="32" t="s">
        <v>2010</v>
      </c>
      <c r="O17" s="32" t="s">
        <v>1945</v>
      </c>
      <c r="P17" s="32" t="s">
        <v>2011</v>
      </c>
      <c r="Q17" s="40" t="s">
        <v>1947</v>
      </c>
      <c r="R17" s="40" t="s">
        <v>1947</v>
      </c>
      <c r="S17" s="40" t="s">
        <v>2012</v>
      </c>
      <c r="T17" s="40" t="s">
        <v>2013</v>
      </c>
      <c r="U17" s="40" t="s">
        <v>1624</v>
      </c>
      <c r="V17" s="40" t="s">
        <v>1670</v>
      </c>
      <c r="W17" s="32"/>
      <c r="X17" s="32">
        <v>44641</v>
      </c>
      <c r="Y17" s="32">
        <v>44648</v>
      </c>
      <c r="Z17" s="32">
        <v>44666</v>
      </c>
      <c r="AA17" s="32">
        <v>44678</v>
      </c>
      <c r="AB17" s="32">
        <v>44680</v>
      </c>
      <c r="AC17" s="32">
        <v>44701</v>
      </c>
      <c r="AD17" s="32">
        <v>44728</v>
      </c>
      <c r="AE17" s="32">
        <v>44688</v>
      </c>
      <c r="AF17" s="32">
        <v>44757</v>
      </c>
      <c r="AG17" s="32">
        <v>44790</v>
      </c>
      <c r="AH17" s="32">
        <v>44817</v>
      </c>
      <c r="AI17" s="32">
        <v>44820</v>
      </c>
      <c r="AJ17" s="32">
        <v>44826</v>
      </c>
      <c r="AK17" s="32"/>
      <c r="AL17" s="32"/>
      <c r="AM17" s="32"/>
      <c r="AN17" s="32"/>
      <c r="AO17" s="32"/>
      <c r="AP17" s="32"/>
      <c r="AQ17" s="581"/>
      <c r="AR17" s="591"/>
      <c r="AS17" s="591"/>
      <c r="AT17" s="591"/>
      <c r="AU17" s="7"/>
      <c r="AV17" s="7"/>
      <c r="AW17" s="7"/>
      <c r="AX17" s="7"/>
      <c r="AY17" s="7"/>
      <c r="AZ17" s="7"/>
      <c r="BA17" s="7"/>
      <c r="BB17" s="7"/>
      <c r="BC17" s="7"/>
      <c r="BD17" s="7"/>
    </row>
    <row r="18" spans="1:56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606"/>
      <c r="AQ18" s="607"/>
      <c r="AR18" s="608"/>
      <c r="AS18" s="609"/>
      <c r="AT18" s="609"/>
      <c r="AU18" s="7"/>
      <c r="AV18" s="7"/>
      <c r="AW18" s="7"/>
      <c r="AX18" s="7"/>
      <c r="AY18" s="7"/>
      <c r="AZ18" s="7"/>
      <c r="BA18" s="7"/>
      <c r="BB18" s="7"/>
      <c r="BC18" s="7"/>
      <c r="BD18" s="7"/>
    </row>
    <row r="19" spans="1:56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1"/>
      <c r="AI19" s="201"/>
      <c r="AJ19" s="201"/>
      <c r="AK19" s="201"/>
      <c r="AL19" s="201"/>
      <c r="AM19" s="201"/>
      <c r="AN19" s="201"/>
      <c r="AO19" s="201"/>
      <c r="AP19" s="615"/>
      <c r="AQ19" s="616"/>
      <c r="AR19" s="617"/>
      <c r="AS19" s="577"/>
      <c r="AT19" s="577"/>
      <c r="AU19" s="7"/>
      <c r="AV19" s="363"/>
      <c r="AW19" s="7"/>
      <c r="AX19" s="618">
        <f>AV19-AQ19</f>
        <v>0</v>
      </c>
      <c r="AY19" s="7"/>
      <c r="AZ19" s="7"/>
      <c r="BA19" s="7"/>
      <c r="BB19" s="7"/>
      <c r="BC19" s="7"/>
      <c r="BD19" s="7"/>
    </row>
    <row r="20" spans="1:56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715">
        <v>1</v>
      </c>
      <c r="H20" s="209"/>
      <c r="I20" s="715">
        <v>1</v>
      </c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624"/>
      <c r="AQ20" s="625">
        <f t="shared" ref="AQ20:AQ274" si="0">+SUM(E20:AP20)</f>
        <v>2</v>
      </c>
      <c r="AR20" s="626"/>
      <c r="AS20" s="627"/>
      <c r="AT20" s="627"/>
      <c r="AU20" s="7"/>
      <c r="AV20" s="723">
        <v>2</v>
      </c>
      <c r="AW20" s="7"/>
      <c r="AX20" s="618">
        <v>0</v>
      </c>
      <c r="AY20" s="7"/>
      <c r="AZ20" s="7"/>
      <c r="BA20" s="7"/>
      <c r="BB20" s="7"/>
      <c r="BC20" s="7"/>
      <c r="BD20" s="7"/>
    </row>
    <row r="21" spans="1:56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615"/>
      <c r="AQ21" s="616">
        <f t="shared" si="0"/>
        <v>0</v>
      </c>
      <c r="AR21" s="633"/>
      <c r="AS21" s="634"/>
      <c r="AT21" s="634"/>
      <c r="AU21" s="7"/>
      <c r="AV21" s="699"/>
      <c r="AW21" s="7"/>
      <c r="AX21" s="618">
        <f t="shared" ref="AX21:AX24" si="1">AV21-AQ21</f>
        <v>0</v>
      </c>
      <c r="AY21" s="7"/>
      <c r="AZ21" s="7"/>
      <c r="BA21" s="7"/>
      <c r="BB21" s="7"/>
      <c r="BC21" s="7"/>
      <c r="BD21" s="7"/>
    </row>
    <row r="22" spans="1:56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615"/>
      <c r="AQ22" s="616">
        <f t="shared" si="0"/>
        <v>0</v>
      </c>
      <c r="AR22" s="633"/>
      <c r="AS22" s="634"/>
      <c r="AT22" s="634"/>
      <c r="AU22" s="7"/>
      <c r="AV22" s="699"/>
      <c r="AW22" s="7"/>
      <c r="AX22" s="618">
        <f t="shared" si="1"/>
        <v>0</v>
      </c>
      <c r="AY22" s="7"/>
      <c r="AZ22" s="7"/>
      <c r="BA22" s="7"/>
      <c r="BB22" s="7"/>
      <c r="BC22" s="7"/>
      <c r="BD22" s="7"/>
    </row>
    <row r="23" spans="1:56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615"/>
      <c r="AQ23" s="616">
        <f t="shared" si="0"/>
        <v>0</v>
      </c>
      <c r="AR23" s="633"/>
      <c r="AS23" s="634"/>
      <c r="AT23" s="634"/>
      <c r="AU23" s="7"/>
      <c r="AV23" s="699"/>
      <c r="AW23" s="7"/>
      <c r="AX23" s="618">
        <f t="shared" si="1"/>
        <v>0</v>
      </c>
      <c r="AY23" s="7"/>
      <c r="AZ23" s="7"/>
      <c r="BA23" s="7"/>
      <c r="BB23" s="7"/>
      <c r="BC23" s="7"/>
      <c r="BD23" s="7"/>
    </row>
    <row r="24" spans="1:56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615"/>
      <c r="AQ24" s="616">
        <f t="shared" si="0"/>
        <v>0</v>
      </c>
      <c r="AR24" s="633"/>
      <c r="AS24" s="634"/>
      <c r="AT24" s="634"/>
      <c r="AU24" s="7"/>
      <c r="AV24" s="699"/>
      <c r="AW24" s="7"/>
      <c r="AX24" s="618">
        <f t="shared" si="1"/>
        <v>0</v>
      </c>
      <c r="AY24" s="7"/>
      <c r="AZ24" s="7"/>
      <c r="BA24" s="7"/>
      <c r="BB24" s="7"/>
      <c r="BC24" s="7"/>
      <c r="BD24" s="7"/>
    </row>
    <row r="25" spans="1:56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624"/>
      <c r="AQ25" s="625">
        <f t="shared" si="0"/>
        <v>0</v>
      </c>
      <c r="AR25" s="626"/>
      <c r="AS25" s="627"/>
      <c r="AT25" s="627"/>
      <c r="AU25" s="7"/>
      <c r="AV25" s="699"/>
      <c r="AW25" s="7"/>
      <c r="AX25" s="618"/>
      <c r="AY25" s="7"/>
      <c r="AZ25" s="7"/>
      <c r="BA25" s="7"/>
      <c r="BB25" s="7"/>
      <c r="BC25" s="7"/>
      <c r="BD25" s="7"/>
    </row>
    <row r="26" spans="1:56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615"/>
      <c r="AQ26" s="616">
        <f t="shared" si="0"/>
        <v>0</v>
      </c>
      <c r="AR26" s="633"/>
      <c r="AS26" s="634"/>
      <c r="AT26" s="634"/>
      <c r="AU26" s="7"/>
      <c r="AV26" s="699"/>
      <c r="AW26" s="7"/>
      <c r="AX26" s="618">
        <f t="shared" ref="AX26:AX34" si="2">AV26-AQ26</f>
        <v>0</v>
      </c>
      <c r="AY26" s="7"/>
      <c r="AZ26" s="7"/>
      <c r="BA26" s="7"/>
      <c r="BB26" s="7"/>
      <c r="BC26" s="7"/>
      <c r="BD26" s="7"/>
    </row>
    <row r="27" spans="1:56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615"/>
      <c r="AQ27" s="616">
        <f t="shared" si="0"/>
        <v>0</v>
      </c>
      <c r="AR27" s="633"/>
      <c r="AS27" s="634"/>
      <c r="AT27" s="634"/>
      <c r="AU27" s="7"/>
      <c r="AV27" s="699"/>
      <c r="AW27" s="7"/>
      <c r="AX27" s="618">
        <f t="shared" si="2"/>
        <v>0</v>
      </c>
      <c r="AY27" s="7"/>
      <c r="AZ27" s="7"/>
      <c r="BA27" s="7"/>
      <c r="BB27" s="7"/>
      <c r="BC27" s="7"/>
      <c r="BD27" s="7"/>
    </row>
    <row r="28" spans="1:56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615"/>
      <c r="AQ28" s="616">
        <f t="shared" si="0"/>
        <v>0</v>
      </c>
      <c r="AR28" s="633"/>
      <c r="AS28" s="634"/>
      <c r="AT28" s="634"/>
      <c r="AU28" s="7"/>
      <c r="AV28" s="699"/>
      <c r="AW28" s="7"/>
      <c r="AX28" s="618">
        <f t="shared" si="2"/>
        <v>0</v>
      </c>
      <c r="AY28" s="7"/>
      <c r="AZ28" s="7"/>
      <c r="BA28" s="7"/>
      <c r="BB28" s="7"/>
      <c r="BC28" s="7"/>
      <c r="BD28" s="7"/>
    </row>
    <row r="29" spans="1:56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615"/>
      <c r="AQ29" s="616">
        <f t="shared" si="0"/>
        <v>0</v>
      </c>
      <c r="AR29" s="633"/>
      <c r="AS29" s="634"/>
      <c r="AT29" s="634"/>
      <c r="AU29" s="7"/>
      <c r="AV29" s="699"/>
      <c r="AW29" s="7"/>
      <c r="AX29" s="618">
        <f t="shared" si="2"/>
        <v>0</v>
      </c>
      <c r="AY29" s="7"/>
      <c r="AZ29" s="7"/>
      <c r="BA29" s="7"/>
      <c r="BB29" s="7"/>
      <c r="BC29" s="7"/>
      <c r="BD29" s="7"/>
    </row>
    <row r="30" spans="1:56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>
        <v>1</v>
      </c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  <c r="AH30" s="209"/>
      <c r="AI30" s="209"/>
      <c r="AJ30" s="209"/>
      <c r="AK30" s="209"/>
      <c r="AL30" s="209"/>
      <c r="AM30" s="209"/>
      <c r="AN30" s="209"/>
      <c r="AO30" s="209"/>
      <c r="AP30" s="624"/>
      <c r="AQ30" s="625">
        <f t="shared" si="0"/>
        <v>1</v>
      </c>
      <c r="AR30" s="626"/>
      <c r="AS30" s="627"/>
      <c r="AT30" s="627"/>
      <c r="AU30" s="7"/>
      <c r="AV30" s="699">
        <v>4</v>
      </c>
      <c r="AW30" s="7"/>
      <c r="AX30" s="618">
        <f t="shared" si="2"/>
        <v>3</v>
      </c>
      <c r="AY30" s="7"/>
      <c r="AZ30" s="7"/>
      <c r="BA30" s="7"/>
      <c r="BB30" s="7"/>
      <c r="BC30" s="7"/>
      <c r="BD30" s="7"/>
    </row>
    <row r="31" spans="1:56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615"/>
      <c r="AQ31" s="616">
        <f t="shared" si="0"/>
        <v>0</v>
      </c>
      <c r="AR31" s="633"/>
      <c r="AS31" s="634"/>
      <c r="AT31" s="634"/>
      <c r="AU31" s="7"/>
      <c r="AV31" s="699"/>
      <c r="AW31" s="7"/>
      <c r="AX31" s="618">
        <f t="shared" si="2"/>
        <v>0</v>
      </c>
      <c r="AY31" s="7"/>
      <c r="AZ31" s="7"/>
      <c r="BA31" s="7"/>
      <c r="BB31" s="7"/>
      <c r="BC31" s="7"/>
      <c r="BD31" s="7"/>
    </row>
    <row r="32" spans="1:56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615"/>
      <c r="AQ32" s="616">
        <f t="shared" si="0"/>
        <v>0</v>
      </c>
      <c r="AR32" s="633"/>
      <c r="AS32" s="634"/>
      <c r="AT32" s="634"/>
      <c r="AU32" s="7"/>
      <c r="AV32" s="699"/>
      <c r="AW32" s="7"/>
      <c r="AX32" s="618">
        <f t="shared" si="2"/>
        <v>0</v>
      </c>
      <c r="AY32" s="7"/>
      <c r="AZ32" s="7"/>
      <c r="BA32" s="7"/>
      <c r="BB32" s="7"/>
      <c r="BC32" s="7"/>
      <c r="BD32" s="7"/>
    </row>
    <row r="33" spans="1:56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615"/>
      <c r="AQ33" s="616">
        <f t="shared" si="0"/>
        <v>0</v>
      </c>
      <c r="AR33" s="633"/>
      <c r="AS33" s="634"/>
      <c r="AT33" s="634"/>
      <c r="AU33" s="7"/>
      <c r="AV33" s="699"/>
      <c r="AW33" s="7"/>
      <c r="AX33" s="618">
        <f t="shared" si="2"/>
        <v>0</v>
      </c>
      <c r="AY33" s="7"/>
      <c r="AZ33" s="7"/>
      <c r="BA33" s="7"/>
      <c r="BB33" s="7"/>
      <c r="BC33" s="7"/>
      <c r="BD33" s="7"/>
    </row>
    <row r="34" spans="1:56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615"/>
      <c r="AQ34" s="616">
        <f t="shared" si="0"/>
        <v>0</v>
      </c>
      <c r="AR34" s="633"/>
      <c r="AS34" s="634"/>
      <c r="AT34" s="634"/>
      <c r="AU34" s="7"/>
      <c r="AV34" s="699"/>
      <c r="AW34" s="7"/>
      <c r="AX34" s="618">
        <f t="shared" si="2"/>
        <v>0</v>
      </c>
      <c r="AY34" s="7"/>
      <c r="AZ34" s="7"/>
      <c r="BA34" s="7"/>
      <c r="BB34" s="7"/>
      <c r="BC34" s="7"/>
      <c r="BD34" s="7"/>
    </row>
    <row r="35" spans="1:56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>
        <v>2</v>
      </c>
      <c r="AB35" s="213"/>
      <c r="AC35" s="213">
        <v>2</v>
      </c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615"/>
      <c r="AQ35" s="616">
        <f t="shared" si="0"/>
        <v>4</v>
      </c>
      <c r="AR35" s="633"/>
      <c r="AS35" s="636"/>
      <c r="AT35" s="636"/>
      <c r="AU35" s="7"/>
      <c r="AV35" s="699"/>
      <c r="AW35" s="7"/>
      <c r="AX35" s="618"/>
      <c r="AY35" s="7"/>
      <c r="AZ35" s="7"/>
      <c r="BA35" s="7"/>
      <c r="BB35" s="7"/>
      <c r="BC35" s="7"/>
      <c r="BD35" s="7"/>
    </row>
    <row r="36" spans="1:56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615"/>
      <c r="AQ36" s="616">
        <f t="shared" si="0"/>
        <v>0</v>
      </c>
      <c r="AR36" s="633"/>
      <c r="AS36" s="547" t="s">
        <v>1576</v>
      </c>
      <c r="AT36" s="636"/>
      <c r="AU36" s="7"/>
      <c r="AV36" s="699"/>
      <c r="AW36" s="7"/>
      <c r="AX36" s="618">
        <f>AV36-AQ36</f>
        <v>0</v>
      </c>
      <c r="AY36" s="7"/>
      <c r="AZ36" s="7"/>
      <c r="BA36" s="7"/>
      <c r="BB36" s="7"/>
      <c r="BC36" s="7"/>
      <c r="BD36" s="7"/>
    </row>
    <row r="37" spans="1:56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639"/>
      <c r="AQ37" s="616">
        <f t="shared" si="0"/>
        <v>0</v>
      </c>
      <c r="AR37" s="633"/>
      <c r="AS37" s="640"/>
      <c r="AT37" s="640"/>
      <c r="AU37" s="7"/>
      <c r="AV37" s="699"/>
      <c r="AW37" s="7"/>
      <c r="AX37" s="618"/>
      <c r="AY37" s="7"/>
      <c r="AZ37" s="7"/>
      <c r="BA37" s="7"/>
      <c r="BB37" s="7"/>
      <c r="BC37" s="7"/>
      <c r="BD37" s="7"/>
    </row>
    <row r="38" spans="1:56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4</v>
      </c>
      <c r="F38" s="209">
        <v>4</v>
      </c>
      <c r="G38" s="209"/>
      <c r="H38" s="209">
        <v>1</v>
      </c>
      <c r="I38" s="209"/>
      <c r="J38" s="209"/>
      <c r="K38" s="209">
        <v>1</v>
      </c>
      <c r="L38" s="209"/>
      <c r="M38" s="209"/>
      <c r="N38" s="209"/>
      <c r="O38" s="209"/>
      <c r="P38" s="209">
        <v>1</v>
      </c>
      <c r="Q38" s="209">
        <v>1</v>
      </c>
      <c r="R38" s="209">
        <v>1</v>
      </c>
      <c r="S38" s="209">
        <v>1</v>
      </c>
      <c r="T38" s="209">
        <v>1</v>
      </c>
      <c r="U38" s="209"/>
      <c r="V38" s="209">
        <v>1</v>
      </c>
      <c r="W38" s="209"/>
      <c r="X38" s="209"/>
      <c r="Y38" s="209"/>
      <c r="Z38" s="209"/>
      <c r="AA38" s="209"/>
      <c r="AB38" s="209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209"/>
      <c r="AO38" s="209"/>
      <c r="AP38" s="624"/>
      <c r="AQ38" s="625">
        <f t="shared" si="0"/>
        <v>16</v>
      </c>
      <c r="AR38" s="626"/>
      <c r="AS38" s="627" t="s">
        <v>1577</v>
      </c>
      <c r="AT38" s="642">
        <f>AQ38</f>
        <v>16</v>
      </c>
      <c r="AU38" s="7"/>
      <c r="AV38" s="699">
        <v>94</v>
      </c>
      <c r="AW38" s="7"/>
      <c r="AX38" s="618">
        <f t="shared" ref="AX38:AX42" si="3">AV38-AQ38</f>
        <v>78</v>
      </c>
      <c r="AY38" s="7"/>
      <c r="AZ38" s="7"/>
      <c r="BA38" s="7"/>
      <c r="BB38" s="7"/>
      <c r="BC38" s="7"/>
      <c r="BD38" s="7"/>
    </row>
    <row r="39" spans="1:56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643"/>
      <c r="AQ39" s="616">
        <f t="shared" si="0"/>
        <v>0</v>
      </c>
      <c r="AR39" s="633"/>
      <c r="AS39" s="644" t="s">
        <v>1578</v>
      </c>
      <c r="AT39" s="645">
        <f>AR43</f>
        <v>366</v>
      </c>
      <c r="AU39" s="7"/>
      <c r="AV39" s="699"/>
      <c r="AW39" s="7"/>
      <c r="AX39" s="618">
        <f t="shared" si="3"/>
        <v>0</v>
      </c>
      <c r="AY39" s="7"/>
      <c r="AZ39" s="7"/>
      <c r="BA39" s="7"/>
      <c r="BB39" s="7"/>
      <c r="BC39" s="7"/>
      <c r="BD39" s="7"/>
    </row>
    <row r="40" spans="1:56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643"/>
      <c r="AQ40" s="616">
        <f t="shared" si="0"/>
        <v>0</v>
      </c>
      <c r="AR40" s="633"/>
      <c r="AS40" s="636"/>
      <c r="AT40" s="636"/>
      <c r="AU40" s="7"/>
      <c r="AV40" s="699"/>
      <c r="AW40" s="7"/>
      <c r="AX40" s="618">
        <f t="shared" si="3"/>
        <v>0</v>
      </c>
      <c r="AY40" s="7"/>
      <c r="AZ40" s="7"/>
      <c r="BA40" s="7"/>
      <c r="BB40" s="7"/>
      <c r="BC40" s="7"/>
      <c r="BD40" s="7"/>
    </row>
    <row r="41" spans="1:56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643"/>
      <c r="AQ41" s="616">
        <f t="shared" si="0"/>
        <v>0</v>
      </c>
      <c r="AR41" s="633"/>
      <c r="AS41" s="636"/>
      <c r="AT41" s="636"/>
      <c r="AU41" s="7"/>
      <c r="AV41" s="699"/>
      <c r="AW41" s="7"/>
      <c r="AX41" s="618">
        <f t="shared" si="3"/>
        <v>0</v>
      </c>
      <c r="AY41" s="7"/>
      <c r="AZ41" s="7"/>
      <c r="BA41" s="7"/>
      <c r="BB41" s="7"/>
      <c r="BC41" s="7"/>
      <c r="BD41" s="7"/>
    </row>
    <row r="42" spans="1:56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643"/>
      <c r="AQ42" s="616">
        <f t="shared" si="0"/>
        <v>0</v>
      </c>
      <c r="AR42" s="633"/>
      <c r="AS42" s="636"/>
      <c r="AT42" s="636"/>
      <c r="AU42" s="7"/>
      <c r="AV42" s="699"/>
      <c r="AW42" s="7"/>
      <c r="AX42" s="618">
        <f t="shared" si="3"/>
        <v>0</v>
      </c>
      <c r="AY42" s="7"/>
      <c r="AZ42" s="7"/>
      <c r="BA42" s="7"/>
      <c r="BB42" s="7"/>
      <c r="BC42" s="7"/>
      <c r="BD42" s="7"/>
    </row>
    <row r="43" spans="1:56" ht="20.25" customHeight="1">
      <c r="A43" s="482"/>
      <c r="B43" s="496" t="s">
        <v>143</v>
      </c>
      <c r="C43" s="555" t="s">
        <v>144</v>
      </c>
      <c r="D43" s="485" t="s">
        <v>132</v>
      </c>
      <c r="E43" s="213">
        <f>13+7</f>
        <v>20</v>
      </c>
      <c r="F43" s="213"/>
      <c r="G43" s="213">
        <v>1</v>
      </c>
      <c r="H43" s="213"/>
      <c r="I43" s="213">
        <v>16</v>
      </c>
      <c r="J43" s="213">
        <v>2</v>
      </c>
      <c r="K43" s="213"/>
      <c r="L43" s="213"/>
      <c r="M43" s="213">
        <v>1</v>
      </c>
      <c r="N43" s="213"/>
      <c r="O43" s="213">
        <v>4</v>
      </c>
      <c r="P43" s="213">
        <v>2</v>
      </c>
      <c r="Q43" s="213">
        <v>2</v>
      </c>
      <c r="R43" s="213">
        <v>2</v>
      </c>
      <c r="S43" s="213"/>
      <c r="T43" s="213">
        <v>11</v>
      </c>
      <c r="U43" s="213">
        <v>3</v>
      </c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643"/>
      <c r="AQ43" s="616">
        <f t="shared" si="0"/>
        <v>64</v>
      </c>
      <c r="AR43" s="633">
        <f>AQ43+AQ48+AQ53+AQ62</f>
        <v>366</v>
      </c>
      <c r="AS43" s="634"/>
      <c r="AT43" s="634"/>
      <c r="AU43" s="7"/>
      <c r="AV43" s="699">
        <v>45</v>
      </c>
      <c r="AW43" s="7"/>
      <c r="AX43" s="618"/>
      <c r="AY43" s="7"/>
      <c r="AZ43" s="7"/>
      <c r="BA43" s="7"/>
      <c r="BB43" s="7"/>
      <c r="BC43" s="7"/>
      <c r="BD43" s="7"/>
    </row>
    <row r="44" spans="1:56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643"/>
      <c r="AQ44" s="616">
        <f t="shared" si="0"/>
        <v>0</v>
      </c>
      <c r="AR44" s="633"/>
      <c r="AS44" s="634"/>
      <c r="AT44" s="634"/>
      <c r="AU44" s="7"/>
      <c r="AV44" s="699"/>
      <c r="AW44" s="7"/>
      <c r="AX44" s="618"/>
      <c r="AY44" s="7"/>
      <c r="AZ44" s="7"/>
      <c r="BA44" s="7"/>
      <c r="BB44" s="7"/>
      <c r="BC44" s="7"/>
      <c r="BD44" s="7"/>
    </row>
    <row r="45" spans="1:56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643"/>
      <c r="AQ45" s="616">
        <f t="shared" si="0"/>
        <v>0</v>
      </c>
      <c r="AR45" s="633"/>
      <c r="AS45" s="634"/>
      <c r="AT45" s="634"/>
      <c r="AU45" s="7"/>
      <c r="AV45" s="699"/>
      <c r="AW45" s="7"/>
      <c r="AX45" s="618"/>
      <c r="AY45" s="7"/>
      <c r="AZ45" s="7"/>
      <c r="BA45" s="7"/>
      <c r="BB45" s="7"/>
      <c r="BC45" s="7"/>
      <c r="BD45" s="7"/>
    </row>
    <row r="46" spans="1:56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643"/>
      <c r="AQ46" s="616">
        <f t="shared" si="0"/>
        <v>0</v>
      </c>
      <c r="AR46" s="633"/>
      <c r="AS46" s="634"/>
      <c r="AT46" s="634"/>
      <c r="AU46" s="7"/>
      <c r="AV46" s="699"/>
      <c r="AW46" s="7"/>
      <c r="AX46" s="618"/>
      <c r="AY46" s="7"/>
      <c r="AZ46" s="7"/>
      <c r="BA46" s="7"/>
      <c r="BB46" s="7"/>
      <c r="BC46" s="7"/>
      <c r="BD46" s="7"/>
    </row>
    <row r="47" spans="1:56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643"/>
      <c r="AQ47" s="616">
        <f t="shared" si="0"/>
        <v>0</v>
      </c>
      <c r="AR47" s="633"/>
      <c r="AS47" s="634"/>
      <c r="AT47" s="634"/>
      <c r="AU47" s="7"/>
      <c r="AV47" s="699"/>
      <c r="AW47" s="7"/>
      <c r="AX47" s="618"/>
      <c r="AY47" s="7"/>
      <c r="AZ47" s="7"/>
      <c r="BA47" s="7"/>
      <c r="BB47" s="7"/>
      <c r="BC47" s="7"/>
      <c r="BD47" s="7"/>
    </row>
    <row r="48" spans="1:56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22</v>
      </c>
      <c r="F48" s="213">
        <v>151</v>
      </c>
      <c r="G48" s="213"/>
      <c r="H48" s="213">
        <v>37</v>
      </c>
      <c r="I48" s="213">
        <v>12</v>
      </c>
      <c r="J48" s="213">
        <v>1</v>
      </c>
      <c r="K48" s="213"/>
      <c r="L48" s="213">
        <v>3</v>
      </c>
      <c r="M48" s="213"/>
      <c r="N48" s="213">
        <v>3</v>
      </c>
      <c r="O48" s="213">
        <v>4</v>
      </c>
      <c r="P48" s="213">
        <v>10</v>
      </c>
      <c r="Q48" s="213">
        <v>2</v>
      </c>
      <c r="R48" s="213">
        <v>2</v>
      </c>
      <c r="S48" s="213"/>
      <c r="T48" s="213">
        <v>15</v>
      </c>
      <c r="U48" s="213"/>
      <c r="V48" s="213">
        <v>2</v>
      </c>
      <c r="W48" s="213"/>
      <c r="X48" s="213"/>
      <c r="Y48" s="213">
        <v>3</v>
      </c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643"/>
      <c r="AQ48" s="616">
        <f t="shared" si="0"/>
        <v>267</v>
      </c>
      <c r="AR48" s="633"/>
      <c r="AS48" s="634"/>
      <c r="AT48" s="634"/>
      <c r="AU48" s="7"/>
      <c r="AV48" s="699">
        <v>146</v>
      </c>
      <c r="AW48" s="7"/>
      <c r="AX48" s="618"/>
      <c r="AY48" s="7"/>
      <c r="AZ48" s="7"/>
      <c r="BA48" s="7"/>
      <c r="BB48" s="7"/>
      <c r="BC48" s="7"/>
      <c r="BD48" s="7"/>
    </row>
    <row r="49" spans="1:56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643"/>
      <c r="AQ49" s="616">
        <f t="shared" si="0"/>
        <v>0</v>
      </c>
      <c r="AR49" s="633"/>
      <c r="AS49" s="634"/>
      <c r="AT49" s="634"/>
      <c r="AU49" s="7"/>
      <c r="AV49" s="699"/>
      <c r="AW49" s="7"/>
      <c r="AX49" s="618"/>
      <c r="AY49" s="7"/>
      <c r="AZ49" s="7"/>
      <c r="BA49" s="7"/>
      <c r="BB49" s="7"/>
      <c r="BC49" s="7"/>
      <c r="BD49" s="7"/>
    </row>
    <row r="50" spans="1:56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643"/>
      <c r="AQ50" s="616">
        <f t="shared" si="0"/>
        <v>0</v>
      </c>
      <c r="AR50" s="633"/>
      <c r="AS50" s="634"/>
      <c r="AT50" s="634"/>
      <c r="AU50" s="7"/>
      <c r="AV50" s="699"/>
      <c r="AW50" s="7"/>
      <c r="AX50" s="618"/>
      <c r="AY50" s="7"/>
      <c r="AZ50" s="7"/>
      <c r="BA50" s="7"/>
      <c r="BB50" s="7"/>
      <c r="BC50" s="7"/>
      <c r="BD50" s="7"/>
    </row>
    <row r="51" spans="1:56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643"/>
      <c r="AQ51" s="616">
        <f t="shared" si="0"/>
        <v>0</v>
      </c>
      <c r="AR51" s="633"/>
      <c r="AS51" s="634"/>
      <c r="AT51" s="634"/>
      <c r="AU51" s="7"/>
      <c r="AV51" s="699"/>
      <c r="AW51" s="7"/>
      <c r="AX51" s="618"/>
      <c r="AY51" s="7"/>
      <c r="AZ51" s="7"/>
      <c r="BA51" s="7"/>
      <c r="BB51" s="7"/>
      <c r="BC51" s="7"/>
      <c r="BD51" s="7"/>
    </row>
    <row r="52" spans="1:56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  <c r="AN52" s="213"/>
      <c r="AO52" s="213"/>
      <c r="AP52" s="643"/>
      <c r="AQ52" s="616">
        <f t="shared" si="0"/>
        <v>0</v>
      </c>
      <c r="AR52" s="633"/>
      <c r="AS52" s="634"/>
      <c r="AT52" s="634"/>
      <c r="AU52" s="7"/>
      <c r="AV52" s="699"/>
      <c r="AW52" s="7"/>
      <c r="AX52" s="618"/>
      <c r="AY52" s="7"/>
      <c r="AZ52" s="7"/>
      <c r="BA52" s="7"/>
      <c r="BB52" s="7"/>
      <c r="BC52" s="7"/>
      <c r="BD52" s="7"/>
    </row>
    <row r="53" spans="1:56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4</v>
      </c>
      <c r="F53" s="213"/>
      <c r="G53" s="213">
        <v>6</v>
      </c>
      <c r="H53" s="213"/>
      <c r="I53" s="213">
        <v>7</v>
      </c>
      <c r="J53" s="213"/>
      <c r="K53" s="213"/>
      <c r="L53" s="213"/>
      <c r="M53" s="213"/>
      <c r="N53" s="213"/>
      <c r="O53" s="213"/>
      <c r="P53" s="213"/>
      <c r="Q53" s="213"/>
      <c r="R53" s="213"/>
      <c r="S53" s="213">
        <v>1</v>
      </c>
      <c r="T53" s="213">
        <v>5</v>
      </c>
      <c r="U53" s="213">
        <v>4</v>
      </c>
      <c r="V53" s="213">
        <v>5</v>
      </c>
      <c r="W53" s="213"/>
      <c r="X53" s="213">
        <v>2</v>
      </c>
      <c r="Y53" s="213"/>
      <c r="Z53" s="213"/>
      <c r="AA53" s="213"/>
      <c r="AB53" s="213"/>
      <c r="AC53" s="213"/>
      <c r="AD53" s="213"/>
      <c r="AE53" s="213">
        <v>1</v>
      </c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643"/>
      <c r="AQ53" s="616">
        <f t="shared" si="0"/>
        <v>35</v>
      </c>
      <c r="AR53" s="633"/>
      <c r="AS53" s="634"/>
      <c r="AT53" s="634"/>
      <c r="AU53" s="7"/>
      <c r="AV53" s="699">
        <v>110</v>
      </c>
      <c r="AW53" s="7"/>
      <c r="AX53" s="618">
        <v>1</v>
      </c>
      <c r="AY53" s="7"/>
      <c r="AZ53" s="7"/>
      <c r="BA53" s="7"/>
      <c r="BB53" s="7"/>
      <c r="BC53" s="7"/>
      <c r="BD53" s="7"/>
    </row>
    <row r="54" spans="1:56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  <c r="AN54" s="213"/>
      <c r="AO54" s="213"/>
      <c r="AP54" s="643"/>
      <c r="AQ54" s="616">
        <f t="shared" si="0"/>
        <v>0</v>
      </c>
      <c r="AR54" s="633"/>
      <c r="AS54" s="634"/>
      <c r="AT54" s="634"/>
      <c r="AU54" s="7"/>
      <c r="AV54" s="699"/>
      <c r="AW54" s="7"/>
      <c r="AX54" s="618">
        <f t="shared" ref="AX54:AX57" si="4">AV54-AQ54</f>
        <v>0</v>
      </c>
      <c r="AY54" s="7"/>
      <c r="AZ54" s="7"/>
      <c r="BA54" s="7"/>
      <c r="BB54" s="7"/>
      <c r="BC54" s="7"/>
      <c r="BD54" s="7"/>
    </row>
    <row r="55" spans="1:56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  <c r="AN55" s="213"/>
      <c r="AO55" s="213"/>
      <c r="AP55" s="643"/>
      <c r="AQ55" s="616">
        <f t="shared" si="0"/>
        <v>0</v>
      </c>
      <c r="AR55" s="633"/>
      <c r="AS55" s="634"/>
      <c r="AT55" s="634"/>
      <c r="AU55" s="7"/>
      <c r="AV55" s="699"/>
      <c r="AW55" s="7"/>
      <c r="AX55" s="618">
        <f t="shared" si="4"/>
        <v>0</v>
      </c>
      <c r="AY55" s="7"/>
      <c r="AZ55" s="7"/>
      <c r="BA55" s="7"/>
      <c r="BB55" s="7"/>
      <c r="BC55" s="7"/>
      <c r="BD55" s="7"/>
    </row>
    <row r="56" spans="1:56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  <c r="AN56" s="213"/>
      <c r="AO56" s="213"/>
      <c r="AP56" s="643"/>
      <c r="AQ56" s="616">
        <f t="shared" si="0"/>
        <v>0</v>
      </c>
      <c r="AR56" s="633"/>
      <c r="AS56" s="634"/>
      <c r="AT56" s="634"/>
      <c r="AU56" s="7"/>
      <c r="AV56" s="699"/>
      <c r="AW56" s="7"/>
      <c r="AX56" s="618">
        <f t="shared" si="4"/>
        <v>0</v>
      </c>
      <c r="AY56" s="7"/>
      <c r="AZ56" s="7"/>
      <c r="BA56" s="7"/>
      <c r="BB56" s="7"/>
      <c r="BC56" s="7"/>
      <c r="BD56" s="7"/>
    </row>
    <row r="57" spans="1:56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643"/>
      <c r="AQ57" s="616">
        <f t="shared" si="0"/>
        <v>0</v>
      </c>
      <c r="AR57" s="633"/>
      <c r="AS57" s="634"/>
      <c r="AT57" s="634"/>
      <c r="AU57" s="7"/>
      <c r="AV57" s="699"/>
      <c r="AW57" s="7"/>
      <c r="AX57" s="618">
        <f t="shared" si="4"/>
        <v>0</v>
      </c>
      <c r="AY57" s="7"/>
      <c r="AZ57" s="7"/>
      <c r="BA57" s="7"/>
      <c r="BB57" s="7"/>
      <c r="BC57" s="7"/>
      <c r="BD57" s="7"/>
    </row>
    <row r="58" spans="1:56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19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19"/>
      <c r="AL58" s="219"/>
      <c r="AM58" s="219"/>
      <c r="AN58" s="219"/>
      <c r="AO58" s="219"/>
      <c r="AP58" s="643"/>
      <c r="AQ58" s="616">
        <f t="shared" si="0"/>
        <v>0</v>
      </c>
      <c r="AR58" s="633"/>
      <c r="AS58" s="634"/>
      <c r="AT58" s="634"/>
      <c r="AU58" s="7"/>
      <c r="AV58" s="699"/>
      <c r="AW58" s="7"/>
      <c r="AX58" s="618"/>
      <c r="AY58" s="7"/>
      <c r="AZ58" s="7"/>
      <c r="BA58" s="7"/>
      <c r="BB58" s="7"/>
      <c r="BC58" s="7"/>
      <c r="BD58" s="7"/>
    </row>
    <row r="59" spans="1:56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643"/>
      <c r="AQ59" s="616">
        <f t="shared" si="0"/>
        <v>0</v>
      </c>
      <c r="AR59" s="633"/>
      <c r="AS59" s="648"/>
      <c r="AT59" s="648"/>
      <c r="AU59" s="7"/>
      <c r="AV59" s="699"/>
      <c r="AW59" s="7"/>
      <c r="AX59" s="618">
        <f t="shared" ref="AX59:AX62" si="5">AV59-AQ59</f>
        <v>0</v>
      </c>
      <c r="AY59" s="7"/>
      <c r="AZ59" s="7"/>
      <c r="BA59" s="7"/>
      <c r="BB59" s="7"/>
      <c r="BC59" s="7"/>
      <c r="BD59" s="7"/>
    </row>
    <row r="60" spans="1:56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643"/>
      <c r="AQ60" s="616">
        <f t="shared" si="0"/>
        <v>0</v>
      </c>
      <c r="AR60" s="633"/>
      <c r="AS60" s="648"/>
      <c r="AT60" s="648"/>
      <c r="AU60" s="7"/>
      <c r="AV60" s="699"/>
      <c r="AW60" s="7"/>
      <c r="AX60" s="618">
        <f t="shared" si="5"/>
        <v>0</v>
      </c>
      <c r="AY60" s="7"/>
      <c r="AZ60" s="7"/>
      <c r="BA60" s="7"/>
      <c r="BB60" s="7"/>
      <c r="BC60" s="7"/>
      <c r="BD60" s="7"/>
    </row>
    <row r="61" spans="1:56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643"/>
      <c r="AQ61" s="616">
        <f t="shared" si="0"/>
        <v>0</v>
      </c>
      <c r="AR61" s="633"/>
      <c r="AS61" s="648"/>
      <c r="AT61" s="648"/>
      <c r="AU61" s="7"/>
      <c r="AV61" s="699"/>
      <c r="AW61" s="7"/>
      <c r="AX61" s="618">
        <f t="shared" si="5"/>
        <v>0</v>
      </c>
      <c r="AY61" s="7"/>
      <c r="AZ61" s="7"/>
      <c r="BA61" s="7"/>
      <c r="BB61" s="7"/>
      <c r="BC61" s="7"/>
      <c r="BD61" s="7"/>
    </row>
    <row r="62" spans="1:56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  <c r="AN62" s="213"/>
      <c r="AO62" s="213"/>
      <c r="AP62" s="643"/>
      <c r="AQ62" s="616">
        <f t="shared" si="0"/>
        <v>0</v>
      </c>
      <c r="AR62" s="633"/>
      <c r="AS62" s="636"/>
      <c r="AT62" s="636"/>
      <c r="AU62" s="7"/>
      <c r="AV62" s="699">
        <v>2</v>
      </c>
      <c r="AW62" s="7"/>
      <c r="AX62" s="618">
        <f t="shared" si="5"/>
        <v>2</v>
      </c>
      <c r="AY62" s="7"/>
      <c r="AZ62" s="7"/>
      <c r="BA62" s="7"/>
      <c r="BB62" s="7"/>
      <c r="BC62" s="7"/>
      <c r="BD62" s="7"/>
    </row>
    <row r="63" spans="1:56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643"/>
      <c r="AQ63" s="616">
        <f t="shared" si="0"/>
        <v>0</v>
      </c>
      <c r="AR63" s="633"/>
      <c r="AS63" s="636"/>
      <c r="AT63" s="636"/>
      <c r="AU63" s="7"/>
      <c r="AV63" s="699"/>
      <c r="AW63" s="7"/>
      <c r="AX63" s="618"/>
      <c r="AY63" s="7"/>
      <c r="AZ63" s="7"/>
      <c r="BA63" s="7"/>
      <c r="BB63" s="7"/>
      <c r="BC63" s="7"/>
      <c r="BD63" s="7"/>
    </row>
    <row r="64" spans="1:56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643"/>
      <c r="AQ64" s="616">
        <f t="shared" si="0"/>
        <v>0</v>
      </c>
      <c r="AR64" s="633"/>
      <c r="AS64" s="640"/>
      <c r="AT64" s="640"/>
      <c r="AU64" s="7"/>
      <c r="AV64" s="699"/>
      <c r="AW64" s="7"/>
      <c r="AX64" s="618">
        <f t="shared" ref="AX64:AX65" si="6">AV64-AQ64</f>
        <v>0</v>
      </c>
      <c r="AY64" s="7"/>
      <c r="AZ64" s="7"/>
      <c r="BA64" s="7"/>
      <c r="BB64" s="7"/>
      <c r="BC64" s="7"/>
      <c r="BD64" s="7"/>
    </row>
    <row r="65" spans="1:56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  <c r="AN65" s="213"/>
      <c r="AO65" s="213"/>
      <c r="AP65" s="643"/>
      <c r="AQ65" s="616">
        <f t="shared" si="0"/>
        <v>0</v>
      </c>
      <c r="AR65" s="633"/>
      <c r="AS65" s="636"/>
      <c r="AT65" s="636"/>
      <c r="AU65" s="7"/>
      <c r="AV65" s="699"/>
      <c r="AW65" s="7"/>
      <c r="AX65" s="618">
        <f t="shared" si="6"/>
        <v>0</v>
      </c>
      <c r="AY65" s="7"/>
      <c r="AZ65" s="7"/>
      <c r="BA65" s="7"/>
      <c r="BB65" s="7"/>
      <c r="BC65" s="7"/>
      <c r="BD65" s="7"/>
    </row>
    <row r="66" spans="1:56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643"/>
      <c r="AQ66" s="616">
        <f t="shared" si="0"/>
        <v>0</v>
      </c>
      <c r="AR66" s="633"/>
      <c r="AS66" s="636"/>
      <c r="AT66" s="636"/>
      <c r="AU66" s="7"/>
      <c r="AV66" s="699"/>
      <c r="AW66" s="7"/>
      <c r="AX66" s="618"/>
      <c r="AY66" s="7"/>
      <c r="AZ66" s="7"/>
      <c r="BA66" s="7"/>
      <c r="BB66" s="7"/>
      <c r="BC66" s="7"/>
      <c r="BD66" s="7"/>
    </row>
    <row r="67" spans="1:56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  <c r="AN67" s="213"/>
      <c r="AO67" s="213"/>
      <c r="AP67" s="643"/>
      <c r="AQ67" s="616">
        <f t="shared" si="0"/>
        <v>0</v>
      </c>
      <c r="AR67" s="633"/>
      <c r="AS67" s="634"/>
      <c r="AT67" s="634"/>
      <c r="AU67" s="7"/>
      <c r="AV67" s="699"/>
      <c r="AW67" s="7"/>
      <c r="AX67" s="618">
        <f t="shared" ref="AX67:AX68" si="7">AV67-AQ67</f>
        <v>0</v>
      </c>
      <c r="AY67" s="7"/>
      <c r="AZ67" s="7"/>
      <c r="BA67" s="7"/>
      <c r="BB67" s="7"/>
      <c r="BC67" s="7"/>
      <c r="BD67" s="7"/>
    </row>
    <row r="68" spans="1:56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643"/>
      <c r="AQ68" s="616">
        <f t="shared" si="0"/>
        <v>0</v>
      </c>
      <c r="AR68" s="633"/>
      <c r="AS68" s="634"/>
      <c r="AT68" s="634"/>
      <c r="AU68" s="7"/>
      <c r="AV68" s="699"/>
      <c r="AW68" s="7"/>
      <c r="AX68" s="618">
        <f t="shared" si="7"/>
        <v>0</v>
      </c>
      <c r="AY68" s="7"/>
      <c r="AZ68" s="7"/>
      <c r="BA68" s="7"/>
      <c r="BB68" s="7"/>
      <c r="BC68" s="7"/>
      <c r="BD68" s="7"/>
    </row>
    <row r="69" spans="1:56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  <c r="AN69" s="213"/>
      <c r="AO69" s="213"/>
      <c r="AP69" s="643"/>
      <c r="AQ69" s="616">
        <f t="shared" si="0"/>
        <v>0</v>
      </c>
      <c r="AR69" s="633"/>
      <c r="AS69" s="634"/>
      <c r="AT69" s="634"/>
      <c r="AU69" s="7"/>
      <c r="AV69" s="699"/>
      <c r="AW69" s="7"/>
      <c r="AX69" s="618"/>
      <c r="AY69" s="7"/>
      <c r="AZ69" s="7"/>
      <c r="BA69" s="7"/>
      <c r="BB69" s="7"/>
      <c r="BC69" s="7"/>
      <c r="BD69" s="7"/>
    </row>
    <row r="70" spans="1:56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  <c r="AN70" s="213"/>
      <c r="AO70" s="213"/>
      <c r="AP70" s="643"/>
      <c r="AQ70" s="616">
        <f t="shared" si="0"/>
        <v>0</v>
      </c>
      <c r="AR70" s="633"/>
      <c r="AS70" s="634"/>
      <c r="AT70" s="634"/>
      <c r="AU70" s="7"/>
      <c r="AV70" s="699"/>
      <c r="AW70" s="7"/>
      <c r="AX70" s="618">
        <f t="shared" ref="AX70:AX90" si="8">AV70-AQ70</f>
        <v>0</v>
      </c>
      <c r="AY70" s="7"/>
      <c r="AZ70" s="7"/>
      <c r="BA70" s="7"/>
      <c r="BB70" s="7"/>
      <c r="BC70" s="7"/>
      <c r="BD70" s="7"/>
    </row>
    <row r="71" spans="1:56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643"/>
      <c r="AQ71" s="616">
        <f t="shared" si="0"/>
        <v>0</v>
      </c>
      <c r="AR71" s="633"/>
      <c r="AS71" s="636"/>
      <c r="AT71" s="636"/>
      <c r="AU71" s="7"/>
      <c r="AV71" s="699"/>
      <c r="AW71" s="7"/>
      <c r="AX71" s="618">
        <f t="shared" si="8"/>
        <v>0</v>
      </c>
      <c r="AY71" s="7"/>
      <c r="AZ71" s="7"/>
      <c r="BA71" s="7"/>
      <c r="BB71" s="7"/>
      <c r="BC71" s="7"/>
      <c r="BD71" s="7"/>
    </row>
    <row r="72" spans="1:56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  <c r="AN72" s="213"/>
      <c r="AO72" s="213"/>
      <c r="AP72" s="643"/>
      <c r="AQ72" s="616">
        <f t="shared" si="0"/>
        <v>0</v>
      </c>
      <c r="AR72" s="633"/>
      <c r="AS72" s="648"/>
      <c r="AT72" s="648"/>
      <c r="AU72" s="7"/>
      <c r="AV72" s="699"/>
      <c r="AW72" s="7"/>
      <c r="AX72" s="618">
        <f t="shared" si="8"/>
        <v>0</v>
      </c>
      <c r="AY72" s="7"/>
      <c r="AZ72" s="7"/>
      <c r="BA72" s="7"/>
      <c r="BB72" s="7"/>
      <c r="BC72" s="7"/>
      <c r="BD72" s="7"/>
    </row>
    <row r="73" spans="1:56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643"/>
      <c r="AQ73" s="616">
        <f t="shared" si="0"/>
        <v>0</v>
      </c>
      <c r="AR73" s="633"/>
      <c r="AS73" s="648"/>
      <c r="AT73" s="648"/>
      <c r="AU73" s="7"/>
      <c r="AV73" s="699"/>
      <c r="AW73" s="7"/>
      <c r="AX73" s="618">
        <f t="shared" si="8"/>
        <v>0</v>
      </c>
      <c r="AY73" s="7"/>
      <c r="AZ73" s="7"/>
      <c r="BA73" s="7"/>
      <c r="BB73" s="7"/>
      <c r="BC73" s="7"/>
      <c r="BD73" s="7"/>
    </row>
    <row r="74" spans="1:56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643"/>
      <c r="AQ74" s="616">
        <f t="shared" si="0"/>
        <v>0</v>
      </c>
      <c r="AR74" s="633"/>
      <c r="AS74" s="648"/>
      <c r="AT74" s="648"/>
      <c r="AU74" s="7"/>
      <c r="AV74" s="699"/>
      <c r="AW74" s="7"/>
      <c r="AX74" s="618">
        <f t="shared" si="8"/>
        <v>0</v>
      </c>
      <c r="AY74" s="7"/>
      <c r="AZ74" s="7"/>
      <c r="BA74" s="7"/>
      <c r="BB74" s="7"/>
      <c r="BC74" s="7"/>
      <c r="BD74" s="7"/>
    </row>
    <row r="75" spans="1:56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643"/>
      <c r="AQ75" s="616">
        <f t="shared" si="0"/>
        <v>0</v>
      </c>
      <c r="AR75" s="633"/>
      <c r="AS75" s="636"/>
      <c r="AT75" s="636"/>
      <c r="AU75" s="7"/>
      <c r="AV75" s="699"/>
      <c r="AW75" s="7"/>
      <c r="AX75" s="618">
        <f t="shared" si="8"/>
        <v>0</v>
      </c>
      <c r="AY75" s="7"/>
      <c r="AZ75" s="7"/>
      <c r="BA75" s="7"/>
      <c r="BB75" s="7"/>
      <c r="BC75" s="7"/>
      <c r="BD75" s="7"/>
    </row>
    <row r="76" spans="1:56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AO76" s="213"/>
      <c r="AP76" s="643"/>
      <c r="AQ76" s="616">
        <f t="shared" si="0"/>
        <v>0</v>
      </c>
      <c r="AR76" s="633"/>
      <c r="AS76" s="636"/>
      <c r="AT76" s="636"/>
      <c r="AU76" s="7"/>
      <c r="AV76" s="699"/>
      <c r="AW76" s="7"/>
      <c r="AX76" s="618">
        <f t="shared" si="8"/>
        <v>0</v>
      </c>
      <c r="AY76" s="7"/>
      <c r="AZ76" s="7"/>
      <c r="BA76" s="7"/>
      <c r="BB76" s="7"/>
      <c r="BC76" s="7"/>
      <c r="BD76" s="7"/>
    </row>
    <row r="77" spans="1:56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643"/>
      <c r="AQ77" s="616">
        <f t="shared" si="0"/>
        <v>0</v>
      </c>
      <c r="AR77" s="633"/>
      <c r="AS77" s="640"/>
      <c r="AT77" s="640"/>
      <c r="AU77" s="7"/>
      <c r="AV77" s="699"/>
      <c r="AW77" s="7"/>
      <c r="AX77" s="618">
        <f t="shared" si="8"/>
        <v>0</v>
      </c>
      <c r="AY77" s="7"/>
      <c r="AZ77" s="7"/>
      <c r="BA77" s="7"/>
      <c r="BB77" s="7"/>
      <c r="BC77" s="7"/>
      <c r="BD77" s="7"/>
    </row>
    <row r="78" spans="1:56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643"/>
      <c r="AQ78" s="616">
        <f t="shared" si="0"/>
        <v>0</v>
      </c>
      <c r="AR78" s="633"/>
      <c r="AS78" s="636"/>
      <c r="AT78" s="636"/>
      <c r="AU78" s="7"/>
      <c r="AV78" s="699"/>
      <c r="AW78" s="7"/>
      <c r="AX78" s="618">
        <f t="shared" si="8"/>
        <v>0</v>
      </c>
      <c r="AY78" s="7"/>
      <c r="AZ78" s="7"/>
      <c r="BA78" s="7"/>
      <c r="BB78" s="7"/>
      <c r="BC78" s="7"/>
      <c r="BD78" s="7"/>
    </row>
    <row r="79" spans="1:56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643"/>
      <c r="AQ79" s="616">
        <f t="shared" si="0"/>
        <v>0</v>
      </c>
      <c r="AR79" s="633"/>
      <c r="AS79" s="634"/>
      <c r="AT79" s="634"/>
      <c r="AU79" s="7"/>
      <c r="AV79" s="699"/>
      <c r="AW79" s="7"/>
      <c r="AX79" s="618">
        <f t="shared" si="8"/>
        <v>0</v>
      </c>
      <c r="AY79" s="7"/>
      <c r="AZ79" s="7"/>
      <c r="BA79" s="7"/>
      <c r="BB79" s="7"/>
      <c r="BC79" s="7"/>
      <c r="BD79" s="7"/>
    </row>
    <row r="80" spans="1:56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643"/>
      <c r="AQ80" s="616">
        <f t="shared" si="0"/>
        <v>0</v>
      </c>
      <c r="AR80" s="633"/>
      <c r="AS80" s="634"/>
      <c r="AT80" s="634"/>
      <c r="AU80" s="7"/>
      <c r="AV80" s="699"/>
      <c r="AW80" s="7"/>
      <c r="AX80" s="618">
        <f t="shared" si="8"/>
        <v>0</v>
      </c>
      <c r="AY80" s="7"/>
      <c r="AZ80" s="7"/>
      <c r="BA80" s="7"/>
      <c r="BB80" s="7"/>
      <c r="BC80" s="7"/>
      <c r="BD80" s="7"/>
    </row>
    <row r="81" spans="1:56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643"/>
      <c r="AQ81" s="616">
        <f t="shared" si="0"/>
        <v>0</v>
      </c>
      <c r="AR81" s="633"/>
      <c r="AS81" s="634"/>
      <c r="AT81" s="634"/>
      <c r="AU81" s="7"/>
      <c r="AV81" s="699"/>
      <c r="AW81" s="7"/>
      <c r="AX81" s="618">
        <f t="shared" si="8"/>
        <v>0</v>
      </c>
      <c r="AY81" s="7"/>
      <c r="AZ81" s="7"/>
      <c r="BA81" s="7"/>
      <c r="BB81" s="7"/>
      <c r="BC81" s="7"/>
      <c r="BD81" s="7"/>
    </row>
    <row r="82" spans="1:56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643"/>
      <c r="AQ82" s="616">
        <f t="shared" si="0"/>
        <v>0</v>
      </c>
      <c r="AR82" s="633"/>
      <c r="AS82" s="634"/>
      <c r="AT82" s="634"/>
      <c r="AU82" s="7"/>
      <c r="AV82" s="699"/>
      <c r="AW82" s="7"/>
      <c r="AX82" s="618">
        <f t="shared" si="8"/>
        <v>0</v>
      </c>
      <c r="AY82" s="7"/>
      <c r="AZ82" s="7"/>
      <c r="BA82" s="7"/>
      <c r="BB82" s="7"/>
      <c r="BC82" s="7"/>
      <c r="BD82" s="7"/>
    </row>
    <row r="83" spans="1:56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643"/>
      <c r="AQ83" s="616">
        <f t="shared" si="0"/>
        <v>0</v>
      </c>
      <c r="AR83" s="633"/>
      <c r="AS83" s="636"/>
      <c r="AT83" s="636"/>
      <c r="AU83" s="7"/>
      <c r="AV83" s="699"/>
      <c r="AW83" s="7"/>
      <c r="AX83" s="618">
        <f t="shared" si="8"/>
        <v>0</v>
      </c>
      <c r="AY83" s="7"/>
      <c r="AZ83" s="7"/>
      <c r="BA83" s="7"/>
      <c r="BB83" s="7"/>
      <c r="BC83" s="7"/>
      <c r="BD83" s="7"/>
    </row>
    <row r="84" spans="1:56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643"/>
      <c r="AQ84" s="616">
        <f t="shared" si="0"/>
        <v>0</v>
      </c>
      <c r="AR84" s="633"/>
      <c r="AS84" s="648"/>
      <c r="AT84" s="648"/>
      <c r="AU84" s="7"/>
      <c r="AV84" s="699"/>
      <c r="AW84" s="7"/>
      <c r="AX84" s="618">
        <f t="shared" si="8"/>
        <v>0</v>
      </c>
      <c r="AY84" s="7"/>
      <c r="AZ84" s="7"/>
      <c r="BA84" s="7"/>
      <c r="BB84" s="7"/>
      <c r="BC84" s="7"/>
      <c r="BD84" s="7"/>
    </row>
    <row r="85" spans="1:56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643"/>
      <c r="AQ85" s="616">
        <f t="shared" si="0"/>
        <v>0</v>
      </c>
      <c r="AR85" s="633"/>
      <c r="AS85" s="648"/>
      <c r="AT85" s="648"/>
      <c r="AU85" s="7"/>
      <c r="AV85" s="699"/>
      <c r="AW85" s="7"/>
      <c r="AX85" s="618">
        <f t="shared" si="8"/>
        <v>0</v>
      </c>
      <c r="AY85" s="7"/>
      <c r="AZ85" s="7"/>
      <c r="BA85" s="7"/>
      <c r="BB85" s="7"/>
      <c r="BC85" s="7"/>
      <c r="BD85" s="7"/>
    </row>
    <row r="86" spans="1:56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643"/>
      <c r="AQ86" s="616">
        <f t="shared" si="0"/>
        <v>0</v>
      </c>
      <c r="AR86" s="633"/>
      <c r="AS86" s="648"/>
      <c r="AT86" s="648"/>
      <c r="AU86" s="7"/>
      <c r="AV86" s="699"/>
      <c r="AW86" s="7"/>
      <c r="AX86" s="618">
        <f t="shared" si="8"/>
        <v>0</v>
      </c>
      <c r="AY86" s="7"/>
      <c r="AZ86" s="7"/>
      <c r="BA86" s="7"/>
      <c r="BB86" s="7"/>
      <c r="BC86" s="7"/>
      <c r="BD86" s="7"/>
    </row>
    <row r="87" spans="1:56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643"/>
      <c r="AQ87" s="616">
        <f t="shared" si="0"/>
        <v>0</v>
      </c>
      <c r="AR87" s="633"/>
      <c r="AS87" s="636"/>
      <c r="AT87" s="636"/>
      <c r="AU87" s="7"/>
      <c r="AV87" s="699"/>
      <c r="AW87" s="7"/>
      <c r="AX87" s="618">
        <f t="shared" si="8"/>
        <v>0</v>
      </c>
      <c r="AY87" s="7"/>
      <c r="AZ87" s="7"/>
      <c r="BA87" s="7"/>
      <c r="BB87" s="7"/>
      <c r="BC87" s="7"/>
      <c r="BD87" s="7"/>
    </row>
    <row r="88" spans="1:56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643"/>
      <c r="AQ88" s="616">
        <f t="shared" si="0"/>
        <v>0</v>
      </c>
      <c r="AR88" s="633"/>
      <c r="AS88" s="636"/>
      <c r="AT88" s="636"/>
      <c r="AU88" s="7"/>
      <c r="AV88" s="699"/>
      <c r="AW88" s="7"/>
      <c r="AX88" s="618">
        <f t="shared" si="8"/>
        <v>0</v>
      </c>
      <c r="AY88" s="7"/>
      <c r="AZ88" s="7"/>
      <c r="BA88" s="7"/>
      <c r="BB88" s="7"/>
      <c r="BC88" s="7"/>
      <c r="BD88" s="7"/>
    </row>
    <row r="89" spans="1:56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643"/>
      <c r="AQ89" s="616">
        <f t="shared" si="0"/>
        <v>0</v>
      </c>
      <c r="AR89" s="633"/>
      <c r="AS89" s="636"/>
      <c r="AT89" s="636"/>
      <c r="AU89" s="7"/>
      <c r="AV89" s="699"/>
      <c r="AW89" s="7"/>
      <c r="AX89" s="618">
        <f t="shared" si="8"/>
        <v>0</v>
      </c>
      <c r="AY89" s="7"/>
      <c r="AZ89" s="7"/>
      <c r="BA89" s="7"/>
      <c r="BB89" s="7"/>
      <c r="BC89" s="7"/>
      <c r="BD89" s="7"/>
    </row>
    <row r="90" spans="1:56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643"/>
      <c r="AQ90" s="616">
        <f t="shared" si="0"/>
        <v>0</v>
      </c>
      <c r="AR90" s="633"/>
      <c r="AS90" s="640"/>
      <c r="AT90" s="640"/>
      <c r="AU90" s="7"/>
      <c r="AV90" s="699"/>
      <c r="AW90" s="7"/>
      <c r="AX90" s="618">
        <f t="shared" si="8"/>
        <v>0</v>
      </c>
      <c r="AY90" s="7"/>
      <c r="AZ90" s="7"/>
      <c r="BA90" s="7"/>
      <c r="BB90" s="7"/>
      <c r="BC90" s="7"/>
      <c r="BD90" s="7"/>
    </row>
    <row r="91" spans="1:56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643"/>
      <c r="AQ91" s="616">
        <f t="shared" si="0"/>
        <v>0</v>
      </c>
      <c r="AR91" s="633"/>
      <c r="AS91" s="636"/>
      <c r="AT91" s="636"/>
      <c r="AU91" s="7"/>
      <c r="AV91" s="699"/>
      <c r="AW91" s="7"/>
      <c r="AX91" s="618"/>
      <c r="AY91" s="7"/>
      <c r="AZ91" s="7"/>
      <c r="BA91" s="7"/>
      <c r="BB91" s="7"/>
      <c r="BC91" s="7"/>
      <c r="BD91" s="7"/>
    </row>
    <row r="92" spans="1:56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643"/>
      <c r="AQ92" s="616">
        <f t="shared" si="0"/>
        <v>0</v>
      </c>
      <c r="AR92" s="633"/>
      <c r="AS92" s="636"/>
      <c r="AT92" s="636"/>
      <c r="AU92" s="7"/>
      <c r="AV92" s="699"/>
      <c r="AW92" s="7"/>
      <c r="AX92" s="618">
        <f t="shared" ref="AX92:AX93" si="9">AV92-AQ92</f>
        <v>0</v>
      </c>
      <c r="AY92" s="7"/>
      <c r="AZ92" s="7"/>
      <c r="BA92" s="7"/>
      <c r="BB92" s="7"/>
      <c r="BC92" s="7"/>
      <c r="BD92" s="7"/>
    </row>
    <row r="93" spans="1:56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643"/>
      <c r="AQ93" s="616">
        <f t="shared" si="0"/>
        <v>0</v>
      </c>
      <c r="AR93" s="633"/>
      <c r="AS93" s="636"/>
      <c r="AT93" s="636"/>
      <c r="AU93" s="7"/>
      <c r="AV93" s="699"/>
      <c r="AW93" s="7"/>
      <c r="AX93" s="618">
        <f t="shared" si="9"/>
        <v>0</v>
      </c>
      <c r="AY93" s="7"/>
      <c r="AZ93" s="7"/>
      <c r="BA93" s="7"/>
      <c r="BB93" s="7"/>
      <c r="BC93" s="7"/>
      <c r="BD93" s="7"/>
    </row>
    <row r="94" spans="1:56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643"/>
      <c r="AQ94" s="616">
        <f t="shared" si="0"/>
        <v>0</v>
      </c>
      <c r="AR94" s="633"/>
      <c r="AS94" s="636"/>
      <c r="AT94" s="636"/>
      <c r="AU94" s="7"/>
      <c r="AV94" s="699"/>
      <c r="AW94" s="7"/>
      <c r="AX94" s="618"/>
      <c r="AY94" s="7"/>
      <c r="AZ94" s="7"/>
      <c r="BA94" s="7"/>
      <c r="BB94" s="7"/>
      <c r="BC94" s="7"/>
      <c r="BD94" s="7"/>
    </row>
    <row r="95" spans="1:56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643"/>
      <c r="AQ95" s="616">
        <f t="shared" si="0"/>
        <v>0</v>
      </c>
      <c r="AR95" s="633"/>
      <c r="AS95" s="636"/>
      <c r="AT95" s="636"/>
      <c r="AU95" s="7"/>
      <c r="AV95" s="699"/>
      <c r="AW95" s="7"/>
      <c r="AX95" s="618">
        <f t="shared" ref="AX95:AX103" si="10">AV95-AQ95</f>
        <v>0</v>
      </c>
      <c r="AY95" s="7"/>
      <c r="AZ95" s="7"/>
      <c r="BA95" s="7"/>
      <c r="BB95" s="7"/>
      <c r="BC95" s="7"/>
      <c r="BD95" s="7"/>
    </row>
    <row r="96" spans="1:56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643"/>
      <c r="AQ96" s="616">
        <f t="shared" si="0"/>
        <v>0</v>
      </c>
      <c r="AR96" s="633"/>
      <c r="AS96" s="636"/>
      <c r="AT96" s="636"/>
      <c r="AU96" s="7"/>
      <c r="AV96" s="699"/>
      <c r="AW96" s="7"/>
      <c r="AX96" s="618">
        <f t="shared" si="10"/>
        <v>0</v>
      </c>
      <c r="AY96" s="7"/>
      <c r="AZ96" s="7"/>
      <c r="BA96" s="7"/>
      <c r="BB96" s="7"/>
      <c r="BC96" s="7"/>
      <c r="BD96" s="7"/>
    </row>
    <row r="97" spans="1:56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643"/>
      <c r="AQ97" s="616">
        <f t="shared" si="0"/>
        <v>0</v>
      </c>
      <c r="AR97" s="633"/>
      <c r="AS97" s="636"/>
      <c r="AT97" s="636"/>
      <c r="AU97" s="7"/>
      <c r="AV97" s="699"/>
      <c r="AW97" s="7"/>
      <c r="AX97" s="618">
        <f t="shared" si="10"/>
        <v>0</v>
      </c>
      <c r="AY97" s="7"/>
      <c r="AZ97" s="7"/>
      <c r="BA97" s="7"/>
      <c r="BB97" s="7"/>
      <c r="BC97" s="7"/>
      <c r="BD97" s="7"/>
    </row>
    <row r="98" spans="1:56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643"/>
      <c r="AQ98" s="616">
        <f t="shared" si="0"/>
        <v>0</v>
      </c>
      <c r="AR98" s="633"/>
      <c r="AS98" s="636"/>
      <c r="AT98" s="636"/>
      <c r="AU98" s="7"/>
      <c r="AV98" s="699"/>
      <c r="AW98" s="7"/>
      <c r="AX98" s="618">
        <f t="shared" si="10"/>
        <v>0</v>
      </c>
      <c r="AY98" s="7"/>
      <c r="AZ98" s="7"/>
      <c r="BA98" s="7"/>
      <c r="BB98" s="7"/>
      <c r="BC98" s="7"/>
      <c r="BD98" s="7"/>
    </row>
    <row r="99" spans="1:56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643"/>
      <c r="AQ99" s="616">
        <f t="shared" si="0"/>
        <v>0</v>
      </c>
      <c r="AR99" s="633"/>
      <c r="AS99" s="636"/>
      <c r="AT99" s="636"/>
      <c r="AU99" s="7"/>
      <c r="AV99" s="699"/>
      <c r="AW99" s="7"/>
      <c r="AX99" s="618">
        <f t="shared" si="10"/>
        <v>0</v>
      </c>
      <c r="AY99" s="7"/>
      <c r="AZ99" s="7"/>
      <c r="BA99" s="7"/>
      <c r="BB99" s="7"/>
      <c r="BC99" s="7"/>
      <c r="BD99" s="7"/>
    </row>
    <row r="100" spans="1:56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643"/>
      <c r="AQ100" s="616">
        <f t="shared" si="0"/>
        <v>0</v>
      </c>
      <c r="AR100" s="633"/>
      <c r="AS100" s="636"/>
      <c r="AT100" s="636"/>
      <c r="AU100" s="7"/>
      <c r="AV100" s="699"/>
      <c r="AW100" s="7"/>
      <c r="AX100" s="618">
        <f t="shared" si="10"/>
        <v>0</v>
      </c>
      <c r="AY100" s="7"/>
      <c r="AZ100" s="7"/>
      <c r="BA100" s="7"/>
      <c r="BB100" s="7"/>
      <c r="BC100" s="7"/>
      <c r="BD100" s="7"/>
    </row>
    <row r="101" spans="1:56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643"/>
      <c r="AQ101" s="616">
        <f t="shared" si="0"/>
        <v>0</v>
      </c>
      <c r="AR101" s="633"/>
      <c r="AS101" s="636"/>
      <c r="AT101" s="636"/>
      <c r="AU101" s="7"/>
      <c r="AV101" s="699"/>
      <c r="AW101" s="7"/>
      <c r="AX101" s="618">
        <f t="shared" si="10"/>
        <v>0</v>
      </c>
      <c r="AY101" s="7"/>
      <c r="AZ101" s="7"/>
      <c r="BA101" s="7"/>
      <c r="BB101" s="7"/>
      <c r="BC101" s="7"/>
      <c r="BD101" s="7"/>
    </row>
    <row r="102" spans="1:56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643"/>
      <c r="AQ102" s="616">
        <f t="shared" si="0"/>
        <v>0</v>
      </c>
      <c r="AR102" s="633"/>
      <c r="AS102" s="636"/>
      <c r="AT102" s="636"/>
      <c r="AU102" s="7"/>
      <c r="AV102" s="699"/>
      <c r="AW102" s="7"/>
      <c r="AX102" s="618">
        <f t="shared" si="10"/>
        <v>0</v>
      </c>
      <c r="AY102" s="7"/>
      <c r="AZ102" s="7"/>
      <c r="BA102" s="7"/>
      <c r="BB102" s="7"/>
      <c r="BC102" s="7"/>
      <c r="BD102" s="7"/>
    </row>
    <row r="103" spans="1:56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643"/>
      <c r="AQ103" s="616">
        <f t="shared" si="0"/>
        <v>0</v>
      </c>
      <c r="AR103" s="650" t="s">
        <v>1579</v>
      </c>
      <c r="AS103" s="640"/>
      <c r="AT103" s="640"/>
      <c r="AU103" s="7"/>
      <c r="AV103" s="699"/>
      <c r="AW103" s="7"/>
      <c r="AX103" s="618">
        <f t="shared" si="10"/>
        <v>0</v>
      </c>
      <c r="AY103" s="7"/>
      <c r="AZ103" s="7"/>
      <c r="BA103" s="7"/>
      <c r="BB103" s="7"/>
      <c r="BC103" s="7"/>
      <c r="BD103" s="7"/>
    </row>
    <row r="104" spans="1:56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21</v>
      </c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643"/>
      <c r="AQ104" s="616">
        <f t="shared" si="0"/>
        <v>21</v>
      </c>
      <c r="AR104" s="633">
        <f>AQ104+AQ126+AQ115</f>
        <v>75.95</v>
      </c>
      <c r="AS104" s="636"/>
      <c r="AT104" s="636"/>
      <c r="AU104" s="7"/>
      <c r="AV104" s="699">
        <v>1162</v>
      </c>
      <c r="AW104" s="7"/>
      <c r="AX104" s="618"/>
      <c r="AY104" s="7"/>
      <c r="AZ104" s="7"/>
      <c r="BA104" s="7"/>
      <c r="BB104" s="7"/>
      <c r="BC104" s="7"/>
      <c r="BD104" s="7"/>
    </row>
    <row r="105" spans="1:56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643"/>
      <c r="AQ105" s="616">
        <f t="shared" si="0"/>
        <v>0</v>
      </c>
      <c r="AR105" s="633"/>
      <c r="AS105" s="654"/>
      <c r="AT105" s="654"/>
      <c r="AU105" s="7"/>
      <c r="AV105" s="699">
        <v>1162</v>
      </c>
      <c r="AW105" s="7"/>
      <c r="AX105" s="618"/>
      <c r="AY105" s="7"/>
      <c r="AZ105" s="7"/>
      <c r="BA105" s="7"/>
      <c r="BB105" s="7"/>
      <c r="BC105" s="7"/>
      <c r="BD105" s="7"/>
    </row>
    <row r="106" spans="1:56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643"/>
      <c r="AQ106" s="616">
        <f t="shared" si="0"/>
        <v>0</v>
      </c>
      <c r="AR106" s="633"/>
      <c r="AS106" s="648"/>
      <c r="AT106" s="648"/>
      <c r="AU106" s="7"/>
      <c r="AV106" s="699">
        <v>396</v>
      </c>
      <c r="AW106" s="7"/>
      <c r="AX106" s="618"/>
      <c r="AY106" s="7"/>
      <c r="AZ106" s="7"/>
      <c r="BA106" s="7"/>
      <c r="BB106" s="7"/>
      <c r="BC106" s="7"/>
      <c r="BD106" s="7"/>
    </row>
    <row r="107" spans="1:56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643"/>
      <c r="AQ107" s="616">
        <f t="shared" si="0"/>
        <v>0</v>
      </c>
      <c r="AR107" s="633"/>
      <c r="AS107" s="648"/>
      <c r="AT107" s="648"/>
      <c r="AU107" s="7"/>
      <c r="AV107" s="699">
        <v>750</v>
      </c>
      <c r="AW107" s="7"/>
      <c r="AX107" s="618"/>
      <c r="AY107" s="7"/>
      <c r="AZ107" s="7"/>
      <c r="BA107" s="7"/>
      <c r="BB107" s="7"/>
      <c r="BC107" s="7"/>
      <c r="BD107" s="7"/>
    </row>
    <row r="108" spans="1:56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643"/>
      <c r="AQ108" s="616">
        <f t="shared" si="0"/>
        <v>0</v>
      </c>
      <c r="AR108" s="633"/>
      <c r="AS108" s="648"/>
      <c r="AT108" s="648"/>
      <c r="AU108" s="7"/>
      <c r="AV108" s="699"/>
      <c r="AW108" s="7"/>
      <c r="AX108" s="618"/>
      <c r="AY108" s="7"/>
      <c r="AZ108" s="7"/>
      <c r="BA108" s="7"/>
      <c r="BB108" s="7"/>
      <c r="BC108" s="7"/>
      <c r="BD108" s="7"/>
    </row>
    <row r="109" spans="1:56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643"/>
      <c r="AQ109" s="616">
        <f t="shared" si="0"/>
        <v>0</v>
      </c>
      <c r="AR109" s="633"/>
      <c r="AS109" s="648"/>
      <c r="AT109" s="648"/>
      <c r="AU109" s="7"/>
      <c r="AV109" s="699">
        <v>17</v>
      </c>
      <c r="AW109" s="7"/>
      <c r="AX109" s="618"/>
      <c r="AY109" s="7"/>
      <c r="AZ109" s="7"/>
      <c r="BA109" s="7"/>
      <c r="BB109" s="7"/>
      <c r="BC109" s="7"/>
      <c r="BD109" s="7"/>
    </row>
    <row r="110" spans="1:56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643"/>
      <c r="AQ110" s="616">
        <f t="shared" si="0"/>
        <v>0</v>
      </c>
      <c r="AR110" s="633"/>
      <c r="AS110" s="654"/>
      <c r="AT110" s="654"/>
      <c r="AU110" s="7"/>
      <c r="AV110" s="699"/>
      <c r="AW110" s="7"/>
      <c r="AX110" s="618">
        <f t="shared" ref="AX110:AX114" si="11">AV110-AQ110</f>
        <v>0</v>
      </c>
      <c r="AY110" s="7"/>
      <c r="AZ110" s="7"/>
      <c r="BA110" s="7"/>
      <c r="BB110" s="7"/>
      <c r="BC110" s="7"/>
      <c r="BD110" s="7"/>
    </row>
    <row r="111" spans="1:56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643"/>
      <c r="AQ111" s="616">
        <f t="shared" si="0"/>
        <v>0</v>
      </c>
      <c r="AR111" s="633"/>
      <c r="AS111" s="634"/>
      <c r="AT111" s="634"/>
      <c r="AU111" s="7"/>
      <c r="AV111" s="699"/>
      <c r="AW111" s="7"/>
      <c r="AX111" s="618">
        <f t="shared" si="11"/>
        <v>0</v>
      </c>
      <c r="AY111" s="7"/>
      <c r="AZ111" s="7"/>
      <c r="BA111" s="7"/>
      <c r="BB111" s="7"/>
      <c r="BC111" s="7"/>
      <c r="BD111" s="7"/>
    </row>
    <row r="112" spans="1:56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643"/>
      <c r="AQ112" s="616">
        <f t="shared" si="0"/>
        <v>0</v>
      </c>
      <c r="AR112" s="633"/>
      <c r="AS112" s="634"/>
      <c r="AT112" s="634"/>
      <c r="AU112" s="7"/>
      <c r="AV112" s="699"/>
      <c r="AW112" s="7"/>
      <c r="AX112" s="618">
        <f t="shared" si="11"/>
        <v>0</v>
      </c>
      <c r="AY112" s="7"/>
      <c r="AZ112" s="7"/>
      <c r="BA112" s="7"/>
      <c r="BB112" s="7"/>
      <c r="BC112" s="7"/>
      <c r="BD112" s="7"/>
    </row>
    <row r="113" spans="1:56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643"/>
      <c r="AQ113" s="616">
        <f t="shared" si="0"/>
        <v>0</v>
      </c>
      <c r="AR113" s="633"/>
      <c r="AS113" s="634"/>
      <c r="AT113" s="634"/>
      <c r="AU113" s="7"/>
      <c r="AV113" s="699"/>
      <c r="AW113" s="7"/>
      <c r="AX113" s="618">
        <f t="shared" si="11"/>
        <v>0</v>
      </c>
      <c r="AY113" s="7"/>
      <c r="AZ113" s="7"/>
      <c r="BA113" s="7"/>
      <c r="BB113" s="7"/>
      <c r="BC113" s="7"/>
      <c r="BD113" s="7"/>
    </row>
    <row r="114" spans="1:56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643"/>
      <c r="AQ114" s="616">
        <f t="shared" si="0"/>
        <v>0</v>
      </c>
      <c r="AR114" s="633"/>
      <c r="AS114" s="634"/>
      <c r="AT114" s="634"/>
      <c r="AU114" s="7"/>
      <c r="AV114" s="699"/>
      <c r="AW114" s="7"/>
      <c r="AX114" s="618">
        <f t="shared" si="11"/>
        <v>0</v>
      </c>
      <c r="AY114" s="7"/>
      <c r="AZ114" s="7"/>
      <c r="BA114" s="7"/>
      <c r="BB114" s="7"/>
      <c r="BC114" s="7"/>
      <c r="BD114" s="7"/>
    </row>
    <row r="115" spans="1:56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643"/>
      <c r="AQ115" s="616">
        <f t="shared" si="0"/>
        <v>0</v>
      </c>
      <c r="AR115" s="633"/>
      <c r="AS115" s="636"/>
      <c r="AT115" s="636"/>
      <c r="AU115" s="7"/>
      <c r="AV115" s="699"/>
      <c r="AW115" s="7"/>
      <c r="AX115" s="618"/>
      <c r="AY115" s="7"/>
      <c r="AZ115" s="7"/>
      <c r="BA115" s="7"/>
      <c r="BB115" s="7"/>
      <c r="BC115" s="7"/>
      <c r="BD115" s="7"/>
    </row>
    <row r="116" spans="1:56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643"/>
      <c r="AQ116" s="616">
        <f t="shared" si="0"/>
        <v>0</v>
      </c>
      <c r="AR116" s="633"/>
      <c r="AS116" s="654"/>
      <c r="AT116" s="654"/>
      <c r="AU116" s="7"/>
      <c r="AV116" s="699"/>
      <c r="AW116" s="7"/>
      <c r="AX116" s="618">
        <f t="shared" ref="AX116:AX125" si="12">AV116-AQ116</f>
        <v>0</v>
      </c>
      <c r="AY116" s="7"/>
      <c r="AZ116" s="7"/>
      <c r="BA116" s="7"/>
      <c r="BB116" s="7"/>
      <c r="BC116" s="7"/>
      <c r="BD116" s="7"/>
    </row>
    <row r="117" spans="1:56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643"/>
      <c r="AQ117" s="616">
        <f t="shared" si="0"/>
        <v>0</v>
      </c>
      <c r="AR117" s="633"/>
      <c r="AS117" s="648"/>
      <c r="AT117" s="648"/>
      <c r="AU117" s="7"/>
      <c r="AV117" s="699"/>
      <c r="AW117" s="7"/>
      <c r="AX117" s="618">
        <f t="shared" si="12"/>
        <v>0</v>
      </c>
      <c r="AY117" s="7"/>
      <c r="AZ117" s="7"/>
      <c r="BA117" s="7"/>
      <c r="BB117" s="7"/>
      <c r="BC117" s="7"/>
      <c r="BD117" s="7"/>
    </row>
    <row r="118" spans="1:56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643"/>
      <c r="AQ118" s="616">
        <f t="shared" si="0"/>
        <v>0</v>
      </c>
      <c r="AR118" s="633"/>
      <c r="AS118" s="648"/>
      <c r="AT118" s="648"/>
      <c r="AU118" s="7"/>
      <c r="AV118" s="699"/>
      <c r="AW118" s="7"/>
      <c r="AX118" s="618">
        <f t="shared" si="12"/>
        <v>0</v>
      </c>
      <c r="AY118" s="7"/>
      <c r="AZ118" s="7"/>
      <c r="BA118" s="7"/>
      <c r="BB118" s="7"/>
      <c r="BC118" s="7"/>
      <c r="BD118" s="7"/>
    </row>
    <row r="119" spans="1:56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643"/>
      <c r="AQ119" s="616">
        <f t="shared" si="0"/>
        <v>0</v>
      </c>
      <c r="AR119" s="633"/>
      <c r="AS119" s="648"/>
      <c r="AT119" s="648"/>
      <c r="AU119" s="7"/>
      <c r="AV119" s="699"/>
      <c r="AW119" s="7"/>
      <c r="AX119" s="618">
        <f t="shared" si="12"/>
        <v>0</v>
      </c>
      <c r="AY119" s="7"/>
      <c r="AZ119" s="7"/>
      <c r="BA119" s="7"/>
      <c r="BB119" s="7"/>
      <c r="BC119" s="7"/>
      <c r="BD119" s="7"/>
    </row>
    <row r="120" spans="1:56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643"/>
      <c r="AQ120" s="616">
        <f t="shared" si="0"/>
        <v>0</v>
      </c>
      <c r="AR120" s="633"/>
      <c r="AS120" s="648"/>
      <c r="AT120" s="648"/>
      <c r="AU120" s="7"/>
      <c r="AV120" s="699"/>
      <c r="AW120" s="7"/>
      <c r="AX120" s="618">
        <f t="shared" si="12"/>
        <v>0</v>
      </c>
      <c r="AY120" s="7"/>
      <c r="AZ120" s="7"/>
      <c r="BA120" s="7"/>
      <c r="BB120" s="7"/>
      <c r="BC120" s="7"/>
      <c r="BD120" s="7"/>
    </row>
    <row r="121" spans="1:56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643"/>
      <c r="AQ121" s="616">
        <f t="shared" si="0"/>
        <v>0</v>
      </c>
      <c r="AR121" s="633"/>
      <c r="AS121" s="654"/>
      <c r="AT121" s="654"/>
      <c r="AU121" s="7"/>
      <c r="AV121" s="699"/>
      <c r="AW121" s="7"/>
      <c r="AX121" s="618">
        <f t="shared" si="12"/>
        <v>0</v>
      </c>
      <c r="AY121" s="7"/>
      <c r="AZ121" s="7"/>
      <c r="BA121" s="7"/>
      <c r="BB121" s="7"/>
      <c r="BC121" s="7"/>
      <c r="BD121" s="7"/>
    </row>
    <row r="122" spans="1:56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643"/>
      <c r="AQ122" s="616">
        <f t="shared" si="0"/>
        <v>0</v>
      </c>
      <c r="AR122" s="633"/>
      <c r="AS122" s="648"/>
      <c r="AT122" s="648"/>
      <c r="AU122" s="7"/>
      <c r="AV122" s="699"/>
      <c r="AW122" s="7"/>
      <c r="AX122" s="618">
        <f t="shared" si="12"/>
        <v>0</v>
      </c>
      <c r="AY122" s="7"/>
      <c r="AZ122" s="7"/>
      <c r="BA122" s="7"/>
      <c r="BB122" s="7"/>
      <c r="BC122" s="7"/>
      <c r="BD122" s="7"/>
    </row>
    <row r="123" spans="1:56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643"/>
      <c r="AQ123" s="616">
        <f t="shared" si="0"/>
        <v>0</v>
      </c>
      <c r="AR123" s="633"/>
      <c r="AS123" s="648"/>
      <c r="AT123" s="648"/>
      <c r="AU123" s="7"/>
      <c r="AV123" s="699"/>
      <c r="AW123" s="7"/>
      <c r="AX123" s="618">
        <f t="shared" si="12"/>
        <v>0</v>
      </c>
      <c r="AY123" s="7"/>
      <c r="AZ123" s="7"/>
      <c r="BA123" s="7"/>
      <c r="BB123" s="7"/>
      <c r="BC123" s="7"/>
      <c r="BD123" s="7"/>
    </row>
    <row r="124" spans="1:56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643"/>
      <c r="AQ124" s="616">
        <f t="shared" si="0"/>
        <v>0</v>
      </c>
      <c r="AR124" s="633"/>
      <c r="AS124" s="648"/>
      <c r="AT124" s="648"/>
      <c r="AU124" s="7"/>
      <c r="AV124" s="699"/>
      <c r="AW124" s="7"/>
      <c r="AX124" s="618">
        <f t="shared" si="12"/>
        <v>0</v>
      </c>
      <c r="AY124" s="7"/>
      <c r="AZ124" s="7"/>
      <c r="BA124" s="7"/>
      <c r="BB124" s="7"/>
      <c r="BC124" s="7"/>
      <c r="BD124" s="7"/>
    </row>
    <row r="125" spans="1:56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643"/>
      <c r="AQ125" s="616">
        <f t="shared" si="0"/>
        <v>0</v>
      </c>
      <c r="AR125" s="633"/>
      <c r="AS125" s="648"/>
      <c r="AT125" s="648"/>
      <c r="AU125" s="7"/>
      <c r="AV125" s="699"/>
      <c r="AW125" s="7"/>
      <c r="AX125" s="618">
        <f t="shared" si="12"/>
        <v>0</v>
      </c>
      <c r="AY125" s="7"/>
      <c r="AZ125" s="7"/>
      <c r="BA125" s="7"/>
      <c r="BB125" s="7"/>
      <c r="BC125" s="7"/>
      <c r="BD125" s="7"/>
    </row>
    <row r="126" spans="1:56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20.95</v>
      </c>
      <c r="F126" s="213">
        <v>34</v>
      </c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643"/>
      <c r="AQ126" s="616">
        <f t="shared" si="0"/>
        <v>54.95</v>
      </c>
      <c r="AR126" s="633"/>
      <c r="AS126" s="636"/>
      <c r="AT126" s="636"/>
      <c r="AU126" s="7"/>
      <c r="AV126" s="699">
        <v>209</v>
      </c>
      <c r="AW126" s="7"/>
      <c r="AX126" s="618"/>
      <c r="AY126" s="7"/>
      <c r="AZ126" s="7"/>
      <c r="BA126" s="7"/>
      <c r="BB126" s="7"/>
      <c r="BC126" s="7"/>
      <c r="BD126" s="7"/>
    </row>
    <row r="127" spans="1:56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643"/>
      <c r="AQ127" s="616">
        <f t="shared" si="0"/>
        <v>0</v>
      </c>
      <c r="AR127" s="633"/>
      <c r="AS127" s="634"/>
      <c r="AT127" s="634"/>
      <c r="AU127" s="7"/>
      <c r="AV127" s="699">
        <v>117</v>
      </c>
      <c r="AW127" s="7"/>
      <c r="AX127" s="618"/>
      <c r="AY127" s="7"/>
      <c r="AZ127" s="7"/>
      <c r="BA127" s="7"/>
      <c r="BB127" s="7"/>
      <c r="BC127" s="7"/>
      <c r="BD127" s="7"/>
    </row>
    <row r="128" spans="1:56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643"/>
      <c r="AQ128" s="616">
        <f t="shared" si="0"/>
        <v>0</v>
      </c>
      <c r="AR128" s="633"/>
      <c r="AS128" s="634"/>
      <c r="AT128" s="634"/>
      <c r="AU128" s="7"/>
      <c r="AV128" s="699">
        <v>22</v>
      </c>
      <c r="AW128" s="7"/>
      <c r="AX128" s="618">
        <f>AV128-AQ128</f>
        <v>22</v>
      </c>
      <c r="AY128" s="7"/>
      <c r="AZ128" s="7"/>
      <c r="BA128" s="7"/>
      <c r="BB128" s="7"/>
      <c r="BC128" s="7"/>
      <c r="BD128" s="7"/>
    </row>
    <row r="129" spans="1:56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643"/>
      <c r="AQ129" s="616">
        <f t="shared" si="0"/>
        <v>0</v>
      </c>
      <c r="AR129" s="633"/>
      <c r="AS129" s="634"/>
      <c r="AT129" s="634"/>
      <c r="AU129" s="7"/>
      <c r="AV129" s="699"/>
      <c r="AW129" s="7"/>
      <c r="AX129" s="618"/>
      <c r="AY129" s="7"/>
      <c r="AZ129" s="7"/>
      <c r="BA129" s="7"/>
      <c r="BB129" s="7"/>
      <c r="BC129" s="7"/>
      <c r="BD129" s="7"/>
    </row>
    <row r="130" spans="1:56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643"/>
      <c r="AQ130" s="616">
        <f t="shared" si="0"/>
        <v>0</v>
      </c>
      <c r="AR130" s="633"/>
      <c r="AS130" s="634"/>
      <c r="AT130" s="634"/>
      <c r="AU130" s="7"/>
      <c r="AV130" s="699">
        <v>69</v>
      </c>
      <c r="AW130" s="7"/>
      <c r="AX130" s="618"/>
      <c r="AY130" s="7"/>
      <c r="AZ130" s="7"/>
      <c r="BA130" s="7"/>
      <c r="BB130" s="7"/>
      <c r="BC130" s="7"/>
      <c r="BD130" s="7"/>
    </row>
    <row r="131" spans="1:56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643"/>
      <c r="AQ131" s="616">
        <f t="shared" si="0"/>
        <v>0</v>
      </c>
      <c r="AR131" s="633"/>
      <c r="AS131" s="636"/>
      <c r="AT131" s="636"/>
      <c r="AU131" s="7"/>
      <c r="AV131" s="699"/>
      <c r="AW131" s="7"/>
      <c r="AX131" s="618">
        <f t="shared" ref="AX131:AX135" si="13">AV131-AQ131</f>
        <v>0</v>
      </c>
      <c r="AY131" s="7"/>
      <c r="AZ131" s="7"/>
      <c r="BA131" s="7"/>
      <c r="BB131" s="7"/>
      <c r="BC131" s="7"/>
      <c r="BD131" s="7"/>
    </row>
    <row r="132" spans="1:56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643"/>
      <c r="AQ132" s="616">
        <f t="shared" si="0"/>
        <v>0</v>
      </c>
      <c r="AR132" s="633"/>
      <c r="AS132" s="634"/>
      <c r="AT132" s="634"/>
      <c r="AU132" s="7"/>
      <c r="AV132" s="699"/>
      <c r="AW132" s="7"/>
      <c r="AX132" s="618">
        <f t="shared" si="13"/>
        <v>0</v>
      </c>
      <c r="AY132" s="7"/>
      <c r="AZ132" s="7"/>
      <c r="BA132" s="7"/>
      <c r="BB132" s="7"/>
      <c r="BC132" s="7"/>
      <c r="BD132" s="7"/>
    </row>
    <row r="133" spans="1:56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643"/>
      <c r="AQ133" s="616">
        <f t="shared" si="0"/>
        <v>0</v>
      </c>
      <c r="AR133" s="633"/>
      <c r="AS133" s="634"/>
      <c r="AT133" s="634"/>
      <c r="AU133" s="7"/>
      <c r="AV133" s="699"/>
      <c r="AW133" s="7"/>
      <c r="AX133" s="618">
        <f t="shared" si="13"/>
        <v>0</v>
      </c>
      <c r="AY133" s="7"/>
      <c r="AZ133" s="7"/>
      <c r="BA133" s="7"/>
      <c r="BB133" s="7"/>
      <c r="BC133" s="7"/>
      <c r="BD133" s="7"/>
    </row>
    <row r="134" spans="1:56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643"/>
      <c r="AQ134" s="616">
        <f t="shared" si="0"/>
        <v>0</v>
      </c>
      <c r="AR134" s="633"/>
      <c r="AS134" s="634"/>
      <c r="AT134" s="634"/>
      <c r="AU134" s="7"/>
      <c r="AV134" s="699"/>
      <c r="AW134" s="7"/>
      <c r="AX134" s="618">
        <f t="shared" si="13"/>
        <v>0</v>
      </c>
      <c r="AY134" s="7"/>
      <c r="AZ134" s="7"/>
      <c r="BA134" s="7"/>
      <c r="BB134" s="7"/>
      <c r="BC134" s="7"/>
      <c r="BD134" s="7"/>
    </row>
    <row r="135" spans="1:56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643"/>
      <c r="AQ135" s="616">
        <f t="shared" si="0"/>
        <v>0</v>
      </c>
      <c r="AR135" s="633"/>
      <c r="AS135" s="634"/>
      <c r="AT135" s="634"/>
      <c r="AU135" s="7"/>
      <c r="AV135" s="699"/>
      <c r="AW135" s="7"/>
      <c r="AX135" s="618">
        <f t="shared" si="13"/>
        <v>0</v>
      </c>
      <c r="AY135" s="7"/>
      <c r="AZ135" s="7"/>
      <c r="BA135" s="7"/>
      <c r="BB135" s="7"/>
      <c r="BC135" s="7"/>
      <c r="BD135" s="7"/>
    </row>
    <row r="136" spans="1:56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643"/>
      <c r="AQ136" s="616">
        <f t="shared" si="0"/>
        <v>0</v>
      </c>
      <c r="AR136" s="633"/>
      <c r="AS136" s="636"/>
      <c r="AT136" s="636"/>
      <c r="AU136" s="7"/>
      <c r="AV136" s="699"/>
      <c r="AW136" s="7"/>
      <c r="AX136" s="618"/>
      <c r="AY136" s="7"/>
      <c r="AZ136" s="7"/>
      <c r="BA136" s="7"/>
      <c r="BB136" s="7"/>
      <c r="BC136" s="7"/>
      <c r="BD136" s="7"/>
    </row>
    <row r="137" spans="1:56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643"/>
      <c r="AQ137" s="616">
        <f t="shared" si="0"/>
        <v>0</v>
      </c>
      <c r="AR137" s="633"/>
      <c r="AS137" s="648"/>
      <c r="AT137" s="648"/>
      <c r="AU137" s="7"/>
      <c r="AV137" s="699"/>
      <c r="AW137" s="7"/>
      <c r="AX137" s="618"/>
      <c r="AY137" s="7"/>
      <c r="AZ137" s="7"/>
      <c r="BA137" s="7"/>
      <c r="BB137" s="7"/>
      <c r="BC137" s="7"/>
      <c r="BD137" s="7"/>
    </row>
    <row r="138" spans="1:56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643"/>
      <c r="AQ138" s="616">
        <f t="shared" si="0"/>
        <v>0</v>
      </c>
      <c r="AR138" s="633"/>
      <c r="AS138" s="648"/>
      <c r="AT138" s="648"/>
      <c r="AU138" s="7"/>
      <c r="AV138" s="699"/>
      <c r="AW138" s="7"/>
      <c r="AX138" s="618"/>
      <c r="AY138" s="7"/>
      <c r="AZ138" s="7"/>
      <c r="BA138" s="7"/>
      <c r="BB138" s="7"/>
      <c r="BC138" s="7"/>
      <c r="BD138" s="7"/>
    </row>
    <row r="139" spans="1:56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643"/>
      <c r="AQ139" s="616">
        <f t="shared" si="0"/>
        <v>0</v>
      </c>
      <c r="AR139" s="633"/>
      <c r="AS139" s="648"/>
      <c r="AT139" s="648"/>
      <c r="AU139" s="7"/>
      <c r="AV139" s="699"/>
      <c r="AW139" s="7"/>
      <c r="AX139" s="618"/>
      <c r="AY139" s="7"/>
      <c r="AZ139" s="7"/>
      <c r="BA139" s="7"/>
      <c r="BB139" s="7"/>
      <c r="BC139" s="7"/>
      <c r="BD139" s="7"/>
    </row>
    <row r="140" spans="1:56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  <c r="AN140" s="213"/>
      <c r="AO140" s="213"/>
      <c r="AP140" s="643"/>
      <c r="AQ140" s="616">
        <f t="shared" si="0"/>
        <v>0</v>
      </c>
      <c r="AR140" s="633"/>
      <c r="AS140" s="648"/>
      <c r="AT140" s="648"/>
      <c r="AU140" s="7"/>
      <c r="AV140" s="699"/>
      <c r="AW140" s="7"/>
      <c r="AX140" s="618"/>
      <c r="AY140" s="7"/>
      <c r="AZ140" s="7"/>
      <c r="BA140" s="7"/>
      <c r="BB140" s="7"/>
      <c r="BC140" s="7"/>
      <c r="BD140" s="7"/>
    </row>
    <row r="141" spans="1:56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643"/>
      <c r="AQ141" s="616">
        <f t="shared" si="0"/>
        <v>0</v>
      </c>
      <c r="AR141" s="633"/>
      <c r="AS141" s="636"/>
      <c r="AT141" s="636"/>
      <c r="AU141" s="7"/>
      <c r="AV141" s="699">
        <v>48</v>
      </c>
      <c r="AW141" s="7"/>
      <c r="AX141" s="618"/>
      <c r="AY141" s="7"/>
      <c r="AZ141" s="7"/>
      <c r="BA141" s="7"/>
      <c r="BB141" s="7"/>
      <c r="BC141" s="7"/>
      <c r="BD141" s="7"/>
    </row>
    <row r="142" spans="1:56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  <c r="AN142" s="213"/>
      <c r="AO142" s="213"/>
      <c r="AP142" s="643"/>
      <c r="AQ142" s="616">
        <f t="shared" si="0"/>
        <v>0</v>
      </c>
      <c r="AR142" s="633"/>
      <c r="AS142" s="648"/>
      <c r="AT142" s="648"/>
      <c r="AU142" s="7"/>
      <c r="AV142" s="699">
        <v>48</v>
      </c>
      <c r="AW142" s="7"/>
      <c r="AX142" s="618">
        <f t="shared" ref="AX142:AX144" si="14">AV142-AQ142</f>
        <v>48</v>
      </c>
      <c r="AY142" s="7"/>
      <c r="AZ142" s="7"/>
      <c r="BA142" s="7"/>
      <c r="BB142" s="7"/>
      <c r="BC142" s="7"/>
      <c r="BD142" s="7"/>
    </row>
    <row r="143" spans="1:56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  <c r="AN143" s="213"/>
      <c r="AO143" s="213"/>
      <c r="AP143" s="643"/>
      <c r="AQ143" s="616">
        <f t="shared" si="0"/>
        <v>0</v>
      </c>
      <c r="AR143" s="633"/>
      <c r="AS143" s="648"/>
      <c r="AT143" s="648"/>
      <c r="AU143" s="7"/>
      <c r="AV143" s="699"/>
      <c r="AW143" s="7"/>
      <c r="AX143" s="618">
        <f t="shared" si="14"/>
        <v>0</v>
      </c>
      <c r="AY143" s="7"/>
      <c r="AZ143" s="7"/>
      <c r="BA143" s="7"/>
      <c r="BB143" s="7"/>
      <c r="BC143" s="7"/>
      <c r="BD143" s="7"/>
    </row>
    <row r="144" spans="1:56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643"/>
      <c r="AQ144" s="616">
        <f t="shared" si="0"/>
        <v>0</v>
      </c>
      <c r="AR144" s="633"/>
      <c r="AS144" s="648"/>
      <c r="AT144" s="648"/>
      <c r="AU144" s="7"/>
      <c r="AV144" s="699"/>
      <c r="AW144" s="7"/>
      <c r="AX144" s="618">
        <f t="shared" si="14"/>
        <v>0</v>
      </c>
      <c r="AY144" s="7"/>
      <c r="AZ144" s="7"/>
      <c r="BA144" s="7"/>
      <c r="BB144" s="7"/>
      <c r="BC144" s="7"/>
      <c r="BD144" s="7"/>
    </row>
    <row r="145" spans="1:56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  <c r="AN145" s="213"/>
      <c r="AO145" s="213"/>
      <c r="AP145" s="643"/>
      <c r="AQ145" s="616">
        <f t="shared" si="0"/>
        <v>0</v>
      </c>
      <c r="AR145" s="633"/>
      <c r="AS145" s="648"/>
      <c r="AT145" s="648"/>
      <c r="AU145" s="7"/>
      <c r="AV145" s="699"/>
      <c r="AW145" s="7"/>
      <c r="AX145" s="618"/>
      <c r="AY145" s="7"/>
      <c r="AZ145" s="7"/>
      <c r="BA145" s="7"/>
      <c r="BB145" s="7"/>
      <c r="BC145" s="7"/>
      <c r="BD145" s="7"/>
    </row>
    <row r="146" spans="1:56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  <c r="AN146" s="213"/>
      <c r="AO146" s="213"/>
      <c r="AP146" s="643"/>
      <c r="AQ146" s="616">
        <f t="shared" si="0"/>
        <v>0</v>
      </c>
      <c r="AR146" s="633"/>
      <c r="AS146" s="636"/>
      <c r="AT146" s="636"/>
      <c r="AU146" s="7"/>
      <c r="AV146" s="699">
        <v>17</v>
      </c>
      <c r="AW146" s="7"/>
      <c r="AX146" s="618"/>
      <c r="AY146" s="7"/>
      <c r="AZ146" s="7"/>
      <c r="BA146" s="7"/>
      <c r="BB146" s="7"/>
      <c r="BC146" s="7"/>
      <c r="BD146" s="7"/>
    </row>
    <row r="147" spans="1:56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  <c r="AN147" s="213"/>
      <c r="AO147" s="213"/>
      <c r="AP147" s="643"/>
      <c r="AQ147" s="616">
        <f t="shared" si="0"/>
        <v>0</v>
      </c>
      <c r="AR147" s="633"/>
      <c r="AS147" s="634"/>
      <c r="AT147" s="634"/>
      <c r="AU147" s="7"/>
      <c r="AV147" s="699">
        <v>1</v>
      </c>
      <c r="AW147" s="7"/>
      <c r="AX147" s="618"/>
      <c r="AY147" s="7"/>
      <c r="AZ147" s="7"/>
      <c r="BA147" s="7"/>
      <c r="BB147" s="7"/>
      <c r="BC147" s="7"/>
      <c r="BD147" s="7"/>
    </row>
    <row r="148" spans="1:56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643"/>
      <c r="AQ148" s="616">
        <f t="shared" si="0"/>
        <v>0</v>
      </c>
      <c r="AR148" s="633"/>
      <c r="AS148" s="634"/>
      <c r="AT148" s="634"/>
      <c r="AU148" s="7"/>
      <c r="AV148" s="699">
        <v>2</v>
      </c>
      <c r="AW148" s="7"/>
      <c r="AX148" s="618"/>
      <c r="AY148" s="7"/>
      <c r="AZ148" s="7"/>
      <c r="BA148" s="7"/>
      <c r="BB148" s="7"/>
      <c r="BC148" s="7"/>
      <c r="BD148" s="7"/>
    </row>
    <row r="149" spans="1:56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643"/>
      <c r="AQ149" s="616">
        <f t="shared" si="0"/>
        <v>0</v>
      </c>
      <c r="AR149" s="633"/>
      <c r="AS149" s="634"/>
      <c r="AT149" s="634"/>
      <c r="AU149" s="7"/>
      <c r="AV149" s="699"/>
      <c r="AW149" s="7"/>
      <c r="AX149" s="618">
        <f t="shared" ref="AX149:AX150" si="15">AV149-AQ149</f>
        <v>0</v>
      </c>
      <c r="AY149" s="7"/>
      <c r="AZ149" s="7"/>
      <c r="BA149" s="7"/>
      <c r="BB149" s="7"/>
      <c r="BC149" s="7"/>
      <c r="BD149" s="7"/>
    </row>
    <row r="150" spans="1:56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643"/>
      <c r="AQ150" s="616">
        <f t="shared" si="0"/>
        <v>0</v>
      </c>
      <c r="AR150" s="633"/>
      <c r="AS150" s="634"/>
      <c r="AT150" s="634"/>
      <c r="AU150" s="7"/>
      <c r="AV150" s="699">
        <v>14</v>
      </c>
      <c r="AW150" s="7"/>
      <c r="AX150" s="618">
        <f t="shared" si="15"/>
        <v>14</v>
      </c>
      <c r="AY150" s="7"/>
      <c r="AZ150" s="7"/>
      <c r="BA150" s="7"/>
      <c r="BB150" s="7"/>
      <c r="BC150" s="7"/>
      <c r="BD150" s="7"/>
    </row>
    <row r="151" spans="1:56" ht="20.25" customHeight="1">
      <c r="A151" s="486"/>
      <c r="B151" s="487" t="s">
        <v>335</v>
      </c>
      <c r="C151" s="635" t="s">
        <v>336</v>
      </c>
      <c r="D151" s="412" t="s">
        <v>271</v>
      </c>
      <c r="E151" s="724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643"/>
      <c r="AQ151" s="616">
        <f t="shared" si="0"/>
        <v>0</v>
      </c>
      <c r="AR151" s="633"/>
      <c r="AS151" s="636"/>
      <c r="AT151" s="636"/>
      <c r="AU151" s="7"/>
      <c r="AV151" s="699"/>
      <c r="AW151" s="7"/>
      <c r="AX151" s="618"/>
      <c r="AY151" s="7"/>
      <c r="AZ151" s="7"/>
      <c r="BA151" s="7"/>
      <c r="BB151" s="7"/>
      <c r="BC151" s="7"/>
      <c r="BD151" s="7"/>
    </row>
    <row r="152" spans="1:56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  <c r="AN152" s="213"/>
      <c r="AO152" s="213"/>
      <c r="AP152" s="643"/>
      <c r="AQ152" s="616">
        <f t="shared" si="0"/>
        <v>0</v>
      </c>
      <c r="AR152" s="633"/>
      <c r="AS152" s="634"/>
      <c r="AT152" s="634"/>
      <c r="AU152" s="7"/>
      <c r="AV152" s="699"/>
      <c r="AW152" s="7"/>
      <c r="AX152" s="618">
        <f>AV152-AQ152</f>
        <v>0</v>
      </c>
      <c r="AY152" s="7"/>
      <c r="AZ152" s="7"/>
      <c r="BA152" s="7"/>
      <c r="BB152" s="7"/>
      <c r="BC152" s="7"/>
      <c r="BD152" s="7"/>
    </row>
    <row r="153" spans="1:56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  <c r="AN153" s="213"/>
      <c r="AO153" s="213"/>
      <c r="AP153" s="643"/>
      <c r="AQ153" s="616">
        <f t="shared" si="0"/>
        <v>0</v>
      </c>
      <c r="AR153" s="633"/>
      <c r="AS153" s="634"/>
      <c r="AT153" s="634"/>
      <c r="AU153" s="7"/>
      <c r="AV153" s="699"/>
      <c r="AW153" s="7"/>
      <c r="AX153" s="618"/>
      <c r="AY153" s="7"/>
      <c r="AZ153" s="7"/>
      <c r="BA153" s="7"/>
      <c r="BB153" s="7"/>
      <c r="BC153" s="7"/>
      <c r="BD153" s="7"/>
    </row>
    <row r="154" spans="1:56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643"/>
      <c r="AQ154" s="616">
        <f t="shared" si="0"/>
        <v>0</v>
      </c>
      <c r="AR154" s="633"/>
      <c r="AS154" s="634"/>
      <c r="AT154" s="634"/>
      <c r="AU154" s="7"/>
      <c r="AV154" s="699"/>
      <c r="AW154" s="7"/>
      <c r="AX154" s="618">
        <f t="shared" ref="AX154:AX160" si="16">AV154-AQ154</f>
        <v>0</v>
      </c>
      <c r="AY154" s="7"/>
      <c r="AZ154" s="7"/>
      <c r="BA154" s="7"/>
      <c r="BB154" s="7"/>
      <c r="BC154" s="7"/>
      <c r="BD154" s="7"/>
    </row>
    <row r="155" spans="1:56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643"/>
      <c r="AQ155" s="616">
        <f t="shared" si="0"/>
        <v>0</v>
      </c>
      <c r="AR155" s="633"/>
      <c r="AS155" s="634"/>
      <c r="AT155" s="634"/>
      <c r="AU155" s="7"/>
      <c r="AV155" s="699"/>
      <c r="AW155" s="7"/>
      <c r="AX155" s="618">
        <f t="shared" si="16"/>
        <v>0</v>
      </c>
      <c r="AY155" s="7"/>
      <c r="AZ155" s="7"/>
      <c r="BA155" s="7"/>
      <c r="BB155" s="7"/>
      <c r="BC155" s="7"/>
      <c r="BD155" s="7"/>
    </row>
    <row r="156" spans="1:56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643"/>
      <c r="AQ156" s="616">
        <f t="shared" si="0"/>
        <v>0</v>
      </c>
      <c r="AR156" s="633"/>
      <c r="AS156" s="636"/>
      <c r="AT156" s="636"/>
      <c r="AU156" s="7"/>
      <c r="AV156" s="699"/>
      <c r="AW156" s="7"/>
      <c r="AX156" s="618">
        <f t="shared" si="16"/>
        <v>0</v>
      </c>
      <c r="AY156" s="7"/>
      <c r="AZ156" s="7"/>
      <c r="BA156" s="7"/>
      <c r="BB156" s="7"/>
      <c r="BC156" s="7"/>
      <c r="BD156" s="7"/>
    </row>
    <row r="157" spans="1:56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  <c r="AN157" s="213"/>
      <c r="AO157" s="213"/>
      <c r="AP157" s="643"/>
      <c r="AQ157" s="616">
        <f t="shared" si="0"/>
        <v>0</v>
      </c>
      <c r="AR157" s="633"/>
      <c r="AS157" s="648"/>
      <c r="AT157" s="648"/>
      <c r="AU157" s="7"/>
      <c r="AV157" s="699"/>
      <c r="AW157" s="7"/>
      <c r="AX157" s="618">
        <f t="shared" si="16"/>
        <v>0</v>
      </c>
      <c r="AY157" s="7"/>
      <c r="AZ157" s="7"/>
      <c r="BA157" s="7"/>
      <c r="BB157" s="7"/>
      <c r="BC157" s="7"/>
      <c r="BD157" s="7"/>
    </row>
    <row r="158" spans="1:56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  <c r="AN158" s="213"/>
      <c r="AO158" s="213"/>
      <c r="AP158" s="643"/>
      <c r="AQ158" s="616">
        <f t="shared" si="0"/>
        <v>0</v>
      </c>
      <c r="AR158" s="633"/>
      <c r="AS158" s="648"/>
      <c r="AT158" s="648"/>
      <c r="AU158" s="7"/>
      <c r="AV158" s="699"/>
      <c r="AW158" s="7"/>
      <c r="AX158" s="618">
        <f t="shared" si="16"/>
        <v>0</v>
      </c>
      <c r="AY158" s="7"/>
      <c r="AZ158" s="7"/>
      <c r="BA158" s="7"/>
      <c r="BB158" s="7"/>
      <c r="BC158" s="7"/>
      <c r="BD158" s="7"/>
    </row>
    <row r="159" spans="1:56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  <c r="AN159" s="213"/>
      <c r="AO159" s="213"/>
      <c r="AP159" s="643"/>
      <c r="AQ159" s="616">
        <f t="shared" si="0"/>
        <v>0</v>
      </c>
      <c r="AR159" s="633"/>
      <c r="AS159" s="648"/>
      <c r="AT159" s="648"/>
      <c r="AU159" s="7"/>
      <c r="AV159" s="699"/>
      <c r="AW159" s="7"/>
      <c r="AX159" s="618">
        <f t="shared" si="16"/>
        <v>0</v>
      </c>
      <c r="AY159" s="7"/>
      <c r="AZ159" s="7"/>
      <c r="BA159" s="7"/>
      <c r="BB159" s="7"/>
      <c r="BC159" s="7"/>
      <c r="BD159" s="7"/>
    </row>
    <row r="160" spans="1:56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  <c r="AN160" s="213"/>
      <c r="AO160" s="213"/>
      <c r="AP160" s="643"/>
      <c r="AQ160" s="616">
        <f t="shared" si="0"/>
        <v>0</v>
      </c>
      <c r="AR160" s="633"/>
      <c r="AS160" s="648"/>
      <c r="AT160" s="648"/>
      <c r="AU160" s="7"/>
      <c r="AV160" s="699"/>
      <c r="AW160" s="7"/>
      <c r="AX160" s="618">
        <f t="shared" si="16"/>
        <v>0</v>
      </c>
      <c r="AY160" s="7"/>
      <c r="AZ160" s="7"/>
      <c r="BA160" s="7"/>
      <c r="BB160" s="7"/>
      <c r="BC160" s="7"/>
      <c r="BD160" s="7"/>
    </row>
    <row r="161" spans="1:56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3"/>
      <c r="I161" s="213"/>
      <c r="J161" s="213"/>
      <c r="K161" s="213"/>
      <c r="L161" s="213"/>
      <c r="M161" s="213">
        <v>2</v>
      </c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643"/>
      <c r="AQ161" s="616">
        <f t="shared" si="0"/>
        <v>2</v>
      </c>
      <c r="AR161" s="633"/>
      <c r="AS161" s="636"/>
      <c r="AT161" s="636"/>
      <c r="AU161" s="7"/>
      <c r="AV161" s="699"/>
      <c r="AW161" s="7"/>
      <c r="AX161" s="618"/>
      <c r="AY161" s="7"/>
      <c r="AZ161" s="7"/>
      <c r="BA161" s="7"/>
      <c r="BB161" s="7"/>
      <c r="BC161" s="7"/>
      <c r="BD161" s="7"/>
    </row>
    <row r="162" spans="1:56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643"/>
      <c r="AQ162" s="616">
        <f t="shared" si="0"/>
        <v>0</v>
      </c>
      <c r="AR162" s="633"/>
      <c r="AS162" s="636"/>
      <c r="AT162" s="636"/>
      <c r="AU162" s="7"/>
      <c r="AV162" s="699"/>
      <c r="AW162" s="7"/>
      <c r="AX162" s="618">
        <f t="shared" ref="AX162:AX173" si="17">AV162-AQ162</f>
        <v>0</v>
      </c>
      <c r="AY162" s="7"/>
      <c r="AZ162" s="7"/>
      <c r="BA162" s="7"/>
      <c r="BB162" s="7"/>
      <c r="BC162" s="7"/>
      <c r="BD162" s="7"/>
    </row>
    <row r="163" spans="1:56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213"/>
      <c r="AP163" s="643"/>
      <c r="AQ163" s="616">
        <f t="shared" si="0"/>
        <v>0</v>
      </c>
      <c r="AR163" s="633"/>
      <c r="AS163" s="636"/>
      <c r="AT163" s="636"/>
      <c r="AU163" s="7"/>
      <c r="AV163" s="699"/>
      <c r="AW163" s="7"/>
      <c r="AX163" s="618">
        <f t="shared" si="17"/>
        <v>0</v>
      </c>
      <c r="AY163" s="7"/>
      <c r="AZ163" s="7"/>
      <c r="BA163" s="7"/>
      <c r="BB163" s="7"/>
      <c r="BC163" s="7"/>
      <c r="BD163" s="7"/>
    </row>
    <row r="164" spans="1:56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643"/>
      <c r="AQ164" s="616">
        <f t="shared" si="0"/>
        <v>0</v>
      </c>
      <c r="AR164" s="633"/>
      <c r="AS164" s="636"/>
      <c r="AT164" s="636"/>
      <c r="AU164" s="7"/>
      <c r="AV164" s="699"/>
      <c r="AW164" s="7"/>
      <c r="AX164" s="618">
        <f t="shared" si="17"/>
        <v>0</v>
      </c>
      <c r="AY164" s="7"/>
      <c r="AZ164" s="7"/>
      <c r="BA164" s="7"/>
      <c r="BB164" s="7"/>
      <c r="BC164" s="7"/>
      <c r="BD164" s="7"/>
    </row>
    <row r="165" spans="1:56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643"/>
      <c r="AQ165" s="616">
        <f t="shared" si="0"/>
        <v>0</v>
      </c>
      <c r="AR165" s="633"/>
      <c r="AS165" s="636"/>
      <c r="AT165" s="636"/>
      <c r="AU165" s="7"/>
      <c r="AV165" s="699"/>
      <c r="AW165" s="7"/>
      <c r="AX165" s="618">
        <f t="shared" si="17"/>
        <v>0</v>
      </c>
      <c r="AY165" s="7"/>
      <c r="AZ165" s="7"/>
      <c r="BA165" s="7"/>
      <c r="BB165" s="7"/>
      <c r="BC165" s="7"/>
      <c r="BD165" s="7"/>
    </row>
    <row r="166" spans="1:56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  <c r="AN166" s="213"/>
      <c r="AO166" s="213"/>
      <c r="AP166" s="643"/>
      <c r="AQ166" s="616">
        <f t="shared" si="0"/>
        <v>0</v>
      </c>
      <c r="AR166" s="633"/>
      <c r="AS166" s="636"/>
      <c r="AT166" s="636"/>
      <c r="AU166" s="7"/>
      <c r="AV166" s="699"/>
      <c r="AW166" s="7"/>
      <c r="AX166" s="618">
        <f t="shared" si="17"/>
        <v>0</v>
      </c>
      <c r="AY166" s="7"/>
      <c r="AZ166" s="7"/>
      <c r="BA166" s="7"/>
      <c r="BB166" s="7"/>
      <c r="BC166" s="7"/>
      <c r="BD166" s="7"/>
    </row>
    <row r="167" spans="1:56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  <c r="AN167" s="213"/>
      <c r="AO167" s="213"/>
      <c r="AP167" s="643"/>
      <c r="AQ167" s="616">
        <f t="shared" si="0"/>
        <v>0</v>
      </c>
      <c r="AR167" s="633"/>
      <c r="AS167" s="636"/>
      <c r="AT167" s="636"/>
      <c r="AU167" s="7"/>
      <c r="AV167" s="699"/>
      <c r="AW167" s="7"/>
      <c r="AX167" s="618">
        <f t="shared" si="17"/>
        <v>0</v>
      </c>
      <c r="AY167" s="7"/>
      <c r="AZ167" s="7"/>
      <c r="BA167" s="7"/>
      <c r="BB167" s="7"/>
      <c r="BC167" s="7"/>
      <c r="BD167" s="7"/>
    </row>
    <row r="168" spans="1:56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  <c r="AN168" s="213"/>
      <c r="AO168" s="213"/>
      <c r="AP168" s="643"/>
      <c r="AQ168" s="616">
        <f t="shared" si="0"/>
        <v>0</v>
      </c>
      <c r="AR168" s="633"/>
      <c r="AS168" s="636"/>
      <c r="AT168" s="636"/>
      <c r="AU168" s="7"/>
      <c r="AV168" s="699"/>
      <c r="AW168" s="7"/>
      <c r="AX168" s="618">
        <f t="shared" si="17"/>
        <v>0</v>
      </c>
      <c r="AY168" s="7"/>
      <c r="AZ168" s="7"/>
      <c r="BA168" s="7"/>
      <c r="BB168" s="7"/>
      <c r="BC168" s="7"/>
      <c r="BD168" s="7"/>
    </row>
    <row r="169" spans="1:56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  <c r="AN169" s="213"/>
      <c r="AO169" s="213"/>
      <c r="AP169" s="643"/>
      <c r="AQ169" s="616">
        <f t="shared" si="0"/>
        <v>0</v>
      </c>
      <c r="AR169" s="633"/>
      <c r="AS169" s="636"/>
      <c r="AT169" s="636"/>
      <c r="AU169" s="7"/>
      <c r="AV169" s="699"/>
      <c r="AW169" s="7"/>
      <c r="AX169" s="618">
        <f t="shared" si="17"/>
        <v>0</v>
      </c>
      <c r="AY169" s="7"/>
      <c r="AZ169" s="7"/>
      <c r="BA169" s="7"/>
      <c r="BB169" s="7"/>
      <c r="BC169" s="7"/>
      <c r="BD169" s="7"/>
    </row>
    <row r="170" spans="1:56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  <c r="AN170" s="213"/>
      <c r="AO170" s="213"/>
      <c r="AP170" s="643"/>
      <c r="AQ170" s="616">
        <f t="shared" si="0"/>
        <v>0</v>
      </c>
      <c r="AR170" s="633"/>
      <c r="AS170" s="636"/>
      <c r="AT170" s="636"/>
      <c r="AU170" s="7"/>
      <c r="AV170" s="699"/>
      <c r="AW170" s="7"/>
      <c r="AX170" s="618">
        <f t="shared" si="17"/>
        <v>0</v>
      </c>
      <c r="AY170" s="7"/>
      <c r="AZ170" s="7"/>
      <c r="BA170" s="7"/>
      <c r="BB170" s="7"/>
      <c r="BC170" s="7"/>
      <c r="BD170" s="7"/>
    </row>
    <row r="171" spans="1:56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  <c r="AN171" s="213"/>
      <c r="AO171" s="213"/>
      <c r="AP171" s="643"/>
      <c r="AQ171" s="616">
        <f t="shared" si="0"/>
        <v>0</v>
      </c>
      <c r="AR171" s="633"/>
      <c r="AS171" s="636"/>
      <c r="AT171" s="636"/>
      <c r="AU171" s="7"/>
      <c r="AV171" s="699"/>
      <c r="AW171" s="7"/>
      <c r="AX171" s="618">
        <f t="shared" si="17"/>
        <v>0</v>
      </c>
      <c r="AY171" s="7"/>
      <c r="AZ171" s="7"/>
      <c r="BA171" s="7"/>
      <c r="BB171" s="7"/>
      <c r="BC171" s="7"/>
      <c r="BD171" s="7"/>
    </row>
    <row r="172" spans="1:56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  <c r="AN172" s="213"/>
      <c r="AO172" s="213"/>
      <c r="AP172" s="643"/>
      <c r="AQ172" s="616">
        <f t="shared" si="0"/>
        <v>0</v>
      </c>
      <c r="AR172" s="633"/>
      <c r="AS172" s="640"/>
      <c r="AT172" s="640"/>
      <c r="AU172" s="7"/>
      <c r="AV172" s="699"/>
      <c r="AW172" s="7"/>
      <c r="AX172" s="618">
        <f t="shared" si="17"/>
        <v>0</v>
      </c>
      <c r="AY172" s="7"/>
      <c r="AZ172" s="7"/>
      <c r="BA172" s="7"/>
      <c r="BB172" s="7"/>
      <c r="BC172" s="7"/>
      <c r="BD172" s="7"/>
    </row>
    <row r="173" spans="1:56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  <c r="AN173" s="213"/>
      <c r="AO173" s="213"/>
      <c r="AP173" s="643"/>
      <c r="AQ173" s="616">
        <f t="shared" si="0"/>
        <v>0</v>
      </c>
      <c r="AR173" s="633"/>
      <c r="AS173" s="636"/>
      <c r="AT173" s="636"/>
      <c r="AU173" s="7"/>
      <c r="AV173" s="699"/>
      <c r="AW173" s="7"/>
      <c r="AX173" s="618">
        <f t="shared" si="17"/>
        <v>0</v>
      </c>
      <c r="AY173" s="7"/>
      <c r="AZ173" s="7"/>
      <c r="BA173" s="7"/>
      <c r="BB173" s="7"/>
      <c r="BC173" s="7"/>
      <c r="BD173" s="7"/>
    </row>
    <row r="174" spans="1:56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643"/>
      <c r="AQ174" s="616">
        <f t="shared" si="0"/>
        <v>0</v>
      </c>
      <c r="AR174" s="633"/>
      <c r="AS174" s="648"/>
      <c r="AT174" s="648"/>
      <c r="AU174" s="7"/>
      <c r="AV174" s="699"/>
      <c r="AW174" s="7"/>
      <c r="AX174" s="618"/>
      <c r="AY174" s="7"/>
      <c r="AZ174" s="7"/>
      <c r="BA174" s="7"/>
      <c r="BB174" s="7"/>
      <c r="BC174" s="7"/>
      <c r="BD174" s="7"/>
    </row>
    <row r="175" spans="1:56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643"/>
      <c r="AQ175" s="616">
        <f t="shared" si="0"/>
        <v>0</v>
      </c>
      <c r="AR175" s="633"/>
      <c r="AS175" s="648"/>
      <c r="AT175" s="648"/>
      <c r="AU175" s="7"/>
      <c r="AV175" s="699"/>
      <c r="AW175" s="7"/>
      <c r="AX175" s="618"/>
      <c r="AY175" s="7"/>
      <c r="AZ175" s="7"/>
      <c r="BA175" s="7"/>
      <c r="BB175" s="7"/>
      <c r="BC175" s="7"/>
      <c r="BD175" s="7"/>
    </row>
    <row r="176" spans="1:56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  <c r="AN176" s="213"/>
      <c r="AO176" s="213"/>
      <c r="AP176" s="643"/>
      <c r="AQ176" s="616">
        <f t="shared" si="0"/>
        <v>0</v>
      </c>
      <c r="AR176" s="633"/>
      <c r="AS176" s="648"/>
      <c r="AT176" s="648"/>
      <c r="AU176" s="7"/>
      <c r="AV176" s="699"/>
      <c r="AW176" s="7"/>
      <c r="AX176" s="618"/>
      <c r="AY176" s="7"/>
      <c r="AZ176" s="7"/>
      <c r="BA176" s="7"/>
      <c r="BB176" s="7"/>
      <c r="BC176" s="7"/>
      <c r="BD176" s="7"/>
    </row>
    <row r="177" spans="1:56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  <c r="AN177" s="213"/>
      <c r="AO177" s="213"/>
      <c r="AP177" s="643"/>
      <c r="AQ177" s="616">
        <f t="shared" si="0"/>
        <v>0</v>
      </c>
      <c r="AR177" s="633"/>
      <c r="AS177" s="648"/>
      <c r="AT177" s="648"/>
      <c r="AU177" s="7"/>
      <c r="AV177" s="699"/>
      <c r="AW177" s="7"/>
      <c r="AX177" s="618">
        <f t="shared" ref="AX177:AX178" si="18">AV177-AQ177</f>
        <v>0</v>
      </c>
      <c r="AY177" s="7"/>
      <c r="AZ177" s="7"/>
      <c r="BA177" s="7"/>
      <c r="BB177" s="7"/>
      <c r="BC177" s="7"/>
      <c r="BD177" s="7"/>
    </row>
    <row r="178" spans="1:56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  <c r="AN178" s="213"/>
      <c r="AO178" s="213"/>
      <c r="AP178" s="657"/>
      <c r="AQ178" s="616">
        <f t="shared" si="0"/>
        <v>0</v>
      </c>
      <c r="AR178" s="633"/>
      <c r="AS178" s="636"/>
      <c r="AT178" s="636"/>
      <c r="AU178" s="7"/>
      <c r="AV178" s="699"/>
      <c r="AW178" s="7"/>
      <c r="AX178" s="618">
        <f t="shared" si="18"/>
        <v>0</v>
      </c>
      <c r="AY178" s="7"/>
      <c r="AZ178" s="7"/>
      <c r="BA178" s="7"/>
      <c r="BB178" s="7"/>
      <c r="BC178" s="7"/>
      <c r="BD178" s="7"/>
    </row>
    <row r="179" spans="1:56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  <c r="AN179" s="213"/>
      <c r="AO179" s="213"/>
      <c r="AP179" s="643"/>
      <c r="AQ179" s="616">
        <f t="shared" si="0"/>
        <v>0</v>
      </c>
      <c r="AR179" s="633"/>
      <c r="AS179" s="648"/>
      <c r="AT179" s="648"/>
      <c r="AU179" s="7"/>
      <c r="AV179" s="699"/>
      <c r="AW179" s="7"/>
      <c r="AX179" s="618"/>
      <c r="AY179" s="7"/>
      <c r="AZ179" s="7"/>
      <c r="BA179" s="7"/>
      <c r="BB179" s="7"/>
      <c r="BC179" s="7"/>
      <c r="BD179" s="7"/>
    </row>
    <row r="180" spans="1:56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  <c r="AN180" s="213"/>
      <c r="AO180" s="213"/>
      <c r="AP180" s="643"/>
      <c r="AQ180" s="616">
        <f t="shared" si="0"/>
        <v>0</v>
      </c>
      <c r="AR180" s="633"/>
      <c r="AS180" s="648"/>
      <c r="AT180" s="648"/>
      <c r="AU180" s="7"/>
      <c r="AV180" s="699"/>
      <c r="AW180" s="7"/>
      <c r="AX180" s="618">
        <f t="shared" ref="AX180:AX200" si="19">AV180-AQ180</f>
        <v>0</v>
      </c>
      <c r="AY180" s="7"/>
      <c r="AZ180" s="7"/>
      <c r="BA180" s="7"/>
      <c r="BB180" s="7"/>
      <c r="BC180" s="7"/>
      <c r="BD180" s="7"/>
    </row>
    <row r="181" spans="1:56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  <c r="AN181" s="213"/>
      <c r="AO181" s="213"/>
      <c r="AP181" s="643"/>
      <c r="AQ181" s="616">
        <f t="shared" si="0"/>
        <v>0</v>
      </c>
      <c r="AR181" s="633"/>
      <c r="AS181" s="636"/>
      <c r="AT181" s="636"/>
      <c r="AU181" s="7"/>
      <c r="AV181" s="699"/>
      <c r="AW181" s="7"/>
      <c r="AX181" s="618">
        <f t="shared" si="19"/>
        <v>0</v>
      </c>
      <c r="AY181" s="7"/>
      <c r="AZ181" s="7"/>
      <c r="BA181" s="7"/>
      <c r="BB181" s="7"/>
      <c r="BC181" s="7"/>
      <c r="BD181" s="7"/>
    </row>
    <row r="182" spans="1:56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  <c r="AN182" s="213"/>
      <c r="AO182" s="213"/>
      <c r="AP182" s="643"/>
      <c r="AQ182" s="616">
        <f t="shared" si="0"/>
        <v>0</v>
      </c>
      <c r="AR182" s="633"/>
      <c r="AS182" s="636"/>
      <c r="AT182" s="636"/>
      <c r="AU182" s="7"/>
      <c r="AV182" s="699"/>
      <c r="AW182" s="7"/>
      <c r="AX182" s="618">
        <f t="shared" si="19"/>
        <v>0</v>
      </c>
      <c r="AY182" s="7"/>
      <c r="AZ182" s="7"/>
      <c r="BA182" s="7"/>
      <c r="BB182" s="7"/>
      <c r="BC182" s="7"/>
      <c r="BD182" s="7"/>
    </row>
    <row r="183" spans="1:56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643"/>
      <c r="AQ183" s="616">
        <f t="shared" si="0"/>
        <v>0</v>
      </c>
      <c r="AR183" s="633"/>
      <c r="AS183" s="636"/>
      <c r="AT183" s="636"/>
      <c r="AU183" s="7"/>
      <c r="AV183" s="699"/>
      <c r="AW183" s="7"/>
      <c r="AX183" s="618">
        <f t="shared" si="19"/>
        <v>0</v>
      </c>
      <c r="AY183" s="7"/>
      <c r="AZ183" s="7"/>
      <c r="BA183" s="7"/>
      <c r="BB183" s="7"/>
      <c r="BC183" s="7"/>
      <c r="BD183" s="7"/>
    </row>
    <row r="184" spans="1:56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  <c r="AN184" s="213"/>
      <c r="AO184" s="213"/>
      <c r="AP184" s="643"/>
      <c r="AQ184" s="616">
        <f t="shared" si="0"/>
        <v>0</v>
      </c>
      <c r="AR184" s="633"/>
      <c r="AS184" s="636"/>
      <c r="AT184" s="636"/>
      <c r="AU184" s="7"/>
      <c r="AV184" s="699"/>
      <c r="AW184" s="7"/>
      <c r="AX184" s="618">
        <f t="shared" si="19"/>
        <v>0</v>
      </c>
      <c r="AY184" s="7"/>
      <c r="AZ184" s="7"/>
      <c r="BA184" s="7"/>
      <c r="BB184" s="7"/>
      <c r="BC184" s="7"/>
      <c r="BD184" s="7"/>
    </row>
    <row r="185" spans="1:56" ht="18.75" customHeight="1">
      <c r="A185" s="486">
        <v>7.7</v>
      </c>
      <c r="B185" s="487" t="s">
        <v>412</v>
      </c>
      <c r="C185" s="635" t="s">
        <v>413</v>
      </c>
      <c r="D185" s="412" t="s">
        <v>2014</v>
      </c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  <c r="AN185" s="213"/>
      <c r="AO185" s="213"/>
      <c r="AP185" s="643"/>
      <c r="AQ185" s="616">
        <f t="shared" si="0"/>
        <v>0</v>
      </c>
      <c r="AR185" s="633"/>
      <c r="AS185" s="636"/>
      <c r="AT185" s="636"/>
      <c r="AU185" s="7"/>
      <c r="AV185" s="699"/>
      <c r="AW185" s="7"/>
      <c r="AX185" s="618">
        <f t="shared" si="19"/>
        <v>0</v>
      </c>
      <c r="AY185" s="7"/>
      <c r="AZ185" s="7"/>
      <c r="BA185" s="7"/>
      <c r="BB185" s="7"/>
      <c r="BC185" s="7"/>
      <c r="BD185" s="7"/>
    </row>
    <row r="186" spans="1:56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  <c r="AN186" s="213"/>
      <c r="AO186" s="213"/>
      <c r="AP186" s="643"/>
      <c r="AQ186" s="616">
        <f t="shared" si="0"/>
        <v>0</v>
      </c>
      <c r="AR186" s="633"/>
      <c r="AS186" s="636"/>
      <c r="AT186" s="636"/>
      <c r="AU186" s="7"/>
      <c r="AV186" s="699"/>
      <c r="AW186" s="7"/>
      <c r="AX186" s="618">
        <f t="shared" si="19"/>
        <v>0</v>
      </c>
      <c r="AY186" s="7"/>
      <c r="AZ186" s="7"/>
      <c r="BA186" s="7"/>
      <c r="BB186" s="7"/>
      <c r="BC186" s="7"/>
      <c r="BD186" s="7"/>
    </row>
    <row r="187" spans="1:56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  <c r="AN187" s="213"/>
      <c r="AO187" s="213"/>
      <c r="AP187" s="643"/>
      <c r="AQ187" s="616">
        <f t="shared" si="0"/>
        <v>0</v>
      </c>
      <c r="AR187" s="633"/>
      <c r="AS187" s="640"/>
      <c r="AT187" s="640"/>
      <c r="AU187" s="7"/>
      <c r="AV187" s="699"/>
      <c r="AW187" s="7"/>
      <c r="AX187" s="618">
        <f t="shared" si="19"/>
        <v>0</v>
      </c>
      <c r="AY187" s="7"/>
      <c r="AZ187" s="7"/>
      <c r="BA187" s="7"/>
      <c r="BB187" s="7"/>
      <c r="BC187" s="7"/>
      <c r="BD187" s="7"/>
    </row>
    <row r="188" spans="1:56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  <c r="AN188" s="213"/>
      <c r="AO188" s="213"/>
      <c r="AP188" s="643"/>
      <c r="AQ188" s="616">
        <f t="shared" si="0"/>
        <v>0</v>
      </c>
      <c r="AR188" s="633"/>
      <c r="AS188" s="636"/>
      <c r="AT188" s="636"/>
      <c r="AU188" s="7"/>
      <c r="AV188" s="699"/>
      <c r="AW188" s="7"/>
      <c r="AX188" s="618">
        <f t="shared" si="19"/>
        <v>0</v>
      </c>
      <c r="AY188" s="7"/>
      <c r="AZ188" s="7"/>
      <c r="BA188" s="7"/>
      <c r="BB188" s="7"/>
      <c r="BC188" s="7"/>
      <c r="BD188" s="7"/>
    </row>
    <row r="189" spans="1:56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  <c r="AN189" s="213"/>
      <c r="AO189" s="213"/>
      <c r="AP189" s="643"/>
      <c r="AQ189" s="616">
        <f t="shared" si="0"/>
        <v>0</v>
      </c>
      <c r="AR189" s="633"/>
      <c r="AS189" s="648"/>
      <c r="AT189" s="648"/>
      <c r="AU189" s="7"/>
      <c r="AV189" s="699"/>
      <c r="AW189" s="7"/>
      <c r="AX189" s="618">
        <f t="shared" si="19"/>
        <v>0</v>
      </c>
      <c r="AY189" s="7"/>
      <c r="AZ189" s="7"/>
      <c r="BA189" s="7"/>
      <c r="BB189" s="7"/>
      <c r="BC189" s="7"/>
      <c r="BD189" s="7"/>
    </row>
    <row r="190" spans="1:56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  <c r="AN190" s="213"/>
      <c r="AO190" s="213"/>
      <c r="AP190" s="643"/>
      <c r="AQ190" s="616">
        <f t="shared" si="0"/>
        <v>0</v>
      </c>
      <c r="AR190" s="633"/>
      <c r="AS190" s="648"/>
      <c r="AT190" s="648"/>
      <c r="AU190" s="7"/>
      <c r="AV190" s="699"/>
      <c r="AW190" s="7"/>
      <c r="AX190" s="618">
        <f t="shared" si="19"/>
        <v>0</v>
      </c>
      <c r="AY190" s="7"/>
      <c r="AZ190" s="7"/>
      <c r="BA190" s="7"/>
      <c r="BB190" s="7"/>
      <c r="BC190" s="7"/>
      <c r="BD190" s="7"/>
    </row>
    <row r="191" spans="1:56" ht="20.25" customHeight="1">
      <c r="A191" s="503"/>
      <c r="B191" s="483" t="s">
        <v>428</v>
      </c>
      <c r="C191" s="658" t="s">
        <v>429</v>
      </c>
      <c r="D191" s="504" t="s">
        <v>2015</v>
      </c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  <c r="AN191" s="213"/>
      <c r="AO191" s="213"/>
      <c r="AP191" s="643"/>
      <c r="AQ191" s="616">
        <f t="shared" si="0"/>
        <v>0</v>
      </c>
      <c r="AR191" s="633"/>
      <c r="AS191" s="648"/>
      <c r="AT191" s="648"/>
      <c r="AU191" s="7"/>
      <c r="AV191" s="699"/>
      <c r="AW191" s="7"/>
      <c r="AX191" s="618">
        <f t="shared" si="19"/>
        <v>0</v>
      </c>
      <c r="AY191" s="7"/>
      <c r="AZ191" s="7"/>
      <c r="BA191" s="7"/>
      <c r="BB191" s="7"/>
      <c r="BC191" s="7"/>
      <c r="BD191" s="7"/>
    </row>
    <row r="192" spans="1:56" ht="20.25" customHeight="1">
      <c r="A192" s="503"/>
      <c r="B192" s="483" t="s">
        <v>426</v>
      </c>
      <c r="C192" s="658" t="s">
        <v>431</v>
      </c>
      <c r="D192" s="504" t="s">
        <v>2016</v>
      </c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  <c r="AN192" s="213"/>
      <c r="AO192" s="213"/>
      <c r="AP192" s="643"/>
      <c r="AQ192" s="616">
        <f t="shared" si="0"/>
        <v>0</v>
      </c>
      <c r="AR192" s="633"/>
      <c r="AS192" s="636"/>
      <c r="AT192" s="636"/>
      <c r="AU192" s="7"/>
      <c r="AV192" s="699"/>
      <c r="AW192" s="7"/>
      <c r="AX192" s="618">
        <f t="shared" si="19"/>
        <v>0</v>
      </c>
      <c r="AY192" s="7"/>
      <c r="AZ192" s="7"/>
      <c r="BA192" s="7"/>
      <c r="BB192" s="7"/>
      <c r="BC192" s="7"/>
      <c r="BD192" s="7"/>
    </row>
    <row r="193" spans="1:56" ht="20.25" customHeight="1">
      <c r="A193" s="503"/>
      <c r="B193" s="483" t="s">
        <v>428</v>
      </c>
      <c r="C193" s="658" t="s">
        <v>433</v>
      </c>
      <c r="D193" s="504" t="s">
        <v>2017</v>
      </c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643"/>
      <c r="AQ193" s="616">
        <f t="shared" si="0"/>
        <v>0</v>
      </c>
      <c r="AR193" s="633"/>
      <c r="AS193" s="648"/>
      <c r="AT193" s="648"/>
      <c r="AU193" s="7"/>
      <c r="AV193" s="699"/>
      <c r="AW193" s="7"/>
      <c r="AX193" s="618">
        <f t="shared" si="19"/>
        <v>0</v>
      </c>
      <c r="AY193" s="7"/>
      <c r="AZ193" s="7"/>
      <c r="BA193" s="7"/>
      <c r="BB193" s="7"/>
      <c r="BC193" s="7"/>
      <c r="BD193" s="7"/>
    </row>
    <row r="194" spans="1:56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  <c r="AN194" s="213"/>
      <c r="AO194" s="213"/>
      <c r="AP194" s="643"/>
      <c r="AQ194" s="616">
        <f t="shared" si="0"/>
        <v>0</v>
      </c>
      <c r="AR194" s="633"/>
      <c r="AS194" s="654"/>
      <c r="AT194" s="654"/>
      <c r="AU194" s="7"/>
      <c r="AV194" s="699"/>
      <c r="AW194" s="7"/>
      <c r="AX194" s="618">
        <f t="shared" si="19"/>
        <v>0</v>
      </c>
      <c r="AY194" s="7"/>
      <c r="AZ194" s="7"/>
      <c r="BA194" s="7"/>
      <c r="BB194" s="7"/>
      <c r="BC194" s="7"/>
      <c r="BD194" s="7"/>
    </row>
    <row r="195" spans="1:56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>
        <v>70</v>
      </c>
      <c r="AE195" s="213"/>
      <c r="AF195" s="213"/>
      <c r="AG195" s="213">
        <v>300</v>
      </c>
      <c r="AH195" s="213">
        <v>7</v>
      </c>
      <c r="AI195" s="213"/>
      <c r="AJ195" s="213"/>
      <c r="AK195" s="213"/>
      <c r="AL195" s="213"/>
      <c r="AM195" s="213"/>
      <c r="AN195" s="213"/>
      <c r="AO195" s="213"/>
      <c r="AP195" s="643"/>
      <c r="AQ195" s="616">
        <f t="shared" si="0"/>
        <v>377</v>
      </c>
      <c r="AR195" s="633"/>
      <c r="AS195" s="648"/>
      <c r="AT195" s="648"/>
      <c r="AU195" s="7"/>
      <c r="AV195" s="699">
        <v>8396</v>
      </c>
      <c r="AW195" s="7"/>
      <c r="AX195" s="618">
        <f t="shared" si="19"/>
        <v>8019</v>
      </c>
      <c r="AY195" s="7"/>
      <c r="AZ195" s="7"/>
      <c r="BA195" s="7"/>
      <c r="BB195" s="7"/>
      <c r="BC195" s="7"/>
      <c r="BD195" s="7"/>
    </row>
    <row r="196" spans="1:56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  <c r="AN196" s="213"/>
      <c r="AO196" s="213"/>
      <c r="AP196" s="643"/>
      <c r="AQ196" s="616">
        <f t="shared" si="0"/>
        <v>0</v>
      </c>
      <c r="AR196" s="633"/>
      <c r="AS196" s="636"/>
      <c r="AT196" s="636"/>
      <c r="AU196" s="7"/>
      <c r="AV196" s="699"/>
      <c r="AW196" s="7"/>
      <c r="AX196" s="618">
        <f t="shared" si="19"/>
        <v>0</v>
      </c>
      <c r="AY196" s="7"/>
      <c r="AZ196" s="7"/>
      <c r="BA196" s="7"/>
      <c r="BB196" s="7"/>
      <c r="BC196" s="7"/>
      <c r="BD196" s="7"/>
    </row>
    <row r="197" spans="1:56" ht="20.25" customHeight="1">
      <c r="A197" s="503"/>
      <c r="B197" s="483" t="s">
        <v>440</v>
      </c>
      <c r="C197" s="658" t="s">
        <v>429</v>
      </c>
      <c r="D197" s="504" t="s">
        <v>2018</v>
      </c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  <c r="AN197" s="213"/>
      <c r="AO197" s="213"/>
      <c r="AP197" s="643"/>
      <c r="AQ197" s="616">
        <f t="shared" si="0"/>
        <v>0</v>
      </c>
      <c r="AR197" s="633"/>
      <c r="AS197" s="648"/>
      <c r="AT197" s="648"/>
      <c r="AU197" s="7"/>
      <c r="AV197" s="699"/>
      <c r="AW197" s="7"/>
      <c r="AX197" s="618">
        <f t="shared" si="19"/>
        <v>0</v>
      </c>
      <c r="AY197" s="7"/>
      <c r="AZ197" s="7"/>
      <c r="BA197" s="7"/>
      <c r="BB197" s="7"/>
      <c r="BC197" s="7"/>
      <c r="BD197" s="7"/>
    </row>
    <row r="198" spans="1:56" ht="20.25" customHeight="1">
      <c r="A198" s="503"/>
      <c r="B198" s="483" t="s">
        <v>439</v>
      </c>
      <c r="C198" s="658" t="s">
        <v>431</v>
      </c>
      <c r="D198" s="504" t="s">
        <v>2019</v>
      </c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  <c r="AN198" s="213"/>
      <c r="AO198" s="213"/>
      <c r="AP198" s="643"/>
      <c r="AQ198" s="616">
        <f t="shared" si="0"/>
        <v>0</v>
      </c>
      <c r="AR198" s="633"/>
      <c r="AS198" s="648"/>
      <c r="AT198" s="648"/>
      <c r="AU198" s="7"/>
      <c r="AV198" s="699"/>
      <c r="AW198" s="7"/>
      <c r="AX198" s="618">
        <f t="shared" si="19"/>
        <v>0</v>
      </c>
      <c r="AY198" s="7"/>
      <c r="AZ198" s="7"/>
      <c r="BA198" s="7"/>
      <c r="BB198" s="7"/>
      <c r="BC198" s="7"/>
      <c r="BD198" s="7"/>
    </row>
    <row r="199" spans="1:56" ht="20.25" customHeight="1">
      <c r="A199" s="503"/>
      <c r="B199" s="483" t="s">
        <v>440</v>
      </c>
      <c r="C199" s="658" t="s">
        <v>433</v>
      </c>
      <c r="D199" s="504" t="s">
        <v>2020</v>
      </c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  <c r="AN199" s="213"/>
      <c r="AO199" s="213"/>
      <c r="AP199" s="643"/>
      <c r="AQ199" s="616">
        <f t="shared" si="0"/>
        <v>0</v>
      </c>
      <c r="AR199" s="633"/>
      <c r="AS199" s="648"/>
      <c r="AT199" s="648"/>
      <c r="AU199" s="7"/>
      <c r="AV199" s="699"/>
      <c r="AW199" s="7"/>
      <c r="AX199" s="618">
        <f t="shared" si="19"/>
        <v>0</v>
      </c>
      <c r="AY199" s="7"/>
      <c r="AZ199" s="7"/>
      <c r="BA199" s="7"/>
      <c r="BB199" s="7"/>
      <c r="BC199" s="7"/>
      <c r="BD199" s="7"/>
    </row>
    <row r="200" spans="1:56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  <c r="AN200" s="213"/>
      <c r="AO200" s="213"/>
      <c r="AP200" s="643"/>
      <c r="AQ200" s="616">
        <f t="shared" si="0"/>
        <v>0</v>
      </c>
      <c r="AR200" s="633"/>
      <c r="AS200" s="636"/>
      <c r="AT200" s="636"/>
      <c r="AU200" s="7"/>
      <c r="AV200" s="699"/>
      <c r="AW200" s="7"/>
      <c r="AX200" s="618">
        <f t="shared" si="19"/>
        <v>0</v>
      </c>
      <c r="AY200" s="7"/>
      <c r="AZ200" s="7"/>
      <c r="BA200" s="7"/>
      <c r="BB200" s="7"/>
      <c r="BC200" s="7"/>
      <c r="BD200" s="7"/>
    </row>
    <row r="201" spans="1:56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  <c r="AN201" s="213"/>
      <c r="AO201" s="213"/>
      <c r="AP201" s="643"/>
      <c r="AQ201" s="616">
        <f t="shared" si="0"/>
        <v>0</v>
      </c>
      <c r="AR201" s="633"/>
      <c r="AS201" s="648"/>
      <c r="AT201" s="648"/>
      <c r="AU201" s="7"/>
      <c r="AV201" s="699"/>
      <c r="AW201" s="7"/>
      <c r="AX201" s="618"/>
      <c r="AY201" s="7"/>
      <c r="AZ201" s="7"/>
      <c r="BA201" s="7"/>
      <c r="BB201" s="7"/>
      <c r="BC201" s="7"/>
      <c r="BD201" s="7"/>
    </row>
    <row r="202" spans="1:56" ht="20.25" customHeight="1">
      <c r="A202" s="503"/>
      <c r="B202" s="483" t="s">
        <v>449</v>
      </c>
      <c r="C202" s="658" t="s">
        <v>450</v>
      </c>
      <c r="D202" s="504" t="s">
        <v>2021</v>
      </c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  <c r="AN202" s="213"/>
      <c r="AO202" s="213"/>
      <c r="AP202" s="643"/>
      <c r="AQ202" s="616">
        <f t="shared" si="0"/>
        <v>0</v>
      </c>
      <c r="AR202" s="633"/>
      <c r="AS202" s="648"/>
      <c r="AT202" s="648"/>
      <c r="AU202" s="7"/>
      <c r="AV202" s="699"/>
      <c r="AW202" s="7"/>
      <c r="AX202" s="618">
        <f>AV202-AQ202</f>
        <v>0</v>
      </c>
      <c r="AY202" s="7"/>
      <c r="AZ202" s="7"/>
      <c r="BA202" s="7"/>
      <c r="BB202" s="7"/>
      <c r="BC202" s="7"/>
      <c r="BD202" s="7"/>
    </row>
    <row r="203" spans="1:56" ht="20.25" customHeight="1">
      <c r="A203" s="503"/>
      <c r="B203" s="483" t="s">
        <v>449</v>
      </c>
      <c r="C203" s="658" t="s">
        <v>431</v>
      </c>
      <c r="D203" s="504" t="s">
        <v>2022</v>
      </c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  <c r="AN203" s="213"/>
      <c r="AO203" s="213"/>
      <c r="AP203" s="643"/>
      <c r="AQ203" s="616">
        <f t="shared" si="0"/>
        <v>0</v>
      </c>
      <c r="AR203" s="633"/>
      <c r="AS203" s="648"/>
      <c r="AT203" s="648"/>
      <c r="AU203" s="7"/>
      <c r="AV203" s="699"/>
      <c r="AW203" s="7"/>
      <c r="AX203" s="618"/>
      <c r="AY203" s="7"/>
      <c r="AZ203" s="7"/>
      <c r="BA203" s="7"/>
      <c r="BB203" s="7"/>
      <c r="BC203" s="7"/>
      <c r="BD203" s="7"/>
    </row>
    <row r="204" spans="1:56" ht="20.25" customHeight="1">
      <c r="A204" s="503"/>
      <c r="B204" s="483" t="s">
        <v>453</v>
      </c>
      <c r="C204" s="658" t="s">
        <v>433</v>
      </c>
      <c r="D204" s="504" t="s">
        <v>2023</v>
      </c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643"/>
      <c r="AQ204" s="616">
        <f t="shared" si="0"/>
        <v>0</v>
      </c>
      <c r="AR204" s="633"/>
      <c r="AS204" s="636"/>
      <c r="AT204" s="636"/>
      <c r="AU204" s="7"/>
      <c r="AV204" s="699"/>
      <c r="AW204" s="7"/>
      <c r="AX204" s="618">
        <f t="shared" ref="AX204:AX205" si="20">AV204-AQ204</f>
        <v>0</v>
      </c>
      <c r="AY204" s="7"/>
      <c r="AZ204" s="7"/>
      <c r="BA204" s="7"/>
      <c r="BB204" s="7"/>
      <c r="BC204" s="7"/>
      <c r="BD204" s="7"/>
    </row>
    <row r="205" spans="1:56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643"/>
      <c r="AQ205" s="616">
        <f t="shared" si="0"/>
        <v>0</v>
      </c>
      <c r="AR205" s="633"/>
      <c r="AS205" s="636"/>
      <c r="AT205" s="636"/>
      <c r="AU205" s="7"/>
      <c r="AV205" s="699"/>
      <c r="AW205" s="7"/>
      <c r="AX205" s="618">
        <f t="shared" si="20"/>
        <v>0</v>
      </c>
      <c r="AY205" s="7"/>
      <c r="AZ205" s="7"/>
      <c r="BA205" s="7"/>
      <c r="BB205" s="7"/>
      <c r="BC205" s="7"/>
      <c r="BD205" s="7"/>
    </row>
    <row r="206" spans="1:56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  <c r="AN206" s="213"/>
      <c r="AO206" s="213"/>
      <c r="AP206" s="643"/>
      <c r="AQ206" s="616">
        <f t="shared" si="0"/>
        <v>0</v>
      </c>
      <c r="AR206" s="633"/>
      <c r="AS206" s="648"/>
      <c r="AT206" s="648"/>
      <c r="AU206" s="7"/>
      <c r="AV206" s="699"/>
      <c r="AW206" s="7"/>
      <c r="AX206" s="618"/>
      <c r="AY206" s="7"/>
      <c r="AZ206" s="7"/>
      <c r="BA206" s="7"/>
      <c r="BB206" s="7"/>
      <c r="BC206" s="7"/>
      <c r="BD206" s="7"/>
    </row>
    <row r="207" spans="1:56" ht="20.25" customHeight="1">
      <c r="A207" s="503"/>
      <c r="B207" s="483" t="s">
        <v>461</v>
      </c>
      <c r="C207" s="658" t="s">
        <v>431</v>
      </c>
      <c r="D207" s="504" t="s">
        <v>2024</v>
      </c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  <c r="AN207" s="213"/>
      <c r="AO207" s="213"/>
      <c r="AP207" s="643"/>
      <c r="AQ207" s="616">
        <f t="shared" si="0"/>
        <v>0</v>
      </c>
      <c r="AR207" s="633"/>
      <c r="AS207" s="648"/>
      <c r="AT207" s="648"/>
      <c r="AU207" s="7"/>
      <c r="AV207" s="699"/>
      <c r="AW207" s="7"/>
      <c r="AX207" s="618"/>
      <c r="AY207" s="7"/>
      <c r="AZ207" s="7"/>
      <c r="BA207" s="7"/>
      <c r="BB207" s="7"/>
      <c r="BC207" s="7"/>
      <c r="BD207" s="7"/>
    </row>
    <row r="208" spans="1:56" ht="20.25" customHeight="1">
      <c r="A208" s="503"/>
      <c r="B208" s="483" t="s">
        <v>464</v>
      </c>
      <c r="C208" s="658" t="s">
        <v>433</v>
      </c>
      <c r="D208" s="504" t="s">
        <v>2025</v>
      </c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  <c r="AN208" s="213"/>
      <c r="AO208" s="213"/>
      <c r="AP208" s="643"/>
      <c r="AQ208" s="616">
        <f t="shared" si="0"/>
        <v>0</v>
      </c>
      <c r="AR208" s="633"/>
      <c r="AS208" s="636"/>
      <c r="AT208" s="636"/>
      <c r="AU208" s="7"/>
      <c r="AV208" s="699"/>
      <c r="AW208" s="7"/>
      <c r="AX208" s="618">
        <f t="shared" ref="AX208:AX213" si="21">AV208-AQ208</f>
        <v>0</v>
      </c>
      <c r="AY208" s="7"/>
      <c r="AZ208" s="7"/>
      <c r="BA208" s="7"/>
      <c r="BB208" s="7"/>
      <c r="BC208" s="7"/>
      <c r="BD208" s="7"/>
    </row>
    <row r="209" spans="1:56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  <c r="AN209" s="213"/>
      <c r="AO209" s="213"/>
      <c r="AP209" s="643"/>
      <c r="AQ209" s="616">
        <f t="shared" si="0"/>
        <v>0</v>
      </c>
      <c r="AR209" s="633"/>
      <c r="AS209" s="648"/>
      <c r="AT209" s="648"/>
      <c r="AU209" s="7"/>
      <c r="AV209" s="699"/>
      <c r="AW209" s="7"/>
      <c r="AX209" s="618">
        <f t="shared" si="21"/>
        <v>0</v>
      </c>
      <c r="AY209" s="7"/>
      <c r="AZ209" s="7"/>
      <c r="BA209" s="7"/>
      <c r="BB209" s="7"/>
      <c r="BC209" s="7"/>
      <c r="BD209" s="7"/>
    </row>
    <row r="210" spans="1:56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  <c r="AN210" s="213"/>
      <c r="AO210" s="213"/>
      <c r="AP210" s="643"/>
      <c r="AQ210" s="616">
        <f t="shared" si="0"/>
        <v>0</v>
      </c>
      <c r="AR210" s="633"/>
      <c r="AS210" s="648"/>
      <c r="AT210" s="648"/>
      <c r="AU210" s="7"/>
      <c r="AV210" s="699"/>
      <c r="AW210" s="7"/>
      <c r="AX210" s="618">
        <f t="shared" si="21"/>
        <v>0</v>
      </c>
      <c r="AY210" s="7"/>
      <c r="AZ210" s="7"/>
      <c r="BA210" s="7"/>
      <c r="BB210" s="7"/>
      <c r="BC210" s="7"/>
      <c r="BD210" s="7"/>
    </row>
    <row r="211" spans="1:56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  <c r="AN211" s="213"/>
      <c r="AO211" s="213"/>
      <c r="AP211" s="643"/>
      <c r="AQ211" s="616">
        <f t="shared" si="0"/>
        <v>0</v>
      </c>
      <c r="AR211" s="633"/>
      <c r="AS211" s="636"/>
      <c r="AT211" s="636"/>
      <c r="AU211" s="7"/>
      <c r="AV211" s="699"/>
      <c r="AW211" s="7"/>
      <c r="AX211" s="618">
        <f t="shared" si="21"/>
        <v>0</v>
      </c>
      <c r="AY211" s="7"/>
      <c r="AZ211" s="7"/>
      <c r="BA211" s="7"/>
      <c r="BB211" s="7"/>
      <c r="BC211" s="7"/>
      <c r="BD211" s="7"/>
    </row>
    <row r="212" spans="1:56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  <c r="AN212" s="213"/>
      <c r="AO212" s="213"/>
      <c r="AP212" s="643"/>
      <c r="AQ212" s="616">
        <f t="shared" si="0"/>
        <v>0</v>
      </c>
      <c r="AR212" s="633"/>
      <c r="AS212" s="636"/>
      <c r="AT212" s="636"/>
      <c r="AU212" s="7"/>
      <c r="AV212" s="699"/>
      <c r="AW212" s="7"/>
      <c r="AX212" s="618">
        <f t="shared" si="21"/>
        <v>0</v>
      </c>
      <c r="AY212" s="7"/>
      <c r="AZ212" s="7"/>
      <c r="BA212" s="7"/>
      <c r="BB212" s="7"/>
      <c r="BC212" s="7"/>
      <c r="BD212" s="7"/>
    </row>
    <row r="213" spans="1:56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  <c r="AN213" s="213"/>
      <c r="AO213" s="213"/>
      <c r="AP213" s="643"/>
      <c r="AQ213" s="616">
        <f t="shared" si="0"/>
        <v>0</v>
      </c>
      <c r="AR213" s="633"/>
      <c r="AS213" s="636"/>
      <c r="AT213" s="636"/>
      <c r="AU213" s="7"/>
      <c r="AV213" s="703">
        <f>AV214+AV215</f>
        <v>0</v>
      </c>
      <c r="AW213" s="7"/>
      <c r="AX213" s="618">
        <f t="shared" si="21"/>
        <v>0</v>
      </c>
      <c r="AY213" s="7"/>
      <c r="AZ213" s="7"/>
      <c r="BA213" s="7"/>
      <c r="BB213" s="7"/>
      <c r="BC213" s="7"/>
      <c r="BD213" s="7"/>
    </row>
    <row r="214" spans="1:56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  <c r="AN214" s="213"/>
      <c r="AO214" s="213"/>
      <c r="AP214" s="643"/>
      <c r="AQ214" s="616">
        <f t="shared" si="0"/>
        <v>0</v>
      </c>
      <c r="AR214" s="633"/>
      <c r="AS214" s="636"/>
      <c r="AT214" s="636"/>
      <c r="AU214" s="7"/>
      <c r="AV214" s="699"/>
      <c r="AW214" s="7"/>
      <c r="AX214" s="618"/>
      <c r="AY214" s="7"/>
      <c r="AZ214" s="7"/>
      <c r="BA214" s="7"/>
      <c r="BB214" s="7"/>
      <c r="BC214" s="7"/>
      <c r="BD214" s="7"/>
    </row>
    <row r="215" spans="1:56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  <c r="AN215" s="213"/>
      <c r="AO215" s="213"/>
      <c r="AP215" s="643"/>
      <c r="AQ215" s="616">
        <f t="shared" si="0"/>
        <v>0</v>
      </c>
      <c r="AR215" s="633"/>
      <c r="AS215" s="636"/>
      <c r="AT215" s="636"/>
      <c r="AU215" s="7"/>
      <c r="AV215" s="699"/>
      <c r="AW215" s="7"/>
      <c r="AX215" s="618">
        <f t="shared" ref="AX215:AX218" si="22">AV215-AQ215</f>
        <v>0</v>
      </c>
      <c r="AY215" s="7"/>
      <c r="AZ215" s="7"/>
      <c r="BA215" s="7"/>
      <c r="BB215" s="7"/>
      <c r="BC215" s="7"/>
      <c r="BD215" s="7"/>
    </row>
    <row r="216" spans="1:56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  <c r="AN216" s="213"/>
      <c r="AO216" s="213"/>
      <c r="AP216" s="643"/>
      <c r="AQ216" s="616">
        <f t="shared" si="0"/>
        <v>0</v>
      </c>
      <c r="AR216" s="633"/>
      <c r="AS216" s="636"/>
      <c r="AT216" s="636"/>
      <c r="AU216" s="7"/>
      <c r="AV216" s="699"/>
      <c r="AW216" s="7"/>
      <c r="AX216" s="618">
        <f t="shared" si="22"/>
        <v>0</v>
      </c>
      <c r="AY216" s="7"/>
      <c r="AZ216" s="7"/>
      <c r="BA216" s="7"/>
      <c r="BB216" s="7"/>
      <c r="BC216" s="7"/>
      <c r="BD216" s="7"/>
    </row>
    <row r="217" spans="1:56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643"/>
      <c r="AQ217" s="616">
        <f t="shared" si="0"/>
        <v>0</v>
      </c>
      <c r="AR217" s="633"/>
      <c r="AS217" s="636"/>
      <c r="AT217" s="636"/>
      <c r="AU217" s="7"/>
      <c r="AV217" s="699"/>
      <c r="AW217" s="7"/>
      <c r="AX217" s="618">
        <f t="shared" si="22"/>
        <v>0</v>
      </c>
      <c r="AY217" s="7"/>
      <c r="AZ217" s="7"/>
      <c r="BA217" s="7"/>
      <c r="BB217" s="7"/>
      <c r="BC217" s="7"/>
      <c r="BD217" s="7"/>
    </row>
    <row r="218" spans="1:56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643"/>
      <c r="AQ218" s="616">
        <f t="shared" si="0"/>
        <v>0</v>
      </c>
      <c r="AR218" s="633"/>
      <c r="AS218" s="636"/>
      <c r="AT218" s="636"/>
      <c r="AU218" s="7"/>
      <c r="AV218" s="699"/>
      <c r="AW218" s="7"/>
      <c r="AX218" s="618">
        <f t="shared" si="22"/>
        <v>0</v>
      </c>
      <c r="AY218" s="7"/>
      <c r="AZ218" s="7"/>
      <c r="BA218" s="7"/>
      <c r="BB218" s="7"/>
      <c r="BC218" s="7"/>
      <c r="BD218" s="7"/>
    </row>
    <row r="219" spans="1:56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  <c r="AN219" s="213"/>
      <c r="AO219" s="213"/>
      <c r="AP219" s="643"/>
      <c r="AQ219" s="616">
        <f t="shared" si="0"/>
        <v>0</v>
      </c>
      <c r="AR219" s="633"/>
      <c r="AS219" s="636"/>
      <c r="AT219" s="636"/>
      <c r="AU219" s="7"/>
      <c r="AV219" s="699"/>
      <c r="AW219" s="7"/>
      <c r="AX219" s="618"/>
      <c r="AY219" s="7"/>
      <c r="AZ219" s="7"/>
      <c r="BA219" s="7"/>
      <c r="BB219" s="7"/>
      <c r="BC219" s="7"/>
      <c r="BD219" s="7"/>
    </row>
    <row r="220" spans="1:56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  <c r="AN220" s="213"/>
      <c r="AO220" s="213"/>
      <c r="AP220" s="643"/>
      <c r="AQ220" s="616">
        <f t="shared" si="0"/>
        <v>0</v>
      </c>
      <c r="AR220" s="633"/>
      <c r="AS220" s="636"/>
      <c r="AT220" s="636"/>
      <c r="AU220" s="7"/>
      <c r="AV220" s="699"/>
      <c r="AW220" s="7"/>
      <c r="AX220" s="618">
        <f>AV220-AQ220</f>
        <v>0</v>
      </c>
      <c r="AY220" s="7"/>
      <c r="AZ220" s="7"/>
      <c r="BA220" s="7"/>
      <c r="BB220" s="7"/>
      <c r="BC220" s="7"/>
      <c r="BD220" s="7"/>
    </row>
    <row r="221" spans="1:56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>
        <v>40</v>
      </c>
      <c r="X221" s="213">
        <v>15</v>
      </c>
      <c r="Y221" s="213">
        <v>70</v>
      </c>
      <c r="Z221" s="213">
        <f>50+40</f>
        <v>90</v>
      </c>
      <c r="AA221" s="213">
        <v>200</v>
      </c>
      <c r="AB221" s="213">
        <v>20</v>
      </c>
      <c r="AC221" s="213">
        <v>30</v>
      </c>
      <c r="AD221" s="213">
        <v>70</v>
      </c>
      <c r="AE221" s="213">
        <f>30+15</f>
        <v>45</v>
      </c>
      <c r="AF221" s="213">
        <v>50</v>
      </c>
      <c r="AG221" s="213">
        <v>300</v>
      </c>
      <c r="AH221" s="213"/>
      <c r="AI221" s="213">
        <v>30</v>
      </c>
      <c r="AJ221" s="213">
        <v>30</v>
      </c>
      <c r="AK221" s="213"/>
      <c r="AL221" s="213"/>
      <c r="AM221" s="213"/>
      <c r="AN221" s="213"/>
      <c r="AO221" s="213"/>
      <c r="AP221" s="643"/>
      <c r="AQ221" s="616">
        <f t="shared" si="0"/>
        <v>990</v>
      </c>
      <c r="AR221" s="633"/>
      <c r="AS221" s="634"/>
      <c r="AT221" s="634"/>
      <c r="AU221" s="7"/>
      <c r="AV221" s="699">
        <v>988</v>
      </c>
      <c r="AW221" s="7"/>
      <c r="AX221" s="618"/>
      <c r="AY221" s="7"/>
      <c r="AZ221" s="7"/>
      <c r="BA221" s="7"/>
      <c r="BB221" s="7"/>
      <c r="BC221" s="7"/>
      <c r="BD221" s="7"/>
    </row>
    <row r="222" spans="1:56" ht="20.25" customHeight="1">
      <c r="A222" s="482" t="s">
        <v>1007</v>
      </c>
      <c r="B222" s="483" t="s">
        <v>502</v>
      </c>
      <c r="C222" s="629" t="s">
        <v>503</v>
      </c>
      <c r="D222" s="504" t="s">
        <v>2026</v>
      </c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  <c r="AN222" s="213"/>
      <c r="AO222" s="213"/>
      <c r="AP222" s="643"/>
      <c r="AQ222" s="616">
        <f t="shared" si="0"/>
        <v>0</v>
      </c>
      <c r="AR222" s="633"/>
      <c r="AS222" s="634"/>
      <c r="AT222" s="634"/>
      <c r="AU222" s="7"/>
      <c r="AV222" s="699">
        <v>767</v>
      </c>
      <c r="AW222" s="7"/>
      <c r="AX222" s="618"/>
      <c r="AY222" s="7"/>
      <c r="AZ222" s="7"/>
      <c r="BA222" s="7"/>
      <c r="BB222" s="7"/>
      <c r="BC222" s="7"/>
      <c r="BD222" s="7"/>
    </row>
    <row r="223" spans="1:56" ht="20.25" customHeight="1">
      <c r="A223" s="482"/>
      <c r="B223" s="483" t="s">
        <v>506</v>
      </c>
      <c r="C223" s="629" t="s">
        <v>507</v>
      </c>
      <c r="D223" s="485" t="s">
        <v>2027</v>
      </c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  <c r="AN223" s="213"/>
      <c r="AO223" s="213"/>
      <c r="AP223" s="643"/>
      <c r="AQ223" s="616">
        <f t="shared" si="0"/>
        <v>0</v>
      </c>
      <c r="AR223" s="633"/>
      <c r="AS223" s="634"/>
      <c r="AT223" s="634"/>
      <c r="AU223" s="7"/>
      <c r="AV223" s="699"/>
      <c r="AW223" s="7"/>
      <c r="AX223" s="618">
        <f t="shared" ref="AX223:AX232" si="23">AV223-AQ223</f>
        <v>0</v>
      </c>
      <c r="AY223" s="7"/>
      <c r="AZ223" s="7"/>
      <c r="BA223" s="7"/>
      <c r="BB223" s="7"/>
      <c r="BC223" s="7"/>
      <c r="BD223" s="7"/>
    </row>
    <row r="224" spans="1:56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  <c r="AN224" s="213"/>
      <c r="AO224" s="213"/>
      <c r="AP224" s="643"/>
      <c r="AQ224" s="616">
        <f t="shared" si="0"/>
        <v>0</v>
      </c>
      <c r="AR224" s="633"/>
      <c r="AS224" s="636"/>
      <c r="AT224" s="636"/>
      <c r="AU224" s="7"/>
      <c r="AV224" s="699"/>
      <c r="AW224" s="7"/>
      <c r="AX224" s="618">
        <f t="shared" si="23"/>
        <v>0</v>
      </c>
      <c r="AY224" s="7"/>
      <c r="AZ224" s="7"/>
      <c r="BA224" s="7"/>
      <c r="BB224" s="7"/>
      <c r="BC224" s="7"/>
      <c r="BD224" s="7"/>
    </row>
    <row r="225" spans="1:56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643"/>
      <c r="AQ225" s="616">
        <f t="shared" si="0"/>
        <v>0</v>
      </c>
      <c r="AR225" s="660" t="s">
        <v>1594</v>
      </c>
      <c r="AS225" s="640"/>
      <c r="AT225" s="640"/>
      <c r="AU225" s="7"/>
      <c r="AV225" s="699"/>
      <c r="AW225" s="7"/>
      <c r="AX225" s="618">
        <f t="shared" si="23"/>
        <v>0</v>
      </c>
      <c r="AY225" s="7"/>
      <c r="AZ225" s="7"/>
      <c r="BA225" s="7"/>
      <c r="BB225" s="7"/>
      <c r="BC225" s="7"/>
      <c r="BD225" s="7"/>
    </row>
    <row r="226" spans="1:56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643"/>
      <c r="AQ226" s="616">
        <f t="shared" si="0"/>
        <v>0</v>
      </c>
      <c r="AR226" s="642">
        <f>AQ227+AQ237</f>
        <v>30</v>
      </c>
      <c r="AS226" s="636"/>
      <c r="AT226" s="636"/>
      <c r="AU226" s="7"/>
      <c r="AV226" s="699"/>
      <c r="AW226" s="7"/>
      <c r="AX226" s="618">
        <f t="shared" si="23"/>
        <v>0</v>
      </c>
      <c r="AY226" s="7"/>
      <c r="AZ226" s="7"/>
      <c r="BA226" s="7"/>
      <c r="BB226" s="7"/>
      <c r="BC226" s="7"/>
      <c r="BD226" s="7"/>
    </row>
    <row r="227" spans="1:56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643"/>
      <c r="AQ227" s="616">
        <f t="shared" si="0"/>
        <v>0</v>
      </c>
      <c r="AR227" s="648"/>
      <c r="AS227" s="648"/>
      <c r="AT227" s="648"/>
      <c r="AU227" s="7"/>
      <c r="AV227" s="699"/>
      <c r="AW227" s="7"/>
      <c r="AX227" s="618">
        <f t="shared" si="23"/>
        <v>0</v>
      </c>
      <c r="AY227" s="7"/>
      <c r="AZ227" s="7"/>
      <c r="BA227" s="7"/>
      <c r="BB227" s="7"/>
      <c r="BC227" s="7"/>
      <c r="BD227" s="7"/>
    </row>
    <row r="228" spans="1:56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  <c r="AN228" s="213"/>
      <c r="AO228" s="213"/>
      <c r="AP228" s="643"/>
      <c r="AQ228" s="616">
        <f t="shared" si="0"/>
        <v>0</v>
      </c>
      <c r="AR228" s="661" t="s">
        <v>1595</v>
      </c>
      <c r="AS228" s="648"/>
      <c r="AT228" s="648"/>
      <c r="AU228" s="7"/>
      <c r="AV228" s="699"/>
      <c r="AW228" s="7"/>
      <c r="AX228" s="618">
        <f t="shared" si="23"/>
        <v>0</v>
      </c>
      <c r="AY228" s="7"/>
      <c r="AZ228" s="7"/>
      <c r="BA228" s="7"/>
      <c r="BB228" s="7"/>
      <c r="BC228" s="7"/>
      <c r="BD228" s="7"/>
    </row>
    <row r="229" spans="1:56" ht="19.5" customHeight="1">
      <c r="A229" s="503"/>
      <c r="B229" s="483" t="s">
        <v>523</v>
      </c>
      <c r="C229" s="629" t="s">
        <v>524</v>
      </c>
      <c r="D229" s="504" t="s">
        <v>2028</v>
      </c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  <c r="AN229" s="213"/>
      <c r="AO229" s="213"/>
      <c r="AP229" s="643"/>
      <c r="AQ229" s="616">
        <f t="shared" si="0"/>
        <v>0</v>
      </c>
      <c r="AR229" s="642">
        <f>AQ229+AQ230+AQ239+AQ240</f>
        <v>0</v>
      </c>
      <c r="AS229" s="648"/>
      <c r="AT229" s="648"/>
      <c r="AU229" s="7"/>
      <c r="AV229" s="699"/>
      <c r="AW229" s="7"/>
      <c r="AX229" s="618">
        <f t="shared" si="23"/>
        <v>0</v>
      </c>
      <c r="AY229" s="7"/>
      <c r="AZ229" s="7"/>
      <c r="BA229" s="7"/>
      <c r="BB229" s="7"/>
      <c r="BC229" s="7"/>
      <c r="BD229" s="7"/>
    </row>
    <row r="230" spans="1:56" ht="20.25" customHeight="1">
      <c r="A230" s="503"/>
      <c r="B230" s="483" t="s">
        <v>526</v>
      </c>
      <c r="C230" s="629" t="s">
        <v>527</v>
      </c>
      <c r="D230" s="504" t="s">
        <v>2029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  <c r="AN230" s="213"/>
      <c r="AO230" s="213"/>
      <c r="AP230" s="643"/>
      <c r="AQ230" s="616">
        <f t="shared" si="0"/>
        <v>0</v>
      </c>
      <c r="AR230" s="633"/>
      <c r="AS230" s="648"/>
      <c r="AT230" s="648"/>
      <c r="AU230" s="7"/>
      <c r="AV230" s="699"/>
      <c r="AW230" s="7"/>
      <c r="AX230" s="618">
        <f t="shared" si="23"/>
        <v>0</v>
      </c>
      <c r="AY230" s="7"/>
      <c r="AZ230" s="7"/>
      <c r="BA230" s="7"/>
      <c r="BB230" s="7"/>
      <c r="BC230" s="7"/>
      <c r="BD230" s="7"/>
    </row>
    <row r="231" spans="1:56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643"/>
      <c r="AQ231" s="616">
        <f t="shared" si="0"/>
        <v>0</v>
      </c>
      <c r="AR231" s="633"/>
      <c r="AS231" s="648"/>
      <c r="AT231" s="648"/>
      <c r="AU231" s="7"/>
      <c r="AV231" s="699"/>
      <c r="AW231" s="7"/>
      <c r="AX231" s="618">
        <f t="shared" si="23"/>
        <v>0</v>
      </c>
      <c r="AY231" s="7"/>
      <c r="AZ231" s="7"/>
      <c r="BA231" s="7"/>
      <c r="BB231" s="7"/>
      <c r="BC231" s="7"/>
      <c r="BD231" s="7"/>
    </row>
    <row r="232" spans="1:56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  <c r="AN232" s="213"/>
      <c r="AO232" s="213"/>
      <c r="AP232" s="643"/>
      <c r="AQ232" s="616">
        <f t="shared" si="0"/>
        <v>0</v>
      </c>
      <c r="AR232" s="633"/>
      <c r="AS232" s="648"/>
      <c r="AT232" s="648"/>
      <c r="AU232" s="7"/>
      <c r="AV232" s="699"/>
      <c r="AW232" s="7"/>
      <c r="AX232" s="618">
        <f t="shared" si="23"/>
        <v>0</v>
      </c>
      <c r="AY232" s="7"/>
      <c r="AZ232" s="7"/>
      <c r="BA232" s="7"/>
      <c r="BB232" s="7"/>
      <c r="BC232" s="7"/>
      <c r="BD232" s="7"/>
    </row>
    <row r="233" spans="1:56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643"/>
      <c r="AQ233" s="616">
        <f t="shared" si="0"/>
        <v>0</v>
      </c>
      <c r="AR233" s="633"/>
      <c r="AS233" s="648"/>
      <c r="AT233" s="648"/>
      <c r="AU233" s="7"/>
      <c r="AV233" s="699"/>
      <c r="AW233" s="7"/>
      <c r="AX233" s="618"/>
      <c r="AY233" s="7"/>
      <c r="AZ233" s="7"/>
      <c r="BA233" s="7"/>
      <c r="BB233" s="7"/>
      <c r="BC233" s="7"/>
      <c r="BD233" s="7"/>
    </row>
    <row r="234" spans="1:56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  <c r="AN234" s="213"/>
      <c r="AO234" s="213"/>
      <c r="AP234" s="643"/>
      <c r="AQ234" s="616">
        <f t="shared" si="0"/>
        <v>0</v>
      </c>
      <c r="AR234" s="633"/>
      <c r="AS234" s="648"/>
      <c r="AT234" s="648"/>
      <c r="AU234" s="7"/>
      <c r="AV234" s="699"/>
      <c r="AW234" s="7"/>
      <c r="AX234" s="618">
        <f t="shared" ref="AX234:AX235" si="24">AV234-AQ234</f>
        <v>0</v>
      </c>
      <c r="AY234" s="7"/>
      <c r="AZ234" s="7"/>
      <c r="BA234" s="7"/>
      <c r="BB234" s="7"/>
      <c r="BC234" s="7"/>
      <c r="BD234" s="7"/>
    </row>
    <row r="235" spans="1:56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  <c r="AN235" s="213"/>
      <c r="AO235" s="213"/>
      <c r="AP235" s="643"/>
      <c r="AQ235" s="616">
        <f t="shared" si="0"/>
        <v>0</v>
      </c>
      <c r="AR235" s="633"/>
      <c r="AS235" s="648"/>
      <c r="AT235" s="648"/>
      <c r="AU235" s="7"/>
      <c r="AV235" s="699"/>
      <c r="AW235" s="7"/>
      <c r="AX235" s="618">
        <f t="shared" si="24"/>
        <v>0</v>
      </c>
      <c r="AY235" s="7"/>
      <c r="AZ235" s="7"/>
      <c r="BA235" s="7"/>
      <c r="BB235" s="7"/>
      <c r="BC235" s="7"/>
      <c r="BD235" s="7"/>
    </row>
    <row r="236" spans="1:56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643"/>
      <c r="AQ236" s="616">
        <f t="shared" si="0"/>
        <v>0</v>
      </c>
      <c r="AR236" s="633"/>
      <c r="AS236" s="636"/>
      <c r="AT236" s="636"/>
      <c r="AU236" s="7"/>
      <c r="AV236" s="699"/>
      <c r="AW236" s="7"/>
      <c r="AX236" s="618"/>
      <c r="AY236" s="7"/>
      <c r="AZ236" s="7"/>
      <c r="BA236" s="7"/>
      <c r="BB236" s="7"/>
      <c r="BC236" s="7"/>
      <c r="BD236" s="7"/>
    </row>
    <row r="237" spans="1:56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>
        <v>30</v>
      </c>
      <c r="AK237" s="213"/>
      <c r="AL237" s="213"/>
      <c r="AM237" s="213"/>
      <c r="AN237" s="213"/>
      <c r="AO237" s="213"/>
      <c r="AP237" s="643"/>
      <c r="AQ237" s="616">
        <f t="shared" si="0"/>
        <v>30</v>
      </c>
      <c r="AR237" s="633"/>
      <c r="AS237" s="648"/>
      <c r="AT237" s="648"/>
      <c r="AU237" s="7"/>
      <c r="AV237" s="699">
        <v>82</v>
      </c>
      <c r="AW237" s="7"/>
      <c r="AX237" s="618"/>
      <c r="AY237" s="7"/>
      <c r="AZ237" s="7"/>
      <c r="BA237" s="7"/>
      <c r="BB237" s="7"/>
      <c r="BC237" s="7"/>
      <c r="BD237" s="7"/>
    </row>
    <row r="238" spans="1:56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643"/>
      <c r="AQ238" s="616">
        <f t="shared" si="0"/>
        <v>0</v>
      </c>
      <c r="AR238" s="633"/>
      <c r="AS238" s="648"/>
      <c r="AT238" s="648"/>
      <c r="AU238" s="7"/>
      <c r="AV238" s="699"/>
      <c r="AW238" s="7"/>
      <c r="AX238" s="618">
        <f t="shared" ref="AX238:AX240" si="25">AV238-AQ238</f>
        <v>0</v>
      </c>
      <c r="AY238" s="7"/>
      <c r="AZ238" s="7"/>
      <c r="BA238" s="7"/>
      <c r="BB238" s="7"/>
      <c r="BC238" s="7"/>
      <c r="BD238" s="7"/>
    </row>
    <row r="239" spans="1:56" ht="20.25" customHeight="1">
      <c r="A239" s="503"/>
      <c r="B239" s="483" t="s">
        <v>551</v>
      </c>
      <c r="C239" s="629" t="s">
        <v>524</v>
      </c>
      <c r="D239" s="504" t="s">
        <v>2030</v>
      </c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  <c r="AN239" s="213"/>
      <c r="AO239" s="213"/>
      <c r="AP239" s="643"/>
      <c r="AQ239" s="616">
        <f t="shared" si="0"/>
        <v>0</v>
      </c>
      <c r="AR239" s="633"/>
      <c r="AS239" s="648"/>
      <c r="AT239" s="648"/>
      <c r="AU239" s="7"/>
      <c r="AV239" s="699"/>
      <c r="AW239" s="7"/>
      <c r="AX239" s="618">
        <f t="shared" si="25"/>
        <v>0</v>
      </c>
      <c r="AY239" s="7"/>
      <c r="AZ239" s="7"/>
      <c r="BA239" s="7"/>
      <c r="BB239" s="7"/>
      <c r="BC239" s="7"/>
      <c r="BD239" s="7"/>
    </row>
    <row r="240" spans="1:56" ht="20.25" customHeight="1">
      <c r="A240" s="503"/>
      <c r="B240" s="483" t="s">
        <v>553</v>
      </c>
      <c r="C240" s="629" t="s">
        <v>527</v>
      </c>
      <c r="D240" s="504" t="s">
        <v>2031</v>
      </c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  <c r="AN240" s="213"/>
      <c r="AO240" s="213"/>
      <c r="AP240" s="643"/>
      <c r="AQ240" s="616">
        <f t="shared" si="0"/>
        <v>0</v>
      </c>
      <c r="AR240" s="633"/>
      <c r="AS240" s="648"/>
      <c r="AT240" s="648"/>
      <c r="AU240" s="7"/>
      <c r="AV240" s="699"/>
      <c r="AW240" s="7"/>
      <c r="AX240" s="618">
        <f t="shared" si="25"/>
        <v>0</v>
      </c>
      <c r="AY240" s="7"/>
      <c r="AZ240" s="7"/>
      <c r="BA240" s="7"/>
      <c r="BB240" s="7"/>
      <c r="BC240" s="7"/>
      <c r="BD240" s="7"/>
    </row>
    <row r="241" spans="1:56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  <c r="AN241" s="213"/>
      <c r="AO241" s="213"/>
      <c r="AP241" s="643"/>
      <c r="AQ241" s="616">
        <f t="shared" si="0"/>
        <v>0</v>
      </c>
      <c r="AR241" s="633"/>
      <c r="AS241" s="648"/>
      <c r="AT241" s="648"/>
      <c r="AU241" s="7"/>
      <c r="AV241" s="699"/>
      <c r="AW241" s="7"/>
      <c r="AX241" s="618"/>
      <c r="AY241" s="7"/>
      <c r="AZ241" s="7"/>
      <c r="BA241" s="7"/>
      <c r="BB241" s="7"/>
      <c r="BC241" s="7"/>
      <c r="BD241" s="7"/>
    </row>
    <row r="242" spans="1:56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  <c r="AN242" s="213"/>
      <c r="AO242" s="213"/>
      <c r="AP242" s="643"/>
      <c r="AQ242" s="616">
        <f t="shared" si="0"/>
        <v>0</v>
      </c>
      <c r="AR242" s="633"/>
      <c r="AS242" s="648"/>
      <c r="AT242" s="648"/>
      <c r="AU242" s="7"/>
      <c r="AV242" s="699"/>
      <c r="AW242" s="7"/>
      <c r="AX242" s="618">
        <f>AV242-AQ242</f>
        <v>0</v>
      </c>
      <c r="AY242" s="7"/>
      <c r="AZ242" s="7"/>
      <c r="BA242" s="7"/>
      <c r="BB242" s="7"/>
      <c r="BC242" s="7"/>
      <c r="BD242" s="7"/>
    </row>
    <row r="243" spans="1:56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  <c r="AN243" s="213"/>
      <c r="AO243" s="213"/>
      <c r="AP243" s="643"/>
      <c r="AQ243" s="616">
        <f t="shared" si="0"/>
        <v>0</v>
      </c>
      <c r="AR243" s="633"/>
      <c r="AS243" s="648"/>
      <c r="AT243" s="648"/>
      <c r="AU243" s="7"/>
      <c r="AV243" s="699"/>
      <c r="AW243" s="7"/>
      <c r="AX243" s="618"/>
      <c r="AY243" s="7"/>
      <c r="AZ243" s="7"/>
      <c r="BA243" s="7"/>
      <c r="BB243" s="7"/>
      <c r="BC243" s="7"/>
      <c r="BD243" s="7"/>
    </row>
    <row r="244" spans="1:56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  <c r="AN244" s="213"/>
      <c r="AO244" s="213"/>
      <c r="AP244" s="643"/>
      <c r="AQ244" s="616">
        <f t="shared" si="0"/>
        <v>0</v>
      </c>
      <c r="AR244" s="633"/>
      <c r="AS244" s="648"/>
      <c r="AT244" s="648"/>
      <c r="AU244" s="7"/>
      <c r="AV244" s="699"/>
      <c r="AW244" s="7"/>
      <c r="AX244" s="618">
        <f t="shared" ref="AX244:AX370" si="26">AV244-AQ244</f>
        <v>0</v>
      </c>
      <c r="AY244" s="7"/>
      <c r="AZ244" s="7"/>
      <c r="BA244" s="7"/>
      <c r="BB244" s="7"/>
      <c r="BC244" s="7"/>
      <c r="BD244" s="7"/>
    </row>
    <row r="245" spans="1:56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  <c r="AN245" s="213"/>
      <c r="AO245" s="213"/>
      <c r="AP245" s="643"/>
      <c r="AQ245" s="616">
        <f t="shared" si="0"/>
        <v>0</v>
      </c>
      <c r="AR245" s="633"/>
      <c r="AS245" s="648"/>
      <c r="AT245" s="648"/>
      <c r="AU245" s="7"/>
      <c r="AV245" s="699"/>
      <c r="AW245" s="7"/>
      <c r="AX245" s="618">
        <f t="shared" si="26"/>
        <v>0</v>
      </c>
      <c r="AY245" s="7"/>
      <c r="AZ245" s="7"/>
      <c r="BA245" s="7"/>
      <c r="BB245" s="7"/>
      <c r="BC245" s="7"/>
      <c r="BD245" s="7"/>
    </row>
    <row r="246" spans="1:56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  <c r="AN246" s="213"/>
      <c r="AO246" s="213"/>
      <c r="AP246" s="643"/>
      <c r="AQ246" s="616">
        <f t="shared" si="0"/>
        <v>0</v>
      </c>
      <c r="AR246" s="633"/>
      <c r="AS246" s="636"/>
      <c r="AT246" s="636"/>
      <c r="AU246" s="7"/>
      <c r="AV246" s="699"/>
      <c r="AW246" s="7"/>
      <c r="AX246" s="618">
        <f t="shared" si="26"/>
        <v>0</v>
      </c>
      <c r="AY246" s="7"/>
      <c r="AZ246" s="7"/>
      <c r="BA246" s="7"/>
      <c r="BB246" s="7"/>
      <c r="BC246" s="7"/>
      <c r="BD246" s="7"/>
    </row>
    <row r="247" spans="1:56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643"/>
      <c r="AQ247" s="616">
        <f t="shared" si="0"/>
        <v>0</v>
      </c>
      <c r="AR247" s="633"/>
      <c r="AS247" s="636"/>
      <c r="AT247" s="636"/>
      <c r="AU247" s="7"/>
      <c r="AV247" s="699"/>
      <c r="AW247" s="7"/>
      <c r="AX247" s="618">
        <f t="shared" si="26"/>
        <v>0</v>
      </c>
      <c r="AY247" s="7"/>
      <c r="AZ247" s="7"/>
      <c r="BA247" s="7"/>
      <c r="BB247" s="7"/>
      <c r="BC247" s="7"/>
      <c r="BD247" s="7"/>
    </row>
    <row r="248" spans="1:56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643"/>
      <c r="AQ248" s="616">
        <f t="shared" si="0"/>
        <v>0</v>
      </c>
      <c r="AR248" s="633"/>
      <c r="AS248" s="636"/>
      <c r="AT248" s="636"/>
      <c r="AU248" s="7"/>
      <c r="AV248" s="699"/>
      <c r="AW248" s="7"/>
      <c r="AX248" s="618">
        <f t="shared" si="26"/>
        <v>0</v>
      </c>
      <c r="AY248" s="7"/>
      <c r="AZ248" s="7"/>
      <c r="BA248" s="7"/>
      <c r="BB248" s="7"/>
      <c r="BC248" s="7"/>
      <c r="BD248" s="7"/>
    </row>
    <row r="249" spans="1:56" ht="20.25" customHeight="1">
      <c r="A249" s="503" t="s">
        <v>1020</v>
      </c>
      <c r="B249" s="483" t="s">
        <v>566</v>
      </c>
      <c r="C249" s="629" t="s">
        <v>567</v>
      </c>
      <c r="D249" s="485" t="s">
        <v>2032</v>
      </c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  <c r="AN249" s="213"/>
      <c r="AO249" s="213"/>
      <c r="AP249" s="643"/>
      <c r="AQ249" s="616">
        <f t="shared" si="0"/>
        <v>0</v>
      </c>
      <c r="AR249" s="633"/>
      <c r="AS249" s="636"/>
      <c r="AT249" s="636"/>
      <c r="AU249" s="7"/>
      <c r="AV249" s="699"/>
      <c r="AW249" s="7"/>
      <c r="AX249" s="618">
        <f t="shared" si="26"/>
        <v>0</v>
      </c>
      <c r="AY249" s="7"/>
      <c r="AZ249" s="7"/>
      <c r="BA249" s="7"/>
      <c r="BB249" s="7"/>
      <c r="BC249" s="7"/>
      <c r="BD249" s="7"/>
    </row>
    <row r="250" spans="1:56" ht="20.25" customHeight="1">
      <c r="A250" s="503" t="s">
        <v>1022</v>
      </c>
      <c r="B250" s="483" t="s">
        <v>569</v>
      </c>
      <c r="C250" s="629" t="s">
        <v>570</v>
      </c>
      <c r="D250" s="485" t="s">
        <v>2033</v>
      </c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  <c r="AN250" s="213"/>
      <c r="AO250" s="213"/>
      <c r="AP250" s="643"/>
      <c r="AQ250" s="616">
        <f t="shared" si="0"/>
        <v>0</v>
      </c>
      <c r="AR250" s="633"/>
      <c r="AS250" s="636"/>
      <c r="AT250" s="636"/>
      <c r="AU250" s="7"/>
      <c r="AV250" s="699"/>
      <c r="AW250" s="7"/>
      <c r="AX250" s="618">
        <f t="shared" si="26"/>
        <v>0</v>
      </c>
      <c r="AY250" s="7"/>
      <c r="AZ250" s="7"/>
      <c r="BA250" s="7"/>
      <c r="BB250" s="7"/>
      <c r="BC250" s="7"/>
      <c r="BD250" s="7"/>
    </row>
    <row r="251" spans="1:56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  <c r="AN251" s="213"/>
      <c r="AO251" s="213"/>
      <c r="AP251" s="643"/>
      <c r="AQ251" s="616">
        <f t="shared" si="0"/>
        <v>0</v>
      </c>
      <c r="AR251" s="633"/>
      <c r="AS251" s="636"/>
      <c r="AT251" s="636"/>
      <c r="AU251" s="7"/>
      <c r="AV251" s="699"/>
      <c r="AW251" s="7"/>
      <c r="AX251" s="618">
        <f t="shared" si="26"/>
        <v>0</v>
      </c>
      <c r="AY251" s="7"/>
      <c r="AZ251" s="7"/>
      <c r="BA251" s="7"/>
      <c r="BB251" s="7"/>
      <c r="BC251" s="7"/>
      <c r="BD251" s="7"/>
    </row>
    <row r="252" spans="1:56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213"/>
      <c r="AP252" s="643"/>
      <c r="AQ252" s="616">
        <f t="shared" si="0"/>
        <v>0</v>
      </c>
      <c r="AR252" s="633"/>
      <c r="AS252" s="636"/>
      <c r="AT252" s="636"/>
      <c r="AU252" s="7"/>
      <c r="AV252" s="699"/>
      <c r="AW252" s="7"/>
      <c r="AX252" s="618">
        <f t="shared" si="26"/>
        <v>0</v>
      </c>
      <c r="AY252" s="7"/>
      <c r="AZ252" s="7"/>
      <c r="BA252" s="7"/>
      <c r="BB252" s="7"/>
      <c r="BC252" s="7"/>
      <c r="BD252" s="7"/>
    </row>
    <row r="253" spans="1:56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  <c r="AN253" s="213"/>
      <c r="AO253" s="213"/>
      <c r="AP253" s="643"/>
      <c r="AQ253" s="616">
        <f t="shared" si="0"/>
        <v>0</v>
      </c>
      <c r="AR253" s="633"/>
      <c r="AS253" s="636"/>
      <c r="AT253" s="636"/>
      <c r="AU253" s="7"/>
      <c r="AV253" s="699"/>
      <c r="AW253" s="7"/>
      <c r="AX253" s="618">
        <f t="shared" si="26"/>
        <v>0</v>
      </c>
      <c r="AY253" s="7"/>
      <c r="AZ253" s="7"/>
      <c r="BA253" s="7"/>
      <c r="BB253" s="7"/>
      <c r="BC253" s="7"/>
      <c r="BD253" s="7"/>
    </row>
    <row r="254" spans="1:56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  <c r="AN254" s="213"/>
      <c r="AO254" s="213"/>
      <c r="AP254" s="643"/>
      <c r="AQ254" s="616">
        <f t="shared" si="0"/>
        <v>0</v>
      </c>
      <c r="AR254" s="633"/>
      <c r="AS254" s="636"/>
      <c r="AT254" s="636"/>
      <c r="AU254" s="7"/>
      <c r="AV254" s="699"/>
      <c r="AW254" s="7"/>
      <c r="AX254" s="618">
        <f t="shared" si="26"/>
        <v>0</v>
      </c>
      <c r="AY254" s="7"/>
      <c r="AZ254" s="7"/>
      <c r="BA254" s="7"/>
      <c r="BB254" s="7"/>
      <c r="BC254" s="7"/>
      <c r="BD254" s="7"/>
    </row>
    <row r="255" spans="1:56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643"/>
      <c r="AQ255" s="616">
        <f t="shared" si="0"/>
        <v>0</v>
      </c>
      <c r="AR255" s="633"/>
      <c r="AS255" s="636"/>
      <c r="AT255" s="636"/>
      <c r="AU255" s="7"/>
      <c r="AV255" s="699"/>
      <c r="AW255" s="7"/>
      <c r="AX255" s="618">
        <f t="shared" si="26"/>
        <v>0</v>
      </c>
      <c r="AY255" s="7"/>
      <c r="AZ255" s="7"/>
      <c r="BA255" s="7"/>
      <c r="BB255" s="7"/>
      <c r="BC255" s="7"/>
      <c r="BD255" s="7"/>
    </row>
    <row r="256" spans="1:56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  <c r="AN256" s="213"/>
      <c r="AO256" s="213"/>
      <c r="AP256" s="643"/>
      <c r="AQ256" s="616">
        <f t="shared" si="0"/>
        <v>0</v>
      </c>
      <c r="AR256" s="633"/>
      <c r="AS256" s="636"/>
      <c r="AT256" s="636"/>
      <c r="AU256" s="7"/>
      <c r="AV256" s="699"/>
      <c r="AW256" s="7"/>
      <c r="AX256" s="618">
        <f t="shared" si="26"/>
        <v>0</v>
      </c>
      <c r="AY256" s="7"/>
      <c r="AZ256" s="7"/>
      <c r="BA256" s="7"/>
      <c r="BB256" s="7"/>
      <c r="BC256" s="7"/>
      <c r="BD256" s="7"/>
    </row>
    <row r="257" spans="1:56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  <c r="AN257" s="213"/>
      <c r="AO257" s="213"/>
      <c r="AP257" s="643"/>
      <c r="AQ257" s="616">
        <f t="shared" si="0"/>
        <v>0</v>
      </c>
      <c r="AR257" s="633"/>
      <c r="AS257" s="648"/>
      <c r="AT257" s="648"/>
      <c r="AU257" s="7"/>
      <c r="AV257" s="699"/>
      <c r="AW257" s="7"/>
      <c r="AX257" s="618">
        <f t="shared" si="26"/>
        <v>0</v>
      </c>
      <c r="AY257" s="7"/>
      <c r="AZ257" s="7"/>
      <c r="BA257" s="7"/>
      <c r="BB257" s="7"/>
      <c r="BC257" s="7"/>
      <c r="BD257" s="7"/>
    </row>
    <row r="258" spans="1:56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  <c r="AN258" s="213"/>
      <c r="AO258" s="213"/>
      <c r="AP258" s="643"/>
      <c r="AQ258" s="616">
        <f t="shared" si="0"/>
        <v>0</v>
      </c>
      <c r="AR258" s="633"/>
      <c r="AS258" s="648"/>
      <c r="AT258" s="648"/>
      <c r="AU258" s="7"/>
      <c r="AV258" s="699"/>
      <c r="AW258" s="7"/>
      <c r="AX258" s="618">
        <f t="shared" si="26"/>
        <v>0</v>
      </c>
      <c r="AY258" s="7"/>
      <c r="AZ258" s="7"/>
      <c r="BA258" s="7"/>
      <c r="BB258" s="7"/>
      <c r="BC258" s="7"/>
      <c r="BD258" s="7"/>
    </row>
    <row r="259" spans="1:56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  <c r="AN259" s="213"/>
      <c r="AO259" s="213"/>
      <c r="AP259" s="643"/>
      <c r="AQ259" s="616">
        <f t="shared" si="0"/>
        <v>0</v>
      </c>
      <c r="AR259" s="633"/>
      <c r="AS259" s="648"/>
      <c r="AT259" s="648"/>
      <c r="AU259" s="7"/>
      <c r="AV259" s="699"/>
      <c r="AW259" s="7"/>
      <c r="AX259" s="618">
        <f t="shared" si="26"/>
        <v>0</v>
      </c>
      <c r="AY259" s="7"/>
      <c r="AZ259" s="7"/>
      <c r="BA259" s="7"/>
      <c r="BB259" s="7"/>
      <c r="BC259" s="7"/>
      <c r="BD259" s="7"/>
    </row>
    <row r="260" spans="1:56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643"/>
      <c r="AQ260" s="616">
        <f t="shared" si="0"/>
        <v>0</v>
      </c>
      <c r="AR260" s="633"/>
      <c r="AS260" s="648"/>
      <c r="AT260" s="648"/>
      <c r="AU260" s="7"/>
      <c r="AV260" s="699"/>
      <c r="AW260" s="7"/>
      <c r="AX260" s="618">
        <f t="shared" si="26"/>
        <v>0</v>
      </c>
      <c r="AY260" s="7"/>
      <c r="AZ260" s="7"/>
      <c r="BA260" s="7"/>
      <c r="BB260" s="7"/>
      <c r="BC260" s="7"/>
      <c r="BD260" s="7"/>
    </row>
    <row r="261" spans="1:56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643"/>
      <c r="AQ261" s="616">
        <f t="shared" si="0"/>
        <v>0</v>
      </c>
      <c r="AR261" s="633"/>
      <c r="AS261" s="648"/>
      <c r="AT261" s="648"/>
      <c r="AU261" s="7"/>
      <c r="AV261" s="699"/>
      <c r="AW261" s="7"/>
      <c r="AX261" s="618">
        <f t="shared" si="26"/>
        <v>0</v>
      </c>
      <c r="AY261" s="7"/>
      <c r="AZ261" s="7"/>
      <c r="BA261" s="7"/>
      <c r="BB261" s="7"/>
      <c r="BC261" s="7"/>
      <c r="BD261" s="7"/>
    </row>
    <row r="262" spans="1:56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  <c r="AN262" s="213"/>
      <c r="AO262" s="213"/>
      <c r="AP262" s="643"/>
      <c r="AQ262" s="616">
        <f t="shared" si="0"/>
        <v>0</v>
      </c>
      <c r="AR262" s="633"/>
      <c r="AS262" s="648"/>
      <c r="AT262" s="648"/>
      <c r="AU262" s="7"/>
      <c r="AV262" s="699"/>
      <c r="AW262" s="7"/>
      <c r="AX262" s="618">
        <f t="shared" si="26"/>
        <v>0</v>
      </c>
      <c r="AY262" s="7"/>
      <c r="AZ262" s="7"/>
      <c r="BA262" s="7"/>
      <c r="BB262" s="7"/>
      <c r="BC262" s="7"/>
      <c r="BD262" s="7"/>
    </row>
    <row r="263" spans="1:56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  <c r="AN263" s="213"/>
      <c r="AO263" s="213"/>
      <c r="AP263" s="643"/>
      <c r="AQ263" s="616">
        <f t="shared" si="0"/>
        <v>0</v>
      </c>
      <c r="AR263" s="633"/>
      <c r="AS263" s="636"/>
      <c r="AT263" s="636"/>
      <c r="AU263" s="7"/>
      <c r="AV263" s="699"/>
      <c r="AW263" s="7"/>
      <c r="AX263" s="618">
        <f t="shared" si="26"/>
        <v>0</v>
      </c>
      <c r="AY263" s="7"/>
      <c r="AZ263" s="7"/>
      <c r="BA263" s="7"/>
      <c r="BB263" s="7"/>
      <c r="BC263" s="7"/>
      <c r="BD263" s="7"/>
    </row>
    <row r="264" spans="1:56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  <c r="AN264" s="213"/>
      <c r="AO264" s="213"/>
      <c r="AP264" s="643"/>
      <c r="AQ264" s="616">
        <f t="shared" si="0"/>
        <v>0</v>
      </c>
      <c r="AR264" s="633"/>
      <c r="AS264" s="648"/>
      <c r="AT264" s="648"/>
      <c r="AU264" s="7"/>
      <c r="AV264" s="699"/>
      <c r="AW264" s="7"/>
      <c r="AX264" s="618">
        <f t="shared" si="26"/>
        <v>0</v>
      </c>
      <c r="AY264" s="7"/>
      <c r="AZ264" s="7"/>
      <c r="BA264" s="7"/>
      <c r="BB264" s="7"/>
      <c r="BC264" s="7"/>
      <c r="BD264" s="7"/>
    </row>
    <row r="265" spans="1:56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643"/>
      <c r="AQ265" s="616">
        <f t="shared" si="0"/>
        <v>0</v>
      </c>
      <c r="AR265" s="633"/>
      <c r="AS265" s="648"/>
      <c r="AT265" s="648"/>
      <c r="AU265" s="7"/>
      <c r="AV265" s="699"/>
      <c r="AW265" s="7"/>
      <c r="AX265" s="618">
        <f t="shared" si="26"/>
        <v>0</v>
      </c>
      <c r="AY265" s="7"/>
      <c r="AZ265" s="7"/>
      <c r="BA265" s="7"/>
      <c r="BB265" s="7"/>
      <c r="BC265" s="7"/>
      <c r="BD265" s="7"/>
    </row>
    <row r="266" spans="1:56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643"/>
      <c r="AQ266" s="616">
        <f t="shared" si="0"/>
        <v>0</v>
      </c>
      <c r="AR266" s="633"/>
      <c r="AS266" s="648"/>
      <c r="AT266" s="648"/>
      <c r="AU266" s="7"/>
      <c r="AV266" s="699"/>
      <c r="AW266" s="7"/>
      <c r="AX266" s="618">
        <f t="shared" si="26"/>
        <v>0</v>
      </c>
      <c r="AY266" s="7"/>
      <c r="AZ266" s="7"/>
      <c r="BA266" s="7"/>
      <c r="BB266" s="7"/>
      <c r="BC266" s="7"/>
      <c r="BD266" s="7"/>
    </row>
    <row r="267" spans="1:56" ht="20.25" customHeight="1">
      <c r="A267" s="503" t="s">
        <v>605</v>
      </c>
      <c r="B267" s="483" t="s">
        <v>606</v>
      </c>
      <c r="C267" s="629" t="s">
        <v>593</v>
      </c>
      <c r="D267" s="485" t="s">
        <v>2034</v>
      </c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  <c r="AN267" s="213"/>
      <c r="AO267" s="213"/>
      <c r="AP267" s="643"/>
      <c r="AQ267" s="616">
        <f t="shared" si="0"/>
        <v>0</v>
      </c>
      <c r="AR267" s="633"/>
      <c r="AS267" s="648"/>
      <c r="AT267" s="648"/>
      <c r="AU267" s="7"/>
      <c r="AV267" s="699"/>
      <c r="AW267" s="7"/>
      <c r="AX267" s="618">
        <f t="shared" si="26"/>
        <v>0</v>
      </c>
      <c r="AY267" s="7"/>
      <c r="AZ267" s="7"/>
      <c r="BA267" s="7"/>
      <c r="BB267" s="7"/>
      <c r="BC267" s="7"/>
      <c r="BD267" s="7"/>
    </row>
    <row r="268" spans="1:56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  <c r="AN268" s="213"/>
      <c r="AO268" s="213"/>
      <c r="AP268" s="643"/>
      <c r="AQ268" s="616">
        <f t="shared" si="0"/>
        <v>0</v>
      </c>
      <c r="AR268" s="633"/>
      <c r="AS268" s="648"/>
      <c r="AT268" s="648"/>
      <c r="AU268" s="7"/>
      <c r="AV268" s="699"/>
      <c r="AW268" s="7"/>
      <c r="AX268" s="618">
        <f t="shared" si="26"/>
        <v>0</v>
      </c>
      <c r="AY268" s="7"/>
      <c r="AZ268" s="7"/>
      <c r="BA268" s="7"/>
      <c r="BB268" s="7"/>
      <c r="BC268" s="7"/>
      <c r="BD268" s="7"/>
    </row>
    <row r="269" spans="1:56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  <c r="AN269" s="213"/>
      <c r="AO269" s="213"/>
      <c r="AP269" s="643"/>
      <c r="AQ269" s="616">
        <f t="shared" si="0"/>
        <v>0</v>
      </c>
      <c r="AR269" s="633"/>
      <c r="AS269" s="636"/>
      <c r="AT269" s="636"/>
      <c r="AU269" s="7"/>
      <c r="AV269" s="699"/>
      <c r="AW269" s="7"/>
      <c r="AX269" s="618">
        <f t="shared" si="26"/>
        <v>0</v>
      </c>
      <c r="AY269" s="7"/>
      <c r="AZ269" s="7"/>
      <c r="BA269" s="7"/>
      <c r="BB269" s="7"/>
      <c r="BC269" s="7"/>
      <c r="BD269" s="7"/>
    </row>
    <row r="270" spans="1:56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  <c r="AN270" s="213"/>
      <c r="AO270" s="213"/>
      <c r="AP270" s="643"/>
      <c r="AQ270" s="616">
        <f t="shared" si="0"/>
        <v>0</v>
      </c>
      <c r="AR270" s="633"/>
      <c r="AS270" s="648"/>
      <c r="AT270" s="648"/>
      <c r="AU270" s="7"/>
      <c r="AV270" s="699"/>
      <c r="AW270" s="7"/>
      <c r="AX270" s="618">
        <f t="shared" si="26"/>
        <v>0</v>
      </c>
      <c r="AY270" s="7"/>
      <c r="AZ270" s="7"/>
      <c r="BA270" s="7"/>
      <c r="BB270" s="7"/>
      <c r="BC270" s="7"/>
      <c r="BD270" s="7"/>
    </row>
    <row r="271" spans="1:56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  <c r="AN271" s="213"/>
      <c r="AO271" s="213"/>
      <c r="AP271" s="643"/>
      <c r="AQ271" s="616">
        <f t="shared" si="0"/>
        <v>0</v>
      </c>
      <c r="AR271" s="633"/>
      <c r="AS271" s="648"/>
      <c r="AT271" s="648"/>
      <c r="AU271" s="7"/>
      <c r="AV271" s="699"/>
      <c r="AW271" s="7"/>
      <c r="AX271" s="618">
        <f t="shared" si="26"/>
        <v>0</v>
      </c>
      <c r="AY271" s="7"/>
      <c r="AZ271" s="7"/>
      <c r="BA271" s="7"/>
      <c r="BB271" s="7"/>
      <c r="BC271" s="7"/>
      <c r="BD271" s="7"/>
    </row>
    <row r="272" spans="1:56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  <c r="AN272" s="213"/>
      <c r="AO272" s="213"/>
      <c r="AP272" s="643"/>
      <c r="AQ272" s="616">
        <f t="shared" si="0"/>
        <v>0</v>
      </c>
      <c r="AR272" s="633"/>
      <c r="AS272" s="648"/>
      <c r="AT272" s="648"/>
      <c r="AU272" s="7"/>
      <c r="AV272" s="699"/>
      <c r="AW272" s="7"/>
      <c r="AX272" s="618">
        <f t="shared" si="26"/>
        <v>0</v>
      </c>
      <c r="AY272" s="7"/>
      <c r="AZ272" s="7"/>
      <c r="BA272" s="7"/>
      <c r="BB272" s="7"/>
      <c r="BC272" s="7"/>
      <c r="BD272" s="7"/>
    </row>
    <row r="273" spans="1:56" ht="20.25" customHeight="1">
      <c r="A273" s="503" t="s">
        <v>620</v>
      </c>
      <c r="B273" s="483" t="s">
        <v>621</v>
      </c>
      <c r="C273" s="629" t="s">
        <v>622</v>
      </c>
      <c r="D273" s="485" t="s">
        <v>2035</v>
      </c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  <c r="AN273" s="213"/>
      <c r="AO273" s="213"/>
      <c r="AP273" s="643"/>
      <c r="AQ273" s="616">
        <f t="shared" si="0"/>
        <v>0</v>
      </c>
      <c r="AR273" s="633"/>
      <c r="AS273" s="648"/>
      <c r="AT273" s="648"/>
      <c r="AU273" s="7"/>
      <c r="AV273" s="699"/>
      <c r="AW273" s="7"/>
      <c r="AX273" s="618">
        <f t="shared" si="26"/>
        <v>0</v>
      </c>
      <c r="AY273" s="7"/>
      <c r="AZ273" s="7"/>
      <c r="BA273" s="7"/>
      <c r="BB273" s="7"/>
      <c r="BC273" s="7"/>
      <c r="BD273" s="7"/>
    </row>
    <row r="274" spans="1:56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  <c r="AN274" s="213"/>
      <c r="AO274" s="213"/>
      <c r="AP274" s="643"/>
      <c r="AQ274" s="616">
        <f t="shared" si="0"/>
        <v>0</v>
      </c>
      <c r="AR274" s="633"/>
      <c r="AS274" s="648"/>
      <c r="AT274" s="648"/>
      <c r="AU274" s="7"/>
      <c r="AV274" s="699"/>
      <c r="AW274" s="7"/>
      <c r="AX274" s="618">
        <f t="shared" si="26"/>
        <v>0</v>
      </c>
      <c r="AY274" s="7"/>
      <c r="AZ274" s="7"/>
      <c r="BA274" s="7"/>
      <c r="BB274" s="7"/>
      <c r="BC274" s="7"/>
      <c r="BD274" s="7"/>
    </row>
    <row r="275" spans="1:56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  <c r="AN275" s="213"/>
      <c r="AO275" s="213"/>
      <c r="AP275" s="643"/>
      <c r="AQ275" s="616">
        <f t="shared" ref="AQ275:AQ447" si="27">+SUM(E275:AP275)</f>
        <v>0</v>
      </c>
      <c r="AR275" s="633"/>
      <c r="AS275" s="636"/>
      <c r="AT275" s="636"/>
      <c r="AU275" s="7"/>
      <c r="AV275" s="699"/>
      <c r="AW275" s="7"/>
      <c r="AX275" s="618">
        <f t="shared" si="26"/>
        <v>0</v>
      </c>
      <c r="AY275" s="7"/>
      <c r="AZ275" s="7"/>
      <c r="BA275" s="7"/>
      <c r="BB275" s="7"/>
      <c r="BC275" s="7"/>
      <c r="BD275" s="7"/>
    </row>
    <row r="276" spans="1:56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  <c r="AN276" s="213"/>
      <c r="AO276" s="213"/>
      <c r="AP276" s="643"/>
      <c r="AQ276" s="616">
        <f t="shared" si="27"/>
        <v>0</v>
      </c>
      <c r="AR276" s="633"/>
      <c r="AS276" s="648"/>
      <c r="AT276" s="648"/>
      <c r="AU276" s="7"/>
      <c r="AV276" s="699"/>
      <c r="AW276" s="7"/>
      <c r="AX276" s="618">
        <f t="shared" si="26"/>
        <v>0</v>
      </c>
      <c r="AY276" s="7"/>
      <c r="AZ276" s="7"/>
      <c r="BA276" s="7"/>
      <c r="BB276" s="7"/>
      <c r="BC276" s="7"/>
      <c r="BD276" s="7"/>
    </row>
    <row r="277" spans="1:56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  <c r="AN277" s="213"/>
      <c r="AO277" s="213"/>
      <c r="AP277" s="643"/>
      <c r="AQ277" s="616">
        <f t="shared" si="27"/>
        <v>0</v>
      </c>
      <c r="AR277" s="633"/>
      <c r="AS277" s="648"/>
      <c r="AT277" s="648"/>
      <c r="AU277" s="7"/>
      <c r="AV277" s="699"/>
      <c r="AW277" s="7"/>
      <c r="AX277" s="618">
        <f t="shared" si="26"/>
        <v>0</v>
      </c>
      <c r="AY277" s="7"/>
      <c r="AZ277" s="7"/>
      <c r="BA277" s="7"/>
      <c r="BB277" s="7"/>
      <c r="BC277" s="7"/>
      <c r="BD277" s="7"/>
    </row>
    <row r="278" spans="1:56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  <c r="AN278" s="213"/>
      <c r="AO278" s="213"/>
      <c r="AP278" s="643"/>
      <c r="AQ278" s="616">
        <f t="shared" si="27"/>
        <v>0</v>
      </c>
      <c r="AR278" s="633"/>
      <c r="AS278" s="648"/>
      <c r="AT278" s="648"/>
      <c r="AU278" s="7"/>
      <c r="AV278" s="699"/>
      <c r="AW278" s="7"/>
      <c r="AX278" s="618">
        <f t="shared" si="26"/>
        <v>0</v>
      </c>
      <c r="AY278" s="7"/>
      <c r="AZ278" s="7"/>
      <c r="BA278" s="7"/>
      <c r="BB278" s="7"/>
      <c r="BC278" s="7"/>
      <c r="BD278" s="7"/>
    </row>
    <row r="279" spans="1:56" ht="20.25" customHeight="1">
      <c r="A279" s="503" t="s">
        <v>636</v>
      </c>
      <c r="B279" s="483" t="s">
        <v>637</v>
      </c>
      <c r="C279" s="629" t="s">
        <v>638</v>
      </c>
      <c r="D279" s="485" t="s">
        <v>2036</v>
      </c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  <c r="AN279" s="213"/>
      <c r="AO279" s="213"/>
      <c r="AP279" s="643"/>
      <c r="AQ279" s="616">
        <f t="shared" si="27"/>
        <v>0</v>
      </c>
      <c r="AR279" s="633"/>
      <c r="AS279" s="648"/>
      <c r="AT279" s="648"/>
      <c r="AU279" s="7"/>
      <c r="AV279" s="699"/>
      <c r="AW279" s="7"/>
      <c r="AX279" s="618">
        <f t="shared" si="26"/>
        <v>0</v>
      </c>
      <c r="AY279" s="7"/>
      <c r="AZ279" s="7"/>
      <c r="BA279" s="7"/>
      <c r="BB279" s="7"/>
      <c r="BC279" s="7"/>
      <c r="BD279" s="7"/>
    </row>
    <row r="280" spans="1:56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  <c r="AN280" s="213"/>
      <c r="AO280" s="213"/>
      <c r="AP280" s="643"/>
      <c r="AQ280" s="616">
        <f t="shared" si="27"/>
        <v>0</v>
      </c>
      <c r="AR280" s="633"/>
      <c r="AS280" s="648"/>
      <c r="AT280" s="648"/>
      <c r="AU280" s="7"/>
      <c r="AV280" s="699"/>
      <c r="AW280" s="7"/>
      <c r="AX280" s="618">
        <f t="shared" si="26"/>
        <v>0</v>
      </c>
      <c r="AY280" s="7"/>
      <c r="AZ280" s="7"/>
      <c r="BA280" s="7"/>
      <c r="BB280" s="7"/>
      <c r="BC280" s="7"/>
      <c r="BD280" s="7"/>
    </row>
    <row r="281" spans="1:56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  <c r="AN281" s="213"/>
      <c r="AO281" s="213"/>
      <c r="AP281" s="643"/>
      <c r="AQ281" s="616">
        <f t="shared" si="27"/>
        <v>0</v>
      </c>
      <c r="AR281" s="633"/>
      <c r="AS281" s="648"/>
      <c r="AT281" s="648"/>
      <c r="AU281" s="7"/>
      <c r="AV281" s="699"/>
      <c r="AW281" s="7"/>
      <c r="AX281" s="618">
        <f t="shared" si="26"/>
        <v>0</v>
      </c>
      <c r="AY281" s="7"/>
      <c r="AZ281" s="7"/>
      <c r="BA281" s="7"/>
      <c r="BB281" s="7"/>
      <c r="BC281" s="7"/>
      <c r="BD281" s="7"/>
    </row>
    <row r="282" spans="1:56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  <c r="AN282" s="213"/>
      <c r="AO282" s="213"/>
      <c r="AP282" s="643"/>
      <c r="AQ282" s="616">
        <f t="shared" si="27"/>
        <v>0</v>
      </c>
      <c r="AR282" s="633"/>
      <c r="AS282" s="640"/>
      <c r="AT282" s="640"/>
      <c r="AU282" s="7"/>
      <c r="AV282" s="699"/>
      <c r="AW282" s="7"/>
      <c r="AX282" s="618">
        <f t="shared" si="26"/>
        <v>0</v>
      </c>
      <c r="AY282" s="7"/>
      <c r="AZ282" s="7"/>
      <c r="BA282" s="7"/>
      <c r="BB282" s="7"/>
      <c r="BC282" s="7"/>
      <c r="BD282" s="7"/>
    </row>
    <row r="283" spans="1:56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3"/>
      <c r="AM283" s="213"/>
      <c r="AN283" s="213"/>
      <c r="AO283" s="213"/>
      <c r="AP283" s="643"/>
      <c r="AQ283" s="616">
        <f t="shared" si="27"/>
        <v>0</v>
      </c>
      <c r="AR283" s="633"/>
      <c r="AS283" s="636"/>
      <c r="AT283" s="636"/>
      <c r="AU283" s="7"/>
      <c r="AV283" s="699"/>
      <c r="AW283" s="7"/>
      <c r="AX283" s="618">
        <f t="shared" si="26"/>
        <v>0</v>
      </c>
      <c r="AY283" s="7"/>
      <c r="AZ283" s="7"/>
      <c r="BA283" s="7"/>
      <c r="BB283" s="7"/>
      <c r="BC283" s="7"/>
      <c r="BD283" s="7"/>
    </row>
    <row r="284" spans="1:56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  <c r="AN284" s="213"/>
      <c r="AO284" s="213"/>
      <c r="AP284" s="643"/>
      <c r="AQ284" s="616">
        <f t="shared" si="27"/>
        <v>0</v>
      </c>
      <c r="AR284" s="633"/>
      <c r="AS284" s="654"/>
      <c r="AT284" s="654"/>
      <c r="AU284" s="7"/>
      <c r="AV284" s="699"/>
      <c r="AW284" s="7"/>
      <c r="AX284" s="618">
        <f t="shared" si="26"/>
        <v>0</v>
      </c>
      <c r="AY284" s="7"/>
      <c r="AZ284" s="7"/>
      <c r="BA284" s="7"/>
      <c r="BB284" s="7"/>
      <c r="BC284" s="7"/>
      <c r="BD284" s="7"/>
    </row>
    <row r="285" spans="1:56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3"/>
      <c r="AM285" s="213"/>
      <c r="AN285" s="213"/>
      <c r="AO285" s="213"/>
      <c r="AP285" s="643"/>
      <c r="AQ285" s="616">
        <f t="shared" si="27"/>
        <v>0</v>
      </c>
      <c r="AR285" s="633"/>
      <c r="AS285" s="654"/>
      <c r="AT285" s="654"/>
      <c r="AU285" s="7"/>
      <c r="AV285" s="699"/>
      <c r="AW285" s="7"/>
      <c r="AX285" s="618">
        <f t="shared" si="26"/>
        <v>0</v>
      </c>
      <c r="AY285" s="7"/>
      <c r="AZ285" s="7"/>
      <c r="BA285" s="7"/>
      <c r="BB285" s="7"/>
      <c r="BC285" s="7"/>
      <c r="BD285" s="7"/>
    </row>
    <row r="286" spans="1:56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3"/>
      <c r="AM286" s="213"/>
      <c r="AN286" s="213"/>
      <c r="AO286" s="213"/>
      <c r="AP286" s="643"/>
      <c r="AQ286" s="616">
        <f t="shared" si="27"/>
        <v>0</v>
      </c>
      <c r="AR286" s="633"/>
      <c r="AS286" s="654"/>
      <c r="AT286" s="654"/>
      <c r="AU286" s="7"/>
      <c r="AV286" s="699"/>
      <c r="AW286" s="7"/>
      <c r="AX286" s="618">
        <f t="shared" si="26"/>
        <v>0</v>
      </c>
      <c r="AY286" s="7"/>
      <c r="AZ286" s="7"/>
      <c r="BA286" s="7"/>
      <c r="BB286" s="7"/>
      <c r="BC286" s="7"/>
      <c r="BD286" s="7"/>
    </row>
    <row r="287" spans="1:56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3"/>
      <c r="AM287" s="213"/>
      <c r="AN287" s="213"/>
      <c r="AO287" s="213"/>
      <c r="AP287" s="643"/>
      <c r="AQ287" s="616">
        <f t="shared" si="27"/>
        <v>0</v>
      </c>
      <c r="AR287" s="633"/>
      <c r="AS287" s="654"/>
      <c r="AT287" s="654"/>
      <c r="AU287" s="7"/>
      <c r="AV287" s="699"/>
      <c r="AW287" s="7"/>
      <c r="AX287" s="618">
        <f t="shared" si="26"/>
        <v>0</v>
      </c>
      <c r="AY287" s="7"/>
      <c r="AZ287" s="7"/>
      <c r="BA287" s="7"/>
      <c r="BB287" s="7"/>
      <c r="BC287" s="7"/>
      <c r="BD287" s="7"/>
    </row>
    <row r="288" spans="1:56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3"/>
      <c r="AM288" s="213"/>
      <c r="AN288" s="213"/>
      <c r="AO288" s="213"/>
      <c r="AP288" s="643"/>
      <c r="AQ288" s="616">
        <f t="shared" si="27"/>
        <v>0</v>
      </c>
      <c r="AR288" s="633"/>
      <c r="AS288" s="654"/>
      <c r="AT288" s="654"/>
      <c r="AU288" s="7"/>
      <c r="AV288" s="699"/>
      <c r="AW288" s="7"/>
      <c r="AX288" s="618">
        <f t="shared" si="26"/>
        <v>0</v>
      </c>
      <c r="AY288" s="7"/>
      <c r="AZ288" s="7"/>
      <c r="BA288" s="7"/>
      <c r="BB288" s="7"/>
      <c r="BC288" s="7"/>
      <c r="BD288" s="7"/>
    </row>
    <row r="289" spans="1:56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3"/>
      <c r="AM289" s="213"/>
      <c r="AN289" s="213"/>
      <c r="AO289" s="213"/>
      <c r="AP289" s="643"/>
      <c r="AQ289" s="616">
        <f t="shared" si="27"/>
        <v>0</v>
      </c>
      <c r="AR289" s="633"/>
      <c r="AS289" s="654"/>
      <c r="AT289" s="654"/>
      <c r="AU289" s="7"/>
      <c r="AV289" s="699"/>
      <c r="AW289" s="7"/>
      <c r="AX289" s="618">
        <f t="shared" si="26"/>
        <v>0</v>
      </c>
      <c r="AY289" s="7"/>
      <c r="AZ289" s="7"/>
      <c r="BA289" s="7"/>
      <c r="BB289" s="7"/>
      <c r="BC289" s="7"/>
      <c r="BD289" s="7"/>
    </row>
    <row r="290" spans="1:56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643"/>
      <c r="AQ290" s="616">
        <f t="shared" si="27"/>
        <v>0</v>
      </c>
      <c r="AR290" s="633"/>
      <c r="AS290" s="648"/>
      <c r="AT290" s="648"/>
      <c r="AU290" s="7"/>
      <c r="AV290" s="699"/>
      <c r="AW290" s="7"/>
      <c r="AX290" s="618">
        <f t="shared" si="26"/>
        <v>0</v>
      </c>
      <c r="AY290" s="7"/>
      <c r="AZ290" s="7"/>
      <c r="BA290" s="7"/>
      <c r="BB290" s="7"/>
      <c r="BC290" s="7"/>
      <c r="BD290" s="7"/>
    </row>
    <row r="291" spans="1:56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3"/>
      <c r="AM291" s="213"/>
      <c r="AN291" s="213"/>
      <c r="AO291" s="213"/>
      <c r="AP291" s="643"/>
      <c r="AQ291" s="616">
        <f t="shared" si="27"/>
        <v>0</v>
      </c>
      <c r="AR291" s="633"/>
      <c r="AS291" s="648"/>
      <c r="AT291" s="648"/>
      <c r="AU291" s="7"/>
      <c r="AV291" s="699"/>
      <c r="AW291" s="7"/>
      <c r="AX291" s="618">
        <f t="shared" si="26"/>
        <v>0</v>
      </c>
      <c r="AY291" s="7"/>
      <c r="AZ291" s="7"/>
      <c r="BA291" s="7"/>
      <c r="BB291" s="7"/>
      <c r="BC291" s="7"/>
      <c r="BD291" s="7"/>
    </row>
    <row r="292" spans="1:56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M292" s="213"/>
      <c r="AN292" s="213"/>
      <c r="AO292" s="213"/>
      <c r="AP292" s="643"/>
      <c r="AQ292" s="616">
        <f t="shared" si="27"/>
        <v>0</v>
      </c>
      <c r="AR292" s="633"/>
      <c r="AS292" s="648"/>
      <c r="AT292" s="648"/>
      <c r="AU292" s="7"/>
      <c r="AV292" s="699"/>
      <c r="AW292" s="7"/>
      <c r="AX292" s="618">
        <f t="shared" si="26"/>
        <v>0</v>
      </c>
      <c r="AY292" s="7"/>
      <c r="AZ292" s="7"/>
      <c r="BA292" s="7"/>
      <c r="BB292" s="7"/>
      <c r="BC292" s="7"/>
      <c r="BD292" s="7"/>
    </row>
    <row r="293" spans="1:56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3"/>
      <c r="AM293" s="213"/>
      <c r="AN293" s="213"/>
      <c r="AO293" s="213"/>
      <c r="AP293" s="643"/>
      <c r="AQ293" s="616">
        <f t="shared" si="27"/>
        <v>0</v>
      </c>
      <c r="AR293" s="633"/>
      <c r="AS293" s="648"/>
      <c r="AT293" s="648"/>
      <c r="AU293" s="7"/>
      <c r="AV293" s="699"/>
      <c r="AW293" s="7"/>
      <c r="AX293" s="618">
        <f t="shared" si="26"/>
        <v>0</v>
      </c>
      <c r="AY293" s="7"/>
      <c r="AZ293" s="7"/>
      <c r="BA293" s="7"/>
      <c r="BB293" s="7"/>
      <c r="BC293" s="7"/>
      <c r="BD293" s="7"/>
    </row>
    <row r="294" spans="1:56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643"/>
      <c r="AQ294" s="616">
        <f t="shared" si="27"/>
        <v>0</v>
      </c>
      <c r="AR294" s="633"/>
      <c r="AS294" s="654"/>
      <c r="AT294" s="654"/>
      <c r="AU294" s="7"/>
      <c r="AV294" s="699"/>
      <c r="AW294" s="7"/>
      <c r="AX294" s="618">
        <f t="shared" si="26"/>
        <v>0</v>
      </c>
      <c r="AY294" s="7"/>
      <c r="AZ294" s="7"/>
      <c r="BA294" s="7"/>
      <c r="BB294" s="7"/>
      <c r="BC294" s="7"/>
      <c r="BD294" s="7"/>
    </row>
    <row r="295" spans="1:56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  <c r="AN295" s="213"/>
      <c r="AO295" s="213"/>
      <c r="AP295" s="643"/>
      <c r="AQ295" s="616">
        <f t="shared" si="27"/>
        <v>0</v>
      </c>
      <c r="AR295" s="633"/>
      <c r="AS295" s="648"/>
      <c r="AT295" s="648"/>
      <c r="AU295" s="7"/>
      <c r="AV295" s="699"/>
      <c r="AW295" s="7"/>
      <c r="AX295" s="618">
        <f t="shared" si="26"/>
        <v>0</v>
      </c>
      <c r="AY295" s="7"/>
      <c r="AZ295" s="7"/>
      <c r="BA295" s="7"/>
      <c r="BB295" s="7"/>
      <c r="BC295" s="7"/>
      <c r="BD295" s="7"/>
    </row>
    <row r="296" spans="1:56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3"/>
      <c r="AM296" s="213"/>
      <c r="AN296" s="213"/>
      <c r="AO296" s="213"/>
      <c r="AP296" s="643"/>
      <c r="AQ296" s="616">
        <f t="shared" si="27"/>
        <v>0</v>
      </c>
      <c r="AR296" s="633"/>
      <c r="AS296" s="648"/>
      <c r="AT296" s="648"/>
      <c r="AU296" s="7"/>
      <c r="AV296" s="699"/>
      <c r="AW296" s="7"/>
      <c r="AX296" s="618">
        <f t="shared" si="26"/>
        <v>0</v>
      </c>
      <c r="AY296" s="7"/>
      <c r="AZ296" s="7"/>
      <c r="BA296" s="7"/>
      <c r="BB296" s="7"/>
      <c r="BC296" s="7"/>
      <c r="BD296" s="7"/>
    </row>
    <row r="297" spans="1:56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3"/>
      <c r="AM297" s="213"/>
      <c r="AN297" s="213"/>
      <c r="AO297" s="213"/>
      <c r="AP297" s="643"/>
      <c r="AQ297" s="616">
        <f t="shared" si="27"/>
        <v>0</v>
      </c>
      <c r="AR297" s="633"/>
      <c r="AS297" s="648"/>
      <c r="AT297" s="648"/>
      <c r="AU297" s="7"/>
      <c r="AV297" s="699"/>
      <c r="AW297" s="7"/>
      <c r="AX297" s="618">
        <f t="shared" si="26"/>
        <v>0</v>
      </c>
      <c r="AY297" s="7"/>
      <c r="AZ297" s="7"/>
      <c r="BA297" s="7"/>
      <c r="BB297" s="7"/>
      <c r="BC297" s="7"/>
      <c r="BD297" s="7"/>
    </row>
    <row r="298" spans="1:56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3"/>
      <c r="AM298" s="213"/>
      <c r="AN298" s="213"/>
      <c r="AO298" s="213"/>
      <c r="AP298" s="643"/>
      <c r="AQ298" s="616">
        <f t="shared" si="27"/>
        <v>0</v>
      </c>
      <c r="AR298" s="633"/>
      <c r="AS298" s="648"/>
      <c r="AT298" s="648"/>
      <c r="AU298" s="7"/>
      <c r="AV298" s="699"/>
      <c r="AW298" s="7"/>
      <c r="AX298" s="618">
        <f t="shared" si="26"/>
        <v>0</v>
      </c>
      <c r="AY298" s="7"/>
      <c r="AZ298" s="7"/>
      <c r="BA298" s="7"/>
      <c r="BB298" s="7"/>
      <c r="BC298" s="7"/>
      <c r="BD298" s="7"/>
    </row>
    <row r="299" spans="1:56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3"/>
      <c r="AM299" s="213"/>
      <c r="AN299" s="213"/>
      <c r="AO299" s="213"/>
      <c r="AP299" s="643"/>
      <c r="AQ299" s="616">
        <f t="shared" si="27"/>
        <v>0</v>
      </c>
      <c r="AR299" s="633"/>
      <c r="AS299" s="636"/>
      <c r="AT299" s="636"/>
      <c r="AU299" s="7"/>
      <c r="AV299" s="699"/>
      <c r="AW299" s="7"/>
      <c r="AX299" s="618">
        <f t="shared" si="26"/>
        <v>0</v>
      </c>
      <c r="AY299" s="7"/>
      <c r="AZ299" s="7"/>
      <c r="BA299" s="7"/>
      <c r="BB299" s="7"/>
      <c r="BC299" s="7"/>
      <c r="BD299" s="7"/>
    </row>
    <row r="300" spans="1:56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3"/>
      <c r="AM300" s="213"/>
      <c r="AN300" s="213"/>
      <c r="AO300" s="213"/>
      <c r="AP300" s="643"/>
      <c r="AQ300" s="616">
        <f t="shared" si="27"/>
        <v>0</v>
      </c>
      <c r="AR300" s="633"/>
      <c r="AS300" s="636"/>
      <c r="AT300" s="636"/>
      <c r="AU300" s="7"/>
      <c r="AV300" s="699"/>
      <c r="AW300" s="7"/>
      <c r="AX300" s="618">
        <f t="shared" si="26"/>
        <v>0</v>
      </c>
      <c r="AY300" s="7"/>
      <c r="AZ300" s="7"/>
      <c r="BA300" s="7"/>
      <c r="BB300" s="7"/>
      <c r="BC300" s="7"/>
      <c r="BD300" s="7"/>
    </row>
    <row r="301" spans="1:56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3"/>
      <c r="AM301" s="213"/>
      <c r="AN301" s="213"/>
      <c r="AO301" s="213"/>
      <c r="AP301" s="643"/>
      <c r="AQ301" s="616">
        <f t="shared" si="27"/>
        <v>0</v>
      </c>
      <c r="AR301" s="633"/>
      <c r="AS301" s="648"/>
      <c r="AT301" s="648"/>
      <c r="AU301" s="7"/>
      <c r="AV301" s="699"/>
      <c r="AW301" s="7"/>
      <c r="AX301" s="618">
        <f t="shared" si="26"/>
        <v>0</v>
      </c>
      <c r="AY301" s="7"/>
      <c r="AZ301" s="7"/>
      <c r="BA301" s="7"/>
      <c r="BB301" s="7"/>
      <c r="BC301" s="7"/>
      <c r="BD301" s="7"/>
    </row>
    <row r="302" spans="1:56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  <c r="AN302" s="213"/>
      <c r="AO302" s="213"/>
      <c r="AP302" s="643"/>
      <c r="AQ302" s="616">
        <f t="shared" si="27"/>
        <v>0</v>
      </c>
      <c r="AR302" s="633"/>
      <c r="AS302" s="648"/>
      <c r="AT302" s="648"/>
      <c r="AU302" s="7"/>
      <c r="AV302" s="699"/>
      <c r="AW302" s="7"/>
      <c r="AX302" s="618">
        <f t="shared" si="26"/>
        <v>0</v>
      </c>
      <c r="AY302" s="7"/>
      <c r="AZ302" s="7"/>
      <c r="BA302" s="7"/>
      <c r="BB302" s="7"/>
      <c r="BC302" s="7"/>
      <c r="BD302" s="7"/>
    </row>
    <row r="303" spans="1:56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3"/>
      <c r="AM303" s="213"/>
      <c r="AN303" s="213"/>
      <c r="AO303" s="213"/>
      <c r="AP303" s="643"/>
      <c r="AQ303" s="616">
        <f t="shared" si="27"/>
        <v>0</v>
      </c>
      <c r="AR303" s="633"/>
      <c r="AS303" s="648"/>
      <c r="AT303" s="648"/>
      <c r="AU303" s="7"/>
      <c r="AV303" s="699"/>
      <c r="AW303" s="7"/>
      <c r="AX303" s="618">
        <f t="shared" si="26"/>
        <v>0</v>
      </c>
      <c r="AY303" s="7"/>
      <c r="AZ303" s="7"/>
      <c r="BA303" s="7"/>
      <c r="BB303" s="7"/>
      <c r="BC303" s="7"/>
      <c r="BD303" s="7"/>
    </row>
    <row r="304" spans="1:56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3"/>
      <c r="AM304" s="213"/>
      <c r="AN304" s="213"/>
      <c r="AO304" s="213"/>
      <c r="AP304" s="643"/>
      <c r="AQ304" s="616">
        <f t="shared" si="27"/>
        <v>0</v>
      </c>
      <c r="AR304" s="633"/>
      <c r="AS304" s="648"/>
      <c r="AT304" s="648"/>
      <c r="AU304" s="7"/>
      <c r="AV304" s="699"/>
      <c r="AW304" s="7"/>
      <c r="AX304" s="618">
        <f t="shared" si="26"/>
        <v>0</v>
      </c>
      <c r="AY304" s="7"/>
      <c r="AZ304" s="7"/>
      <c r="BA304" s="7"/>
      <c r="BB304" s="7"/>
      <c r="BC304" s="7"/>
      <c r="BD304" s="7"/>
    </row>
    <row r="305" spans="1:56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M305" s="213"/>
      <c r="AN305" s="213"/>
      <c r="AO305" s="213"/>
      <c r="AP305" s="643"/>
      <c r="AQ305" s="616">
        <f t="shared" si="27"/>
        <v>0</v>
      </c>
      <c r="AR305" s="633"/>
      <c r="AS305" s="636"/>
      <c r="AT305" s="636"/>
      <c r="AU305" s="7"/>
      <c r="AV305" s="699"/>
      <c r="AW305" s="7"/>
      <c r="AX305" s="618">
        <f t="shared" si="26"/>
        <v>0</v>
      </c>
      <c r="AY305" s="7"/>
      <c r="AZ305" s="7"/>
      <c r="BA305" s="7"/>
      <c r="BB305" s="7"/>
      <c r="BC305" s="7"/>
      <c r="BD305" s="7"/>
    </row>
    <row r="306" spans="1:56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M306" s="213"/>
      <c r="AN306" s="213"/>
      <c r="AO306" s="213"/>
      <c r="AP306" s="643"/>
      <c r="AQ306" s="616">
        <f t="shared" si="27"/>
        <v>0</v>
      </c>
      <c r="AR306" s="633"/>
      <c r="AS306" s="648"/>
      <c r="AT306" s="648"/>
      <c r="AU306" s="7"/>
      <c r="AV306" s="699"/>
      <c r="AW306" s="7"/>
      <c r="AX306" s="618">
        <f t="shared" si="26"/>
        <v>0</v>
      </c>
      <c r="AY306" s="7"/>
      <c r="AZ306" s="7"/>
      <c r="BA306" s="7"/>
      <c r="BB306" s="7"/>
      <c r="BC306" s="7"/>
      <c r="BD306" s="7"/>
    </row>
    <row r="307" spans="1:56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3"/>
      <c r="AM307" s="213"/>
      <c r="AN307" s="213"/>
      <c r="AO307" s="213"/>
      <c r="AP307" s="643"/>
      <c r="AQ307" s="616">
        <f t="shared" si="27"/>
        <v>0</v>
      </c>
      <c r="AR307" s="633"/>
      <c r="AS307" s="648"/>
      <c r="AT307" s="648"/>
      <c r="AU307" s="7"/>
      <c r="AV307" s="699"/>
      <c r="AW307" s="7"/>
      <c r="AX307" s="618">
        <f t="shared" si="26"/>
        <v>0</v>
      </c>
      <c r="AY307" s="7"/>
      <c r="AZ307" s="7"/>
      <c r="BA307" s="7"/>
      <c r="BB307" s="7"/>
      <c r="BC307" s="7"/>
      <c r="BD307" s="7"/>
    </row>
    <row r="308" spans="1:56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643"/>
      <c r="AQ308" s="616">
        <f t="shared" si="27"/>
        <v>0</v>
      </c>
      <c r="AR308" s="633"/>
      <c r="AS308" s="648"/>
      <c r="AT308" s="648"/>
      <c r="AU308" s="7"/>
      <c r="AV308" s="699"/>
      <c r="AW308" s="7"/>
      <c r="AX308" s="618">
        <f t="shared" si="26"/>
        <v>0</v>
      </c>
      <c r="AY308" s="7"/>
      <c r="AZ308" s="7"/>
      <c r="BA308" s="7"/>
      <c r="BB308" s="7"/>
      <c r="BC308" s="7"/>
      <c r="BD308" s="7"/>
    </row>
    <row r="309" spans="1:56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3"/>
      <c r="AM309" s="213"/>
      <c r="AN309" s="213"/>
      <c r="AO309" s="213"/>
      <c r="AP309" s="643"/>
      <c r="AQ309" s="616">
        <f t="shared" si="27"/>
        <v>0</v>
      </c>
      <c r="AR309" s="633"/>
      <c r="AS309" s="648"/>
      <c r="AT309" s="648"/>
      <c r="AU309" s="7"/>
      <c r="AV309" s="699"/>
      <c r="AW309" s="7"/>
      <c r="AX309" s="618">
        <f t="shared" si="26"/>
        <v>0</v>
      </c>
      <c r="AY309" s="7"/>
      <c r="AZ309" s="7"/>
      <c r="BA309" s="7"/>
      <c r="BB309" s="7"/>
      <c r="BC309" s="7"/>
      <c r="BD309" s="7"/>
    </row>
    <row r="310" spans="1:56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643"/>
      <c r="AQ310" s="616">
        <f t="shared" si="27"/>
        <v>0</v>
      </c>
      <c r="AR310" s="633"/>
      <c r="AS310" s="636"/>
      <c r="AT310" s="636"/>
      <c r="AU310" s="7"/>
      <c r="AV310" s="699"/>
      <c r="AW310" s="7"/>
      <c r="AX310" s="618">
        <f t="shared" si="26"/>
        <v>0</v>
      </c>
      <c r="AY310" s="7"/>
      <c r="AZ310" s="7"/>
      <c r="BA310" s="7"/>
      <c r="BB310" s="7"/>
      <c r="BC310" s="7"/>
      <c r="BD310" s="7"/>
    </row>
    <row r="311" spans="1:56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643"/>
      <c r="AQ311" s="616">
        <f t="shared" si="27"/>
        <v>0</v>
      </c>
      <c r="AR311" s="633"/>
      <c r="AS311" s="648"/>
      <c r="AT311" s="648"/>
      <c r="AU311" s="7"/>
      <c r="AV311" s="699"/>
      <c r="AW311" s="7"/>
      <c r="AX311" s="618">
        <f t="shared" si="26"/>
        <v>0</v>
      </c>
      <c r="AY311" s="7"/>
      <c r="AZ311" s="7"/>
      <c r="BA311" s="7"/>
      <c r="BB311" s="7"/>
      <c r="BC311" s="7"/>
      <c r="BD311" s="7"/>
    </row>
    <row r="312" spans="1:56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3"/>
      <c r="AM312" s="213"/>
      <c r="AN312" s="213"/>
      <c r="AO312" s="213"/>
      <c r="AP312" s="643"/>
      <c r="AQ312" s="616">
        <f t="shared" si="27"/>
        <v>0</v>
      </c>
      <c r="AR312" s="633"/>
      <c r="AS312" s="648"/>
      <c r="AT312" s="648"/>
      <c r="AU312" s="7"/>
      <c r="AV312" s="699"/>
      <c r="AW312" s="7"/>
      <c r="AX312" s="618">
        <f t="shared" si="26"/>
        <v>0</v>
      </c>
      <c r="AY312" s="7"/>
      <c r="AZ312" s="7"/>
      <c r="BA312" s="7"/>
      <c r="BB312" s="7"/>
      <c r="BC312" s="7"/>
      <c r="BD312" s="7"/>
    </row>
    <row r="313" spans="1:56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  <c r="AN313" s="213"/>
      <c r="AO313" s="213"/>
      <c r="AP313" s="643"/>
      <c r="AQ313" s="616">
        <f t="shared" si="27"/>
        <v>0</v>
      </c>
      <c r="AR313" s="633"/>
      <c r="AS313" s="648"/>
      <c r="AT313" s="648"/>
      <c r="AU313" s="7"/>
      <c r="AV313" s="699"/>
      <c r="AW313" s="7"/>
      <c r="AX313" s="618">
        <f t="shared" si="26"/>
        <v>0</v>
      </c>
      <c r="AY313" s="7"/>
      <c r="AZ313" s="7"/>
      <c r="BA313" s="7"/>
      <c r="BB313" s="7"/>
      <c r="BC313" s="7"/>
      <c r="BD313" s="7"/>
    </row>
    <row r="314" spans="1:56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3"/>
      <c r="AM314" s="213"/>
      <c r="AN314" s="213"/>
      <c r="AO314" s="213"/>
      <c r="AP314" s="643"/>
      <c r="AQ314" s="616">
        <f t="shared" si="27"/>
        <v>0</v>
      </c>
      <c r="AR314" s="633"/>
      <c r="AS314" s="648"/>
      <c r="AT314" s="648"/>
      <c r="AU314" s="7"/>
      <c r="AV314" s="699"/>
      <c r="AW314" s="7"/>
      <c r="AX314" s="618">
        <f t="shared" si="26"/>
        <v>0</v>
      </c>
      <c r="AY314" s="7"/>
      <c r="AZ314" s="7"/>
      <c r="BA314" s="7"/>
      <c r="BB314" s="7"/>
      <c r="BC314" s="7"/>
      <c r="BD314" s="7"/>
    </row>
    <row r="315" spans="1:56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643"/>
      <c r="AQ315" s="616">
        <f t="shared" si="27"/>
        <v>0</v>
      </c>
      <c r="AR315" s="633"/>
      <c r="AS315" s="636"/>
      <c r="AT315" s="636"/>
      <c r="AU315" s="7"/>
      <c r="AV315" s="699"/>
      <c r="AW315" s="7"/>
      <c r="AX315" s="618">
        <f t="shared" si="26"/>
        <v>0</v>
      </c>
      <c r="AY315" s="7"/>
      <c r="AZ315" s="7"/>
      <c r="BA315" s="7"/>
      <c r="BB315" s="7"/>
      <c r="BC315" s="7"/>
      <c r="BD315" s="7"/>
    </row>
    <row r="316" spans="1:56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643"/>
      <c r="AQ316" s="616">
        <f t="shared" si="27"/>
        <v>0</v>
      </c>
      <c r="AR316" s="633"/>
      <c r="AS316" s="648"/>
      <c r="AT316" s="648"/>
      <c r="AU316" s="7"/>
      <c r="AV316" s="699"/>
      <c r="AW316" s="7"/>
      <c r="AX316" s="618">
        <f t="shared" si="26"/>
        <v>0</v>
      </c>
      <c r="AY316" s="7"/>
      <c r="AZ316" s="7"/>
      <c r="BA316" s="7"/>
      <c r="BB316" s="7"/>
      <c r="BC316" s="7"/>
      <c r="BD316" s="7"/>
    </row>
    <row r="317" spans="1:56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  <c r="AN317" s="213"/>
      <c r="AO317" s="213"/>
      <c r="AP317" s="643"/>
      <c r="AQ317" s="616">
        <f t="shared" si="27"/>
        <v>0</v>
      </c>
      <c r="AR317" s="633"/>
      <c r="AS317" s="648"/>
      <c r="AT317" s="648"/>
      <c r="AU317" s="7"/>
      <c r="AV317" s="699"/>
      <c r="AW317" s="7"/>
      <c r="AX317" s="618">
        <f t="shared" si="26"/>
        <v>0</v>
      </c>
      <c r="AY317" s="7"/>
      <c r="AZ317" s="7"/>
      <c r="BA317" s="7"/>
      <c r="BB317" s="7"/>
      <c r="BC317" s="7"/>
      <c r="BD317" s="7"/>
    </row>
    <row r="318" spans="1:56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  <c r="AN318" s="213"/>
      <c r="AO318" s="213"/>
      <c r="AP318" s="643"/>
      <c r="AQ318" s="616">
        <f t="shared" si="27"/>
        <v>0</v>
      </c>
      <c r="AR318" s="633"/>
      <c r="AS318" s="648"/>
      <c r="AT318" s="648"/>
      <c r="AU318" s="7"/>
      <c r="AV318" s="699"/>
      <c r="AW318" s="7"/>
      <c r="AX318" s="618">
        <f t="shared" si="26"/>
        <v>0</v>
      </c>
      <c r="AY318" s="7"/>
      <c r="AZ318" s="7"/>
      <c r="BA318" s="7"/>
      <c r="BB318" s="7"/>
      <c r="BC318" s="7"/>
      <c r="BD318" s="7"/>
    </row>
    <row r="319" spans="1:56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3"/>
      <c r="AM319" s="213"/>
      <c r="AN319" s="213"/>
      <c r="AO319" s="213"/>
      <c r="AP319" s="643"/>
      <c r="AQ319" s="616">
        <f t="shared" si="27"/>
        <v>0</v>
      </c>
      <c r="AR319" s="633"/>
      <c r="AS319" s="648"/>
      <c r="AT319" s="648"/>
      <c r="AU319" s="7"/>
      <c r="AV319" s="699"/>
      <c r="AW319" s="7"/>
      <c r="AX319" s="618">
        <f t="shared" si="26"/>
        <v>0</v>
      </c>
      <c r="AY319" s="7"/>
      <c r="AZ319" s="7"/>
      <c r="BA319" s="7"/>
      <c r="BB319" s="7"/>
      <c r="BC319" s="7"/>
      <c r="BD319" s="7"/>
    </row>
    <row r="320" spans="1:56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3"/>
      <c r="AM320" s="213"/>
      <c r="AN320" s="213"/>
      <c r="AO320" s="213"/>
      <c r="AP320" s="643"/>
      <c r="AQ320" s="616">
        <f t="shared" si="27"/>
        <v>0</v>
      </c>
      <c r="AR320" s="633"/>
      <c r="AS320" s="636"/>
      <c r="AT320" s="636"/>
      <c r="AU320" s="7"/>
      <c r="AV320" s="699"/>
      <c r="AW320" s="7"/>
      <c r="AX320" s="618">
        <f t="shared" si="26"/>
        <v>0</v>
      </c>
      <c r="AY320" s="7"/>
      <c r="AZ320" s="7"/>
      <c r="BA320" s="7"/>
      <c r="BB320" s="7"/>
      <c r="BC320" s="7"/>
      <c r="BD320" s="7"/>
    </row>
    <row r="321" spans="1:56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643"/>
      <c r="AQ321" s="616">
        <f t="shared" si="27"/>
        <v>0</v>
      </c>
      <c r="AR321" s="633"/>
      <c r="AS321" s="636"/>
      <c r="AT321" s="636"/>
      <c r="AU321" s="7"/>
      <c r="AV321" s="699"/>
      <c r="AW321" s="7"/>
      <c r="AX321" s="618">
        <f t="shared" si="26"/>
        <v>0</v>
      </c>
      <c r="AY321" s="7"/>
      <c r="AZ321" s="7"/>
      <c r="BA321" s="7"/>
      <c r="BB321" s="7"/>
      <c r="BC321" s="7"/>
      <c r="BD321" s="7"/>
    </row>
    <row r="322" spans="1:56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643"/>
      <c r="AQ322" s="616">
        <f t="shared" si="27"/>
        <v>0</v>
      </c>
      <c r="AR322" s="633"/>
      <c r="AS322" s="636"/>
      <c r="AT322" s="636"/>
      <c r="AU322" s="7"/>
      <c r="AV322" s="699"/>
      <c r="AW322" s="7"/>
      <c r="AX322" s="618">
        <f t="shared" si="26"/>
        <v>0</v>
      </c>
      <c r="AY322" s="7"/>
      <c r="AZ322" s="7"/>
      <c r="BA322" s="7"/>
      <c r="BB322" s="7"/>
      <c r="BC322" s="7"/>
      <c r="BD322" s="7"/>
    </row>
    <row r="323" spans="1:56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3"/>
      <c r="AM323" s="213"/>
      <c r="AN323" s="213"/>
      <c r="AO323" s="213"/>
      <c r="AP323" s="643"/>
      <c r="AQ323" s="616">
        <f t="shared" si="27"/>
        <v>0</v>
      </c>
      <c r="AR323" s="633"/>
      <c r="AS323" s="636"/>
      <c r="AT323" s="636"/>
      <c r="AU323" s="7"/>
      <c r="AV323" s="699"/>
      <c r="AW323" s="7"/>
      <c r="AX323" s="618">
        <f t="shared" si="26"/>
        <v>0</v>
      </c>
      <c r="AY323" s="7"/>
      <c r="AZ323" s="7"/>
      <c r="BA323" s="7"/>
      <c r="BB323" s="7"/>
      <c r="BC323" s="7"/>
      <c r="BD323" s="7"/>
    </row>
    <row r="324" spans="1:56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3"/>
      <c r="AM324" s="213"/>
      <c r="AN324" s="213"/>
      <c r="AO324" s="213"/>
      <c r="AP324" s="643"/>
      <c r="AQ324" s="616">
        <f t="shared" si="27"/>
        <v>0</v>
      </c>
      <c r="AR324" s="633"/>
      <c r="AS324" s="636"/>
      <c r="AT324" s="636"/>
      <c r="AU324" s="7"/>
      <c r="AV324" s="699"/>
      <c r="AW324" s="7"/>
      <c r="AX324" s="618">
        <f t="shared" si="26"/>
        <v>0</v>
      </c>
      <c r="AY324" s="7"/>
      <c r="AZ324" s="7"/>
      <c r="BA324" s="7"/>
      <c r="BB324" s="7"/>
      <c r="BC324" s="7"/>
      <c r="BD324" s="7"/>
    </row>
    <row r="325" spans="1:56" ht="33.75" customHeight="1">
      <c r="A325" s="486"/>
      <c r="B325" s="487" t="s">
        <v>703</v>
      </c>
      <c r="C325" s="656" t="s">
        <v>704</v>
      </c>
      <c r="D325" s="519" t="s">
        <v>2037</v>
      </c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  <c r="AN325" s="213"/>
      <c r="AO325" s="213"/>
      <c r="AP325" s="643"/>
      <c r="AQ325" s="616">
        <f t="shared" si="27"/>
        <v>0</v>
      </c>
      <c r="AR325" s="633"/>
      <c r="AS325" s="636"/>
      <c r="AT325" s="636"/>
      <c r="AU325" s="7"/>
      <c r="AV325" s="699"/>
      <c r="AW325" s="7"/>
      <c r="AX325" s="618">
        <f t="shared" si="26"/>
        <v>0</v>
      </c>
      <c r="AY325" s="7"/>
      <c r="AZ325" s="7"/>
      <c r="BA325" s="7"/>
      <c r="BB325" s="7"/>
      <c r="BC325" s="7"/>
      <c r="BD325" s="7"/>
    </row>
    <row r="326" spans="1:56" ht="25.5" customHeight="1">
      <c r="A326" s="503"/>
      <c r="B326" s="483" t="s">
        <v>707</v>
      </c>
      <c r="C326" s="629" t="s">
        <v>131</v>
      </c>
      <c r="D326" s="354" t="s">
        <v>2038</v>
      </c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3"/>
      <c r="AM326" s="213"/>
      <c r="AN326" s="213"/>
      <c r="AO326" s="213"/>
      <c r="AP326" s="643"/>
      <c r="AQ326" s="616">
        <f t="shared" si="27"/>
        <v>0</v>
      </c>
      <c r="AR326" s="633"/>
      <c r="AS326" s="634"/>
      <c r="AT326" s="634"/>
      <c r="AU326" s="7"/>
      <c r="AV326" s="699"/>
      <c r="AW326" s="7"/>
      <c r="AX326" s="618">
        <f t="shared" si="26"/>
        <v>0</v>
      </c>
      <c r="AY326" s="7"/>
      <c r="AZ326" s="7"/>
      <c r="BA326" s="7"/>
      <c r="BB326" s="7"/>
      <c r="BC326" s="7"/>
      <c r="BD326" s="7"/>
    </row>
    <row r="327" spans="1:56" ht="21" customHeight="1">
      <c r="A327" s="503"/>
      <c r="B327" s="483" t="s">
        <v>709</v>
      </c>
      <c r="C327" s="629" t="s">
        <v>200</v>
      </c>
      <c r="D327" s="354" t="s">
        <v>2039</v>
      </c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3"/>
      <c r="AM327" s="213"/>
      <c r="AN327" s="213"/>
      <c r="AO327" s="213"/>
      <c r="AP327" s="643"/>
      <c r="AQ327" s="616">
        <f t="shared" si="27"/>
        <v>0</v>
      </c>
      <c r="AR327" s="633"/>
      <c r="AS327" s="636"/>
      <c r="AT327" s="636"/>
      <c r="AU327" s="7"/>
      <c r="AV327" s="699"/>
      <c r="AW327" s="7"/>
      <c r="AX327" s="618">
        <f t="shared" si="26"/>
        <v>0</v>
      </c>
      <c r="AY327" s="7"/>
      <c r="AZ327" s="7"/>
      <c r="BA327" s="7"/>
      <c r="BB327" s="7"/>
      <c r="BC327" s="7"/>
      <c r="BD327" s="7"/>
    </row>
    <row r="328" spans="1:56" ht="21" customHeight="1">
      <c r="A328" s="503"/>
      <c r="B328" s="483" t="s">
        <v>711</v>
      </c>
      <c r="C328" s="629" t="s">
        <v>203</v>
      </c>
      <c r="D328" s="354" t="s">
        <v>2040</v>
      </c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M328" s="213"/>
      <c r="AN328" s="213"/>
      <c r="AO328" s="213"/>
      <c r="AP328" s="643"/>
      <c r="AQ328" s="616">
        <f t="shared" si="27"/>
        <v>0</v>
      </c>
      <c r="AR328" s="633"/>
      <c r="AS328" s="636"/>
      <c r="AT328" s="636"/>
      <c r="AU328" s="7"/>
      <c r="AV328" s="699"/>
      <c r="AW328" s="7"/>
      <c r="AX328" s="618">
        <f t="shared" si="26"/>
        <v>0</v>
      </c>
      <c r="AY328" s="7"/>
      <c r="AZ328" s="7"/>
      <c r="BA328" s="7"/>
      <c r="BB328" s="7"/>
      <c r="BC328" s="7"/>
      <c r="BD328" s="7"/>
    </row>
    <row r="329" spans="1:56" ht="21" customHeight="1">
      <c r="A329" s="503"/>
      <c r="B329" s="483" t="s">
        <v>713</v>
      </c>
      <c r="C329" s="629" t="s">
        <v>159</v>
      </c>
      <c r="D329" s="354" t="s">
        <v>2041</v>
      </c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3"/>
      <c r="AM329" s="213"/>
      <c r="AN329" s="213"/>
      <c r="AO329" s="213"/>
      <c r="AP329" s="643"/>
      <c r="AQ329" s="616">
        <f t="shared" si="27"/>
        <v>0</v>
      </c>
      <c r="AR329" s="633"/>
      <c r="AS329" s="636"/>
      <c r="AT329" s="636"/>
      <c r="AU329" s="7"/>
      <c r="AV329" s="699"/>
      <c r="AW329" s="7"/>
      <c r="AX329" s="618">
        <f t="shared" si="26"/>
        <v>0</v>
      </c>
      <c r="AY329" s="7"/>
      <c r="AZ329" s="7"/>
      <c r="BA329" s="7"/>
      <c r="BB329" s="7"/>
      <c r="BC329" s="7"/>
      <c r="BD329" s="7"/>
    </row>
    <row r="330" spans="1:56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  <c r="AN330" s="213"/>
      <c r="AO330" s="213"/>
      <c r="AP330" s="643"/>
      <c r="AQ330" s="616">
        <f t="shared" si="27"/>
        <v>0</v>
      </c>
      <c r="AR330" s="633"/>
      <c r="AS330" s="636"/>
      <c r="AT330" s="636"/>
      <c r="AU330" s="7"/>
      <c r="AV330" s="699"/>
      <c r="AW330" s="7"/>
      <c r="AX330" s="618">
        <f t="shared" si="26"/>
        <v>0</v>
      </c>
      <c r="AY330" s="7"/>
      <c r="AZ330" s="7"/>
      <c r="BA330" s="7"/>
      <c r="BB330" s="7"/>
      <c r="BC330" s="7"/>
      <c r="BD330" s="7"/>
    </row>
    <row r="331" spans="1:56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  <c r="AN331" s="213"/>
      <c r="AO331" s="213"/>
      <c r="AP331" s="643"/>
      <c r="AQ331" s="616">
        <f t="shared" si="27"/>
        <v>0</v>
      </c>
      <c r="AR331" s="633"/>
      <c r="AS331" s="654"/>
      <c r="AT331" s="654"/>
      <c r="AU331" s="7"/>
      <c r="AV331" s="699"/>
      <c r="AW331" s="7"/>
      <c r="AX331" s="618">
        <f t="shared" si="26"/>
        <v>0</v>
      </c>
      <c r="AY331" s="7"/>
      <c r="AZ331" s="7"/>
      <c r="BA331" s="7"/>
      <c r="BB331" s="7"/>
      <c r="BC331" s="7"/>
      <c r="BD331" s="7"/>
    </row>
    <row r="332" spans="1:56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  <c r="AN332" s="213"/>
      <c r="AO332" s="213"/>
      <c r="AP332" s="643"/>
      <c r="AQ332" s="616">
        <f t="shared" si="27"/>
        <v>0</v>
      </c>
      <c r="AR332" s="633"/>
      <c r="AS332" s="648"/>
      <c r="AT332" s="648"/>
      <c r="AU332" s="7"/>
      <c r="AV332" s="699"/>
      <c r="AW332" s="7"/>
      <c r="AX332" s="618">
        <f t="shared" si="26"/>
        <v>0</v>
      </c>
      <c r="AY332" s="7"/>
      <c r="AZ332" s="7"/>
      <c r="BA332" s="7"/>
      <c r="BB332" s="7"/>
      <c r="BC332" s="7"/>
      <c r="BD332" s="7"/>
    </row>
    <row r="333" spans="1:56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643"/>
      <c r="AQ333" s="616">
        <f t="shared" si="27"/>
        <v>0</v>
      </c>
      <c r="AR333" s="633"/>
      <c r="AS333" s="648"/>
      <c r="AT333" s="648"/>
      <c r="AU333" s="7"/>
      <c r="AV333" s="699"/>
      <c r="AW333" s="7"/>
      <c r="AX333" s="618">
        <f t="shared" si="26"/>
        <v>0</v>
      </c>
      <c r="AY333" s="7"/>
      <c r="AZ333" s="7"/>
      <c r="BA333" s="7"/>
      <c r="BB333" s="7"/>
      <c r="BC333" s="7"/>
      <c r="BD333" s="7"/>
    </row>
    <row r="334" spans="1:56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643"/>
      <c r="AQ334" s="616">
        <f t="shared" si="27"/>
        <v>0</v>
      </c>
      <c r="AR334" s="633"/>
      <c r="AS334" s="648"/>
      <c r="AT334" s="648"/>
      <c r="AU334" s="7"/>
      <c r="AV334" s="699"/>
      <c r="AW334" s="7"/>
      <c r="AX334" s="618">
        <f t="shared" si="26"/>
        <v>0</v>
      </c>
      <c r="AY334" s="7"/>
      <c r="AZ334" s="7"/>
      <c r="BA334" s="7"/>
      <c r="BB334" s="7"/>
      <c r="BC334" s="7"/>
      <c r="BD334" s="7"/>
    </row>
    <row r="335" spans="1:56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3"/>
      <c r="AM335" s="213"/>
      <c r="AN335" s="213"/>
      <c r="AO335" s="213"/>
      <c r="AP335" s="643"/>
      <c r="AQ335" s="616">
        <f t="shared" si="27"/>
        <v>0</v>
      </c>
      <c r="AR335" s="633"/>
      <c r="AS335" s="648"/>
      <c r="AT335" s="648"/>
      <c r="AU335" s="7"/>
      <c r="AV335" s="699"/>
      <c r="AW335" s="7"/>
      <c r="AX335" s="618">
        <f t="shared" si="26"/>
        <v>0</v>
      </c>
      <c r="AY335" s="7"/>
      <c r="AZ335" s="7"/>
      <c r="BA335" s="7"/>
      <c r="BB335" s="7"/>
      <c r="BC335" s="7"/>
      <c r="BD335" s="7"/>
    </row>
    <row r="336" spans="1:56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3"/>
      <c r="AM336" s="213"/>
      <c r="AN336" s="213"/>
      <c r="AO336" s="213"/>
      <c r="AP336" s="643"/>
      <c r="AQ336" s="616">
        <f t="shared" si="27"/>
        <v>0</v>
      </c>
      <c r="AR336" s="633"/>
      <c r="AS336" s="654"/>
      <c r="AT336" s="654"/>
      <c r="AU336" s="7"/>
      <c r="AV336" s="699"/>
      <c r="AW336" s="7"/>
      <c r="AX336" s="618">
        <f t="shared" si="26"/>
        <v>0</v>
      </c>
      <c r="AY336" s="7"/>
      <c r="AZ336" s="7"/>
      <c r="BA336" s="7"/>
      <c r="BB336" s="7"/>
      <c r="BC336" s="7"/>
      <c r="BD336" s="7"/>
    </row>
    <row r="337" spans="1:56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3"/>
      <c r="AM337" s="213"/>
      <c r="AN337" s="213"/>
      <c r="AO337" s="213"/>
      <c r="AP337" s="643"/>
      <c r="AQ337" s="616">
        <f t="shared" si="27"/>
        <v>0</v>
      </c>
      <c r="AR337" s="633"/>
      <c r="AS337" s="654"/>
      <c r="AT337" s="654"/>
      <c r="AU337" s="7"/>
      <c r="AV337" s="699"/>
      <c r="AW337" s="7"/>
      <c r="AX337" s="618">
        <f t="shared" si="26"/>
        <v>0</v>
      </c>
      <c r="AY337" s="7"/>
      <c r="AZ337" s="7"/>
      <c r="BA337" s="7"/>
      <c r="BB337" s="7"/>
      <c r="BC337" s="7"/>
      <c r="BD337" s="7"/>
    </row>
    <row r="338" spans="1:56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3"/>
      <c r="AM338" s="213"/>
      <c r="AN338" s="213"/>
      <c r="AO338" s="213"/>
      <c r="AP338" s="643"/>
      <c r="AQ338" s="616">
        <f t="shared" si="27"/>
        <v>0</v>
      </c>
      <c r="AR338" s="633"/>
      <c r="AS338" s="654"/>
      <c r="AT338" s="654"/>
      <c r="AU338" s="7"/>
      <c r="AV338" s="699"/>
      <c r="AW338" s="7"/>
      <c r="AX338" s="618">
        <f t="shared" si="26"/>
        <v>0</v>
      </c>
      <c r="AY338" s="7"/>
      <c r="AZ338" s="7"/>
      <c r="BA338" s="7"/>
      <c r="BB338" s="7"/>
      <c r="BC338" s="7"/>
      <c r="BD338" s="7"/>
    </row>
    <row r="339" spans="1:56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3"/>
      <c r="AM339" s="213"/>
      <c r="AN339" s="213"/>
      <c r="AO339" s="213"/>
      <c r="AP339" s="643"/>
      <c r="AQ339" s="616">
        <f t="shared" si="27"/>
        <v>0</v>
      </c>
      <c r="AR339" s="633"/>
      <c r="AS339" s="654"/>
      <c r="AT339" s="654"/>
      <c r="AU339" s="7"/>
      <c r="AV339" s="699"/>
      <c r="AW339" s="7"/>
      <c r="AX339" s="618">
        <f t="shared" si="26"/>
        <v>0</v>
      </c>
      <c r="AY339" s="7"/>
      <c r="AZ339" s="7"/>
      <c r="BA339" s="7"/>
      <c r="BB339" s="7"/>
      <c r="BC339" s="7"/>
      <c r="BD339" s="7"/>
    </row>
    <row r="340" spans="1:56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3"/>
      <c r="AM340" s="213"/>
      <c r="AN340" s="213"/>
      <c r="AO340" s="213"/>
      <c r="AP340" s="643"/>
      <c r="AQ340" s="616">
        <f t="shared" si="27"/>
        <v>0</v>
      </c>
      <c r="AR340" s="633"/>
      <c r="AS340" s="648"/>
      <c r="AT340" s="648"/>
      <c r="AU340" s="7"/>
      <c r="AV340" s="699"/>
      <c r="AW340" s="7"/>
      <c r="AX340" s="618">
        <f t="shared" si="26"/>
        <v>0</v>
      </c>
      <c r="AY340" s="7"/>
      <c r="AZ340" s="7"/>
      <c r="BA340" s="7"/>
      <c r="BB340" s="7"/>
      <c r="BC340" s="7"/>
      <c r="BD340" s="7"/>
    </row>
    <row r="341" spans="1:56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3"/>
      <c r="AM341" s="213"/>
      <c r="AN341" s="213"/>
      <c r="AO341" s="213"/>
      <c r="AP341" s="643"/>
      <c r="AQ341" s="616">
        <f t="shared" si="27"/>
        <v>0</v>
      </c>
      <c r="AR341" s="633"/>
      <c r="AS341" s="654"/>
      <c r="AT341" s="654"/>
      <c r="AU341" s="7"/>
      <c r="AV341" s="699"/>
      <c r="AW341" s="7"/>
      <c r="AX341" s="618">
        <f t="shared" si="26"/>
        <v>0</v>
      </c>
      <c r="AY341" s="7"/>
      <c r="AZ341" s="7"/>
      <c r="BA341" s="7"/>
      <c r="BB341" s="7"/>
      <c r="BC341" s="7"/>
      <c r="BD341" s="7"/>
    </row>
    <row r="342" spans="1:56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3"/>
      <c r="AM342" s="213"/>
      <c r="AN342" s="213"/>
      <c r="AO342" s="213"/>
      <c r="AP342" s="643"/>
      <c r="AQ342" s="616">
        <f t="shared" si="27"/>
        <v>0</v>
      </c>
      <c r="AR342" s="633"/>
      <c r="AS342" s="654"/>
      <c r="AT342" s="654"/>
      <c r="AU342" s="7"/>
      <c r="AV342" s="699"/>
      <c r="AW342" s="7"/>
      <c r="AX342" s="618">
        <f t="shared" si="26"/>
        <v>0</v>
      </c>
      <c r="AY342" s="7"/>
      <c r="AZ342" s="7"/>
      <c r="BA342" s="7"/>
      <c r="BB342" s="7"/>
      <c r="BC342" s="7"/>
      <c r="BD342" s="7"/>
    </row>
    <row r="343" spans="1:56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3"/>
      <c r="AM343" s="213"/>
      <c r="AN343" s="213"/>
      <c r="AO343" s="213"/>
      <c r="AP343" s="643"/>
      <c r="AQ343" s="616">
        <f t="shared" si="27"/>
        <v>0</v>
      </c>
      <c r="AR343" s="633"/>
      <c r="AS343" s="654"/>
      <c r="AT343" s="654"/>
      <c r="AU343" s="7"/>
      <c r="AV343" s="699"/>
      <c r="AW343" s="7"/>
      <c r="AX343" s="618">
        <f t="shared" si="26"/>
        <v>0</v>
      </c>
      <c r="AY343" s="7"/>
      <c r="AZ343" s="7"/>
      <c r="BA343" s="7"/>
      <c r="BB343" s="7"/>
      <c r="BC343" s="7"/>
      <c r="BD343" s="7"/>
    </row>
    <row r="344" spans="1:56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3"/>
      <c r="AM344" s="213"/>
      <c r="AN344" s="213"/>
      <c r="AO344" s="213"/>
      <c r="AP344" s="643"/>
      <c r="AQ344" s="616">
        <f t="shared" si="27"/>
        <v>0</v>
      </c>
      <c r="AR344" s="633"/>
      <c r="AS344" s="654"/>
      <c r="AT344" s="654"/>
      <c r="AU344" s="7"/>
      <c r="AV344" s="699"/>
      <c r="AW344" s="7"/>
      <c r="AX344" s="618">
        <f t="shared" si="26"/>
        <v>0</v>
      </c>
      <c r="AY344" s="7"/>
      <c r="AZ344" s="7"/>
      <c r="BA344" s="7"/>
      <c r="BB344" s="7"/>
      <c r="BC344" s="7"/>
      <c r="BD344" s="7"/>
    </row>
    <row r="345" spans="1:56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  <c r="AN345" s="213"/>
      <c r="AO345" s="213"/>
      <c r="AP345" s="643"/>
      <c r="AQ345" s="616">
        <f t="shared" si="27"/>
        <v>0</v>
      </c>
      <c r="AR345" s="633"/>
      <c r="AS345" s="654"/>
      <c r="AT345" s="654"/>
      <c r="AU345" s="7"/>
      <c r="AV345" s="699"/>
      <c r="AW345" s="7"/>
      <c r="AX345" s="618">
        <f t="shared" si="26"/>
        <v>0</v>
      </c>
      <c r="AY345" s="7"/>
      <c r="AZ345" s="7"/>
      <c r="BA345" s="7"/>
      <c r="BB345" s="7"/>
      <c r="BC345" s="7"/>
      <c r="BD345" s="7"/>
    </row>
    <row r="346" spans="1:56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643"/>
      <c r="AQ346" s="616">
        <f t="shared" si="27"/>
        <v>0</v>
      </c>
      <c r="AR346" s="633"/>
      <c r="AS346" s="636"/>
      <c r="AT346" s="636"/>
      <c r="AU346" s="7"/>
      <c r="AV346" s="699"/>
      <c r="AW346" s="7"/>
      <c r="AX346" s="618">
        <f t="shared" si="26"/>
        <v>0</v>
      </c>
      <c r="AY346" s="7"/>
      <c r="AZ346" s="7"/>
      <c r="BA346" s="7"/>
      <c r="BB346" s="7"/>
      <c r="BC346" s="7"/>
      <c r="BD346" s="7"/>
    </row>
    <row r="347" spans="1:56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643"/>
      <c r="AQ347" s="616">
        <f t="shared" si="27"/>
        <v>0</v>
      </c>
      <c r="AR347" s="633"/>
      <c r="AS347" s="636"/>
      <c r="AT347" s="636"/>
      <c r="AU347" s="7"/>
      <c r="AV347" s="699"/>
      <c r="AW347" s="7"/>
      <c r="AX347" s="618">
        <f t="shared" si="26"/>
        <v>0</v>
      </c>
      <c r="AY347" s="7"/>
      <c r="AZ347" s="7"/>
      <c r="BA347" s="7"/>
      <c r="BB347" s="7"/>
      <c r="BC347" s="7"/>
      <c r="BD347" s="7"/>
    </row>
    <row r="348" spans="1:56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3"/>
      <c r="AM348" s="213"/>
      <c r="AN348" s="213"/>
      <c r="AO348" s="213"/>
      <c r="AP348" s="643"/>
      <c r="AQ348" s="616">
        <f t="shared" si="27"/>
        <v>0</v>
      </c>
      <c r="AR348" s="633"/>
      <c r="AS348" s="636"/>
      <c r="AT348" s="636"/>
      <c r="AU348" s="7"/>
      <c r="AV348" s="699"/>
      <c r="AW348" s="7"/>
      <c r="AX348" s="618">
        <f t="shared" si="26"/>
        <v>0</v>
      </c>
      <c r="AY348" s="7"/>
      <c r="AZ348" s="7"/>
      <c r="BA348" s="7"/>
      <c r="BB348" s="7"/>
      <c r="BC348" s="7"/>
      <c r="BD348" s="7"/>
    </row>
    <row r="349" spans="1:56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3"/>
      <c r="AM349" s="213"/>
      <c r="AN349" s="213"/>
      <c r="AO349" s="213"/>
      <c r="AP349" s="643"/>
      <c r="AQ349" s="616">
        <f t="shared" si="27"/>
        <v>0</v>
      </c>
      <c r="AR349" s="633"/>
      <c r="AS349" s="636"/>
      <c r="AT349" s="636"/>
      <c r="AU349" s="7"/>
      <c r="AV349" s="699"/>
      <c r="AW349" s="7"/>
      <c r="AX349" s="618">
        <f t="shared" si="26"/>
        <v>0</v>
      </c>
      <c r="AY349" s="7"/>
      <c r="AZ349" s="7"/>
      <c r="BA349" s="7"/>
      <c r="BB349" s="7"/>
      <c r="BC349" s="7"/>
      <c r="BD349" s="7"/>
    </row>
    <row r="350" spans="1:56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3"/>
      <c r="AM350" s="213"/>
      <c r="AN350" s="213"/>
      <c r="AO350" s="213"/>
      <c r="AP350" s="643"/>
      <c r="AQ350" s="616">
        <f t="shared" si="27"/>
        <v>0</v>
      </c>
      <c r="AR350" s="633"/>
      <c r="AS350" s="636"/>
      <c r="AT350" s="636"/>
      <c r="AU350" s="7"/>
      <c r="AV350" s="699"/>
      <c r="AW350" s="7"/>
      <c r="AX350" s="618">
        <f t="shared" si="26"/>
        <v>0</v>
      </c>
      <c r="AY350" s="7"/>
      <c r="AZ350" s="7"/>
      <c r="BA350" s="7"/>
      <c r="BB350" s="7"/>
      <c r="BC350" s="7"/>
      <c r="BD350" s="7"/>
    </row>
    <row r="351" spans="1:56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M351" s="213"/>
      <c r="AN351" s="213"/>
      <c r="AO351" s="213"/>
      <c r="AP351" s="643"/>
      <c r="AQ351" s="616">
        <f t="shared" si="27"/>
        <v>0</v>
      </c>
      <c r="AR351" s="633"/>
      <c r="AS351" s="636"/>
      <c r="AT351" s="636"/>
      <c r="AU351" s="7"/>
      <c r="AV351" s="699"/>
      <c r="AW351" s="7"/>
      <c r="AX351" s="618">
        <f t="shared" si="26"/>
        <v>0</v>
      </c>
      <c r="AY351" s="7"/>
      <c r="AZ351" s="7"/>
      <c r="BA351" s="7"/>
      <c r="BB351" s="7"/>
      <c r="BC351" s="7"/>
      <c r="BD351" s="7"/>
    </row>
    <row r="352" spans="1:56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3"/>
      <c r="AM352" s="213"/>
      <c r="AN352" s="213"/>
      <c r="AO352" s="213"/>
      <c r="AP352" s="643"/>
      <c r="AQ352" s="616">
        <f t="shared" si="27"/>
        <v>0</v>
      </c>
      <c r="AR352" s="633"/>
      <c r="AS352" s="636"/>
      <c r="AT352" s="636"/>
      <c r="AU352" s="7"/>
      <c r="AV352" s="699"/>
      <c r="AW352" s="7"/>
      <c r="AX352" s="618">
        <f t="shared" si="26"/>
        <v>0</v>
      </c>
      <c r="AY352" s="7"/>
      <c r="AZ352" s="7"/>
      <c r="BA352" s="7"/>
      <c r="BB352" s="7"/>
      <c r="BC352" s="7"/>
      <c r="BD352" s="7"/>
    </row>
    <row r="353" spans="1:56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3"/>
      <c r="AM353" s="213"/>
      <c r="AN353" s="213"/>
      <c r="AO353" s="213"/>
      <c r="AP353" s="643"/>
      <c r="AQ353" s="616">
        <f t="shared" si="27"/>
        <v>0</v>
      </c>
      <c r="AR353" s="633"/>
      <c r="AS353" s="640"/>
      <c r="AT353" s="640"/>
      <c r="AU353" s="7"/>
      <c r="AV353" s="699"/>
      <c r="AW353" s="7"/>
      <c r="AX353" s="618">
        <f t="shared" si="26"/>
        <v>0</v>
      </c>
      <c r="AY353" s="7"/>
      <c r="AZ353" s="7"/>
      <c r="BA353" s="7"/>
      <c r="BB353" s="7"/>
      <c r="BC353" s="7"/>
      <c r="BD353" s="7"/>
    </row>
    <row r="354" spans="1:56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3"/>
      <c r="AM354" s="213"/>
      <c r="AN354" s="213"/>
      <c r="AO354" s="213"/>
      <c r="AP354" s="643"/>
      <c r="AQ354" s="616">
        <f t="shared" si="27"/>
        <v>0</v>
      </c>
      <c r="AR354" s="633"/>
      <c r="AS354" s="547"/>
      <c r="AT354" s="547"/>
      <c r="AU354" s="7"/>
      <c r="AV354" s="699"/>
      <c r="AW354" s="7"/>
      <c r="AX354" s="618">
        <f t="shared" si="26"/>
        <v>0</v>
      </c>
      <c r="AY354" s="7"/>
      <c r="AZ354" s="7"/>
      <c r="BA354" s="7"/>
      <c r="BB354" s="7"/>
      <c r="BC354" s="7"/>
      <c r="BD354" s="7"/>
    </row>
    <row r="355" spans="1:56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3"/>
      <c r="AM355" s="213"/>
      <c r="AN355" s="213"/>
      <c r="AO355" s="213"/>
      <c r="AP355" s="643"/>
      <c r="AQ355" s="616">
        <f t="shared" si="27"/>
        <v>0</v>
      </c>
      <c r="AR355" s="633"/>
      <c r="AS355" s="666"/>
      <c r="AT355" s="666"/>
      <c r="AU355" s="7"/>
      <c r="AV355" s="699"/>
      <c r="AW355" s="7"/>
      <c r="AX355" s="618">
        <f t="shared" si="26"/>
        <v>0</v>
      </c>
      <c r="AY355" s="7"/>
      <c r="AZ355" s="7"/>
      <c r="BA355" s="7"/>
      <c r="BB355" s="7"/>
      <c r="BC355" s="7"/>
      <c r="BD355" s="7"/>
    </row>
    <row r="356" spans="1:56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3"/>
      <c r="AM356" s="213"/>
      <c r="AN356" s="213"/>
      <c r="AO356" s="213"/>
      <c r="AP356" s="643"/>
      <c r="AQ356" s="616">
        <f t="shared" si="27"/>
        <v>0</v>
      </c>
      <c r="AR356" s="633"/>
      <c r="AS356" s="666"/>
      <c r="AT356" s="666"/>
      <c r="AU356" s="7"/>
      <c r="AV356" s="699"/>
      <c r="AW356" s="7"/>
      <c r="AX356" s="618">
        <f t="shared" si="26"/>
        <v>0</v>
      </c>
      <c r="AY356" s="7"/>
      <c r="AZ356" s="7"/>
      <c r="BA356" s="7"/>
      <c r="BB356" s="7"/>
      <c r="BC356" s="7"/>
      <c r="BD356" s="7"/>
    </row>
    <row r="357" spans="1:56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  <c r="AN357" s="213"/>
      <c r="AO357" s="213"/>
      <c r="AP357" s="643"/>
      <c r="AQ357" s="616">
        <f t="shared" si="27"/>
        <v>0</v>
      </c>
      <c r="AR357" s="633"/>
      <c r="AS357" s="542"/>
      <c r="AT357" s="542"/>
      <c r="AU357" s="7"/>
      <c r="AV357" s="699"/>
      <c r="AW357" s="7"/>
      <c r="AX357" s="618">
        <f t="shared" si="26"/>
        <v>0</v>
      </c>
      <c r="AY357" s="7"/>
      <c r="AZ357" s="7"/>
      <c r="BA357" s="7"/>
      <c r="BB357" s="7"/>
      <c r="BC357" s="7"/>
      <c r="BD357" s="7"/>
    </row>
    <row r="358" spans="1:56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3"/>
      <c r="AM358" s="213"/>
      <c r="AN358" s="213"/>
      <c r="AO358" s="213"/>
      <c r="AP358" s="643"/>
      <c r="AQ358" s="616">
        <f t="shared" si="27"/>
        <v>0</v>
      </c>
      <c r="AR358" s="633"/>
      <c r="AS358" s="542"/>
      <c r="AT358" s="542"/>
      <c r="AU358" s="7"/>
      <c r="AV358" s="699"/>
      <c r="AW358" s="7"/>
      <c r="AX358" s="618">
        <f t="shared" si="26"/>
        <v>0</v>
      </c>
      <c r="AY358" s="7"/>
      <c r="AZ358" s="7"/>
      <c r="BA358" s="7"/>
      <c r="BB358" s="7"/>
      <c r="BC358" s="7"/>
      <c r="BD358" s="7"/>
    </row>
    <row r="359" spans="1:56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3"/>
      <c r="AM359" s="213"/>
      <c r="AN359" s="213"/>
      <c r="AO359" s="213"/>
      <c r="AP359" s="643"/>
      <c r="AQ359" s="616">
        <f t="shared" si="27"/>
        <v>0</v>
      </c>
      <c r="AR359" s="633"/>
      <c r="AS359" s="542"/>
      <c r="AT359" s="542"/>
      <c r="AU359" s="7"/>
      <c r="AV359" s="699"/>
      <c r="AW359" s="7"/>
      <c r="AX359" s="618">
        <f t="shared" si="26"/>
        <v>0</v>
      </c>
      <c r="AY359" s="7"/>
      <c r="AZ359" s="7"/>
      <c r="BA359" s="7"/>
      <c r="BB359" s="7"/>
      <c r="BC359" s="7"/>
      <c r="BD359" s="7"/>
    </row>
    <row r="360" spans="1:56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643"/>
      <c r="AQ360" s="616">
        <f t="shared" si="27"/>
        <v>0</v>
      </c>
      <c r="AR360" s="633"/>
      <c r="AS360" s="542"/>
      <c r="AT360" s="542"/>
      <c r="AU360" s="7"/>
      <c r="AV360" s="699"/>
      <c r="AW360" s="7"/>
      <c r="AX360" s="618">
        <f t="shared" si="26"/>
        <v>0</v>
      </c>
      <c r="AY360" s="7"/>
      <c r="AZ360" s="7"/>
      <c r="BA360" s="7"/>
      <c r="BB360" s="7"/>
      <c r="BC360" s="7"/>
      <c r="BD360" s="7"/>
    </row>
    <row r="361" spans="1:56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3"/>
      <c r="AM361" s="213"/>
      <c r="AN361" s="213"/>
      <c r="AO361" s="213"/>
      <c r="AP361" s="643"/>
      <c r="AQ361" s="616">
        <f t="shared" si="27"/>
        <v>0</v>
      </c>
      <c r="AR361" s="633"/>
      <c r="AS361" s="547"/>
      <c r="AT361" s="547"/>
      <c r="AU361" s="7"/>
      <c r="AV361" s="699"/>
      <c r="AW361" s="7"/>
      <c r="AX361" s="618">
        <f t="shared" si="26"/>
        <v>0</v>
      </c>
      <c r="AY361" s="7"/>
      <c r="AZ361" s="7"/>
      <c r="BA361" s="7"/>
      <c r="BB361" s="7"/>
      <c r="BC361" s="7"/>
      <c r="BD361" s="7"/>
    </row>
    <row r="362" spans="1:56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3"/>
      <c r="AM362" s="213"/>
      <c r="AN362" s="213"/>
      <c r="AO362" s="213"/>
      <c r="AP362" s="643"/>
      <c r="AQ362" s="616">
        <f t="shared" si="27"/>
        <v>0</v>
      </c>
      <c r="AR362" s="633"/>
      <c r="AS362" s="241"/>
      <c r="AT362" s="241"/>
      <c r="AU362" s="7"/>
      <c r="AV362" s="699"/>
      <c r="AW362" s="7"/>
      <c r="AX362" s="618">
        <f t="shared" si="26"/>
        <v>0</v>
      </c>
      <c r="AY362" s="7"/>
      <c r="AZ362" s="7"/>
      <c r="BA362" s="7"/>
      <c r="BB362" s="7"/>
      <c r="BC362" s="7"/>
      <c r="BD362" s="7"/>
    </row>
    <row r="363" spans="1:56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3"/>
      <c r="AM363" s="213"/>
      <c r="AN363" s="213"/>
      <c r="AO363" s="213"/>
      <c r="AP363" s="643"/>
      <c r="AQ363" s="616">
        <f t="shared" si="27"/>
        <v>0</v>
      </c>
      <c r="AR363" s="633"/>
      <c r="AS363" s="241"/>
      <c r="AT363" s="241"/>
      <c r="AU363" s="7"/>
      <c r="AV363" s="699"/>
      <c r="AW363" s="7"/>
      <c r="AX363" s="618">
        <f t="shared" si="26"/>
        <v>0</v>
      </c>
      <c r="AY363" s="7"/>
      <c r="AZ363" s="7"/>
      <c r="BA363" s="7"/>
      <c r="BB363" s="7"/>
      <c r="BC363" s="7"/>
      <c r="BD363" s="7"/>
    </row>
    <row r="364" spans="1:56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M364" s="213"/>
      <c r="AN364" s="213"/>
      <c r="AO364" s="213"/>
      <c r="AP364" s="643"/>
      <c r="AQ364" s="616">
        <f t="shared" si="27"/>
        <v>0</v>
      </c>
      <c r="AR364" s="633"/>
      <c r="AS364" s="241"/>
      <c r="AT364" s="241"/>
      <c r="AU364" s="7"/>
      <c r="AV364" s="699"/>
      <c r="AW364" s="7"/>
      <c r="AX364" s="618">
        <f t="shared" si="26"/>
        <v>0</v>
      </c>
      <c r="AY364" s="7"/>
      <c r="AZ364" s="7"/>
      <c r="BA364" s="7"/>
      <c r="BB364" s="7"/>
      <c r="BC364" s="7"/>
      <c r="BD364" s="7"/>
    </row>
    <row r="365" spans="1:56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  <c r="AN365" s="213"/>
      <c r="AO365" s="213"/>
      <c r="AP365" s="643"/>
      <c r="AQ365" s="616">
        <f t="shared" si="27"/>
        <v>0</v>
      </c>
      <c r="AR365" s="633"/>
      <c r="AS365" s="241"/>
      <c r="AT365" s="241"/>
      <c r="AU365" s="7"/>
      <c r="AV365" s="699"/>
      <c r="AW365" s="7"/>
      <c r="AX365" s="618">
        <f t="shared" si="26"/>
        <v>0</v>
      </c>
      <c r="AY365" s="7"/>
      <c r="AZ365" s="7"/>
      <c r="BA365" s="7"/>
      <c r="BB365" s="7"/>
      <c r="BC365" s="7"/>
      <c r="BD365" s="7"/>
    </row>
    <row r="366" spans="1:56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3"/>
      <c r="AM366" s="213"/>
      <c r="AN366" s="213"/>
      <c r="AO366" s="213"/>
      <c r="AP366" s="643"/>
      <c r="AQ366" s="616">
        <f t="shared" si="27"/>
        <v>0</v>
      </c>
      <c r="AR366" s="633"/>
      <c r="AS366" s="547"/>
      <c r="AT366" s="547"/>
      <c r="AU366" s="7"/>
      <c r="AV366" s="699"/>
      <c r="AW366" s="7"/>
      <c r="AX366" s="618">
        <f t="shared" si="26"/>
        <v>0</v>
      </c>
      <c r="AY366" s="7"/>
      <c r="AZ366" s="7"/>
      <c r="BA366" s="7"/>
      <c r="BB366" s="7"/>
      <c r="BC366" s="7"/>
      <c r="BD366" s="7"/>
    </row>
    <row r="367" spans="1:56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3"/>
      <c r="AM367" s="213"/>
      <c r="AN367" s="213"/>
      <c r="AO367" s="213"/>
      <c r="AP367" s="643"/>
      <c r="AQ367" s="616">
        <f t="shared" si="27"/>
        <v>0</v>
      </c>
      <c r="AR367" s="633"/>
      <c r="AS367" s="547"/>
      <c r="AT367" s="547"/>
      <c r="AU367" s="7"/>
      <c r="AV367" s="699"/>
      <c r="AW367" s="7"/>
      <c r="AX367" s="618">
        <f t="shared" si="26"/>
        <v>0</v>
      </c>
      <c r="AY367" s="7"/>
      <c r="AZ367" s="7"/>
      <c r="BA367" s="7"/>
      <c r="BB367" s="7"/>
      <c r="BC367" s="7"/>
      <c r="BD367" s="7"/>
    </row>
    <row r="368" spans="1:56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3"/>
      <c r="AM368" s="213"/>
      <c r="AN368" s="213"/>
      <c r="AO368" s="213"/>
      <c r="AP368" s="643"/>
      <c r="AQ368" s="616">
        <f t="shared" si="27"/>
        <v>0</v>
      </c>
      <c r="AR368" s="633"/>
      <c r="AS368" s="640"/>
      <c r="AT368" s="640"/>
      <c r="AU368" s="7"/>
      <c r="AV368" s="699"/>
      <c r="AW368" s="7"/>
      <c r="AX368" s="618">
        <f t="shared" si="26"/>
        <v>0</v>
      </c>
      <c r="AY368" s="7"/>
      <c r="AZ368" s="7"/>
      <c r="BA368" s="7"/>
      <c r="BB368" s="7"/>
      <c r="BC368" s="7"/>
      <c r="BD368" s="7"/>
    </row>
    <row r="369" spans="1:56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/>
      <c r="H369" s="213"/>
      <c r="I369" s="213">
        <v>8</v>
      </c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  <c r="AN369" s="213"/>
      <c r="AO369" s="213"/>
      <c r="AP369" s="657"/>
      <c r="AQ369" s="616">
        <f t="shared" si="27"/>
        <v>8</v>
      </c>
      <c r="AR369" s="633"/>
      <c r="AS369" s="636"/>
      <c r="AT369" s="636"/>
      <c r="AU369" s="7"/>
      <c r="AV369" s="699">
        <v>13</v>
      </c>
      <c r="AW369" s="7"/>
      <c r="AX369" s="618">
        <f t="shared" si="26"/>
        <v>5</v>
      </c>
      <c r="AY369" s="7"/>
      <c r="AZ369" s="7"/>
      <c r="BA369" s="7"/>
      <c r="BB369" s="7"/>
      <c r="BC369" s="7"/>
      <c r="BD369" s="7"/>
    </row>
    <row r="370" spans="1:56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3"/>
      <c r="I370" s="213">
        <v>2</v>
      </c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3"/>
      <c r="AM370" s="213"/>
      <c r="AN370" s="213"/>
      <c r="AO370" s="213"/>
      <c r="AP370" s="643"/>
      <c r="AQ370" s="616">
        <f t="shared" si="27"/>
        <v>2</v>
      </c>
      <c r="AR370" s="633"/>
      <c r="AS370" s="648"/>
      <c r="AT370" s="648"/>
      <c r="AU370" s="7"/>
      <c r="AV370" s="699">
        <v>3</v>
      </c>
      <c r="AW370" s="7"/>
      <c r="AX370" s="618">
        <f t="shared" si="26"/>
        <v>1</v>
      </c>
      <c r="AY370" s="7"/>
      <c r="AZ370" s="7"/>
      <c r="BA370" s="7"/>
      <c r="BB370" s="7"/>
      <c r="BC370" s="7"/>
      <c r="BD370" s="7"/>
    </row>
    <row r="371" spans="1:56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213"/>
      <c r="I371" s="213">
        <v>6</v>
      </c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3"/>
      <c r="AM371" s="213"/>
      <c r="AN371" s="213"/>
      <c r="AO371" s="213"/>
      <c r="AP371" s="643"/>
      <c r="AQ371" s="616">
        <f t="shared" si="27"/>
        <v>6</v>
      </c>
      <c r="AR371" s="633"/>
      <c r="AS371" s="648"/>
      <c r="AT371" s="648"/>
      <c r="AU371" s="7"/>
      <c r="AV371" s="699">
        <v>10</v>
      </c>
      <c r="AW371" s="7"/>
      <c r="AX371" s="618"/>
      <c r="AY371" s="7"/>
      <c r="AZ371" s="7"/>
      <c r="BA371" s="7"/>
      <c r="BB371" s="7"/>
      <c r="BC371" s="7"/>
      <c r="BD371" s="7"/>
    </row>
    <row r="372" spans="1:56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3"/>
      <c r="AM372" s="213"/>
      <c r="AN372" s="213"/>
      <c r="AO372" s="213"/>
      <c r="AP372" s="657"/>
      <c r="AQ372" s="616">
        <f t="shared" si="27"/>
        <v>0</v>
      </c>
      <c r="AR372" s="633"/>
      <c r="AS372" s="636"/>
      <c r="AT372" s="636"/>
      <c r="AU372" s="7"/>
      <c r="AV372" s="699">
        <v>15</v>
      </c>
      <c r="AW372" s="7"/>
      <c r="AX372" s="618">
        <f t="shared" ref="AX372:AX374" si="28">AV372-AQ372</f>
        <v>15</v>
      </c>
      <c r="AY372" s="7"/>
      <c r="AZ372" s="7"/>
      <c r="BA372" s="7"/>
      <c r="BB372" s="7"/>
      <c r="BC372" s="7"/>
      <c r="BD372" s="7"/>
    </row>
    <row r="373" spans="1:56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  <c r="AN373" s="213"/>
      <c r="AO373" s="213"/>
      <c r="AP373" s="643"/>
      <c r="AQ373" s="616">
        <f t="shared" si="27"/>
        <v>0</v>
      </c>
      <c r="AR373" s="633"/>
      <c r="AS373" s="648"/>
      <c r="AT373" s="648"/>
      <c r="AU373" s="7"/>
      <c r="AV373" s="699"/>
      <c r="AW373" s="7"/>
      <c r="AX373" s="618">
        <f t="shared" si="28"/>
        <v>0</v>
      </c>
      <c r="AY373" s="7"/>
      <c r="AZ373" s="7"/>
      <c r="BA373" s="7"/>
      <c r="BB373" s="7"/>
      <c r="BC373" s="7"/>
      <c r="BD373" s="7"/>
    </row>
    <row r="374" spans="1:56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3"/>
      <c r="AM374" s="213"/>
      <c r="AN374" s="213"/>
      <c r="AO374" s="213"/>
      <c r="AP374" s="643"/>
      <c r="AQ374" s="616">
        <f t="shared" si="27"/>
        <v>0</v>
      </c>
      <c r="AR374" s="633"/>
      <c r="AS374" s="648"/>
      <c r="AT374" s="648"/>
      <c r="AU374" s="7"/>
      <c r="AV374" s="699"/>
      <c r="AW374" s="7"/>
      <c r="AX374" s="618">
        <f t="shared" si="28"/>
        <v>0</v>
      </c>
      <c r="AY374" s="7"/>
      <c r="AZ374" s="7"/>
      <c r="BA374" s="7"/>
      <c r="BB374" s="7"/>
      <c r="BC374" s="7"/>
      <c r="BD374" s="7"/>
    </row>
    <row r="375" spans="1:56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3">
        <v>3</v>
      </c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3"/>
      <c r="AM375" s="213"/>
      <c r="AN375" s="213"/>
      <c r="AO375" s="213"/>
      <c r="AP375" s="643"/>
      <c r="AQ375" s="616">
        <f t="shared" si="27"/>
        <v>3</v>
      </c>
      <c r="AR375" s="633"/>
      <c r="AS375" s="636"/>
      <c r="AT375" s="636"/>
      <c r="AU375" s="7"/>
      <c r="AV375" s="725"/>
      <c r="AW375" s="7"/>
      <c r="AX375" s="618"/>
      <c r="AY375" s="7"/>
      <c r="AZ375" s="7"/>
      <c r="BA375" s="7"/>
      <c r="BB375" s="7"/>
      <c r="BC375" s="7"/>
      <c r="BD375" s="7"/>
    </row>
    <row r="376" spans="1:56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3">
        <v>1</v>
      </c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3"/>
      <c r="AM376" s="213"/>
      <c r="AN376" s="213"/>
      <c r="AO376" s="213"/>
      <c r="AP376" s="643"/>
      <c r="AQ376" s="616">
        <f t="shared" si="27"/>
        <v>1</v>
      </c>
      <c r="AR376" s="633"/>
      <c r="AS376" s="648"/>
      <c r="AT376" s="648"/>
      <c r="AU376" s="7"/>
      <c r="AV376" s="725"/>
      <c r="AW376" s="7"/>
      <c r="AX376" s="618"/>
      <c r="AY376" s="7"/>
      <c r="AZ376" s="7"/>
      <c r="BA376" s="7"/>
      <c r="BB376" s="7"/>
      <c r="BC376" s="7"/>
      <c r="BD376" s="7"/>
    </row>
    <row r="377" spans="1:56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3">
        <v>2</v>
      </c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3"/>
      <c r="AM377" s="213"/>
      <c r="AN377" s="213"/>
      <c r="AO377" s="213"/>
      <c r="AP377" s="643"/>
      <c r="AQ377" s="616">
        <f t="shared" si="27"/>
        <v>2</v>
      </c>
      <c r="AR377" s="633"/>
      <c r="AS377" s="648"/>
      <c r="AT377" s="648"/>
      <c r="AU377" s="7"/>
      <c r="AV377" s="725"/>
      <c r="AW377" s="7"/>
      <c r="AX377" s="618"/>
      <c r="AY377" s="7"/>
      <c r="AZ377" s="7"/>
      <c r="BA377" s="7"/>
      <c r="BB377" s="7"/>
      <c r="BC377" s="7"/>
      <c r="BD377" s="7"/>
    </row>
    <row r="378" spans="1:56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3"/>
      <c r="AM378" s="213"/>
      <c r="AN378" s="213"/>
      <c r="AO378" s="213"/>
      <c r="AP378" s="643"/>
      <c r="AQ378" s="616">
        <f t="shared" si="27"/>
        <v>0</v>
      </c>
      <c r="AR378" s="633"/>
      <c r="AS378" s="636"/>
      <c r="AT378" s="636"/>
      <c r="AU378" s="7"/>
      <c r="AV378" s="725"/>
      <c r="AW378" s="7"/>
      <c r="AX378" s="618"/>
      <c r="AY378" s="7"/>
      <c r="AZ378" s="7"/>
      <c r="BA378" s="7"/>
      <c r="BB378" s="7"/>
      <c r="BC378" s="7"/>
      <c r="BD378" s="7"/>
    </row>
    <row r="379" spans="1:56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3"/>
      <c r="AM379" s="213"/>
      <c r="AN379" s="213"/>
      <c r="AO379" s="213"/>
      <c r="AP379" s="643"/>
      <c r="AQ379" s="616">
        <f t="shared" si="27"/>
        <v>0</v>
      </c>
      <c r="AR379" s="633"/>
      <c r="AS379" s="648"/>
      <c r="AT379" s="648"/>
      <c r="AU379" s="7"/>
      <c r="AV379" s="725"/>
      <c r="AW379" s="7"/>
      <c r="AX379" s="618">
        <f t="shared" ref="AX379:AX437" si="29">AV379-AQ379</f>
        <v>0</v>
      </c>
      <c r="AY379" s="7"/>
      <c r="AZ379" s="7"/>
      <c r="BA379" s="7"/>
      <c r="BB379" s="7"/>
      <c r="BC379" s="7"/>
      <c r="BD379" s="7"/>
    </row>
    <row r="380" spans="1:56" ht="21.75" customHeight="1">
      <c r="A380" s="503" t="s">
        <v>1499</v>
      </c>
      <c r="B380" s="483" t="s">
        <v>828</v>
      </c>
      <c r="C380" s="658" t="s">
        <v>829</v>
      </c>
      <c r="D380" s="504" t="s">
        <v>2042</v>
      </c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  <c r="AN380" s="213"/>
      <c r="AO380" s="213"/>
      <c r="AP380" s="643"/>
      <c r="AQ380" s="616">
        <f t="shared" si="27"/>
        <v>0</v>
      </c>
      <c r="AR380" s="633"/>
      <c r="AS380" s="648"/>
      <c r="AT380" s="648"/>
      <c r="AU380" s="7"/>
      <c r="AV380" s="725"/>
      <c r="AW380" s="7"/>
      <c r="AX380" s="618">
        <f t="shared" si="29"/>
        <v>0</v>
      </c>
      <c r="AY380" s="7"/>
      <c r="AZ380" s="7"/>
      <c r="BA380" s="7"/>
      <c r="BB380" s="7"/>
      <c r="BC380" s="7"/>
      <c r="BD380" s="7"/>
    </row>
    <row r="381" spans="1:56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  <c r="AN381" s="213"/>
      <c r="AO381" s="213"/>
      <c r="AP381" s="643"/>
      <c r="AQ381" s="616">
        <f t="shared" si="27"/>
        <v>0</v>
      </c>
      <c r="AR381" s="633"/>
      <c r="AS381" s="648"/>
      <c r="AT381" s="648"/>
      <c r="AU381" s="7"/>
      <c r="AV381" s="725"/>
      <c r="AW381" s="7"/>
      <c r="AX381" s="618">
        <f t="shared" si="29"/>
        <v>0</v>
      </c>
      <c r="AY381" s="7"/>
      <c r="AZ381" s="7"/>
      <c r="BA381" s="7"/>
      <c r="BB381" s="7"/>
      <c r="BC381" s="7"/>
      <c r="BD381" s="7"/>
    </row>
    <row r="382" spans="1:56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3"/>
      <c r="AM382" s="213"/>
      <c r="AN382" s="213"/>
      <c r="AO382" s="213"/>
      <c r="AP382" s="643"/>
      <c r="AQ382" s="616">
        <f t="shared" si="27"/>
        <v>0</v>
      </c>
      <c r="AR382" s="633"/>
      <c r="AS382" s="636"/>
      <c r="AT382" s="636"/>
      <c r="AU382" s="7"/>
      <c r="AV382" s="725"/>
      <c r="AW382" s="7"/>
      <c r="AX382" s="618">
        <f t="shared" si="29"/>
        <v>0</v>
      </c>
      <c r="AY382" s="7"/>
      <c r="AZ382" s="7"/>
      <c r="BA382" s="7"/>
      <c r="BB382" s="7"/>
      <c r="BC382" s="7"/>
      <c r="BD382" s="7"/>
    </row>
    <row r="383" spans="1:56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  <c r="AN383" s="213"/>
      <c r="AO383" s="213"/>
      <c r="AP383" s="643"/>
      <c r="AQ383" s="616">
        <f t="shared" si="27"/>
        <v>0</v>
      </c>
      <c r="AR383" s="633"/>
      <c r="AS383" s="636"/>
      <c r="AT383" s="636"/>
      <c r="AU383" s="7"/>
      <c r="AV383" s="725"/>
      <c r="AW383" s="7"/>
      <c r="AX383" s="618">
        <f t="shared" si="29"/>
        <v>0</v>
      </c>
      <c r="AY383" s="7"/>
      <c r="AZ383" s="7"/>
      <c r="BA383" s="7"/>
      <c r="BB383" s="7"/>
      <c r="BC383" s="7"/>
      <c r="BD383" s="7"/>
    </row>
    <row r="384" spans="1:56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M384" s="213"/>
      <c r="AN384" s="213"/>
      <c r="AO384" s="213"/>
      <c r="AP384" s="643"/>
      <c r="AQ384" s="616">
        <f t="shared" si="27"/>
        <v>0</v>
      </c>
      <c r="AR384" s="633"/>
      <c r="AS384" s="648"/>
      <c r="AT384" s="648"/>
      <c r="AU384" s="7"/>
      <c r="AV384" s="725"/>
      <c r="AW384" s="7"/>
      <c r="AX384" s="618">
        <f t="shared" si="29"/>
        <v>0</v>
      </c>
      <c r="AY384" s="7"/>
      <c r="AZ384" s="7"/>
      <c r="BA384" s="7"/>
      <c r="BB384" s="7"/>
      <c r="BC384" s="7"/>
      <c r="BD384" s="7"/>
    </row>
    <row r="385" spans="1:56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M385" s="213"/>
      <c r="AN385" s="213"/>
      <c r="AO385" s="213"/>
      <c r="AP385" s="643"/>
      <c r="AQ385" s="616">
        <f t="shared" si="27"/>
        <v>0</v>
      </c>
      <c r="AR385" s="633"/>
      <c r="AS385" s="648"/>
      <c r="AT385" s="648"/>
      <c r="AU385" s="7"/>
      <c r="AV385" s="725"/>
      <c r="AW385" s="7"/>
      <c r="AX385" s="618">
        <f t="shared" si="29"/>
        <v>0</v>
      </c>
      <c r="AY385" s="7"/>
      <c r="AZ385" s="7"/>
      <c r="BA385" s="7"/>
      <c r="BB385" s="7"/>
      <c r="BC385" s="7"/>
      <c r="BD385" s="7"/>
    </row>
    <row r="386" spans="1:56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3"/>
      <c r="AM386" s="213"/>
      <c r="AN386" s="213"/>
      <c r="AO386" s="213"/>
      <c r="AP386" s="643"/>
      <c r="AQ386" s="616">
        <f t="shared" si="27"/>
        <v>0</v>
      </c>
      <c r="AR386" s="633"/>
      <c r="AS386" s="648"/>
      <c r="AT386" s="648"/>
      <c r="AU386" s="7"/>
      <c r="AV386" s="725"/>
      <c r="AW386" s="7"/>
      <c r="AX386" s="618">
        <f t="shared" si="29"/>
        <v>0</v>
      </c>
      <c r="AY386" s="7"/>
      <c r="AZ386" s="7"/>
      <c r="BA386" s="7"/>
      <c r="BB386" s="7"/>
      <c r="BC386" s="7"/>
      <c r="BD386" s="7"/>
    </row>
    <row r="387" spans="1:56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3"/>
      <c r="AM387" s="213"/>
      <c r="AN387" s="213"/>
      <c r="AO387" s="213"/>
      <c r="AP387" s="643"/>
      <c r="AQ387" s="616">
        <f t="shared" si="27"/>
        <v>0</v>
      </c>
      <c r="AR387" s="633"/>
      <c r="AS387" s="648"/>
      <c r="AT387" s="648"/>
      <c r="AU387" s="7"/>
      <c r="AV387" s="725"/>
      <c r="AW387" s="7"/>
      <c r="AX387" s="618">
        <f t="shared" si="29"/>
        <v>0</v>
      </c>
      <c r="AY387" s="7"/>
      <c r="AZ387" s="7"/>
      <c r="BA387" s="7"/>
      <c r="BB387" s="7"/>
      <c r="BC387" s="7"/>
      <c r="BD387" s="7"/>
    </row>
    <row r="388" spans="1:56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3"/>
      <c r="AM388" s="213"/>
      <c r="AN388" s="213"/>
      <c r="AO388" s="213"/>
      <c r="AP388" s="643"/>
      <c r="AQ388" s="616">
        <f t="shared" si="27"/>
        <v>0</v>
      </c>
      <c r="AR388" s="633"/>
      <c r="AS388" s="636"/>
      <c r="AT388" s="636"/>
      <c r="AU388" s="7"/>
      <c r="AV388" s="725"/>
      <c r="AW388" s="7"/>
      <c r="AX388" s="618">
        <f t="shared" si="29"/>
        <v>0</v>
      </c>
      <c r="AY388" s="7"/>
      <c r="AZ388" s="7"/>
      <c r="BA388" s="7"/>
      <c r="BB388" s="7"/>
      <c r="BC388" s="7"/>
      <c r="BD388" s="7"/>
    </row>
    <row r="389" spans="1:56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643"/>
      <c r="AQ389" s="616">
        <f t="shared" si="27"/>
        <v>0</v>
      </c>
      <c r="AR389" s="633"/>
      <c r="AS389" s="636"/>
      <c r="AT389" s="636"/>
      <c r="AU389" s="7"/>
      <c r="AV389" s="725"/>
      <c r="AW389" s="7"/>
      <c r="AX389" s="618">
        <f t="shared" si="29"/>
        <v>0</v>
      </c>
      <c r="AY389" s="7"/>
      <c r="AZ389" s="7"/>
      <c r="BA389" s="7"/>
      <c r="BB389" s="7"/>
      <c r="BC389" s="7"/>
      <c r="BD389" s="7"/>
    </row>
    <row r="390" spans="1:56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  <c r="AN390" s="213"/>
      <c r="AO390" s="213"/>
      <c r="AP390" s="643"/>
      <c r="AQ390" s="616">
        <f t="shared" si="27"/>
        <v>0</v>
      </c>
      <c r="AR390" s="633"/>
      <c r="AS390" s="636"/>
      <c r="AT390" s="636"/>
      <c r="AU390" s="7"/>
      <c r="AV390" s="725"/>
      <c r="AW390" s="7"/>
      <c r="AX390" s="618">
        <f t="shared" si="29"/>
        <v>0</v>
      </c>
      <c r="AY390" s="7"/>
      <c r="AZ390" s="7"/>
      <c r="BA390" s="7"/>
      <c r="BB390" s="7"/>
      <c r="BC390" s="7"/>
      <c r="BD390" s="7"/>
    </row>
    <row r="391" spans="1:56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  <c r="AN391" s="213"/>
      <c r="AO391" s="213"/>
      <c r="AP391" s="643"/>
      <c r="AQ391" s="616">
        <f t="shared" si="27"/>
        <v>0</v>
      </c>
      <c r="AR391" s="633"/>
      <c r="AS391" s="636"/>
      <c r="AT391" s="636"/>
      <c r="AU391" s="7"/>
      <c r="AV391" s="725"/>
      <c r="AW391" s="7"/>
      <c r="AX391" s="618">
        <f t="shared" si="29"/>
        <v>0</v>
      </c>
      <c r="AY391" s="7"/>
      <c r="AZ391" s="7"/>
      <c r="BA391" s="7"/>
      <c r="BB391" s="7"/>
      <c r="BC391" s="7"/>
      <c r="BD391" s="7"/>
    </row>
    <row r="392" spans="1:56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  <c r="AN392" s="213"/>
      <c r="AO392" s="213"/>
      <c r="AP392" s="643"/>
      <c r="AQ392" s="616">
        <f t="shared" si="27"/>
        <v>0</v>
      </c>
      <c r="AR392" s="633"/>
      <c r="AS392" s="636"/>
      <c r="AT392" s="636"/>
      <c r="AU392" s="7"/>
      <c r="AV392" s="725"/>
      <c r="AW392" s="7"/>
      <c r="AX392" s="618">
        <f t="shared" si="29"/>
        <v>0</v>
      </c>
      <c r="AY392" s="7"/>
      <c r="AZ392" s="7"/>
      <c r="BA392" s="7"/>
      <c r="BB392" s="7"/>
      <c r="BC392" s="7"/>
      <c r="BD392" s="7"/>
    </row>
    <row r="393" spans="1:56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  <c r="AN393" s="213"/>
      <c r="AO393" s="213"/>
      <c r="AP393" s="643"/>
      <c r="AQ393" s="616">
        <f t="shared" si="27"/>
        <v>0</v>
      </c>
      <c r="AR393" s="633"/>
      <c r="AS393" s="636"/>
      <c r="AT393" s="636"/>
      <c r="AU393" s="7"/>
      <c r="AV393" s="725"/>
      <c r="AW393" s="7"/>
      <c r="AX393" s="618">
        <f t="shared" si="29"/>
        <v>0</v>
      </c>
      <c r="AY393" s="7"/>
      <c r="AZ393" s="7"/>
      <c r="BA393" s="7"/>
      <c r="BB393" s="7"/>
      <c r="BC393" s="7"/>
      <c r="BD393" s="7"/>
    </row>
    <row r="394" spans="1:56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M394" s="213"/>
      <c r="AN394" s="213"/>
      <c r="AO394" s="213"/>
      <c r="AP394" s="643"/>
      <c r="AQ394" s="616">
        <f t="shared" si="27"/>
        <v>0</v>
      </c>
      <c r="AR394" s="633"/>
      <c r="AS394" s="634"/>
      <c r="AT394" s="634"/>
      <c r="AU394" s="7"/>
      <c r="AV394" s="725"/>
      <c r="AW394" s="7"/>
      <c r="AX394" s="618">
        <f t="shared" si="29"/>
        <v>0</v>
      </c>
      <c r="AY394" s="7"/>
      <c r="AZ394" s="7"/>
      <c r="BA394" s="7"/>
      <c r="BB394" s="7"/>
      <c r="BC394" s="7"/>
      <c r="BD394" s="7"/>
    </row>
    <row r="395" spans="1:56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3"/>
      <c r="AM395" s="213"/>
      <c r="AN395" s="213"/>
      <c r="AO395" s="213"/>
      <c r="AP395" s="643"/>
      <c r="AQ395" s="616">
        <f t="shared" si="27"/>
        <v>0</v>
      </c>
      <c r="AR395" s="633"/>
      <c r="AS395" s="634"/>
      <c r="AT395" s="634"/>
      <c r="AU395" s="7"/>
      <c r="AV395" s="725"/>
      <c r="AW395" s="7"/>
      <c r="AX395" s="618">
        <f t="shared" si="29"/>
        <v>0</v>
      </c>
      <c r="AY395" s="7"/>
      <c r="AZ395" s="7"/>
      <c r="BA395" s="7"/>
      <c r="BB395" s="7"/>
      <c r="BC395" s="7"/>
      <c r="BD395" s="7"/>
    </row>
    <row r="396" spans="1:56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3"/>
      <c r="AM396" s="213"/>
      <c r="AN396" s="213"/>
      <c r="AO396" s="213"/>
      <c r="AP396" s="643"/>
      <c r="AQ396" s="616">
        <f t="shared" si="27"/>
        <v>0</v>
      </c>
      <c r="AR396" s="633"/>
      <c r="AS396" s="634"/>
      <c r="AT396" s="634"/>
      <c r="AU396" s="7"/>
      <c r="AV396" s="725"/>
      <c r="AW396" s="7"/>
      <c r="AX396" s="618">
        <f t="shared" si="29"/>
        <v>0</v>
      </c>
      <c r="AY396" s="7"/>
      <c r="AZ396" s="7"/>
      <c r="BA396" s="7"/>
      <c r="BB396" s="7"/>
      <c r="BC396" s="7"/>
      <c r="BD396" s="7"/>
    </row>
    <row r="397" spans="1:56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3"/>
      <c r="AM397" s="213"/>
      <c r="AN397" s="213"/>
      <c r="AO397" s="213"/>
      <c r="AP397" s="643"/>
      <c r="AQ397" s="616">
        <f t="shared" si="27"/>
        <v>0</v>
      </c>
      <c r="AR397" s="633"/>
      <c r="AS397" s="636"/>
      <c r="AT397" s="636"/>
      <c r="AU397" s="7"/>
      <c r="AV397" s="725"/>
      <c r="AW397" s="7"/>
      <c r="AX397" s="618">
        <f t="shared" si="29"/>
        <v>0</v>
      </c>
      <c r="AY397" s="7"/>
      <c r="AZ397" s="7"/>
      <c r="BA397" s="7"/>
      <c r="BB397" s="7"/>
      <c r="BC397" s="7"/>
      <c r="BD397" s="7"/>
    </row>
    <row r="398" spans="1:56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3"/>
      <c r="AM398" s="213"/>
      <c r="AN398" s="213"/>
      <c r="AO398" s="213"/>
      <c r="AP398" s="643"/>
      <c r="AQ398" s="616">
        <f t="shared" si="27"/>
        <v>0</v>
      </c>
      <c r="AR398" s="633"/>
      <c r="AS398" s="634"/>
      <c r="AT398" s="634"/>
      <c r="AU398" s="7"/>
      <c r="AV398" s="725"/>
      <c r="AW398" s="7"/>
      <c r="AX398" s="618">
        <f t="shared" si="29"/>
        <v>0</v>
      </c>
      <c r="AY398" s="7"/>
      <c r="AZ398" s="7"/>
      <c r="BA398" s="7"/>
      <c r="BB398" s="7"/>
      <c r="BC398" s="7"/>
      <c r="BD398" s="7"/>
    </row>
    <row r="399" spans="1:56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3"/>
      <c r="AM399" s="213"/>
      <c r="AN399" s="213"/>
      <c r="AO399" s="213"/>
      <c r="AP399" s="643"/>
      <c r="AQ399" s="616">
        <f t="shared" si="27"/>
        <v>0</v>
      </c>
      <c r="AR399" s="633"/>
      <c r="AS399" s="634"/>
      <c r="AT399" s="634"/>
      <c r="AU399" s="7"/>
      <c r="AV399" s="725"/>
      <c r="AW399" s="7"/>
      <c r="AX399" s="618">
        <f t="shared" si="29"/>
        <v>0</v>
      </c>
      <c r="AY399" s="7"/>
      <c r="AZ399" s="7"/>
      <c r="BA399" s="7"/>
      <c r="BB399" s="7"/>
      <c r="BC399" s="7"/>
      <c r="BD399" s="7"/>
    </row>
    <row r="400" spans="1:56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3"/>
      <c r="AM400" s="213"/>
      <c r="AN400" s="213"/>
      <c r="AO400" s="213"/>
      <c r="AP400" s="643"/>
      <c r="AQ400" s="616">
        <f t="shared" si="27"/>
        <v>0</v>
      </c>
      <c r="AR400" s="633"/>
      <c r="AS400" s="636"/>
      <c r="AT400" s="636"/>
      <c r="AU400" s="7"/>
      <c r="AV400" s="725"/>
      <c r="AW400" s="7"/>
      <c r="AX400" s="618">
        <f t="shared" si="29"/>
        <v>0</v>
      </c>
      <c r="AY400" s="7"/>
      <c r="AZ400" s="7"/>
      <c r="BA400" s="7"/>
      <c r="BB400" s="7"/>
      <c r="BC400" s="7"/>
      <c r="BD400" s="7"/>
    </row>
    <row r="401" spans="1:56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3"/>
      <c r="AM401" s="213"/>
      <c r="AN401" s="213"/>
      <c r="AO401" s="213"/>
      <c r="AP401" s="643"/>
      <c r="AQ401" s="616">
        <f t="shared" si="27"/>
        <v>0</v>
      </c>
      <c r="AR401" s="633"/>
      <c r="AS401" s="634"/>
      <c r="AT401" s="634"/>
      <c r="AU401" s="7"/>
      <c r="AV401" s="725"/>
      <c r="AW401" s="7"/>
      <c r="AX401" s="618">
        <f t="shared" si="29"/>
        <v>0</v>
      </c>
      <c r="AY401" s="7"/>
      <c r="AZ401" s="7"/>
      <c r="BA401" s="7"/>
      <c r="BB401" s="7"/>
      <c r="BC401" s="7"/>
      <c r="BD401" s="7"/>
    </row>
    <row r="402" spans="1:56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3"/>
      <c r="AM402" s="213"/>
      <c r="AN402" s="213"/>
      <c r="AO402" s="213"/>
      <c r="AP402" s="643"/>
      <c r="AQ402" s="616">
        <f t="shared" si="27"/>
        <v>0</v>
      </c>
      <c r="AR402" s="633"/>
      <c r="AS402" s="634"/>
      <c r="AT402" s="634"/>
      <c r="AU402" s="7"/>
      <c r="AV402" s="725"/>
      <c r="AW402" s="7"/>
      <c r="AX402" s="618">
        <f t="shared" si="29"/>
        <v>0</v>
      </c>
      <c r="AY402" s="7"/>
      <c r="AZ402" s="7"/>
      <c r="BA402" s="7"/>
      <c r="BB402" s="7"/>
      <c r="BC402" s="7"/>
      <c r="BD402" s="7"/>
    </row>
    <row r="403" spans="1:56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3"/>
      <c r="AM403" s="213"/>
      <c r="AN403" s="213"/>
      <c r="AO403" s="213"/>
      <c r="AP403" s="643"/>
      <c r="AQ403" s="616">
        <f t="shared" si="27"/>
        <v>0</v>
      </c>
      <c r="AR403" s="633"/>
      <c r="AS403" s="634"/>
      <c r="AT403" s="634"/>
      <c r="AU403" s="7"/>
      <c r="AV403" s="725"/>
      <c r="AW403" s="7"/>
      <c r="AX403" s="618">
        <f t="shared" si="29"/>
        <v>0</v>
      </c>
      <c r="AY403" s="7"/>
      <c r="AZ403" s="7"/>
      <c r="BA403" s="7"/>
      <c r="BB403" s="7"/>
      <c r="BC403" s="7"/>
      <c r="BD403" s="7"/>
    </row>
    <row r="404" spans="1:56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3"/>
      <c r="AM404" s="213"/>
      <c r="AN404" s="213"/>
      <c r="AO404" s="213"/>
      <c r="AP404" s="643"/>
      <c r="AQ404" s="616">
        <f t="shared" si="27"/>
        <v>0</v>
      </c>
      <c r="AR404" s="633"/>
      <c r="AS404" s="640"/>
      <c r="AT404" s="640"/>
      <c r="AU404" s="7"/>
      <c r="AV404" s="725"/>
      <c r="AW404" s="7"/>
      <c r="AX404" s="618">
        <f t="shared" si="29"/>
        <v>0</v>
      </c>
      <c r="AY404" s="7"/>
      <c r="AZ404" s="7"/>
      <c r="BA404" s="7"/>
      <c r="BB404" s="7"/>
      <c r="BC404" s="7"/>
      <c r="BD404" s="7"/>
    </row>
    <row r="405" spans="1:56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3"/>
      <c r="AM405" s="213"/>
      <c r="AN405" s="213"/>
      <c r="AO405" s="213"/>
      <c r="AP405" s="643"/>
      <c r="AQ405" s="616">
        <f t="shared" si="27"/>
        <v>0</v>
      </c>
      <c r="AR405" s="633"/>
      <c r="AS405" s="636"/>
      <c r="AT405" s="636"/>
      <c r="AU405" s="7"/>
      <c r="AV405" s="725"/>
      <c r="AW405" s="7"/>
      <c r="AX405" s="618">
        <f t="shared" si="29"/>
        <v>0</v>
      </c>
      <c r="AY405" s="7"/>
      <c r="AZ405" s="7"/>
      <c r="BA405" s="7"/>
      <c r="BB405" s="7"/>
      <c r="BC405" s="7"/>
      <c r="BD405" s="7"/>
    </row>
    <row r="406" spans="1:56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3"/>
      <c r="AM406" s="213"/>
      <c r="AN406" s="213"/>
      <c r="AO406" s="213"/>
      <c r="AP406" s="643"/>
      <c r="AQ406" s="616">
        <f t="shared" si="27"/>
        <v>0</v>
      </c>
      <c r="AR406" s="633"/>
      <c r="AS406" s="636"/>
      <c r="AT406" s="636"/>
      <c r="AU406" s="7"/>
      <c r="AV406" s="725"/>
      <c r="AW406" s="7"/>
      <c r="AX406" s="618">
        <f t="shared" si="29"/>
        <v>0</v>
      </c>
      <c r="AY406" s="7"/>
      <c r="AZ406" s="7"/>
      <c r="BA406" s="7"/>
      <c r="BB406" s="7"/>
      <c r="BC406" s="7"/>
      <c r="BD406" s="7"/>
    </row>
    <row r="407" spans="1:56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3"/>
      <c r="AM407" s="213"/>
      <c r="AN407" s="213"/>
      <c r="AO407" s="213"/>
      <c r="AP407" s="643"/>
      <c r="AQ407" s="616">
        <f t="shared" si="27"/>
        <v>0</v>
      </c>
      <c r="AR407" s="633"/>
      <c r="AS407" s="636"/>
      <c r="AT407" s="636"/>
      <c r="AU407" s="7"/>
      <c r="AV407" s="725"/>
      <c r="AW407" s="7"/>
      <c r="AX407" s="618">
        <f t="shared" si="29"/>
        <v>0</v>
      </c>
      <c r="AY407" s="7"/>
      <c r="AZ407" s="7"/>
      <c r="BA407" s="7"/>
      <c r="BB407" s="7"/>
      <c r="BC407" s="7"/>
      <c r="BD407" s="7"/>
    </row>
    <row r="408" spans="1:56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3"/>
      <c r="AM408" s="213"/>
      <c r="AN408" s="213"/>
      <c r="AO408" s="213"/>
      <c r="AP408" s="643"/>
      <c r="AQ408" s="616">
        <f t="shared" si="27"/>
        <v>0</v>
      </c>
      <c r="AR408" s="633"/>
      <c r="AS408" s="636"/>
      <c r="AT408" s="636"/>
      <c r="AU408" s="7"/>
      <c r="AV408" s="725"/>
      <c r="AW408" s="7"/>
      <c r="AX408" s="618">
        <f t="shared" si="29"/>
        <v>0</v>
      </c>
      <c r="AY408" s="7"/>
      <c r="AZ408" s="7"/>
      <c r="BA408" s="7"/>
      <c r="BB408" s="7"/>
      <c r="BC408" s="7"/>
      <c r="BD408" s="7"/>
    </row>
    <row r="409" spans="1:56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3"/>
      <c r="AM409" s="213"/>
      <c r="AN409" s="213"/>
      <c r="AO409" s="213"/>
      <c r="AP409" s="643"/>
      <c r="AQ409" s="616">
        <f t="shared" si="27"/>
        <v>0</v>
      </c>
      <c r="AR409" s="633"/>
      <c r="AS409" s="636"/>
      <c r="AT409" s="636"/>
      <c r="AU409" s="7"/>
      <c r="AV409" s="725"/>
      <c r="AW409" s="7"/>
      <c r="AX409" s="618">
        <f t="shared" si="29"/>
        <v>0</v>
      </c>
      <c r="AY409" s="7"/>
      <c r="AZ409" s="7"/>
      <c r="BA409" s="7"/>
      <c r="BB409" s="7"/>
      <c r="BC409" s="7"/>
      <c r="BD409" s="7"/>
    </row>
    <row r="410" spans="1:56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3"/>
      <c r="AM410" s="213"/>
      <c r="AN410" s="213"/>
      <c r="AO410" s="213"/>
      <c r="AP410" s="643"/>
      <c r="AQ410" s="616">
        <f t="shared" si="27"/>
        <v>0</v>
      </c>
      <c r="AR410" s="633"/>
      <c r="AS410" s="636"/>
      <c r="AT410" s="636"/>
      <c r="AU410" s="7"/>
      <c r="AV410" s="725"/>
      <c r="AW410" s="7"/>
      <c r="AX410" s="618">
        <f t="shared" si="29"/>
        <v>0</v>
      </c>
      <c r="AY410" s="7"/>
      <c r="AZ410" s="7"/>
      <c r="BA410" s="7"/>
      <c r="BB410" s="7"/>
      <c r="BC410" s="7"/>
      <c r="BD410" s="7"/>
    </row>
    <row r="411" spans="1:56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3"/>
      <c r="AM411" s="213"/>
      <c r="AN411" s="213"/>
      <c r="AO411" s="213"/>
      <c r="AP411" s="643"/>
      <c r="AQ411" s="616">
        <f t="shared" si="27"/>
        <v>0</v>
      </c>
      <c r="AR411" s="633"/>
      <c r="AS411" s="636"/>
      <c r="AT411" s="636"/>
      <c r="AU411" s="7"/>
      <c r="AV411" s="725"/>
      <c r="AW411" s="7"/>
      <c r="AX411" s="618">
        <f t="shared" si="29"/>
        <v>0</v>
      </c>
      <c r="AY411" s="7"/>
      <c r="AZ411" s="7"/>
      <c r="BA411" s="7"/>
      <c r="BB411" s="7"/>
      <c r="BC411" s="7"/>
      <c r="BD411" s="7"/>
    </row>
    <row r="412" spans="1:56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3"/>
      <c r="AM412" s="213"/>
      <c r="AN412" s="213"/>
      <c r="AO412" s="213"/>
      <c r="AP412" s="643"/>
      <c r="AQ412" s="616">
        <f t="shared" si="27"/>
        <v>0</v>
      </c>
      <c r="AR412" s="633"/>
      <c r="AS412" s="636"/>
      <c r="AT412" s="636"/>
      <c r="AU412" s="7"/>
      <c r="AV412" s="725"/>
      <c r="AW412" s="7"/>
      <c r="AX412" s="618">
        <f t="shared" si="29"/>
        <v>0</v>
      </c>
      <c r="AY412" s="7"/>
      <c r="AZ412" s="7"/>
      <c r="BA412" s="7"/>
      <c r="BB412" s="7"/>
      <c r="BC412" s="7"/>
      <c r="BD412" s="7"/>
    </row>
    <row r="413" spans="1:56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3"/>
      <c r="AM413" s="213"/>
      <c r="AN413" s="213"/>
      <c r="AO413" s="213"/>
      <c r="AP413" s="643"/>
      <c r="AQ413" s="616">
        <f t="shared" si="27"/>
        <v>0</v>
      </c>
      <c r="AR413" s="633"/>
      <c r="AS413" s="636"/>
      <c r="AT413" s="636"/>
      <c r="AU413" s="7"/>
      <c r="AV413" s="725"/>
      <c r="AW413" s="7"/>
      <c r="AX413" s="618">
        <f t="shared" si="29"/>
        <v>0</v>
      </c>
      <c r="AY413" s="7"/>
      <c r="AZ413" s="7"/>
      <c r="BA413" s="7"/>
      <c r="BB413" s="7"/>
      <c r="BC413" s="7"/>
      <c r="BD413" s="7"/>
    </row>
    <row r="414" spans="1:56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3"/>
      <c r="AM414" s="213"/>
      <c r="AN414" s="213"/>
      <c r="AO414" s="213"/>
      <c r="AP414" s="643"/>
      <c r="AQ414" s="616">
        <f t="shared" si="27"/>
        <v>0</v>
      </c>
      <c r="AR414" s="633"/>
      <c r="AS414" s="636"/>
      <c r="AT414" s="636"/>
      <c r="AU414" s="7"/>
      <c r="AV414" s="725"/>
      <c r="AW414" s="7"/>
      <c r="AX414" s="618">
        <f t="shared" si="29"/>
        <v>0</v>
      </c>
      <c r="AY414" s="7"/>
      <c r="AZ414" s="7"/>
      <c r="BA414" s="7"/>
      <c r="BB414" s="7"/>
      <c r="BC414" s="7"/>
      <c r="BD414" s="7"/>
    </row>
    <row r="415" spans="1:56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3"/>
      <c r="AM415" s="213"/>
      <c r="AN415" s="213"/>
      <c r="AO415" s="213"/>
      <c r="AP415" s="643"/>
      <c r="AQ415" s="616">
        <f t="shared" si="27"/>
        <v>0</v>
      </c>
      <c r="AR415" s="633"/>
      <c r="AS415" s="636"/>
      <c r="AT415" s="636"/>
      <c r="AU415" s="7"/>
      <c r="AV415" s="725"/>
      <c r="AW415" s="7"/>
      <c r="AX415" s="618">
        <f t="shared" si="29"/>
        <v>0</v>
      </c>
      <c r="AY415" s="7"/>
      <c r="AZ415" s="7"/>
      <c r="BA415" s="7"/>
      <c r="BB415" s="7"/>
      <c r="BC415" s="7"/>
      <c r="BD415" s="7"/>
    </row>
    <row r="416" spans="1:56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3"/>
      <c r="AM416" s="213"/>
      <c r="AN416" s="213"/>
      <c r="AO416" s="213"/>
      <c r="AP416" s="643"/>
      <c r="AQ416" s="616">
        <f t="shared" si="27"/>
        <v>0</v>
      </c>
      <c r="AR416" s="633"/>
      <c r="AS416" s="636"/>
      <c r="AT416" s="636"/>
      <c r="AU416" s="7"/>
      <c r="AV416" s="725"/>
      <c r="AW416" s="7"/>
      <c r="AX416" s="618">
        <f t="shared" si="29"/>
        <v>0</v>
      </c>
      <c r="AY416" s="7"/>
      <c r="AZ416" s="7"/>
      <c r="BA416" s="7"/>
      <c r="BB416" s="7"/>
      <c r="BC416" s="7"/>
      <c r="BD416" s="7"/>
    </row>
    <row r="417" spans="1:56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M417" s="213"/>
      <c r="AN417" s="213"/>
      <c r="AO417" s="213"/>
      <c r="AP417" s="643"/>
      <c r="AQ417" s="616">
        <f t="shared" si="27"/>
        <v>0</v>
      </c>
      <c r="AR417" s="633"/>
      <c r="AS417" s="636"/>
      <c r="AT417" s="636"/>
      <c r="AU417" s="7"/>
      <c r="AV417" s="725"/>
      <c r="AW417" s="7"/>
      <c r="AX417" s="618">
        <f t="shared" si="29"/>
        <v>0</v>
      </c>
      <c r="AY417" s="7"/>
      <c r="AZ417" s="7"/>
      <c r="BA417" s="7"/>
      <c r="BB417" s="7"/>
      <c r="BC417" s="7"/>
      <c r="BD417" s="7"/>
    </row>
    <row r="418" spans="1:56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3"/>
      <c r="AM418" s="213"/>
      <c r="AN418" s="213"/>
      <c r="AO418" s="213"/>
      <c r="AP418" s="643"/>
      <c r="AQ418" s="616">
        <f t="shared" si="27"/>
        <v>0</v>
      </c>
      <c r="AR418" s="633"/>
      <c r="AS418" s="636"/>
      <c r="AT418" s="636"/>
      <c r="AU418" s="7"/>
      <c r="AV418" s="725"/>
      <c r="AW418" s="7"/>
      <c r="AX418" s="618">
        <f t="shared" si="29"/>
        <v>0</v>
      </c>
      <c r="AY418" s="7"/>
      <c r="AZ418" s="7"/>
      <c r="BA418" s="7"/>
      <c r="BB418" s="7"/>
      <c r="BC418" s="7"/>
      <c r="BD418" s="7"/>
    </row>
    <row r="419" spans="1:56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3"/>
      <c r="AM419" s="213"/>
      <c r="AN419" s="213"/>
      <c r="AO419" s="213"/>
      <c r="AP419" s="643"/>
      <c r="AQ419" s="616">
        <f t="shared" si="27"/>
        <v>0</v>
      </c>
      <c r="AR419" s="633"/>
      <c r="AS419" s="636"/>
      <c r="AT419" s="636"/>
      <c r="AU419" s="7"/>
      <c r="AV419" s="725"/>
      <c r="AW419" s="7"/>
      <c r="AX419" s="618">
        <f t="shared" si="29"/>
        <v>0</v>
      </c>
      <c r="AY419" s="7"/>
      <c r="AZ419" s="7"/>
      <c r="BA419" s="7"/>
      <c r="BB419" s="7"/>
      <c r="BC419" s="7"/>
      <c r="BD419" s="7"/>
    </row>
    <row r="420" spans="1:56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3"/>
      <c r="AM420" s="213"/>
      <c r="AN420" s="213"/>
      <c r="AO420" s="213"/>
      <c r="AP420" s="643"/>
      <c r="AQ420" s="616">
        <f t="shared" si="27"/>
        <v>0</v>
      </c>
      <c r="AR420" s="633"/>
      <c r="AS420" s="636"/>
      <c r="AT420" s="636"/>
      <c r="AU420" s="7"/>
      <c r="AV420" s="725"/>
      <c r="AW420" s="7"/>
      <c r="AX420" s="618">
        <f t="shared" si="29"/>
        <v>0</v>
      </c>
      <c r="AY420" s="7"/>
      <c r="AZ420" s="7"/>
      <c r="BA420" s="7"/>
      <c r="BB420" s="7"/>
      <c r="BC420" s="7"/>
      <c r="BD420" s="7"/>
    </row>
    <row r="421" spans="1:56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3"/>
      <c r="AM421" s="213"/>
      <c r="AN421" s="213"/>
      <c r="AO421" s="213"/>
      <c r="AP421" s="643"/>
      <c r="AQ421" s="616">
        <f t="shared" si="27"/>
        <v>0</v>
      </c>
      <c r="AR421" s="633"/>
      <c r="AS421" s="640"/>
      <c r="AT421" s="640"/>
      <c r="AU421" s="7"/>
      <c r="AV421" s="725"/>
      <c r="AW421" s="7"/>
      <c r="AX421" s="618">
        <f t="shared" si="29"/>
        <v>0</v>
      </c>
      <c r="AY421" s="7"/>
      <c r="AZ421" s="7"/>
      <c r="BA421" s="7"/>
      <c r="BB421" s="7"/>
      <c r="BC421" s="7"/>
      <c r="BD421" s="7"/>
    </row>
    <row r="422" spans="1:56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3"/>
      <c r="AM422" s="213"/>
      <c r="AN422" s="213"/>
      <c r="AO422" s="213"/>
      <c r="AP422" s="643"/>
      <c r="AQ422" s="616">
        <f t="shared" si="27"/>
        <v>0</v>
      </c>
      <c r="AR422" s="633"/>
      <c r="AS422" s="634"/>
      <c r="AT422" s="634"/>
      <c r="AU422" s="7"/>
      <c r="AV422" s="725"/>
      <c r="AW422" s="7"/>
      <c r="AX422" s="618">
        <f t="shared" si="29"/>
        <v>0</v>
      </c>
      <c r="AY422" s="7"/>
      <c r="AZ422" s="7"/>
      <c r="BA422" s="7"/>
      <c r="BB422" s="7"/>
      <c r="BC422" s="7"/>
      <c r="BD422" s="7"/>
    </row>
    <row r="423" spans="1:56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3"/>
      <c r="AM423" s="213"/>
      <c r="AN423" s="213"/>
      <c r="AO423" s="213"/>
      <c r="AP423" s="643"/>
      <c r="AQ423" s="616">
        <f t="shared" si="27"/>
        <v>0</v>
      </c>
      <c r="AR423" s="633"/>
      <c r="AS423" s="634"/>
      <c r="AT423" s="634"/>
      <c r="AU423" s="7"/>
      <c r="AV423" s="725"/>
      <c r="AW423" s="7"/>
      <c r="AX423" s="618">
        <f t="shared" si="29"/>
        <v>0</v>
      </c>
      <c r="AY423" s="7"/>
      <c r="AZ423" s="7"/>
      <c r="BA423" s="7"/>
      <c r="BB423" s="7"/>
      <c r="BC423" s="7"/>
      <c r="BD423" s="7"/>
    </row>
    <row r="424" spans="1:56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3"/>
      <c r="AM424" s="213"/>
      <c r="AN424" s="213"/>
      <c r="AO424" s="213"/>
      <c r="AP424" s="643"/>
      <c r="AQ424" s="616">
        <f t="shared" si="27"/>
        <v>0</v>
      </c>
      <c r="AR424" s="633"/>
      <c r="AS424" s="634"/>
      <c r="AT424" s="634"/>
      <c r="AU424" s="7"/>
      <c r="AV424" s="725"/>
      <c r="AW424" s="7"/>
      <c r="AX424" s="618">
        <f t="shared" si="29"/>
        <v>0</v>
      </c>
      <c r="AY424" s="7"/>
      <c r="AZ424" s="7"/>
      <c r="BA424" s="7"/>
      <c r="BB424" s="7"/>
      <c r="BC424" s="7"/>
      <c r="BD424" s="7"/>
    </row>
    <row r="425" spans="1:56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3"/>
      <c r="AM425" s="213"/>
      <c r="AN425" s="213"/>
      <c r="AO425" s="213"/>
      <c r="AP425" s="643"/>
      <c r="AQ425" s="616">
        <f t="shared" si="27"/>
        <v>0</v>
      </c>
      <c r="AR425" s="633"/>
      <c r="AS425" s="636"/>
      <c r="AT425" s="636"/>
      <c r="AU425" s="7"/>
      <c r="AV425" s="725"/>
      <c r="AW425" s="7"/>
      <c r="AX425" s="618">
        <f t="shared" si="29"/>
        <v>0</v>
      </c>
      <c r="AY425" s="7"/>
      <c r="AZ425" s="7"/>
      <c r="BA425" s="7"/>
      <c r="BB425" s="7"/>
      <c r="BC425" s="7"/>
      <c r="BD425" s="7"/>
    </row>
    <row r="426" spans="1:56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3"/>
      <c r="AM426" s="213"/>
      <c r="AN426" s="213"/>
      <c r="AO426" s="213"/>
      <c r="AP426" s="643"/>
      <c r="AQ426" s="616">
        <f t="shared" si="27"/>
        <v>0</v>
      </c>
      <c r="AR426" s="633"/>
      <c r="AS426" s="634"/>
      <c r="AT426" s="634"/>
      <c r="AU426" s="7"/>
      <c r="AV426" s="725"/>
      <c r="AW426" s="7"/>
      <c r="AX426" s="618">
        <f t="shared" si="29"/>
        <v>0</v>
      </c>
      <c r="AY426" s="7"/>
      <c r="AZ426" s="7"/>
      <c r="BA426" s="7"/>
      <c r="BB426" s="7"/>
      <c r="BC426" s="7"/>
      <c r="BD426" s="7"/>
    </row>
    <row r="427" spans="1:56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3"/>
      <c r="AM427" s="213"/>
      <c r="AN427" s="213"/>
      <c r="AO427" s="213"/>
      <c r="AP427" s="643"/>
      <c r="AQ427" s="616">
        <f t="shared" si="27"/>
        <v>0</v>
      </c>
      <c r="AR427" s="633"/>
      <c r="AS427" s="640"/>
      <c r="AT427" s="640"/>
      <c r="AU427" s="7"/>
      <c r="AV427" s="725"/>
      <c r="AW427" s="7"/>
      <c r="AX427" s="618">
        <f t="shared" si="29"/>
        <v>0</v>
      </c>
      <c r="AY427" s="7"/>
      <c r="AZ427" s="7"/>
      <c r="BA427" s="7"/>
      <c r="BB427" s="7"/>
      <c r="BC427" s="7"/>
      <c r="BD427" s="7"/>
    </row>
    <row r="428" spans="1:56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3"/>
      <c r="AM428" s="213"/>
      <c r="AN428" s="213"/>
      <c r="AO428" s="213"/>
      <c r="AP428" s="643"/>
      <c r="AQ428" s="616">
        <f t="shared" si="27"/>
        <v>0</v>
      </c>
      <c r="AR428" s="633"/>
      <c r="AS428" s="636"/>
      <c r="AT428" s="636"/>
      <c r="AU428" s="7"/>
      <c r="AV428" s="725"/>
      <c r="AW428" s="7"/>
      <c r="AX428" s="618">
        <f t="shared" si="29"/>
        <v>0</v>
      </c>
      <c r="AY428" s="7"/>
      <c r="AZ428" s="7"/>
      <c r="BA428" s="7"/>
      <c r="BB428" s="7"/>
      <c r="BC428" s="7"/>
      <c r="BD428" s="7"/>
    </row>
    <row r="429" spans="1:56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3"/>
      <c r="AM429" s="213"/>
      <c r="AN429" s="213"/>
      <c r="AO429" s="213"/>
      <c r="AP429" s="643"/>
      <c r="AQ429" s="616">
        <f t="shared" si="27"/>
        <v>0</v>
      </c>
      <c r="AR429" s="633"/>
      <c r="AS429" s="636"/>
      <c r="AT429" s="636"/>
      <c r="AU429" s="7"/>
      <c r="AV429" s="725"/>
      <c r="AW429" s="7"/>
      <c r="AX429" s="618">
        <f t="shared" si="29"/>
        <v>0</v>
      </c>
      <c r="AY429" s="7"/>
      <c r="AZ429" s="7"/>
      <c r="BA429" s="7"/>
      <c r="BB429" s="7"/>
      <c r="BC429" s="7"/>
      <c r="BD429" s="7"/>
    </row>
    <row r="430" spans="1:56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3"/>
      <c r="AM430" s="213"/>
      <c r="AN430" s="213"/>
      <c r="AO430" s="213"/>
      <c r="AP430" s="643"/>
      <c r="AQ430" s="616">
        <f t="shared" si="27"/>
        <v>0</v>
      </c>
      <c r="AR430" s="633"/>
      <c r="AS430" s="636"/>
      <c r="AT430" s="636"/>
      <c r="AU430" s="7"/>
      <c r="AV430" s="725"/>
      <c r="AW430" s="7"/>
      <c r="AX430" s="618">
        <f t="shared" si="29"/>
        <v>0</v>
      </c>
      <c r="AY430" s="7"/>
      <c r="AZ430" s="7"/>
      <c r="BA430" s="7"/>
      <c r="BB430" s="7"/>
      <c r="BC430" s="7"/>
      <c r="BD430" s="7"/>
    </row>
    <row r="431" spans="1:56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3"/>
      <c r="AM431" s="213"/>
      <c r="AN431" s="213"/>
      <c r="AO431" s="213"/>
      <c r="AP431" s="643"/>
      <c r="AQ431" s="616">
        <f t="shared" si="27"/>
        <v>0</v>
      </c>
      <c r="AR431" s="633"/>
      <c r="AS431" s="636"/>
      <c r="AT431" s="636"/>
      <c r="AU431" s="7"/>
      <c r="AV431" s="725"/>
      <c r="AW431" s="7"/>
      <c r="AX431" s="618">
        <f t="shared" si="29"/>
        <v>0</v>
      </c>
      <c r="AY431" s="7"/>
      <c r="AZ431" s="7"/>
      <c r="BA431" s="7"/>
      <c r="BB431" s="7"/>
      <c r="BC431" s="7"/>
      <c r="BD431" s="7"/>
    </row>
    <row r="432" spans="1:56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3"/>
      <c r="AM432" s="213"/>
      <c r="AN432" s="213"/>
      <c r="AO432" s="213"/>
      <c r="AP432" s="643"/>
      <c r="AQ432" s="616">
        <f t="shared" si="27"/>
        <v>0</v>
      </c>
      <c r="AR432" s="633"/>
      <c r="AS432" s="636"/>
      <c r="AT432" s="636"/>
      <c r="AU432" s="7"/>
      <c r="AV432" s="725"/>
      <c r="AW432" s="7"/>
      <c r="AX432" s="618">
        <f t="shared" si="29"/>
        <v>0</v>
      </c>
      <c r="AY432" s="7"/>
      <c r="AZ432" s="7"/>
      <c r="BA432" s="7"/>
      <c r="BB432" s="7"/>
      <c r="BC432" s="7"/>
      <c r="BD432" s="7"/>
    </row>
    <row r="433" spans="1:56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3"/>
      <c r="AM433" s="213"/>
      <c r="AN433" s="213"/>
      <c r="AO433" s="213"/>
      <c r="AP433" s="643"/>
      <c r="AQ433" s="616">
        <f t="shared" si="27"/>
        <v>0</v>
      </c>
      <c r="AR433" s="633"/>
      <c r="AS433" s="636"/>
      <c r="AT433" s="636"/>
      <c r="AU433" s="7"/>
      <c r="AV433" s="725"/>
      <c r="AW433" s="7"/>
      <c r="AX433" s="618">
        <f t="shared" si="29"/>
        <v>0</v>
      </c>
      <c r="AY433" s="7"/>
      <c r="AZ433" s="7"/>
      <c r="BA433" s="7"/>
      <c r="BB433" s="7"/>
      <c r="BC433" s="7"/>
      <c r="BD433" s="7"/>
    </row>
    <row r="434" spans="1:56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3"/>
      <c r="AM434" s="213"/>
      <c r="AN434" s="213"/>
      <c r="AO434" s="213"/>
      <c r="AP434" s="643"/>
      <c r="AQ434" s="616">
        <f t="shared" si="27"/>
        <v>0</v>
      </c>
      <c r="AR434" s="633"/>
      <c r="AS434" s="636"/>
      <c r="AT434" s="636"/>
      <c r="AU434" s="7"/>
      <c r="AV434" s="725"/>
      <c r="AW434" s="7"/>
      <c r="AX434" s="618">
        <f t="shared" si="29"/>
        <v>0</v>
      </c>
      <c r="AY434" s="7"/>
      <c r="AZ434" s="7"/>
      <c r="BA434" s="7"/>
      <c r="BB434" s="7"/>
      <c r="BC434" s="7"/>
      <c r="BD434" s="7"/>
    </row>
    <row r="435" spans="1:56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3"/>
      <c r="AM435" s="213"/>
      <c r="AN435" s="213"/>
      <c r="AO435" s="213"/>
      <c r="AP435" s="643"/>
      <c r="AQ435" s="616">
        <f t="shared" si="27"/>
        <v>0</v>
      </c>
      <c r="AR435" s="633"/>
      <c r="AS435" s="636"/>
      <c r="AT435" s="636"/>
      <c r="AU435" s="7"/>
      <c r="AV435" s="725"/>
      <c r="AW435" s="7"/>
      <c r="AX435" s="618">
        <f t="shared" si="29"/>
        <v>0</v>
      </c>
      <c r="AY435" s="7"/>
      <c r="AZ435" s="7"/>
      <c r="BA435" s="7"/>
      <c r="BB435" s="7"/>
      <c r="BC435" s="7"/>
      <c r="BD435" s="7"/>
    </row>
    <row r="436" spans="1:56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3"/>
      <c r="AM436" s="213"/>
      <c r="AN436" s="213"/>
      <c r="AO436" s="213"/>
      <c r="AP436" s="643"/>
      <c r="AQ436" s="616">
        <f t="shared" si="27"/>
        <v>0</v>
      </c>
      <c r="AR436" s="633"/>
      <c r="AS436" s="636"/>
      <c r="AT436" s="636"/>
      <c r="AU436" s="7"/>
      <c r="AV436" s="725"/>
      <c r="AW436" s="7"/>
      <c r="AX436" s="618">
        <f t="shared" si="29"/>
        <v>0</v>
      </c>
      <c r="AY436" s="7"/>
      <c r="AZ436" s="7"/>
      <c r="BA436" s="7"/>
      <c r="BB436" s="7"/>
      <c r="BC436" s="7"/>
      <c r="BD436" s="7"/>
    </row>
    <row r="437" spans="1:56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3"/>
      <c r="AM437" s="213"/>
      <c r="AN437" s="213"/>
      <c r="AO437" s="213"/>
      <c r="AP437" s="643"/>
      <c r="AQ437" s="616">
        <f t="shared" si="27"/>
        <v>0</v>
      </c>
      <c r="AR437" s="633"/>
      <c r="AS437" s="636"/>
      <c r="AT437" s="636"/>
      <c r="AU437" s="7"/>
      <c r="AV437" s="725"/>
      <c r="AW437" s="7"/>
      <c r="AX437" s="618">
        <f t="shared" si="29"/>
        <v>0</v>
      </c>
      <c r="AY437" s="7"/>
      <c r="AZ437" s="7"/>
      <c r="BA437" s="7"/>
      <c r="BB437" s="7"/>
      <c r="BC437" s="7"/>
      <c r="BD437" s="7"/>
    </row>
    <row r="438" spans="1:56" ht="21.75" customHeight="1">
      <c r="A438" s="486">
        <v>15.3</v>
      </c>
      <c r="B438" s="487" t="s">
        <v>947</v>
      </c>
      <c r="C438" s="635" t="s">
        <v>948</v>
      </c>
      <c r="D438" s="412" t="s">
        <v>2043</v>
      </c>
      <c r="E438" s="213"/>
      <c r="F438" s="213"/>
      <c r="G438" s="213"/>
      <c r="H438" s="213">
        <v>5</v>
      </c>
      <c r="I438" s="213">
        <v>2</v>
      </c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3"/>
      <c r="AM438" s="213"/>
      <c r="AN438" s="213"/>
      <c r="AO438" s="213"/>
      <c r="AP438" s="643"/>
      <c r="AQ438" s="616">
        <f t="shared" si="27"/>
        <v>7</v>
      </c>
      <c r="AR438" s="633"/>
      <c r="AS438" s="636"/>
      <c r="AT438" s="636"/>
      <c r="AU438" s="7"/>
      <c r="AV438" s="725">
        <v>2</v>
      </c>
      <c r="AW438" s="7"/>
      <c r="AX438" s="618"/>
      <c r="AY438" s="7"/>
      <c r="AZ438" s="7"/>
      <c r="BA438" s="7"/>
      <c r="BB438" s="7"/>
      <c r="BC438" s="7"/>
      <c r="BD438" s="7"/>
    </row>
    <row r="439" spans="1:56" ht="21.75" customHeight="1">
      <c r="A439" s="503" t="s">
        <v>1515</v>
      </c>
      <c r="B439" s="483" t="s">
        <v>951</v>
      </c>
      <c r="C439" s="629" t="s">
        <v>131</v>
      </c>
      <c r="D439" s="485" t="s">
        <v>2044</v>
      </c>
      <c r="E439" s="213"/>
      <c r="F439" s="213"/>
      <c r="G439" s="213"/>
      <c r="H439" s="213"/>
      <c r="I439" s="213">
        <v>2</v>
      </c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3"/>
      <c r="AM439" s="213"/>
      <c r="AN439" s="213"/>
      <c r="AO439" s="213"/>
      <c r="AP439" s="643"/>
      <c r="AQ439" s="616">
        <f t="shared" si="27"/>
        <v>2</v>
      </c>
      <c r="AR439" s="633"/>
      <c r="AS439" s="636"/>
      <c r="AT439" s="636"/>
      <c r="AU439" s="7"/>
      <c r="AV439" s="725"/>
      <c r="AW439" s="7"/>
      <c r="AX439" s="618"/>
      <c r="AY439" s="7"/>
      <c r="AZ439" s="7"/>
      <c r="BA439" s="7"/>
      <c r="BB439" s="7"/>
      <c r="BC439" s="7"/>
      <c r="BD439" s="7"/>
    </row>
    <row r="440" spans="1:56" ht="21.75" customHeight="1">
      <c r="A440" s="503" t="s">
        <v>1517</v>
      </c>
      <c r="B440" s="483" t="s">
        <v>953</v>
      </c>
      <c r="C440" s="629" t="s">
        <v>200</v>
      </c>
      <c r="D440" s="485" t="s">
        <v>2045</v>
      </c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3"/>
      <c r="AM440" s="213"/>
      <c r="AN440" s="213"/>
      <c r="AO440" s="213"/>
      <c r="AP440" s="643"/>
      <c r="AQ440" s="616">
        <f t="shared" si="27"/>
        <v>0</v>
      </c>
      <c r="AR440" s="633"/>
      <c r="AS440" s="636"/>
      <c r="AT440" s="636"/>
      <c r="AU440" s="7"/>
      <c r="AV440" s="725"/>
      <c r="AW440" s="7"/>
      <c r="AX440" s="618">
        <f t="shared" ref="AX440:AX447" si="30">AV440-AQ440</f>
        <v>0</v>
      </c>
      <c r="AY440" s="7"/>
      <c r="AZ440" s="7"/>
      <c r="BA440" s="7"/>
      <c r="BB440" s="7"/>
      <c r="BC440" s="7"/>
      <c r="BD440" s="7"/>
    </row>
    <row r="441" spans="1:56" ht="21.75" customHeight="1">
      <c r="A441" s="503" t="s">
        <v>1519</v>
      </c>
      <c r="B441" s="483" t="s">
        <v>955</v>
      </c>
      <c r="C441" s="629" t="s">
        <v>203</v>
      </c>
      <c r="D441" s="485" t="s">
        <v>2046</v>
      </c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3"/>
      <c r="AM441" s="213"/>
      <c r="AN441" s="213"/>
      <c r="AO441" s="213"/>
      <c r="AP441" s="643"/>
      <c r="AQ441" s="616">
        <f t="shared" si="27"/>
        <v>0</v>
      </c>
      <c r="AR441" s="633"/>
      <c r="AS441" s="636"/>
      <c r="AT441" s="636"/>
      <c r="AU441" s="7"/>
      <c r="AV441" s="725"/>
      <c r="AW441" s="7"/>
      <c r="AX441" s="618">
        <f t="shared" si="30"/>
        <v>0</v>
      </c>
      <c r="AY441" s="7"/>
      <c r="AZ441" s="7"/>
      <c r="BA441" s="7"/>
      <c r="BB441" s="7"/>
      <c r="BC441" s="7"/>
      <c r="BD441" s="7"/>
    </row>
    <row r="442" spans="1:56" ht="21.75" customHeight="1">
      <c r="A442" s="503" t="s">
        <v>1521</v>
      </c>
      <c r="B442" s="483" t="s">
        <v>957</v>
      </c>
      <c r="C442" s="629" t="s">
        <v>159</v>
      </c>
      <c r="D442" s="485" t="s">
        <v>2047</v>
      </c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3"/>
      <c r="AM442" s="213"/>
      <c r="AN442" s="213"/>
      <c r="AO442" s="213"/>
      <c r="AP442" s="643"/>
      <c r="AQ442" s="616">
        <f t="shared" si="27"/>
        <v>0</v>
      </c>
      <c r="AR442" s="633"/>
      <c r="AS442" s="636"/>
      <c r="AT442" s="636"/>
      <c r="AU442" s="7"/>
      <c r="AV442" s="725">
        <v>2</v>
      </c>
      <c r="AW442" s="7"/>
      <c r="AX442" s="618">
        <f t="shared" si="30"/>
        <v>2</v>
      </c>
      <c r="AY442" s="7"/>
      <c r="AZ442" s="7"/>
      <c r="BA442" s="7"/>
      <c r="BB442" s="7"/>
      <c r="BC442" s="7"/>
      <c r="BD442" s="7"/>
    </row>
    <row r="443" spans="1:56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3"/>
      <c r="AM443" s="213"/>
      <c r="AN443" s="213"/>
      <c r="AO443" s="213"/>
      <c r="AP443" s="643"/>
      <c r="AQ443" s="616">
        <f t="shared" si="27"/>
        <v>0</v>
      </c>
      <c r="AR443" s="633"/>
      <c r="AS443" s="636"/>
      <c r="AT443" s="636"/>
      <c r="AU443" s="7"/>
      <c r="AV443" s="725"/>
      <c r="AW443" s="7"/>
      <c r="AX443" s="618">
        <f t="shared" si="30"/>
        <v>0</v>
      </c>
      <c r="AY443" s="7"/>
      <c r="AZ443" s="7"/>
      <c r="BA443" s="7"/>
      <c r="BB443" s="7"/>
      <c r="BC443" s="7"/>
      <c r="BD443" s="7"/>
    </row>
    <row r="444" spans="1:56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M444" s="213"/>
      <c r="AN444" s="213"/>
      <c r="AO444" s="213"/>
      <c r="AP444" s="643"/>
      <c r="AQ444" s="616">
        <f t="shared" si="27"/>
        <v>0</v>
      </c>
      <c r="AR444" s="633"/>
      <c r="AS444" s="636"/>
      <c r="AT444" s="636"/>
      <c r="AU444" s="7"/>
      <c r="AV444" s="725"/>
      <c r="AW444" s="7"/>
      <c r="AX444" s="618">
        <f t="shared" si="30"/>
        <v>0</v>
      </c>
      <c r="AY444" s="7"/>
      <c r="AZ444" s="7"/>
      <c r="BA444" s="7"/>
      <c r="BB444" s="7"/>
      <c r="BC444" s="7"/>
      <c r="BD444" s="7"/>
    </row>
    <row r="445" spans="1:56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3"/>
      <c r="AM445" s="213"/>
      <c r="AN445" s="213"/>
      <c r="AO445" s="213"/>
      <c r="AP445" s="643"/>
      <c r="AQ445" s="616">
        <f t="shared" si="27"/>
        <v>0</v>
      </c>
      <c r="AR445" s="633"/>
      <c r="AS445" s="636"/>
      <c r="AT445" s="636"/>
      <c r="AU445" s="7"/>
      <c r="AV445" s="725"/>
      <c r="AW445" s="7"/>
      <c r="AX445" s="618">
        <f t="shared" si="30"/>
        <v>0</v>
      </c>
      <c r="AY445" s="7"/>
      <c r="AZ445" s="7"/>
      <c r="BA445" s="7"/>
      <c r="BB445" s="7"/>
      <c r="BC445" s="7"/>
      <c r="BD445" s="7"/>
    </row>
    <row r="446" spans="1:56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3"/>
      <c r="AM446" s="213"/>
      <c r="AN446" s="213"/>
      <c r="AO446" s="213"/>
      <c r="AP446" s="643"/>
      <c r="AQ446" s="616">
        <f t="shared" si="27"/>
        <v>0</v>
      </c>
      <c r="AR446" s="633"/>
      <c r="AS446" s="636"/>
      <c r="AT446" s="636"/>
      <c r="AU446" s="7"/>
      <c r="AV446" s="725"/>
      <c r="AW446" s="7"/>
      <c r="AX446" s="618">
        <f t="shared" si="30"/>
        <v>0</v>
      </c>
      <c r="AY446" s="7"/>
      <c r="AZ446" s="7"/>
      <c r="BA446" s="7"/>
      <c r="BB446" s="7"/>
      <c r="BC446" s="7"/>
      <c r="BD446" s="7"/>
    </row>
    <row r="447" spans="1:56" ht="42" customHeight="1">
      <c r="A447" s="519"/>
      <c r="B447" s="801" t="s">
        <v>969</v>
      </c>
      <c r="C447" s="771"/>
      <c r="D447" s="491" t="s">
        <v>970</v>
      </c>
      <c r="E447" s="231"/>
      <c r="F447" s="231">
        <v>2150</v>
      </c>
      <c r="G447" s="231"/>
      <c r="H447" s="231">
        <v>1530</v>
      </c>
      <c r="I447" s="231">
        <v>621</v>
      </c>
      <c r="J447" s="231">
        <v>95</v>
      </c>
      <c r="K447" s="231">
        <v>15</v>
      </c>
      <c r="L447" s="231">
        <v>27</v>
      </c>
      <c r="M447" s="231"/>
      <c r="N447" s="231">
        <v>20</v>
      </c>
      <c r="O447" s="231">
        <v>33.5</v>
      </c>
      <c r="P447" s="231"/>
      <c r="Q447" s="231">
        <v>105</v>
      </c>
      <c r="R447" s="231">
        <v>105</v>
      </c>
      <c r="S447" s="231">
        <v>120</v>
      </c>
      <c r="T447" s="231">
        <v>475</v>
      </c>
      <c r="U447" s="231">
        <v>200</v>
      </c>
      <c r="V447" s="231"/>
      <c r="W447" s="219"/>
      <c r="X447" s="219"/>
      <c r="Y447" s="219">
        <v>450</v>
      </c>
      <c r="Z447" s="219">
        <v>77</v>
      </c>
      <c r="AA447" s="219">
        <v>600</v>
      </c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19"/>
      <c r="AL447" s="219"/>
      <c r="AM447" s="219"/>
      <c r="AN447" s="231"/>
      <c r="AO447" s="231"/>
      <c r="AP447" s="678"/>
      <c r="AQ447" s="616">
        <f t="shared" si="27"/>
        <v>6623.5</v>
      </c>
      <c r="AR447" s="633"/>
      <c r="AS447" s="537"/>
      <c r="AT447" s="537"/>
      <c r="AU447" s="7"/>
      <c r="AV447" s="726">
        <v>177844</v>
      </c>
      <c r="AW447" s="7"/>
      <c r="AX447" s="618">
        <f t="shared" si="30"/>
        <v>171220.5</v>
      </c>
      <c r="AY447" s="7"/>
      <c r="AZ447" s="7"/>
      <c r="BA447" s="7"/>
      <c r="BB447" s="7"/>
      <c r="BC447" s="7"/>
      <c r="BD447" s="7"/>
    </row>
    <row r="448" spans="1:56" ht="21.75" customHeight="1">
      <c r="A448" s="534"/>
      <c r="B448" s="535"/>
      <c r="C448" s="680"/>
      <c r="D448" s="536"/>
      <c r="E448" s="539"/>
      <c r="F448" s="7"/>
      <c r="G448" s="7"/>
      <c r="H448" s="7"/>
      <c r="I448" s="7"/>
      <c r="J448" s="7"/>
    </row>
    <row r="449" spans="1:22" ht="15.75" customHeight="1">
      <c r="A449" s="541"/>
      <c r="B449" s="542" t="s">
        <v>1523</v>
      </c>
      <c r="C449" s="542"/>
      <c r="D449" s="541"/>
      <c r="E449" s="539"/>
      <c r="F449" s="7"/>
      <c r="G449" s="7"/>
      <c r="H449" s="7"/>
      <c r="I449" s="7"/>
      <c r="J449" s="7"/>
      <c r="V449" s="727">
        <f>SUM(E447:V447)</f>
        <v>5496.5</v>
      </c>
    </row>
    <row r="450" spans="1:22" ht="15.75" customHeight="1">
      <c r="A450" s="541"/>
      <c r="B450" s="545" t="s">
        <v>1524</v>
      </c>
      <c r="C450" s="542" t="s">
        <v>1525</v>
      </c>
      <c r="D450" s="541"/>
      <c r="E450" s="539"/>
      <c r="F450" s="7"/>
      <c r="G450" s="7"/>
      <c r="H450" s="7"/>
      <c r="I450" s="7"/>
      <c r="J450" s="7"/>
      <c r="V450" s="727">
        <f>12436-V449</f>
        <v>6939.5</v>
      </c>
    </row>
    <row r="451" spans="1:22" ht="15.75" customHeight="1">
      <c r="A451" s="541"/>
      <c r="B451" s="545" t="s">
        <v>1526</v>
      </c>
      <c r="C451" s="542" t="s">
        <v>1527</v>
      </c>
      <c r="D451" s="541"/>
      <c r="E451" s="681"/>
      <c r="F451" s="7"/>
      <c r="G451" s="7"/>
      <c r="H451" s="7"/>
      <c r="I451" s="7"/>
      <c r="J451" s="7"/>
    </row>
    <row r="452" spans="1:22" ht="15.75" customHeight="1">
      <c r="A452" s="541"/>
      <c r="B452" s="545"/>
      <c r="C452" s="542"/>
      <c r="D452" s="541"/>
      <c r="E452" s="681"/>
      <c r="F452" s="7"/>
      <c r="G452" s="7"/>
      <c r="H452" s="7"/>
      <c r="I452" s="7"/>
      <c r="J452" s="7"/>
    </row>
    <row r="453" spans="1:22" ht="15.75" customHeight="1">
      <c r="A453" s="541"/>
      <c r="B453" s="802" t="s">
        <v>1528</v>
      </c>
      <c r="C453" s="791"/>
      <c r="D453" s="541"/>
      <c r="E453" s="681"/>
      <c r="F453" s="7"/>
      <c r="G453" s="7"/>
      <c r="H453" s="7"/>
      <c r="I453" s="7"/>
      <c r="J453" s="7"/>
    </row>
    <row r="454" spans="1:22" ht="15.75" customHeight="1">
      <c r="A454" s="541"/>
      <c r="B454" s="790" t="s">
        <v>1529</v>
      </c>
      <c r="C454" s="791"/>
      <c r="D454" s="541" t="s">
        <v>1530</v>
      </c>
      <c r="E454" s="681"/>
      <c r="F454" s="7"/>
      <c r="G454" s="7"/>
      <c r="H454" s="7"/>
      <c r="I454" s="7"/>
      <c r="J454" s="7"/>
    </row>
    <row r="455" spans="1:22" ht="15.75" customHeight="1">
      <c r="A455" s="541"/>
      <c r="B455" s="545"/>
      <c r="C455" s="542"/>
      <c r="D455" s="541"/>
      <c r="E455" s="681"/>
      <c r="F455" s="7"/>
      <c r="G455" s="7"/>
      <c r="H455" s="7"/>
      <c r="I455" s="7"/>
      <c r="J455" s="7"/>
    </row>
    <row r="456" spans="1:22" ht="15.75" customHeight="1">
      <c r="A456" s="546" t="s">
        <v>971</v>
      </c>
      <c r="B456" s="547"/>
      <c r="C456" s="547"/>
      <c r="D456" s="547"/>
      <c r="E456" s="682"/>
      <c r="F456" s="7"/>
      <c r="G456" s="7"/>
      <c r="H456" s="7"/>
      <c r="I456" s="7"/>
      <c r="J456" s="7"/>
    </row>
    <row r="457" spans="1:22" ht="15.75" customHeight="1">
      <c r="A457" s="549" t="s">
        <v>972</v>
      </c>
      <c r="B457" s="550"/>
      <c r="C457" s="550"/>
      <c r="D457" s="550"/>
      <c r="E457" s="684"/>
      <c r="F457" s="7"/>
      <c r="G457" s="7"/>
      <c r="H457" s="7"/>
      <c r="I457" s="7"/>
      <c r="J457" s="7"/>
    </row>
    <row r="458" spans="1:22" ht="15.75" customHeight="1">
      <c r="A458" s="546"/>
      <c r="B458" s="547"/>
      <c r="C458" s="241" t="s">
        <v>12</v>
      </c>
      <c r="D458" s="242">
        <f>COUNTIF($D$11:$AQ$11,"Hà Giang")</f>
        <v>0</v>
      </c>
      <c r="E458" s="539"/>
      <c r="F458" s="7"/>
      <c r="G458" s="7"/>
      <c r="H458" s="7"/>
      <c r="I458" s="7"/>
      <c r="J458" s="7"/>
    </row>
    <row r="459" spans="1:22" ht="15.75" customHeight="1">
      <c r="A459" s="546"/>
      <c r="B459" s="547"/>
      <c r="C459" s="241" t="s">
        <v>14</v>
      </c>
      <c r="D459" s="242">
        <f>COUNTIF($D$11:$AQ$11,"Lào Cai")</f>
        <v>0</v>
      </c>
      <c r="E459" s="539"/>
      <c r="F459" s="7"/>
      <c r="G459" s="7"/>
      <c r="H459" s="7"/>
      <c r="I459" s="7"/>
      <c r="J459" s="7"/>
    </row>
    <row r="460" spans="1:22" ht="15.75" customHeight="1">
      <c r="A460" s="546"/>
      <c r="B460" s="552"/>
      <c r="C460" s="241" t="s">
        <v>23</v>
      </c>
      <c r="D460" s="242">
        <f>COUNTIF($D$11:$AQ$11,"Lai Châu")</f>
        <v>0</v>
      </c>
      <c r="E460" s="539"/>
      <c r="F460" s="7"/>
      <c r="G460" s="7"/>
      <c r="H460" s="7"/>
      <c r="I460" s="7"/>
      <c r="J460" s="7"/>
    </row>
    <row r="461" spans="1:22" ht="15.75" customHeight="1">
      <c r="A461" s="686"/>
      <c r="B461" s="687"/>
      <c r="C461" s="243" t="s">
        <v>17</v>
      </c>
      <c r="D461" s="242">
        <f>COUNTIF($D$11:$AQ$11,"Điện Biên")</f>
        <v>0</v>
      </c>
      <c r="E461" s="688"/>
      <c r="F461" s="7"/>
      <c r="G461" s="7"/>
      <c r="H461" s="7"/>
      <c r="I461" s="7"/>
      <c r="J461" s="7"/>
    </row>
    <row r="462" spans="1:22" ht="15.75" customHeight="1">
      <c r="A462" s="686"/>
      <c r="B462" s="687"/>
      <c r="C462" s="243" t="s">
        <v>16</v>
      </c>
      <c r="D462" s="242">
        <f>COUNTIF($D$11:$AQ$11,"Lạng Sơn")</f>
        <v>0</v>
      </c>
      <c r="E462" s="688"/>
      <c r="F462" s="7"/>
      <c r="G462" s="7"/>
      <c r="H462" s="7"/>
      <c r="I462" s="7"/>
      <c r="J462" s="7"/>
    </row>
    <row r="463" spans="1:22" ht="15.75" customHeight="1">
      <c r="A463" s="686"/>
      <c r="B463" s="687"/>
      <c r="C463" s="243" t="s">
        <v>13</v>
      </c>
      <c r="D463" s="242">
        <f>COUNTIF($D$11:$AQ$11,"Cao Bằng")</f>
        <v>0</v>
      </c>
      <c r="E463" s="688"/>
      <c r="F463" s="7"/>
      <c r="G463" s="7"/>
      <c r="H463" s="7"/>
      <c r="I463" s="7"/>
      <c r="J463" s="7"/>
    </row>
    <row r="464" spans="1:22" ht="15.75" customHeight="1">
      <c r="A464" s="686"/>
      <c r="B464" s="687"/>
      <c r="C464" s="243" t="s">
        <v>1090</v>
      </c>
      <c r="D464" s="242">
        <f>COUNTIF($D$11:$AQ$11,"Sơn La")</f>
        <v>0</v>
      </c>
      <c r="E464" s="688"/>
      <c r="F464" s="7"/>
      <c r="G464" s="7"/>
      <c r="H464" s="7"/>
      <c r="I464" s="7"/>
      <c r="J464" s="7"/>
    </row>
    <row r="465" spans="1:10" ht="15.75" customHeight="1">
      <c r="A465" s="686"/>
      <c r="B465" s="687"/>
      <c r="C465" s="243" t="s">
        <v>19</v>
      </c>
      <c r="D465" s="242">
        <f>COUNTIF($D$11:$AQ$11,"Yên Bái")</f>
        <v>0</v>
      </c>
      <c r="E465" s="688"/>
      <c r="F465" s="7"/>
      <c r="G465" s="7"/>
      <c r="H465" s="7"/>
      <c r="I465" s="7"/>
      <c r="J465" s="7"/>
    </row>
    <row r="466" spans="1:10" ht="15.75" customHeight="1">
      <c r="A466" s="686"/>
      <c r="B466" s="687"/>
      <c r="C466" s="243" t="s">
        <v>18</v>
      </c>
      <c r="D466" s="242">
        <f>COUNTIF($D$11:$AQ$11,"Tuyên Quang")</f>
        <v>0</v>
      </c>
      <c r="E466" s="688"/>
      <c r="F466" s="7"/>
      <c r="G466" s="7"/>
      <c r="H466" s="7"/>
      <c r="I466" s="7"/>
      <c r="J466" s="7"/>
    </row>
    <row r="467" spans="1:10" ht="15.75" customHeight="1">
      <c r="A467" s="686"/>
      <c r="B467" s="687"/>
      <c r="C467" s="243" t="s">
        <v>1091</v>
      </c>
      <c r="D467" s="242">
        <f>COUNTIF($D$11:$AQ$11,"Thái Nguyên")</f>
        <v>0</v>
      </c>
      <c r="E467" s="688"/>
      <c r="F467" s="7"/>
      <c r="G467" s="7"/>
      <c r="H467" s="7"/>
      <c r="I467" s="7"/>
      <c r="J467" s="7"/>
    </row>
    <row r="468" spans="1:10" ht="15.75" customHeight="1">
      <c r="A468" s="686"/>
      <c r="B468" s="687"/>
      <c r="C468" s="243" t="s">
        <v>15</v>
      </c>
      <c r="D468" s="242">
        <f>COUNTIF($D$11:$AQ$11,"Bắc Kạn")</f>
        <v>0</v>
      </c>
      <c r="E468" s="688"/>
      <c r="F468" s="7"/>
      <c r="G468" s="7"/>
      <c r="H468" s="7"/>
      <c r="I468" s="7"/>
      <c r="J468" s="7"/>
    </row>
    <row r="469" spans="1:10" ht="15.75" customHeight="1">
      <c r="A469" s="686"/>
      <c r="B469" s="687"/>
      <c r="C469" s="243" t="s">
        <v>25</v>
      </c>
      <c r="D469" s="242">
        <f>COUNTIF($D$11:$AQ$11,"Hoà Bình")</f>
        <v>0</v>
      </c>
      <c r="E469" s="688"/>
      <c r="F469" s="7"/>
      <c r="G469" s="7"/>
      <c r="H469" s="7"/>
      <c r="I469" s="7"/>
      <c r="J469" s="7"/>
    </row>
    <row r="470" spans="1:10" ht="15.75" customHeight="1">
      <c r="A470" s="686"/>
      <c r="B470" s="687"/>
      <c r="C470" s="243" t="s">
        <v>1092</v>
      </c>
      <c r="D470" s="242">
        <f>COUNTIF($D$11:$AQ$11,"Bắc Giang")</f>
        <v>0</v>
      </c>
      <c r="E470" s="688"/>
      <c r="F470" s="7"/>
      <c r="G470" s="7"/>
      <c r="H470" s="7"/>
      <c r="I470" s="7"/>
      <c r="J470" s="7"/>
    </row>
    <row r="471" spans="1:10" ht="15.75" customHeight="1">
      <c r="A471" s="686"/>
      <c r="B471" s="687"/>
      <c r="C471" s="243" t="s">
        <v>28</v>
      </c>
      <c r="D471" s="242">
        <f>COUNTIF($D$11:$AQ$11,"Quảng Ninh")</f>
        <v>0</v>
      </c>
      <c r="E471" s="688"/>
      <c r="F471" s="7"/>
      <c r="G471" s="7"/>
      <c r="H471" s="7"/>
      <c r="I471" s="7"/>
      <c r="J471" s="7"/>
    </row>
    <row r="472" spans="1:10" ht="15.75" customHeight="1">
      <c r="A472" s="686"/>
      <c r="B472" s="687"/>
      <c r="C472" s="243" t="s">
        <v>26</v>
      </c>
      <c r="D472" s="242">
        <f>COUNTIF($D$11:$AQ$11,"Hà Nội")</f>
        <v>0</v>
      </c>
      <c r="E472" s="688"/>
      <c r="F472" s="7"/>
      <c r="G472" s="7"/>
      <c r="H472" s="7"/>
      <c r="I472" s="7"/>
      <c r="J472" s="7"/>
    </row>
    <row r="473" spans="1:10" ht="15.75" customHeight="1">
      <c r="A473" s="686"/>
      <c r="B473" s="687"/>
      <c r="C473" s="243" t="s">
        <v>21</v>
      </c>
      <c r="D473" s="242">
        <f>COUNTIF($D$11:$AQ$11,"Phú Thọ")</f>
        <v>0</v>
      </c>
      <c r="E473" s="688"/>
      <c r="F473" s="7"/>
      <c r="G473" s="7"/>
      <c r="H473" s="7"/>
      <c r="I473" s="7"/>
      <c r="J473" s="7"/>
    </row>
    <row r="474" spans="1:10" ht="15.75" customHeight="1">
      <c r="A474" s="686"/>
      <c r="B474" s="687"/>
      <c r="C474" s="243" t="s">
        <v>1093</v>
      </c>
      <c r="D474" s="242">
        <f>COUNTIF($D$11:$AQ$11,"Vĩnh Phúc")</f>
        <v>0</v>
      </c>
      <c r="E474" s="688"/>
      <c r="F474" s="7"/>
      <c r="G474" s="7"/>
      <c r="H474" s="7"/>
      <c r="I474" s="7"/>
      <c r="J474" s="7"/>
    </row>
    <row r="475" spans="1:10" ht="15.75" customHeight="1">
      <c r="A475" s="686"/>
      <c r="B475" s="687"/>
      <c r="C475" s="243" t="s">
        <v>32</v>
      </c>
      <c r="D475" s="242">
        <f>COUNTIF($D$11:$AQ$11,"Bắc Ninh")</f>
        <v>0</v>
      </c>
      <c r="E475" s="688"/>
      <c r="F475" s="7"/>
      <c r="G475" s="7"/>
      <c r="H475" s="7"/>
      <c r="I475" s="7"/>
      <c r="J475" s="7"/>
    </row>
    <row r="476" spans="1:10" ht="15.75" customHeight="1">
      <c r="A476" s="686"/>
      <c r="B476" s="687"/>
      <c r="C476" s="243" t="s">
        <v>29</v>
      </c>
      <c r="D476" s="242">
        <f>COUNTIF($D$11:$AQ$11,"Hải Dương")</f>
        <v>0</v>
      </c>
      <c r="E476" s="688"/>
      <c r="F476" s="7"/>
      <c r="G476" s="7"/>
      <c r="H476" s="7"/>
      <c r="I476" s="7"/>
      <c r="J476" s="7"/>
    </row>
    <row r="477" spans="1:10" ht="15.75" customHeight="1">
      <c r="A477" s="686"/>
      <c r="B477" s="687"/>
      <c r="C477" s="243" t="s">
        <v>30</v>
      </c>
      <c r="D477" s="242">
        <f>COUNTIF($D$11:$AQ$11,"Hưng Yên")</f>
        <v>0</v>
      </c>
      <c r="E477" s="688"/>
      <c r="F477" s="7"/>
      <c r="G477" s="7"/>
      <c r="H477" s="7"/>
      <c r="I477" s="7"/>
      <c r="J477" s="7"/>
    </row>
    <row r="478" spans="1:10" ht="15.75" customHeight="1">
      <c r="A478" s="686"/>
      <c r="B478" s="687"/>
      <c r="C478" s="243" t="s">
        <v>27</v>
      </c>
      <c r="D478" s="242">
        <f>COUNTIF($D$11:$AQ$11,"Hải Phòng")</f>
        <v>0</v>
      </c>
      <c r="E478" s="688"/>
      <c r="F478" s="7"/>
      <c r="G478" s="7"/>
      <c r="H478" s="7"/>
      <c r="I478" s="7"/>
      <c r="J478" s="7"/>
    </row>
    <row r="479" spans="1:10" ht="15.75" customHeight="1">
      <c r="A479" s="686"/>
      <c r="B479" s="687"/>
      <c r="C479" s="243" t="s">
        <v>33</v>
      </c>
      <c r="D479" s="242">
        <f>COUNTIF($D$11:$AQ$11,"Hà Nam")</f>
        <v>0</v>
      </c>
      <c r="E479" s="688"/>
      <c r="F479" s="7"/>
      <c r="G479" s="7"/>
      <c r="H479" s="7"/>
      <c r="I479" s="7"/>
      <c r="J479" s="7"/>
    </row>
    <row r="480" spans="1:10" ht="15.75" customHeight="1">
      <c r="A480" s="686"/>
      <c r="B480" s="687"/>
      <c r="C480" s="243" t="s">
        <v>36</v>
      </c>
      <c r="D480" s="242">
        <f>COUNTIF($D$11:$AQ$11,"Nam Định")</f>
        <v>0</v>
      </c>
      <c r="E480" s="688"/>
      <c r="F480" s="7"/>
      <c r="G480" s="7"/>
      <c r="H480" s="7"/>
      <c r="I480" s="7"/>
      <c r="J480" s="7"/>
    </row>
    <row r="481" spans="1:10" ht="15.75" customHeight="1">
      <c r="A481" s="686"/>
      <c r="B481" s="687"/>
      <c r="C481" s="243" t="s">
        <v>1094</v>
      </c>
      <c r="D481" s="242">
        <f>COUNTIF($D$11:$AQ$11,"Thái Bình")</f>
        <v>0</v>
      </c>
      <c r="E481" s="688"/>
      <c r="F481" s="7"/>
      <c r="G481" s="7"/>
      <c r="H481" s="7"/>
      <c r="I481" s="7"/>
      <c r="J481" s="7"/>
    </row>
    <row r="482" spans="1:10" ht="15.75" customHeight="1">
      <c r="A482" s="686"/>
      <c r="B482" s="687"/>
      <c r="C482" s="243" t="s">
        <v>34</v>
      </c>
      <c r="D482" s="242">
        <f>COUNTIF($D$11:$AQ$11,"Ninh Bình")</f>
        <v>0</v>
      </c>
      <c r="E482" s="688"/>
      <c r="F482" s="7"/>
      <c r="G482" s="7"/>
      <c r="H482" s="7"/>
      <c r="I482" s="7"/>
      <c r="J482" s="7"/>
    </row>
    <row r="483" spans="1:10" ht="15.75" customHeight="1">
      <c r="A483" s="686"/>
      <c r="B483" s="687"/>
      <c r="C483" s="243" t="s">
        <v>37</v>
      </c>
      <c r="D483" s="242">
        <f>COUNTIF($D$11:$AQ$11,"Thanh Hoá")</f>
        <v>0</v>
      </c>
      <c r="E483" s="688"/>
      <c r="F483" s="7"/>
      <c r="G483" s="7"/>
      <c r="H483" s="7"/>
      <c r="I483" s="7"/>
      <c r="J483" s="7"/>
    </row>
    <row r="484" spans="1:10" ht="15.75" customHeight="1">
      <c r="A484" s="686"/>
      <c r="B484" s="687"/>
      <c r="C484" s="243" t="s">
        <v>1095</v>
      </c>
      <c r="D484" s="242">
        <f>COUNTIF($D$11:$AQ$11,"Nghệ An")</f>
        <v>0</v>
      </c>
      <c r="E484" s="688"/>
      <c r="F484" s="7"/>
      <c r="G484" s="7"/>
      <c r="H484" s="7"/>
      <c r="I484" s="7"/>
      <c r="J484" s="7"/>
    </row>
    <row r="485" spans="1:10" ht="15.75" customHeight="1">
      <c r="A485" s="686"/>
      <c r="B485" s="687"/>
      <c r="C485" s="243" t="s">
        <v>1096</v>
      </c>
      <c r="D485" s="242">
        <f>COUNTIF($D$11:$AQ$11,"Hà Tĩnh")</f>
        <v>0</v>
      </c>
      <c r="E485" s="688"/>
      <c r="F485" s="7"/>
      <c r="G485" s="7"/>
      <c r="H485" s="7"/>
      <c r="I485" s="7"/>
      <c r="J485" s="7"/>
    </row>
    <row r="486" spans="1:10" ht="15.75" customHeight="1">
      <c r="A486" s="686"/>
      <c r="B486" s="687"/>
      <c r="C486" s="243" t="s">
        <v>1097</v>
      </c>
      <c r="D486" s="242">
        <f>COUNTIF($D$11:$AQ$11,"Quảng Bình")</f>
        <v>0</v>
      </c>
      <c r="E486" s="688"/>
      <c r="F486" s="7"/>
      <c r="G486" s="7"/>
      <c r="H486" s="7"/>
      <c r="I486" s="7"/>
      <c r="J486" s="7"/>
    </row>
    <row r="487" spans="1:10" ht="15.75" customHeight="1">
      <c r="A487" s="686"/>
      <c r="B487" s="687"/>
      <c r="C487" s="243" t="s">
        <v>1098</v>
      </c>
      <c r="D487" s="242">
        <f>COUNTIF($D$11:$AQ$11,"Quảng Trị")</f>
        <v>0</v>
      </c>
      <c r="E487" s="688"/>
      <c r="F487" s="7"/>
      <c r="G487" s="7"/>
      <c r="H487" s="7"/>
      <c r="I487" s="7"/>
      <c r="J487" s="7"/>
    </row>
    <row r="488" spans="1:10" ht="15.75" customHeight="1">
      <c r="A488" s="686"/>
      <c r="B488" s="687"/>
      <c r="C488" s="243" t="s">
        <v>1099</v>
      </c>
      <c r="D488" s="242">
        <f>COUNTIF($D$11:$AQ$11,"Thừa Thiên Huế")</f>
        <v>0</v>
      </c>
      <c r="E488" s="688"/>
      <c r="F488" s="7"/>
      <c r="G488" s="7"/>
      <c r="H488" s="7"/>
      <c r="I488" s="7"/>
      <c r="J488" s="7"/>
    </row>
    <row r="489" spans="1:10" ht="15.75" customHeight="1">
      <c r="A489" s="686"/>
      <c r="B489" s="687"/>
      <c r="C489" s="243" t="s">
        <v>1100</v>
      </c>
      <c r="D489" s="242">
        <f>COUNTIF($D$11:$AQ$11,"Đà Nẵng")</f>
        <v>0</v>
      </c>
      <c r="E489" s="688"/>
      <c r="F489" s="7"/>
      <c r="G489" s="7"/>
      <c r="H489" s="7"/>
      <c r="I489" s="7"/>
      <c r="J489" s="7"/>
    </row>
    <row r="490" spans="1:10" ht="15.75" customHeight="1">
      <c r="A490" s="686"/>
      <c r="B490" s="687"/>
      <c r="C490" s="243" t="s">
        <v>1101</v>
      </c>
      <c r="D490" s="242">
        <f>COUNTIF($D$11:$AQ$11,"Quảng Nam")</f>
        <v>0</v>
      </c>
      <c r="E490" s="688"/>
      <c r="F490" s="7"/>
      <c r="G490" s="7"/>
      <c r="H490" s="7"/>
      <c r="I490" s="7"/>
      <c r="J490" s="7"/>
    </row>
    <row r="491" spans="1:10" ht="15.75" customHeight="1">
      <c r="A491" s="686"/>
      <c r="B491" s="687"/>
      <c r="C491" s="243" t="s">
        <v>1102</v>
      </c>
      <c r="D491" s="242">
        <f>COUNTIF($D$11:$AQ$11,"Quảng Ngãi")</f>
        <v>0</v>
      </c>
      <c r="E491" s="688"/>
      <c r="F491" s="7"/>
      <c r="G491" s="7"/>
      <c r="H491" s="7"/>
      <c r="I491" s="7"/>
      <c r="J491" s="7"/>
    </row>
    <row r="492" spans="1:10" ht="15.75" customHeight="1">
      <c r="A492" s="686"/>
      <c r="B492" s="687"/>
      <c r="C492" s="243" t="s">
        <v>1103</v>
      </c>
      <c r="D492" s="242">
        <f>COUNTIF($D$11:$AQ$11,"Bình Định")</f>
        <v>0</v>
      </c>
      <c r="E492" s="688"/>
      <c r="F492" s="7"/>
      <c r="G492" s="7"/>
      <c r="H492" s="7"/>
      <c r="I492" s="7"/>
      <c r="J492" s="7"/>
    </row>
    <row r="493" spans="1:10" ht="15.75" customHeight="1">
      <c r="A493" s="686"/>
      <c r="B493" s="687"/>
      <c r="C493" s="243" t="s">
        <v>1104</v>
      </c>
      <c r="D493" s="242">
        <f>COUNTIF($D$11:$AQ$11,"Phú Yên")</f>
        <v>0</v>
      </c>
      <c r="E493" s="688"/>
      <c r="F493" s="7"/>
      <c r="G493" s="7"/>
      <c r="H493" s="7"/>
      <c r="I493" s="7"/>
      <c r="J493" s="7"/>
    </row>
    <row r="494" spans="1:10" ht="15.75" customHeight="1">
      <c r="A494" s="686"/>
      <c r="B494" s="687"/>
      <c r="C494" s="243" t="s">
        <v>1105</v>
      </c>
      <c r="D494" s="242">
        <f>COUNTIF($D$11:$AQ$11,"Khánh Hoà")</f>
        <v>0</v>
      </c>
      <c r="E494" s="688"/>
      <c r="F494" s="7"/>
      <c r="G494" s="7"/>
      <c r="H494" s="7"/>
      <c r="I494" s="7"/>
      <c r="J494" s="7"/>
    </row>
    <row r="495" spans="1:10" ht="15.75" customHeight="1">
      <c r="A495" s="686"/>
      <c r="B495" s="687"/>
      <c r="C495" s="243" t="s">
        <v>1106</v>
      </c>
      <c r="D495" s="242">
        <f>COUNTIF($D$11:$AQ$11,"Ninh Thuận")</f>
        <v>0</v>
      </c>
      <c r="E495" s="688"/>
      <c r="F495" s="7"/>
      <c r="G495" s="7"/>
      <c r="H495" s="7"/>
      <c r="I495" s="7"/>
      <c r="J495" s="7"/>
    </row>
    <row r="496" spans="1:10" ht="15.75" customHeight="1">
      <c r="A496" s="686"/>
      <c r="B496" s="687"/>
      <c r="C496" s="243" t="s">
        <v>1107</v>
      </c>
      <c r="D496" s="242">
        <f>COUNTIF($D$11:$AQ$11,"Bình Thuận")</f>
        <v>0</v>
      </c>
      <c r="E496" s="688"/>
      <c r="F496" s="7"/>
      <c r="G496" s="7"/>
      <c r="H496" s="7"/>
      <c r="I496" s="7"/>
      <c r="J496" s="7"/>
    </row>
    <row r="497" spans="1:10" ht="15.75" customHeight="1">
      <c r="A497" s="686"/>
      <c r="B497" s="687"/>
      <c r="C497" s="243" t="s">
        <v>1108</v>
      </c>
      <c r="D497" s="242">
        <f>COUNTIF($D$11:$AQ$11,"Kon Tum")</f>
        <v>0</v>
      </c>
      <c r="E497" s="688"/>
      <c r="F497" s="7"/>
      <c r="G497" s="7"/>
      <c r="H497" s="7"/>
      <c r="I497" s="7"/>
      <c r="J497" s="7"/>
    </row>
    <row r="498" spans="1:10" ht="15.75" customHeight="1">
      <c r="A498" s="686"/>
      <c r="B498" s="687"/>
      <c r="C498" s="243" t="s">
        <v>1109</v>
      </c>
      <c r="D498" s="242">
        <f>COUNTIF($D$11:$AQ$11,"Gia Lai")</f>
        <v>0</v>
      </c>
      <c r="E498" s="688"/>
      <c r="F498" s="7"/>
      <c r="G498" s="7"/>
      <c r="H498" s="7"/>
      <c r="I498" s="7"/>
      <c r="J498" s="7"/>
    </row>
    <row r="499" spans="1:10" ht="15.75" customHeight="1">
      <c r="A499" s="686"/>
      <c r="B499" s="687"/>
      <c r="C499" s="243" t="s">
        <v>1110</v>
      </c>
      <c r="D499" s="242">
        <f>COUNTIF($D$11:$AQ$11,"Đắk Lắk")</f>
        <v>0</v>
      </c>
      <c r="E499" s="688"/>
      <c r="F499" s="7"/>
      <c r="G499" s="7"/>
      <c r="H499" s="7"/>
      <c r="I499" s="7"/>
      <c r="J499" s="7"/>
    </row>
    <row r="500" spans="1:10" ht="15.75" customHeight="1">
      <c r="A500" s="686"/>
      <c r="B500" s="687"/>
      <c r="C500" s="243" t="s">
        <v>1111</v>
      </c>
      <c r="D500" s="242">
        <f>COUNTIF($D$11:$AQ$11,"Đắk Nông")</f>
        <v>0</v>
      </c>
      <c r="E500" s="688"/>
      <c r="F500" s="7"/>
      <c r="G500" s="7"/>
      <c r="H500" s="7"/>
      <c r="I500" s="7"/>
      <c r="J500" s="7"/>
    </row>
    <row r="501" spans="1:10" ht="15.75" customHeight="1">
      <c r="A501" s="686"/>
      <c r="B501" s="687"/>
      <c r="C501" s="243" t="s">
        <v>1112</v>
      </c>
      <c r="D501" s="242">
        <f>COUNTIF($D$11:$AQ$11,"Lâm Đồng")</f>
        <v>0</v>
      </c>
      <c r="E501" s="688"/>
      <c r="F501" s="7"/>
      <c r="G501" s="7"/>
      <c r="H501" s="7"/>
      <c r="I501" s="7"/>
      <c r="J501" s="7"/>
    </row>
    <row r="502" spans="1:10" ht="15.75" customHeight="1">
      <c r="A502" s="686"/>
      <c r="B502" s="687"/>
      <c r="C502" s="243" t="s">
        <v>1113</v>
      </c>
      <c r="D502" s="242">
        <f>COUNTIF($D$11:$AQ$11,"Tây Ninh")</f>
        <v>0</v>
      </c>
      <c r="E502" s="688"/>
      <c r="F502" s="7"/>
      <c r="G502" s="7"/>
      <c r="H502" s="7"/>
      <c r="I502" s="7"/>
      <c r="J502" s="7"/>
    </row>
    <row r="503" spans="1:10" ht="15.75" customHeight="1">
      <c r="A503" s="686"/>
      <c r="B503" s="687"/>
      <c r="C503" s="243" t="s">
        <v>1114</v>
      </c>
      <c r="D503" s="242">
        <f>COUNTIF($D$11:$AQ$11,"Bình Phước")</f>
        <v>0</v>
      </c>
      <c r="E503" s="688"/>
      <c r="F503" s="7"/>
      <c r="G503" s="7"/>
      <c r="H503" s="7"/>
      <c r="I503" s="7"/>
      <c r="J503" s="7"/>
    </row>
    <row r="504" spans="1:10" ht="15.75" customHeight="1">
      <c r="A504" s="686"/>
      <c r="B504" s="687"/>
      <c r="C504" s="243" t="s">
        <v>1115</v>
      </c>
      <c r="D504" s="242">
        <f>COUNTIF($D$11:$AQ$11,"Bình Dương")</f>
        <v>0</v>
      </c>
      <c r="E504" s="688"/>
      <c r="F504" s="7"/>
      <c r="G504" s="7"/>
      <c r="H504" s="7"/>
      <c r="I504" s="7"/>
      <c r="J504" s="7"/>
    </row>
    <row r="505" spans="1:10" ht="15.75" customHeight="1">
      <c r="A505" s="686"/>
      <c r="B505" s="687"/>
      <c r="C505" s="243" t="s">
        <v>1116</v>
      </c>
      <c r="D505" s="242">
        <f>COUNTIF($D$11:$AQ$11,"Bà Rịa - Vũng Tàu")</f>
        <v>0</v>
      </c>
      <c r="E505" s="688"/>
      <c r="F505" s="7"/>
      <c r="G505" s="7"/>
      <c r="H505" s="7"/>
      <c r="I505" s="7"/>
      <c r="J505" s="7"/>
    </row>
    <row r="506" spans="1:10" ht="15.75" customHeight="1">
      <c r="A506" s="686"/>
      <c r="B506" s="687"/>
      <c r="C506" s="243" t="s">
        <v>1117</v>
      </c>
      <c r="D506" s="242">
        <f>COUNTIF($D$11:$AQ$11,"Bến Tre")</f>
        <v>0</v>
      </c>
      <c r="E506" s="688"/>
      <c r="F506" s="7"/>
      <c r="G506" s="7"/>
      <c r="H506" s="7"/>
      <c r="I506" s="7"/>
      <c r="J506" s="7"/>
    </row>
    <row r="507" spans="1:10" ht="15.75" customHeight="1">
      <c r="A507" s="686"/>
      <c r="B507" s="687"/>
      <c r="C507" s="243" t="s">
        <v>1118</v>
      </c>
      <c r="D507" s="242">
        <f>COUNTIF($D$11:$AQ$11,"An Giang")</f>
        <v>32</v>
      </c>
      <c r="E507" s="688"/>
      <c r="F507" s="7"/>
      <c r="G507" s="7"/>
      <c r="H507" s="7"/>
      <c r="I507" s="7"/>
      <c r="J507" s="7"/>
    </row>
    <row r="508" spans="1:10" ht="15.75" customHeight="1">
      <c r="A508" s="686"/>
      <c r="B508" s="687"/>
      <c r="C508" s="243" t="s">
        <v>1119</v>
      </c>
      <c r="D508" s="242">
        <f>COUNTIF($D$11:$AQ$11,"Vĩnh Long")</f>
        <v>0</v>
      </c>
      <c r="E508" s="688"/>
      <c r="F508" s="7"/>
      <c r="G508" s="7"/>
      <c r="H508" s="7"/>
      <c r="I508" s="7"/>
      <c r="J508" s="7"/>
    </row>
    <row r="509" spans="1:10" ht="15.75" customHeight="1">
      <c r="A509" s="686"/>
      <c r="B509" s="687"/>
      <c r="C509" s="243" t="s">
        <v>1120</v>
      </c>
      <c r="D509" s="242">
        <f>COUNTIF($D$11:$AQ$11,"Cần Thơ")</f>
        <v>0</v>
      </c>
      <c r="E509" s="688"/>
      <c r="F509" s="7"/>
      <c r="G509" s="7"/>
      <c r="H509" s="7"/>
      <c r="I509" s="7"/>
      <c r="J509" s="7"/>
    </row>
    <row r="510" spans="1:10" ht="15.75" customHeight="1">
      <c r="A510" s="686"/>
      <c r="B510" s="687"/>
      <c r="C510" s="243" t="s">
        <v>1121</v>
      </c>
      <c r="D510" s="242">
        <f>COUNTIF($D$11:$AQ$11,"Hậu Giang")</f>
        <v>0</v>
      </c>
      <c r="E510" s="688"/>
      <c r="F510" s="7"/>
      <c r="G510" s="7"/>
      <c r="H510" s="7"/>
      <c r="I510" s="7"/>
      <c r="J510" s="7"/>
    </row>
    <row r="511" spans="1:10" ht="15.75" customHeight="1">
      <c r="A511" s="686"/>
      <c r="B511" s="687"/>
      <c r="C511" s="243" t="s">
        <v>1122</v>
      </c>
      <c r="D511" s="242">
        <f>COUNTIF($D$11:$AQ$11,"Sóc Trăng")</f>
        <v>0</v>
      </c>
      <c r="E511" s="688"/>
      <c r="F511" s="7"/>
      <c r="G511" s="7"/>
      <c r="H511" s="7"/>
      <c r="I511" s="7"/>
      <c r="J511" s="7"/>
    </row>
    <row r="512" spans="1:10" ht="15.75" customHeight="1">
      <c r="A512" s="686"/>
      <c r="B512" s="687"/>
      <c r="C512" s="243" t="s">
        <v>1123</v>
      </c>
      <c r="D512" s="242">
        <f>COUNTIF($D$11:$AQ$11,"Bạc Liêu")</f>
        <v>0</v>
      </c>
      <c r="E512" s="688"/>
      <c r="F512" s="7"/>
      <c r="G512" s="7"/>
      <c r="H512" s="7"/>
      <c r="I512" s="7"/>
      <c r="J512" s="7"/>
    </row>
    <row r="513" spans="1:10" ht="15.75" customHeight="1">
      <c r="A513" s="686"/>
      <c r="B513" s="687"/>
      <c r="C513" s="243" t="s">
        <v>1124</v>
      </c>
      <c r="D513" s="242">
        <f>COUNTIF($D$11:$AQ$11,"Cà Mau")</f>
        <v>0</v>
      </c>
      <c r="E513" s="688"/>
      <c r="F513" s="7"/>
      <c r="G513" s="7"/>
      <c r="H513" s="7"/>
      <c r="I513" s="7"/>
      <c r="J513" s="7"/>
    </row>
    <row r="514" spans="1:10" ht="15.75" customHeight="1">
      <c r="A514" s="686"/>
      <c r="B514" s="687"/>
      <c r="C514" s="243" t="s">
        <v>1125</v>
      </c>
      <c r="D514" s="242">
        <f>COUNTIF($D$11:$AQ$11,"Kiên Giang")</f>
        <v>0</v>
      </c>
      <c r="E514" s="688"/>
      <c r="F514" s="7"/>
      <c r="G514" s="7"/>
      <c r="H514" s="7"/>
      <c r="I514" s="7"/>
      <c r="J514" s="7"/>
    </row>
    <row r="515" spans="1:10" ht="15.75" customHeight="1">
      <c r="A515" s="686"/>
      <c r="B515" s="687"/>
      <c r="C515" s="243" t="s">
        <v>1126</v>
      </c>
      <c r="D515" s="242">
        <f>COUNTIF($D$11:$AQ$11,"Đồng Tháp")</f>
        <v>0</v>
      </c>
      <c r="E515" s="688"/>
      <c r="F515" s="7"/>
      <c r="G515" s="7"/>
      <c r="H515" s="7"/>
      <c r="I515" s="7"/>
      <c r="J515" s="7"/>
    </row>
    <row r="516" spans="1:10" ht="15.75" customHeight="1">
      <c r="A516" s="686"/>
      <c r="B516" s="687"/>
      <c r="C516" s="243" t="s">
        <v>1127</v>
      </c>
      <c r="D516" s="242">
        <f>COUNTIF($D$11:$AQ$11,"Trà Vinh")</f>
        <v>0</v>
      </c>
      <c r="E516" s="688"/>
      <c r="F516" s="7"/>
      <c r="G516" s="7"/>
      <c r="H516" s="7"/>
      <c r="I516" s="7"/>
      <c r="J516" s="7"/>
    </row>
    <row r="517" spans="1:10" ht="15.75" customHeight="1">
      <c r="A517" s="686"/>
      <c r="B517" s="687"/>
      <c r="C517" s="243" t="s">
        <v>1128</v>
      </c>
      <c r="D517" s="242">
        <f>COUNTIF($D$11:$AQ$11,"Tiền Giang")</f>
        <v>0</v>
      </c>
      <c r="E517" s="688"/>
      <c r="F517" s="7"/>
      <c r="G517" s="7"/>
      <c r="H517" s="7"/>
      <c r="I517" s="7"/>
      <c r="J517" s="7"/>
    </row>
    <row r="518" spans="1:10" ht="15.75" customHeight="1">
      <c r="A518" s="686"/>
      <c r="B518" s="687"/>
      <c r="C518" s="243" t="s">
        <v>1129</v>
      </c>
      <c r="D518" s="242">
        <f>COUNTIF($D$11:$AQ$11,"Long An")</f>
        <v>0</v>
      </c>
      <c r="E518" s="688"/>
      <c r="F518" s="7"/>
      <c r="G518" s="7"/>
      <c r="H518" s="7"/>
      <c r="I518" s="7"/>
      <c r="J518" s="7"/>
    </row>
    <row r="519" spans="1:10" ht="15.75" customHeight="1">
      <c r="A519" s="686"/>
      <c r="B519" s="687"/>
      <c r="C519" s="243" t="s">
        <v>1130</v>
      </c>
      <c r="D519" s="242">
        <f>COUNTIF($D$11:$AQ$11,"Đồng Nai")</f>
        <v>0</v>
      </c>
      <c r="E519" s="688"/>
      <c r="F519" s="7"/>
      <c r="G519" s="7"/>
      <c r="H519" s="7"/>
      <c r="I519" s="7"/>
      <c r="J519" s="7"/>
    </row>
    <row r="520" spans="1:10" ht="15.75" customHeight="1">
      <c r="A520" s="686"/>
      <c r="B520" s="687"/>
      <c r="C520" s="243" t="s">
        <v>1131</v>
      </c>
      <c r="D520" s="242">
        <f>COUNTIF($D$11:$AQ$11,"TP Hồ Chí Minh")</f>
        <v>0</v>
      </c>
      <c r="E520" s="688"/>
      <c r="F520" s="7"/>
      <c r="G520" s="7"/>
      <c r="H520" s="7"/>
      <c r="I520" s="7"/>
      <c r="J520" s="7"/>
    </row>
    <row r="521" spans="1:10" ht="15.75" customHeight="1">
      <c r="A521" s="686"/>
      <c r="B521" s="687"/>
      <c r="C521" s="243"/>
      <c r="D521" s="244"/>
      <c r="E521" s="688"/>
      <c r="F521" s="7"/>
      <c r="G521" s="7"/>
      <c r="H521" s="7"/>
      <c r="I521" s="7"/>
      <c r="J521" s="7"/>
    </row>
    <row r="522" spans="1:10" ht="15.75" customHeight="1">
      <c r="A522" s="686"/>
      <c r="B522" s="687"/>
      <c r="C522" s="243"/>
      <c r="D522" s="245">
        <f>SUM(D458:D520)</f>
        <v>32</v>
      </c>
      <c r="E522" s="688"/>
      <c r="F522" s="7"/>
      <c r="G522" s="7"/>
      <c r="H522" s="7"/>
      <c r="I522" s="7"/>
      <c r="J522" s="7"/>
    </row>
    <row r="523" spans="1:10" ht="15.75" customHeight="1">
      <c r="A523" s="686"/>
      <c r="B523" s="687"/>
      <c r="C523" s="243"/>
      <c r="D523" s="244"/>
      <c r="E523" s="688"/>
      <c r="F523" s="7"/>
      <c r="G523" s="7"/>
      <c r="H523" s="7"/>
      <c r="I523" s="7"/>
      <c r="J523" s="7"/>
    </row>
    <row r="524" spans="1:10" ht="15.75" customHeight="1">
      <c r="A524" s="686"/>
      <c r="B524" s="687"/>
      <c r="C524" s="243"/>
      <c r="D524" s="244"/>
      <c r="E524" s="688"/>
      <c r="F524" s="7"/>
      <c r="G524" s="7"/>
      <c r="H524" s="7"/>
      <c r="I524" s="7"/>
      <c r="J524" s="7"/>
    </row>
    <row r="525" spans="1:10" ht="15.75" customHeight="1">
      <c r="A525" s="686"/>
      <c r="B525" s="687"/>
      <c r="C525" s="243"/>
      <c r="D525" s="244"/>
      <c r="E525" s="688"/>
      <c r="F525" s="7"/>
      <c r="G525" s="7"/>
      <c r="H525" s="7"/>
      <c r="I525" s="7"/>
      <c r="J525" s="7"/>
    </row>
    <row r="526" spans="1:10" ht="15.75" customHeight="1">
      <c r="A526" s="686"/>
      <c r="B526" s="687"/>
      <c r="C526" s="243"/>
      <c r="D526" s="244"/>
      <c r="E526" s="688"/>
      <c r="F526" s="7"/>
      <c r="G526" s="7"/>
      <c r="H526" s="7"/>
      <c r="I526" s="7"/>
      <c r="J526" s="7"/>
    </row>
    <row r="527" spans="1:10" ht="15.75" customHeight="1">
      <c r="A527" s="686"/>
      <c r="B527" s="687"/>
      <c r="C527" s="243"/>
      <c r="D527" s="244"/>
      <c r="E527" s="688"/>
      <c r="F527" s="7"/>
      <c r="G527" s="7"/>
      <c r="H527" s="7"/>
      <c r="I527" s="7"/>
      <c r="J527" s="7"/>
    </row>
    <row r="528" spans="1:10" ht="15.75" customHeight="1">
      <c r="A528" s="686"/>
      <c r="B528" s="687"/>
      <c r="C528" s="243"/>
      <c r="D528" s="244"/>
      <c r="E528" s="688"/>
      <c r="F528" s="7"/>
      <c r="G528" s="7"/>
      <c r="H528" s="7"/>
      <c r="I528" s="7"/>
      <c r="J528" s="7"/>
    </row>
    <row r="529" spans="1:10" ht="15.75" customHeight="1">
      <c r="A529" s="686"/>
      <c r="B529" s="687"/>
      <c r="C529" s="243"/>
      <c r="D529" s="244"/>
      <c r="E529" s="688"/>
      <c r="F529" s="7"/>
      <c r="G529" s="7"/>
      <c r="H529" s="7"/>
      <c r="I529" s="7"/>
      <c r="J529" s="7"/>
    </row>
    <row r="530" spans="1:10" ht="15.75" customHeight="1">
      <c r="A530" s="686"/>
      <c r="B530" s="687"/>
      <c r="C530" s="243"/>
      <c r="D530" s="244"/>
      <c r="E530" s="688"/>
      <c r="F530" s="7"/>
      <c r="G530" s="7"/>
      <c r="H530" s="7"/>
      <c r="I530" s="7"/>
      <c r="J530" s="7"/>
    </row>
    <row r="531" spans="1:10" ht="15.75" customHeight="1">
      <c r="A531" s="686"/>
      <c r="B531" s="687"/>
      <c r="C531" s="243"/>
      <c r="D531" s="244"/>
      <c r="E531" s="688"/>
      <c r="F531" s="7"/>
      <c r="G531" s="7"/>
      <c r="H531" s="7"/>
      <c r="I531" s="7"/>
      <c r="J531" s="7"/>
    </row>
    <row r="532" spans="1:10" ht="15.75" customHeight="1">
      <c r="A532" s="686"/>
      <c r="B532" s="687"/>
      <c r="C532" s="243"/>
      <c r="D532" s="244"/>
      <c r="E532" s="688"/>
      <c r="F532" s="7"/>
      <c r="G532" s="7"/>
      <c r="H532" s="7"/>
      <c r="I532" s="7"/>
      <c r="J532" s="7"/>
    </row>
    <row r="533" spans="1:10" ht="15.75" customHeight="1">
      <c r="A533" s="686"/>
      <c r="B533" s="687"/>
      <c r="C533" s="243"/>
      <c r="D533" s="244"/>
      <c r="E533" s="688"/>
      <c r="F533" s="7"/>
      <c r="G533" s="7"/>
      <c r="H533" s="7"/>
      <c r="I533" s="7"/>
      <c r="J533" s="7"/>
    </row>
    <row r="534" spans="1:10" ht="15.75" customHeight="1">
      <c r="A534" s="686"/>
      <c r="B534" s="687"/>
      <c r="C534" s="243"/>
      <c r="D534" s="244"/>
      <c r="E534" s="688"/>
      <c r="F534" s="7"/>
      <c r="G534" s="7"/>
      <c r="H534" s="7"/>
      <c r="I534" s="7"/>
      <c r="J534" s="7"/>
    </row>
    <row r="535" spans="1:10" ht="15.75" customHeight="1">
      <c r="A535" s="686"/>
      <c r="B535" s="687"/>
      <c r="C535" s="243"/>
      <c r="D535" s="244"/>
      <c r="E535" s="688"/>
      <c r="F535" s="7"/>
      <c r="G535" s="7"/>
      <c r="H535" s="7"/>
      <c r="I535" s="7"/>
      <c r="J535" s="7"/>
    </row>
    <row r="536" spans="1:10" ht="15.75" customHeight="1">
      <c r="A536" s="686"/>
      <c r="B536" s="687"/>
      <c r="C536" s="243"/>
      <c r="D536" s="244"/>
      <c r="E536" s="688"/>
      <c r="F536" s="7"/>
      <c r="G536" s="7"/>
      <c r="H536" s="7"/>
      <c r="I536" s="7"/>
      <c r="J536" s="7"/>
    </row>
    <row r="537" spans="1:10" ht="15.75" customHeight="1">
      <c r="A537" s="686"/>
      <c r="B537" s="687"/>
      <c r="C537" s="243"/>
      <c r="D537" s="244"/>
      <c r="E537" s="688"/>
      <c r="F537" s="7"/>
      <c r="G537" s="7"/>
      <c r="H537" s="7"/>
      <c r="I537" s="7"/>
      <c r="J537" s="7"/>
    </row>
    <row r="538" spans="1:10" ht="15.75" customHeight="1">
      <c r="A538" s="686"/>
      <c r="B538" s="687"/>
      <c r="C538" s="243"/>
      <c r="D538" s="244"/>
      <c r="E538" s="688"/>
      <c r="F538" s="7"/>
      <c r="G538" s="7"/>
      <c r="H538" s="7"/>
      <c r="I538" s="7"/>
      <c r="J538" s="7"/>
    </row>
    <row r="539" spans="1:10" ht="15.75" customHeight="1">
      <c r="A539" s="686"/>
      <c r="B539" s="687"/>
      <c r="C539" s="243"/>
      <c r="D539" s="244"/>
      <c r="E539" s="688"/>
      <c r="F539" s="7"/>
      <c r="G539" s="7"/>
      <c r="H539" s="7"/>
      <c r="I539" s="7"/>
      <c r="J539" s="7"/>
    </row>
    <row r="540" spans="1:10" ht="15.75" customHeight="1">
      <c r="A540" s="686"/>
      <c r="B540" s="687"/>
      <c r="C540" s="243"/>
      <c r="D540" s="244"/>
      <c r="E540" s="688"/>
      <c r="F540" s="7"/>
      <c r="G540" s="7"/>
      <c r="H540" s="7"/>
      <c r="I540" s="7"/>
      <c r="J540" s="7"/>
    </row>
    <row r="541" spans="1:10" ht="15.75" customHeight="1">
      <c r="A541" s="686"/>
      <c r="B541" s="687"/>
      <c r="C541" s="243"/>
      <c r="D541" s="244"/>
      <c r="E541" s="688"/>
      <c r="F541" s="7"/>
      <c r="G541" s="7"/>
      <c r="H541" s="7"/>
      <c r="I541" s="7"/>
      <c r="J541" s="7"/>
    </row>
    <row r="542" spans="1:10" ht="15.75" customHeight="1">
      <c r="A542" s="686"/>
      <c r="B542" s="687"/>
      <c r="C542" s="243"/>
      <c r="D542" s="244"/>
      <c r="E542" s="688"/>
      <c r="F542" s="7"/>
      <c r="G542" s="7"/>
      <c r="H542" s="7"/>
      <c r="I542" s="7"/>
      <c r="J542" s="7"/>
    </row>
    <row r="543" spans="1:10" ht="15.75" customHeight="1">
      <c r="A543" s="686"/>
      <c r="B543" s="687"/>
      <c r="C543" s="243"/>
      <c r="D543" s="244"/>
      <c r="E543" s="688"/>
      <c r="F543" s="7"/>
      <c r="G543" s="7"/>
      <c r="H543" s="7"/>
      <c r="I543" s="7"/>
      <c r="J543" s="7"/>
    </row>
    <row r="544" spans="1:10" ht="15.75" customHeight="1">
      <c r="A544" s="686"/>
      <c r="B544" s="687"/>
      <c r="C544" s="243"/>
      <c r="D544" s="244"/>
      <c r="E544" s="688"/>
      <c r="F544" s="7"/>
      <c r="G544" s="7"/>
      <c r="H544" s="7"/>
      <c r="I544" s="7"/>
      <c r="J544" s="7"/>
    </row>
    <row r="545" spans="1:10" ht="15.75" customHeight="1">
      <c r="A545" s="686"/>
      <c r="B545" s="687"/>
      <c r="C545" s="243"/>
      <c r="D545" s="244"/>
      <c r="E545" s="688"/>
      <c r="F545" s="7"/>
      <c r="G545" s="7"/>
      <c r="H545" s="7"/>
      <c r="I545" s="7"/>
      <c r="J545" s="7"/>
    </row>
    <row r="546" spans="1:10" ht="15.75" customHeight="1">
      <c r="A546" s="686"/>
      <c r="B546" s="687"/>
      <c r="C546" s="243"/>
      <c r="D546" s="244"/>
      <c r="E546" s="688"/>
      <c r="F546" s="7"/>
      <c r="G546" s="7"/>
      <c r="H546" s="7"/>
      <c r="I546" s="7"/>
      <c r="J546" s="7"/>
    </row>
    <row r="547" spans="1:10" ht="15.75" customHeight="1">
      <c r="A547" s="686"/>
      <c r="B547" s="687"/>
      <c r="C547" s="243"/>
      <c r="D547" s="244"/>
      <c r="E547" s="688"/>
      <c r="F547" s="7"/>
      <c r="G547" s="7"/>
      <c r="H547" s="7"/>
      <c r="I547" s="7"/>
      <c r="J547" s="7"/>
    </row>
    <row r="548" spans="1:10" ht="15.75" customHeight="1">
      <c r="A548" s="686"/>
      <c r="B548" s="687"/>
      <c r="C548" s="243"/>
      <c r="D548" s="244"/>
      <c r="E548" s="688"/>
      <c r="F548" s="7"/>
      <c r="G548" s="7"/>
      <c r="H548" s="7"/>
      <c r="I548" s="7"/>
      <c r="J548" s="7"/>
    </row>
    <row r="549" spans="1:10" ht="15.75" customHeight="1">
      <c r="A549" s="686"/>
      <c r="B549" s="687"/>
      <c r="C549" s="243"/>
      <c r="D549" s="244"/>
      <c r="E549" s="688"/>
      <c r="F549" s="7"/>
      <c r="G549" s="7"/>
      <c r="H549" s="7"/>
      <c r="I549" s="7"/>
      <c r="J549" s="7"/>
    </row>
    <row r="550" spans="1:10" ht="15.75" customHeight="1">
      <c r="A550" s="686"/>
      <c r="B550" s="687"/>
      <c r="C550" s="243"/>
      <c r="D550" s="244"/>
      <c r="E550" s="688"/>
      <c r="F550" s="7"/>
      <c r="G550" s="7"/>
      <c r="H550" s="7"/>
      <c r="I550" s="7"/>
      <c r="J550" s="7"/>
    </row>
    <row r="551" spans="1:10" ht="15.75" customHeight="1">
      <c r="A551" s="686"/>
      <c r="B551" s="687"/>
      <c r="C551" s="243"/>
      <c r="D551" s="244"/>
      <c r="E551" s="688"/>
      <c r="F551" s="7"/>
      <c r="G551" s="7"/>
      <c r="H551" s="7"/>
      <c r="I551" s="7"/>
      <c r="J551" s="7"/>
    </row>
    <row r="552" spans="1:10" ht="15.75" customHeight="1">
      <c r="A552" s="686"/>
      <c r="B552" s="687"/>
      <c r="C552" s="243"/>
      <c r="D552" s="244"/>
      <c r="E552" s="688"/>
      <c r="F552" s="7"/>
      <c r="G552" s="7"/>
      <c r="H552" s="7"/>
      <c r="I552" s="7"/>
      <c r="J552" s="7"/>
    </row>
    <row r="553" spans="1:10" ht="15.75" customHeight="1">
      <c r="A553" s="686"/>
      <c r="B553" s="687"/>
      <c r="C553" s="243"/>
      <c r="D553" s="244"/>
      <c r="E553" s="688"/>
      <c r="F553" s="7"/>
      <c r="G553" s="7"/>
      <c r="H553" s="7"/>
      <c r="I553" s="7"/>
      <c r="J553" s="7"/>
    </row>
    <row r="554" spans="1:10" ht="15.75" customHeight="1">
      <c r="A554" s="686"/>
      <c r="B554" s="687"/>
      <c r="C554" s="243"/>
      <c r="D554" s="244"/>
      <c r="E554" s="688"/>
      <c r="F554" s="7"/>
      <c r="G554" s="7"/>
      <c r="H554" s="7"/>
      <c r="I554" s="7"/>
      <c r="J554" s="7"/>
    </row>
    <row r="555" spans="1:10" ht="15.75" customHeight="1">
      <c r="A555" s="686"/>
      <c r="B555" s="687"/>
      <c r="C555" s="243"/>
      <c r="D555" s="244"/>
      <c r="E555" s="688"/>
      <c r="F555" s="7"/>
      <c r="G555" s="7"/>
      <c r="H555" s="7"/>
      <c r="I555" s="7"/>
      <c r="J555" s="7"/>
    </row>
    <row r="556" spans="1:10" ht="15.75" customHeight="1">
      <c r="A556" s="686"/>
      <c r="B556" s="687"/>
      <c r="C556" s="243"/>
      <c r="D556" s="244"/>
      <c r="E556" s="688"/>
      <c r="F556" s="7"/>
      <c r="G556" s="7"/>
      <c r="H556" s="7"/>
      <c r="I556" s="7"/>
      <c r="J556" s="7"/>
    </row>
    <row r="557" spans="1:10" ht="15.75" customHeight="1">
      <c r="A557" s="686"/>
      <c r="B557" s="687"/>
      <c r="C557" s="243"/>
      <c r="D557" s="244"/>
      <c r="E557" s="688"/>
      <c r="F557" s="7"/>
      <c r="G557" s="7"/>
      <c r="H557" s="7"/>
      <c r="I557" s="7"/>
      <c r="J557" s="7"/>
    </row>
    <row r="558" spans="1:10" ht="15.75" customHeight="1">
      <c r="A558" s="686"/>
      <c r="B558" s="687"/>
      <c r="C558" s="243"/>
      <c r="D558" s="244"/>
      <c r="E558" s="688"/>
      <c r="F558" s="7"/>
      <c r="G558" s="7"/>
      <c r="H558" s="7"/>
      <c r="I558" s="7"/>
      <c r="J558" s="7"/>
    </row>
    <row r="559" spans="1:10" ht="15.75" customHeight="1">
      <c r="A559" s="686"/>
      <c r="B559" s="687"/>
      <c r="C559" s="243"/>
      <c r="D559" s="244"/>
      <c r="E559" s="688"/>
      <c r="F559" s="7"/>
      <c r="G559" s="7"/>
      <c r="H559" s="7"/>
      <c r="I559" s="7"/>
      <c r="J559" s="7"/>
    </row>
    <row r="560" spans="1:10" ht="15.75" customHeight="1">
      <c r="A560" s="686"/>
      <c r="B560" s="687"/>
      <c r="C560" s="243"/>
      <c r="D560" s="244"/>
      <c r="E560" s="688"/>
      <c r="F560" s="7"/>
      <c r="G560" s="7"/>
      <c r="H560" s="7"/>
      <c r="I560" s="7"/>
      <c r="J560" s="7"/>
    </row>
    <row r="561" spans="1:10" ht="15.75" customHeight="1">
      <c r="A561" s="686"/>
      <c r="B561" s="687"/>
      <c r="C561" s="243"/>
      <c r="D561" s="244"/>
      <c r="E561" s="688"/>
      <c r="F561" s="7"/>
      <c r="G561" s="7"/>
      <c r="H561" s="7"/>
      <c r="I561" s="7"/>
      <c r="J561" s="7"/>
    </row>
    <row r="562" spans="1:10" ht="15.75" customHeight="1">
      <c r="A562" s="686"/>
      <c r="B562" s="687"/>
      <c r="C562" s="243"/>
      <c r="D562" s="244"/>
      <c r="E562" s="688"/>
      <c r="F562" s="7"/>
      <c r="G562" s="7"/>
      <c r="H562" s="7"/>
      <c r="I562" s="7"/>
      <c r="J562" s="7"/>
    </row>
    <row r="563" spans="1:10" ht="15.75" customHeight="1">
      <c r="A563" s="686"/>
      <c r="B563" s="687"/>
      <c r="C563" s="243"/>
      <c r="D563" s="244"/>
      <c r="E563" s="688"/>
      <c r="F563" s="7"/>
      <c r="G563" s="7"/>
      <c r="H563" s="7"/>
      <c r="I563" s="7"/>
      <c r="J563" s="7"/>
    </row>
    <row r="564" spans="1:10" ht="15.75" customHeight="1">
      <c r="A564" s="686"/>
      <c r="B564" s="687"/>
      <c r="C564" s="243"/>
      <c r="D564" s="244"/>
      <c r="E564" s="688"/>
      <c r="F564" s="7"/>
      <c r="G564" s="7"/>
      <c r="H564" s="7"/>
      <c r="I564" s="7"/>
      <c r="J564" s="7"/>
    </row>
    <row r="565" spans="1:10" ht="15.75" customHeight="1">
      <c r="A565" s="686"/>
      <c r="B565" s="687"/>
      <c r="C565" s="243"/>
      <c r="D565" s="244"/>
      <c r="E565" s="688"/>
      <c r="F565" s="7"/>
      <c r="G565" s="7"/>
      <c r="H565" s="7"/>
      <c r="I565" s="7"/>
      <c r="J565" s="7"/>
    </row>
    <row r="566" spans="1:10" ht="15.75" customHeight="1">
      <c r="A566" s="686"/>
      <c r="B566" s="687"/>
      <c r="C566" s="243"/>
      <c r="D566" s="244"/>
      <c r="E566" s="688"/>
      <c r="F566" s="7"/>
      <c r="G566" s="7"/>
      <c r="H566" s="7"/>
      <c r="I566" s="7"/>
      <c r="J566" s="7"/>
    </row>
    <row r="567" spans="1:10" ht="15.75" customHeight="1">
      <c r="A567" s="686"/>
      <c r="B567" s="687"/>
      <c r="C567" s="243"/>
      <c r="D567" s="244"/>
      <c r="E567" s="688"/>
      <c r="F567" s="7"/>
      <c r="G567" s="7"/>
      <c r="H567" s="7"/>
      <c r="I567" s="7"/>
      <c r="J567" s="7"/>
    </row>
    <row r="568" spans="1:10" ht="15.75" customHeight="1">
      <c r="A568" s="686"/>
      <c r="B568" s="687"/>
      <c r="C568" s="243"/>
      <c r="D568" s="244"/>
      <c r="E568" s="688"/>
      <c r="F568" s="7"/>
      <c r="G568" s="7"/>
      <c r="H568" s="7"/>
      <c r="I568" s="7"/>
      <c r="J568" s="7"/>
    </row>
    <row r="569" spans="1:10" ht="15.75" customHeight="1">
      <c r="A569" s="686"/>
      <c r="B569" s="687"/>
      <c r="C569" s="243"/>
      <c r="D569" s="244"/>
      <c r="E569" s="688"/>
      <c r="F569" s="7"/>
      <c r="G569" s="7"/>
      <c r="H569" s="7"/>
      <c r="I569" s="7"/>
      <c r="J569" s="7"/>
    </row>
    <row r="570" spans="1:10" ht="15.75" customHeight="1">
      <c r="A570" s="686"/>
      <c r="B570" s="687"/>
      <c r="C570" s="243"/>
      <c r="D570" s="244"/>
      <c r="E570" s="688"/>
      <c r="F570" s="7"/>
      <c r="G570" s="7"/>
      <c r="H570" s="7"/>
      <c r="I570" s="7"/>
      <c r="J570" s="7"/>
    </row>
    <row r="571" spans="1:10" ht="15.75" customHeight="1">
      <c r="A571" s="686"/>
      <c r="B571" s="687"/>
      <c r="C571" s="243"/>
      <c r="D571" s="244"/>
      <c r="E571" s="688"/>
      <c r="F571" s="7"/>
      <c r="G571" s="7"/>
      <c r="H571" s="7"/>
      <c r="I571" s="7"/>
      <c r="J571" s="7"/>
    </row>
    <row r="572" spans="1:10" ht="15.75" customHeight="1">
      <c r="A572" s="686"/>
      <c r="B572" s="687"/>
      <c r="C572" s="243"/>
      <c r="D572" s="244"/>
      <c r="E572" s="688"/>
      <c r="F572" s="7"/>
      <c r="G572" s="7"/>
      <c r="H572" s="7"/>
      <c r="I572" s="7"/>
      <c r="J572" s="7"/>
    </row>
    <row r="573" spans="1:10" ht="15.75" customHeight="1">
      <c r="A573" s="686"/>
      <c r="B573" s="687"/>
      <c r="C573" s="243"/>
      <c r="D573" s="244"/>
      <c r="E573" s="688"/>
      <c r="F573" s="7"/>
      <c r="G573" s="7"/>
      <c r="H573" s="7"/>
      <c r="I573" s="7"/>
      <c r="J573" s="7"/>
    </row>
    <row r="574" spans="1:10" ht="15.75" customHeight="1">
      <c r="A574" s="686"/>
      <c r="B574" s="687"/>
      <c r="C574" s="243"/>
      <c r="D574" s="244"/>
      <c r="E574" s="688"/>
      <c r="F574" s="7"/>
      <c r="G574" s="7"/>
      <c r="H574" s="7"/>
      <c r="I574" s="7"/>
      <c r="J574" s="7"/>
    </row>
    <row r="575" spans="1:10" ht="15.75" customHeight="1">
      <c r="A575" s="686"/>
      <c r="B575" s="687"/>
      <c r="C575" s="243"/>
      <c r="D575" s="244"/>
      <c r="E575" s="688"/>
      <c r="F575" s="7"/>
      <c r="G575" s="7"/>
      <c r="H575" s="7"/>
      <c r="I575" s="7"/>
      <c r="J575" s="7"/>
    </row>
    <row r="576" spans="1:10" ht="15.75" customHeight="1">
      <c r="A576" s="686"/>
      <c r="B576" s="687"/>
      <c r="C576" s="243"/>
      <c r="D576" s="244"/>
      <c r="E576" s="688"/>
      <c r="F576" s="7"/>
      <c r="G576" s="7"/>
      <c r="H576" s="7"/>
      <c r="I576" s="7"/>
      <c r="J576" s="7"/>
    </row>
    <row r="577" spans="1:10" ht="15.75" customHeight="1">
      <c r="A577" s="686"/>
      <c r="B577" s="687"/>
      <c r="C577" s="243"/>
      <c r="D577" s="244"/>
      <c r="E577" s="688"/>
      <c r="F577" s="7"/>
      <c r="G577" s="7"/>
      <c r="H577" s="7"/>
      <c r="I577" s="7"/>
      <c r="J577" s="7"/>
    </row>
    <row r="578" spans="1:10" ht="15.75" customHeight="1">
      <c r="A578" s="686"/>
      <c r="B578" s="687"/>
      <c r="C578" s="243"/>
      <c r="D578" s="244"/>
      <c r="E578" s="688"/>
      <c r="F578" s="7"/>
      <c r="G578" s="7"/>
      <c r="H578" s="7"/>
      <c r="I578" s="7"/>
      <c r="J578" s="7"/>
    </row>
    <row r="579" spans="1:10" ht="15.75" customHeight="1">
      <c r="A579" s="686"/>
      <c r="B579" s="687"/>
      <c r="C579" s="243"/>
      <c r="D579" s="244"/>
      <c r="E579" s="688"/>
      <c r="F579" s="7"/>
      <c r="G579" s="7"/>
      <c r="H579" s="7"/>
      <c r="I579" s="7"/>
      <c r="J579" s="7"/>
    </row>
    <row r="580" spans="1:10" ht="15.75" customHeight="1">
      <c r="A580" s="686"/>
      <c r="B580" s="687"/>
      <c r="C580" s="243"/>
      <c r="D580" s="244"/>
      <c r="E580" s="688"/>
      <c r="F580" s="7"/>
      <c r="G580" s="7"/>
      <c r="H580" s="7"/>
      <c r="I580" s="7"/>
      <c r="J580" s="7"/>
    </row>
    <row r="581" spans="1:10" ht="15.75" customHeight="1">
      <c r="A581" s="686"/>
      <c r="B581" s="687"/>
      <c r="C581" s="243"/>
      <c r="D581" s="244"/>
      <c r="E581" s="688"/>
      <c r="F581" s="7"/>
      <c r="G581" s="7"/>
      <c r="H581" s="7"/>
      <c r="I581" s="7"/>
      <c r="J581" s="7"/>
    </row>
    <row r="582" spans="1:10" ht="15.75" customHeight="1">
      <c r="A582" s="686"/>
      <c r="B582" s="687"/>
      <c r="C582" s="243"/>
      <c r="D582" s="244"/>
      <c r="E582" s="688"/>
      <c r="F582" s="7"/>
      <c r="G582" s="7"/>
      <c r="H582" s="7"/>
      <c r="I582" s="7"/>
      <c r="J582" s="7"/>
    </row>
    <row r="583" spans="1:10" ht="15.75" customHeight="1">
      <c r="A583" s="686"/>
      <c r="B583" s="687"/>
      <c r="C583" s="243"/>
      <c r="D583" s="244"/>
      <c r="E583" s="688"/>
      <c r="F583" s="7"/>
      <c r="G583" s="7"/>
      <c r="H583" s="7"/>
      <c r="I583" s="7"/>
      <c r="J583" s="7"/>
    </row>
    <row r="584" spans="1:10" ht="15.75" customHeight="1">
      <c r="A584" s="686"/>
      <c r="B584" s="687"/>
      <c r="C584" s="243"/>
      <c r="D584" s="244"/>
      <c r="E584" s="688"/>
      <c r="F584" s="7"/>
      <c r="G584" s="7"/>
      <c r="H584" s="7"/>
      <c r="I584" s="7"/>
      <c r="J584" s="7"/>
    </row>
    <row r="585" spans="1:10" ht="15.75" customHeight="1">
      <c r="A585" s="686"/>
      <c r="B585" s="687"/>
      <c r="C585" s="243"/>
      <c r="D585" s="244"/>
      <c r="E585" s="688"/>
      <c r="F585" s="7"/>
      <c r="G585" s="7"/>
      <c r="H585" s="7"/>
      <c r="I585" s="7"/>
      <c r="J585" s="7"/>
    </row>
    <row r="586" spans="1:10" ht="15.75" customHeight="1">
      <c r="A586" s="686"/>
      <c r="B586" s="687"/>
      <c r="C586" s="243"/>
      <c r="D586" s="244"/>
      <c r="E586" s="688"/>
      <c r="F586" s="7"/>
      <c r="G586" s="7"/>
      <c r="H586" s="7"/>
      <c r="I586" s="7"/>
      <c r="J586" s="7"/>
    </row>
    <row r="587" spans="1:10" ht="15.75" customHeight="1">
      <c r="A587" s="686"/>
      <c r="B587" s="687"/>
      <c r="C587" s="243"/>
      <c r="D587" s="244"/>
      <c r="E587" s="688"/>
      <c r="F587" s="7"/>
      <c r="G587" s="7"/>
      <c r="H587" s="7"/>
      <c r="I587" s="7"/>
      <c r="J587" s="7"/>
    </row>
    <row r="588" spans="1:10" ht="15.75" customHeight="1">
      <c r="A588" s="686"/>
      <c r="B588" s="687"/>
      <c r="C588" s="243"/>
      <c r="D588" s="244"/>
      <c r="E588" s="688"/>
      <c r="F588" s="7"/>
      <c r="G588" s="7"/>
      <c r="H588" s="7"/>
      <c r="I588" s="7"/>
      <c r="J588" s="7"/>
    </row>
    <row r="589" spans="1:10" ht="15.75" customHeight="1">
      <c r="A589" s="686"/>
      <c r="B589" s="687"/>
      <c r="C589" s="243"/>
      <c r="D589" s="244"/>
      <c r="E589" s="688"/>
      <c r="F589" s="7"/>
      <c r="G589" s="7"/>
      <c r="H589" s="7"/>
      <c r="I589" s="7"/>
      <c r="J589" s="7"/>
    </row>
    <row r="590" spans="1:10" ht="15.75" customHeight="1">
      <c r="A590" s="686"/>
      <c r="B590" s="687"/>
      <c r="C590" s="243"/>
      <c r="D590" s="244"/>
      <c r="E590" s="688"/>
      <c r="F590" s="7"/>
      <c r="G590" s="7"/>
      <c r="H590" s="7"/>
      <c r="I590" s="7"/>
      <c r="J590" s="7"/>
    </row>
    <row r="591" spans="1:10" ht="15.75" customHeight="1">
      <c r="A591" s="686"/>
      <c r="B591" s="687"/>
      <c r="C591" s="243"/>
      <c r="D591" s="244"/>
      <c r="E591" s="688"/>
      <c r="F591" s="7"/>
      <c r="G591" s="7"/>
      <c r="H591" s="7"/>
      <c r="I591" s="7"/>
      <c r="J591" s="7"/>
    </row>
    <row r="592" spans="1:10" ht="15.75" customHeight="1">
      <c r="A592" s="686"/>
      <c r="B592" s="687"/>
      <c r="C592" s="243"/>
      <c r="D592" s="244"/>
      <c r="E592" s="688"/>
      <c r="F592" s="7"/>
      <c r="G592" s="7"/>
      <c r="H592" s="7"/>
      <c r="I592" s="7"/>
      <c r="J592" s="7"/>
    </row>
    <row r="593" spans="1:10" ht="15.75" customHeight="1">
      <c r="A593" s="686"/>
      <c r="B593" s="687"/>
      <c r="C593" s="243"/>
      <c r="D593" s="244"/>
      <c r="E593" s="688"/>
      <c r="F593" s="7"/>
      <c r="G593" s="7"/>
      <c r="H593" s="7"/>
      <c r="I593" s="7"/>
      <c r="J593" s="7"/>
    </row>
    <row r="594" spans="1:10" ht="15.75" customHeight="1">
      <c r="A594" s="686"/>
      <c r="B594" s="687"/>
      <c r="C594" s="243"/>
      <c r="D594" s="244"/>
      <c r="E594" s="688"/>
      <c r="F594" s="7"/>
      <c r="G594" s="7"/>
      <c r="H594" s="7"/>
      <c r="I594" s="7"/>
      <c r="J594" s="7"/>
    </row>
    <row r="595" spans="1:10" ht="15.75" customHeight="1">
      <c r="A595" s="686"/>
      <c r="B595" s="687"/>
      <c r="C595" s="243"/>
      <c r="D595" s="244"/>
      <c r="E595" s="688"/>
      <c r="F595" s="7"/>
      <c r="G595" s="7"/>
      <c r="H595" s="7"/>
      <c r="I595" s="7"/>
      <c r="J595" s="7"/>
    </row>
    <row r="596" spans="1:10" ht="15.75" customHeight="1">
      <c r="A596" s="686"/>
      <c r="B596" s="687"/>
      <c r="C596" s="243"/>
      <c r="D596" s="244"/>
      <c r="E596" s="688"/>
      <c r="F596" s="7"/>
      <c r="G596" s="7"/>
      <c r="H596" s="7"/>
      <c r="I596" s="7"/>
      <c r="J596" s="7"/>
    </row>
    <row r="597" spans="1:10" ht="15.75" customHeight="1">
      <c r="A597" s="686"/>
      <c r="B597" s="687"/>
      <c r="C597" s="243"/>
      <c r="D597" s="244"/>
      <c r="E597" s="688"/>
      <c r="F597" s="7"/>
      <c r="G597" s="7"/>
      <c r="H597" s="7"/>
      <c r="I597" s="7"/>
      <c r="J597" s="7"/>
    </row>
    <row r="598" spans="1:10" ht="15.75" customHeight="1">
      <c r="A598" s="686"/>
      <c r="B598" s="687"/>
      <c r="C598" s="243"/>
      <c r="D598" s="244"/>
      <c r="E598" s="688"/>
      <c r="F598" s="7"/>
      <c r="G598" s="7"/>
      <c r="H598" s="7"/>
      <c r="I598" s="7"/>
      <c r="J598" s="7"/>
    </row>
    <row r="599" spans="1:10" ht="15.75" customHeight="1">
      <c r="A599" s="686"/>
      <c r="B599" s="687"/>
      <c r="C599" s="243"/>
      <c r="D599" s="244"/>
      <c r="E599" s="688"/>
      <c r="F599" s="7"/>
      <c r="G599" s="7"/>
      <c r="H599" s="7"/>
      <c r="I599" s="7"/>
      <c r="J599" s="7"/>
    </row>
    <row r="600" spans="1:10" ht="15.75" customHeight="1">
      <c r="A600" s="686"/>
      <c r="B600" s="687"/>
      <c r="C600" s="243"/>
      <c r="D600" s="244"/>
      <c r="E600" s="688"/>
      <c r="F600" s="7"/>
      <c r="G600" s="7"/>
      <c r="H600" s="7"/>
      <c r="I600" s="7"/>
      <c r="J600" s="7"/>
    </row>
    <row r="601" spans="1:10" ht="15.75" customHeight="1">
      <c r="A601" s="686"/>
      <c r="B601" s="687"/>
      <c r="C601" s="243"/>
      <c r="D601" s="244"/>
      <c r="E601" s="688"/>
      <c r="F601" s="7"/>
      <c r="G601" s="7"/>
      <c r="H601" s="7"/>
      <c r="I601" s="7"/>
      <c r="J601" s="7"/>
    </row>
    <row r="602" spans="1:10" ht="15.75" customHeight="1">
      <c r="A602" s="686"/>
      <c r="B602" s="687"/>
      <c r="C602" s="243"/>
      <c r="D602" s="244"/>
      <c r="E602" s="688"/>
      <c r="F602" s="7"/>
      <c r="G602" s="7"/>
      <c r="H602" s="7"/>
      <c r="I602" s="7"/>
      <c r="J602" s="7"/>
    </row>
    <row r="603" spans="1:10" ht="15.75" customHeight="1">
      <c r="A603" s="686"/>
      <c r="B603" s="687"/>
      <c r="C603" s="243"/>
      <c r="D603" s="244"/>
      <c r="E603" s="688"/>
      <c r="F603" s="7"/>
      <c r="G603" s="7"/>
      <c r="H603" s="7"/>
      <c r="I603" s="7"/>
      <c r="J603" s="7"/>
    </row>
    <row r="604" spans="1:10" ht="15.75" customHeight="1">
      <c r="A604" s="686"/>
      <c r="B604" s="687"/>
      <c r="C604" s="243"/>
      <c r="D604" s="244"/>
      <c r="E604" s="688"/>
      <c r="F604" s="7"/>
      <c r="G604" s="7"/>
      <c r="H604" s="7"/>
      <c r="I604" s="7"/>
      <c r="J604" s="7"/>
    </row>
    <row r="605" spans="1:10" ht="15.75" customHeight="1">
      <c r="A605" s="686"/>
      <c r="B605" s="687"/>
      <c r="C605" s="243"/>
      <c r="D605" s="244"/>
      <c r="E605" s="688"/>
      <c r="F605" s="7"/>
      <c r="G605" s="7"/>
      <c r="H605" s="7"/>
      <c r="I605" s="7"/>
      <c r="J605" s="7"/>
    </row>
    <row r="606" spans="1:10" ht="15.75" customHeight="1">
      <c r="A606" s="686"/>
      <c r="B606" s="687"/>
      <c r="C606" s="243"/>
      <c r="D606" s="244"/>
      <c r="E606" s="688"/>
      <c r="F606" s="7"/>
      <c r="G606" s="7"/>
      <c r="H606" s="7"/>
      <c r="I606" s="7"/>
      <c r="J606" s="7"/>
    </row>
    <row r="607" spans="1:10" ht="15.75" customHeight="1">
      <c r="A607" s="686"/>
      <c r="B607" s="687"/>
      <c r="C607" s="243"/>
      <c r="D607" s="244"/>
      <c r="E607" s="688"/>
      <c r="F607" s="7"/>
      <c r="G607" s="7"/>
      <c r="H607" s="7"/>
      <c r="I607" s="7"/>
      <c r="J607" s="7"/>
    </row>
    <row r="608" spans="1:10" ht="15.75" customHeight="1">
      <c r="A608" s="686"/>
      <c r="B608" s="687"/>
      <c r="C608" s="243"/>
      <c r="D608" s="244"/>
      <c r="E608" s="688"/>
      <c r="F608" s="7"/>
      <c r="G608" s="7"/>
      <c r="H608" s="7"/>
      <c r="I608" s="7"/>
      <c r="J608" s="7"/>
    </row>
    <row r="609" spans="1:10" ht="15.75" customHeight="1">
      <c r="A609" s="686"/>
      <c r="B609" s="687"/>
      <c r="C609" s="243"/>
      <c r="D609" s="244"/>
      <c r="E609" s="688"/>
      <c r="F609" s="7"/>
      <c r="G609" s="7"/>
      <c r="H609" s="7"/>
      <c r="I609" s="7"/>
      <c r="J609" s="7"/>
    </row>
    <row r="610" spans="1:10" ht="15.75" customHeight="1">
      <c r="A610" s="686"/>
      <c r="B610" s="687"/>
      <c r="C610" s="243"/>
      <c r="D610" s="244"/>
      <c r="E610" s="688"/>
      <c r="F610" s="7"/>
      <c r="G610" s="7"/>
      <c r="H610" s="7"/>
      <c r="I610" s="7"/>
      <c r="J610" s="7"/>
    </row>
    <row r="611" spans="1:10" ht="15.75" customHeight="1">
      <c r="A611" s="686"/>
      <c r="B611" s="687"/>
      <c r="C611" s="243"/>
      <c r="D611" s="244"/>
      <c r="E611" s="688"/>
      <c r="F611" s="7"/>
      <c r="G611" s="7"/>
      <c r="H611" s="7"/>
      <c r="I611" s="7"/>
      <c r="J611" s="7"/>
    </row>
    <row r="612" spans="1:10" ht="15.75" customHeight="1">
      <c r="A612" s="686"/>
      <c r="B612" s="687"/>
      <c r="C612" s="243"/>
      <c r="D612" s="244"/>
      <c r="E612" s="688"/>
      <c r="F612" s="7"/>
      <c r="G612" s="7"/>
      <c r="H612" s="7"/>
      <c r="I612" s="7"/>
      <c r="J612" s="7"/>
    </row>
    <row r="613" spans="1:10" ht="15.75" customHeight="1">
      <c r="A613" s="686"/>
      <c r="B613" s="687"/>
      <c r="C613" s="243"/>
      <c r="D613" s="244"/>
      <c r="E613" s="688"/>
      <c r="F613" s="7"/>
      <c r="G613" s="7"/>
      <c r="H613" s="7"/>
      <c r="I613" s="7"/>
      <c r="J613" s="7"/>
    </row>
    <row r="614" spans="1:10" ht="15.75" customHeight="1">
      <c r="A614" s="686"/>
      <c r="B614" s="687"/>
      <c r="C614" s="243"/>
      <c r="D614" s="244"/>
      <c r="E614" s="688"/>
      <c r="F614" s="7"/>
      <c r="G614" s="7"/>
      <c r="H614" s="7"/>
      <c r="I614" s="7"/>
      <c r="J614" s="7"/>
    </row>
    <row r="615" spans="1:10" ht="15.75" customHeight="1">
      <c r="A615" s="686"/>
      <c r="B615" s="687"/>
      <c r="C615" s="243"/>
      <c r="D615" s="244"/>
      <c r="E615" s="688"/>
      <c r="F615" s="7"/>
      <c r="G615" s="7"/>
      <c r="H615" s="7"/>
      <c r="I615" s="7"/>
      <c r="J615" s="7"/>
    </row>
    <row r="616" spans="1:10" ht="15.75" customHeight="1">
      <c r="A616" s="686"/>
      <c r="B616" s="687"/>
      <c r="C616" s="243"/>
      <c r="D616" s="244"/>
      <c r="E616" s="688"/>
      <c r="F616" s="7"/>
      <c r="G616" s="7"/>
      <c r="H616" s="7"/>
      <c r="I616" s="7"/>
      <c r="J616" s="7"/>
    </row>
    <row r="617" spans="1:10" ht="15.75" customHeight="1">
      <c r="A617" s="686"/>
      <c r="B617" s="687"/>
      <c r="C617" s="243"/>
      <c r="D617" s="244"/>
      <c r="E617" s="688"/>
      <c r="F617" s="7"/>
      <c r="G617" s="7"/>
      <c r="H617" s="7"/>
      <c r="I617" s="7"/>
      <c r="J617" s="7"/>
    </row>
    <row r="618" spans="1:10" ht="15.75" customHeight="1">
      <c r="A618" s="686"/>
      <c r="B618" s="687"/>
      <c r="C618" s="243"/>
      <c r="D618" s="244"/>
      <c r="E618" s="688"/>
      <c r="F618" s="7"/>
      <c r="G618" s="7"/>
      <c r="H618" s="7"/>
      <c r="I618" s="7"/>
      <c r="J618" s="7"/>
    </row>
    <row r="619" spans="1:10" ht="15.75" customHeight="1">
      <c r="A619" s="686"/>
      <c r="B619" s="687"/>
      <c r="C619" s="243"/>
      <c r="D619" s="244"/>
      <c r="E619" s="688"/>
      <c r="F619" s="7"/>
      <c r="G619" s="7"/>
      <c r="H619" s="7"/>
      <c r="I619" s="7"/>
      <c r="J619" s="7"/>
    </row>
    <row r="620" spans="1:10" ht="15.75" customHeight="1">
      <c r="A620" s="686"/>
      <c r="B620" s="687"/>
      <c r="C620" s="243"/>
      <c r="D620" s="244"/>
      <c r="E620" s="688"/>
      <c r="F620" s="7"/>
      <c r="G620" s="7"/>
      <c r="H620" s="7"/>
      <c r="I620" s="7"/>
      <c r="J620" s="7"/>
    </row>
    <row r="621" spans="1:10" ht="15.75" customHeight="1">
      <c r="A621" s="686"/>
      <c r="B621" s="687"/>
      <c r="C621" s="243"/>
      <c r="D621" s="244"/>
      <c r="E621" s="688"/>
      <c r="F621" s="7"/>
      <c r="G621" s="7"/>
      <c r="H621" s="7"/>
      <c r="I621" s="7"/>
      <c r="J621" s="7"/>
    </row>
    <row r="622" spans="1:10" ht="15.75" customHeight="1">
      <c r="A622" s="686"/>
      <c r="B622" s="687"/>
      <c r="C622" s="243"/>
      <c r="D622" s="244"/>
      <c r="E622" s="688"/>
      <c r="F622" s="7"/>
      <c r="G622" s="7"/>
      <c r="H622" s="7"/>
      <c r="I622" s="7"/>
      <c r="J622" s="7"/>
    </row>
    <row r="623" spans="1:10" ht="15.75" customHeight="1">
      <c r="A623" s="686"/>
      <c r="B623" s="687"/>
      <c r="C623" s="243"/>
      <c r="D623" s="244"/>
      <c r="E623" s="688"/>
      <c r="F623" s="7"/>
      <c r="G623" s="7"/>
      <c r="H623" s="7"/>
      <c r="I623" s="7"/>
      <c r="J623" s="7"/>
    </row>
    <row r="624" spans="1:10" ht="15.75" customHeight="1">
      <c r="A624" s="686"/>
      <c r="B624" s="687"/>
      <c r="C624" s="243"/>
      <c r="D624" s="244"/>
      <c r="E624" s="688"/>
      <c r="F624" s="7"/>
      <c r="G624" s="7"/>
      <c r="H624" s="7"/>
      <c r="I624" s="7"/>
      <c r="J624" s="7"/>
    </row>
    <row r="625" spans="1:10" ht="15.75" customHeight="1">
      <c r="A625" s="686"/>
      <c r="B625" s="687"/>
      <c r="C625" s="243"/>
      <c r="D625" s="244"/>
      <c r="E625" s="688"/>
      <c r="F625" s="7"/>
      <c r="G625" s="7"/>
      <c r="H625" s="7"/>
      <c r="I625" s="7"/>
      <c r="J625" s="7"/>
    </row>
    <row r="626" spans="1:10" ht="15.75" customHeight="1">
      <c r="A626" s="686"/>
      <c r="B626" s="687"/>
      <c r="C626" s="243"/>
      <c r="D626" s="244"/>
      <c r="E626" s="688"/>
      <c r="F626" s="7"/>
      <c r="G626" s="7"/>
      <c r="H626" s="7"/>
      <c r="I626" s="7"/>
      <c r="J626" s="7"/>
    </row>
    <row r="627" spans="1:10" ht="15.75" customHeight="1">
      <c r="A627" s="686"/>
      <c r="B627" s="687"/>
      <c r="C627" s="243"/>
      <c r="D627" s="244"/>
      <c r="E627" s="688"/>
      <c r="F627" s="7"/>
      <c r="G627" s="7"/>
      <c r="H627" s="7"/>
      <c r="I627" s="7"/>
      <c r="J627" s="7"/>
    </row>
    <row r="628" spans="1:10" ht="15.75" customHeight="1">
      <c r="A628" s="686"/>
      <c r="B628" s="687"/>
      <c r="C628" s="243"/>
      <c r="D628" s="244"/>
      <c r="E628" s="688"/>
      <c r="F628" s="7"/>
      <c r="G628" s="7"/>
      <c r="H628" s="7"/>
      <c r="I628" s="7"/>
      <c r="J628" s="7"/>
    </row>
    <row r="629" spans="1:10" ht="15.75" customHeight="1">
      <c r="A629" s="686"/>
      <c r="B629" s="687"/>
      <c r="C629" s="243"/>
      <c r="D629" s="244"/>
      <c r="E629" s="688"/>
      <c r="F629" s="7"/>
      <c r="G629" s="7"/>
      <c r="H629" s="7"/>
      <c r="I629" s="7"/>
      <c r="J629" s="7"/>
    </row>
    <row r="630" spans="1:10" ht="15.75" customHeight="1">
      <c r="A630" s="686"/>
      <c r="B630" s="687"/>
      <c r="C630" s="243"/>
      <c r="D630" s="244"/>
      <c r="E630" s="688"/>
      <c r="F630" s="7"/>
      <c r="G630" s="7"/>
      <c r="H630" s="7"/>
      <c r="I630" s="7"/>
      <c r="J630" s="7"/>
    </row>
    <row r="631" spans="1:10" ht="15.75" customHeight="1">
      <c r="A631" s="686"/>
      <c r="B631" s="687"/>
      <c r="C631" s="243"/>
      <c r="D631" s="244"/>
      <c r="E631" s="688"/>
      <c r="F631" s="7"/>
      <c r="G631" s="7"/>
      <c r="H631" s="7"/>
      <c r="I631" s="7"/>
      <c r="J631" s="7"/>
    </row>
    <row r="632" spans="1:10" ht="15.75" customHeight="1">
      <c r="A632" s="686"/>
      <c r="B632" s="687"/>
      <c r="C632" s="243"/>
      <c r="D632" s="244"/>
      <c r="E632" s="688"/>
      <c r="F632" s="7"/>
      <c r="G632" s="7"/>
      <c r="H632" s="7"/>
      <c r="I632" s="7"/>
      <c r="J632" s="7"/>
    </row>
    <row r="633" spans="1:10" ht="15.75" customHeight="1">
      <c r="A633" s="686"/>
      <c r="B633" s="687"/>
      <c r="C633" s="243"/>
      <c r="D633" s="244"/>
      <c r="E633" s="688"/>
      <c r="F633" s="7"/>
      <c r="G633" s="7"/>
      <c r="H633" s="7"/>
      <c r="I633" s="7"/>
      <c r="J633" s="7"/>
    </row>
    <row r="634" spans="1:10" ht="15.75" customHeight="1">
      <c r="A634" s="686"/>
      <c r="B634" s="687"/>
      <c r="C634" s="243"/>
      <c r="D634" s="244"/>
      <c r="E634" s="688"/>
      <c r="F634" s="7"/>
      <c r="G634" s="7"/>
      <c r="H634" s="7"/>
      <c r="I634" s="7"/>
      <c r="J634" s="7"/>
    </row>
    <row r="635" spans="1:10" ht="15.75" customHeight="1">
      <c r="A635" s="686"/>
      <c r="B635" s="687"/>
      <c r="C635" s="243"/>
      <c r="D635" s="244"/>
      <c r="E635" s="688"/>
      <c r="F635" s="7"/>
      <c r="G635" s="7"/>
      <c r="H635" s="7"/>
      <c r="I635" s="7"/>
      <c r="J635" s="7"/>
    </row>
    <row r="636" spans="1:10" ht="15.75" customHeight="1">
      <c r="A636" s="686"/>
      <c r="B636" s="687"/>
      <c r="C636" s="243"/>
      <c r="D636" s="244"/>
      <c r="E636" s="688"/>
      <c r="F636" s="7"/>
      <c r="G636" s="7"/>
      <c r="H636" s="7"/>
      <c r="I636" s="7"/>
      <c r="J636" s="7"/>
    </row>
    <row r="637" spans="1:10" ht="15.75" customHeight="1">
      <c r="A637" s="686"/>
      <c r="B637" s="687"/>
      <c r="C637" s="243"/>
      <c r="D637" s="244"/>
      <c r="E637" s="688"/>
      <c r="F637" s="7"/>
      <c r="G637" s="7"/>
      <c r="H637" s="7"/>
      <c r="I637" s="7"/>
      <c r="J637" s="7"/>
    </row>
    <row r="638" spans="1:10" ht="15.75" customHeight="1">
      <c r="A638" s="686"/>
      <c r="B638" s="687"/>
      <c r="C638" s="243"/>
      <c r="D638" s="244"/>
      <c r="E638" s="688"/>
      <c r="F638" s="7"/>
      <c r="G638" s="7"/>
      <c r="H638" s="7"/>
      <c r="I638" s="7"/>
      <c r="J638" s="7"/>
    </row>
    <row r="639" spans="1:10" ht="15.75" customHeight="1">
      <c r="A639" s="686"/>
      <c r="B639" s="687"/>
      <c r="C639" s="243"/>
      <c r="D639" s="244"/>
      <c r="E639" s="688"/>
      <c r="F639" s="7"/>
      <c r="G639" s="7"/>
      <c r="H639" s="7"/>
      <c r="I639" s="7"/>
      <c r="J639" s="7"/>
    </row>
    <row r="640" spans="1:10" ht="15.75" customHeight="1">
      <c r="A640" s="686"/>
      <c r="B640" s="687"/>
      <c r="C640" s="243"/>
      <c r="D640" s="244"/>
      <c r="E640" s="688"/>
      <c r="F640" s="7"/>
      <c r="G640" s="7"/>
      <c r="H640" s="7"/>
      <c r="I640" s="7"/>
      <c r="J640" s="7"/>
    </row>
    <row r="641" spans="1:10" ht="15.75" customHeight="1">
      <c r="A641" s="686"/>
      <c r="B641" s="687"/>
      <c r="C641" s="243"/>
      <c r="D641" s="244"/>
      <c r="E641" s="688"/>
      <c r="F641" s="7"/>
      <c r="G641" s="7"/>
      <c r="H641" s="7"/>
      <c r="I641" s="7"/>
      <c r="J641" s="7"/>
    </row>
    <row r="642" spans="1:10" ht="15.75" customHeight="1">
      <c r="A642" s="686"/>
      <c r="B642" s="687"/>
      <c r="C642" s="243"/>
      <c r="D642" s="244"/>
      <c r="E642" s="688"/>
      <c r="F642" s="7"/>
      <c r="G642" s="7"/>
      <c r="H642" s="7"/>
      <c r="I642" s="7"/>
      <c r="J642" s="7"/>
    </row>
    <row r="643" spans="1:10" ht="15.75" customHeight="1">
      <c r="A643" s="686"/>
      <c r="B643" s="687"/>
      <c r="C643" s="243"/>
      <c r="D643" s="244"/>
      <c r="E643" s="688"/>
      <c r="F643" s="7"/>
      <c r="G643" s="7"/>
      <c r="H643" s="7"/>
      <c r="I643" s="7"/>
      <c r="J643" s="7"/>
    </row>
    <row r="644" spans="1:10" ht="15.75" customHeight="1">
      <c r="A644" s="686"/>
      <c r="B644" s="687"/>
      <c r="C644" s="243"/>
      <c r="D644" s="244"/>
      <c r="E644" s="688"/>
      <c r="F644" s="7"/>
      <c r="G644" s="7"/>
      <c r="H644" s="7"/>
      <c r="I644" s="7"/>
      <c r="J644" s="7"/>
    </row>
    <row r="645" spans="1:10" ht="15.75" customHeight="1">
      <c r="A645" s="686"/>
      <c r="B645" s="687"/>
      <c r="C645" s="243"/>
      <c r="D645" s="244"/>
      <c r="E645" s="688"/>
      <c r="F645" s="7"/>
      <c r="G645" s="7"/>
      <c r="H645" s="7"/>
      <c r="I645" s="7"/>
      <c r="J645" s="7"/>
    </row>
    <row r="646" spans="1:10" ht="15.75" customHeight="1">
      <c r="A646" s="686"/>
      <c r="B646" s="687"/>
      <c r="C646" s="243"/>
      <c r="D646" s="244"/>
      <c r="E646" s="688"/>
      <c r="F646" s="7"/>
      <c r="G646" s="7"/>
      <c r="H646" s="7"/>
      <c r="I646" s="7"/>
      <c r="J646" s="7"/>
    </row>
    <row r="647" spans="1:10" ht="15.75" customHeight="1">
      <c r="A647" s="686"/>
      <c r="B647" s="687"/>
      <c r="C647" s="243"/>
      <c r="D647" s="244"/>
      <c r="E647" s="688"/>
      <c r="F647" s="7"/>
      <c r="G647" s="7"/>
      <c r="H647" s="7"/>
      <c r="I647" s="7"/>
      <c r="J647" s="7"/>
    </row>
    <row r="648" spans="1:10" ht="15.75" customHeight="1">
      <c r="A648" s="686"/>
      <c r="B648" s="687"/>
      <c r="C648" s="243"/>
      <c r="D648" s="244"/>
      <c r="E648" s="688"/>
      <c r="F648" s="7"/>
      <c r="G648" s="7"/>
      <c r="H648" s="7"/>
      <c r="I648" s="7"/>
      <c r="J648" s="7"/>
    </row>
    <row r="649" spans="1:10" ht="15.75" customHeight="1">
      <c r="A649" s="686"/>
      <c r="B649" s="687"/>
      <c r="C649" s="243"/>
      <c r="D649" s="244"/>
      <c r="E649" s="688"/>
      <c r="F649" s="7"/>
      <c r="G649" s="7"/>
      <c r="H649" s="7"/>
      <c r="I649" s="7"/>
      <c r="J649" s="7"/>
    </row>
    <row r="650" spans="1:10" ht="15.75" customHeight="1">
      <c r="A650" s="686"/>
      <c r="B650" s="687"/>
      <c r="C650" s="243"/>
      <c r="D650" s="244"/>
      <c r="E650" s="688"/>
      <c r="F650" s="7"/>
      <c r="G650" s="7"/>
      <c r="H650" s="7"/>
      <c r="I650" s="7"/>
      <c r="J650" s="7"/>
    </row>
    <row r="651" spans="1:10" ht="15.75" customHeight="1">
      <c r="A651" s="686"/>
      <c r="B651" s="687"/>
      <c r="C651" s="243"/>
      <c r="D651" s="244"/>
      <c r="E651" s="688"/>
      <c r="F651" s="7"/>
      <c r="G651" s="7"/>
      <c r="H651" s="7"/>
      <c r="I651" s="7"/>
      <c r="J651" s="7"/>
    </row>
    <row r="652" spans="1:10" ht="15.75" customHeight="1">
      <c r="A652" s="686"/>
      <c r="B652" s="687"/>
      <c r="C652" s="243"/>
      <c r="D652" s="244"/>
      <c r="E652" s="688"/>
      <c r="F652" s="7"/>
      <c r="G652" s="7"/>
      <c r="H652" s="7"/>
      <c r="I652" s="7"/>
      <c r="J652" s="7"/>
    </row>
    <row r="653" spans="1:10" ht="15.75" customHeight="1">
      <c r="A653" s="686"/>
      <c r="B653" s="687"/>
      <c r="C653" s="243"/>
      <c r="D653" s="244"/>
      <c r="E653" s="688"/>
      <c r="F653" s="7"/>
      <c r="G653" s="7"/>
      <c r="H653" s="7"/>
      <c r="I653" s="7"/>
      <c r="J653" s="7"/>
    </row>
    <row r="654" spans="1:10" ht="15.75" customHeight="1">
      <c r="A654" s="686"/>
      <c r="B654" s="687"/>
      <c r="C654" s="243"/>
      <c r="D654" s="244"/>
      <c r="E654" s="688"/>
      <c r="F654" s="7"/>
      <c r="G654" s="7"/>
      <c r="H654" s="7"/>
      <c r="I654" s="7"/>
      <c r="J654" s="7"/>
    </row>
    <row r="655" spans="1:10" ht="15.75" customHeight="1">
      <c r="A655" s="686"/>
      <c r="B655" s="687"/>
      <c r="C655" s="243"/>
      <c r="D655" s="244"/>
      <c r="E655" s="688"/>
      <c r="F655" s="7"/>
      <c r="G655" s="7"/>
      <c r="H655" s="7"/>
      <c r="I655" s="7"/>
      <c r="J655" s="7"/>
    </row>
    <row r="656" spans="1:10" ht="15.75" customHeight="1">
      <c r="A656" s="686"/>
      <c r="B656" s="687"/>
      <c r="C656" s="243"/>
      <c r="D656" s="244"/>
      <c r="E656" s="688"/>
      <c r="F656" s="7"/>
      <c r="G656" s="7"/>
      <c r="H656" s="7"/>
      <c r="I656" s="7"/>
      <c r="J656" s="7"/>
    </row>
    <row r="657" spans="1:10" ht="15.75" customHeight="1">
      <c r="A657" s="686"/>
      <c r="B657" s="687"/>
      <c r="C657" s="243"/>
      <c r="D657" s="244"/>
      <c r="E657" s="688"/>
      <c r="F657" s="7"/>
      <c r="G657" s="7"/>
      <c r="H657" s="7"/>
      <c r="I657" s="7"/>
      <c r="J657" s="7"/>
    </row>
    <row r="658" spans="1:10" ht="14.2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</row>
    <row r="659" spans="1:10" ht="14.2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</row>
    <row r="660" spans="1:10" ht="14.2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</row>
    <row r="661" spans="1:10" ht="14.2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</row>
    <row r="662" spans="1:10" ht="14.2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</row>
    <row r="663" spans="1:10" ht="14.2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</row>
    <row r="664" spans="1:10" ht="14.2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</row>
    <row r="665" spans="1:10" ht="14.2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</row>
    <row r="666" spans="1:10" ht="14.2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</row>
    <row r="667" spans="1:10" ht="14.2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</row>
    <row r="668" spans="1:10" ht="14.2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</row>
    <row r="669" spans="1:10" ht="14.2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</row>
    <row r="670" spans="1:10" ht="14.2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</row>
    <row r="671" spans="1:10" ht="14.2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</row>
    <row r="672" spans="1:10" ht="14.2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</row>
    <row r="673" spans="1:10" ht="14.2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</row>
    <row r="674" spans="1:10" ht="14.2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</row>
    <row r="675" spans="1:10" ht="14.2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</row>
    <row r="676" spans="1:10" ht="14.2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</row>
    <row r="677" spans="1:10" ht="14.2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</row>
    <row r="678" spans="1:10" ht="14.2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</row>
    <row r="679" spans="1:10" ht="14.2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</row>
    <row r="680" spans="1:10" ht="14.2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</row>
    <row r="681" spans="1:10" ht="14.2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</row>
    <row r="682" spans="1:10" ht="14.2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</row>
    <row r="683" spans="1:10" ht="14.2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</row>
    <row r="684" spans="1:10" ht="14.2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</row>
    <row r="685" spans="1:10" ht="14.2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</row>
    <row r="686" spans="1:10" ht="14.2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</row>
    <row r="687" spans="1:10" ht="14.2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</row>
    <row r="688" spans="1:10" ht="14.2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</row>
    <row r="689" spans="1:10" ht="14.2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</row>
    <row r="690" spans="1:10" ht="14.2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</row>
    <row r="691" spans="1:10" ht="14.2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</row>
    <row r="692" spans="1:10" ht="14.2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</row>
    <row r="693" spans="1:10" ht="14.2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</row>
    <row r="694" spans="1:10" ht="14.2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</row>
    <row r="695" spans="1:10" ht="14.2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</row>
    <row r="696" spans="1:10" ht="14.2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</row>
    <row r="697" spans="1:10" ht="14.2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</row>
    <row r="698" spans="1:10" ht="14.2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</row>
    <row r="699" spans="1:10" ht="14.2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</row>
    <row r="700" spans="1:10" ht="14.2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</row>
    <row r="701" spans="1:10" ht="14.2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</row>
    <row r="702" spans="1:10" ht="14.2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</row>
    <row r="703" spans="1:10" ht="14.2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</row>
    <row r="704" spans="1:10" ht="14.2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</row>
    <row r="705" spans="1:10" ht="14.2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</row>
    <row r="706" spans="1:10" ht="14.2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</row>
    <row r="707" spans="1:10" ht="14.2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</row>
    <row r="708" spans="1:10" ht="14.2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</row>
    <row r="709" spans="1:10" ht="14.2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</row>
    <row r="710" spans="1:10" ht="14.2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</row>
    <row r="711" spans="1:10" ht="14.2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</row>
    <row r="712" spans="1:10" ht="14.2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</row>
    <row r="713" spans="1:10" ht="14.2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</row>
    <row r="714" spans="1:10" ht="14.2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</row>
    <row r="715" spans="1:10" ht="14.2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</row>
    <row r="716" spans="1:10" ht="14.2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</row>
    <row r="717" spans="1:10" ht="14.2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</row>
    <row r="718" spans="1:10" ht="14.2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</row>
    <row r="719" spans="1:10" ht="14.2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</row>
    <row r="720" spans="1:10" ht="14.2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</row>
    <row r="721" spans="1:10" ht="14.2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</row>
    <row r="722" spans="1:10" ht="14.2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</row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AX17:AX447">
    <cfRule type="cellIs" dxfId="27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27" ht="24.75" hidden="1" customHeight="1">
      <c r="A1" s="397" t="s">
        <v>0</v>
      </c>
      <c r="B1" s="398"/>
      <c r="C1" s="398"/>
      <c r="D1" s="399"/>
      <c r="E1" s="562"/>
      <c r="F1" s="7"/>
      <c r="G1" s="7"/>
      <c r="H1" s="7"/>
      <c r="I1" s="7"/>
    </row>
    <row r="2" spans="1:27" ht="33" hidden="1" customHeight="1">
      <c r="A2" s="792" t="s">
        <v>1</v>
      </c>
      <c r="B2" s="793"/>
      <c r="C2" s="791"/>
      <c r="D2" s="399"/>
      <c r="E2" s="562"/>
      <c r="F2" s="7"/>
      <c r="G2" s="7"/>
      <c r="H2" s="7"/>
      <c r="I2" s="7"/>
    </row>
    <row r="3" spans="1:27" ht="23.25" hidden="1" customHeight="1">
      <c r="A3" s="794" t="s">
        <v>2</v>
      </c>
      <c r="B3" s="793"/>
      <c r="C3" s="791"/>
      <c r="D3" s="399"/>
      <c r="E3" s="562"/>
      <c r="F3" s="7"/>
      <c r="G3" s="7"/>
      <c r="H3" s="7"/>
      <c r="I3" s="7"/>
    </row>
    <row r="4" spans="1:27" ht="39.75" customHeight="1">
      <c r="A4" s="803" t="s">
        <v>1537</v>
      </c>
      <c r="B4" s="793"/>
      <c r="C4" s="793"/>
      <c r="D4" s="793"/>
      <c r="E4" s="791"/>
      <c r="F4" s="7"/>
      <c r="G4" s="7"/>
      <c r="H4" s="7"/>
      <c r="I4" s="7"/>
    </row>
    <row r="5" spans="1:27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  <c r="G5" s="7"/>
      <c r="H5" s="7"/>
      <c r="I5" s="7"/>
    </row>
    <row r="6" spans="1:27" ht="21" hidden="1" customHeight="1">
      <c r="A6" s="804" t="s">
        <v>1338</v>
      </c>
      <c r="B6" s="793"/>
      <c r="C6" s="793"/>
      <c r="D6" s="793"/>
      <c r="E6" s="791"/>
      <c r="F6" s="7"/>
      <c r="G6" s="7"/>
      <c r="H6" s="7"/>
      <c r="I6" s="7"/>
    </row>
    <row r="7" spans="1:27" ht="18.75" hidden="1" customHeight="1">
      <c r="A7" s="244"/>
      <c r="B7" s="401"/>
      <c r="C7" s="564" t="s">
        <v>1339</v>
      </c>
      <c r="D7" s="403"/>
      <c r="E7" s="565"/>
      <c r="F7" s="7"/>
      <c r="G7" s="7"/>
      <c r="H7" s="7"/>
      <c r="I7" s="7"/>
    </row>
    <row r="8" spans="1:27" ht="14.25" hidden="1" customHeight="1">
      <c r="A8" s="244"/>
      <c r="B8" s="404"/>
      <c r="C8" s="564" t="s">
        <v>1340</v>
      </c>
      <c r="D8" s="405"/>
      <c r="E8" s="566"/>
      <c r="F8" s="7"/>
      <c r="G8" s="7"/>
      <c r="H8" s="7"/>
      <c r="I8" s="7"/>
    </row>
    <row r="9" spans="1:27" ht="14.25" hidden="1" customHeight="1">
      <c r="A9" s="244"/>
      <c r="B9" s="404"/>
      <c r="C9" s="798" t="s">
        <v>1341</v>
      </c>
      <c r="D9" s="791"/>
      <c r="E9" s="567"/>
      <c r="F9" s="7"/>
      <c r="G9" s="7"/>
      <c r="H9" s="7"/>
      <c r="I9" s="7"/>
    </row>
    <row r="10" spans="1:27" ht="25.5" customHeight="1">
      <c r="A10" s="568"/>
      <c r="B10" s="569"/>
      <c r="C10" s="570"/>
      <c r="D10" s="571"/>
      <c r="E10" s="572"/>
      <c r="F10" s="7"/>
      <c r="G10" s="7"/>
      <c r="H10" s="7"/>
      <c r="I10" s="7"/>
    </row>
    <row r="11" spans="1:27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414" t="s">
        <v>1119</v>
      </c>
      <c r="F11" s="180" t="s">
        <v>1119</v>
      </c>
      <c r="G11" s="22"/>
      <c r="H11" s="22"/>
      <c r="I11" s="22"/>
      <c r="J11" s="22"/>
      <c r="K11" s="414"/>
      <c r="L11" s="414"/>
      <c r="M11" s="201"/>
      <c r="N11" s="576" t="s">
        <v>38</v>
      </c>
      <c r="O11" s="577"/>
      <c r="P11" s="535"/>
      <c r="Q11" s="535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29.25" customHeight="1">
      <c r="A12" s="578"/>
      <c r="B12" s="430"/>
      <c r="C12" s="579" t="s">
        <v>39</v>
      </c>
      <c r="D12" s="186"/>
      <c r="E12" s="185">
        <v>1</v>
      </c>
      <c r="F12" s="185">
        <v>1</v>
      </c>
      <c r="G12" s="29"/>
      <c r="H12" s="29"/>
      <c r="I12" s="29"/>
      <c r="J12" s="29"/>
      <c r="K12" s="293"/>
      <c r="L12" s="293"/>
      <c r="M12" s="352"/>
      <c r="N12" s="581">
        <f>SUM(E12:M12)</f>
        <v>2</v>
      </c>
      <c r="O12" s="582"/>
      <c r="P12" s="582"/>
      <c r="Q12" s="582"/>
      <c r="R12" s="7"/>
      <c r="S12" s="7"/>
      <c r="T12" s="7"/>
      <c r="U12" s="7">
        <v>6</v>
      </c>
      <c r="V12" s="7"/>
      <c r="W12" s="7"/>
      <c r="X12" s="7"/>
      <c r="Y12" s="7"/>
      <c r="Z12" s="7"/>
      <c r="AA12" s="7"/>
    </row>
    <row r="13" spans="1:27" ht="37.5" customHeight="1">
      <c r="A13" s="583"/>
      <c r="B13" s="584"/>
      <c r="C13" s="585" t="s">
        <v>40</v>
      </c>
      <c r="D13" s="584"/>
      <c r="E13" s="40" t="s">
        <v>2048</v>
      </c>
      <c r="F13" s="40" t="s">
        <v>2049</v>
      </c>
      <c r="G13" s="32"/>
      <c r="H13" s="32"/>
      <c r="I13" s="32"/>
      <c r="J13" s="32"/>
      <c r="K13" s="32"/>
      <c r="L13" s="189"/>
      <c r="M13" s="32"/>
      <c r="N13" s="581"/>
      <c r="O13" s="591"/>
      <c r="P13" s="582"/>
      <c r="Q13" s="591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53.25" customHeight="1">
      <c r="A14" s="578"/>
      <c r="B14" s="430"/>
      <c r="C14" s="579" t="s">
        <v>41</v>
      </c>
      <c r="D14" s="430"/>
      <c r="E14" s="185" t="s">
        <v>1966</v>
      </c>
      <c r="F14" s="185"/>
      <c r="G14" s="30"/>
      <c r="H14" s="30"/>
      <c r="I14" s="30"/>
      <c r="J14" s="30"/>
      <c r="K14" s="185"/>
      <c r="L14" s="185"/>
      <c r="M14" s="593"/>
      <c r="N14" s="581"/>
      <c r="O14" s="582"/>
      <c r="P14" s="582"/>
      <c r="Q14" s="582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51" customHeight="1">
      <c r="A15" s="578"/>
      <c r="B15" s="430"/>
      <c r="C15" s="579" t="s">
        <v>42</v>
      </c>
      <c r="D15" s="430"/>
      <c r="E15" s="191" t="s">
        <v>1641</v>
      </c>
      <c r="F15" s="191" t="s">
        <v>2050</v>
      </c>
      <c r="G15" s="30"/>
      <c r="H15" s="30"/>
      <c r="I15" s="30"/>
      <c r="J15" s="30"/>
      <c r="K15" s="191"/>
      <c r="L15" s="191"/>
      <c r="M15" s="353"/>
      <c r="N15" s="576"/>
      <c r="O15" s="582"/>
      <c r="P15" s="582"/>
      <c r="Q15" s="582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30.75" customHeight="1">
      <c r="A16" s="579"/>
      <c r="B16" s="186"/>
      <c r="C16" s="579" t="s">
        <v>43</v>
      </c>
      <c r="D16" s="186"/>
      <c r="E16" s="193" t="s">
        <v>2051</v>
      </c>
      <c r="F16" s="193" t="s">
        <v>2052</v>
      </c>
      <c r="G16" s="34"/>
      <c r="H16" s="34"/>
      <c r="I16" s="34"/>
      <c r="J16" s="34"/>
      <c r="K16" s="193"/>
      <c r="L16" s="193"/>
      <c r="M16" s="597"/>
      <c r="N16" s="598"/>
      <c r="O16" s="599"/>
      <c r="P16" s="599"/>
      <c r="Q16" s="599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33.75" customHeight="1">
      <c r="A17" s="583"/>
      <c r="B17" s="584"/>
      <c r="C17" s="585" t="s">
        <v>70</v>
      </c>
      <c r="D17" s="584"/>
      <c r="E17" s="40" t="s">
        <v>1947</v>
      </c>
      <c r="F17" s="40" t="s">
        <v>2053</v>
      </c>
      <c r="G17" s="32"/>
      <c r="H17" s="32"/>
      <c r="I17" s="32"/>
      <c r="J17" s="32"/>
      <c r="K17" s="32"/>
      <c r="L17" s="32"/>
      <c r="M17" s="32"/>
      <c r="N17" s="581"/>
      <c r="O17" s="591"/>
      <c r="P17" s="591"/>
      <c r="Q17" s="591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43"/>
      <c r="I18" s="43"/>
      <c r="J18" s="43"/>
      <c r="K18" s="43"/>
      <c r="L18" s="43"/>
      <c r="M18" s="606"/>
      <c r="N18" s="607"/>
      <c r="O18" s="608"/>
      <c r="P18" s="609"/>
      <c r="Q18" s="609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1"/>
      <c r="I19" s="201"/>
      <c r="J19" s="201"/>
      <c r="K19" s="201"/>
      <c r="L19" s="201"/>
      <c r="M19" s="615"/>
      <c r="N19" s="616"/>
      <c r="O19" s="617"/>
      <c r="P19" s="577"/>
      <c r="Q19" s="577"/>
      <c r="R19" s="7"/>
      <c r="S19" s="363"/>
      <c r="T19" s="7"/>
      <c r="U19" s="618">
        <f>S19-N19</f>
        <v>0</v>
      </c>
      <c r="V19" s="7"/>
      <c r="W19" s="7"/>
      <c r="X19" s="7"/>
      <c r="Y19" s="7"/>
      <c r="Z19" s="7"/>
      <c r="AA19" s="7"/>
    </row>
    <row r="20" spans="1:27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209"/>
      <c r="H20" s="715"/>
      <c r="I20" s="209"/>
      <c r="J20" s="209"/>
      <c r="K20" s="209"/>
      <c r="L20" s="209"/>
      <c r="M20" s="624"/>
      <c r="N20" s="625">
        <f t="shared" ref="N20:N274" si="0">+SUM(E20:M20)</f>
        <v>0</v>
      </c>
      <c r="O20" s="626"/>
      <c r="P20" s="627"/>
      <c r="Q20" s="627"/>
      <c r="R20" s="7"/>
      <c r="S20" s="723"/>
      <c r="T20" s="7"/>
      <c r="U20" s="618">
        <v>0</v>
      </c>
      <c r="V20" s="7"/>
      <c r="W20" s="7"/>
      <c r="X20" s="7"/>
      <c r="Y20" s="7"/>
      <c r="Z20" s="7"/>
      <c r="AA20" s="7"/>
    </row>
    <row r="21" spans="1:27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3"/>
      <c r="I21" s="213"/>
      <c r="J21" s="213"/>
      <c r="K21" s="213"/>
      <c r="L21" s="213"/>
      <c r="M21" s="615"/>
      <c r="N21" s="616">
        <f t="shared" si="0"/>
        <v>0</v>
      </c>
      <c r="O21" s="633"/>
      <c r="P21" s="634"/>
      <c r="Q21" s="634"/>
      <c r="R21" s="7"/>
      <c r="S21" s="699"/>
      <c r="T21" s="7"/>
      <c r="U21" s="618">
        <f t="shared" ref="U21:U24" si="1">S21-N21</f>
        <v>0</v>
      </c>
      <c r="V21" s="7"/>
      <c r="W21" s="7"/>
      <c r="X21" s="7"/>
      <c r="Y21" s="7"/>
      <c r="Z21" s="7"/>
      <c r="AA21" s="7"/>
    </row>
    <row r="22" spans="1:27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3"/>
      <c r="I22" s="213"/>
      <c r="J22" s="213"/>
      <c r="K22" s="213"/>
      <c r="L22" s="213"/>
      <c r="M22" s="615"/>
      <c r="N22" s="616">
        <f t="shared" si="0"/>
        <v>0</v>
      </c>
      <c r="O22" s="633"/>
      <c r="P22" s="634"/>
      <c r="Q22" s="634"/>
      <c r="R22" s="7"/>
      <c r="S22" s="699"/>
      <c r="T22" s="7"/>
      <c r="U22" s="618">
        <f t="shared" si="1"/>
        <v>0</v>
      </c>
      <c r="V22" s="7"/>
      <c r="W22" s="7"/>
      <c r="X22" s="7"/>
      <c r="Y22" s="7"/>
      <c r="Z22" s="7"/>
      <c r="AA22" s="7"/>
    </row>
    <row r="23" spans="1:27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3"/>
      <c r="I23" s="213"/>
      <c r="J23" s="213"/>
      <c r="K23" s="213"/>
      <c r="L23" s="213"/>
      <c r="M23" s="615"/>
      <c r="N23" s="616">
        <f t="shared" si="0"/>
        <v>0</v>
      </c>
      <c r="O23" s="633"/>
      <c r="P23" s="634"/>
      <c r="Q23" s="634"/>
      <c r="R23" s="7"/>
      <c r="S23" s="699"/>
      <c r="T23" s="7"/>
      <c r="U23" s="618">
        <f t="shared" si="1"/>
        <v>0</v>
      </c>
      <c r="V23" s="7"/>
      <c r="W23" s="7"/>
      <c r="X23" s="7"/>
      <c r="Y23" s="7"/>
      <c r="Z23" s="7"/>
      <c r="AA23" s="7"/>
    </row>
    <row r="24" spans="1:27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3"/>
      <c r="I24" s="213"/>
      <c r="J24" s="213"/>
      <c r="K24" s="213"/>
      <c r="L24" s="213"/>
      <c r="M24" s="615"/>
      <c r="N24" s="616">
        <f t="shared" si="0"/>
        <v>0</v>
      </c>
      <c r="O24" s="633"/>
      <c r="P24" s="634"/>
      <c r="Q24" s="634"/>
      <c r="R24" s="7"/>
      <c r="S24" s="699"/>
      <c r="T24" s="7"/>
      <c r="U24" s="618">
        <f t="shared" si="1"/>
        <v>0</v>
      </c>
      <c r="V24" s="7"/>
      <c r="W24" s="7"/>
      <c r="X24" s="7"/>
      <c r="Y24" s="7"/>
      <c r="Z24" s="7"/>
      <c r="AA24" s="7"/>
    </row>
    <row r="25" spans="1:27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09"/>
      <c r="I25" s="209"/>
      <c r="J25" s="209"/>
      <c r="K25" s="209"/>
      <c r="L25" s="209"/>
      <c r="M25" s="624"/>
      <c r="N25" s="625">
        <f t="shared" si="0"/>
        <v>0</v>
      </c>
      <c r="O25" s="626"/>
      <c r="P25" s="627"/>
      <c r="Q25" s="627"/>
      <c r="R25" s="7"/>
      <c r="S25" s="699"/>
      <c r="T25" s="7"/>
      <c r="U25" s="618"/>
      <c r="V25" s="7"/>
      <c r="W25" s="7"/>
      <c r="X25" s="7"/>
      <c r="Y25" s="7"/>
      <c r="Z25" s="7"/>
      <c r="AA25" s="7"/>
    </row>
    <row r="26" spans="1:27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3"/>
      <c r="I26" s="213"/>
      <c r="J26" s="213"/>
      <c r="K26" s="213"/>
      <c r="L26" s="213"/>
      <c r="M26" s="615"/>
      <c r="N26" s="616">
        <f t="shared" si="0"/>
        <v>0</v>
      </c>
      <c r="O26" s="633"/>
      <c r="P26" s="634"/>
      <c r="Q26" s="634"/>
      <c r="R26" s="7"/>
      <c r="S26" s="699"/>
      <c r="T26" s="7"/>
      <c r="U26" s="618">
        <f t="shared" ref="U26:U34" si="2">S26-N26</f>
        <v>0</v>
      </c>
      <c r="V26" s="7"/>
      <c r="W26" s="7"/>
      <c r="X26" s="7"/>
      <c r="Y26" s="7"/>
      <c r="Z26" s="7"/>
      <c r="AA26" s="7"/>
    </row>
    <row r="27" spans="1:27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3"/>
      <c r="I27" s="213"/>
      <c r="J27" s="213"/>
      <c r="K27" s="213"/>
      <c r="L27" s="213"/>
      <c r="M27" s="615"/>
      <c r="N27" s="616">
        <f t="shared" si="0"/>
        <v>0</v>
      </c>
      <c r="O27" s="633"/>
      <c r="P27" s="634"/>
      <c r="Q27" s="634"/>
      <c r="R27" s="7"/>
      <c r="S27" s="699"/>
      <c r="T27" s="7"/>
      <c r="U27" s="618">
        <f t="shared" si="2"/>
        <v>0</v>
      </c>
      <c r="V27" s="7"/>
      <c r="W27" s="7"/>
      <c r="X27" s="7"/>
      <c r="Y27" s="7"/>
      <c r="Z27" s="7"/>
      <c r="AA27" s="7"/>
    </row>
    <row r="28" spans="1:27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3"/>
      <c r="I28" s="213"/>
      <c r="J28" s="213"/>
      <c r="K28" s="213"/>
      <c r="L28" s="213"/>
      <c r="M28" s="615"/>
      <c r="N28" s="616">
        <f t="shared" si="0"/>
        <v>0</v>
      </c>
      <c r="O28" s="633"/>
      <c r="P28" s="634"/>
      <c r="Q28" s="634"/>
      <c r="R28" s="7"/>
      <c r="S28" s="699"/>
      <c r="T28" s="7"/>
      <c r="U28" s="618">
        <f t="shared" si="2"/>
        <v>0</v>
      </c>
      <c r="V28" s="7"/>
      <c r="W28" s="7"/>
      <c r="X28" s="7"/>
      <c r="Y28" s="7"/>
      <c r="Z28" s="7"/>
      <c r="AA28" s="7"/>
    </row>
    <row r="29" spans="1:27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3"/>
      <c r="I29" s="213"/>
      <c r="J29" s="213"/>
      <c r="K29" s="213"/>
      <c r="L29" s="213"/>
      <c r="M29" s="615"/>
      <c r="N29" s="616">
        <f t="shared" si="0"/>
        <v>0</v>
      </c>
      <c r="O29" s="633"/>
      <c r="P29" s="634"/>
      <c r="Q29" s="634"/>
      <c r="R29" s="7"/>
      <c r="S29" s="699"/>
      <c r="T29" s="7"/>
      <c r="U29" s="618">
        <f t="shared" si="2"/>
        <v>0</v>
      </c>
      <c r="V29" s="7"/>
      <c r="W29" s="7"/>
      <c r="X29" s="7"/>
      <c r="Y29" s="7"/>
      <c r="Z29" s="7"/>
      <c r="AA29" s="7"/>
    </row>
    <row r="30" spans="1:27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09"/>
      <c r="I30" s="209"/>
      <c r="J30" s="209"/>
      <c r="K30" s="209"/>
      <c r="L30" s="209"/>
      <c r="M30" s="624"/>
      <c r="N30" s="625">
        <f t="shared" si="0"/>
        <v>0</v>
      </c>
      <c r="O30" s="626"/>
      <c r="P30" s="627"/>
      <c r="Q30" s="627"/>
      <c r="R30" s="7"/>
      <c r="S30" s="699"/>
      <c r="T30" s="7"/>
      <c r="U30" s="618">
        <f t="shared" si="2"/>
        <v>0</v>
      </c>
      <c r="V30" s="7"/>
      <c r="W30" s="7"/>
      <c r="X30" s="7"/>
      <c r="Y30" s="7"/>
      <c r="Z30" s="7"/>
      <c r="AA30" s="7"/>
    </row>
    <row r="31" spans="1:27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3"/>
      <c r="I31" s="213"/>
      <c r="J31" s="213"/>
      <c r="K31" s="213"/>
      <c r="L31" s="213"/>
      <c r="M31" s="615"/>
      <c r="N31" s="616">
        <f t="shared" si="0"/>
        <v>0</v>
      </c>
      <c r="O31" s="633"/>
      <c r="P31" s="634"/>
      <c r="Q31" s="634"/>
      <c r="R31" s="7"/>
      <c r="S31" s="699"/>
      <c r="T31" s="7"/>
      <c r="U31" s="618">
        <f t="shared" si="2"/>
        <v>0</v>
      </c>
      <c r="V31" s="7"/>
      <c r="W31" s="7"/>
      <c r="X31" s="7"/>
      <c r="Y31" s="7"/>
      <c r="Z31" s="7"/>
      <c r="AA31" s="7"/>
    </row>
    <row r="32" spans="1:27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3"/>
      <c r="I32" s="213"/>
      <c r="J32" s="213"/>
      <c r="K32" s="213"/>
      <c r="L32" s="213"/>
      <c r="M32" s="615"/>
      <c r="N32" s="616">
        <f t="shared" si="0"/>
        <v>0</v>
      </c>
      <c r="O32" s="633"/>
      <c r="P32" s="634"/>
      <c r="Q32" s="634"/>
      <c r="R32" s="7"/>
      <c r="S32" s="699"/>
      <c r="T32" s="7"/>
      <c r="U32" s="618">
        <f t="shared" si="2"/>
        <v>0</v>
      </c>
      <c r="V32" s="7"/>
      <c r="W32" s="7"/>
      <c r="X32" s="7"/>
      <c r="Y32" s="7"/>
      <c r="Z32" s="7"/>
      <c r="AA32" s="7"/>
    </row>
    <row r="33" spans="1:27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3"/>
      <c r="I33" s="213"/>
      <c r="J33" s="213"/>
      <c r="K33" s="213"/>
      <c r="L33" s="213"/>
      <c r="M33" s="615"/>
      <c r="N33" s="616">
        <f t="shared" si="0"/>
        <v>0</v>
      </c>
      <c r="O33" s="633"/>
      <c r="P33" s="634"/>
      <c r="Q33" s="634"/>
      <c r="R33" s="7"/>
      <c r="S33" s="699"/>
      <c r="T33" s="7"/>
      <c r="U33" s="618">
        <f t="shared" si="2"/>
        <v>0</v>
      </c>
      <c r="V33" s="7"/>
      <c r="W33" s="7"/>
      <c r="X33" s="7"/>
      <c r="Y33" s="7"/>
      <c r="Z33" s="7"/>
      <c r="AA33" s="7"/>
    </row>
    <row r="34" spans="1:27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3"/>
      <c r="I34" s="213"/>
      <c r="J34" s="213"/>
      <c r="K34" s="213"/>
      <c r="L34" s="213"/>
      <c r="M34" s="615"/>
      <c r="N34" s="616">
        <f t="shared" si="0"/>
        <v>0</v>
      </c>
      <c r="O34" s="633"/>
      <c r="P34" s="634"/>
      <c r="Q34" s="634"/>
      <c r="R34" s="7"/>
      <c r="S34" s="699"/>
      <c r="T34" s="7"/>
      <c r="U34" s="618">
        <f t="shared" si="2"/>
        <v>0</v>
      </c>
      <c r="V34" s="7"/>
      <c r="W34" s="7"/>
      <c r="X34" s="7"/>
      <c r="Y34" s="7"/>
      <c r="Z34" s="7"/>
      <c r="AA34" s="7"/>
    </row>
    <row r="35" spans="1:27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3"/>
      <c r="I35" s="213"/>
      <c r="J35" s="213"/>
      <c r="K35" s="213"/>
      <c r="L35" s="213"/>
      <c r="M35" s="615"/>
      <c r="N35" s="616">
        <f t="shared" si="0"/>
        <v>0</v>
      </c>
      <c r="O35" s="633"/>
      <c r="P35" s="636"/>
      <c r="Q35" s="636"/>
      <c r="R35" s="7"/>
      <c r="S35" s="699"/>
      <c r="T35" s="7"/>
      <c r="U35" s="618"/>
      <c r="V35" s="7"/>
      <c r="W35" s="7"/>
      <c r="X35" s="7"/>
      <c r="Y35" s="7"/>
      <c r="Z35" s="7"/>
      <c r="AA35" s="7"/>
    </row>
    <row r="36" spans="1:27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3"/>
      <c r="I36" s="213"/>
      <c r="J36" s="213"/>
      <c r="K36" s="213"/>
      <c r="L36" s="213"/>
      <c r="M36" s="615"/>
      <c r="N36" s="616">
        <f t="shared" si="0"/>
        <v>0</v>
      </c>
      <c r="O36" s="633"/>
      <c r="P36" s="547" t="s">
        <v>1576</v>
      </c>
      <c r="Q36" s="636"/>
      <c r="R36" s="7"/>
      <c r="S36" s="699"/>
      <c r="T36" s="7"/>
      <c r="U36" s="618">
        <f>S36-N36</f>
        <v>0</v>
      </c>
      <c r="V36" s="7"/>
      <c r="W36" s="7"/>
      <c r="X36" s="7"/>
      <c r="Y36" s="7"/>
      <c r="Z36" s="7"/>
      <c r="AA36" s="7"/>
    </row>
    <row r="37" spans="1:27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>
        <f>SUM(F38:F53)</f>
        <v>25</v>
      </c>
      <c r="G37" s="213"/>
      <c r="H37" s="213"/>
      <c r="I37" s="213"/>
      <c r="J37" s="213"/>
      <c r="K37" s="213"/>
      <c r="L37" s="213"/>
      <c r="M37" s="639"/>
      <c r="N37" s="616">
        <f t="shared" si="0"/>
        <v>25</v>
      </c>
      <c r="O37" s="633"/>
      <c r="P37" s="640"/>
      <c r="Q37" s="640"/>
      <c r="R37" s="7"/>
      <c r="S37" s="699"/>
      <c r="T37" s="7"/>
      <c r="U37" s="618"/>
      <c r="V37" s="7"/>
      <c r="W37" s="7"/>
      <c r="X37" s="7"/>
      <c r="Y37" s="7"/>
      <c r="Z37" s="7"/>
      <c r="AA37" s="7"/>
    </row>
    <row r="38" spans="1:27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6</v>
      </c>
      <c r="F38" s="209">
        <v>8</v>
      </c>
      <c r="G38" s="209"/>
      <c r="H38" s="209"/>
      <c r="I38" s="209"/>
      <c r="J38" s="209"/>
      <c r="K38" s="209"/>
      <c r="L38" s="209"/>
      <c r="M38" s="624"/>
      <c r="N38" s="625">
        <f t="shared" si="0"/>
        <v>14</v>
      </c>
      <c r="O38" s="626"/>
      <c r="P38" s="627" t="s">
        <v>1577</v>
      </c>
      <c r="Q38" s="642">
        <f>N38</f>
        <v>14</v>
      </c>
      <c r="R38" s="7"/>
      <c r="S38" s="699">
        <v>30</v>
      </c>
      <c r="T38" s="7"/>
      <c r="U38" s="618">
        <f t="shared" ref="U38:U42" si="3">S38-N38</f>
        <v>16</v>
      </c>
      <c r="V38" s="7"/>
      <c r="W38" s="7"/>
      <c r="X38" s="7"/>
      <c r="Y38" s="7"/>
      <c r="Z38" s="7"/>
      <c r="AA38" s="7"/>
    </row>
    <row r="39" spans="1:27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3"/>
      <c r="I39" s="213"/>
      <c r="J39" s="213"/>
      <c r="K39" s="213"/>
      <c r="L39" s="213"/>
      <c r="M39" s="643"/>
      <c r="N39" s="616">
        <f t="shared" si="0"/>
        <v>0</v>
      </c>
      <c r="O39" s="633"/>
      <c r="P39" s="644" t="s">
        <v>1578</v>
      </c>
      <c r="Q39" s="645">
        <f>O43</f>
        <v>34</v>
      </c>
      <c r="R39" s="7"/>
      <c r="S39" s="699"/>
      <c r="T39" s="7"/>
      <c r="U39" s="618">
        <f t="shared" si="3"/>
        <v>0</v>
      </c>
      <c r="V39" s="7"/>
      <c r="W39" s="7"/>
      <c r="X39" s="7"/>
      <c r="Y39" s="7"/>
      <c r="Z39" s="7"/>
      <c r="AA39" s="7"/>
    </row>
    <row r="40" spans="1:27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3"/>
      <c r="I40" s="213"/>
      <c r="J40" s="213"/>
      <c r="K40" s="213"/>
      <c r="L40" s="213"/>
      <c r="M40" s="643"/>
      <c r="N40" s="616">
        <f t="shared" si="0"/>
        <v>0</v>
      </c>
      <c r="O40" s="633"/>
      <c r="P40" s="636"/>
      <c r="Q40" s="636"/>
      <c r="R40" s="7"/>
      <c r="S40" s="699"/>
      <c r="T40" s="7"/>
      <c r="U40" s="618">
        <f t="shared" si="3"/>
        <v>0</v>
      </c>
      <c r="V40" s="7"/>
      <c r="W40" s="7"/>
      <c r="X40" s="7"/>
      <c r="Y40" s="7"/>
      <c r="Z40" s="7"/>
      <c r="AA40" s="7"/>
    </row>
    <row r="41" spans="1:27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3"/>
      <c r="I41" s="213"/>
      <c r="J41" s="213"/>
      <c r="K41" s="213"/>
      <c r="L41" s="213"/>
      <c r="M41" s="643"/>
      <c r="N41" s="616">
        <f t="shared" si="0"/>
        <v>0</v>
      </c>
      <c r="O41" s="633"/>
      <c r="P41" s="636"/>
      <c r="Q41" s="636"/>
      <c r="R41" s="7"/>
      <c r="S41" s="699"/>
      <c r="T41" s="7"/>
      <c r="U41" s="618">
        <f t="shared" si="3"/>
        <v>0</v>
      </c>
      <c r="V41" s="7"/>
      <c r="W41" s="7"/>
      <c r="X41" s="7"/>
      <c r="Y41" s="7"/>
      <c r="Z41" s="7"/>
      <c r="AA41" s="7"/>
    </row>
    <row r="42" spans="1:27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3"/>
      <c r="I42" s="213"/>
      <c r="J42" s="213"/>
      <c r="K42" s="213"/>
      <c r="L42" s="213"/>
      <c r="M42" s="643"/>
      <c r="N42" s="616">
        <f t="shared" si="0"/>
        <v>0</v>
      </c>
      <c r="O42" s="633"/>
      <c r="P42" s="636"/>
      <c r="Q42" s="636"/>
      <c r="R42" s="7"/>
      <c r="S42" s="699"/>
      <c r="T42" s="7"/>
      <c r="U42" s="618">
        <f t="shared" si="3"/>
        <v>0</v>
      </c>
      <c r="V42" s="7"/>
      <c r="W42" s="7"/>
      <c r="X42" s="7"/>
      <c r="Y42" s="7"/>
      <c r="Z42" s="7"/>
      <c r="AA42" s="7"/>
    </row>
    <row r="43" spans="1:27" ht="20.25" customHeight="1">
      <c r="A43" s="482"/>
      <c r="B43" s="496" t="s">
        <v>143</v>
      </c>
      <c r="C43" s="555" t="s">
        <v>144</v>
      </c>
      <c r="D43" s="485" t="s">
        <v>132</v>
      </c>
      <c r="E43" s="213">
        <v>12</v>
      </c>
      <c r="F43" s="213"/>
      <c r="G43" s="213"/>
      <c r="H43" s="213"/>
      <c r="I43" s="213"/>
      <c r="J43" s="213"/>
      <c r="K43" s="213"/>
      <c r="L43" s="213"/>
      <c r="M43" s="643"/>
      <c r="N43" s="616">
        <f t="shared" si="0"/>
        <v>12</v>
      </c>
      <c r="O43" s="633">
        <f>N43+N48+N53+N62</f>
        <v>34</v>
      </c>
      <c r="P43" s="634"/>
      <c r="Q43" s="634"/>
      <c r="R43" s="7"/>
      <c r="S43" s="699">
        <v>10</v>
      </c>
      <c r="T43" s="7"/>
      <c r="U43" s="618"/>
      <c r="V43" s="7"/>
      <c r="W43" s="7"/>
      <c r="X43" s="7"/>
      <c r="Y43" s="7"/>
      <c r="Z43" s="7"/>
      <c r="AA43" s="7"/>
    </row>
    <row r="44" spans="1:27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3"/>
      <c r="I44" s="213"/>
      <c r="J44" s="213"/>
      <c r="K44" s="213"/>
      <c r="L44" s="213"/>
      <c r="M44" s="643"/>
      <c r="N44" s="616">
        <f t="shared" si="0"/>
        <v>0</v>
      </c>
      <c r="O44" s="633"/>
      <c r="P44" s="634"/>
      <c r="Q44" s="634"/>
      <c r="R44" s="7"/>
      <c r="S44" s="699"/>
      <c r="T44" s="7"/>
      <c r="U44" s="618"/>
      <c r="V44" s="7"/>
      <c r="W44" s="7"/>
      <c r="X44" s="7"/>
      <c r="Y44" s="7"/>
      <c r="Z44" s="7"/>
      <c r="AA44" s="7"/>
    </row>
    <row r="45" spans="1:27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3"/>
      <c r="I45" s="213"/>
      <c r="J45" s="213"/>
      <c r="K45" s="213"/>
      <c r="L45" s="213"/>
      <c r="M45" s="643"/>
      <c r="N45" s="616">
        <f t="shared" si="0"/>
        <v>0</v>
      </c>
      <c r="O45" s="633"/>
      <c r="P45" s="634"/>
      <c r="Q45" s="634"/>
      <c r="R45" s="7"/>
      <c r="S45" s="699"/>
      <c r="T45" s="7"/>
      <c r="U45" s="618"/>
      <c r="V45" s="7"/>
      <c r="W45" s="7"/>
      <c r="X45" s="7"/>
      <c r="Y45" s="7"/>
      <c r="Z45" s="7"/>
      <c r="AA45" s="7"/>
    </row>
    <row r="46" spans="1:27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3"/>
      <c r="I46" s="213"/>
      <c r="J46" s="213"/>
      <c r="K46" s="213"/>
      <c r="L46" s="213"/>
      <c r="M46" s="643"/>
      <c r="N46" s="616">
        <f t="shared" si="0"/>
        <v>0</v>
      </c>
      <c r="O46" s="633"/>
      <c r="P46" s="634"/>
      <c r="Q46" s="634"/>
      <c r="R46" s="7"/>
      <c r="S46" s="699"/>
      <c r="T46" s="7"/>
      <c r="U46" s="618"/>
      <c r="V46" s="7"/>
      <c r="W46" s="7"/>
      <c r="X46" s="7"/>
      <c r="Y46" s="7"/>
      <c r="Z46" s="7"/>
      <c r="AA46" s="7"/>
    </row>
    <row r="47" spans="1:27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3"/>
      <c r="I47" s="213"/>
      <c r="J47" s="213"/>
      <c r="K47" s="213"/>
      <c r="L47" s="213"/>
      <c r="M47" s="643"/>
      <c r="N47" s="616">
        <f t="shared" si="0"/>
        <v>0</v>
      </c>
      <c r="O47" s="633"/>
      <c r="P47" s="634"/>
      <c r="Q47" s="634"/>
      <c r="R47" s="7"/>
      <c r="S47" s="699"/>
      <c r="T47" s="7"/>
      <c r="U47" s="618"/>
      <c r="V47" s="7"/>
      <c r="W47" s="7"/>
      <c r="X47" s="7"/>
      <c r="Y47" s="7"/>
      <c r="Z47" s="7"/>
      <c r="AA47" s="7"/>
    </row>
    <row r="48" spans="1:27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5</v>
      </c>
      <c r="F48" s="213">
        <v>5</v>
      </c>
      <c r="G48" s="213"/>
      <c r="H48" s="213"/>
      <c r="I48" s="213"/>
      <c r="J48" s="213"/>
      <c r="K48" s="213"/>
      <c r="L48" s="213"/>
      <c r="M48" s="643"/>
      <c r="N48" s="616">
        <f t="shared" si="0"/>
        <v>10</v>
      </c>
      <c r="O48" s="633"/>
      <c r="P48" s="634"/>
      <c r="Q48" s="634"/>
      <c r="R48" s="7"/>
      <c r="S48" s="699">
        <v>29</v>
      </c>
      <c r="T48" s="7"/>
      <c r="U48" s="618"/>
      <c r="V48" s="7"/>
      <c r="W48" s="7"/>
      <c r="X48" s="7"/>
      <c r="Y48" s="7"/>
      <c r="Z48" s="7"/>
      <c r="AA48" s="7"/>
    </row>
    <row r="49" spans="1:27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3"/>
      <c r="I49" s="213"/>
      <c r="J49" s="213"/>
      <c r="K49" s="213"/>
      <c r="L49" s="213"/>
      <c r="M49" s="643"/>
      <c r="N49" s="616">
        <f t="shared" si="0"/>
        <v>0</v>
      </c>
      <c r="O49" s="633"/>
      <c r="P49" s="634"/>
      <c r="Q49" s="634"/>
      <c r="R49" s="7"/>
      <c r="S49" s="699"/>
      <c r="T49" s="7"/>
      <c r="U49" s="618"/>
      <c r="V49" s="7"/>
      <c r="W49" s="7"/>
      <c r="X49" s="7"/>
      <c r="Y49" s="7"/>
      <c r="Z49" s="7"/>
      <c r="AA49" s="7"/>
    </row>
    <row r="50" spans="1:27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3"/>
      <c r="I50" s="213"/>
      <c r="J50" s="213"/>
      <c r="K50" s="213"/>
      <c r="L50" s="213"/>
      <c r="M50" s="643"/>
      <c r="N50" s="616">
        <f t="shared" si="0"/>
        <v>0</v>
      </c>
      <c r="O50" s="633"/>
      <c r="P50" s="634"/>
      <c r="Q50" s="634"/>
      <c r="R50" s="7"/>
      <c r="S50" s="699"/>
      <c r="T50" s="7"/>
      <c r="U50" s="618"/>
      <c r="V50" s="7"/>
      <c r="W50" s="7"/>
      <c r="X50" s="7"/>
      <c r="Y50" s="7"/>
      <c r="Z50" s="7"/>
      <c r="AA50" s="7"/>
    </row>
    <row r="51" spans="1:27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3"/>
      <c r="I51" s="213"/>
      <c r="J51" s="213"/>
      <c r="K51" s="213"/>
      <c r="L51" s="213"/>
      <c r="M51" s="643"/>
      <c r="N51" s="616">
        <f t="shared" si="0"/>
        <v>0</v>
      </c>
      <c r="O51" s="633"/>
      <c r="P51" s="634"/>
      <c r="Q51" s="634"/>
      <c r="R51" s="7"/>
      <c r="S51" s="699"/>
      <c r="T51" s="7"/>
      <c r="U51" s="618"/>
      <c r="V51" s="7"/>
      <c r="W51" s="7"/>
      <c r="X51" s="7"/>
      <c r="Y51" s="7"/>
      <c r="Z51" s="7"/>
      <c r="AA51" s="7"/>
    </row>
    <row r="52" spans="1:27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3"/>
      <c r="I52" s="213"/>
      <c r="J52" s="213"/>
      <c r="K52" s="213"/>
      <c r="L52" s="213"/>
      <c r="M52" s="643"/>
      <c r="N52" s="616">
        <f t="shared" si="0"/>
        <v>0</v>
      </c>
      <c r="O52" s="633"/>
      <c r="P52" s="634"/>
      <c r="Q52" s="634"/>
      <c r="R52" s="7"/>
      <c r="S52" s="699"/>
      <c r="T52" s="7"/>
      <c r="U52" s="618"/>
      <c r="V52" s="7"/>
      <c r="W52" s="7"/>
      <c r="X52" s="7"/>
      <c r="Y52" s="7"/>
      <c r="Z52" s="7"/>
      <c r="AA52" s="7"/>
    </row>
    <row r="53" spans="1:27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3">
        <v>12</v>
      </c>
      <c r="G53" s="213"/>
      <c r="H53" s="213"/>
      <c r="I53" s="213"/>
      <c r="J53" s="213"/>
      <c r="K53" s="213"/>
      <c r="L53" s="213"/>
      <c r="M53" s="643"/>
      <c r="N53" s="616">
        <f t="shared" si="0"/>
        <v>12</v>
      </c>
      <c r="O53" s="633"/>
      <c r="P53" s="634"/>
      <c r="Q53" s="634"/>
      <c r="R53" s="7"/>
      <c r="S53" s="699">
        <v>32</v>
      </c>
      <c r="T53" s="7"/>
      <c r="U53" s="618">
        <v>1</v>
      </c>
      <c r="V53" s="7"/>
      <c r="W53" s="7"/>
      <c r="X53" s="7"/>
      <c r="Y53" s="7"/>
      <c r="Z53" s="7"/>
      <c r="AA53" s="7"/>
    </row>
    <row r="54" spans="1:27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3"/>
      <c r="I54" s="213"/>
      <c r="J54" s="213"/>
      <c r="K54" s="213"/>
      <c r="L54" s="213"/>
      <c r="M54" s="643"/>
      <c r="N54" s="616">
        <f t="shared" si="0"/>
        <v>0</v>
      </c>
      <c r="O54" s="633"/>
      <c r="P54" s="634"/>
      <c r="Q54" s="634"/>
      <c r="R54" s="7"/>
      <c r="S54" s="699"/>
      <c r="T54" s="7"/>
      <c r="U54" s="618">
        <f t="shared" ref="U54:U57" si="4">S54-N54</f>
        <v>0</v>
      </c>
      <c r="V54" s="7"/>
      <c r="W54" s="7"/>
      <c r="X54" s="7"/>
      <c r="Y54" s="7"/>
      <c r="Z54" s="7"/>
      <c r="AA54" s="7"/>
    </row>
    <row r="55" spans="1:27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3"/>
      <c r="I55" s="213"/>
      <c r="J55" s="213"/>
      <c r="K55" s="213"/>
      <c r="L55" s="213"/>
      <c r="M55" s="643"/>
      <c r="N55" s="616">
        <f t="shared" si="0"/>
        <v>0</v>
      </c>
      <c r="O55" s="633"/>
      <c r="P55" s="634"/>
      <c r="Q55" s="634"/>
      <c r="R55" s="7"/>
      <c r="S55" s="699"/>
      <c r="T55" s="7"/>
      <c r="U55" s="618">
        <f t="shared" si="4"/>
        <v>0</v>
      </c>
      <c r="V55" s="7"/>
      <c r="W55" s="7"/>
      <c r="X55" s="7"/>
      <c r="Y55" s="7"/>
      <c r="Z55" s="7"/>
      <c r="AA55" s="7"/>
    </row>
    <row r="56" spans="1:27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3"/>
      <c r="I56" s="213"/>
      <c r="J56" s="213"/>
      <c r="K56" s="213"/>
      <c r="L56" s="213"/>
      <c r="M56" s="643"/>
      <c r="N56" s="616">
        <f t="shared" si="0"/>
        <v>0</v>
      </c>
      <c r="O56" s="633"/>
      <c r="P56" s="634"/>
      <c r="Q56" s="634"/>
      <c r="R56" s="7"/>
      <c r="S56" s="699"/>
      <c r="T56" s="7"/>
      <c r="U56" s="618">
        <f t="shared" si="4"/>
        <v>0</v>
      </c>
      <c r="V56" s="7"/>
      <c r="W56" s="7"/>
      <c r="X56" s="7"/>
      <c r="Y56" s="7"/>
      <c r="Z56" s="7"/>
      <c r="AA56" s="7"/>
    </row>
    <row r="57" spans="1:27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3"/>
      <c r="I57" s="213"/>
      <c r="J57" s="213"/>
      <c r="K57" s="213"/>
      <c r="L57" s="213"/>
      <c r="M57" s="643"/>
      <c r="N57" s="616">
        <f t="shared" si="0"/>
        <v>0</v>
      </c>
      <c r="O57" s="633"/>
      <c r="P57" s="634"/>
      <c r="Q57" s="634"/>
      <c r="R57" s="7"/>
      <c r="S57" s="699"/>
      <c r="T57" s="7"/>
      <c r="U57" s="618">
        <f t="shared" si="4"/>
        <v>0</v>
      </c>
      <c r="V57" s="7"/>
      <c r="W57" s="7"/>
      <c r="X57" s="7"/>
      <c r="Y57" s="7"/>
      <c r="Z57" s="7"/>
      <c r="AA57" s="7"/>
    </row>
    <row r="58" spans="1:27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219"/>
      <c r="I58" s="219"/>
      <c r="J58" s="219"/>
      <c r="K58" s="219"/>
      <c r="L58" s="219"/>
      <c r="M58" s="643"/>
      <c r="N58" s="616">
        <f t="shared" si="0"/>
        <v>0</v>
      </c>
      <c r="O58" s="633"/>
      <c r="P58" s="634"/>
      <c r="Q58" s="634"/>
      <c r="R58" s="7"/>
      <c r="S58" s="699"/>
      <c r="T58" s="7"/>
      <c r="U58" s="618"/>
      <c r="V58" s="7"/>
      <c r="W58" s="7"/>
      <c r="X58" s="7"/>
      <c r="Y58" s="7"/>
      <c r="Z58" s="7"/>
      <c r="AA58" s="7"/>
    </row>
    <row r="59" spans="1:27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3"/>
      <c r="I59" s="213"/>
      <c r="J59" s="213"/>
      <c r="K59" s="213"/>
      <c r="L59" s="213"/>
      <c r="M59" s="643"/>
      <c r="N59" s="616">
        <f t="shared" si="0"/>
        <v>0</v>
      </c>
      <c r="O59" s="633"/>
      <c r="P59" s="648"/>
      <c r="Q59" s="648"/>
      <c r="R59" s="7"/>
      <c r="S59" s="699"/>
      <c r="T59" s="7"/>
      <c r="U59" s="618">
        <f t="shared" ref="U59:U62" si="5">S59-N59</f>
        <v>0</v>
      </c>
      <c r="V59" s="7"/>
      <c r="W59" s="7"/>
      <c r="X59" s="7"/>
      <c r="Y59" s="7"/>
      <c r="Z59" s="7"/>
      <c r="AA59" s="7"/>
    </row>
    <row r="60" spans="1:27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3"/>
      <c r="I60" s="213"/>
      <c r="J60" s="213"/>
      <c r="K60" s="213"/>
      <c r="L60" s="213"/>
      <c r="M60" s="643"/>
      <c r="N60" s="616">
        <f t="shared" si="0"/>
        <v>0</v>
      </c>
      <c r="O60" s="633"/>
      <c r="P60" s="648"/>
      <c r="Q60" s="648"/>
      <c r="R60" s="7"/>
      <c r="S60" s="699"/>
      <c r="T60" s="7"/>
      <c r="U60" s="618">
        <f t="shared" si="5"/>
        <v>0</v>
      </c>
      <c r="V60" s="7"/>
      <c r="W60" s="7"/>
      <c r="X60" s="7"/>
      <c r="Y60" s="7"/>
      <c r="Z60" s="7"/>
      <c r="AA60" s="7"/>
    </row>
    <row r="61" spans="1:27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3"/>
      <c r="I61" s="213"/>
      <c r="J61" s="213"/>
      <c r="K61" s="213"/>
      <c r="L61" s="213"/>
      <c r="M61" s="643"/>
      <c r="N61" s="616">
        <f t="shared" si="0"/>
        <v>0</v>
      </c>
      <c r="O61" s="633"/>
      <c r="P61" s="648"/>
      <c r="Q61" s="648"/>
      <c r="R61" s="7"/>
      <c r="S61" s="699"/>
      <c r="T61" s="7"/>
      <c r="U61" s="618">
        <f t="shared" si="5"/>
        <v>0</v>
      </c>
      <c r="V61" s="7"/>
      <c r="W61" s="7"/>
      <c r="X61" s="7"/>
      <c r="Y61" s="7"/>
      <c r="Z61" s="7"/>
      <c r="AA61" s="7"/>
    </row>
    <row r="62" spans="1:27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3"/>
      <c r="I62" s="213"/>
      <c r="J62" s="213"/>
      <c r="K62" s="213"/>
      <c r="L62" s="213"/>
      <c r="M62" s="643"/>
      <c r="N62" s="616">
        <f t="shared" si="0"/>
        <v>0</v>
      </c>
      <c r="O62" s="633"/>
      <c r="P62" s="636"/>
      <c r="Q62" s="636"/>
      <c r="R62" s="7"/>
      <c r="S62" s="699"/>
      <c r="T62" s="7"/>
      <c r="U62" s="618">
        <f t="shared" si="5"/>
        <v>0</v>
      </c>
      <c r="V62" s="7"/>
      <c r="W62" s="7"/>
      <c r="X62" s="7"/>
      <c r="Y62" s="7"/>
      <c r="Z62" s="7"/>
      <c r="AA62" s="7"/>
    </row>
    <row r="63" spans="1:27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3"/>
      <c r="I63" s="213"/>
      <c r="J63" s="213"/>
      <c r="K63" s="213"/>
      <c r="L63" s="213"/>
      <c r="M63" s="643"/>
      <c r="N63" s="616">
        <f t="shared" si="0"/>
        <v>0</v>
      </c>
      <c r="O63" s="633"/>
      <c r="P63" s="636"/>
      <c r="Q63" s="636"/>
      <c r="R63" s="7"/>
      <c r="S63" s="699"/>
      <c r="T63" s="7"/>
      <c r="U63" s="618"/>
      <c r="V63" s="7"/>
      <c r="W63" s="7"/>
      <c r="X63" s="7"/>
      <c r="Y63" s="7"/>
      <c r="Z63" s="7"/>
      <c r="AA63" s="7"/>
    </row>
    <row r="64" spans="1:27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3"/>
      <c r="I64" s="213"/>
      <c r="J64" s="213"/>
      <c r="K64" s="213"/>
      <c r="L64" s="213"/>
      <c r="M64" s="643"/>
      <c r="N64" s="616">
        <f t="shared" si="0"/>
        <v>0</v>
      </c>
      <c r="O64" s="633"/>
      <c r="P64" s="640"/>
      <c r="Q64" s="640"/>
      <c r="R64" s="7"/>
      <c r="S64" s="699"/>
      <c r="T64" s="7"/>
      <c r="U64" s="618">
        <f t="shared" ref="U64:U65" si="6">S64-N64</f>
        <v>0</v>
      </c>
      <c r="V64" s="7"/>
      <c r="W64" s="7"/>
      <c r="X64" s="7"/>
      <c r="Y64" s="7"/>
      <c r="Z64" s="7"/>
      <c r="AA64" s="7"/>
    </row>
    <row r="65" spans="1:27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3"/>
      <c r="H65" s="213"/>
      <c r="I65" s="213"/>
      <c r="J65" s="213"/>
      <c r="K65" s="213"/>
      <c r="L65" s="213"/>
      <c r="M65" s="643"/>
      <c r="N65" s="616">
        <f t="shared" si="0"/>
        <v>0</v>
      </c>
      <c r="O65" s="633"/>
      <c r="P65" s="636"/>
      <c r="Q65" s="636"/>
      <c r="R65" s="7"/>
      <c r="S65" s="699"/>
      <c r="T65" s="7"/>
      <c r="U65" s="618">
        <f t="shared" si="6"/>
        <v>0</v>
      </c>
      <c r="V65" s="7"/>
      <c r="W65" s="7"/>
      <c r="X65" s="7"/>
      <c r="Y65" s="7"/>
      <c r="Z65" s="7"/>
      <c r="AA65" s="7"/>
    </row>
    <row r="66" spans="1:27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3"/>
      <c r="I66" s="213"/>
      <c r="J66" s="213"/>
      <c r="K66" s="213"/>
      <c r="L66" s="213"/>
      <c r="M66" s="643"/>
      <c r="N66" s="616">
        <f t="shared" si="0"/>
        <v>0</v>
      </c>
      <c r="O66" s="633"/>
      <c r="P66" s="636"/>
      <c r="Q66" s="636"/>
      <c r="R66" s="7"/>
      <c r="S66" s="699"/>
      <c r="T66" s="7"/>
      <c r="U66" s="618"/>
      <c r="V66" s="7"/>
      <c r="W66" s="7"/>
      <c r="X66" s="7"/>
      <c r="Y66" s="7"/>
      <c r="Z66" s="7"/>
      <c r="AA66" s="7"/>
    </row>
    <row r="67" spans="1:27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3"/>
      <c r="I67" s="213"/>
      <c r="J67" s="213"/>
      <c r="K67" s="213"/>
      <c r="L67" s="213"/>
      <c r="M67" s="643"/>
      <c r="N67" s="616">
        <f t="shared" si="0"/>
        <v>0</v>
      </c>
      <c r="O67" s="633"/>
      <c r="P67" s="634"/>
      <c r="Q67" s="634"/>
      <c r="R67" s="7"/>
      <c r="S67" s="699"/>
      <c r="T67" s="7"/>
      <c r="U67" s="618">
        <f t="shared" ref="U67:U68" si="7">S67-N67</f>
        <v>0</v>
      </c>
      <c r="V67" s="7"/>
      <c r="W67" s="7"/>
      <c r="X67" s="7"/>
      <c r="Y67" s="7"/>
      <c r="Z67" s="7"/>
      <c r="AA67" s="7"/>
    </row>
    <row r="68" spans="1:27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3"/>
      <c r="I68" s="213"/>
      <c r="J68" s="213"/>
      <c r="K68" s="213"/>
      <c r="L68" s="213"/>
      <c r="M68" s="643"/>
      <c r="N68" s="616">
        <f t="shared" si="0"/>
        <v>0</v>
      </c>
      <c r="O68" s="633"/>
      <c r="P68" s="634"/>
      <c r="Q68" s="634"/>
      <c r="R68" s="7"/>
      <c r="S68" s="699"/>
      <c r="T68" s="7"/>
      <c r="U68" s="618">
        <f t="shared" si="7"/>
        <v>0</v>
      </c>
      <c r="V68" s="7"/>
      <c r="W68" s="7"/>
      <c r="X68" s="7"/>
      <c r="Y68" s="7"/>
      <c r="Z68" s="7"/>
      <c r="AA68" s="7"/>
    </row>
    <row r="69" spans="1:27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3"/>
      <c r="I69" s="213"/>
      <c r="J69" s="213"/>
      <c r="K69" s="213"/>
      <c r="L69" s="213"/>
      <c r="M69" s="643"/>
      <c r="N69" s="616">
        <f t="shared" si="0"/>
        <v>0</v>
      </c>
      <c r="O69" s="633"/>
      <c r="P69" s="634"/>
      <c r="Q69" s="634"/>
      <c r="R69" s="7"/>
      <c r="S69" s="699"/>
      <c r="T69" s="7"/>
      <c r="U69" s="618"/>
      <c r="V69" s="7"/>
      <c r="W69" s="7"/>
      <c r="X69" s="7"/>
      <c r="Y69" s="7"/>
      <c r="Z69" s="7"/>
      <c r="AA69" s="7"/>
    </row>
    <row r="70" spans="1:27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3"/>
      <c r="I70" s="213"/>
      <c r="J70" s="213"/>
      <c r="K70" s="213"/>
      <c r="L70" s="213"/>
      <c r="M70" s="643"/>
      <c r="N70" s="616">
        <f t="shared" si="0"/>
        <v>0</v>
      </c>
      <c r="O70" s="633"/>
      <c r="P70" s="634"/>
      <c r="Q70" s="634"/>
      <c r="R70" s="7"/>
      <c r="S70" s="699"/>
      <c r="T70" s="7"/>
      <c r="U70" s="618">
        <f t="shared" ref="U70:U90" si="8">S70-N70</f>
        <v>0</v>
      </c>
      <c r="V70" s="7"/>
      <c r="W70" s="7"/>
      <c r="X70" s="7"/>
      <c r="Y70" s="7"/>
      <c r="Z70" s="7"/>
      <c r="AA70" s="7"/>
    </row>
    <row r="71" spans="1:27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3"/>
      <c r="I71" s="213"/>
      <c r="J71" s="213"/>
      <c r="K71" s="213"/>
      <c r="L71" s="213"/>
      <c r="M71" s="643"/>
      <c r="N71" s="616">
        <f t="shared" si="0"/>
        <v>0</v>
      </c>
      <c r="O71" s="633"/>
      <c r="P71" s="636"/>
      <c r="Q71" s="636"/>
      <c r="R71" s="7"/>
      <c r="S71" s="699"/>
      <c r="T71" s="7"/>
      <c r="U71" s="618">
        <f t="shared" si="8"/>
        <v>0</v>
      </c>
      <c r="V71" s="7"/>
      <c r="W71" s="7"/>
      <c r="X71" s="7"/>
      <c r="Y71" s="7"/>
      <c r="Z71" s="7"/>
      <c r="AA71" s="7"/>
    </row>
    <row r="72" spans="1:27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3"/>
      <c r="I72" s="213"/>
      <c r="J72" s="213"/>
      <c r="K72" s="213"/>
      <c r="L72" s="213"/>
      <c r="M72" s="643"/>
      <c r="N72" s="616">
        <f t="shared" si="0"/>
        <v>0</v>
      </c>
      <c r="O72" s="633"/>
      <c r="P72" s="648"/>
      <c r="Q72" s="648"/>
      <c r="R72" s="7"/>
      <c r="S72" s="699"/>
      <c r="T72" s="7"/>
      <c r="U72" s="618">
        <f t="shared" si="8"/>
        <v>0</v>
      </c>
      <c r="V72" s="7"/>
      <c r="W72" s="7"/>
      <c r="X72" s="7"/>
      <c r="Y72" s="7"/>
      <c r="Z72" s="7"/>
      <c r="AA72" s="7"/>
    </row>
    <row r="73" spans="1:27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3"/>
      <c r="I73" s="213"/>
      <c r="J73" s="213"/>
      <c r="K73" s="213"/>
      <c r="L73" s="213"/>
      <c r="M73" s="643"/>
      <c r="N73" s="616">
        <f t="shared" si="0"/>
        <v>0</v>
      </c>
      <c r="O73" s="633"/>
      <c r="P73" s="648"/>
      <c r="Q73" s="648"/>
      <c r="R73" s="7"/>
      <c r="S73" s="699"/>
      <c r="T73" s="7"/>
      <c r="U73" s="618">
        <f t="shared" si="8"/>
        <v>0</v>
      </c>
      <c r="V73" s="7"/>
      <c r="W73" s="7"/>
      <c r="X73" s="7"/>
      <c r="Y73" s="7"/>
      <c r="Z73" s="7"/>
      <c r="AA73" s="7"/>
    </row>
    <row r="74" spans="1:27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3"/>
      <c r="I74" s="213"/>
      <c r="J74" s="213"/>
      <c r="K74" s="213"/>
      <c r="L74" s="213"/>
      <c r="M74" s="643"/>
      <c r="N74" s="616">
        <f t="shared" si="0"/>
        <v>0</v>
      </c>
      <c r="O74" s="633"/>
      <c r="P74" s="648"/>
      <c r="Q74" s="648"/>
      <c r="R74" s="7"/>
      <c r="S74" s="699"/>
      <c r="T74" s="7"/>
      <c r="U74" s="618">
        <f t="shared" si="8"/>
        <v>0</v>
      </c>
      <c r="V74" s="7"/>
      <c r="W74" s="7"/>
      <c r="X74" s="7"/>
      <c r="Y74" s="7"/>
      <c r="Z74" s="7"/>
      <c r="AA74" s="7"/>
    </row>
    <row r="75" spans="1:27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3"/>
      <c r="I75" s="213"/>
      <c r="J75" s="213"/>
      <c r="K75" s="213"/>
      <c r="L75" s="213"/>
      <c r="M75" s="643"/>
      <c r="N75" s="616">
        <f t="shared" si="0"/>
        <v>0</v>
      </c>
      <c r="O75" s="633"/>
      <c r="P75" s="636"/>
      <c r="Q75" s="636"/>
      <c r="R75" s="7"/>
      <c r="S75" s="699"/>
      <c r="T75" s="7"/>
      <c r="U75" s="618">
        <f t="shared" si="8"/>
        <v>0</v>
      </c>
      <c r="V75" s="7"/>
      <c r="W75" s="7"/>
      <c r="X75" s="7"/>
      <c r="Y75" s="7"/>
      <c r="Z75" s="7"/>
      <c r="AA75" s="7"/>
    </row>
    <row r="76" spans="1:27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3"/>
      <c r="I76" s="213"/>
      <c r="J76" s="213"/>
      <c r="K76" s="213"/>
      <c r="L76" s="213"/>
      <c r="M76" s="643"/>
      <c r="N76" s="616">
        <f t="shared" si="0"/>
        <v>0</v>
      </c>
      <c r="O76" s="633"/>
      <c r="P76" s="636"/>
      <c r="Q76" s="636"/>
      <c r="R76" s="7"/>
      <c r="S76" s="699"/>
      <c r="T76" s="7"/>
      <c r="U76" s="618">
        <f t="shared" si="8"/>
        <v>0</v>
      </c>
      <c r="V76" s="7"/>
      <c r="W76" s="7"/>
      <c r="X76" s="7"/>
      <c r="Y76" s="7"/>
      <c r="Z76" s="7"/>
      <c r="AA76" s="7"/>
    </row>
    <row r="77" spans="1:27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3"/>
      <c r="I77" s="213"/>
      <c r="J77" s="213"/>
      <c r="K77" s="213"/>
      <c r="L77" s="213"/>
      <c r="M77" s="643"/>
      <c r="N77" s="616">
        <f t="shared" si="0"/>
        <v>0</v>
      </c>
      <c r="O77" s="633"/>
      <c r="P77" s="640"/>
      <c r="Q77" s="640"/>
      <c r="R77" s="7"/>
      <c r="S77" s="699"/>
      <c r="T77" s="7"/>
      <c r="U77" s="618">
        <f t="shared" si="8"/>
        <v>0</v>
      </c>
      <c r="V77" s="7"/>
      <c r="W77" s="7"/>
      <c r="X77" s="7"/>
      <c r="Y77" s="7"/>
      <c r="Z77" s="7"/>
      <c r="AA77" s="7"/>
    </row>
    <row r="78" spans="1:27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3"/>
      <c r="I78" s="213"/>
      <c r="J78" s="213"/>
      <c r="K78" s="213"/>
      <c r="L78" s="213"/>
      <c r="M78" s="643"/>
      <c r="N78" s="616">
        <f t="shared" si="0"/>
        <v>0</v>
      </c>
      <c r="O78" s="633"/>
      <c r="P78" s="636"/>
      <c r="Q78" s="636"/>
      <c r="R78" s="7"/>
      <c r="S78" s="699"/>
      <c r="T78" s="7"/>
      <c r="U78" s="618">
        <f t="shared" si="8"/>
        <v>0</v>
      </c>
      <c r="V78" s="7"/>
      <c r="W78" s="7"/>
      <c r="X78" s="7"/>
      <c r="Y78" s="7"/>
      <c r="Z78" s="7"/>
      <c r="AA78" s="7"/>
    </row>
    <row r="79" spans="1:27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3"/>
      <c r="I79" s="213"/>
      <c r="J79" s="213"/>
      <c r="K79" s="213"/>
      <c r="L79" s="213"/>
      <c r="M79" s="643"/>
      <c r="N79" s="616">
        <f t="shared" si="0"/>
        <v>0</v>
      </c>
      <c r="O79" s="633"/>
      <c r="P79" s="634"/>
      <c r="Q79" s="634"/>
      <c r="R79" s="7"/>
      <c r="S79" s="699"/>
      <c r="T79" s="7"/>
      <c r="U79" s="618">
        <f t="shared" si="8"/>
        <v>0</v>
      </c>
      <c r="V79" s="7"/>
      <c r="W79" s="7"/>
      <c r="X79" s="7"/>
      <c r="Y79" s="7"/>
      <c r="Z79" s="7"/>
      <c r="AA79" s="7"/>
    </row>
    <row r="80" spans="1:27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3"/>
      <c r="I80" s="213"/>
      <c r="J80" s="213"/>
      <c r="K80" s="213"/>
      <c r="L80" s="213"/>
      <c r="M80" s="643"/>
      <c r="N80" s="616">
        <f t="shared" si="0"/>
        <v>0</v>
      </c>
      <c r="O80" s="633"/>
      <c r="P80" s="634"/>
      <c r="Q80" s="634"/>
      <c r="R80" s="7"/>
      <c r="S80" s="699"/>
      <c r="T80" s="7"/>
      <c r="U80" s="618">
        <f t="shared" si="8"/>
        <v>0</v>
      </c>
      <c r="V80" s="7"/>
      <c r="W80" s="7"/>
      <c r="X80" s="7"/>
      <c r="Y80" s="7"/>
      <c r="Z80" s="7"/>
      <c r="AA80" s="7"/>
    </row>
    <row r="81" spans="1:27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3"/>
      <c r="I81" s="213"/>
      <c r="J81" s="213"/>
      <c r="K81" s="213"/>
      <c r="L81" s="213"/>
      <c r="M81" s="643"/>
      <c r="N81" s="616">
        <f t="shared" si="0"/>
        <v>0</v>
      </c>
      <c r="O81" s="633"/>
      <c r="P81" s="634"/>
      <c r="Q81" s="634"/>
      <c r="R81" s="7"/>
      <c r="S81" s="699"/>
      <c r="T81" s="7"/>
      <c r="U81" s="618">
        <f t="shared" si="8"/>
        <v>0</v>
      </c>
      <c r="V81" s="7"/>
      <c r="W81" s="7"/>
      <c r="X81" s="7"/>
      <c r="Y81" s="7"/>
      <c r="Z81" s="7"/>
      <c r="AA81" s="7"/>
    </row>
    <row r="82" spans="1:27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3"/>
      <c r="I82" s="213"/>
      <c r="J82" s="213"/>
      <c r="K82" s="213"/>
      <c r="L82" s="213"/>
      <c r="M82" s="643"/>
      <c r="N82" s="616">
        <f t="shared" si="0"/>
        <v>0</v>
      </c>
      <c r="O82" s="633"/>
      <c r="P82" s="634"/>
      <c r="Q82" s="634"/>
      <c r="R82" s="7"/>
      <c r="S82" s="699"/>
      <c r="T82" s="7"/>
      <c r="U82" s="618">
        <f t="shared" si="8"/>
        <v>0</v>
      </c>
      <c r="V82" s="7"/>
      <c r="W82" s="7"/>
      <c r="X82" s="7"/>
      <c r="Y82" s="7"/>
      <c r="Z82" s="7"/>
      <c r="AA82" s="7"/>
    </row>
    <row r="83" spans="1:27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3"/>
      <c r="I83" s="213"/>
      <c r="J83" s="213"/>
      <c r="K83" s="213"/>
      <c r="L83" s="213"/>
      <c r="M83" s="643"/>
      <c r="N83" s="616">
        <f t="shared" si="0"/>
        <v>0</v>
      </c>
      <c r="O83" s="633"/>
      <c r="P83" s="636"/>
      <c r="Q83" s="636"/>
      <c r="R83" s="7"/>
      <c r="S83" s="699"/>
      <c r="T83" s="7"/>
      <c r="U83" s="618">
        <f t="shared" si="8"/>
        <v>0</v>
      </c>
      <c r="V83" s="7"/>
      <c r="W83" s="7"/>
      <c r="X83" s="7"/>
      <c r="Y83" s="7"/>
      <c r="Z83" s="7"/>
      <c r="AA83" s="7"/>
    </row>
    <row r="84" spans="1:27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3"/>
      <c r="I84" s="213"/>
      <c r="J84" s="213"/>
      <c r="K84" s="213"/>
      <c r="L84" s="213"/>
      <c r="M84" s="643"/>
      <c r="N84" s="616">
        <f t="shared" si="0"/>
        <v>0</v>
      </c>
      <c r="O84" s="633"/>
      <c r="P84" s="648"/>
      <c r="Q84" s="648"/>
      <c r="R84" s="7"/>
      <c r="S84" s="699"/>
      <c r="T84" s="7"/>
      <c r="U84" s="618">
        <f t="shared" si="8"/>
        <v>0</v>
      </c>
      <c r="V84" s="7"/>
      <c r="W84" s="7"/>
      <c r="X84" s="7"/>
      <c r="Y84" s="7"/>
      <c r="Z84" s="7"/>
      <c r="AA84" s="7"/>
    </row>
    <row r="85" spans="1:27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3"/>
      <c r="I85" s="213"/>
      <c r="J85" s="213"/>
      <c r="K85" s="213"/>
      <c r="L85" s="213"/>
      <c r="M85" s="643"/>
      <c r="N85" s="616">
        <f t="shared" si="0"/>
        <v>0</v>
      </c>
      <c r="O85" s="633"/>
      <c r="P85" s="648"/>
      <c r="Q85" s="648"/>
      <c r="R85" s="7"/>
      <c r="S85" s="699"/>
      <c r="T85" s="7"/>
      <c r="U85" s="618">
        <f t="shared" si="8"/>
        <v>0</v>
      </c>
      <c r="V85" s="7"/>
      <c r="W85" s="7"/>
      <c r="X85" s="7"/>
      <c r="Y85" s="7"/>
      <c r="Z85" s="7"/>
      <c r="AA85" s="7"/>
    </row>
    <row r="86" spans="1:27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3"/>
      <c r="I86" s="213"/>
      <c r="J86" s="213"/>
      <c r="K86" s="213"/>
      <c r="L86" s="213"/>
      <c r="M86" s="643"/>
      <c r="N86" s="616">
        <f t="shared" si="0"/>
        <v>0</v>
      </c>
      <c r="O86" s="633"/>
      <c r="P86" s="648"/>
      <c r="Q86" s="648"/>
      <c r="R86" s="7"/>
      <c r="S86" s="699"/>
      <c r="T86" s="7"/>
      <c r="U86" s="618">
        <f t="shared" si="8"/>
        <v>0</v>
      </c>
      <c r="V86" s="7"/>
      <c r="W86" s="7"/>
      <c r="X86" s="7"/>
      <c r="Y86" s="7"/>
      <c r="Z86" s="7"/>
      <c r="AA86" s="7"/>
    </row>
    <row r="87" spans="1:27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3"/>
      <c r="I87" s="213"/>
      <c r="J87" s="213"/>
      <c r="K87" s="213"/>
      <c r="L87" s="213"/>
      <c r="M87" s="643"/>
      <c r="N87" s="616">
        <f t="shared" si="0"/>
        <v>0</v>
      </c>
      <c r="O87" s="633"/>
      <c r="P87" s="636"/>
      <c r="Q87" s="636"/>
      <c r="R87" s="7"/>
      <c r="S87" s="699"/>
      <c r="T87" s="7"/>
      <c r="U87" s="618">
        <f t="shared" si="8"/>
        <v>0</v>
      </c>
      <c r="V87" s="7"/>
      <c r="W87" s="7"/>
      <c r="X87" s="7"/>
      <c r="Y87" s="7"/>
      <c r="Z87" s="7"/>
      <c r="AA87" s="7"/>
    </row>
    <row r="88" spans="1:27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3"/>
      <c r="I88" s="213"/>
      <c r="J88" s="213"/>
      <c r="K88" s="213"/>
      <c r="L88" s="213"/>
      <c r="M88" s="643"/>
      <c r="N88" s="616">
        <f t="shared" si="0"/>
        <v>0</v>
      </c>
      <c r="O88" s="633"/>
      <c r="P88" s="636"/>
      <c r="Q88" s="636"/>
      <c r="R88" s="7"/>
      <c r="S88" s="699"/>
      <c r="T88" s="7"/>
      <c r="U88" s="618">
        <f t="shared" si="8"/>
        <v>0</v>
      </c>
      <c r="V88" s="7"/>
      <c r="W88" s="7"/>
      <c r="X88" s="7"/>
      <c r="Y88" s="7"/>
      <c r="Z88" s="7"/>
      <c r="AA88" s="7"/>
    </row>
    <row r="89" spans="1:27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3"/>
      <c r="I89" s="213"/>
      <c r="J89" s="213"/>
      <c r="K89" s="213"/>
      <c r="L89" s="213"/>
      <c r="M89" s="643"/>
      <c r="N89" s="616">
        <f t="shared" si="0"/>
        <v>0</v>
      </c>
      <c r="O89" s="633"/>
      <c r="P89" s="636"/>
      <c r="Q89" s="636"/>
      <c r="R89" s="7"/>
      <c r="S89" s="699"/>
      <c r="T89" s="7"/>
      <c r="U89" s="618">
        <f t="shared" si="8"/>
        <v>0</v>
      </c>
      <c r="V89" s="7"/>
      <c r="W89" s="7"/>
      <c r="X89" s="7"/>
      <c r="Y89" s="7"/>
      <c r="Z89" s="7"/>
      <c r="AA89" s="7"/>
    </row>
    <row r="90" spans="1:27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3"/>
      <c r="I90" s="213"/>
      <c r="J90" s="213"/>
      <c r="K90" s="213"/>
      <c r="L90" s="213"/>
      <c r="M90" s="643"/>
      <c r="N90" s="616">
        <f t="shared" si="0"/>
        <v>0</v>
      </c>
      <c r="O90" s="633"/>
      <c r="P90" s="640"/>
      <c r="Q90" s="640"/>
      <c r="R90" s="7"/>
      <c r="S90" s="699"/>
      <c r="T90" s="7"/>
      <c r="U90" s="618">
        <f t="shared" si="8"/>
        <v>0</v>
      </c>
      <c r="V90" s="7"/>
      <c r="W90" s="7"/>
      <c r="X90" s="7"/>
      <c r="Y90" s="7"/>
      <c r="Z90" s="7"/>
      <c r="AA90" s="7"/>
    </row>
    <row r="91" spans="1:27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3"/>
      <c r="I91" s="213"/>
      <c r="J91" s="213"/>
      <c r="K91" s="213"/>
      <c r="L91" s="213"/>
      <c r="M91" s="643"/>
      <c r="N91" s="616">
        <f t="shared" si="0"/>
        <v>0</v>
      </c>
      <c r="O91" s="633"/>
      <c r="P91" s="636"/>
      <c r="Q91" s="636"/>
      <c r="R91" s="7"/>
      <c r="S91" s="699"/>
      <c r="T91" s="7"/>
      <c r="U91" s="618"/>
      <c r="V91" s="7"/>
      <c r="W91" s="7"/>
      <c r="X91" s="7"/>
      <c r="Y91" s="7"/>
      <c r="Z91" s="7"/>
      <c r="AA91" s="7"/>
    </row>
    <row r="92" spans="1:27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3"/>
      <c r="I92" s="213"/>
      <c r="J92" s="213"/>
      <c r="K92" s="213"/>
      <c r="L92" s="213"/>
      <c r="M92" s="643"/>
      <c r="N92" s="616">
        <f t="shared" si="0"/>
        <v>0</v>
      </c>
      <c r="O92" s="633"/>
      <c r="P92" s="636"/>
      <c r="Q92" s="636"/>
      <c r="R92" s="7"/>
      <c r="S92" s="699"/>
      <c r="T92" s="7"/>
      <c r="U92" s="618">
        <f t="shared" ref="U92:U93" si="9">S92-N92</f>
        <v>0</v>
      </c>
      <c r="V92" s="7"/>
      <c r="W92" s="7"/>
      <c r="X92" s="7"/>
      <c r="Y92" s="7"/>
      <c r="Z92" s="7"/>
      <c r="AA92" s="7"/>
    </row>
    <row r="93" spans="1:27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3"/>
      <c r="I93" s="213"/>
      <c r="J93" s="213"/>
      <c r="K93" s="213"/>
      <c r="L93" s="213"/>
      <c r="M93" s="643"/>
      <c r="N93" s="616">
        <f t="shared" si="0"/>
        <v>0</v>
      </c>
      <c r="O93" s="633"/>
      <c r="P93" s="636"/>
      <c r="Q93" s="636"/>
      <c r="R93" s="7"/>
      <c r="S93" s="699"/>
      <c r="T93" s="7"/>
      <c r="U93" s="618">
        <f t="shared" si="9"/>
        <v>0</v>
      </c>
      <c r="V93" s="7"/>
      <c r="W93" s="7"/>
      <c r="X93" s="7"/>
      <c r="Y93" s="7"/>
      <c r="Z93" s="7"/>
      <c r="AA93" s="7"/>
    </row>
    <row r="94" spans="1:27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3"/>
      <c r="I94" s="213"/>
      <c r="J94" s="213"/>
      <c r="K94" s="213"/>
      <c r="L94" s="213"/>
      <c r="M94" s="643"/>
      <c r="N94" s="616">
        <f t="shared" si="0"/>
        <v>0</v>
      </c>
      <c r="O94" s="633"/>
      <c r="P94" s="636"/>
      <c r="Q94" s="636"/>
      <c r="R94" s="7"/>
      <c r="S94" s="699"/>
      <c r="T94" s="7"/>
      <c r="U94" s="618"/>
      <c r="V94" s="7"/>
      <c r="W94" s="7"/>
      <c r="X94" s="7"/>
      <c r="Y94" s="7"/>
      <c r="Z94" s="7"/>
      <c r="AA94" s="7"/>
    </row>
    <row r="95" spans="1:27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3"/>
      <c r="I95" s="213"/>
      <c r="J95" s="213"/>
      <c r="K95" s="213"/>
      <c r="L95" s="213"/>
      <c r="M95" s="643"/>
      <c r="N95" s="616">
        <f t="shared" si="0"/>
        <v>0</v>
      </c>
      <c r="O95" s="633"/>
      <c r="P95" s="636"/>
      <c r="Q95" s="636"/>
      <c r="R95" s="7"/>
      <c r="S95" s="699"/>
      <c r="T95" s="7"/>
      <c r="U95" s="618">
        <f t="shared" ref="U95:U103" si="10">S95-N95</f>
        <v>0</v>
      </c>
      <c r="V95" s="7"/>
      <c r="W95" s="7"/>
      <c r="X95" s="7"/>
      <c r="Y95" s="7"/>
      <c r="Z95" s="7"/>
      <c r="AA95" s="7"/>
    </row>
    <row r="96" spans="1:27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3"/>
      <c r="I96" s="213"/>
      <c r="J96" s="213"/>
      <c r="K96" s="213"/>
      <c r="L96" s="213"/>
      <c r="M96" s="643"/>
      <c r="N96" s="616">
        <f t="shared" si="0"/>
        <v>0</v>
      </c>
      <c r="O96" s="633"/>
      <c r="P96" s="636"/>
      <c r="Q96" s="636"/>
      <c r="R96" s="7"/>
      <c r="S96" s="699"/>
      <c r="T96" s="7"/>
      <c r="U96" s="618">
        <f t="shared" si="10"/>
        <v>0</v>
      </c>
      <c r="V96" s="7"/>
      <c r="W96" s="7"/>
      <c r="X96" s="7"/>
      <c r="Y96" s="7"/>
      <c r="Z96" s="7"/>
      <c r="AA96" s="7"/>
    </row>
    <row r="97" spans="1:27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3"/>
      <c r="I97" s="213"/>
      <c r="J97" s="213"/>
      <c r="K97" s="213"/>
      <c r="L97" s="213"/>
      <c r="M97" s="643"/>
      <c r="N97" s="616">
        <f t="shared" si="0"/>
        <v>0</v>
      </c>
      <c r="O97" s="633"/>
      <c r="P97" s="636"/>
      <c r="Q97" s="636"/>
      <c r="R97" s="7"/>
      <c r="S97" s="699"/>
      <c r="T97" s="7"/>
      <c r="U97" s="618">
        <f t="shared" si="10"/>
        <v>0</v>
      </c>
      <c r="V97" s="7"/>
      <c r="W97" s="7"/>
      <c r="X97" s="7"/>
      <c r="Y97" s="7"/>
      <c r="Z97" s="7"/>
      <c r="AA97" s="7"/>
    </row>
    <row r="98" spans="1:27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3"/>
      <c r="I98" s="213"/>
      <c r="J98" s="213"/>
      <c r="K98" s="213"/>
      <c r="L98" s="213"/>
      <c r="M98" s="643"/>
      <c r="N98" s="616">
        <f t="shared" si="0"/>
        <v>0</v>
      </c>
      <c r="O98" s="633"/>
      <c r="P98" s="636"/>
      <c r="Q98" s="636"/>
      <c r="R98" s="7"/>
      <c r="S98" s="699"/>
      <c r="T98" s="7"/>
      <c r="U98" s="618">
        <f t="shared" si="10"/>
        <v>0</v>
      </c>
      <c r="V98" s="7"/>
      <c r="W98" s="7"/>
      <c r="X98" s="7"/>
      <c r="Y98" s="7"/>
      <c r="Z98" s="7"/>
      <c r="AA98" s="7"/>
    </row>
    <row r="99" spans="1:27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3"/>
      <c r="I99" s="213"/>
      <c r="J99" s="213"/>
      <c r="K99" s="213"/>
      <c r="L99" s="213"/>
      <c r="M99" s="643"/>
      <c r="N99" s="616">
        <f t="shared" si="0"/>
        <v>0</v>
      </c>
      <c r="O99" s="633"/>
      <c r="P99" s="636"/>
      <c r="Q99" s="636"/>
      <c r="R99" s="7"/>
      <c r="S99" s="699"/>
      <c r="T99" s="7"/>
      <c r="U99" s="618">
        <f t="shared" si="10"/>
        <v>0</v>
      </c>
      <c r="V99" s="7"/>
      <c r="W99" s="7"/>
      <c r="X99" s="7"/>
      <c r="Y99" s="7"/>
      <c r="Z99" s="7"/>
      <c r="AA99" s="7"/>
    </row>
    <row r="100" spans="1:27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3"/>
      <c r="I100" s="213"/>
      <c r="J100" s="213"/>
      <c r="K100" s="213"/>
      <c r="L100" s="213"/>
      <c r="M100" s="643"/>
      <c r="N100" s="616">
        <f t="shared" si="0"/>
        <v>0</v>
      </c>
      <c r="O100" s="633"/>
      <c r="P100" s="636"/>
      <c r="Q100" s="636"/>
      <c r="R100" s="7"/>
      <c r="S100" s="699"/>
      <c r="T100" s="7"/>
      <c r="U100" s="618">
        <f t="shared" si="10"/>
        <v>0</v>
      </c>
      <c r="V100" s="7"/>
      <c r="W100" s="7"/>
      <c r="X100" s="7"/>
      <c r="Y100" s="7"/>
      <c r="Z100" s="7"/>
      <c r="AA100" s="7"/>
    </row>
    <row r="101" spans="1:27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3"/>
      <c r="I101" s="213"/>
      <c r="J101" s="213"/>
      <c r="K101" s="213"/>
      <c r="L101" s="213"/>
      <c r="M101" s="643"/>
      <c r="N101" s="616">
        <f t="shared" si="0"/>
        <v>0</v>
      </c>
      <c r="O101" s="633"/>
      <c r="P101" s="636"/>
      <c r="Q101" s="636"/>
      <c r="R101" s="7"/>
      <c r="S101" s="699"/>
      <c r="T101" s="7"/>
      <c r="U101" s="618">
        <f t="shared" si="10"/>
        <v>0</v>
      </c>
      <c r="V101" s="7"/>
      <c r="W101" s="7"/>
      <c r="X101" s="7"/>
      <c r="Y101" s="7"/>
      <c r="Z101" s="7"/>
      <c r="AA101" s="7"/>
    </row>
    <row r="102" spans="1:27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3"/>
      <c r="I102" s="213"/>
      <c r="J102" s="213"/>
      <c r="K102" s="213"/>
      <c r="L102" s="213"/>
      <c r="M102" s="643"/>
      <c r="N102" s="616">
        <f t="shared" si="0"/>
        <v>0</v>
      </c>
      <c r="O102" s="633"/>
      <c r="P102" s="636"/>
      <c r="Q102" s="636"/>
      <c r="R102" s="7"/>
      <c r="S102" s="699"/>
      <c r="T102" s="7"/>
      <c r="U102" s="618">
        <f t="shared" si="10"/>
        <v>0</v>
      </c>
      <c r="V102" s="7"/>
      <c r="W102" s="7"/>
      <c r="X102" s="7"/>
      <c r="Y102" s="7"/>
      <c r="Z102" s="7"/>
      <c r="AA102" s="7"/>
    </row>
    <row r="103" spans="1:27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3"/>
      <c r="I103" s="213"/>
      <c r="J103" s="213"/>
      <c r="K103" s="213"/>
      <c r="L103" s="213"/>
      <c r="M103" s="643"/>
      <c r="N103" s="616">
        <f t="shared" si="0"/>
        <v>0</v>
      </c>
      <c r="O103" s="650" t="s">
        <v>1579</v>
      </c>
      <c r="P103" s="640"/>
      <c r="Q103" s="640"/>
      <c r="R103" s="7"/>
      <c r="S103" s="699"/>
      <c r="T103" s="7"/>
      <c r="U103" s="618">
        <f t="shared" si="10"/>
        <v>0</v>
      </c>
      <c r="V103" s="7"/>
      <c r="W103" s="7"/>
      <c r="X103" s="7"/>
      <c r="Y103" s="7"/>
      <c r="Z103" s="7"/>
      <c r="AA103" s="7"/>
    </row>
    <row r="104" spans="1:27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/>
      <c r="G104" s="213"/>
      <c r="H104" s="213"/>
      <c r="I104" s="213"/>
      <c r="J104" s="213"/>
      <c r="K104" s="213"/>
      <c r="L104" s="213"/>
      <c r="M104" s="643"/>
      <c r="N104" s="616">
        <f t="shared" si="0"/>
        <v>0</v>
      </c>
      <c r="O104" s="633">
        <f>N104+N126+N115</f>
        <v>0.25</v>
      </c>
      <c r="P104" s="636"/>
      <c r="Q104" s="636"/>
      <c r="R104" s="7"/>
      <c r="S104" s="699">
        <v>2.25</v>
      </c>
      <c r="T104" s="7"/>
      <c r="U104" s="618"/>
      <c r="V104" s="7"/>
      <c r="W104" s="7"/>
      <c r="X104" s="7"/>
      <c r="Y104" s="7"/>
      <c r="Z104" s="7"/>
      <c r="AA104" s="7"/>
    </row>
    <row r="105" spans="1:27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3"/>
      <c r="I105" s="213"/>
      <c r="J105" s="213"/>
      <c r="K105" s="213"/>
      <c r="L105" s="213"/>
      <c r="M105" s="643"/>
      <c r="N105" s="616">
        <f t="shared" si="0"/>
        <v>0</v>
      </c>
      <c r="O105" s="633"/>
      <c r="P105" s="654"/>
      <c r="Q105" s="654"/>
      <c r="R105" s="7"/>
      <c r="S105" s="699">
        <v>2.25</v>
      </c>
      <c r="T105" s="7"/>
      <c r="U105" s="618"/>
      <c r="V105" s="7"/>
      <c r="W105" s="7"/>
      <c r="X105" s="7"/>
      <c r="Y105" s="7"/>
      <c r="Z105" s="7"/>
      <c r="AA105" s="7"/>
    </row>
    <row r="106" spans="1:27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3"/>
      <c r="I106" s="213"/>
      <c r="J106" s="213"/>
      <c r="K106" s="213"/>
      <c r="L106" s="213"/>
      <c r="M106" s="643"/>
      <c r="N106" s="616">
        <f t="shared" si="0"/>
        <v>0</v>
      </c>
      <c r="O106" s="633"/>
      <c r="P106" s="648"/>
      <c r="Q106" s="648"/>
      <c r="R106" s="7"/>
      <c r="S106" s="699">
        <v>2.25</v>
      </c>
      <c r="T106" s="7"/>
      <c r="U106" s="618"/>
      <c r="V106" s="7"/>
      <c r="W106" s="7"/>
      <c r="X106" s="7"/>
      <c r="Y106" s="7"/>
      <c r="Z106" s="7"/>
      <c r="AA106" s="7"/>
    </row>
    <row r="107" spans="1:27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3"/>
      <c r="I107" s="213"/>
      <c r="J107" s="213"/>
      <c r="K107" s="213"/>
      <c r="L107" s="213"/>
      <c r="M107" s="643"/>
      <c r="N107" s="616">
        <f t="shared" si="0"/>
        <v>0</v>
      </c>
      <c r="O107" s="633"/>
      <c r="P107" s="648"/>
      <c r="Q107" s="648"/>
      <c r="R107" s="7"/>
      <c r="S107" s="699"/>
      <c r="T107" s="7"/>
      <c r="U107" s="618"/>
      <c r="V107" s="7"/>
      <c r="W107" s="7"/>
      <c r="X107" s="7"/>
      <c r="Y107" s="7"/>
      <c r="Z107" s="7"/>
      <c r="AA107" s="7"/>
    </row>
    <row r="108" spans="1:27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3"/>
      <c r="I108" s="213"/>
      <c r="J108" s="213"/>
      <c r="K108" s="213"/>
      <c r="L108" s="213"/>
      <c r="M108" s="643"/>
      <c r="N108" s="616">
        <f t="shared" si="0"/>
        <v>0</v>
      </c>
      <c r="O108" s="633"/>
      <c r="P108" s="648"/>
      <c r="Q108" s="648"/>
      <c r="R108" s="7"/>
      <c r="S108" s="699"/>
      <c r="T108" s="7"/>
      <c r="U108" s="618"/>
      <c r="V108" s="7"/>
      <c r="W108" s="7"/>
      <c r="X108" s="7"/>
      <c r="Y108" s="7"/>
      <c r="Z108" s="7"/>
      <c r="AA108" s="7"/>
    </row>
    <row r="109" spans="1:27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3"/>
      <c r="I109" s="213"/>
      <c r="J109" s="213"/>
      <c r="K109" s="213"/>
      <c r="L109" s="213"/>
      <c r="M109" s="643"/>
      <c r="N109" s="616">
        <f t="shared" si="0"/>
        <v>0</v>
      </c>
      <c r="O109" s="633"/>
      <c r="P109" s="648"/>
      <c r="Q109" s="648"/>
      <c r="R109" s="7"/>
      <c r="S109" s="699"/>
      <c r="T109" s="7"/>
      <c r="U109" s="618"/>
      <c r="V109" s="7"/>
      <c r="W109" s="7"/>
      <c r="X109" s="7"/>
      <c r="Y109" s="7"/>
      <c r="Z109" s="7"/>
      <c r="AA109" s="7"/>
    </row>
    <row r="110" spans="1:27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3"/>
      <c r="I110" s="213"/>
      <c r="J110" s="213"/>
      <c r="K110" s="213"/>
      <c r="L110" s="213"/>
      <c r="M110" s="643"/>
      <c r="N110" s="616">
        <f t="shared" si="0"/>
        <v>0</v>
      </c>
      <c r="O110" s="633"/>
      <c r="P110" s="654"/>
      <c r="Q110" s="654"/>
      <c r="R110" s="7"/>
      <c r="S110" s="699"/>
      <c r="T110" s="7"/>
      <c r="U110" s="618">
        <f t="shared" ref="U110:U114" si="11">S110-N110</f>
        <v>0</v>
      </c>
      <c r="V110" s="7"/>
      <c r="W110" s="7"/>
      <c r="X110" s="7"/>
      <c r="Y110" s="7"/>
      <c r="Z110" s="7"/>
      <c r="AA110" s="7"/>
    </row>
    <row r="111" spans="1:27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3"/>
      <c r="I111" s="213"/>
      <c r="J111" s="213"/>
      <c r="K111" s="213"/>
      <c r="L111" s="213"/>
      <c r="M111" s="643"/>
      <c r="N111" s="616">
        <f t="shared" si="0"/>
        <v>0</v>
      </c>
      <c r="O111" s="633"/>
      <c r="P111" s="634"/>
      <c r="Q111" s="634"/>
      <c r="R111" s="7"/>
      <c r="S111" s="699"/>
      <c r="T111" s="7"/>
      <c r="U111" s="618">
        <f t="shared" si="11"/>
        <v>0</v>
      </c>
      <c r="V111" s="7"/>
      <c r="W111" s="7"/>
      <c r="X111" s="7"/>
      <c r="Y111" s="7"/>
      <c r="Z111" s="7"/>
      <c r="AA111" s="7"/>
    </row>
    <row r="112" spans="1:27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3"/>
      <c r="I112" s="213"/>
      <c r="J112" s="213"/>
      <c r="K112" s="213"/>
      <c r="L112" s="213"/>
      <c r="M112" s="643"/>
      <c r="N112" s="616">
        <f t="shared" si="0"/>
        <v>0</v>
      </c>
      <c r="O112" s="633"/>
      <c r="P112" s="634"/>
      <c r="Q112" s="634"/>
      <c r="R112" s="7"/>
      <c r="S112" s="699"/>
      <c r="T112" s="7"/>
      <c r="U112" s="618">
        <f t="shared" si="11"/>
        <v>0</v>
      </c>
      <c r="V112" s="7"/>
      <c r="W112" s="7"/>
      <c r="X112" s="7"/>
      <c r="Y112" s="7"/>
      <c r="Z112" s="7"/>
      <c r="AA112" s="7"/>
    </row>
    <row r="113" spans="1:27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3"/>
      <c r="I113" s="213"/>
      <c r="J113" s="213"/>
      <c r="K113" s="213"/>
      <c r="L113" s="213"/>
      <c r="M113" s="643"/>
      <c r="N113" s="616">
        <f t="shared" si="0"/>
        <v>0</v>
      </c>
      <c r="O113" s="633"/>
      <c r="P113" s="634"/>
      <c r="Q113" s="634"/>
      <c r="R113" s="7"/>
      <c r="S113" s="699"/>
      <c r="T113" s="7"/>
      <c r="U113" s="618">
        <f t="shared" si="11"/>
        <v>0</v>
      </c>
      <c r="V113" s="7"/>
      <c r="W113" s="7"/>
      <c r="X113" s="7"/>
      <c r="Y113" s="7"/>
      <c r="Z113" s="7"/>
      <c r="AA113" s="7"/>
    </row>
    <row r="114" spans="1:27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3"/>
      <c r="I114" s="213"/>
      <c r="J114" s="213"/>
      <c r="K114" s="213"/>
      <c r="L114" s="213"/>
      <c r="M114" s="643"/>
      <c r="N114" s="616">
        <f t="shared" si="0"/>
        <v>0</v>
      </c>
      <c r="O114" s="633"/>
      <c r="P114" s="634"/>
      <c r="Q114" s="634"/>
      <c r="R114" s="7"/>
      <c r="S114" s="699"/>
      <c r="T114" s="7"/>
      <c r="U114" s="618">
        <f t="shared" si="11"/>
        <v>0</v>
      </c>
      <c r="V114" s="7"/>
      <c r="W114" s="7"/>
      <c r="X114" s="7"/>
      <c r="Y114" s="7"/>
      <c r="Z114" s="7"/>
      <c r="AA114" s="7"/>
    </row>
    <row r="115" spans="1:27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3"/>
      <c r="I115" s="213"/>
      <c r="J115" s="213"/>
      <c r="K115" s="213"/>
      <c r="L115" s="213"/>
      <c r="M115" s="643"/>
      <c r="N115" s="616">
        <f t="shared" si="0"/>
        <v>0</v>
      </c>
      <c r="O115" s="633"/>
      <c r="P115" s="636"/>
      <c r="Q115" s="636"/>
      <c r="R115" s="7"/>
      <c r="S115" s="699"/>
      <c r="T115" s="7"/>
      <c r="U115" s="618"/>
      <c r="V115" s="7"/>
      <c r="W115" s="7"/>
      <c r="X115" s="7"/>
      <c r="Y115" s="7"/>
      <c r="Z115" s="7"/>
      <c r="AA115" s="7"/>
    </row>
    <row r="116" spans="1:27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3"/>
      <c r="I116" s="213"/>
      <c r="J116" s="213"/>
      <c r="K116" s="213"/>
      <c r="L116" s="213"/>
      <c r="M116" s="643"/>
      <c r="N116" s="616">
        <f t="shared" si="0"/>
        <v>0</v>
      </c>
      <c r="O116" s="633"/>
      <c r="P116" s="654"/>
      <c r="Q116" s="654"/>
      <c r="R116" s="7"/>
      <c r="S116" s="699"/>
      <c r="T116" s="7"/>
      <c r="U116" s="618">
        <f t="shared" ref="U116:U125" si="12">S116-N116</f>
        <v>0</v>
      </c>
      <c r="V116" s="7"/>
      <c r="W116" s="7"/>
      <c r="X116" s="7"/>
      <c r="Y116" s="7"/>
      <c r="Z116" s="7"/>
      <c r="AA116" s="7"/>
    </row>
    <row r="117" spans="1:27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3"/>
      <c r="I117" s="213"/>
      <c r="J117" s="213"/>
      <c r="K117" s="213"/>
      <c r="L117" s="213"/>
      <c r="M117" s="643"/>
      <c r="N117" s="616">
        <f t="shared" si="0"/>
        <v>0</v>
      </c>
      <c r="O117" s="633"/>
      <c r="P117" s="648"/>
      <c r="Q117" s="648"/>
      <c r="R117" s="7"/>
      <c r="S117" s="699"/>
      <c r="T117" s="7"/>
      <c r="U117" s="618">
        <f t="shared" si="12"/>
        <v>0</v>
      </c>
      <c r="V117" s="7"/>
      <c r="W117" s="7"/>
      <c r="X117" s="7"/>
      <c r="Y117" s="7"/>
      <c r="Z117" s="7"/>
      <c r="AA117" s="7"/>
    </row>
    <row r="118" spans="1:27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3"/>
      <c r="I118" s="213"/>
      <c r="J118" s="213"/>
      <c r="K118" s="213"/>
      <c r="L118" s="213"/>
      <c r="M118" s="643"/>
      <c r="N118" s="616">
        <f t="shared" si="0"/>
        <v>0</v>
      </c>
      <c r="O118" s="633"/>
      <c r="P118" s="648"/>
      <c r="Q118" s="648"/>
      <c r="R118" s="7"/>
      <c r="S118" s="699"/>
      <c r="T118" s="7"/>
      <c r="U118" s="618">
        <f t="shared" si="12"/>
        <v>0</v>
      </c>
      <c r="V118" s="7"/>
      <c r="W118" s="7"/>
      <c r="X118" s="7"/>
      <c r="Y118" s="7"/>
      <c r="Z118" s="7"/>
      <c r="AA118" s="7"/>
    </row>
    <row r="119" spans="1:27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3"/>
      <c r="I119" s="213"/>
      <c r="J119" s="213"/>
      <c r="K119" s="213"/>
      <c r="L119" s="213"/>
      <c r="M119" s="643"/>
      <c r="N119" s="616">
        <f t="shared" si="0"/>
        <v>0</v>
      </c>
      <c r="O119" s="633"/>
      <c r="P119" s="648"/>
      <c r="Q119" s="648"/>
      <c r="R119" s="7"/>
      <c r="S119" s="699"/>
      <c r="T119" s="7"/>
      <c r="U119" s="618">
        <f t="shared" si="12"/>
        <v>0</v>
      </c>
      <c r="V119" s="7"/>
      <c r="W119" s="7"/>
      <c r="X119" s="7"/>
      <c r="Y119" s="7"/>
      <c r="Z119" s="7"/>
      <c r="AA119" s="7"/>
    </row>
    <row r="120" spans="1:27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3"/>
      <c r="I120" s="213"/>
      <c r="J120" s="213"/>
      <c r="K120" s="213"/>
      <c r="L120" s="213"/>
      <c r="M120" s="643"/>
      <c r="N120" s="616">
        <f t="shared" si="0"/>
        <v>0</v>
      </c>
      <c r="O120" s="633"/>
      <c r="P120" s="648"/>
      <c r="Q120" s="648"/>
      <c r="R120" s="7"/>
      <c r="S120" s="699"/>
      <c r="T120" s="7"/>
      <c r="U120" s="618">
        <f t="shared" si="12"/>
        <v>0</v>
      </c>
      <c r="V120" s="7"/>
      <c r="W120" s="7"/>
      <c r="X120" s="7"/>
      <c r="Y120" s="7"/>
      <c r="Z120" s="7"/>
      <c r="AA120" s="7"/>
    </row>
    <row r="121" spans="1:27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3"/>
      <c r="I121" s="213"/>
      <c r="J121" s="213"/>
      <c r="K121" s="213"/>
      <c r="L121" s="213"/>
      <c r="M121" s="643"/>
      <c r="N121" s="616">
        <f t="shared" si="0"/>
        <v>0</v>
      </c>
      <c r="O121" s="633"/>
      <c r="P121" s="654"/>
      <c r="Q121" s="654"/>
      <c r="R121" s="7"/>
      <c r="S121" s="699"/>
      <c r="T121" s="7"/>
      <c r="U121" s="618">
        <f t="shared" si="12"/>
        <v>0</v>
      </c>
      <c r="V121" s="7"/>
      <c r="W121" s="7"/>
      <c r="X121" s="7"/>
      <c r="Y121" s="7"/>
      <c r="Z121" s="7"/>
      <c r="AA121" s="7"/>
    </row>
    <row r="122" spans="1:27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3"/>
      <c r="I122" s="213"/>
      <c r="J122" s="213"/>
      <c r="K122" s="213"/>
      <c r="L122" s="213"/>
      <c r="M122" s="643"/>
      <c r="N122" s="616">
        <f t="shared" si="0"/>
        <v>0</v>
      </c>
      <c r="O122" s="633"/>
      <c r="P122" s="648"/>
      <c r="Q122" s="648"/>
      <c r="R122" s="7"/>
      <c r="S122" s="699"/>
      <c r="T122" s="7"/>
      <c r="U122" s="618">
        <f t="shared" si="12"/>
        <v>0</v>
      </c>
      <c r="V122" s="7"/>
      <c r="W122" s="7"/>
      <c r="X122" s="7"/>
      <c r="Y122" s="7"/>
      <c r="Z122" s="7"/>
      <c r="AA122" s="7"/>
    </row>
    <row r="123" spans="1:27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3"/>
      <c r="I123" s="213"/>
      <c r="J123" s="213"/>
      <c r="K123" s="213"/>
      <c r="L123" s="213"/>
      <c r="M123" s="643"/>
      <c r="N123" s="616">
        <f t="shared" si="0"/>
        <v>0</v>
      </c>
      <c r="O123" s="633"/>
      <c r="P123" s="648"/>
      <c r="Q123" s="648"/>
      <c r="R123" s="7"/>
      <c r="S123" s="699"/>
      <c r="T123" s="7"/>
      <c r="U123" s="618">
        <f t="shared" si="12"/>
        <v>0</v>
      </c>
      <c r="V123" s="7"/>
      <c r="W123" s="7"/>
      <c r="X123" s="7"/>
      <c r="Y123" s="7"/>
      <c r="Z123" s="7"/>
      <c r="AA123" s="7"/>
    </row>
    <row r="124" spans="1:27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3"/>
      <c r="I124" s="213"/>
      <c r="J124" s="213"/>
      <c r="K124" s="213"/>
      <c r="L124" s="213"/>
      <c r="M124" s="643"/>
      <c r="N124" s="616">
        <f t="shared" si="0"/>
        <v>0</v>
      </c>
      <c r="O124" s="633"/>
      <c r="P124" s="648"/>
      <c r="Q124" s="648"/>
      <c r="R124" s="7"/>
      <c r="S124" s="699"/>
      <c r="T124" s="7"/>
      <c r="U124" s="618">
        <f t="shared" si="12"/>
        <v>0</v>
      </c>
      <c r="V124" s="7"/>
      <c r="W124" s="7"/>
      <c r="X124" s="7"/>
      <c r="Y124" s="7"/>
      <c r="Z124" s="7"/>
      <c r="AA124" s="7"/>
    </row>
    <row r="125" spans="1:27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3"/>
      <c r="I125" s="213"/>
      <c r="J125" s="213"/>
      <c r="K125" s="213"/>
      <c r="L125" s="213"/>
      <c r="M125" s="643"/>
      <c r="N125" s="616">
        <f t="shared" si="0"/>
        <v>0</v>
      </c>
      <c r="O125" s="633"/>
      <c r="P125" s="648"/>
      <c r="Q125" s="648"/>
      <c r="R125" s="7"/>
      <c r="S125" s="699"/>
      <c r="T125" s="7"/>
      <c r="U125" s="618">
        <f t="shared" si="12"/>
        <v>0</v>
      </c>
      <c r="V125" s="7"/>
      <c r="W125" s="7"/>
      <c r="X125" s="7"/>
      <c r="Y125" s="7"/>
      <c r="Z125" s="7"/>
      <c r="AA125" s="7"/>
    </row>
    <row r="126" spans="1:27" ht="20.25" customHeight="1">
      <c r="A126" s="486"/>
      <c r="B126" s="487" t="s">
        <v>299</v>
      </c>
      <c r="C126" s="635" t="s">
        <v>300</v>
      </c>
      <c r="D126" s="412" t="s">
        <v>271</v>
      </c>
      <c r="E126" s="213"/>
      <c r="F126" s="213">
        <v>0.25</v>
      </c>
      <c r="G126" s="213"/>
      <c r="H126" s="213"/>
      <c r="I126" s="213"/>
      <c r="J126" s="213"/>
      <c r="K126" s="213"/>
      <c r="L126" s="213"/>
      <c r="M126" s="643"/>
      <c r="N126" s="616">
        <f t="shared" si="0"/>
        <v>0.25</v>
      </c>
      <c r="O126" s="633"/>
      <c r="P126" s="636"/>
      <c r="Q126" s="636"/>
      <c r="R126" s="7"/>
      <c r="S126" s="699">
        <v>11.85</v>
      </c>
      <c r="T126" s="7"/>
      <c r="U126" s="618"/>
      <c r="V126" s="7"/>
      <c r="W126" s="7"/>
      <c r="X126" s="7"/>
      <c r="Y126" s="7"/>
      <c r="Z126" s="7"/>
      <c r="AA126" s="7"/>
    </row>
    <row r="127" spans="1:27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3"/>
      <c r="I127" s="213"/>
      <c r="J127" s="213"/>
      <c r="K127" s="213"/>
      <c r="L127" s="213"/>
      <c r="M127" s="643"/>
      <c r="N127" s="616">
        <f t="shared" si="0"/>
        <v>0</v>
      </c>
      <c r="O127" s="633"/>
      <c r="P127" s="634"/>
      <c r="Q127" s="634"/>
      <c r="R127" s="7"/>
      <c r="S127" s="699">
        <v>9.4499999999999993</v>
      </c>
      <c r="T127" s="7"/>
      <c r="U127" s="618"/>
      <c r="V127" s="7"/>
      <c r="W127" s="7"/>
      <c r="X127" s="7"/>
      <c r="Y127" s="7"/>
      <c r="Z127" s="7"/>
      <c r="AA127" s="7"/>
    </row>
    <row r="128" spans="1:27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3"/>
      <c r="I128" s="213"/>
      <c r="J128" s="213"/>
      <c r="K128" s="213"/>
      <c r="L128" s="213"/>
      <c r="M128" s="643"/>
      <c r="N128" s="616">
        <f t="shared" si="0"/>
        <v>0</v>
      </c>
      <c r="O128" s="633"/>
      <c r="P128" s="634"/>
      <c r="Q128" s="634"/>
      <c r="R128" s="7"/>
      <c r="S128" s="699">
        <v>2.4</v>
      </c>
      <c r="T128" s="7"/>
      <c r="U128" s="618">
        <f>S128-N128</f>
        <v>2.4</v>
      </c>
      <c r="V128" s="7"/>
      <c r="W128" s="7"/>
      <c r="X128" s="7"/>
      <c r="Y128" s="7"/>
      <c r="Z128" s="7"/>
      <c r="AA128" s="7"/>
    </row>
    <row r="129" spans="1:27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3"/>
      <c r="I129" s="213"/>
      <c r="J129" s="213"/>
      <c r="K129" s="213"/>
      <c r="L129" s="213"/>
      <c r="M129" s="643"/>
      <c r="N129" s="616">
        <f t="shared" si="0"/>
        <v>0</v>
      </c>
      <c r="O129" s="633"/>
      <c r="P129" s="634"/>
      <c r="Q129" s="634"/>
      <c r="R129" s="7"/>
      <c r="S129" s="699"/>
      <c r="T129" s="7"/>
      <c r="U129" s="618"/>
      <c r="V129" s="7"/>
      <c r="W129" s="7"/>
      <c r="X129" s="7"/>
      <c r="Y129" s="7"/>
      <c r="Z129" s="7"/>
      <c r="AA129" s="7"/>
    </row>
    <row r="130" spans="1:27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3"/>
      <c r="I130" s="213"/>
      <c r="J130" s="213"/>
      <c r="K130" s="213"/>
      <c r="L130" s="213"/>
      <c r="M130" s="643"/>
      <c r="N130" s="616">
        <f t="shared" si="0"/>
        <v>0</v>
      </c>
      <c r="O130" s="633"/>
      <c r="P130" s="634"/>
      <c r="Q130" s="634"/>
      <c r="R130" s="7"/>
      <c r="S130" s="699"/>
      <c r="T130" s="7"/>
      <c r="U130" s="618"/>
      <c r="V130" s="7"/>
      <c r="W130" s="7"/>
      <c r="X130" s="7"/>
      <c r="Y130" s="7"/>
      <c r="Z130" s="7"/>
      <c r="AA130" s="7"/>
    </row>
    <row r="131" spans="1:27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3"/>
      <c r="I131" s="213"/>
      <c r="J131" s="213"/>
      <c r="K131" s="213"/>
      <c r="L131" s="213"/>
      <c r="M131" s="643"/>
      <c r="N131" s="616">
        <f t="shared" si="0"/>
        <v>0</v>
      </c>
      <c r="O131" s="633"/>
      <c r="P131" s="636"/>
      <c r="Q131" s="636"/>
      <c r="R131" s="7"/>
      <c r="S131" s="699"/>
      <c r="T131" s="7"/>
      <c r="U131" s="618">
        <f t="shared" ref="U131:U135" si="13">S131-N131</f>
        <v>0</v>
      </c>
      <c r="V131" s="7"/>
      <c r="W131" s="7"/>
      <c r="X131" s="7"/>
      <c r="Y131" s="7"/>
      <c r="Z131" s="7"/>
      <c r="AA131" s="7"/>
    </row>
    <row r="132" spans="1:27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3"/>
      <c r="I132" s="213"/>
      <c r="J132" s="213"/>
      <c r="K132" s="213"/>
      <c r="L132" s="213"/>
      <c r="M132" s="643"/>
      <c r="N132" s="616">
        <f t="shared" si="0"/>
        <v>0</v>
      </c>
      <c r="O132" s="633"/>
      <c r="P132" s="634"/>
      <c r="Q132" s="634"/>
      <c r="R132" s="7"/>
      <c r="S132" s="699"/>
      <c r="T132" s="7"/>
      <c r="U132" s="618">
        <f t="shared" si="13"/>
        <v>0</v>
      </c>
      <c r="V132" s="7"/>
      <c r="W132" s="7"/>
      <c r="X132" s="7"/>
      <c r="Y132" s="7"/>
      <c r="Z132" s="7"/>
      <c r="AA132" s="7"/>
    </row>
    <row r="133" spans="1:27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3"/>
      <c r="I133" s="213"/>
      <c r="J133" s="213"/>
      <c r="K133" s="213"/>
      <c r="L133" s="213"/>
      <c r="M133" s="643"/>
      <c r="N133" s="616">
        <f t="shared" si="0"/>
        <v>0</v>
      </c>
      <c r="O133" s="633"/>
      <c r="P133" s="634"/>
      <c r="Q133" s="634"/>
      <c r="R133" s="7"/>
      <c r="S133" s="699"/>
      <c r="T133" s="7"/>
      <c r="U133" s="618">
        <f t="shared" si="13"/>
        <v>0</v>
      </c>
      <c r="V133" s="7"/>
      <c r="W133" s="7"/>
      <c r="X133" s="7"/>
      <c r="Y133" s="7"/>
      <c r="Z133" s="7"/>
      <c r="AA133" s="7"/>
    </row>
    <row r="134" spans="1:27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3"/>
      <c r="I134" s="213"/>
      <c r="J134" s="213"/>
      <c r="K134" s="213"/>
      <c r="L134" s="213"/>
      <c r="M134" s="643"/>
      <c r="N134" s="616">
        <f t="shared" si="0"/>
        <v>0</v>
      </c>
      <c r="O134" s="633"/>
      <c r="P134" s="634"/>
      <c r="Q134" s="634"/>
      <c r="R134" s="7"/>
      <c r="S134" s="699"/>
      <c r="T134" s="7"/>
      <c r="U134" s="618">
        <f t="shared" si="13"/>
        <v>0</v>
      </c>
      <c r="V134" s="7"/>
      <c r="W134" s="7"/>
      <c r="X134" s="7"/>
      <c r="Y134" s="7"/>
      <c r="Z134" s="7"/>
      <c r="AA134" s="7"/>
    </row>
    <row r="135" spans="1:27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3"/>
      <c r="I135" s="213"/>
      <c r="J135" s="213"/>
      <c r="K135" s="213"/>
      <c r="L135" s="213"/>
      <c r="M135" s="643"/>
      <c r="N135" s="616">
        <f t="shared" si="0"/>
        <v>0</v>
      </c>
      <c r="O135" s="633"/>
      <c r="P135" s="634"/>
      <c r="Q135" s="634"/>
      <c r="R135" s="7"/>
      <c r="S135" s="699"/>
      <c r="T135" s="7"/>
      <c r="U135" s="618">
        <f t="shared" si="13"/>
        <v>0</v>
      </c>
      <c r="V135" s="7"/>
      <c r="W135" s="7"/>
      <c r="X135" s="7"/>
      <c r="Y135" s="7"/>
      <c r="Z135" s="7"/>
      <c r="AA135" s="7"/>
    </row>
    <row r="136" spans="1:27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3"/>
      <c r="I136" s="213"/>
      <c r="J136" s="213"/>
      <c r="K136" s="213"/>
      <c r="L136" s="213"/>
      <c r="M136" s="643"/>
      <c r="N136" s="616">
        <f t="shared" si="0"/>
        <v>0</v>
      </c>
      <c r="O136" s="633"/>
      <c r="P136" s="636"/>
      <c r="Q136" s="636"/>
      <c r="R136" s="7"/>
      <c r="S136" s="699"/>
      <c r="T136" s="7"/>
      <c r="U136" s="618"/>
      <c r="V136" s="7"/>
      <c r="W136" s="7"/>
      <c r="X136" s="7"/>
      <c r="Y136" s="7"/>
      <c r="Z136" s="7"/>
      <c r="AA136" s="7"/>
    </row>
    <row r="137" spans="1:27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3"/>
      <c r="I137" s="213"/>
      <c r="J137" s="213"/>
      <c r="K137" s="213"/>
      <c r="L137" s="213"/>
      <c r="M137" s="643"/>
      <c r="N137" s="616">
        <f t="shared" si="0"/>
        <v>0</v>
      </c>
      <c r="O137" s="633"/>
      <c r="P137" s="648"/>
      <c r="Q137" s="648"/>
      <c r="R137" s="7"/>
      <c r="S137" s="699"/>
      <c r="T137" s="7"/>
      <c r="U137" s="618"/>
      <c r="V137" s="7"/>
      <c r="W137" s="7"/>
      <c r="X137" s="7"/>
      <c r="Y137" s="7"/>
      <c r="Z137" s="7"/>
      <c r="AA137" s="7"/>
    </row>
    <row r="138" spans="1:27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3"/>
      <c r="I138" s="213"/>
      <c r="J138" s="213"/>
      <c r="K138" s="213"/>
      <c r="L138" s="213"/>
      <c r="M138" s="643"/>
      <c r="N138" s="616">
        <f t="shared" si="0"/>
        <v>0</v>
      </c>
      <c r="O138" s="633"/>
      <c r="P138" s="648"/>
      <c r="Q138" s="648"/>
      <c r="R138" s="7"/>
      <c r="S138" s="699"/>
      <c r="T138" s="7"/>
      <c r="U138" s="618"/>
      <c r="V138" s="7"/>
      <c r="W138" s="7"/>
      <c r="X138" s="7"/>
      <c r="Y138" s="7"/>
      <c r="Z138" s="7"/>
      <c r="AA138" s="7"/>
    </row>
    <row r="139" spans="1:27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3"/>
      <c r="I139" s="213"/>
      <c r="J139" s="213"/>
      <c r="K139" s="213"/>
      <c r="L139" s="213"/>
      <c r="M139" s="643"/>
      <c r="N139" s="616">
        <f t="shared" si="0"/>
        <v>0</v>
      </c>
      <c r="O139" s="633"/>
      <c r="P139" s="648"/>
      <c r="Q139" s="648"/>
      <c r="R139" s="7"/>
      <c r="S139" s="699"/>
      <c r="T139" s="7"/>
      <c r="U139" s="618"/>
      <c r="V139" s="7"/>
      <c r="W139" s="7"/>
      <c r="X139" s="7"/>
      <c r="Y139" s="7"/>
      <c r="Z139" s="7"/>
      <c r="AA139" s="7"/>
    </row>
    <row r="140" spans="1:27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3"/>
      <c r="I140" s="213"/>
      <c r="J140" s="213"/>
      <c r="K140" s="213"/>
      <c r="L140" s="213"/>
      <c r="M140" s="643"/>
      <c r="N140" s="616">
        <f t="shared" si="0"/>
        <v>0</v>
      </c>
      <c r="O140" s="633"/>
      <c r="P140" s="648"/>
      <c r="Q140" s="648"/>
      <c r="R140" s="7"/>
      <c r="S140" s="699"/>
      <c r="T140" s="7"/>
      <c r="U140" s="618"/>
      <c r="V140" s="7"/>
      <c r="W140" s="7"/>
      <c r="X140" s="7"/>
      <c r="Y140" s="7"/>
      <c r="Z140" s="7"/>
      <c r="AA140" s="7"/>
    </row>
    <row r="141" spans="1:27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3"/>
      <c r="I141" s="213"/>
      <c r="J141" s="213"/>
      <c r="K141" s="213"/>
      <c r="L141" s="213"/>
      <c r="M141" s="643"/>
      <c r="N141" s="616">
        <f t="shared" si="0"/>
        <v>0</v>
      </c>
      <c r="O141" s="633"/>
      <c r="P141" s="636"/>
      <c r="Q141" s="636"/>
      <c r="R141" s="7"/>
      <c r="S141" s="699"/>
      <c r="T141" s="7"/>
      <c r="U141" s="618"/>
      <c r="V141" s="7"/>
      <c r="W141" s="7"/>
      <c r="X141" s="7"/>
      <c r="Y141" s="7"/>
      <c r="Z141" s="7"/>
      <c r="AA141" s="7"/>
    </row>
    <row r="142" spans="1:27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3"/>
      <c r="I142" s="213"/>
      <c r="J142" s="213"/>
      <c r="K142" s="213"/>
      <c r="L142" s="213"/>
      <c r="M142" s="643"/>
      <c r="N142" s="616">
        <f t="shared" si="0"/>
        <v>0</v>
      </c>
      <c r="O142" s="633"/>
      <c r="P142" s="648"/>
      <c r="Q142" s="648"/>
      <c r="R142" s="7"/>
      <c r="S142" s="699"/>
      <c r="T142" s="7"/>
      <c r="U142" s="618">
        <f t="shared" ref="U142:U144" si="14">S142-N142</f>
        <v>0</v>
      </c>
      <c r="V142" s="7"/>
      <c r="W142" s="7"/>
      <c r="X142" s="7"/>
      <c r="Y142" s="7"/>
      <c r="Z142" s="7"/>
      <c r="AA142" s="7"/>
    </row>
    <row r="143" spans="1:27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3"/>
      <c r="I143" s="213"/>
      <c r="J143" s="213"/>
      <c r="K143" s="213"/>
      <c r="L143" s="213"/>
      <c r="M143" s="643"/>
      <c r="N143" s="616">
        <f t="shared" si="0"/>
        <v>0</v>
      </c>
      <c r="O143" s="633"/>
      <c r="P143" s="648"/>
      <c r="Q143" s="648"/>
      <c r="R143" s="7"/>
      <c r="S143" s="699"/>
      <c r="T143" s="7"/>
      <c r="U143" s="618">
        <f t="shared" si="14"/>
        <v>0</v>
      </c>
      <c r="V143" s="7"/>
      <c r="W143" s="7"/>
      <c r="X143" s="7"/>
      <c r="Y143" s="7"/>
      <c r="Z143" s="7"/>
      <c r="AA143" s="7"/>
    </row>
    <row r="144" spans="1:27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3"/>
      <c r="I144" s="213"/>
      <c r="J144" s="213"/>
      <c r="K144" s="213"/>
      <c r="L144" s="213"/>
      <c r="M144" s="643"/>
      <c r="N144" s="616">
        <f t="shared" si="0"/>
        <v>0</v>
      </c>
      <c r="O144" s="633"/>
      <c r="P144" s="648"/>
      <c r="Q144" s="648"/>
      <c r="R144" s="7"/>
      <c r="S144" s="699"/>
      <c r="T144" s="7"/>
      <c r="U144" s="618">
        <f t="shared" si="14"/>
        <v>0</v>
      </c>
      <c r="V144" s="7"/>
      <c r="W144" s="7"/>
      <c r="X144" s="7"/>
      <c r="Y144" s="7"/>
      <c r="Z144" s="7"/>
      <c r="AA144" s="7"/>
    </row>
    <row r="145" spans="1:27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3"/>
      <c r="I145" s="213"/>
      <c r="J145" s="213"/>
      <c r="K145" s="213"/>
      <c r="L145" s="213"/>
      <c r="M145" s="643"/>
      <c r="N145" s="616">
        <f t="shared" si="0"/>
        <v>0</v>
      </c>
      <c r="O145" s="633"/>
      <c r="P145" s="648"/>
      <c r="Q145" s="648"/>
      <c r="R145" s="7"/>
      <c r="S145" s="699"/>
      <c r="T145" s="7"/>
      <c r="U145" s="618"/>
      <c r="V145" s="7"/>
      <c r="W145" s="7"/>
      <c r="X145" s="7"/>
      <c r="Y145" s="7"/>
      <c r="Z145" s="7"/>
      <c r="AA145" s="7"/>
    </row>
    <row r="146" spans="1:27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>
        <v>0.3</v>
      </c>
      <c r="G146" s="213"/>
      <c r="H146" s="213"/>
      <c r="I146" s="213"/>
      <c r="J146" s="213"/>
      <c r="K146" s="213"/>
      <c r="L146" s="213"/>
      <c r="M146" s="643"/>
      <c r="N146" s="616">
        <f t="shared" si="0"/>
        <v>0.3</v>
      </c>
      <c r="O146" s="633"/>
      <c r="P146" s="636"/>
      <c r="Q146" s="636"/>
      <c r="R146" s="7"/>
      <c r="S146" s="699">
        <v>91.36</v>
      </c>
      <c r="T146" s="7"/>
      <c r="U146" s="618"/>
      <c r="V146" s="7"/>
      <c r="W146" s="7"/>
      <c r="X146" s="7"/>
      <c r="Y146" s="7"/>
      <c r="Z146" s="7"/>
      <c r="AA146" s="7"/>
    </row>
    <row r="147" spans="1:27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3"/>
      <c r="I147" s="213"/>
      <c r="J147" s="213"/>
      <c r="K147" s="213"/>
      <c r="L147" s="213"/>
      <c r="M147" s="643"/>
      <c r="N147" s="616">
        <f t="shared" si="0"/>
        <v>0</v>
      </c>
      <c r="O147" s="633"/>
      <c r="P147" s="634"/>
      <c r="Q147" s="634"/>
      <c r="R147" s="7"/>
      <c r="S147" s="699">
        <v>35.26</v>
      </c>
      <c r="T147" s="7"/>
      <c r="U147" s="618"/>
      <c r="V147" s="7"/>
      <c r="W147" s="7"/>
      <c r="X147" s="7"/>
      <c r="Y147" s="7"/>
      <c r="Z147" s="7"/>
      <c r="AA147" s="7"/>
    </row>
    <row r="148" spans="1:27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3"/>
      <c r="I148" s="213"/>
      <c r="J148" s="213"/>
      <c r="K148" s="213"/>
      <c r="L148" s="213"/>
      <c r="M148" s="643"/>
      <c r="N148" s="616">
        <f t="shared" si="0"/>
        <v>0</v>
      </c>
      <c r="O148" s="633"/>
      <c r="P148" s="634"/>
      <c r="Q148" s="634"/>
      <c r="R148" s="7"/>
      <c r="S148" s="699">
        <v>12.95</v>
      </c>
      <c r="T148" s="7"/>
      <c r="U148" s="618"/>
      <c r="V148" s="7"/>
      <c r="W148" s="7"/>
      <c r="X148" s="7"/>
      <c r="Y148" s="7"/>
      <c r="Z148" s="7"/>
      <c r="AA148" s="7"/>
    </row>
    <row r="149" spans="1:27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3"/>
      <c r="I149" s="213"/>
      <c r="J149" s="213"/>
      <c r="K149" s="213"/>
      <c r="L149" s="213"/>
      <c r="M149" s="643"/>
      <c r="N149" s="616">
        <f t="shared" si="0"/>
        <v>0</v>
      </c>
      <c r="O149" s="633"/>
      <c r="P149" s="634"/>
      <c r="Q149" s="634"/>
      <c r="R149" s="7"/>
      <c r="S149" s="699">
        <v>24.85</v>
      </c>
      <c r="T149" s="7"/>
      <c r="U149" s="618">
        <f t="shared" ref="U149:U150" si="15">S149-N149</f>
        <v>24.85</v>
      </c>
      <c r="V149" s="7"/>
      <c r="W149" s="7"/>
      <c r="X149" s="7"/>
      <c r="Y149" s="7"/>
      <c r="Z149" s="7"/>
      <c r="AA149" s="7"/>
    </row>
    <row r="150" spans="1:27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3"/>
      <c r="I150" s="213"/>
      <c r="J150" s="213"/>
      <c r="K150" s="213"/>
      <c r="L150" s="213"/>
      <c r="M150" s="643"/>
      <c r="N150" s="616">
        <f t="shared" si="0"/>
        <v>0</v>
      </c>
      <c r="O150" s="633"/>
      <c r="P150" s="634"/>
      <c r="Q150" s="634"/>
      <c r="R150" s="7"/>
      <c r="S150" s="699">
        <v>18.3</v>
      </c>
      <c r="T150" s="7"/>
      <c r="U150" s="618">
        <f t="shared" si="15"/>
        <v>18.3</v>
      </c>
      <c r="V150" s="7"/>
      <c r="W150" s="7"/>
      <c r="X150" s="7"/>
      <c r="Y150" s="7"/>
      <c r="Z150" s="7"/>
      <c r="AA150" s="7"/>
    </row>
    <row r="151" spans="1:27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/>
      <c r="G151" s="213"/>
      <c r="H151" s="213"/>
      <c r="I151" s="213"/>
      <c r="J151" s="213"/>
      <c r="K151" s="213"/>
      <c r="L151" s="213"/>
      <c r="M151" s="643"/>
      <c r="N151" s="616">
        <f t="shared" si="0"/>
        <v>0</v>
      </c>
      <c r="O151" s="633"/>
      <c r="P151" s="636"/>
      <c r="Q151" s="636"/>
      <c r="R151" s="7"/>
      <c r="S151" s="699"/>
      <c r="T151" s="7"/>
      <c r="U151" s="618"/>
      <c r="V151" s="7"/>
      <c r="W151" s="7"/>
      <c r="X151" s="7"/>
      <c r="Y151" s="7"/>
      <c r="Z151" s="7"/>
      <c r="AA151" s="7"/>
    </row>
    <row r="152" spans="1:27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3"/>
      <c r="I152" s="213"/>
      <c r="J152" s="213"/>
      <c r="K152" s="213"/>
      <c r="L152" s="213"/>
      <c r="M152" s="643"/>
      <c r="N152" s="616">
        <f t="shared" si="0"/>
        <v>0</v>
      </c>
      <c r="O152" s="633"/>
      <c r="P152" s="634"/>
      <c r="Q152" s="634"/>
      <c r="R152" s="7"/>
      <c r="S152" s="699"/>
      <c r="T152" s="7"/>
      <c r="U152" s="618">
        <f>S152-N152</f>
        <v>0</v>
      </c>
      <c r="V152" s="7"/>
      <c r="W152" s="7"/>
      <c r="X152" s="7"/>
      <c r="Y152" s="7"/>
      <c r="Z152" s="7"/>
      <c r="AA152" s="7"/>
    </row>
    <row r="153" spans="1:27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3"/>
      <c r="I153" s="213"/>
      <c r="J153" s="213"/>
      <c r="K153" s="213"/>
      <c r="L153" s="213"/>
      <c r="M153" s="643"/>
      <c r="N153" s="616">
        <f t="shared" si="0"/>
        <v>0</v>
      </c>
      <c r="O153" s="633"/>
      <c r="P153" s="634"/>
      <c r="Q153" s="634"/>
      <c r="R153" s="7"/>
      <c r="S153" s="699"/>
      <c r="T153" s="7"/>
      <c r="U153" s="618"/>
      <c r="V153" s="7"/>
      <c r="W153" s="7"/>
      <c r="X153" s="7"/>
      <c r="Y153" s="7"/>
      <c r="Z153" s="7"/>
      <c r="AA153" s="7"/>
    </row>
    <row r="154" spans="1:27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3"/>
      <c r="I154" s="213"/>
      <c r="J154" s="213"/>
      <c r="K154" s="213"/>
      <c r="L154" s="213"/>
      <c r="M154" s="643"/>
      <c r="N154" s="616">
        <f t="shared" si="0"/>
        <v>0</v>
      </c>
      <c r="O154" s="633"/>
      <c r="P154" s="634"/>
      <c r="Q154" s="634"/>
      <c r="R154" s="7"/>
      <c r="S154" s="699"/>
      <c r="T154" s="7"/>
      <c r="U154" s="618">
        <f t="shared" ref="U154:U160" si="16">S154-N154</f>
        <v>0</v>
      </c>
      <c r="V154" s="7"/>
      <c r="W154" s="7"/>
      <c r="X154" s="7"/>
      <c r="Y154" s="7"/>
      <c r="Z154" s="7"/>
      <c r="AA154" s="7"/>
    </row>
    <row r="155" spans="1:27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3"/>
      <c r="I155" s="213"/>
      <c r="J155" s="213"/>
      <c r="K155" s="213"/>
      <c r="L155" s="213"/>
      <c r="M155" s="643"/>
      <c r="N155" s="616">
        <f t="shared" si="0"/>
        <v>0</v>
      </c>
      <c r="O155" s="633"/>
      <c r="P155" s="634"/>
      <c r="Q155" s="634"/>
      <c r="R155" s="7"/>
      <c r="S155" s="699"/>
      <c r="T155" s="7"/>
      <c r="U155" s="618">
        <f t="shared" si="16"/>
        <v>0</v>
      </c>
      <c r="V155" s="7"/>
      <c r="W155" s="7"/>
      <c r="X155" s="7"/>
      <c r="Y155" s="7"/>
      <c r="Z155" s="7"/>
      <c r="AA155" s="7"/>
    </row>
    <row r="156" spans="1:27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3"/>
      <c r="I156" s="213"/>
      <c r="J156" s="213"/>
      <c r="K156" s="213"/>
      <c r="L156" s="213"/>
      <c r="M156" s="643"/>
      <c r="N156" s="616">
        <f t="shared" si="0"/>
        <v>0</v>
      </c>
      <c r="O156" s="633"/>
      <c r="P156" s="636"/>
      <c r="Q156" s="636"/>
      <c r="R156" s="7"/>
      <c r="S156" s="699"/>
      <c r="T156" s="7"/>
      <c r="U156" s="618">
        <f t="shared" si="16"/>
        <v>0</v>
      </c>
      <c r="V156" s="7"/>
      <c r="W156" s="7"/>
      <c r="X156" s="7"/>
      <c r="Y156" s="7"/>
      <c r="Z156" s="7"/>
      <c r="AA156" s="7"/>
    </row>
    <row r="157" spans="1:27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3"/>
      <c r="I157" s="213"/>
      <c r="J157" s="213"/>
      <c r="K157" s="213"/>
      <c r="L157" s="213"/>
      <c r="M157" s="643"/>
      <c r="N157" s="616">
        <f t="shared" si="0"/>
        <v>0</v>
      </c>
      <c r="O157" s="633"/>
      <c r="P157" s="648"/>
      <c r="Q157" s="648"/>
      <c r="R157" s="7"/>
      <c r="S157" s="699"/>
      <c r="T157" s="7"/>
      <c r="U157" s="618">
        <f t="shared" si="16"/>
        <v>0</v>
      </c>
      <c r="V157" s="7"/>
      <c r="W157" s="7"/>
      <c r="X157" s="7"/>
      <c r="Y157" s="7"/>
      <c r="Z157" s="7"/>
      <c r="AA157" s="7"/>
    </row>
    <row r="158" spans="1:27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3"/>
      <c r="I158" s="213"/>
      <c r="J158" s="213"/>
      <c r="K158" s="213"/>
      <c r="L158" s="213"/>
      <c r="M158" s="643"/>
      <c r="N158" s="616">
        <f t="shared" si="0"/>
        <v>0</v>
      </c>
      <c r="O158" s="633"/>
      <c r="P158" s="648"/>
      <c r="Q158" s="648"/>
      <c r="R158" s="7"/>
      <c r="S158" s="699"/>
      <c r="T158" s="7"/>
      <c r="U158" s="618">
        <f t="shared" si="16"/>
        <v>0</v>
      </c>
      <c r="V158" s="7"/>
      <c r="W158" s="7"/>
      <c r="X158" s="7"/>
      <c r="Y158" s="7"/>
      <c r="Z158" s="7"/>
      <c r="AA158" s="7"/>
    </row>
    <row r="159" spans="1:27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3"/>
      <c r="I159" s="213"/>
      <c r="J159" s="213"/>
      <c r="K159" s="213"/>
      <c r="L159" s="213"/>
      <c r="M159" s="643"/>
      <c r="N159" s="616">
        <f t="shared" si="0"/>
        <v>0</v>
      </c>
      <c r="O159" s="633"/>
      <c r="P159" s="648"/>
      <c r="Q159" s="648"/>
      <c r="R159" s="7"/>
      <c r="S159" s="699"/>
      <c r="T159" s="7"/>
      <c r="U159" s="618">
        <f t="shared" si="16"/>
        <v>0</v>
      </c>
      <c r="V159" s="7"/>
      <c r="W159" s="7"/>
      <c r="X159" s="7"/>
      <c r="Y159" s="7"/>
      <c r="Z159" s="7"/>
      <c r="AA159" s="7"/>
    </row>
    <row r="160" spans="1:27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3"/>
      <c r="I160" s="213"/>
      <c r="J160" s="213"/>
      <c r="K160" s="213"/>
      <c r="L160" s="213"/>
      <c r="M160" s="643"/>
      <c r="N160" s="616">
        <f t="shared" si="0"/>
        <v>0</v>
      </c>
      <c r="O160" s="633"/>
      <c r="P160" s="648"/>
      <c r="Q160" s="648"/>
      <c r="R160" s="7"/>
      <c r="S160" s="699"/>
      <c r="T160" s="7"/>
      <c r="U160" s="618">
        <f t="shared" si="16"/>
        <v>0</v>
      </c>
      <c r="V160" s="7"/>
      <c r="W160" s="7"/>
      <c r="X160" s="7"/>
      <c r="Y160" s="7"/>
      <c r="Z160" s="7"/>
      <c r="AA160" s="7"/>
    </row>
    <row r="161" spans="1:27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3"/>
      <c r="I161" s="213"/>
      <c r="J161" s="213"/>
      <c r="K161" s="213"/>
      <c r="L161" s="213"/>
      <c r="M161" s="643"/>
      <c r="N161" s="616">
        <f t="shared" si="0"/>
        <v>0</v>
      </c>
      <c r="O161" s="633"/>
      <c r="P161" s="636"/>
      <c r="Q161" s="636"/>
      <c r="R161" s="7"/>
      <c r="S161" s="699"/>
      <c r="T161" s="7"/>
      <c r="U161" s="618"/>
      <c r="V161" s="7"/>
      <c r="W161" s="7"/>
      <c r="X161" s="7"/>
      <c r="Y161" s="7"/>
      <c r="Z161" s="7"/>
      <c r="AA161" s="7"/>
    </row>
    <row r="162" spans="1:27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3"/>
      <c r="I162" s="213"/>
      <c r="J162" s="213"/>
      <c r="K162" s="213"/>
      <c r="L162" s="213"/>
      <c r="M162" s="643"/>
      <c r="N162" s="616">
        <f t="shared" si="0"/>
        <v>0</v>
      </c>
      <c r="O162" s="633"/>
      <c r="P162" s="636"/>
      <c r="Q162" s="636"/>
      <c r="R162" s="7"/>
      <c r="S162" s="699"/>
      <c r="T162" s="7"/>
      <c r="U162" s="618">
        <f t="shared" ref="U162:U173" si="17">S162-N162</f>
        <v>0</v>
      </c>
      <c r="V162" s="7"/>
      <c r="W162" s="7"/>
      <c r="X162" s="7"/>
      <c r="Y162" s="7"/>
      <c r="Z162" s="7"/>
      <c r="AA162" s="7"/>
    </row>
    <row r="163" spans="1:27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3"/>
      <c r="I163" s="213"/>
      <c r="J163" s="213"/>
      <c r="K163" s="213"/>
      <c r="L163" s="213"/>
      <c r="M163" s="643"/>
      <c r="N163" s="616">
        <f t="shared" si="0"/>
        <v>0</v>
      </c>
      <c r="O163" s="633"/>
      <c r="P163" s="636"/>
      <c r="Q163" s="636"/>
      <c r="R163" s="7"/>
      <c r="S163" s="699"/>
      <c r="T163" s="7"/>
      <c r="U163" s="618">
        <f t="shared" si="17"/>
        <v>0</v>
      </c>
      <c r="V163" s="7"/>
      <c r="W163" s="7"/>
      <c r="X163" s="7"/>
      <c r="Y163" s="7"/>
      <c r="Z163" s="7"/>
      <c r="AA163" s="7"/>
    </row>
    <row r="164" spans="1:27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3"/>
      <c r="I164" s="213"/>
      <c r="J164" s="213"/>
      <c r="K164" s="213"/>
      <c r="L164" s="213"/>
      <c r="M164" s="643"/>
      <c r="N164" s="616">
        <f t="shared" si="0"/>
        <v>0</v>
      </c>
      <c r="O164" s="633"/>
      <c r="P164" s="636"/>
      <c r="Q164" s="636"/>
      <c r="R164" s="7"/>
      <c r="S164" s="699"/>
      <c r="T164" s="7"/>
      <c r="U164" s="618">
        <f t="shared" si="17"/>
        <v>0</v>
      </c>
      <c r="V164" s="7"/>
      <c r="W164" s="7"/>
      <c r="X164" s="7"/>
      <c r="Y164" s="7"/>
      <c r="Z164" s="7"/>
      <c r="AA164" s="7"/>
    </row>
    <row r="165" spans="1:27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3"/>
      <c r="I165" s="213"/>
      <c r="J165" s="213"/>
      <c r="K165" s="213"/>
      <c r="L165" s="213"/>
      <c r="M165" s="643"/>
      <c r="N165" s="616">
        <f t="shared" si="0"/>
        <v>0</v>
      </c>
      <c r="O165" s="633"/>
      <c r="P165" s="636"/>
      <c r="Q165" s="636"/>
      <c r="R165" s="7"/>
      <c r="S165" s="699"/>
      <c r="T165" s="7"/>
      <c r="U165" s="618">
        <f t="shared" si="17"/>
        <v>0</v>
      </c>
      <c r="V165" s="7"/>
      <c r="W165" s="7"/>
      <c r="X165" s="7"/>
      <c r="Y165" s="7"/>
      <c r="Z165" s="7"/>
      <c r="AA165" s="7"/>
    </row>
    <row r="166" spans="1:27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3"/>
      <c r="I166" s="213"/>
      <c r="J166" s="213"/>
      <c r="K166" s="213"/>
      <c r="L166" s="213"/>
      <c r="M166" s="643"/>
      <c r="N166" s="616">
        <f t="shared" si="0"/>
        <v>0</v>
      </c>
      <c r="O166" s="633"/>
      <c r="P166" s="636"/>
      <c r="Q166" s="636"/>
      <c r="R166" s="7"/>
      <c r="S166" s="699"/>
      <c r="T166" s="7"/>
      <c r="U166" s="618">
        <f t="shared" si="17"/>
        <v>0</v>
      </c>
      <c r="V166" s="7"/>
      <c r="W166" s="7"/>
      <c r="X166" s="7"/>
      <c r="Y166" s="7"/>
      <c r="Z166" s="7"/>
      <c r="AA166" s="7"/>
    </row>
    <row r="167" spans="1:27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3"/>
      <c r="I167" s="213"/>
      <c r="J167" s="213"/>
      <c r="K167" s="213"/>
      <c r="L167" s="213"/>
      <c r="M167" s="643"/>
      <c r="N167" s="616">
        <f t="shared" si="0"/>
        <v>0</v>
      </c>
      <c r="O167" s="633"/>
      <c r="P167" s="636"/>
      <c r="Q167" s="636"/>
      <c r="R167" s="7"/>
      <c r="S167" s="699"/>
      <c r="T167" s="7"/>
      <c r="U167" s="618">
        <f t="shared" si="17"/>
        <v>0</v>
      </c>
      <c r="V167" s="7"/>
      <c r="W167" s="7"/>
      <c r="X167" s="7"/>
      <c r="Y167" s="7"/>
      <c r="Z167" s="7"/>
      <c r="AA167" s="7"/>
    </row>
    <row r="168" spans="1:27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3"/>
      <c r="I168" s="213"/>
      <c r="J168" s="213"/>
      <c r="K168" s="213"/>
      <c r="L168" s="213"/>
      <c r="M168" s="643"/>
      <c r="N168" s="616">
        <f t="shared" si="0"/>
        <v>0</v>
      </c>
      <c r="O168" s="633"/>
      <c r="P168" s="636"/>
      <c r="Q168" s="636"/>
      <c r="R168" s="7"/>
      <c r="S168" s="699"/>
      <c r="T168" s="7"/>
      <c r="U168" s="618">
        <f t="shared" si="17"/>
        <v>0</v>
      </c>
      <c r="V168" s="7"/>
      <c r="W168" s="7"/>
      <c r="X168" s="7"/>
      <c r="Y168" s="7"/>
      <c r="Z168" s="7"/>
      <c r="AA168" s="7"/>
    </row>
    <row r="169" spans="1:27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3"/>
      <c r="I169" s="213"/>
      <c r="J169" s="213"/>
      <c r="K169" s="213"/>
      <c r="L169" s="213"/>
      <c r="M169" s="643"/>
      <c r="N169" s="616">
        <f t="shared" si="0"/>
        <v>0</v>
      </c>
      <c r="O169" s="633"/>
      <c r="P169" s="636"/>
      <c r="Q169" s="636"/>
      <c r="R169" s="7"/>
      <c r="S169" s="699"/>
      <c r="T169" s="7"/>
      <c r="U169" s="618">
        <f t="shared" si="17"/>
        <v>0</v>
      </c>
      <c r="V169" s="7"/>
      <c r="W169" s="7"/>
      <c r="X169" s="7"/>
      <c r="Y169" s="7"/>
      <c r="Z169" s="7"/>
      <c r="AA169" s="7"/>
    </row>
    <row r="170" spans="1:27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3"/>
      <c r="I170" s="213"/>
      <c r="J170" s="213"/>
      <c r="K170" s="213"/>
      <c r="L170" s="213"/>
      <c r="M170" s="643"/>
      <c r="N170" s="616">
        <f t="shared" si="0"/>
        <v>0</v>
      </c>
      <c r="O170" s="633"/>
      <c r="P170" s="636"/>
      <c r="Q170" s="636"/>
      <c r="R170" s="7"/>
      <c r="S170" s="699"/>
      <c r="T170" s="7"/>
      <c r="U170" s="618">
        <f t="shared" si="17"/>
        <v>0</v>
      </c>
      <c r="V170" s="7"/>
      <c r="W170" s="7"/>
      <c r="X170" s="7"/>
      <c r="Y170" s="7"/>
      <c r="Z170" s="7"/>
      <c r="AA170" s="7"/>
    </row>
    <row r="171" spans="1:27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3"/>
      <c r="I171" s="213"/>
      <c r="J171" s="213"/>
      <c r="K171" s="213"/>
      <c r="L171" s="213"/>
      <c r="M171" s="643"/>
      <c r="N171" s="616">
        <f t="shared" si="0"/>
        <v>0</v>
      </c>
      <c r="O171" s="633"/>
      <c r="P171" s="636"/>
      <c r="Q171" s="636"/>
      <c r="R171" s="7"/>
      <c r="S171" s="699"/>
      <c r="T171" s="7"/>
      <c r="U171" s="618">
        <f t="shared" si="17"/>
        <v>0</v>
      </c>
      <c r="V171" s="7"/>
      <c r="W171" s="7"/>
      <c r="X171" s="7"/>
      <c r="Y171" s="7"/>
      <c r="Z171" s="7"/>
      <c r="AA171" s="7"/>
    </row>
    <row r="172" spans="1:27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3"/>
      <c r="I172" s="213"/>
      <c r="J172" s="213"/>
      <c r="K172" s="213"/>
      <c r="L172" s="213"/>
      <c r="M172" s="643"/>
      <c r="N172" s="616">
        <f t="shared" si="0"/>
        <v>0</v>
      </c>
      <c r="O172" s="633"/>
      <c r="P172" s="640"/>
      <c r="Q172" s="640"/>
      <c r="R172" s="7"/>
      <c r="S172" s="699"/>
      <c r="T172" s="7"/>
      <c r="U172" s="618">
        <f t="shared" si="17"/>
        <v>0</v>
      </c>
      <c r="V172" s="7"/>
      <c r="W172" s="7"/>
      <c r="X172" s="7"/>
      <c r="Y172" s="7"/>
      <c r="Z172" s="7"/>
      <c r="AA172" s="7"/>
    </row>
    <row r="173" spans="1:27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3"/>
      <c r="I173" s="213"/>
      <c r="J173" s="213"/>
      <c r="K173" s="213"/>
      <c r="L173" s="213"/>
      <c r="M173" s="643"/>
      <c r="N173" s="616">
        <f t="shared" si="0"/>
        <v>0</v>
      </c>
      <c r="O173" s="633"/>
      <c r="P173" s="636"/>
      <c r="Q173" s="636"/>
      <c r="R173" s="7"/>
      <c r="S173" s="699"/>
      <c r="T173" s="7"/>
      <c r="U173" s="618">
        <f t="shared" si="17"/>
        <v>0</v>
      </c>
      <c r="V173" s="7"/>
      <c r="W173" s="7"/>
      <c r="X173" s="7"/>
      <c r="Y173" s="7"/>
      <c r="Z173" s="7"/>
      <c r="AA173" s="7"/>
    </row>
    <row r="174" spans="1:27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3"/>
      <c r="I174" s="213"/>
      <c r="J174" s="213"/>
      <c r="K174" s="213"/>
      <c r="L174" s="213"/>
      <c r="M174" s="643"/>
      <c r="N174" s="616">
        <f t="shared" si="0"/>
        <v>0</v>
      </c>
      <c r="O174" s="633"/>
      <c r="P174" s="648"/>
      <c r="Q174" s="648"/>
      <c r="R174" s="7"/>
      <c r="S174" s="699"/>
      <c r="T174" s="7"/>
      <c r="U174" s="618"/>
      <c r="V174" s="7"/>
      <c r="W174" s="7"/>
      <c r="X174" s="7"/>
      <c r="Y174" s="7"/>
      <c r="Z174" s="7"/>
      <c r="AA174" s="7"/>
    </row>
    <row r="175" spans="1:27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3"/>
      <c r="I175" s="213"/>
      <c r="J175" s="213"/>
      <c r="K175" s="213"/>
      <c r="L175" s="213"/>
      <c r="M175" s="643"/>
      <c r="N175" s="616">
        <f t="shared" si="0"/>
        <v>0</v>
      </c>
      <c r="O175" s="633"/>
      <c r="P175" s="648"/>
      <c r="Q175" s="648"/>
      <c r="R175" s="7"/>
      <c r="S175" s="699"/>
      <c r="T175" s="7"/>
      <c r="U175" s="618"/>
      <c r="V175" s="7"/>
      <c r="W175" s="7"/>
      <c r="X175" s="7"/>
      <c r="Y175" s="7"/>
      <c r="Z175" s="7"/>
      <c r="AA175" s="7"/>
    </row>
    <row r="176" spans="1:27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3"/>
      <c r="I176" s="213"/>
      <c r="J176" s="213"/>
      <c r="K176" s="213"/>
      <c r="L176" s="213"/>
      <c r="M176" s="643"/>
      <c r="N176" s="616">
        <f t="shared" si="0"/>
        <v>0</v>
      </c>
      <c r="O176" s="633"/>
      <c r="P176" s="648"/>
      <c r="Q176" s="648"/>
      <c r="R176" s="7"/>
      <c r="S176" s="699"/>
      <c r="T176" s="7"/>
      <c r="U176" s="618"/>
      <c r="V176" s="7"/>
      <c r="W176" s="7"/>
      <c r="X176" s="7"/>
      <c r="Y176" s="7"/>
      <c r="Z176" s="7"/>
      <c r="AA176" s="7"/>
    </row>
    <row r="177" spans="1:27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3"/>
      <c r="I177" s="213"/>
      <c r="J177" s="213"/>
      <c r="K177" s="213"/>
      <c r="L177" s="213"/>
      <c r="M177" s="643"/>
      <c r="N177" s="616">
        <f t="shared" si="0"/>
        <v>0</v>
      </c>
      <c r="O177" s="633"/>
      <c r="P177" s="648"/>
      <c r="Q177" s="648"/>
      <c r="R177" s="7"/>
      <c r="S177" s="699"/>
      <c r="T177" s="7"/>
      <c r="U177" s="618">
        <f t="shared" ref="U177:U178" si="18">S177-N177</f>
        <v>0</v>
      </c>
      <c r="V177" s="7"/>
      <c r="W177" s="7"/>
      <c r="X177" s="7"/>
      <c r="Y177" s="7"/>
      <c r="Z177" s="7"/>
      <c r="AA177" s="7"/>
    </row>
    <row r="178" spans="1:27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3"/>
      <c r="I178" s="213"/>
      <c r="J178" s="213"/>
      <c r="K178" s="213"/>
      <c r="L178" s="213"/>
      <c r="M178" s="657"/>
      <c r="N178" s="616">
        <f t="shared" si="0"/>
        <v>0</v>
      </c>
      <c r="O178" s="633"/>
      <c r="P178" s="636"/>
      <c r="Q178" s="636"/>
      <c r="R178" s="7"/>
      <c r="S178" s="699"/>
      <c r="T178" s="7"/>
      <c r="U178" s="618">
        <f t="shared" si="18"/>
        <v>0</v>
      </c>
      <c r="V178" s="7"/>
      <c r="W178" s="7"/>
      <c r="X178" s="7"/>
      <c r="Y178" s="7"/>
      <c r="Z178" s="7"/>
      <c r="AA178" s="7"/>
    </row>
    <row r="179" spans="1:27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3"/>
      <c r="I179" s="213"/>
      <c r="J179" s="213"/>
      <c r="K179" s="213"/>
      <c r="L179" s="213"/>
      <c r="M179" s="643"/>
      <c r="N179" s="616">
        <f t="shared" si="0"/>
        <v>0</v>
      </c>
      <c r="O179" s="633"/>
      <c r="P179" s="648"/>
      <c r="Q179" s="648"/>
      <c r="R179" s="7"/>
      <c r="S179" s="699"/>
      <c r="T179" s="7"/>
      <c r="U179" s="618"/>
      <c r="V179" s="7"/>
      <c r="W179" s="7"/>
      <c r="X179" s="7"/>
      <c r="Y179" s="7"/>
      <c r="Z179" s="7"/>
      <c r="AA179" s="7"/>
    </row>
    <row r="180" spans="1:27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3"/>
      <c r="I180" s="213"/>
      <c r="J180" s="213"/>
      <c r="K180" s="213"/>
      <c r="L180" s="213"/>
      <c r="M180" s="643"/>
      <c r="N180" s="616">
        <f t="shared" si="0"/>
        <v>0</v>
      </c>
      <c r="O180" s="633"/>
      <c r="P180" s="648"/>
      <c r="Q180" s="648"/>
      <c r="R180" s="7"/>
      <c r="S180" s="699"/>
      <c r="T180" s="7"/>
      <c r="U180" s="618">
        <f t="shared" ref="U180:U200" si="19">S180-N180</f>
        <v>0</v>
      </c>
      <c r="V180" s="7"/>
      <c r="W180" s="7"/>
      <c r="X180" s="7"/>
      <c r="Y180" s="7"/>
      <c r="Z180" s="7"/>
      <c r="AA180" s="7"/>
    </row>
    <row r="181" spans="1:27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3"/>
      <c r="I181" s="213"/>
      <c r="J181" s="213"/>
      <c r="K181" s="213"/>
      <c r="L181" s="213"/>
      <c r="M181" s="643"/>
      <c r="N181" s="616">
        <f t="shared" si="0"/>
        <v>0</v>
      </c>
      <c r="O181" s="633"/>
      <c r="P181" s="636"/>
      <c r="Q181" s="636"/>
      <c r="R181" s="7"/>
      <c r="S181" s="699"/>
      <c r="T181" s="7"/>
      <c r="U181" s="618">
        <f t="shared" si="19"/>
        <v>0</v>
      </c>
      <c r="V181" s="7"/>
      <c r="W181" s="7"/>
      <c r="X181" s="7"/>
      <c r="Y181" s="7"/>
      <c r="Z181" s="7"/>
      <c r="AA181" s="7"/>
    </row>
    <row r="182" spans="1:27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3"/>
      <c r="I182" s="213"/>
      <c r="J182" s="213"/>
      <c r="K182" s="213"/>
      <c r="L182" s="213"/>
      <c r="M182" s="643"/>
      <c r="N182" s="616">
        <f t="shared" si="0"/>
        <v>0</v>
      </c>
      <c r="O182" s="633"/>
      <c r="P182" s="636"/>
      <c r="Q182" s="636"/>
      <c r="R182" s="7"/>
      <c r="S182" s="699"/>
      <c r="T182" s="7"/>
      <c r="U182" s="618">
        <f t="shared" si="19"/>
        <v>0</v>
      </c>
      <c r="V182" s="7"/>
      <c r="W182" s="7"/>
      <c r="X182" s="7"/>
      <c r="Y182" s="7"/>
      <c r="Z182" s="7"/>
      <c r="AA182" s="7"/>
    </row>
    <row r="183" spans="1:27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3"/>
      <c r="I183" s="213"/>
      <c r="J183" s="213"/>
      <c r="K183" s="213"/>
      <c r="L183" s="213"/>
      <c r="M183" s="643"/>
      <c r="N183" s="616">
        <f t="shared" si="0"/>
        <v>0</v>
      </c>
      <c r="O183" s="633"/>
      <c r="P183" s="636"/>
      <c r="Q183" s="636"/>
      <c r="R183" s="7"/>
      <c r="S183" s="699"/>
      <c r="T183" s="7"/>
      <c r="U183" s="618">
        <f t="shared" si="19"/>
        <v>0</v>
      </c>
      <c r="V183" s="7"/>
      <c r="W183" s="7"/>
      <c r="X183" s="7"/>
      <c r="Y183" s="7"/>
      <c r="Z183" s="7"/>
      <c r="AA183" s="7"/>
    </row>
    <row r="184" spans="1:27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3"/>
      <c r="I184" s="213"/>
      <c r="J184" s="213"/>
      <c r="K184" s="213"/>
      <c r="L184" s="213"/>
      <c r="M184" s="643"/>
      <c r="N184" s="616">
        <f t="shared" si="0"/>
        <v>0</v>
      </c>
      <c r="O184" s="633"/>
      <c r="P184" s="636"/>
      <c r="Q184" s="636"/>
      <c r="R184" s="7"/>
      <c r="S184" s="699"/>
      <c r="T184" s="7"/>
      <c r="U184" s="618">
        <f t="shared" si="19"/>
        <v>0</v>
      </c>
      <c r="V184" s="7"/>
      <c r="W184" s="7"/>
      <c r="X184" s="7"/>
      <c r="Y184" s="7"/>
      <c r="Z184" s="7"/>
      <c r="AA184" s="7"/>
    </row>
    <row r="185" spans="1:27" ht="18.75" customHeight="1">
      <c r="A185" s="486">
        <v>7.7</v>
      </c>
      <c r="B185" s="487" t="s">
        <v>412</v>
      </c>
      <c r="C185" s="635" t="s">
        <v>413</v>
      </c>
      <c r="D185" s="412" t="s">
        <v>2054</v>
      </c>
      <c r="E185" s="213"/>
      <c r="F185" s="213"/>
      <c r="G185" s="213"/>
      <c r="H185" s="213"/>
      <c r="I185" s="213"/>
      <c r="J185" s="213"/>
      <c r="K185" s="213"/>
      <c r="L185" s="213"/>
      <c r="M185" s="643"/>
      <c r="N185" s="616">
        <f t="shared" si="0"/>
        <v>0</v>
      </c>
      <c r="O185" s="633"/>
      <c r="P185" s="636"/>
      <c r="Q185" s="636"/>
      <c r="R185" s="7"/>
      <c r="S185" s="699"/>
      <c r="T185" s="7"/>
      <c r="U185" s="618">
        <f t="shared" si="19"/>
        <v>0</v>
      </c>
      <c r="V185" s="7"/>
      <c r="W185" s="7"/>
      <c r="X185" s="7"/>
      <c r="Y185" s="7"/>
      <c r="Z185" s="7"/>
      <c r="AA185" s="7"/>
    </row>
    <row r="186" spans="1:27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3"/>
      <c r="I186" s="213"/>
      <c r="J186" s="213"/>
      <c r="K186" s="213"/>
      <c r="L186" s="213"/>
      <c r="M186" s="643"/>
      <c r="N186" s="616">
        <f t="shared" si="0"/>
        <v>0</v>
      </c>
      <c r="O186" s="633"/>
      <c r="P186" s="636"/>
      <c r="Q186" s="636"/>
      <c r="R186" s="7"/>
      <c r="S186" s="699"/>
      <c r="T186" s="7"/>
      <c r="U186" s="618">
        <f t="shared" si="19"/>
        <v>0</v>
      </c>
      <c r="V186" s="7"/>
      <c r="W186" s="7"/>
      <c r="X186" s="7"/>
      <c r="Y186" s="7"/>
      <c r="Z186" s="7"/>
      <c r="AA186" s="7"/>
    </row>
    <row r="187" spans="1:27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3"/>
      <c r="I187" s="213"/>
      <c r="J187" s="213"/>
      <c r="K187" s="213"/>
      <c r="L187" s="213"/>
      <c r="M187" s="643"/>
      <c r="N187" s="616">
        <f t="shared" si="0"/>
        <v>0</v>
      </c>
      <c r="O187" s="633"/>
      <c r="P187" s="640"/>
      <c r="Q187" s="640"/>
      <c r="R187" s="7"/>
      <c r="S187" s="699"/>
      <c r="T187" s="7"/>
      <c r="U187" s="618">
        <f t="shared" si="19"/>
        <v>0</v>
      </c>
      <c r="V187" s="7"/>
      <c r="W187" s="7"/>
      <c r="X187" s="7"/>
      <c r="Y187" s="7"/>
      <c r="Z187" s="7"/>
      <c r="AA187" s="7"/>
    </row>
    <row r="188" spans="1:27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3"/>
      <c r="I188" s="213"/>
      <c r="J188" s="213"/>
      <c r="K188" s="213"/>
      <c r="L188" s="213"/>
      <c r="M188" s="643"/>
      <c r="N188" s="616">
        <f t="shared" si="0"/>
        <v>0</v>
      </c>
      <c r="O188" s="633"/>
      <c r="P188" s="636"/>
      <c r="Q188" s="636"/>
      <c r="R188" s="7"/>
      <c r="S188" s="699"/>
      <c r="T188" s="7"/>
      <c r="U188" s="618">
        <f t="shared" si="19"/>
        <v>0</v>
      </c>
      <c r="V188" s="7"/>
      <c r="W188" s="7"/>
      <c r="X188" s="7"/>
      <c r="Y188" s="7"/>
      <c r="Z188" s="7"/>
      <c r="AA188" s="7"/>
    </row>
    <row r="189" spans="1:27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3"/>
      <c r="I189" s="213"/>
      <c r="J189" s="213"/>
      <c r="K189" s="213"/>
      <c r="L189" s="213"/>
      <c r="M189" s="643"/>
      <c r="N189" s="616">
        <f t="shared" si="0"/>
        <v>0</v>
      </c>
      <c r="O189" s="633"/>
      <c r="P189" s="648"/>
      <c r="Q189" s="648"/>
      <c r="R189" s="7"/>
      <c r="S189" s="699"/>
      <c r="T189" s="7"/>
      <c r="U189" s="618">
        <f t="shared" si="19"/>
        <v>0</v>
      </c>
      <c r="V189" s="7"/>
      <c r="W189" s="7"/>
      <c r="X189" s="7"/>
      <c r="Y189" s="7"/>
      <c r="Z189" s="7"/>
      <c r="AA189" s="7"/>
    </row>
    <row r="190" spans="1:27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3"/>
      <c r="I190" s="213"/>
      <c r="J190" s="213"/>
      <c r="K190" s="213"/>
      <c r="L190" s="213"/>
      <c r="M190" s="643"/>
      <c r="N190" s="616">
        <f t="shared" si="0"/>
        <v>0</v>
      </c>
      <c r="O190" s="633"/>
      <c r="P190" s="648"/>
      <c r="Q190" s="648"/>
      <c r="R190" s="7"/>
      <c r="S190" s="699"/>
      <c r="T190" s="7"/>
      <c r="U190" s="618">
        <f t="shared" si="19"/>
        <v>0</v>
      </c>
      <c r="V190" s="7"/>
      <c r="W190" s="7"/>
      <c r="X190" s="7"/>
      <c r="Y190" s="7"/>
      <c r="Z190" s="7"/>
      <c r="AA190" s="7"/>
    </row>
    <row r="191" spans="1:27" ht="20.25" customHeight="1">
      <c r="A191" s="503"/>
      <c r="B191" s="483" t="s">
        <v>428</v>
      </c>
      <c r="C191" s="658" t="s">
        <v>429</v>
      </c>
      <c r="D191" s="504" t="s">
        <v>2055</v>
      </c>
      <c r="E191" s="213"/>
      <c r="F191" s="213"/>
      <c r="G191" s="213"/>
      <c r="H191" s="213"/>
      <c r="I191" s="213"/>
      <c r="J191" s="213"/>
      <c r="K191" s="213"/>
      <c r="L191" s="213"/>
      <c r="M191" s="643"/>
      <c r="N191" s="616">
        <f t="shared" si="0"/>
        <v>0</v>
      </c>
      <c r="O191" s="633"/>
      <c r="P191" s="648"/>
      <c r="Q191" s="648"/>
      <c r="R191" s="7"/>
      <c r="S191" s="699"/>
      <c r="T191" s="7"/>
      <c r="U191" s="618">
        <f t="shared" si="19"/>
        <v>0</v>
      </c>
      <c r="V191" s="7"/>
      <c r="W191" s="7"/>
      <c r="X191" s="7"/>
      <c r="Y191" s="7"/>
      <c r="Z191" s="7"/>
      <c r="AA191" s="7"/>
    </row>
    <row r="192" spans="1:27" ht="20.25" customHeight="1">
      <c r="A192" s="503"/>
      <c r="B192" s="483" t="s">
        <v>426</v>
      </c>
      <c r="C192" s="658" t="s">
        <v>431</v>
      </c>
      <c r="D192" s="504" t="s">
        <v>2056</v>
      </c>
      <c r="E192" s="213"/>
      <c r="F192" s="213"/>
      <c r="G192" s="213"/>
      <c r="H192" s="213"/>
      <c r="I192" s="213"/>
      <c r="J192" s="213"/>
      <c r="K192" s="213"/>
      <c r="L192" s="213"/>
      <c r="M192" s="643"/>
      <c r="N192" s="616">
        <f t="shared" si="0"/>
        <v>0</v>
      </c>
      <c r="O192" s="633"/>
      <c r="P192" s="636"/>
      <c r="Q192" s="636"/>
      <c r="R192" s="7"/>
      <c r="S192" s="699"/>
      <c r="T192" s="7"/>
      <c r="U192" s="618">
        <f t="shared" si="19"/>
        <v>0</v>
      </c>
      <c r="V192" s="7"/>
      <c r="W192" s="7"/>
      <c r="X192" s="7"/>
      <c r="Y192" s="7"/>
      <c r="Z192" s="7"/>
      <c r="AA192" s="7"/>
    </row>
    <row r="193" spans="1:27" ht="20.25" customHeight="1">
      <c r="A193" s="503"/>
      <c r="B193" s="483" t="s">
        <v>428</v>
      </c>
      <c r="C193" s="658" t="s">
        <v>433</v>
      </c>
      <c r="D193" s="504" t="s">
        <v>2057</v>
      </c>
      <c r="E193" s="213"/>
      <c r="F193" s="213"/>
      <c r="G193" s="213"/>
      <c r="H193" s="213"/>
      <c r="I193" s="213"/>
      <c r="J193" s="213"/>
      <c r="K193" s="213"/>
      <c r="L193" s="213"/>
      <c r="M193" s="643"/>
      <c r="N193" s="616">
        <f t="shared" si="0"/>
        <v>0</v>
      </c>
      <c r="O193" s="633"/>
      <c r="P193" s="648"/>
      <c r="Q193" s="648"/>
      <c r="R193" s="7"/>
      <c r="S193" s="699"/>
      <c r="T193" s="7"/>
      <c r="U193" s="618">
        <f t="shared" si="19"/>
        <v>0</v>
      </c>
      <c r="V193" s="7"/>
      <c r="W193" s="7"/>
      <c r="X193" s="7"/>
      <c r="Y193" s="7"/>
      <c r="Z193" s="7"/>
      <c r="AA193" s="7"/>
    </row>
    <row r="194" spans="1:27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3"/>
      <c r="I194" s="213"/>
      <c r="J194" s="213"/>
      <c r="K194" s="213"/>
      <c r="L194" s="213"/>
      <c r="M194" s="643"/>
      <c r="N194" s="616">
        <f t="shared" si="0"/>
        <v>0</v>
      </c>
      <c r="O194" s="633"/>
      <c r="P194" s="654"/>
      <c r="Q194" s="654"/>
      <c r="R194" s="7"/>
      <c r="S194" s="699"/>
      <c r="T194" s="7"/>
      <c r="U194" s="618">
        <f t="shared" si="19"/>
        <v>0</v>
      </c>
      <c r="V194" s="7"/>
      <c r="W194" s="7"/>
      <c r="X194" s="7"/>
      <c r="Y194" s="7"/>
      <c r="Z194" s="7"/>
      <c r="AA194" s="7"/>
    </row>
    <row r="195" spans="1:27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3"/>
      <c r="I195" s="213"/>
      <c r="J195" s="213"/>
      <c r="K195" s="213"/>
      <c r="L195" s="213"/>
      <c r="M195" s="643"/>
      <c r="N195" s="616">
        <f t="shared" si="0"/>
        <v>0</v>
      </c>
      <c r="O195" s="633"/>
      <c r="P195" s="648"/>
      <c r="Q195" s="648"/>
      <c r="R195" s="7"/>
      <c r="S195" s="699"/>
      <c r="T195" s="7"/>
      <c r="U195" s="618">
        <f t="shared" si="19"/>
        <v>0</v>
      </c>
      <c r="V195" s="7"/>
      <c r="W195" s="7"/>
      <c r="X195" s="7"/>
      <c r="Y195" s="7"/>
      <c r="Z195" s="7"/>
      <c r="AA195" s="7"/>
    </row>
    <row r="196" spans="1:27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3"/>
      <c r="I196" s="213"/>
      <c r="J196" s="213"/>
      <c r="K196" s="213"/>
      <c r="L196" s="213"/>
      <c r="M196" s="643"/>
      <c r="N196" s="616">
        <f t="shared" si="0"/>
        <v>0</v>
      </c>
      <c r="O196" s="633"/>
      <c r="P196" s="636"/>
      <c r="Q196" s="636"/>
      <c r="R196" s="7"/>
      <c r="S196" s="699"/>
      <c r="T196" s="7"/>
      <c r="U196" s="618">
        <f t="shared" si="19"/>
        <v>0</v>
      </c>
      <c r="V196" s="7"/>
      <c r="W196" s="7"/>
      <c r="X196" s="7"/>
      <c r="Y196" s="7"/>
      <c r="Z196" s="7"/>
      <c r="AA196" s="7"/>
    </row>
    <row r="197" spans="1:27" ht="20.25" customHeight="1">
      <c r="A197" s="503"/>
      <c r="B197" s="483" t="s">
        <v>440</v>
      </c>
      <c r="C197" s="658" t="s">
        <v>429</v>
      </c>
      <c r="D197" s="504" t="s">
        <v>2058</v>
      </c>
      <c r="E197" s="213"/>
      <c r="F197" s="213"/>
      <c r="G197" s="213"/>
      <c r="H197" s="213"/>
      <c r="I197" s="213"/>
      <c r="J197" s="213"/>
      <c r="K197" s="213"/>
      <c r="L197" s="213"/>
      <c r="M197" s="643"/>
      <c r="N197" s="616">
        <f t="shared" si="0"/>
        <v>0</v>
      </c>
      <c r="O197" s="633"/>
      <c r="P197" s="648"/>
      <c r="Q197" s="648"/>
      <c r="R197" s="7"/>
      <c r="S197" s="699"/>
      <c r="T197" s="7"/>
      <c r="U197" s="618">
        <f t="shared" si="19"/>
        <v>0</v>
      </c>
      <c r="V197" s="7"/>
      <c r="W197" s="7"/>
      <c r="X197" s="7"/>
      <c r="Y197" s="7"/>
      <c r="Z197" s="7"/>
      <c r="AA197" s="7"/>
    </row>
    <row r="198" spans="1:27" ht="20.25" customHeight="1">
      <c r="A198" s="503"/>
      <c r="B198" s="483" t="s">
        <v>439</v>
      </c>
      <c r="C198" s="658" t="s">
        <v>431</v>
      </c>
      <c r="D198" s="504" t="s">
        <v>2059</v>
      </c>
      <c r="E198" s="213"/>
      <c r="F198" s="213"/>
      <c r="G198" s="213"/>
      <c r="H198" s="213"/>
      <c r="I198" s="213"/>
      <c r="J198" s="213"/>
      <c r="K198" s="213"/>
      <c r="L198" s="213"/>
      <c r="M198" s="643"/>
      <c r="N198" s="616">
        <f t="shared" si="0"/>
        <v>0</v>
      </c>
      <c r="O198" s="633"/>
      <c r="P198" s="648"/>
      <c r="Q198" s="648"/>
      <c r="R198" s="7"/>
      <c r="S198" s="699"/>
      <c r="T198" s="7"/>
      <c r="U198" s="618">
        <f t="shared" si="19"/>
        <v>0</v>
      </c>
      <c r="V198" s="7"/>
      <c r="W198" s="7"/>
      <c r="X198" s="7"/>
      <c r="Y198" s="7"/>
      <c r="Z198" s="7"/>
      <c r="AA198" s="7"/>
    </row>
    <row r="199" spans="1:27" ht="20.25" customHeight="1">
      <c r="A199" s="503"/>
      <c r="B199" s="483" t="s">
        <v>440</v>
      </c>
      <c r="C199" s="658" t="s">
        <v>433</v>
      </c>
      <c r="D199" s="504" t="s">
        <v>2060</v>
      </c>
      <c r="E199" s="213"/>
      <c r="F199" s="213"/>
      <c r="G199" s="213"/>
      <c r="H199" s="213"/>
      <c r="I199" s="213"/>
      <c r="J199" s="213"/>
      <c r="K199" s="213"/>
      <c r="L199" s="213"/>
      <c r="M199" s="643"/>
      <c r="N199" s="616">
        <f t="shared" si="0"/>
        <v>0</v>
      </c>
      <c r="O199" s="633"/>
      <c r="P199" s="648"/>
      <c r="Q199" s="648"/>
      <c r="R199" s="7"/>
      <c r="S199" s="699"/>
      <c r="T199" s="7"/>
      <c r="U199" s="618">
        <f t="shared" si="19"/>
        <v>0</v>
      </c>
      <c r="V199" s="7"/>
      <c r="W199" s="7"/>
      <c r="X199" s="7"/>
      <c r="Y199" s="7"/>
      <c r="Z199" s="7"/>
      <c r="AA199" s="7"/>
    </row>
    <row r="200" spans="1:27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3"/>
      <c r="I200" s="213"/>
      <c r="J200" s="213"/>
      <c r="K200" s="213"/>
      <c r="L200" s="213"/>
      <c r="M200" s="643"/>
      <c r="N200" s="616">
        <f t="shared" si="0"/>
        <v>0</v>
      </c>
      <c r="O200" s="633"/>
      <c r="P200" s="636"/>
      <c r="Q200" s="636"/>
      <c r="R200" s="7"/>
      <c r="S200" s="699"/>
      <c r="T200" s="7"/>
      <c r="U200" s="618">
        <f t="shared" si="19"/>
        <v>0</v>
      </c>
      <c r="V200" s="7"/>
      <c r="W200" s="7"/>
      <c r="X200" s="7"/>
      <c r="Y200" s="7"/>
      <c r="Z200" s="7"/>
      <c r="AA200" s="7"/>
    </row>
    <row r="201" spans="1:27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3"/>
      <c r="I201" s="213"/>
      <c r="J201" s="213"/>
      <c r="K201" s="213"/>
      <c r="L201" s="213"/>
      <c r="M201" s="643"/>
      <c r="N201" s="616">
        <f t="shared" si="0"/>
        <v>0</v>
      </c>
      <c r="O201" s="633"/>
      <c r="P201" s="648"/>
      <c r="Q201" s="648"/>
      <c r="R201" s="7"/>
      <c r="S201" s="699"/>
      <c r="T201" s="7"/>
      <c r="U201" s="618"/>
      <c r="V201" s="7"/>
      <c r="W201" s="7"/>
      <c r="X201" s="7"/>
      <c r="Y201" s="7"/>
      <c r="Z201" s="7"/>
      <c r="AA201" s="7"/>
    </row>
    <row r="202" spans="1:27" ht="20.25" customHeight="1">
      <c r="A202" s="503"/>
      <c r="B202" s="483" t="s">
        <v>449</v>
      </c>
      <c r="C202" s="658" t="s">
        <v>450</v>
      </c>
      <c r="D202" s="504" t="s">
        <v>2061</v>
      </c>
      <c r="E202" s="213"/>
      <c r="F202" s="213"/>
      <c r="G202" s="213"/>
      <c r="H202" s="213"/>
      <c r="I202" s="213"/>
      <c r="J202" s="213"/>
      <c r="K202" s="213"/>
      <c r="L202" s="213"/>
      <c r="M202" s="643"/>
      <c r="N202" s="616">
        <f t="shared" si="0"/>
        <v>0</v>
      </c>
      <c r="O202" s="633"/>
      <c r="P202" s="648"/>
      <c r="Q202" s="648"/>
      <c r="R202" s="7"/>
      <c r="S202" s="699"/>
      <c r="T202" s="7"/>
      <c r="U202" s="618">
        <f>S202-N202</f>
        <v>0</v>
      </c>
      <c r="V202" s="7"/>
      <c r="W202" s="7"/>
      <c r="X202" s="7"/>
      <c r="Y202" s="7"/>
      <c r="Z202" s="7"/>
      <c r="AA202" s="7"/>
    </row>
    <row r="203" spans="1:27" ht="20.25" customHeight="1">
      <c r="A203" s="503"/>
      <c r="B203" s="483" t="s">
        <v>449</v>
      </c>
      <c r="C203" s="658" t="s">
        <v>431</v>
      </c>
      <c r="D203" s="504" t="s">
        <v>2062</v>
      </c>
      <c r="E203" s="213"/>
      <c r="F203" s="213"/>
      <c r="G203" s="213"/>
      <c r="H203" s="213"/>
      <c r="I203" s="213"/>
      <c r="J203" s="213"/>
      <c r="K203" s="213"/>
      <c r="L203" s="213"/>
      <c r="M203" s="643"/>
      <c r="N203" s="616">
        <f t="shared" si="0"/>
        <v>0</v>
      </c>
      <c r="O203" s="633"/>
      <c r="P203" s="648"/>
      <c r="Q203" s="648"/>
      <c r="R203" s="7"/>
      <c r="S203" s="699"/>
      <c r="T203" s="7"/>
      <c r="U203" s="618"/>
      <c r="V203" s="7"/>
      <c r="W203" s="7"/>
      <c r="X203" s="7"/>
      <c r="Y203" s="7"/>
      <c r="Z203" s="7"/>
      <c r="AA203" s="7"/>
    </row>
    <row r="204" spans="1:27" ht="20.25" customHeight="1">
      <c r="A204" s="503"/>
      <c r="B204" s="483" t="s">
        <v>453</v>
      </c>
      <c r="C204" s="658" t="s">
        <v>433</v>
      </c>
      <c r="D204" s="504" t="s">
        <v>2063</v>
      </c>
      <c r="E204" s="213"/>
      <c r="F204" s="213"/>
      <c r="G204" s="213"/>
      <c r="H204" s="213"/>
      <c r="I204" s="213"/>
      <c r="J204" s="213"/>
      <c r="K204" s="213"/>
      <c r="L204" s="213"/>
      <c r="M204" s="643"/>
      <c r="N204" s="616">
        <f t="shared" si="0"/>
        <v>0</v>
      </c>
      <c r="O204" s="633"/>
      <c r="P204" s="636"/>
      <c r="Q204" s="636"/>
      <c r="R204" s="7"/>
      <c r="S204" s="699"/>
      <c r="T204" s="7"/>
      <c r="U204" s="618">
        <f t="shared" ref="U204:U205" si="20">S204-N204</f>
        <v>0</v>
      </c>
      <c r="V204" s="7"/>
      <c r="W204" s="7"/>
      <c r="X204" s="7"/>
      <c r="Y204" s="7"/>
      <c r="Z204" s="7"/>
      <c r="AA204" s="7"/>
    </row>
    <row r="205" spans="1:27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3"/>
      <c r="I205" s="213"/>
      <c r="J205" s="213"/>
      <c r="K205" s="213"/>
      <c r="L205" s="213"/>
      <c r="M205" s="643"/>
      <c r="N205" s="616">
        <f t="shared" si="0"/>
        <v>0</v>
      </c>
      <c r="O205" s="633"/>
      <c r="P205" s="636"/>
      <c r="Q205" s="636"/>
      <c r="R205" s="7"/>
      <c r="S205" s="699"/>
      <c r="T205" s="7"/>
      <c r="U205" s="618">
        <f t="shared" si="20"/>
        <v>0</v>
      </c>
      <c r="V205" s="7"/>
      <c r="W205" s="7"/>
      <c r="X205" s="7"/>
      <c r="Y205" s="7"/>
      <c r="Z205" s="7"/>
      <c r="AA205" s="7"/>
    </row>
    <row r="206" spans="1:27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3"/>
      <c r="I206" s="213"/>
      <c r="J206" s="213"/>
      <c r="K206" s="213"/>
      <c r="L206" s="213"/>
      <c r="M206" s="643"/>
      <c r="N206" s="616">
        <f t="shared" si="0"/>
        <v>0</v>
      </c>
      <c r="O206" s="633"/>
      <c r="P206" s="648"/>
      <c r="Q206" s="648"/>
      <c r="R206" s="7"/>
      <c r="S206" s="699"/>
      <c r="T206" s="7"/>
      <c r="U206" s="618"/>
      <c r="V206" s="7"/>
      <c r="W206" s="7"/>
      <c r="X206" s="7"/>
      <c r="Y206" s="7"/>
      <c r="Z206" s="7"/>
      <c r="AA206" s="7"/>
    </row>
    <row r="207" spans="1:27" ht="20.25" customHeight="1">
      <c r="A207" s="503"/>
      <c r="B207" s="483" t="s">
        <v>461</v>
      </c>
      <c r="C207" s="658" t="s">
        <v>431</v>
      </c>
      <c r="D207" s="504" t="s">
        <v>2064</v>
      </c>
      <c r="E207" s="213"/>
      <c r="F207" s="213"/>
      <c r="G207" s="213"/>
      <c r="H207" s="213"/>
      <c r="I207" s="213"/>
      <c r="J207" s="213"/>
      <c r="K207" s="213"/>
      <c r="L207" s="213"/>
      <c r="M207" s="643"/>
      <c r="N207" s="616">
        <f t="shared" si="0"/>
        <v>0</v>
      </c>
      <c r="O207" s="633"/>
      <c r="P207" s="648"/>
      <c r="Q207" s="648"/>
      <c r="R207" s="7"/>
      <c r="S207" s="699"/>
      <c r="T207" s="7"/>
      <c r="U207" s="618"/>
      <c r="V207" s="7"/>
      <c r="W207" s="7"/>
      <c r="X207" s="7"/>
      <c r="Y207" s="7"/>
      <c r="Z207" s="7"/>
      <c r="AA207" s="7"/>
    </row>
    <row r="208" spans="1:27" ht="20.25" customHeight="1">
      <c r="A208" s="503"/>
      <c r="B208" s="483" t="s">
        <v>464</v>
      </c>
      <c r="C208" s="658" t="s">
        <v>433</v>
      </c>
      <c r="D208" s="504" t="s">
        <v>2065</v>
      </c>
      <c r="E208" s="213"/>
      <c r="F208" s="213"/>
      <c r="G208" s="213"/>
      <c r="H208" s="213"/>
      <c r="I208" s="213"/>
      <c r="J208" s="213"/>
      <c r="K208" s="213"/>
      <c r="L208" s="213"/>
      <c r="M208" s="643"/>
      <c r="N208" s="616">
        <f t="shared" si="0"/>
        <v>0</v>
      </c>
      <c r="O208" s="633"/>
      <c r="P208" s="636"/>
      <c r="Q208" s="636"/>
      <c r="R208" s="7"/>
      <c r="S208" s="699"/>
      <c r="T208" s="7"/>
      <c r="U208" s="618">
        <f t="shared" ref="U208:U213" si="21">S208-N208</f>
        <v>0</v>
      </c>
      <c r="V208" s="7"/>
      <c r="W208" s="7"/>
      <c r="X208" s="7"/>
      <c r="Y208" s="7"/>
      <c r="Z208" s="7"/>
      <c r="AA208" s="7"/>
    </row>
    <row r="209" spans="1:27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3"/>
      <c r="I209" s="213"/>
      <c r="J209" s="213"/>
      <c r="K209" s="213"/>
      <c r="L209" s="213"/>
      <c r="M209" s="643"/>
      <c r="N209" s="616">
        <f t="shared" si="0"/>
        <v>0</v>
      </c>
      <c r="O209" s="633"/>
      <c r="P209" s="648"/>
      <c r="Q209" s="648"/>
      <c r="R209" s="7"/>
      <c r="S209" s="699"/>
      <c r="T209" s="7"/>
      <c r="U209" s="618">
        <f t="shared" si="21"/>
        <v>0</v>
      </c>
      <c r="V209" s="7"/>
      <c r="W209" s="7"/>
      <c r="X209" s="7"/>
      <c r="Y209" s="7"/>
      <c r="Z209" s="7"/>
      <c r="AA209" s="7"/>
    </row>
    <row r="210" spans="1:27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3"/>
      <c r="I210" s="213"/>
      <c r="J210" s="213"/>
      <c r="K210" s="213"/>
      <c r="L210" s="213"/>
      <c r="M210" s="643"/>
      <c r="N210" s="616">
        <f t="shared" si="0"/>
        <v>0</v>
      </c>
      <c r="O210" s="633"/>
      <c r="P210" s="648"/>
      <c r="Q210" s="648"/>
      <c r="R210" s="7"/>
      <c r="S210" s="699"/>
      <c r="T210" s="7"/>
      <c r="U210" s="618">
        <f t="shared" si="21"/>
        <v>0</v>
      </c>
      <c r="V210" s="7"/>
      <c r="W210" s="7"/>
      <c r="X210" s="7"/>
      <c r="Y210" s="7"/>
      <c r="Z210" s="7"/>
      <c r="AA210" s="7"/>
    </row>
    <row r="211" spans="1:27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3"/>
      <c r="I211" s="213"/>
      <c r="J211" s="213"/>
      <c r="K211" s="213"/>
      <c r="L211" s="213"/>
      <c r="M211" s="643"/>
      <c r="N211" s="616">
        <f t="shared" si="0"/>
        <v>0</v>
      </c>
      <c r="O211" s="633"/>
      <c r="P211" s="636"/>
      <c r="Q211" s="636"/>
      <c r="R211" s="7"/>
      <c r="S211" s="699"/>
      <c r="T211" s="7"/>
      <c r="U211" s="618">
        <f t="shared" si="21"/>
        <v>0</v>
      </c>
      <c r="V211" s="7"/>
      <c r="W211" s="7"/>
      <c r="X211" s="7"/>
      <c r="Y211" s="7"/>
      <c r="Z211" s="7"/>
      <c r="AA211" s="7"/>
    </row>
    <row r="212" spans="1:27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3"/>
      <c r="I212" s="213"/>
      <c r="J212" s="213"/>
      <c r="K212" s="213"/>
      <c r="L212" s="213"/>
      <c r="M212" s="643"/>
      <c r="N212" s="616">
        <f t="shared" si="0"/>
        <v>0</v>
      </c>
      <c r="O212" s="633"/>
      <c r="P212" s="636"/>
      <c r="Q212" s="636"/>
      <c r="R212" s="7"/>
      <c r="S212" s="699"/>
      <c r="T212" s="7"/>
      <c r="U212" s="618">
        <f t="shared" si="21"/>
        <v>0</v>
      </c>
      <c r="V212" s="7"/>
      <c r="W212" s="7"/>
      <c r="X212" s="7"/>
      <c r="Y212" s="7"/>
      <c r="Z212" s="7"/>
      <c r="AA212" s="7"/>
    </row>
    <row r="213" spans="1:27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3"/>
      <c r="I213" s="213"/>
      <c r="J213" s="213"/>
      <c r="K213" s="213"/>
      <c r="L213" s="213"/>
      <c r="M213" s="643"/>
      <c r="N213" s="616">
        <f t="shared" si="0"/>
        <v>0</v>
      </c>
      <c r="O213" s="633"/>
      <c r="P213" s="636"/>
      <c r="Q213" s="636"/>
      <c r="R213" s="7"/>
      <c r="S213" s="703">
        <f>S214+S215</f>
        <v>0</v>
      </c>
      <c r="T213" s="7"/>
      <c r="U213" s="618">
        <f t="shared" si="21"/>
        <v>0</v>
      </c>
      <c r="V213" s="7"/>
      <c r="W213" s="7"/>
      <c r="X213" s="7"/>
      <c r="Y213" s="7"/>
      <c r="Z213" s="7"/>
      <c r="AA213" s="7"/>
    </row>
    <row r="214" spans="1:27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3"/>
      <c r="I214" s="213"/>
      <c r="J214" s="213"/>
      <c r="K214" s="213"/>
      <c r="L214" s="213"/>
      <c r="M214" s="643"/>
      <c r="N214" s="616">
        <f t="shared" si="0"/>
        <v>0</v>
      </c>
      <c r="O214" s="633"/>
      <c r="P214" s="636"/>
      <c r="Q214" s="636"/>
      <c r="R214" s="7"/>
      <c r="S214" s="699"/>
      <c r="T214" s="7"/>
      <c r="U214" s="618"/>
      <c r="V214" s="7"/>
      <c r="W214" s="7"/>
      <c r="X214" s="7"/>
      <c r="Y214" s="7"/>
      <c r="Z214" s="7"/>
      <c r="AA214" s="7"/>
    </row>
    <row r="215" spans="1:27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3"/>
      <c r="I215" s="213"/>
      <c r="J215" s="213"/>
      <c r="K215" s="213"/>
      <c r="L215" s="213"/>
      <c r="M215" s="643"/>
      <c r="N215" s="616">
        <f t="shared" si="0"/>
        <v>0</v>
      </c>
      <c r="O215" s="633"/>
      <c r="P215" s="636"/>
      <c r="Q215" s="636"/>
      <c r="R215" s="7"/>
      <c r="S215" s="699"/>
      <c r="T215" s="7"/>
      <c r="U215" s="618">
        <f t="shared" ref="U215:U218" si="22">S215-N215</f>
        <v>0</v>
      </c>
      <c r="V215" s="7"/>
      <c r="W215" s="7"/>
      <c r="X215" s="7"/>
      <c r="Y215" s="7"/>
      <c r="Z215" s="7"/>
      <c r="AA215" s="7"/>
    </row>
    <row r="216" spans="1:27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3"/>
      <c r="I216" s="213"/>
      <c r="J216" s="213"/>
      <c r="K216" s="213"/>
      <c r="L216" s="213"/>
      <c r="M216" s="643"/>
      <c r="N216" s="616">
        <f t="shared" si="0"/>
        <v>0</v>
      </c>
      <c r="O216" s="633"/>
      <c r="P216" s="636"/>
      <c r="Q216" s="636"/>
      <c r="R216" s="7"/>
      <c r="S216" s="699"/>
      <c r="T216" s="7"/>
      <c r="U216" s="618">
        <f t="shared" si="22"/>
        <v>0</v>
      </c>
      <c r="V216" s="7"/>
      <c r="W216" s="7"/>
      <c r="X216" s="7"/>
      <c r="Y216" s="7"/>
      <c r="Z216" s="7"/>
      <c r="AA216" s="7"/>
    </row>
    <row r="217" spans="1:27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3"/>
      <c r="I217" s="213"/>
      <c r="J217" s="213"/>
      <c r="K217" s="213"/>
      <c r="L217" s="213"/>
      <c r="M217" s="643"/>
      <c r="N217" s="616">
        <f t="shared" si="0"/>
        <v>0</v>
      </c>
      <c r="O217" s="633"/>
      <c r="P217" s="636"/>
      <c r="Q217" s="636"/>
      <c r="R217" s="7"/>
      <c r="S217" s="699"/>
      <c r="T217" s="7"/>
      <c r="U217" s="618">
        <f t="shared" si="22"/>
        <v>0</v>
      </c>
      <c r="V217" s="7"/>
      <c r="W217" s="7"/>
      <c r="X217" s="7"/>
      <c r="Y217" s="7"/>
      <c r="Z217" s="7"/>
      <c r="AA217" s="7"/>
    </row>
    <row r="218" spans="1:27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3"/>
      <c r="I218" s="213"/>
      <c r="J218" s="213"/>
      <c r="K218" s="213"/>
      <c r="L218" s="213"/>
      <c r="M218" s="643"/>
      <c r="N218" s="616">
        <f t="shared" si="0"/>
        <v>0</v>
      </c>
      <c r="O218" s="633"/>
      <c r="P218" s="636"/>
      <c r="Q218" s="636"/>
      <c r="R218" s="7"/>
      <c r="S218" s="699"/>
      <c r="T218" s="7"/>
      <c r="U218" s="618">
        <f t="shared" si="22"/>
        <v>0</v>
      </c>
      <c r="V218" s="7"/>
      <c r="W218" s="7"/>
      <c r="X218" s="7"/>
      <c r="Y218" s="7"/>
      <c r="Z218" s="7"/>
      <c r="AA218" s="7"/>
    </row>
    <row r="219" spans="1:27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3"/>
      <c r="I219" s="213"/>
      <c r="J219" s="213"/>
      <c r="K219" s="213"/>
      <c r="L219" s="213"/>
      <c r="M219" s="643"/>
      <c r="N219" s="616">
        <f t="shared" si="0"/>
        <v>0</v>
      </c>
      <c r="O219" s="633"/>
      <c r="P219" s="636"/>
      <c r="Q219" s="636"/>
      <c r="R219" s="7"/>
      <c r="S219" s="699"/>
      <c r="T219" s="7"/>
      <c r="U219" s="618"/>
      <c r="V219" s="7"/>
      <c r="W219" s="7"/>
      <c r="X219" s="7"/>
      <c r="Y219" s="7"/>
      <c r="Z219" s="7"/>
      <c r="AA219" s="7"/>
    </row>
    <row r="220" spans="1:27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3"/>
      <c r="I220" s="213"/>
      <c r="J220" s="213"/>
      <c r="K220" s="213"/>
      <c r="L220" s="213"/>
      <c r="M220" s="643"/>
      <c r="N220" s="616">
        <f t="shared" si="0"/>
        <v>0</v>
      </c>
      <c r="O220" s="633"/>
      <c r="P220" s="636"/>
      <c r="Q220" s="636"/>
      <c r="R220" s="7"/>
      <c r="S220" s="699"/>
      <c r="T220" s="7"/>
      <c r="U220" s="618">
        <f>S220-N220</f>
        <v>0</v>
      </c>
      <c r="V220" s="7"/>
      <c r="W220" s="7"/>
      <c r="X220" s="7"/>
      <c r="Y220" s="7"/>
      <c r="Z220" s="7"/>
      <c r="AA220" s="7"/>
    </row>
    <row r="221" spans="1:27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>
        <v>40</v>
      </c>
      <c r="G221" s="213"/>
      <c r="H221" s="213"/>
      <c r="I221" s="213"/>
      <c r="J221" s="213"/>
      <c r="K221" s="213"/>
      <c r="L221" s="213"/>
      <c r="M221" s="643"/>
      <c r="N221" s="616">
        <f t="shared" si="0"/>
        <v>40</v>
      </c>
      <c r="O221" s="633"/>
      <c r="P221" s="634"/>
      <c r="Q221" s="634"/>
      <c r="R221" s="7"/>
      <c r="S221" s="699"/>
      <c r="T221" s="7"/>
      <c r="U221" s="618"/>
      <c r="V221" s="7"/>
      <c r="W221" s="7"/>
      <c r="X221" s="7"/>
      <c r="Y221" s="7"/>
      <c r="Z221" s="7"/>
      <c r="AA221" s="7"/>
    </row>
    <row r="222" spans="1:27" ht="20.25" customHeight="1">
      <c r="A222" s="482" t="s">
        <v>1007</v>
      </c>
      <c r="B222" s="483" t="s">
        <v>502</v>
      </c>
      <c r="C222" s="629" t="s">
        <v>503</v>
      </c>
      <c r="D222" s="504" t="s">
        <v>2066</v>
      </c>
      <c r="E222" s="213"/>
      <c r="F222" s="213"/>
      <c r="G222" s="213"/>
      <c r="H222" s="213"/>
      <c r="I222" s="213"/>
      <c r="J222" s="213"/>
      <c r="K222" s="213"/>
      <c r="L222" s="213"/>
      <c r="M222" s="643"/>
      <c r="N222" s="616">
        <f t="shared" si="0"/>
        <v>0</v>
      </c>
      <c r="O222" s="633"/>
      <c r="P222" s="634"/>
      <c r="Q222" s="634"/>
      <c r="R222" s="7"/>
      <c r="S222" s="699"/>
      <c r="T222" s="7"/>
      <c r="U222" s="618"/>
      <c r="V222" s="7"/>
      <c r="W222" s="7"/>
      <c r="X222" s="7"/>
      <c r="Y222" s="7"/>
      <c r="Z222" s="7"/>
      <c r="AA222" s="7"/>
    </row>
    <row r="223" spans="1:27" ht="20.25" customHeight="1">
      <c r="A223" s="482"/>
      <c r="B223" s="483" t="s">
        <v>506</v>
      </c>
      <c r="C223" s="629" t="s">
        <v>507</v>
      </c>
      <c r="D223" s="485" t="s">
        <v>2067</v>
      </c>
      <c r="E223" s="213"/>
      <c r="F223" s="213"/>
      <c r="G223" s="213"/>
      <c r="H223" s="213"/>
      <c r="I223" s="213"/>
      <c r="J223" s="213"/>
      <c r="K223" s="213"/>
      <c r="L223" s="213"/>
      <c r="M223" s="643"/>
      <c r="N223" s="616">
        <f t="shared" si="0"/>
        <v>0</v>
      </c>
      <c r="O223" s="633"/>
      <c r="P223" s="634"/>
      <c r="Q223" s="634"/>
      <c r="R223" s="7"/>
      <c r="S223" s="699"/>
      <c r="T223" s="7"/>
      <c r="U223" s="618">
        <f t="shared" ref="U223:U232" si="23">S223-N223</f>
        <v>0</v>
      </c>
      <c r="V223" s="7"/>
      <c r="W223" s="7"/>
      <c r="X223" s="7"/>
      <c r="Y223" s="7"/>
      <c r="Z223" s="7"/>
      <c r="AA223" s="7"/>
    </row>
    <row r="224" spans="1:27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3"/>
      <c r="I224" s="213"/>
      <c r="J224" s="213"/>
      <c r="K224" s="213"/>
      <c r="L224" s="213"/>
      <c r="M224" s="643"/>
      <c r="N224" s="616">
        <f t="shared" si="0"/>
        <v>0</v>
      </c>
      <c r="O224" s="633"/>
      <c r="P224" s="636"/>
      <c r="Q224" s="636"/>
      <c r="R224" s="7"/>
      <c r="S224" s="699"/>
      <c r="T224" s="7"/>
      <c r="U224" s="618">
        <f t="shared" si="23"/>
        <v>0</v>
      </c>
      <c r="V224" s="7"/>
      <c r="W224" s="7"/>
      <c r="X224" s="7"/>
      <c r="Y224" s="7"/>
      <c r="Z224" s="7"/>
      <c r="AA224" s="7"/>
    </row>
    <row r="225" spans="1:27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3"/>
      <c r="I225" s="213"/>
      <c r="J225" s="213"/>
      <c r="K225" s="213"/>
      <c r="L225" s="213"/>
      <c r="M225" s="643"/>
      <c r="N225" s="616">
        <f t="shared" si="0"/>
        <v>0</v>
      </c>
      <c r="O225" s="660" t="s">
        <v>1594</v>
      </c>
      <c r="P225" s="640"/>
      <c r="Q225" s="640"/>
      <c r="R225" s="7"/>
      <c r="S225" s="699"/>
      <c r="T225" s="7"/>
      <c r="U225" s="618">
        <f t="shared" si="23"/>
        <v>0</v>
      </c>
      <c r="V225" s="7"/>
      <c r="W225" s="7"/>
      <c r="X225" s="7"/>
      <c r="Y225" s="7"/>
      <c r="Z225" s="7"/>
      <c r="AA225" s="7"/>
    </row>
    <row r="226" spans="1:27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3"/>
      <c r="I226" s="213"/>
      <c r="J226" s="213"/>
      <c r="K226" s="213"/>
      <c r="L226" s="213"/>
      <c r="M226" s="643"/>
      <c r="N226" s="616">
        <f t="shared" si="0"/>
        <v>0</v>
      </c>
      <c r="O226" s="642">
        <f>N227+N237</f>
        <v>40</v>
      </c>
      <c r="P226" s="636"/>
      <c r="Q226" s="636"/>
      <c r="R226" s="7"/>
      <c r="S226" s="699"/>
      <c r="T226" s="7"/>
      <c r="U226" s="618">
        <f t="shared" si="23"/>
        <v>0</v>
      </c>
      <c r="V226" s="7"/>
      <c r="W226" s="7"/>
      <c r="X226" s="7"/>
      <c r="Y226" s="7"/>
      <c r="Z226" s="7"/>
      <c r="AA226" s="7"/>
    </row>
    <row r="227" spans="1:27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3"/>
      <c r="I227" s="213"/>
      <c r="J227" s="213"/>
      <c r="K227" s="213"/>
      <c r="L227" s="213"/>
      <c r="M227" s="643"/>
      <c r="N227" s="616">
        <f t="shared" si="0"/>
        <v>0</v>
      </c>
      <c r="O227" s="648"/>
      <c r="P227" s="648"/>
      <c r="Q227" s="648"/>
      <c r="R227" s="7"/>
      <c r="S227" s="699"/>
      <c r="T227" s="7"/>
      <c r="U227" s="618">
        <f t="shared" si="23"/>
        <v>0</v>
      </c>
      <c r="V227" s="7"/>
      <c r="W227" s="7"/>
      <c r="X227" s="7"/>
      <c r="Y227" s="7"/>
      <c r="Z227" s="7"/>
      <c r="AA227" s="7"/>
    </row>
    <row r="228" spans="1:27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3"/>
      <c r="I228" s="213"/>
      <c r="J228" s="213"/>
      <c r="K228" s="213"/>
      <c r="L228" s="213"/>
      <c r="M228" s="643"/>
      <c r="N228" s="616">
        <f t="shared" si="0"/>
        <v>0</v>
      </c>
      <c r="O228" s="661" t="s">
        <v>1595</v>
      </c>
      <c r="P228" s="648"/>
      <c r="Q228" s="648"/>
      <c r="R228" s="7"/>
      <c r="S228" s="699"/>
      <c r="T228" s="7"/>
      <c r="U228" s="618">
        <f t="shared" si="23"/>
        <v>0</v>
      </c>
      <c r="V228" s="7"/>
      <c r="W228" s="7"/>
      <c r="X228" s="7"/>
      <c r="Y228" s="7"/>
      <c r="Z228" s="7"/>
      <c r="AA228" s="7"/>
    </row>
    <row r="229" spans="1:27" ht="19.5" customHeight="1">
      <c r="A229" s="503"/>
      <c r="B229" s="483" t="s">
        <v>523</v>
      </c>
      <c r="C229" s="629" t="s">
        <v>524</v>
      </c>
      <c r="D229" s="504" t="s">
        <v>2068</v>
      </c>
      <c r="E229" s="213"/>
      <c r="F229" s="213"/>
      <c r="G229" s="213"/>
      <c r="H229" s="213"/>
      <c r="I229" s="213"/>
      <c r="J229" s="213"/>
      <c r="K229" s="213"/>
      <c r="L229" s="213"/>
      <c r="M229" s="643"/>
      <c r="N229" s="616">
        <f t="shared" si="0"/>
        <v>0</v>
      </c>
      <c r="O229" s="642">
        <f>N229+N230+N239+N240</f>
        <v>0</v>
      </c>
      <c r="P229" s="648"/>
      <c r="Q229" s="648"/>
      <c r="R229" s="7"/>
      <c r="S229" s="699"/>
      <c r="T229" s="7"/>
      <c r="U229" s="618">
        <f t="shared" si="23"/>
        <v>0</v>
      </c>
      <c r="V229" s="7"/>
      <c r="W229" s="7"/>
      <c r="X229" s="7"/>
      <c r="Y229" s="7"/>
      <c r="Z229" s="7"/>
      <c r="AA229" s="7"/>
    </row>
    <row r="230" spans="1:27" ht="20.25" customHeight="1">
      <c r="A230" s="503"/>
      <c r="B230" s="483" t="s">
        <v>526</v>
      </c>
      <c r="C230" s="629" t="s">
        <v>527</v>
      </c>
      <c r="D230" s="504" t="s">
        <v>2069</v>
      </c>
      <c r="E230" s="213"/>
      <c r="F230" s="213"/>
      <c r="G230" s="213"/>
      <c r="H230" s="213"/>
      <c r="I230" s="213"/>
      <c r="J230" s="213"/>
      <c r="K230" s="213"/>
      <c r="L230" s="213"/>
      <c r="M230" s="643"/>
      <c r="N230" s="616">
        <f t="shared" si="0"/>
        <v>0</v>
      </c>
      <c r="O230" s="633"/>
      <c r="P230" s="648"/>
      <c r="Q230" s="648"/>
      <c r="R230" s="7"/>
      <c r="S230" s="699"/>
      <c r="T230" s="7"/>
      <c r="U230" s="618">
        <f t="shared" si="23"/>
        <v>0</v>
      </c>
      <c r="V230" s="7"/>
      <c r="W230" s="7"/>
      <c r="X230" s="7"/>
      <c r="Y230" s="7"/>
      <c r="Z230" s="7"/>
      <c r="AA230" s="7"/>
    </row>
    <row r="231" spans="1:27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3"/>
      <c r="I231" s="213"/>
      <c r="J231" s="213"/>
      <c r="K231" s="213"/>
      <c r="L231" s="213"/>
      <c r="M231" s="643"/>
      <c r="N231" s="616">
        <f t="shared" si="0"/>
        <v>0</v>
      </c>
      <c r="O231" s="633"/>
      <c r="P231" s="648"/>
      <c r="Q231" s="648"/>
      <c r="R231" s="7"/>
      <c r="S231" s="699"/>
      <c r="T231" s="7"/>
      <c r="U231" s="618">
        <f t="shared" si="23"/>
        <v>0</v>
      </c>
      <c r="V231" s="7"/>
      <c r="W231" s="7"/>
      <c r="X231" s="7"/>
      <c r="Y231" s="7"/>
      <c r="Z231" s="7"/>
      <c r="AA231" s="7"/>
    </row>
    <row r="232" spans="1:27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3"/>
      <c r="I232" s="213"/>
      <c r="J232" s="213"/>
      <c r="K232" s="213"/>
      <c r="L232" s="213"/>
      <c r="M232" s="643"/>
      <c r="N232" s="616">
        <f t="shared" si="0"/>
        <v>0</v>
      </c>
      <c r="O232" s="633"/>
      <c r="P232" s="648"/>
      <c r="Q232" s="648"/>
      <c r="R232" s="7"/>
      <c r="S232" s="699"/>
      <c r="T232" s="7"/>
      <c r="U232" s="618">
        <f t="shared" si="23"/>
        <v>0</v>
      </c>
      <c r="V232" s="7"/>
      <c r="W232" s="7"/>
      <c r="X232" s="7"/>
      <c r="Y232" s="7"/>
      <c r="Z232" s="7"/>
      <c r="AA232" s="7"/>
    </row>
    <row r="233" spans="1:27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3"/>
      <c r="I233" s="213"/>
      <c r="J233" s="213"/>
      <c r="K233" s="213"/>
      <c r="L233" s="213"/>
      <c r="M233" s="643"/>
      <c r="N233" s="616">
        <f t="shared" si="0"/>
        <v>0</v>
      </c>
      <c r="O233" s="633"/>
      <c r="P233" s="648"/>
      <c r="Q233" s="648"/>
      <c r="R233" s="7"/>
      <c r="S233" s="699"/>
      <c r="T233" s="7"/>
      <c r="U233" s="618"/>
      <c r="V233" s="7"/>
      <c r="W233" s="7"/>
      <c r="X233" s="7"/>
      <c r="Y233" s="7"/>
      <c r="Z233" s="7"/>
      <c r="AA233" s="7"/>
    </row>
    <row r="234" spans="1:27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3"/>
      <c r="I234" s="213"/>
      <c r="J234" s="213"/>
      <c r="K234" s="213"/>
      <c r="L234" s="213"/>
      <c r="M234" s="643"/>
      <c r="N234" s="616">
        <f t="shared" si="0"/>
        <v>0</v>
      </c>
      <c r="O234" s="633"/>
      <c r="P234" s="648"/>
      <c r="Q234" s="648"/>
      <c r="R234" s="7"/>
      <c r="S234" s="699"/>
      <c r="T234" s="7"/>
      <c r="U234" s="618">
        <f t="shared" ref="U234:U235" si="24">S234-N234</f>
        <v>0</v>
      </c>
      <c r="V234" s="7"/>
      <c r="W234" s="7"/>
      <c r="X234" s="7"/>
      <c r="Y234" s="7"/>
      <c r="Z234" s="7"/>
      <c r="AA234" s="7"/>
    </row>
    <row r="235" spans="1:27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3"/>
      <c r="I235" s="213"/>
      <c r="J235" s="213"/>
      <c r="K235" s="213"/>
      <c r="L235" s="213"/>
      <c r="M235" s="643"/>
      <c r="N235" s="616">
        <f t="shared" si="0"/>
        <v>0</v>
      </c>
      <c r="O235" s="633"/>
      <c r="P235" s="648"/>
      <c r="Q235" s="648"/>
      <c r="R235" s="7"/>
      <c r="S235" s="699"/>
      <c r="T235" s="7"/>
      <c r="U235" s="618">
        <f t="shared" si="24"/>
        <v>0</v>
      </c>
      <c r="V235" s="7"/>
      <c r="W235" s="7"/>
      <c r="X235" s="7"/>
      <c r="Y235" s="7"/>
      <c r="Z235" s="7"/>
      <c r="AA235" s="7"/>
    </row>
    <row r="236" spans="1:27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3"/>
      <c r="I236" s="213"/>
      <c r="J236" s="213"/>
      <c r="K236" s="213"/>
      <c r="L236" s="213"/>
      <c r="M236" s="643"/>
      <c r="N236" s="616">
        <f t="shared" si="0"/>
        <v>0</v>
      </c>
      <c r="O236" s="633"/>
      <c r="P236" s="636"/>
      <c r="Q236" s="636"/>
      <c r="R236" s="7"/>
      <c r="S236" s="699"/>
      <c r="T236" s="7"/>
      <c r="U236" s="618"/>
      <c r="V236" s="7"/>
      <c r="W236" s="7"/>
      <c r="X236" s="7"/>
      <c r="Y236" s="7"/>
      <c r="Z236" s="7"/>
      <c r="AA236" s="7"/>
    </row>
    <row r="237" spans="1:27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>
        <v>40</v>
      </c>
      <c r="G237" s="213"/>
      <c r="H237" s="213"/>
      <c r="I237" s="213"/>
      <c r="J237" s="213"/>
      <c r="K237" s="213"/>
      <c r="L237" s="213"/>
      <c r="M237" s="643"/>
      <c r="N237" s="616">
        <f t="shared" si="0"/>
        <v>40</v>
      </c>
      <c r="O237" s="633"/>
      <c r="P237" s="648"/>
      <c r="Q237" s="648"/>
      <c r="R237" s="7"/>
      <c r="S237" s="699"/>
      <c r="T237" s="7"/>
      <c r="U237" s="618"/>
      <c r="V237" s="7"/>
      <c r="W237" s="7"/>
      <c r="X237" s="7"/>
      <c r="Y237" s="7"/>
      <c r="Z237" s="7"/>
      <c r="AA237" s="7"/>
    </row>
    <row r="238" spans="1:27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3"/>
      <c r="I238" s="213"/>
      <c r="J238" s="213"/>
      <c r="K238" s="213"/>
      <c r="L238" s="213"/>
      <c r="M238" s="643"/>
      <c r="N238" s="616">
        <f t="shared" si="0"/>
        <v>0</v>
      </c>
      <c r="O238" s="633"/>
      <c r="P238" s="648"/>
      <c r="Q238" s="648"/>
      <c r="R238" s="7"/>
      <c r="S238" s="699"/>
      <c r="T238" s="7"/>
      <c r="U238" s="618">
        <f t="shared" ref="U238:U240" si="25">S238-N238</f>
        <v>0</v>
      </c>
      <c r="V238" s="7"/>
      <c r="W238" s="7"/>
      <c r="X238" s="7"/>
      <c r="Y238" s="7"/>
      <c r="Z238" s="7"/>
      <c r="AA238" s="7"/>
    </row>
    <row r="239" spans="1:27" ht="20.25" customHeight="1">
      <c r="A239" s="503"/>
      <c r="B239" s="483" t="s">
        <v>551</v>
      </c>
      <c r="C239" s="629" t="s">
        <v>524</v>
      </c>
      <c r="D239" s="504" t="s">
        <v>2070</v>
      </c>
      <c r="E239" s="213"/>
      <c r="F239" s="213"/>
      <c r="G239" s="213"/>
      <c r="H239" s="213"/>
      <c r="I239" s="213"/>
      <c r="J239" s="213"/>
      <c r="K239" s="213"/>
      <c r="L239" s="213"/>
      <c r="M239" s="643"/>
      <c r="N239" s="616">
        <f t="shared" si="0"/>
        <v>0</v>
      </c>
      <c r="O239" s="633"/>
      <c r="P239" s="648"/>
      <c r="Q239" s="648"/>
      <c r="R239" s="7"/>
      <c r="S239" s="699"/>
      <c r="T239" s="7"/>
      <c r="U239" s="618">
        <f t="shared" si="25"/>
        <v>0</v>
      </c>
      <c r="V239" s="7"/>
      <c r="W239" s="7"/>
      <c r="X239" s="7"/>
      <c r="Y239" s="7"/>
      <c r="Z239" s="7"/>
      <c r="AA239" s="7"/>
    </row>
    <row r="240" spans="1:27" ht="20.25" customHeight="1">
      <c r="A240" s="503"/>
      <c r="B240" s="483" t="s">
        <v>553</v>
      </c>
      <c r="C240" s="629" t="s">
        <v>527</v>
      </c>
      <c r="D240" s="504" t="s">
        <v>2071</v>
      </c>
      <c r="E240" s="213"/>
      <c r="F240" s="213"/>
      <c r="G240" s="213"/>
      <c r="H240" s="213"/>
      <c r="I240" s="213"/>
      <c r="J240" s="213"/>
      <c r="K240" s="213"/>
      <c r="L240" s="213"/>
      <c r="M240" s="643"/>
      <c r="N240" s="616">
        <f t="shared" si="0"/>
        <v>0</v>
      </c>
      <c r="O240" s="633"/>
      <c r="P240" s="648"/>
      <c r="Q240" s="648"/>
      <c r="R240" s="7"/>
      <c r="S240" s="699"/>
      <c r="T240" s="7"/>
      <c r="U240" s="618">
        <f t="shared" si="25"/>
        <v>0</v>
      </c>
      <c r="V240" s="7"/>
      <c r="W240" s="7"/>
      <c r="X240" s="7"/>
      <c r="Y240" s="7"/>
      <c r="Z240" s="7"/>
      <c r="AA240" s="7"/>
    </row>
    <row r="241" spans="1:27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3"/>
      <c r="I241" s="213"/>
      <c r="J241" s="213"/>
      <c r="K241" s="213"/>
      <c r="L241" s="213"/>
      <c r="M241" s="643"/>
      <c r="N241" s="616">
        <f t="shared" si="0"/>
        <v>0</v>
      </c>
      <c r="O241" s="633"/>
      <c r="P241" s="648"/>
      <c r="Q241" s="648"/>
      <c r="R241" s="7"/>
      <c r="S241" s="699"/>
      <c r="T241" s="7"/>
      <c r="U241" s="618"/>
      <c r="V241" s="7"/>
      <c r="W241" s="7"/>
      <c r="X241" s="7"/>
      <c r="Y241" s="7"/>
      <c r="Z241" s="7"/>
      <c r="AA241" s="7"/>
    </row>
    <row r="242" spans="1:27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3"/>
      <c r="I242" s="213"/>
      <c r="J242" s="213"/>
      <c r="K242" s="213"/>
      <c r="L242" s="213"/>
      <c r="M242" s="643"/>
      <c r="N242" s="616">
        <f t="shared" si="0"/>
        <v>0</v>
      </c>
      <c r="O242" s="633"/>
      <c r="P242" s="648"/>
      <c r="Q242" s="648"/>
      <c r="R242" s="7"/>
      <c r="S242" s="699"/>
      <c r="T242" s="7"/>
      <c r="U242" s="618">
        <f>S242-N242</f>
        <v>0</v>
      </c>
      <c r="V242" s="7"/>
      <c r="W242" s="7"/>
      <c r="X242" s="7"/>
      <c r="Y242" s="7"/>
      <c r="Z242" s="7"/>
      <c r="AA242" s="7"/>
    </row>
    <row r="243" spans="1:27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3"/>
      <c r="I243" s="213"/>
      <c r="J243" s="213"/>
      <c r="K243" s="213"/>
      <c r="L243" s="213"/>
      <c r="M243" s="643"/>
      <c r="N243" s="616">
        <f t="shared" si="0"/>
        <v>0</v>
      </c>
      <c r="O243" s="633"/>
      <c r="P243" s="648"/>
      <c r="Q243" s="648"/>
      <c r="R243" s="7"/>
      <c r="S243" s="699"/>
      <c r="T243" s="7"/>
      <c r="U243" s="618"/>
      <c r="V243" s="7"/>
      <c r="W243" s="7"/>
      <c r="X243" s="7"/>
      <c r="Y243" s="7"/>
      <c r="Z243" s="7"/>
      <c r="AA243" s="7"/>
    </row>
    <row r="244" spans="1:27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3"/>
      <c r="I244" s="213"/>
      <c r="J244" s="213"/>
      <c r="K244" s="213"/>
      <c r="L244" s="213"/>
      <c r="M244" s="643"/>
      <c r="N244" s="616">
        <f t="shared" si="0"/>
        <v>0</v>
      </c>
      <c r="O244" s="633"/>
      <c r="P244" s="648"/>
      <c r="Q244" s="648"/>
      <c r="R244" s="7"/>
      <c r="S244" s="699"/>
      <c r="T244" s="7"/>
      <c r="U244" s="618">
        <f t="shared" ref="U244:U370" si="26">S244-N244</f>
        <v>0</v>
      </c>
      <c r="V244" s="7"/>
      <c r="W244" s="7"/>
      <c r="X244" s="7"/>
      <c r="Y244" s="7"/>
      <c r="Z244" s="7"/>
      <c r="AA244" s="7"/>
    </row>
    <row r="245" spans="1:27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3"/>
      <c r="I245" s="213"/>
      <c r="J245" s="213"/>
      <c r="K245" s="213"/>
      <c r="L245" s="213"/>
      <c r="M245" s="643"/>
      <c r="N245" s="616">
        <f t="shared" si="0"/>
        <v>0</v>
      </c>
      <c r="O245" s="633"/>
      <c r="P245" s="648"/>
      <c r="Q245" s="648"/>
      <c r="R245" s="7"/>
      <c r="S245" s="699"/>
      <c r="T245" s="7"/>
      <c r="U245" s="618">
        <f t="shared" si="26"/>
        <v>0</v>
      </c>
      <c r="V245" s="7"/>
      <c r="W245" s="7"/>
      <c r="X245" s="7"/>
      <c r="Y245" s="7"/>
      <c r="Z245" s="7"/>
      <c r="AA245" s="7"/>
    </row>
    <row r="246" spans="1:27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3"/>
      <c r="I246" s="213"/>
      <c r="J246" s="213"/>
      <c r="K246" s="213"/>
      <c r="L246" s="213"/>
      <c r="M246" s="643"/>
      <c r="N246" s="616">
        <f t="shared" si="0"/>
        <v>0</v>
      </c>
      <c r="O246" s="633"/>
      <c r="P246" s="636"/>
      <c r="Q246" s="636"/>
      <c r="R246" s="7"/>
      <c r="S246" s="699"/>
      <c r="T246" s="7"/>
      <c r="U246" s="618">
        <f t="shared" si="26"/>
        <v>0</v>
      </c>
      <c r="V246" s="7"/>
      <c r="W246" s="7"/>
      <c r="X246" s="7"/>
      <c r="Y246" s="7"/>
      <c r="Z246" s="7"/>
      <c r="AA246" s="7"/>
    </row>
    <row r="247" spans="1:27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3"/>
      <c r="I247" s="213"/>
      <c r="J247" s="213"/>
      <c r="K247" s="213"/>
      <c r="L247" s="213"/>
      <c r="M247" s="643"/>
      <c r="N247" s="616">
        <f t="shared" si="0"/>
        <v>0</v>
      </c>
      <c r="O247" s="633"/>
      <c r="P247" s="636"/>
      <c r="Q247" s="636"/>
      <c r="R247" s="7"/>
      <c r="S247" s="699"/>
      <c r="T247" s="7"/>
      <c r="U247" s="618">
        <f t="shared" si="26"/>
        <v>0</v>
      </c>
      <c r="V247" s="7"/>
      <c r="W247" s="7"/>
      <c r="X247" s="7"/>
      <c r="Y247" s="7"/>
      <c r="Z247" s="7"/>
      <c r="AA247" s="7"/>
    </row>
    <row r="248" spans="1:27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3"/>
      <c r="I248" s="213"/>
      <c r="J248" s="213"/>
      <c r="K248" s="213"/>
      <c r="L248" s="213"/>
      <c r="M248" s="643"/>
      <c r="N248" s="616">
        <f t="shared" si="0"/>
        <v>0</v>
      </c>
      <c r="O248" s="633"/>
      <c r="P248" s="636"/>
      <c r="Q248" s="636"/>
      <c r="R248" s="7"/>
      <c r="S248" s="699"/>
      <c r="T248" s="7"/>
      <c r="U248" s="618">
        <f t="shared" si="26"/>
        <v>0</v>
      </c>
      <c r="V248" s="7"/>
      <c r="W248" s="7"/>
      <c r="X248" s="7"/>
      <c r="Y248" s="7"/>
      <c r="Z248" s="7"/>
      <c r="AA248" s="7"/>
    </row>
    <row r="249" spans="1:27" ht="20.25" customHeight="1">
      <c r="A249" s="503" t="s">
        <v>1020</v>
      </c>
      <c r="B249" s="483" t="s">
        <v>566</v>
      </c>
      <c r="C249" s="629" t="s">
        <v>567</v>
      </c>
      <c r="D249" s="485" t="s">
        <v>2072</v>
      </c>
      <c r="E249" s="213"/>
      <c r="F249" s="213"/>
      <c r="G249" s="213"/>
      <c r="H249" s="213"/>
      <c r="I249" s="213"/>
      <c r="J249" s="213"/>
      <c r="K249" s="213"/>
      <c r="L249" s="213"/>
      <c r="M249" s="643"/>
      <c r="N249" s="616">
        <f t="shared" si="0"/>
        <v>0</v>
      </c>
      <c r="O249" s="633"/>
      <c r="P249" s="636"/>
      <c r="Q249" s="636"/>
      <c r="R249" s="7"/>
      <c r="S249" s="699"/>
      <c r="T249" s="7"/>
      <c r="U249" s="618">
        <f t="shared" si="26"/>
        <v>0</v>
      </c>
      <c r="V249" s="7"/>
      <c r="W249" s="7"/>
      <c r="X249" s="7"/>
      <c r="Y249" s="7"/>
      <c r="Z249" s="7"/>
      <c r="AA249" s="7"/>
    </row>
    <row r="250" spans="1:27" ht="20.25" customHeight="1">
      <c r="A250" s="503" t="s">
        <v>1022</v>
      </c>
      <c r="B250" s="483" t="s">
        <v>569</v>
      </c>
      <c r="C250" s="629" t="s">
        <v>570</v>
      </c>
      <c r="D250" s="485" t="s">
        <v>2073</v>
      </c>
      <c r="E250" s="213"/>
      <c r="F250" s="213"/>
      <c r="G250" s="213"/>
      <c r="H250" s="213"/>
      <c r="I250" s="213"/>
      <c r="J250" s="213"/>
      <c r="K250" s="213"/>
      <c r="L250" s="213"/>
      <c r="M250" s="643"/>
      <c r="N250" s="616">
        <f t="shared" si="0"/>
        <v>0</v>
      </c>
      <c r="O250" s="633"/>
      <c r="P250" s="636"/>
      <c r="Q250" s="636"/>
      <c r="R250" s="7"/>
      <c r="S250" s="699"/>
      <c r="T250" s="7"/>
      <c r="U250" s="618">
        <f t="shared" si="26"/>
        <v>0</v>
      </c>
      <c r="V250" s="7"/>
      <c r="W250" s="7"/>
      <c r="X250" s="7"/>
      <c r="Y250" s="7"/>
      <c r="Z250" s="7"/>
      <c r="AA250" s="7"/>
    </row>
    <row r="251" spans="1:27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3"/>
      <c r="I251" s="213"/>
      <c r="J251" s="213"/>
      <c r="K251" s="213"/>
      <c r="L251" s="213"/>
      <c r="M251" s="643"/>
      <c r="N251" s="616">
        <f t="shared" si="0"/>
        <v>0</v>
      </c>
      <c r="O251" s="633"/>
      <c r="P251" s="636"/>
      <c r="Q251" s="636"/>
      <c r="R251" s="7"/>
      <c r="S251" s="699"/>
      <c r="T251" s="7"/>
      <c r="U251" s="618">
        <f t="shared" si="26"/>
        <v>0</v>
      </c>
      <c r="V251" s="7"/>
      <c r="W251" s="7"/>
      <c r="X251" s="7"/>
      <c r="Y251" s="7"/>
      <c r="Z251" s="7"/>
      <c r="AA251" s="7"/>
    </row>
    <row r="252" spans="1:27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3"/>
      <c r="I252" s="213"/>
      <c r="J252" s="213"/>
      <c r="K252" s="213"/>
      <c r="L252" s="213"/>
      <c r="M252" s="643"/>
      <c r="N252" s="616">
        <f t="shared" si="0"/>
        <v>0</v>
      </c>
      <c r="O252" s="633"/>
      <c r="P252" s="636"/>
      <c r="Q252" s="636"/>
      <c r="R252" s="7"/>
      <c r="S252" s="699"/>
      <c r="T252" s="7"/>
      <c r="U252" s="618">
        <f t="shared" si="26"/>
        <v>0</v>
      </c>
      <c r="V252" s="7"/>
      <c r="W252" s="7"/>
      <c r="X252" s="7"/>
      <c r="Y252" s="7"/>
      <c r="Z252" s="7"/>
      <c r="AA252" s="7"/>
    </row>
    <row r="253" spans="1:27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3"/>
      <c r="I253" s="213"/>
      <c r="J253" s="213"/>
      <c r="K253" s="213"/>
      <c r="L253" s="213"/>
      <c r="M253" s="643"/>
      <c r="N253" s="616">
        <f t="shared" si="0"/>
        <v>0</v>
      </c>
      <c r="O253" s="633"/>
      <c r="P253" s="636"/>
      <c r="Q253" s="636"/>
      <c r="R253" s="7"/>
      <c r="S253" s="699"/>
      <c r="T253" s="7"/>
      <c r="U253" s="618">
        <f t="shared" si="26"/>
        <v>0</v>
      </c>
      <c r="V253" s="7"/>
      <c r="W253" s="7"/>
      <c r="X253" s="7"/>
      <c r="Y253" s="7"/>
      <c r="Z253" s="7"/>
      <c r="AA253" s="7"/>
    </row>
    <row r="254" spans="1:27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3"/>
      <c r="I254" s="213"/>
      <c r="J254" s="213"/>
      <c r="K254" s="213"/>
      <c r="L254" s="213"/>
      <c r="M254" s="643"/>
      <c r="N254" s="616">
        <f t="shared" si="0"/>
        <v>0</v>
      </c>
      <c r="O254" s="633"/>
      <c r="P254" s="636"/>
      <c r="Q254" s="636"/>
      <c r="R254" s="7"/>
      <c r="S254" s="699"/>
      <c r="T254" s="7"/>
      <c r="U254" s="618">
        <f t="shared" si="26"/>
        <v>0</v>
      </c>
      <c r="V254" s="7"/>
      <c r="W254" s="7"/>
      <c r="X254" s="7"/>
      <c r="Y254" s="7"/>
      <c r="Z254" s="7"/>
      <c r="AA254" s="7"/>
    </row>
    <row r="255" spans="1:27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3"/>
      <c r="I255" s="213"/>
      <c r="J255" s="213"/>
      <c r="K255" s="213"/>
      <c r="L255" s="213"/>
      <c r="M255" s="643"/>
      <c r="N255" s="616">
        <f t="shared" si="0"/>
        <v>0</v>
      </c>
      <c r="O255" s="633"/>
      <c r="P255" s="636"/>
      <c r="Q255" s="636"/>
      <c r="R255" s="7"/>
      <c r="S255" s="699"/>
      <c r="T255" s="7"/>
      <c r="U255" s="618">
        <f t="shared" si="26"/>
        <v>0</v>
      </c>
      <c r="V255" s="7"/>
      <c r="W255" s="7"/>
      <c r="X255" s="7"/>
      <c r="Y255" s="7"/>
      <c r="Z255" s="7"/>
      <c r="AA255" s="7"/>
    </row>
    <row r="256" spans="1:27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3"/>
      <c r="I256" s="213"/>
      <c r="J256" s="213"/>
      <c r="K256" s="213"/>
      <c r="L256" s="213"/>
      <c r="M256" s="643"/>
      <c r="N256" s="616">
        <f t="shared" si="0"/>
        <v>0</v>
      </c>
      <c r="O256" s="633"/>
      <c r="P256" s="636"/>
      <c r="Q256" s="636"/>
      <c r="R256" s="7"/>
      <c r="S256" s="699"/>
      <c r="T256" s="7"/>
      <c r="U256" s="618">
        <f t="shared" si="26"/>
        <v>0</v>
      </c>
      <c r="V256" s="7"/>
      <c r="W256" s="7"/>
      <c r="X256" s="7"/>
      <c r="Y256" s="7"/>
      <c r="Z256" s="7"/>
      <c r="AA256" s="7"/>
    </row>
    <row r="257" spans="1:27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3"/>
      <c r="I257" s="213"/>
      <c r="J257" s="213"/>
      <c r="K257" s="213"/>
      <c r="L257" s="213"/>
      <c r="M257" s="643"/>
      <c r="N257" s="616">
        <f t="shared" si="0"/>
        <v>0</v>
      </c>
      <c r="O257" s="633"/>
      <c r="P257" s="648"/>
      <c r="Q257" s="648"/>
      <c r="R257" s="7"/>
      <c r="S257" s="699"/>
      <c r="T257" s="7"/>
      <c r="U257" s="618">
        <f t="shared" si="26"/>
        <v>0</v>
      </c>
      <c r="V257" s="7"/>
      <c r="W257" s="7"/>
      <c r="X257" s="7"/>
      <c r="Y257" s="7"/>
      <c r="Z257" s="7"/>
      <c r="AA257" s="7"/>
    </row>
    <row r="258" spans="1:27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3"/>
      <c r="I258" s="213"/>
      <c r="J258" s="213"/>
      <c r="K258" s="213"/>
      <c r="L258" s="213"/>
      <c r="M258" s="643"/>
      <c r="N258" s="616">
        <f t="shared" si="0"/>
        <v>0</v>
      </c>
      <c r="O258" s="633"/>
      <c r="P258" s="648"/>
      <c r="Q258" s="648"/>
      <c r="R258" s="7"/>
      <c r="S258" s="699"/>
      <c r="T258" s="7"/>
      <c r="U258" s="618">
        <f t="shared" si="26"/>
        <v>0</v>
      </c>
      <c r="V258" s="7"/>
      <c r="W258" s="7"/>
      <c r="X258" s="7"/>
      <c r="Y258" s="7"/>
      <c r="Z258" s="7"/>
      <c r="AA258" s="7"/>
    </row>
    <row r="259" spans="1:27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3"/>
      <c r="I259" s="213"/>
      <c r="J259" s="213"/>
      <c r="K259" s="213"/>
      <c r="L259" s="213"/>
      <c r="M259" s="643"/>
      <c r="N259" s="616">
        <f t="shared" si="0"/>
        <v>0</v>
      </c>
      <c r="O259" s="633"/>
      <c r="P259" s="648"/>
      <c r="Q259" s="648"/>
      <c r="R259" s="7"/>
      <c r="S259" s="699"/>
      <c r="T259" s="7"/>
      <c r="U259" s="618">
        <f t="shared" si="26"/>
        <v>0</v>
      </c>
      <c r="V259" s="7"/>
      <c r="W259" s="7"/>
      <c r="X259" s="7"/>
      <c r="Y259" s="7"/>
      <c r="Z259" s="7"/>
      <c r="AA259" s="7"/>
    </row>
    <row r="260" spans="1:27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3"/>
      <c r="I260" s="213"/>
      <c r="J260" s="213"/>
      <c r="K260" s="213"/>
      <c r="L260" s="213"/>
      <c r="M260" s="643"/>
      <c r="N260" s="616">
        <f t="shared" si="0"/>
        <v>0</v>
      </c>
      <c r="O260" s="633"/>
      <c r="P260" s="648"/>
      <c r="Q260" s="648"/>
      <c r="R260" s="7"/>
      <c r="S260" s="699"/>
      <c r="T260" s="7"/>
      <c r="U260" s="618">
        <f t="shared" si="26"/>
        <v>0</v>
      </c>
      <c r="V260" s="7"/>
      <c r="W260" s="7"/>
      <c r="X260" s="7"/>
      <c r="Y260" s="7"/>
      <c r="Z260" s="7"/>
      <c r="AA260" s="7"/>
    </row>
    <row r="261" spans="1:27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3"/>
      <c r="I261" s="213"/>
      <c r="J261" s="213"/>
      <c r="K261" s="213"/>
      <c r="L261" s="213"/>
      <c r="M261" s="643"/>
      <c r="N261" s="616">
        <f t="shared" si="0"/>
        <v>0</v>
      </c>
      <c r="O261" s="633"/>
      <c r="P261" s="648"/>
      <c r="Q261" s="648"/>
      <c r="R261" s="7"/>
      <c r="S261" s="699"/>
      <c r="T261" s="7"/>
      <c r="U261" s="618">
        <f t="shared" si="26"/>
        <v>0</v>
      </c>
      <c r="V261" s="7"/>
      <c r="W261" s="7"/>
      <c r="X261" s="7"/>
      <c r="Y261" s="7"/>
      <c r="Z261" s="7"/>
      <c r="AA261" s="7"/>
    </row>
    <row r="262" spans="1:27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3"/>
      <c r="I262" s="213"/>
      <c r="J262" s="213"/>
      <c r="K262" s="213"/>
      <c r="L262" s="213"/>
      <c r="M262" s="643"/>
      <c r="N262" s="616">
        <f t="shared" si="0"/>
        <v>0</v>
      </c>
      <c r="O262" s="633"/>
      <c r="P262" s="648"/>
      <c r="Q262" s="648"/>
      <c r="R262" s="7"/>
      <c r="S262" s="699"/>
      <c r="T262" s="7"/>
      <c r="U262" s="618">
        <f t="shared" si="26"/>
        <v>0</v>
      </c>
      <c r="V262" s="7"/>
      <c r="W262" s="7"/>
      <c r="X262" s="7"/>
      <c r="Y262" s="7"/>
      <c r="Z262" s="7"/>
      <c r="AA262" s="7"/>
    </row>
    <row r="263" spans="1:27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3"/>
      <c r="I263" s="213"/>
      <c r="J263" s="213"/>
      <c r="K263" s="213"/>
      <c r="L263" s="213"/>
      <c r="M263" s="643"/>
      <c r="N263" s="616">
        <f t="shared" si="0"/>
        <v>0</v>
      </c>
      <c r="O263" s="633"/>
      <c r="P263" s="636"/>
      <c r="Q263" s="636"/>
      <c r="R263" s="7"/>
      <c r="S263" s="699"/>
      <c r="T263" s="7"/>
      <c r="U263" s="618">
        <f t="shared" si="26"/>
        <v>0</v>
      </c>
      <c r="V263" s="7"/>
      <c r="W263" s="7"/>
      <c r="X263" s="7"/>
      <c r="Y263" s="7"/>
      <c r="Z263" s="7"/>
      <c r="AA263" s="7"/>
    </row>
    <row r="264" spans="1:27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3"/>
      <c r="I264" s="213"/>
      <c r="J264" s="213"/>
      <c r="K264" s="213"/>
      <c r="L264" s="213"/>
      <c r="M264" s="643"/>
      <c r="N264" s="616">
        <f t="shared" si="0"/>
        <v>0</v>
      </c>
      <c r="O264" s="633"/>
      <c r="P264" s="648"/>
      <c r="Q264" s="648"/>
      <c r="R264" s="7"/>
      <c r="S264" s="699"/>
      <c r="T264" s="7"/>
      <c r="U264" s="618">
        <f t="shared" si="26"/>
        <v>0</v>
      </c>
      <c r="V264" s="7"/>
      <c r="W264" s="7"/>
      <c r="X264" s="7"/>
      <c r="Y264" s="7"/>
      <c r="Z264" s="7"/>
      <c r="AA264" s="7"/>
    </row>
    <row r="265" spans="1:27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3"/>
      <c r="I265" s="213"/>
      <c r="J265" s="213"/>
      <c r="K265" s="213"/>
      <c r="L265" s="213"/>
      <c r="M265" s="643"/>
      <c r="N265" s="616">
        <f t="shared" si="0"/>
        <v>0</v>
      </c>
      <c r="O265" s="633"/>
      <c r="P265" s="648"/>
      <c r="Q265" s="648"/>
      <c r="R265" s="7"/>
      <c r="S265" s="699"/>
      <c r="T265" s="7"/>
      <c r="U265" s="618">
        <f t="shared" si="26"/>
        <v>0</v>
      </c>
      <c r="V265" s="7"/>
      <c r="W265" s="7"/>
      <c r="X265" s="7"/>
      <c r="Y265" s="7"/>
      <c r="Z265" s="7"/>
      <c r="AA265" s="7"/>
    </row>
    <row r="266" spans="1:27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3"/>
      <c r="I266" s="213"/>
      <c r="J266" s="213"/>
      <c r="K266" s="213"/>
      <c r="L266" s="213"/>
      <c r="M266" s="643"/>
      <c r="N266" s="616">
        <f t="shared" si="0"/>
        <v>0</v>
      </c>
      <c r="O266" s="633"/>
      <c r="P266" s="648"/>
      <c r="Q266" s="648"/>
      <c r="R266" s="7"/>
      <c r="S266" s="699"/>
      <c r="T266" s="7"/>
      <c r="U266" s="618">
        <f t="shared" si="26"/>
        <v>0</v>
      </c>
      <c r="V266" s="7"/>
      <c r="W266" s="7"/>
      <c r="X266" s="7"/>
      <c r="Y266" s="7"/>
      <c r="Z266" s="7"/>
      <c r="AA266" s="7"/>
    </row>
    <row r="267" spans="1:27" ht="20.25" customHeight="1">
      <c r="A267" s="503" t="s">
        <v>605</v>
      </c>
      <c r="B267" s="483" t="s">
        <v>606</v>
      </c>
      <c r="C267" s="629" t="s">
        <v>593</v>
      </c>
      <c r="D267" s="485" t="s">
        <v>2074</v>
      </c>
      <c r="E267" s="213"/>
      <c r="F267" s="213"/>
      <c r="G267" s="213"/>
      <c r="H267" s="213"/>
      <c r="I267" s="213"/>
      <c r="J267" s="213"/>
      <c r="K267" s="213"/>
      <c r="L267" s="213"/>
      <c r="M267" s="643"/>
      <c r="N267" s="616">
        <f t="shared" si="0"/>
        <v>0</v>
      </c>
      <c r="O267" s="633"/>
      <c r="P267" s="648"/>
      <c r="Q267" s="648"/>
      <c r="R267" s="7"/>
      <c r="S267" s="699"/>
      <c r="T267" s="7"/>
      <c r="U267" s="618">
        <f t="shared" si="26"/>
        <v>0</v>
      </c>
      <c r="V267" s="7"/>
      <c r="W267" s="7"/>
      <c r="X267" s="7"/>
      <c r="Y267" s="7"/>
      <c r="Z267" s="7"/>
      <c r="AA267" s="7"/>
    </row>
    <row r="268" spans="1:27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3"/>
      <c r="I268" s="213"/>
      <c r="J268" s="213"/>
      <c r="K268" s="213"/>
      <c r="L268" s="213"/>
      <c r="M268" s="643"/>
      <c r="N268" s="616">
        <f t="shared" si="0"/>
        <v>0</v>
      </c>
      <c r="O268" s="633"/>
      <c r="P268" s="648"/>
      <c r="Q268" s="648"/>
      <c r="R268" s="7"/>
      <c r="S268" s="699"/>
      <c r="T268" s="7"/>
      <c r="U268" s="618">
        <f t="shared" si="26"/>
        <v>0</v>
      </c>
      <c r="V268" s="7"/>
      <c r="W268" s="7"/>
      <c r="X268" s="7"/>
      <c r="Y268" s="7"/>
      <c r="Z268" s="7"/>
      <c r="AA268" s="7"/>
    </row>
    <row r="269" spans="1:27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3"/>
      <c r="I269" s="213"/>
      <c r="J269" s="213"/>
      <c r="K269" s="213"/>
      <c r="L269" s="213"/>
      <c r="M269" s="643"/>
      <c r="N269" s="616">
        <f t="shared" si="0"/>
        <v>0</v>
      </c>
      <c r="O269" s="633"/>
      <c r="P269" s="636"/>
      <c r="Q269" s="636"/>
      <c r="R269" s="7"/>
      <c r="S269" s="699"/>
      <c r="T269" s="7"/>
      <c r="U269" s="618">
        <f t="shared" si="26"/>
        <v>0</v>
      </c>
      <c r="V269" s="7"/>
      <c r="W269" s="7"/>
      <c r="X269" s="7"/>
      <c r="Y269" s="7"/>
      <c r="Z269" s="7"/>
      <c r="AA269" s="7"/>
    </row>
    <row r="270" spans="1:27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3"/>
      <c r="I270" s="213"/>
      <c r="J270" s="213"/>
      <c r="K270" s="213"/>
      <c r="L270" s="213"/>
      <c r="M270" s="643"/>
      <c r="N270" s="616">
        <f t="shared" si="0"/>
        <v>0</v>
      </c>
      <c r="O270" s="633"/>
      <c r="P270" s="648"/>
      <c r="Q270" s="648"/>
      <c r="R270" s="7"/>
      <c r="S270" s="699"/>
      <c r="T270" s="7"/>
      <c r="U270" s="618">
        <f t="shared" si="26"/>
        <v>0</v>
      </c>
      <c r="V270" s="7"/>
      <c r="W270" s="7"/>
      <c r="X270" s="7"/>
      <c r="Y270" s="7"/>
      <c r="Z270" s="7"/>
      <c r="AA270" s="7"/>
    </row>
    <row r="271" spans="1:27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3"/>
      <c r="I271" s="213"/>
      <c r="J271" s="213"/>
      <c r="K271" s="213"/>
      <c r="L271" s="213"/>
      <c r="M271" s="643"/>
      <c r="N271" s="616">
        <f t="shared" si="0"/>
        <v>0</v>
      </c>
      <c r="O271" s="633"/>
      <c r="P271" s="648"/>
      <c r="Q271" s="648"/>
      <c r="R271" s="7"/>
      <c r="S271" s="699"/>
      <c r="T271" s="7"/>
      <c r="U271" s="618">
        <f t="shared" si="26"/>
        <v>0</v>
      </c>
      <c r="V271" s="7"/>
      <c r="W271" s="7"/>
      <c r="X271" s="7"/>
      <c r="Y271" s="7"/>
      <c r="Z271" s="7"/>
      <c r="AA271" s="7"/>
    </row>
    <row r="272" spans="1:27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3"/>
      <c r="I272" s="213"/>
      <c r="J272" s="213"/>
      <c r="K272" s="213"/>
      <c r="L272" s="213"/>
      <c r="M272" s="643"/>
      <c r="N272" s="616">
        <f t="shared" si="0"/>
        <v>0</v>
      </c>
      <c r="O272" s="633"/>
      <c r="P272" s="648"/>
      <c r="Q272" s="648"/>
      <c r="R272" s="7"/>
      <c r="S272" s="699"/>
      <c r="T272" s="7"/>
      <c r="U272" s="618">
        <f t="shared" si="26"/>
        <v>0</v>
      </c>
      <c r="V272" s="7"/>
      <c r="W272" s="7"/>
      <c r="X272" s="7"/>
      <c r="Y272" s="7"/>
      <c r="Z272" s="7"/>
      <c r="AA272" s="7"/>
    </row>
    <row r="273" spans="1:27" ht="20.25" customHeight="1">
      <c r="A273" s="503" t="s">
        <v>620</v>
      </c>
      <c r="B273" s="483" t="s">
        <v>621</v>
      </c>
      <c r="C273" s="629" t="s">
        <v>622</v>
      </c>
      <c r="D273" s="485" t="s">
        <v>2075</v>
      </c>
      <c r="E273" s="213"/>
      <c r="F273" s="213"/>
      <c r="G273" s="213"/>
      <c r="H273" s="213"/>
      <c r="I273" s="213"/>
      <c r="J273" s="213"/>
      <c r="K273" s="213"/>
      <c r="L273" s="213"/>
      <c r="M273" s="643"/>
      <c r="N273" s="616">
        <f t="shared" si="0"/>
        <v>0</v>
      </c>
      <c r="O273" s="633"/>
      <c r="P273" s="648"/>
      <c r="Q273" s="648"/>
      <c r="R273" s="7"/>
      <c r="S273" s="699"/>
      <c r="T273" s="7"/>
      <c r="U273" s="618">
        <f t="shared" si="26"/>
        <v>0</v>
      </c>
      <c r="V273" s="7"/>
      <c r="W273" s="7"/>
      <c r="X273" s="7"/>
      <c r="Y273" s="7"/>
      <c r="Z273" s="7"/>
      <c r="AA273" s="7"/>
    </row>
    <row r="274" spans="1:27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3"/>
      <c r="I274" s="213"/>
      <c r="J274" s="213"/>
      <c r="K274" s="213"/>
      <c r="L274" s="213"/>
      <c r="M274" s="643"/>
      <c r="N274" s="616">
        <f t="shared" si="0"/>
        <v>0</v>
      </c>
      <c r="O274" s="633"/>
      <c r="P274" s="648"/>
      <c r="Q274" s="648"/>
      <c r="R274" s="7"/>
      <c r="S274" s="699"/>
      <c r="T274" s="7"/>
      <c r="U274" s="618">
        <f t="shared" si="26"/>
        <v>0</v>
      </c>
      <c r="V274" s="7"/>
      <c r="W274" s="7"/>
      <c r="X274" s="7"/>
      <c r="Y274" s="7"/>
      <c r="Z274" s="7"/>
      <c r="AA274" s="7"/>
    </row>
    <row r="275" spans="1:27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3"/>
      <c r="I275" s="213"/>
      <c r="J275" s="213"/>
      <c r="K275" s="213"/>
      <c r="L275" s="213"/>
      <c r="M275" s="643"/>
      <c r="N275" s="616">
        <f t="shared" ref="N275:N447" si="27">+SUM(E275:M275)</f>
        <v>0</v>
      </c>
      <c r="O275" s="633"/>
      <c r="P275" s="636"/>
      <c r="Q275" s="636"/>
      <c r="R275" s="7"/>
      <c r="S275" s="699"/>
      <c r="T275" s="7"/>
      <c r="U275" s="618">
        <f t="shared" si="26"/>
        <v>0</v>
      </c>
      <c r="V275" s="7"/>
      <c r="W275" s="7"/>
      <c r="X275" s="7"/>
      <c r="Y275" s="7"/>
      <c r="Z275" s="7"/>
      <c r="AA275" s="7"/>
    </row>
    <row r="276" spans="1:27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3"/>
      <c r="I276" s="213"/>
      <c r="J276" s="213"/>
      <c r="K276" s="213"/>
      <c r="L276" s="213"/>
      <c r="M276" s="643"/>
      <c r="N276" s="616">
        <f t="shared" si="27"/>
        <v>0</v>
      </c>
      <c r="O276" s="633"/>
      <c r="P276" s="648"/>
      <c r="Q276" s="648"/>
      <c r="R276" s="7"/>
      <c r="S276" s="699"/>
      <c r="T276" s="7"/>
      <c r="U276" s="618">
        <f t="shared" si="26"/>
        <v>0</v>
      </c>
      <c r="V276" s="7"/>
      <c r="W276" s="7"/>
      <c r="X276" s="7"/>
      <c r="Y276" s="7"/>
      <c r="Z276" s="7"/>
      <c r="AA276" s="7"/>
    </row>
    <row r="277" spans="1:27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3"/>
      <c r="I277" s="213"/>
      <c r="J277" s="213"/>
      <c r="K277" s="213"/>
      <c r="L277" s="213"/>
      <c r="M277" s="643"/>
      <c r="N277" s="616">
        <f t="shared" si="27"/>
        <v>0</v>
      </c>
      <c r="O277" s="633"/>
      <c r="P277" s="648"/>
      <c r="Q277" s="648"/>
      <c r="R277" s="7"/>
      <c r="S277" s="699"/>
      <c r="T277" s="7"/>
      <c r="U277" s="618">
        <f t="shared" si="26"/>
        <v>0</v>
      </c>
      <c r="V277" s="7"/>
      <c r="W277" s="7"/>
      <c r="X277" s="7"/>
      <c r="Y277" s="7"/>
      <c r="Z277" s="7"/>
      <c r="AA277" s="7"/>
    </row>
    <row r="278" spans="1:27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3"/>
      <c r="I278" s="213"/>
      <c r="J278" s="213"/>
      <c r="K278" s="213"/>
      <c r="L278" s="213"/>
      <c r="M278" s="643"/>
      <c r="N278" s="616">
        <f t="shared" si="27"/>
        <v>0</v>
      </c>
      <c r="O278" s="633"/>
      <c r="P278" s="648"/>
      <c r="Q278" s="648"/>
      <c r="R278" s="7"/>
      <c r="S278" s="699"/>
      <c r="T278" s="7"/>
      <c r="U278" s="618">
        <f t="shared" si="26"/>
        <v>0</v>
      </c>
      <c r="V278" s="7"/>
      <c r="W278" s="7"/>
      <c r="X278" s="7"/>
      <c r="Y278" s="7"/>
      <c r="Z278" s="7"/>
      <c r="AA278" s="7"/>
    </row>
    <row r="279" spans="1:27" ht="20.25" customHeight="1">
      <c r="A279" s="503" t="s">
        <v>636</v>
      </c>
      <c r="B279" s="483" t="s">
        <v>637</v>
      </c>
      <c r="C279" s="629" t="s">
        <v>638</v>
      </c>
      <c r="D279" s="485" t="s">
        <v>2076</v>
      </c>
      <c r="E279" s="213"/>
      <c r="F279" s="213"/>
      <c r="G279" s="213"/>
      <c r="H279" s="213"/>
      <c r="I279" s="213"/>
      <c r="J279" s="213"/>
      <c r="K279" s="213"/>
      <c r="L279" s="213"/>
      <c r="M279" s="643"/>
      <c r="N279" s="616">
        <f t="shared" si="27"/>
        <v>0</v>
      </c>
      <c r="O279" s="633"/>
      <c r="P279" s="648"/>
      <c r="Q279" s="648"/>
      <c r="R279" s="7"/>
      <c r="S279" s="699"/>
      <c r="T279" s="7"/>
      <c r="U279" s="618">
        <f t="shared" si="26"/>
        <v>0</v>
      </c>
      <c r="V279" s="7"/>
      <c r="W279" s="7"/>
      <c r="X279" s="7"/>
      <c r="Y279" s="7"/>
      <c r="Z279" s="7"/>
      <c r="AA279" s="7"/>
    </row>
    <row r="280" spans="1:27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3"/>
      <c r="I280" s="213"/>
      <c r="J280" s="213"/>
      <c r="K280" s="213"/>
      <c r="L280" s="213"/>
      <c r="M280" s="643"/>
      <c r="N280" s="616">
        <f t="shared" si="27"/>
        <v>0</v>
      </c>
      <c r="O280" s="633"/>
      <c r="P280" s="648"/>
      <c r="Q280" s="648"/>
      <c r="R280" s="7"/>
      <c r="S280" s="699"/>
      <c r="T280" s="7"/>
      <c r="U280" s="618">
        <f t="shared" si="26"/>
        <v>0</v>
      </c>
      <c r="V280" s="7"/>
      <c r="W280" s="7"/>
      <c r="X280" s="7"/>
      <c r="Y280" s="7"/>
      <c r="Z280" s="7"/>
      <c r="AA280" s="7"/>
    </row>
    <row r="281" spans="1:27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3"/>
      <c r="I281" s="213"/>
      <c r="J281" s="213"/>
      <c r="K281" s="213"/>
      <c r="L281" s="213"/>
      <c r="M281" s="643"/>
      <c r="N281" s="616">
        <f t="shared" si="27"/>
        <v>0</v>
      </c>
      <c r="O281" s="633"/>
      <c r="P281" s="648"/>
      <c r="Q281" s="648"/>
      <c r="R281" s="7"/>
      <c r="S281" s="699"/>
      <c r="T281" s="7"/>
      <c r="U281" s="618">
        <f t="shared" si="26"/>
        <v>0</v>
      </c>
      <c r="V281" s="7"/>
      <c r="W281" s="7"/>
      <c r="X281" s="7"/>
      <c r="Y281" s="7"/>
      <c r="Z281" s="7"/>
      <c r="AA281" s="7"/>
    </row>
    <row r="282" spans="1:27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3"/>
      <c r="I282" s="213"/>
      <c r="J282" s="213"/>
      <c r="K282" s="213"/>
      <c r="L282" s="213"/>
      <c r="M282" s="643"/>
      <c r="N282" s="616">
        <f t="shared" si="27"/>
        <v>0</v>
      </c>
      <c r="O282" s="633"/>
      <c r="P282" s="640"/>
      <c r="Q282" s="640"/>
      <c r="R282" s="7"/>
      <c r="S282" s="699"/>
      <c r="T282" s="7"/>
      <c r="U282" s="618">
        <f t="shared" si="26"/>
        <v>0</v>
      </c>
      <c r="V282" s="7"/>
      <c r="W282" s="7"/>
      <c r="X282" s="7"/>
      <c r="Y282" s="7"/>
      <c r="Z282" s="7"/>
      <c r="AA282" s="7"/>
    </row>
    <row r="283" spans="1:27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3"/>
      <c r="I283" s="213"/>
      <c r="J283" s="213"/>
      <c r="K283" s="213"/>
      <c r="L283" s="213"/>
      <c r="M283" s="643"/>
      <c r="N283" s="616">
        <f t="shared" si="27"/>
        <v>0</v>
      </c>
      <c r="O283" s="633"/>
      <c r="P283" s="636"/>
      <c r="Q283" s="636"/>
      <c r="R283" s="7"/>
      <c r="S283" s="699"/>
      <c r="T283" s="7"/>
      <c r="U283" s="618">
        <f t="shared" si="26"/>
        <v>0</v>
      </c>
      <c r="V283" s="7"/>
      <c r="W283" s="7"/>
      <c r="X283" s="7"/>
      <c r="Y283" s="7"/>
      <c r="Z283" s="7"/>
      <c r="AA283" s="7"/>
    </row>
    <row r="284" spans="1:27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3"/>
      <c r="I284" s="213"/>
      <c r="J284" s="213"/>
      <c r="K284" s="213"/>
      <c r="L284" s="213"/>
      <c r="M284" s="643"/>
      <c r="N284" s="616">
        <f t="shared" si="27"/>
        <v>0</v>
      </c>
      <c r="O284" s="633"/>
      <c r="P284" s="654"/>
      <c r="Q284" s="654"/>
      <c r="R284" s="7"/>
      <c r="S284" s="699"/>
      <c r="T284" s="7"/>
      <c r="U284" s="618">
        <f t="shared" si="26"/>
        <v>0</v>
      </c>
      <c r="V284" s="7"/>
      <c r="W284" s="7"/>
      <c r="X284" s="7"/>
      <c r="Y284" s="7"/>
      <c r="Z284" s="7"/>
      <c r="AA284" s="7"/>
    </row>
    <row r="285" spans="1:27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3"/>
      <c r="I285" s="213"/>
      <c r="J285" s="213"/>
      <c r="K285" s="213"/>
      <c r="L285" s="213"/>
      <c r="M285" s="643"/>
      <c r="N285" s="616">
        <f t="shared" si="27"/>
        <v>0</v>
      </c>
      <c r="O285" s="633"/>
      <c r="P285" s="654"/>
      <c r="Q285" s="654"/>
      <c r="R285" s="7"/>
      <c r="S285" s="699"/>
      <c r="T285" s="7"/>
      <c r="U285" s="618">
        <f t="shared" si="26"/>
        <v>0</v>
      </c>
      <c r="V285" s="7"/>
      <c r="W285" s="7"/>
      <c r="X285" s="7"/>
      <c r="Y285" s="7"/>
      <c r="Z285" s="7"/>
      <c r="AA285" s="7"/>
    </row>
    <row r="286" spans="1:27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3"/>
      <c r="I286" s="213"/>
      <c r="J286" s="213"/>
      <c r="K286" s="213"/>
      <c r="L286" s="213"/>
      <c r="M286" s="643"/>
      <c r="N286" s="616">
        <f t="shared" si="27"/>
        <v>0</v>
      </c>
      <c r="O286" s="633"/>
      <c r="P286" s="654"/>
      <c r="Q286" s="654"/>
      <c r="R286" s="7"/>
      <c r="S286" s="699"/>
      <c r="T286" s="7"/>
      <c r="U286" s="618">
        <f t="shared" si="26"/>
        <v>0</v>
      </c>
      <c r="V286" s="7"/>
      <c r="W286" s="7"/>
      <c r="X286" s="7"/>
      <c r="Y286" s="7"/>
      <c r="Z286" s="7"/>
      <c r="AA286" s="7"/>
    </row>
    <row r="287" spans="1:27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3"/>
      <c r="I287" s="213"/>
      <c r="J287" s="213"/>
      <c r="K287" s="213"/>
      <c r="L287" s="213"/>
      <c r="M287" s="643"/>
      <c r="N287" s="616">
        <f t="shared" si="27"/>
        <v>0</v>
      </c>
      <c r="O287" s="633"/>
      <c r="P287" s="654"/>
      <c r="Q287" s="654"/>
      <c r="R287" s="7"/>
      <c r="S287" s="699"/>
      <c r="T287" s="7"/>
      <c r="U287" s="618">
        <f t="shared" si="26"/>
        <v>0</v>
      </c>
      <c r="V287" s="7"/>
      <c r="W287" s="7"/>
      <c r="X287" s="7"/>
      <c r="Y287" s="7"/>
      <c r="Z287" s="7"/>
      <c r="AA287" s="7"/>
    </row>
    <row r="288" spans="1:27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3"/>
      <c r="I288" s="213"/>
      <c r="J288" s="213"/>
      <c r="K288" s="213"/>
      <c r="L288" s="213"/>
      <c r="M288" s="643"/>
      <c r="N288" s="616">
        <f t="shared" si="27"/>
        <v>0</v>
      </c>
      <c r="O288" s="633"/>
      <c r="P288" s="654"/>
      <c r="Q288" s="654"/>
      <c r="R288" s="7"/>
      <c r="S288" s="699"/>
      <c r="T288" s="7"/>
      <c r="U288" s="618">
        <f t="shared" si="26"/>
        <v>0</v>
      </c>
      <c r="V288" s="7"/>
      <c r="W288" s="7"/>
      <c r="X288" s="7"/>
      <c r="Y288" s="7"/>
      <c r="Z288" s="7"/>
      <c r="AA288" s="7"/>
    </row>
    <row r="289" spans="1:27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3"/>
      <c r="I289" s="213"/>
      <c r="J289" s="213"/>
      <c r="K289" s="213"/>
      <c r="L289" s="213"/>
      <c r="M289" s="643"/>
      <c r="N289" s="616">
        <f t="shared" si="27"/>
        <v>0</v>
      </c>
      <c r="O289" s="633"/>
      <c r="P289" s="654"/>
      <c r="Q289" s="654"/>
      <c r="R289" s="7"/>
      <c r="S289" s="699"/>
      <c r="T289" s="7"/>
      <c r="U289" s="618">
        <f t="shared" si="26"/>
        <v>0</v>
      </c>
      <c r="V289" s="7"/>
      <c r="W289" s="7"/>
      <c r="X289" s="7"/>
      <c r="Y289" s="7"/>
      <c r="Z289" s="7"/>
      <c r="AA289" s="7"/>
    </row>
    <row r="290" spans="1:27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3"/>
      <c r="I290" s="213"/>
      <c r="J290" s="213"/>
      <c r="K290" s="213"/>
      <c r="L290" s="213"/>
      <c r="M290" s="643"/>
      <c r="N290" s="616">
        <f t="shared" si="27"/>
        <v>0</v>
      </c>
      <c r="O290" s="633"/>
      <c r="P290" s="648"/>
      <c r="Q290" s="648"/>
      <c r="R290" s="7"/>
      <c r="S290" s="699"/>
      <c r="T290" s="7"/>
      <c r="U290" s="618">
        <f t="shared" si="26"/>
        <v>0</v>
      </c>
      <c r="V290" s="7"/>
      <c r="W290" s="7"/>
      <c r="X290" s="7"/>
      <c r="Y290" s="7"/>
      <c r="Z290" s="7"/>
      <c r="AA290" s="7"/>
    </row>
    <row r="291" spans="1:27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3"/>
      <c r="I291" s="213"/>
      <c r="J291" s="213"/>
      <c r="K291" s="213"/>
      <c r="L291" s="213"/>
      <c r="M291" s="643"/>
      <c r="N291" s="616">
        <f t="shared" si="27"/>
        <v>0</v>
      </c>
      <c r="O291" s="633"/>
      <c r="P291" s="648"/>
      <c r="Q291" s="648"/>
      <c r="R291" s="7"/>
      <c r="S291" s="699"/>
      <c r="T291" s="7"/>
      <c r="U291" s="618">
        <f t="shared" si="26"/>
        <v>0</v>
      </c>
      <c r="V291" s="7"/>
      <c r="W291" s="7"/>
      <c r="X291" s="7"/>
      <c r="Y291" s="7"/>
      <c r="Z291" s="7"/>
      <c r="AA291" s="7"/>
    </row>
    <row r="292" spans="1:27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3"/>
      <c r="I292" s="213"/>
      <c r="J292" s="213"/>
      <c r="K292" s="213"/>
      <c r="L292" s="213"/>
      <c r="M292" s="643"/>
      <c r="N292" s="616">
        <f t="shared" si="27"/>
        <v>0</v>
      </c>
      <c r="O292" s="633"/>
      <c r="P292" s="648"/>
      <c r="Q292" s="648"/>
      <c r="R292" s="7"/>
      <c r="S292" s="699"/>
      <c r="T292" s="7"/>
      <c r="U292" s="618">
        <f t="shared" si="26"/>
        <v>0</v>
      </c>
      <c r="V292" s="7"/>
      <c r="W292" s="7"/>
      <c r="X292" s="7"/>
      <c r="Y292" s="7"/>
      <c r="Z292" s="7"/>
      <c r="AA292" s="7"/>
    </row>
    <row r="293" spans="1:27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3"/>
      <c r="I293" s="213"/>
      <c r="J293" s="213"/>
      <c r="K293" s="213"/>
      <c r="L293" s="213"/>
      <c r="M293" s="643"/>
      <c r="N293" s="616">
        <f t="shared" si="27"/>
        <v>0</v>
      </c>
      <c r="O293" s="633"/>
      <c r="P293" s="648"/>
      <c r="Q293" s="648"/>
      <c r="R293" s="7"/>
      <c r="S293" s="699"/>
      <c r="T293" s="7"/>
      <c r="U293" s="618">
        <f t="shared" si="26"/>
        <v>0</v>
      </c>
      <c r="V293" s="7"/>
      <c r="W293" s="7"/>
      <c r="X293" s="7"/>
      <c r="Y293" s="7"/>
      <c r="Z293" s="7"/>
      <c r="AA293" s="7"/>
    </row>
    <row r="294" spans="1:27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3"/>
      <c r="I294" s="213"/>
      <c r="J294" s="213"/>
      <c r="K294" s="213"/>
      <c r="L294" s="213"/>
      <c r="M294" s="643"/>
      <c r="N294" s="616">
        <f t="shared" si="27"/>
        <v>0</v>
      </c>
      <c r="O294" s="633"/>
      <c r="P294" s="654"/>
      <c r="Q294" s="654"/>
      <c r="R294" s="7"/>
      <c r="S294" s="699"/>
      <c r="T294" s="7"/>
      <c r="U294" s="618">
        <f t="shared" si="26"/>
        <v>0</v>
      </c>
      <c r="V294" s="7"/>
      <c r="W294" s="7"/>
      <c r="X294" s="7"/>
      <c r="Y294" s="7"/>
      <c r="Z294" s="7"/>
      <c r="AA294" s="7"/>
    </row>
    <row r="295" spans="1:27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3"/>
      <c r="I295" s="213"/>
      <c r="J295" s="213"/>
      <c r="K295" s="213"/>
      <c r="L295" s="213"/>
      <c r="M295" s="643"/>
      <c r="N295" s="616">
        <f t="shared" si="27"/>
        <v>0</v>
      </c>
      <c r="O295" s="633"/>
      <c r="P295" s="648"/>
      <c r="Q295" s="648"/>
      <c r="R295" s="7"/>
      <c r="S295" s="699"/>
      <c r="T295" s="7"/>
      <c r="U295" s="618">
        <f t="shared" si="26"/>
        <v>0</v>
      </c>
      <c r="V295" s="7"/>
      <c r="W295" s="7"/>
      <c r="X295" s="7"/>
      <c r="Y295" s="7"/>
      <c r="Z295" s="7"/>
      <c r="AA295" s="7"/>
    </row>
    <row r="296" spans="1:27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3"/>
      <c r="I296" s="213"/>
      <c r="J296" s="213"/>
      <c r="K296" s="213"/>
      <c r="L296" s="213"/>
      <c r="M296" s="643"/>
      <c r="N296" s="616">
        <f t="shared" si="27"/>
        <v>0</v>
      </c>
      <c r="O296" s="633"/>
      <c r="P296" s="648"/>
      <c r="Q296" s="648"/>
      <c r="R296" s="7"/>
      <c r="S296" s="699"/>
      <c r="T296" s="7"/>
      <c r="U296" s="618">
        <f t="shared" si="26"/>
        <v>0</v>
      </c>
      <c r="V296" s="7"/>
      <c r="W296" s="7"/>
      <c r="X296" s="7"/>
      <c r="Y296" s="7"/>
      <c r="Z296" s="7"/>
      <c r="AA296" s="7"/>
    </row>
    <row r="297" spans="1:27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3"/>
      <c r="I297" s="213"/>
      <c r="J297" s="213"/>
      <c r="K297" s="213"/>
      <c r="L297" s="213"/>
      <c r="M297" s="643"/>
      <c r="N297" s="616">
        <f t="shared" si="27"/>
        <v>0</v>
      </c>
      <c r="O297" s="633"/>
      <c r="P297" s="648"/>
      <c r="Q297" s="648"/>
      <c r="R297" s="7"/>
      <c r="S297" s="699"/>
      <c r="T297" s="7"/>
      <c r="U297" s="618">
        <f t="shared" si="26"/>
        <v>0</v>
      </c>
      <c r="V297" s="7"/>
      <c r="W297" s="7"/>
      <c r="X297" s="7"/>
      <c r="Y297" s="7"/>
      <c r="Z297" s="7"/>
      <c r="AA297" s="7"/>
    </row>
    <row r="298" spans="1:27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3"/>
      <c r="I298" s="213"/>
      <c r="J298" s="213"/>
      <c r="K298" s="213"/>
      <c r="L298" s="213"/>
      <c r="M298" s="643"/>
      <c r="N298" s="616">
        <f t="shared" si="27"/>
        <v>0</v>
      </c>
      <c r="O298" s="633"/>
      <c r="P298" s="648"/>
      <c r="Q298" s="648"/>
      <c r="R298" s="7"/>
      <c r="S298" s="699"/>
      <c r="T298" s="7"/>
      <c r="U298" s="618">
        <f t="shared" si="26"/>
        <v>0</v>
      </c>
      <c r="V298" s="7"/>
      <c r="W298" s="7"/>
      <c r="X298" s="7"/>
      <c r="Y298" s="7"/>
      <c r="Z298" s="7"/>
      <c r="AA298" s="7"/>
    </row>
    <row r="299" spans="1:27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3"/>
      <c r="I299" s="213"/>
      <c r="J299" s="213"/>
      <c r="K299" s="213"/>
      <c r="L299" s="213"/>
      <c r="M299" s="643"/>
      <c r="N299" s="616">
        <f t="shared" si="27"/>
        <v>0</v>
      </c>
      <c r="O299" s="633"/>
      <c r="P299" s="636"/>
      <c r="Q299" s="636"/>
      <c r="R299" s="7"/>
      <c r="S299" s="699"/>
      <c r="T299" s="7"/>
      <c r="U299" s="618">
        <f t="shared" si="26"/>
        <v>0</v>
      </c>
      <c r="V299" s="7"/>
      <c r="W299" s="7"/>
      <c r="X299" s="7"/>
      <c r="Y299" s="7"/>
      <c r="Z299" s="7"/>
      <c r="AA299" s="7"/>
    </row>
    <row r="300" spans="1:27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3"/>
      <c r="I300" s="213"/>
      <c r="J300" s="213"/>
      <c r="K300" s="213"/>
      <c r="L300" s="213"/>
      <c r="M300" s="643"/>
      <c r="N300" s="616">
        <f t="shared" si="27"/>
        <v>0</v>
      </c>
      <c r="O300" s="633"/>
      <c r="P300" s="636"/>
      <c r="Q300" s="636"/>
      <c r="R300" s="7"/>
      <c r="S300" s="699"/>
      <c r="T300" s="7"/>
      <c r="U300" s="618">
        <f t="shared" si="26"/>
        <v>0</v>
      </c>
      <c r="V300" s="7"/>
      <c r="W300" s="7"/>
      <c r="X300" s="7"/>
      <c r="Y300" s="7"/>
      <c r="Z300" s="7"/>
      <c r="AA300" s="7"/>
    </row>
    <row r="301" spans="1:27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3"/>
      <c r="I301" s="213"/>
      <c r="J301" s="213"/>
      <c r="K301" s="213"/>
      <c r="L301" s="213"/>
      <c r="M301" s="643"/>
      <c r="N301" s="616">
        <f t="shared" si="27"/>
        <v>0</v>
      </c>
      <c r="O301" s="633"/>
      <c r="P301" s="648"/>
      <c r="Q301" s="648"/>
      <c r="R301" s="7"/>
      <c r="S301" s="699"/>
      <c r="T301" s="7"/>
      <c r="U301" s="618">
        <f t="shared" si="26"/>
        <v>0</v>
      </c>
      <c r="V301" s="7"/>
      <c r="W301" s="7"/>
      <c r="X301" s="7"/>
      <c r="Y301" s="7"/>
      <c r="Z301" s="7"/>
      <c r="AA301" s="7"/>
    </row>
    <row r="302" spans="1:27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3"/>
      <c r="I302" s="213"/>
      <c r="J302" s="213"/>
      <c r="K302" s="213"/>
      <c r="L302" s="213"/>
      <c r="M302" s="643"/>
      <c r="N302" s="616">
        <f t="shared" si="27"/>
        <v>0</v>
      </c>
      <c r="O302" s="633"/>
      <c r="P302" s="648"/>
      <c r="Q302" s="648"/>
      <c r="R302" s="7"/>
      <c r="S302" s="699"/>
      <c r="T302" s="7"/>
      <c r="U302" s="618">
        <f t="shared" si="26"/>
        <v>0</v>
      </c>
      <c r="V302" s="7"/>
      <c r="W302" s="7"/>
      <c r="X302" s="7"/>
      <c r="Y302" s="7"/>
      <c r="Z302" s="7"/>
      <c r="AA302" s="7"/>
    </row>
    <row r="303" spans="1:27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3"/>
      <c r="I303" s="213"/>
      <c r="J303" s="213"/>
      <c r="K303" s="213"/>
      <c r="L303" s="213"/>
      <c r="M303" s="643"/>
      <c r="N303" s="616">
        <f t="shared" si="27"/>
        <v>0</v>
      </c>
      <c r="O303" s="633"/>
      <c r="P303" s="648"/>
      <c r="Q303" s="648"/>
      <c r="R303" s="7"/>
      <c r="S303" s="699"/>
      <c r="T303" s="7"/>
      <c r="U303" s="618">
        <f t="shared" si="26"/>
        <v>0</v>
      </c>
      <c r="V303" s="7"/>
      <c r="W303" s="7"/>
      <c r="X303" s="7"/>
      <c r="Y303" s="7"/>
      <c r="Z303" s="7"/>
      <c r="AA303" s="7"/>
    </row>
    <row r="304" spans="1:27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3"/>
      <c r="I304" s="213"/>
      <c r="J304" s="213"/>
      <c r="K304" s="213"/>
      <c r="L304" s="213"/>
      <c r="M304" s="643"/>
      <c r="N304" s="616">
        <f t="shared" si="27"/>
        <v>0</v>
      </c>
      <c r="O304" s="633"/>
      <c r="P304" s="648"/>
      <c r="Q304" s="648"/>
      <c r="R304" s="7"/>
      <c r="S304" s="699"/>
      <c r="T304" s="7"/>
      <c r="U304" s="618">
        <f t="shared" si="26"/>
        <v>0</v>
      </c>
      <c r="V304" s="7"/>
      <c r="W304" s="7"/>
      <c r="X304" s="7"/>
      <c r="Y304" s="7"/>
      <c r="Z304" s="7"/>
      <c r="AA304" s="7"/>
    </row>
    <row r="305" spans="1:27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3"/>
      <c r="I305" s="213"/>
      <c r="J305" s="213"/>
      <c r="K305" s="213"/>
      <c r="L305" s="213"/>
      <c r="M305" s="643"/>
      <c r="N305" s="616">
        <f t="shared" si="27"/>
        <v>0</v>
      </c>
      <c r="O305" s="633"/>
      <c r="P305" s="636"/>
      <c r="Q305" s="636"/>
      <c r="R305" s="7"/>
      <c r="S305" s="699"/>
      <c r="T305" s="7"/>
      <c r="U305" s="618">
        <f t="shared" si="26"/>
        <v>0</v>
      </c>
      <c r="V305" s="7"/>
      <c r="W305" s="7"/>
      <c r="X305" s="7"/>
      <c r="Y305" s="7"/>
      <c r="Z305" s="7"/>
      <c r="AA305" s="7"/>
    </row>
    <row r="306" spans="1:27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3"/>
      <c r="I306" s="213"/>
      <c r="J306" s="213"/>
      <c r="K306" s="213"/>
      <c r="L306" s="213"/>
      <c r="M306" s="643"/>
      <c r="N306" s="616">
        <f t="shared" si="27"/>
        <v>0</v>
      </c>
      <c r="O306" s="633"/>
      <c r="P306" s="648"/>
      <c r="Q306" s="648"/>
      <c r="R306" s="7"/>
      <c r="S306" s="699"/>
      <c r="T306" s="7"/>
      <c r="U306" s="618">
        <f t="shared" si="26"/>
        <v>0</v>
      </c>
      <c r="V306" s="7"/>
      <c r="W306" s="7"/>
      <c r="X306" s="7"/>
      <c r="Y306" s="7"/>
      <c r="Z306" s="7"/>
      <c r="AA306" s="7"/>
    </row>
    <row r="307" spans="1:27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3"/>
      <c r="I307" s="213"/>
      <c r="J307" s="213"/>
      <c r="K307" s="213"/>
      <c r="L307" s="213"/>
      <c r="M307" s="643"/>
      <c r="N307" s="616">
        <f t="shared" si="27"/>
        <v>0</v>
      </c>
      <c r="O307" s="633"/>
      <c r="P307" s="648"/>
      <c r="Q307" s="648"/>
      <c r="R307" s="7"/>
      <c r="S307" s="699"/>
      <c r="T307" s="7"/>
      <c r="U307" s="618">
        <f t="shared" si="26"/>
        <v>0</v>
      </c>
      <c r="V307" s="7"/>
      <c r="W307" s="7"/>
      <c r="X307" s="7"/>
      <c r="Y307" s="7"/>
      <c r="Z307" s="7"/>
      <c r="AA307" s="7"/>
    </row>
    <row r="308" spans="1:27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3"/>
      <c r="I308" s="213"/>
      <c r="J308" s="213"/>
      <c r="K308" s="213"/>
      <c r="L308" s="213"/>
      <c r="M308" s="643"/>
      <c r="N308" s="616">
        <f t="shared" si="27"/>
        <v>0</v>
      </c>
      <c r="O308" s="633"/>
      <c r="P308" s="648"/>
      <c r="Q308" s="648"/>
      <c r="R308" s="7"/>
      <c r="S308" s="699"/>
      <c r="T308" s="7"/>
      <c r="U308" s="618">
        <f t="shared" si="26"/>
        <v>0</v>
      </c>
      <c r="V308" s="7"/>
      <c r="W308" s="7"/>
      <c r="X308" s="7"/>
      <c r="Y308" s="7"/>
      <c r="Z308" s="7"/>
      <c r="AA308" s="7"/>
    </row>
    <row r="309" spans="1:27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3"/>
      <c r="I309" s="213"/>
      <c r="J309" s="213"/>
      <c r="K309" s="213"/>
      <c r="L309" s="213"/>
      <c r="M309" s="643"/>
      <c r="N309" s="616">
        <f t="shared" si="27"/>
        <v>0</v>
      </c>
      <c r="O309" s="633"/>
      <c r="P309" s="648"/>
      <c r="Q309" s="648"/>
      <c r="R309" s="7"/>
      <c r="S309" s="699"/>
      <c r="T309" s="7"/>
      <c r="U309" s="618">
        <f t="shared" si="26"/>
        <v>0</v>
      </c>
      <c r="V309" s="7"/>
      <c r="W309" s="7"/>
      <c r="X309" s="7"/>
      <c r="Y309" s="7"/>
      <c r="Z309" s="7"/>
      <c r="AA309" s="7"/>
    </row>
    <row r="310" spans="1:27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3"/>
      <c r="I310" s="213"/>
      <c r="J310" s="213"/>
      <c r="K310" s="213"/>
      <c r="L310" s="213"/>
      <c r="M310" s="643"/>
      <c r="N310" s="616">
        <f t="shared" si="27"/>
        <v>0</v>
      </c>
      <c r="O310" s="633"/>
      <c r="P310" s="636"/>
      <c r="Q310" s="636"/>
      <c r="R310" s="7"/>
      <c r="S310" s="699"/>
      <c r="T310" s="7"/>
      <c r="U310" s="618">
        <f t="shared" si="26"/>
        <v>0</v>
      </c>
      <c r="V310" s="7"/>
      <c r="W310" s="7"/>
      <c r="X310" s="7"/>
      <c r="Y310" s="7"/>
      <c r="Z310" s="7"/>
      <c r="AA310" s="7"/>
    </row>
    <row r="311" spans="1:27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3"/>
      <c r="I311" s="213"/>
      <c r="J311" s="213"/>
      <c r="K311" s="213"/>
      <c r="L311" s="213"/>
      <c r="M311" s="643"/>
      <c r="N311" s="616">
        <f t="shared" si="27"/>
        <v>0</v>
      </c>
      <c r="O311" s="633"/>
      <c r="P311" s="648"/>
      <c r="Q311" s="648"/>
      <c r="R311" s="7"/>
      <c r="S311" s="699"/>
      <c r="T311" s="7"/>
      <c r="U311" s="618">
        <f t="shared" si="26"/>
        <v>0</v>
      </c>
      <c r="V311" s="7"/>
      <c r="W311" s="7"/>
      <c r="X311" s="7"/>
      <c r="Y311" s="7"/>
      <c r="Z311" s="7"/>
      <c r="AA311" s="7"/>
    </row>
    <row r="312" spans="1:27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3"/>
      <c r="I312" s="213"/>
      <c r="J312" s="213"/>
      <c r="K312" s="213"/>
      <c r="L312" s="213"/>
      <c r="M312" s="643"/>
      <c r="N312" s="616">
        <f t="shared" si="27"/>
        <v>0</v>
      </c>
      <c r="O312" s="633"/>
      <c r="P312" s="648"/>
      <c r="Q312" s="648"/>
      <c r="R312" s="7"/>
      <c r="S312" s="699"/>
      <c r="T312" s="7"/>
      <c r="U312" s="618">
        <f t="shared" si="26"/>
        <v>0</v>
      </c>
      <c r="V312" s="7"/>
      <c r="W312" s="7"/>
      <c r="X312" s="7"/>
      <c r="Y312" s="7"/>
      <c r="Z312" s="7"/>
      <c r="AA312" s="7"/>
    </row>
    <row r="313" spans="1:27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3"/>
      <c r="I313" s="213"/>
      <c r="J313" s="213"/>
      <c r="K313" s="213"/>
      <c r="L313" s="213"/>
      <c r="M313" s="643"/>
      <c r="N313" s="616">
        <f t="shared" si="27"/>
        <v>0</v>
      </c>
      <c r="O313" s="633"/>
      <c r="P313" s="648"/>
      <c r="Q313" s="648"/>
      <c r="R313" s="7"/>
      <c r="S313" s="699"/>
      <c r="T313" s="7"/>
      <c r="U313" s="618">
        <f t="shared" si="26"/>
        <v>0</v>
      </c>
      <c r="V313" s="7"/>
      <c r="W313" s="7"/>
      <c r="X313" s="7"/>
      <c r="Y313" s="7"/>
      <c r="Z313" s="7"/>
      <c r="AA313" s="7"/>
    </row>
    <row r="314" spans="1:27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3"/>
      <c r="I314" s="213"/>
      <c r="J314" s="213"/>
      <c r="K314" s="213"/>
      <c r="L314" s="213"/>
      <c r="M314" s="643"/>
      <c r="N314" s="616">
        <f t="shared" si="27"/>
        <v>0</v>
      </c>
      <c r="O314" s="633"/>
      <c r="P314" s="648"/>
      <c r="Q314" s="648"/>
      <c r="R314" s="7"/>
      <c r="S314" s="699"/>
      <c r="T314" s="7"/>
      <c r="U314" s="618">
        <f t="shared" si="26"/>
        <v>0</v>
      </c>
      <c r="V314" s="7"/>
      <c r="W314" s="7"/>
      <c r="X314" s="7"/>
      <c r="Y314" s="7"/>
      <c r="Z314" s="7"/>
      <c r="AA314" s="7"/>
    </row>
    <row r="315" spans="1:27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3"/>
      <c r="I315" s="213"/>
      <c r="J315" s="213"/>
      <c r="K315" s="213"/>
      <c r="L315" s="213"/>
      <c r="M315" s="643"/>
      <c r="N315" s="616">
        <f t="shared" si="27"/>
        <v>0</v>
      </c>
      <c r="O315" s="633"/>
      <c r="P315" s="636"/>
      <c r="Q315" s="636"/>
      <c r="R315" s="7"/>
      <c r="S315" s="699"/>
      <c r="T315" s="7"/>
      <c r="U315" s="618">
        <f t="shared" si="26"/>
        <v>0</v>
      </c>
      <c r="V315" s="7"/>
      <c r="W315" s="7"/>
      <c r="X315" s="7"/>
      <c r="Y315" s="7"/>
      <c r="Z315" s="7"/>
      <c r="AA315" s="7"/>
    </row>
    <row r="316" spans="1:27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3"/>
      <c r="I316" s="213"/>
      <c r="J316" s="213"/>
      <c r="K316" s="213"/>
      <c r="L316" s="213"/>
      <c r="M316" s="643"/>
      <c r="N316" s="616">
        <f t="shared" si="27"/>
        <v>0</v>
      </c>
      <c r="O316" s="633"/>
      <c r="P316" s="648"/>
      <c r="Q316" s="648"/>
      <c r="R316" s="7"/>
      <c r="S316" s="699"/>
      <c r="T316" s="7"/>
      <c r="U316" s="618">
        <f t="shared" si="26"/>
        <v>0</v>
      </c>
      <c r="V316" s="7"/>
      <c r="W316" s="7"/>
      <c r="X316" s="7"/>
      <c r="Y316" s="7"/>
      <c r="Z316" s="7"/>
      <c r="AA316" s="7"/>
    </row>
    <row r="317" spans="1:27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3"/>
      <c r="I317" s="213"/>
      <c r="J317" s="213"/>
      <c r="K317" s="213"/>
      <c r="L317" s="213"/>
      <c r="M317" s="643"/>
      <c r="N317" s="616">
        <f t="shared" si="27"/>
        <v>0</v>
      </c>
      <c r="O317" s="633"/>
      <c r="P317" s="648"/>
      <c r="Q317" s="648"/>
      <c r="R317" s="7"/>
      <c r="S317" s="699"/>
      <c r="T317" s="7"/>
      <c r="U317" s="618">
        <f t="shared" si="26"/>
        <v>0</v>
      </c>
      <c r="V317" s="7"/>
      <c r="W317" s="7"/>
      <c r="X317" s="7"/>
      <c r="Y317" s="7"/>
      <c r="Z317" s="7"/>
      <c r="AA317" s="7"/>
    </row>
    <row r="318" spans="1:27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3"/>
      <c r="I318" s="213"/>
      <c r="J318" s="213"/>
      <c r="K318" s="213"/>
      <c r="L318" s="213"/>
      <c r="M318" s="643"/>
      <c r="N318" s="616">
        <f t="shared" si="27"/>
        <v>0</v>
      </c>
      <c r="O318" s="633"/>
      <c r="P318" s="648"/>
      <c r="Q318" s="648"/>
      <c r="R318" s="7"/>
      <c r="S318" s="699"/>
      <c r="T318" s="7"/>
      <c r="U318" s="618">
        <f t="shared" si="26"/>
        <v>0</v>
      </c>
      <c r="V318" s="7"/>
      <c r="W318" s="7"/>
      <c r="X318" s="7"/>
      <c r="Y318" s="7"/>
      <c r="Z318" s="7"/>
      <c r="AA318" s="7"/>
    </row>
    <row r="319" spans="1:27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3"/>
      <c r="I319" s="213"/>
      <c r="J319" s="213"/>
      <c r="K319" s="213"/>
      <c r="L319" s="213"/>
      <c r="M319" s="643"/>
      <c r="N319" s="616">
        <f t="shared" si="27"/>
        <v>0</v>
      </c>
      <c r="O319" s="633"/>
      <c r="P319" s="648"/>
      <c r="Q319" s="648"/>
      <c r="R319" s="7"/>
      <c r="S319" s="699"/>
      <c r="T319" s="7"/>
      <c r="U319" s="618">
        <f t="shared" si="26"/>
        <v>0</v>
      </c>
      <c r="V319" s="7"/>
      <c r="W319" s="7"/>
      <c r="X319" s="7"/>
      <c r="Y319" s="7"/>
      <c r="Z319" s="7"/>
      <c r="AA319" s="7"/>
    </row>
    <row r="320" spans="1:27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3"/>
      <c r="I320" s="213"/>
      <c r="J320" s="213"/>
      <c r="K320" s="213"/>
      <c r="L320" s="213"/>
      <c r="M320" s="643"/>
      <c r="N320" s="616">
        <f t="shared" si="27"/>
        <v>0</v>
      </c>
      <c r="O320" s="633"/>
      <c r="P320" s="636"/>
      <c r="Q320" s="636"/>
      <c r="R320" s="7"/>
      <c r="S320" s="699"/>
      <c r="T320" s="7"/>
      <c r="U320" s="618">
        <f t="shared" si="26"/>
        <v>0</v>
      </c>
      <c r="V320" s="7"/>
      <c r="W320" s="7"/>
      <c r="X320" s="7"/>
      <c r="Y320" s="7"/>
      <c r="Z320" s="7"/>
      <c r="AA320" s="7"/>
    </row>
    <row r="321" spans="1:27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3"/>
      <c r="I321" s="213"/>
      <c r="J321" s="213"/>
      <c r="K321" s="213"/>
      <c r="L321" s="213"/>
      <c r="M321" s="643"/>
      <c r="N321" s="616">
        <f t="shared" si="27"/>
        <v>0</v>
      </c>
      <c r="O321" s="633"/>
      <c r="P321" s="636"/>
      <c r="Q321" s="636"/>
      <c r="R321" s="7"/>
      <c r="S321" s="699"/>
      <c r="T321" s="7"/>
      <c r="U321" s="618">
        <f t="shared" si="26"/>
        <v>0</v>
      </c>
      <c r="V321" s="7"/>
      <c r="W321" s="7"/>
      <c r="X321" s="7"/>
      <c r="Y321" s="7"/>
      <c r="Z321" s="7"/>
      <c r="AA321" s="7"/>
    </row>
    <row r="322" spans="1:27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3"/>
      <c r="I322" s="213"/>
      <c r="J322" s="213"/>
      <c r="K322" s="213"/>
      <c r="L322" s="213"/>
      <c r="M322" s="643"/>
      <c r="N322" s="616">
        <f t="shared" si="27"/>
        <v>0</v>
      </c>
      <c r="O322" s="633"/>
      <c r="P322" s="636"/>
      <c r="Q322" s="636"/>
      <c r="R322" s="7"/>
      <c r="S322" s="699"/>
      <c r="T322" s="7"/>
      <c r="U322" s="618">
        <f t="shared" si="26"/>
        <v>0</v>
      </c>
      <c r="V322" s="7"/>
      <c r="W322" s="7"/>
      <c r="X322" s="7"/>
      <c r="Y322" s="7"/>
      <c r="Z322" s="7"/>
      <c r="AA322" s="7"/>
    </row>
    <row r="323" spans="1:27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3"/>
      <c r="I323" s="213"/>
      <c r="J323" s="213"/>
      <c r="K323" s="213"/>
      <c r="L323" s="213"/>
      <c r="M323" s="643"/>
      <c r="N323" s="616">
        <f t="shared" si="27"/>
        <v>0</v>
      </c>
      <c r="O323" s="633"/>
      <c r="P323" s="636"/>
      <c r="Q323" s="636"/>
      <c r="R323" s="7"/>
      <c r="S323" s="699"/>
      <c r="T323" s="7"/>
      <c r="U323" s="618">
        <f t="shared" si="26"/>
        <v>0</v>
      </c>
      <c r="V323" s="7"/>
      <c r="W323" s="7"/>
      <c r="X323" s="7"/>
      <c r="Y323" s="7"/>
      <c r="Z323" s="7"/>
      <c r="AA323" s="7"/>
    </row>
    <row r="324" spans="1:27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3"/>
      <c r="I324" s="213"/>
      <c r="J324" s="213"/>
      <c r="K324" s="213"/>
      <c r="L324" s="213"/>
      <c r="M324" s="643"/>
      <c r="N324" s="616">
        <f t="shared" si="27"/>
        <v>0</v>
      </c>
      <c r="O324" s="633"/>
      <c r="P324" s="636"/>
      <c r="Q324" s="636"/>
      <c r="R324" s="7"/>
      <c r="S324" s="699"/>
      <c r="T324" s="7"/>
      <c r="U324" s="618">
        <f t="shared" si="26"/>
        <v>0</v>
      </c>
      <c r="V324" s="7"/>
      <c r="W324" s="7"/>
      <c r="X324" s="7"/>
      <c r="Y324" s="7"/>
      <c r="Z324" s="7"/>
      <c r="AA324" s="7"/>
    </row>
    <row r="325" spans="1:27" ht="33.75" customHeight="1">
      <c r="A325" s="486"/>
      <c r="B325" s="487" t="s">
        <v>703</v>
      </c>
      <c r="C325" s="656" t="s">
        <v>704</v>
      </c>
      <c r="D325" s="519" t="s">
        <v>2077</v>
      </c>
      <c r="E325" s="213"/>
      <c r="F325" s="213"/>
      <c r="G325" s="213"/>
      <c r="H325" s="213"/>
      <c r="I325" s="213"/>
      <c r="J325" s="213"/>
      <c r="K325" s="213"/>
      <c r="L325" s="213"/>
      <c r="M325" s="643"/>
      <c r="N325" s="616">
        <f t="shared" si="27"/>
        <v>0</v>
      </c>
      <c r="O325" s="633"/>
      <c r="P325" s="636"/>
      <c r="Q325" s="636"/>
      <c r="R325" s="7"/>
      <c r="S325" s="699"/>
      <c r="T325" s="7"/>
      <c r="U325" s="618">
        <f t="shared" si="26"/>
        <v>0</v>
      </c>
      <c r="V325" s="7"/>
      <c r="W325" s="7"/>
      <c r="X325" s="7"/>
      <c r="Y325" s="7"/>
      <c r="Z325" s="7"/>
      <c r="AA325" s="7"/>
    </row>
    <row r="326" spans="1:27" ht="25.5" customHeight="1">
      <c r="A326" s="503"/>
      <c r="B326" s="483" t="s">
        <v>707</v>
      </c>
      <c r="C326" s="629" t="s">
        <v>131</v>
      </c>
      <c r="D326" s="354" t="s">
        <v>2078</v>
      </c>
      <c r="E326" s="213"/>
      <c r="F326" s="213"/>
      <c r="G326" s="213"/>
      <c r="H326" s="213"/>
      <c r="I326" s="213"/>
      <c r="J326" s="213"/>
      <c r="K326" s="213"/>
      <c r="L326" s="213"/>
      <c r="M326" s="643"/>
      <c r="N326" s="616">
        <f t="shared" si="27"/>
        <v>0</v>
      </c>
      <c r="O326" s="633"/>
      <c r="P326" s="634"/>
      <c r="Q326" s="634"/>
      <c r="R326" s="7"/>
      <c r="S326" s="699"/>
      <c r="T326" s="7"/>
      <c r="U326" s="618">
        <f t="shared" si="26"/>
        <v>0</v>
      </c>
      <c r="V326" s="7"/>
      <c r="W326" s="7"/>
      <c r="X326" s="7"/>
      <c r="Y326" s="7"/>
      <c r="Z326" s="7"/>
      <c r="AA326" s="7"/>
    </row>
    <row r="327" spans="1:27" ht="21" customHeight="1">
      <c r="A327" s="503"/>
      <c r="B327" s="483" t="s">
        <v>709</v>
      </c>
      <c r="C327" s="629" t="s">
        <v>200</v>
      </c>
      <c r="D327" s="354" t="s">
        <v>2079</v>
      </c>
      <c r="E327" s="213"/>
      <c r="F327" s="213"/>
      <c r="G327" s="213"/>
      <c r="H327" s="213"/>
      <c r="I327" s="213"/>
      <c r="J327" s="213"/>
      <c r="K327" s="213"/>
      <c r="L327" s="213"/>
      <c r="M327" s="643"/>
      <c r="N327" s="616">
        <f t="shared" si="27"/>
        <v>0</v>
      </c>
      <c r="O327" s="633"/>
      <c r="P327" s="636"/>
      <c r="Q327" s="636"/>
      <c r="R327" s="7"/>
      <c r="S327" s="699"/>
      <c r="T327" s="7"/>
      <c r="U327" s="618">
        <f t="shared" si="26"/>
        <v>0</v>
      </c>
      <c r="V327" s="7"/>
      <c r="W327" s="7"/>
      <c r="X327" s="7"/>
      <c r="Y327" s="7"/>
      <c r="Z327" s="7"/>
      <c r="AA327" s="7"/>
    </row>
    <row r="328" spans="1:27" ht="21" customHeight="1">
      <c r="A328" s="503"/>
      <c r="B328" s="483" t="s">
        <v>711</v>
      </c>
      <c r="C328" s="629" t="s">
        <v>203</v>
      </c>
      <c r="D328" s="354" t="s">
        <v>2080</v>
      </c>
      <c r="E328" s="213"/>
      <c r="F328" s="213"/>
      <c r="G328" s="213"/>
      <c r="H328" s="213"/>
      <c r="I328" s="213"/>
      <c r="J328" s="213"/>
      <c r="K328" s="213"/>
      <c r="L328" s="213"/>
      <c r="M328" s="643"/>
      <c r="N328" s="616">
        <f t="shared" si="27"/>
        <v>0</v>
      </c>
      <c r="O328" s="633"/>
      <c r="P328" s="636"/>
      <c r="Q328" s="636"/>
      <c r="R328" s="7"/>
      <c r="S328" s="699"/>
      <c r="T328" s="7"/>
      <c r="U328" s="618">
        <f t="shared" si="26"/>
        <v>0</v>
      </c>
      <c r="V328" s="7"/>
      <c r="W328" s="7"/>
      <c r="X328" s="7"/>
      <c r="Y328" s="7"/>
      <c r="Z328" s="7"/>
      <c r="AA328" s="7"/>
    </row>
    <row r="329" spans="1:27" ht="21" customHeight="1">
      <c r="A329" s="503"/>
      <c r="B329" s="483" t="s">
        <v>713</v>
      </c>
      <c r="C329" s="629" t="s">
        <v>159</v>
      </c>
      <c r="D329" s="354" t="s">
        <v>2081</v>
      </c>
      <c r="E329" s="213"/>
      <c r="F329" s="213"/>
      <c r="G329" s="213"/>
      <c r="H329" s="213"/>
      <c r="I329" s="213"/>
      <c r="J329" s="213"/>
      <c r="K329" s="213"/>
      <c r="L329" s="213"/>
      <c r="M329" s="643"/>
      <c r="N329" s="616">
        <f t="shared" si="27"/>
        <v>0</v>
      </c>
      <c r="O329" s="633"/>
      <c r="P329" s="636"/>
      <c r="Q329" s="636"/>
      <c r="R329" s="7"/>
      <c r="S329" s="699"/>
      <c r="T329" s="7"/>
      <c r="U329" s="618">
        <f t="shared" si="26"/>
        <v>0</v>
      </c>
      <c r="V329" s="7"/>
      <c r="W329" s="7"/>
      <c r="X329" s="7"/>
      <c r="Y329" s="7"/>
      <c r="Z329" s="7"/>
      <c r="AA329" s="7"/>
    </row>
    <row r="330" spans="1:27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3"/>
      <c r="I330" s="213"/>
      <c r="J330" s="213"/>
      <c r="K330" s="213"/>
      <c r="L330" s="213"/>
      <c r="M330" s="643"/>
      <c r="N330" s="616">
        <f t="shared" si="27"/>
        <v>0</v>
      </c>
      <c r="O330" s="633"/>
      <c r="P330" s="636"/>
      <c r="Q330" s="636"/>
      <c r="R330" s="7"/>
      <c r="S330" s="699"/>
      <c r="T330" s="7"/>
      <c r="U330" s="618">
        <f t="shared" si="26"/>
        <v>0</v>
      </c>
      <c r="V330" s="7"/>
      <c r="W330" s="7"/>
      <c r="X330" s="7"/>
      <c r="Y330" s="7"/>
      <c r="Z330" s="7"/>
      <c r="AA330" s="7"/>
    </row>
    <row r="331" spans="1:27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3"/>
      <c r="I331" s="213"/>
      <c r="J331" s="213"/>
      <c r="K331" s="213"/>
      <c r="L331" s="213"/>
      <c r="M331" s="643"/>
      <c r="N331" s="616">
        <f t="shared" si="27"/>
        <v>0</v>
      </c>
      <c r="O331" s="633"/>
      <c r="P331" s="654"/>
      <c r="Q331" s="654"/>
      <c r="R331" s="7"/>
      <c r="S331" s="699"/>
      <c r="T331" s="7"/>
      <c r="U331" s="618">
        <f t="shared" si="26"/>
        <v>0</v>
      </c>
      <c r="V331" s="7"/>
      <c r="W331" s="7"/>
      <c r="X331" s="7"/>
      <c r="Y331" s="7"/>
      <c r="Z331" s="7"/>
      <c r="AA331" s="7"/>
    </row>
    <row r="332" spans="1:27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3"/>
      <c r="I332" s="213"/>
      <c r="J332" s="213"/>
      <c r="K332" s="213"/>
      <c r="L332" s="213"/>
      <c r="M332" s="643"/>
      <c r="N332" s="616">
        <f t="shared" si="27"/>
        <v>0</v>
      </c>
      <c r="O332" s="633"/>
      <c r="P332" s="648"/>
      <c r="Q332" s="648"/>
      <c r="R332" s="7"/>
      <c r="S332" s="699"/>
      <c r="T332" s="7"/>
      <c r="U332" s="618">
        <f t="shared" si="26"/>
        <v>0</v>
      </c>
      <c r="V332" s="7"/>
      <c r="W332" s="7"/>
      <c r="X332" s="7"/>
      <c r="Y332" s="7"/>
      <c r="Z332" s="7"/>
      <c r="AA332" s="7"/>
    </row>
    <row r="333" spans="1:27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3"/>
      <c r="I333" s="213"/>
      <c r="J333" s="213"/>
      <c r="K333" s="213"/>
      <c r="L333" s="213"/>
      <c r="M333" s="643"/>
      <c r="N333" s="616">
        <f t="shared" si="27"/>
        <v>0</v>
      </c>
      <c r="O333" s="633"/>
      <c r="P333" s="648"/>
      <c r="Q333" s="648"/>
      <c r="R333" s="7"/>
      <c r="S333" s="699"/>
      <c r="T333" s="7"/>
      <c r="U333" s="618">
        <f t="shared" si="26"/>
        <v>0</v>
      </c>
      <c r="V333" s="7"/>
      <c r="W333" s="7"/>
      <c r="X333" s="7"/>
      <c r="Y333" s="7"/>
      <c r="Z333" s="7"/>
      <c r="AA333" s="7"/>
    </row>
    <row r="334" spans="1:27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3"/>
      <c r="I334" s="213"/>
      <c r="J334" s="213"/>
      <c r="K334" s="213"/>
      <c r="L334" s="213"/>
      <c r="M334" s="643"/>
      <c r="N334" s="616">
        <f t="shared" si="27"/>
        <v>0</v>
      </c>
      <c r="O334" s="633"/>
      <c r="P334" s="648"/>
      <c r="Q334" s="648"/>
      <c r="R334" s="7"/>
      <c r="S334" s="699"/>
      <c r="T334" s="7"/>
      <c r="U334" s="618">
        <f t="shared" si="26"/>
        <v>0</v>
      </c>
      <c r="V334" s="7"/>
      <c r="W334" s="7"/>
      <c r="X334" s="7"/>
      <c r="Y334" s="7"/>
      <c r="Z334" s="7"/>
      <c r="AA334" s="7"/>
    </row>
    <row r="335" spans="1:27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3"/>
      <c r="I335" s="213"/>
      <c r="J335" s="213"/>
      <c r="K335" s="213"/>
      <c r="L335" s="213"/>
      <c r="M335" s="643"/>
      <c r="N335" s="616">
        <f t="shared" si="27"/>
        <v>0</v>
      </c>
      <c r="O335" s="633"/>
      <c r="P335" s="648"/>
      <c r="Q335" s="648"/>
      <c r="R335" s="7"/>
      <c r="S335" s="699"/>
      <c r="T335" s="7"/>
      <c r="U335" s="618">
        <f t="shared" si="26"/>
        <v>0</v>
      </c>
      <c r="V335" s="7"/>
      <c r="W335" s="7"/>
      <c r="X335" s="7"/>
      <c r="Y335" s="7"/>
      <c r="Z335" s="7"/>
      <c r="AA335" s="7"/>
    </row>
    <row r="336" spans="1:27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3"/>
      <c r="I336" s="213"/>
      <c r="J336" s="213"/>
      <c r="K336" s="213"/>
      <c r="L336" s="213"/>
      <c r="M336" s="643"/>
      <c r="N336" s="616">
        <f t="shared" si="27"/>
        <v>0</v>
      </c>
      <c r="O336" s="633"/>
      <c r="P336" s="654"/>
      <c r="Q336" s="654"/>
      <c r="R336" s="7"/>
      <c r="S336" s="699"/>
      <c r="T336" s="7"/>
      <c r="U336" s="618">
        <f t="shared" si="26"/>
        <v>0</v>
      </c>
      <c r="V336" s="7"/>
      <c r="W336" s="7"/>
      <c r="X336" s="7"/>
      <c r="Y336" s="7"/>
      <c r="Z336" s="7"/>
      <c r="AA336" s="7"/>
    </row>
    <row r="337" spans="1:27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3"/>
      <c r="I337" s="213"/>
      <c r="J337" s="213"/>
      <c r="K337" s="213"/>
      <c r="L337" s="213"/>
      <c r="M337" s="643"/>
      <c r="N337" s="616">
        <f t="shared" si="27"/>
        <v>0</v>
      </c>
      <c r="O337" s="633"/>
      <c r="P337" s="654"/>
      <c r="Q337" s="654"/>
      <c r="R337" s="7"/>
      <c r="S337" s="699"/>
      <c r="T337" s="7"/>
      <c r="U337" s="618">
        <f t="shared" si="26"/>
        <v>0</v>
      </c>
      <c r="V337" s="7"/>
      <c r="W337" s="7"/>
      <c r="X337" s="7"/>
      <c r="Y337" s="7"/>
      <c r="Z337" s="7"/>
      <c r="AA337" s="7"/>
    </row>
    <row r="338" spans="1:27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3"/>
      <c r="I338" s="213"/>
      <c r="J338" s="213"/>
      <c r="K338" s="213"/>
      <c r="L338" s="213"/>
      <c r="M338" s="643"/>
      <c r="N338" s="616">
        <f t="shared" si="27"/>
        <v>0</v>
      </c>
      <c r="O338" s="633"/>
      <c r="P338" s="654"/>
      <c r="Q338" s="654"/>
      <c r="R338" s="7"/>
      <c r="S338" s="699"/>
      <c r="T338" s="7"/>
      <c r="U338" s="618">
        <f t="shared" si="26"/>
        <v>0</v>
      </c>
      <c r="V338" s="7"/>
      <c r="W338" s="7"/>
      <c r="X338" s="7"/>
      <c r="Y338" s="7"/>
      <c r="Z338" s="7"/>
      <c r="AA338" s="7"/>
    </row>
    <row r="339" spans="1:27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3"/>
      <c r="I339" s="213"/>
      <c r="J339" s="213"/>
      <c r="K339" s="213"/>
      <c r="L339" s="213"/>
      <c r="M339" s="643"/>
      <c r="N339" s="616">
        <f t="shared" si="27"/>
        <v>0</v>
      </c>
      <c r="O339" s="633"/>
      <c r="P339" s="654"/>
      <c r="Q339" s="654"/>
      <c r="R339" s="7"/>
      <c r="S339" s="699"/>
      <c r="T339" s="7"/>
      <c r="U339" s="618">
        <f t="shared" si="26"/>
        <v>0</v>
      </c>
      <c r="V339" s="7"/>
      <c r="W339" s="7"/>
      <c r="X339" s="7"/>
      <c r="Y339" s="7"/>
      <c r="Z339" s="7"/>
      <c r="AA339" s="7"/>
    </row>
    <row r="340" spans="1:27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3"/>
      <c r="I340" s="213"/>
      <c r="J340" s="213"/>
      <c r="K340" s="213"/>
      <c r="L340" s="213"/>
      <c r="M340" s="643"/>
      <c r="N340" s="616">
        <f t="shared" si="27"/>
        <v>0</v>
      </c>
      <c r="O340" s="633"/>
      <c r="P340" s="648"/>
      <c r="Q340" s="648"/>
      <c r="R340" s="7"/>
      <c r="S340" s="699"/>
      <c r="T340" s="7"/>
      <c r="U340" s="618">
        <f t="shared" si="26"/>
        <v>0</v>
      </c>
      <c r="V340" s="7"/>
      <c r="W340" s="7"/>
      <c r="X340" s="7"/>
      <c r="Y340" s="7"/>
      <c r="Z340" s="7"/>
      <c r="AA340" s="7"/>
    </row>
    <row r="341" spans="1:27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3"/>
      <c r="I341" s="213"/>
      <c r="J341" s="213"/>
      <c r="K341" s="213"/>
      <c r="L341" s="213"/>
      <c r="M341" s="643"/>
      <c r="N341" s="616">
        <f t="shared" si="27"/>
        <v>0</v>
      </c>
      <c r="O341" s="633"/>
      <c r="P341" s="654"/>
      <c r="Q341" s="654"/>
      <c r="R341" s="7"/>
      <c r="S341" s="699"/>
      <c r="T341" s="7"/>
      <c r="U341" s="618">
        <f t="shared" si="26"/>
        <v>0</v>
      </c>
      <c r="V341" s="7"/>
      <c r="W341" s="7"/>
      <c r="X341" s="7"/>
      <c r="Y341" s="7"/>
      <c r="Z341" s="7"/>
      <c r="AA341" s="7"/>
    </row>
    <row r="342" spans="1:27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3"/>
      <c r="I342" s="213"/>
      <c r="J342" s="213"/>
      <c r="K342" s="213"/>
      <c r="L342" s="213"/>
      <c r="M342" s="643"/>
      <c r="N342" s="616">
        <f t="shared" si="27"/>
        <v>0</v>
      </c>
      <c r="O342" s="633"/>
      <c r="P342" s="654"/>
      <c r="Q342" s="654"/>
      <c r="R342" s="7"/>
      <c r="S342" s="699"/>
      <c r="T342" s="7"/>
      <c r="U342" s="618">
        <f t="shared" si="26"/>
        <v>0</v>
      </c>
      <c r="V342" s="7"/>
      <c r="W342" s="7"/>
      <c r="X342" s="7"/>
      <c r="Y342" s="7"/>
      <c r="Z342" s="7"/>
      <c r="AA342" s="7"/>
    </row>
    <row r="343" spans="1:27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3"/>
      <c r="I343" s="213"/>
      <c r="J343" s="213"/>
      <c r="K343" s="213"/>
      <c r="L343" s="213"/>
      <c r="M343" s="643"/>
      <c r="N343" s="616">
        <f t="shared" si="27"/>
        <v>0</v>
      </c>
      <c r="O343" s="633"/>
      <c r="P343" s="654"/>
      <c r="Q343" s="654"/>
      <c r="R343" s="7"/>
      <c r="S343" s="699"/>
      <c r="T343" s="7"/>
      <c r="U343" s="618">
        <f t="shared" si="26"/>
        <v>0</v>
      </c>
      <c r="V343" s="7"/>
      <c r="W343" s="7"/>
      <c r="X343" s="7"/>
      <c r="Y343" s="7"/>
      <c r="Z343" s="7"/>
      <c r="AA343" s="7"/>
    </row>
    <row r="344" spans="1:27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3"/>
      <c r="I344" s="213"/>
      <c r="J344" s="213"/>
      <c r="K344" s="213"/>
      <c r="L344" s="213"/>
      <c r="M344" s="643"/>
      <c r="N344" s="616">
        <f t="shared" si="27"/>
        <v>0</v>
      </c>
      <c r="O344" s="633"/>
      <c r="P344" s="654"/>
      <c r="Q344" s="654"/>
      <c r="R344" s="7"/>
      <c r="S344" s="699"/>
      <c r="T344" s="7"/>
      <c r="U344" s="618">
        <f t="shared" si="26"/>
        <v>0</v>
      </c>
      <c r="V344" s="7"/>
      <c r="W344" s="7"/>
      <c r="X344" s="7"/>
      <c r="Y344" s="7"/>
      <c r="Z344" s="7"/>
      <c r="AA344" s="7"/>
    </row>
    <row r="345" spans="1:27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3"/>
      <c r="I345" s="213"/>
      <c r="J345" s="213"/>
      <c r="K345" s="213"/>
      <c r="L345" s="213"/>
      <c r="M345" s="643"/>
      <c r="N345" s="616">
        <f t="shared" si="27"/>
        <v>0</v>
      </c>
      <c r="O345" s="633"/>
      <c r="P345" s="654"/>
      <c r="Q345" s="654"/>
      <c r="R345" s="7"/>
      <c r="S345" s="699"/>
      <c r="T345" s="7"/>
      <c r="U345" s="618">
        <f t="shared" si="26"/>
        <v>0</v>
      </c>
      <c r="V345" s="7"/>
      <c r="W345" s="7"/>
      <c r="X345" s="7"/>
      <c r="Y345" s="7"/>
      <c r="Z345" s="7"/>
      <c r="AA345" s="7"/>
    </row>
    <row r="346" spans="1:27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3"/>
      <c r="I346" s="213"/>
      <c r="J346" s="213"/>
      <c r="K346" s="213"/>
      <c r="L346" s="213"/>
      <c r="M346" s="643"/>
      <c r="N346" s="616">
        <f t="shared" si="27"/>
        <v>0</v>
      </c>
      <c r="O346" s="633"/>
      <c r="P346" s="636"/>
      <c r="Q346" s="636"/>
      <c r="R346" s="7"/>
      <c r="S346" s="699"/>
      <c r="T346" s="7"/>
      <c r="U346" s="618">
        <f t="shared" si="26"/>
        <v>0</v>
      </c>
      <c r="V346" s="7"/>
      <c r="W346" s="7"/>
      <c r="X346" s="7"/>
      <c r="Y346" s="7"/>
      <c r="Z346" s="7"/>
      <c r="AA346" s="7"/>
    </row>
    <row r="347" spans="1:27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3"/>
      <c r="I347" s="213"/>
      <c r="J347" s="213"/>
      <c r="K347" s="213"/>
      <c r="L347" s="213"/>
      <c r="M347" s="643"/>
      <c r="N347" s="616">
        <f t="shared" si="27"/>
        <v>0</v>
      </c>
      <c r="O347" s="633"/>
      <c r="P347" s="636"/>
      <c r="Q347" s="636"/>
      <c r="R347" s="7"/>
      <c r="S347" s="699"/>
      <c r="T347" s="7"/>
      <c r="U347" s="618">
        <f t="shared" si="26"/>
        <v>0</v>
      </c>
      <c r="V347" s="7"/>
      <c r="W347" s="7"/>
      <c r="X347" s="7"/>
      <c r="Y347" s="7"/>
      <c r="Z347" s="7"/>
      <c r="AA347" s="7"/>
    </row>
    <row r="348" spans="1:27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3"/>
      <c r="I348" s="213"/>
      <c r="J348" s="213"/>
      <c r="K348" s="213"/>
      <c r="L348" s="213"/>
      <c r="M348" s="643"/>
      <c r="N348" s="616">
        <f t="shared" si="27"/>
        <v>0</v>
      </c>
      <c r="O348" s="633"/>
      <c r="P348" s="636"/>
      <c r="Q348" s="636"/>
      <c r="R348" s="7"/>
      <c r="S348" s="699"/>
      <c r="T348" s="7"/>
      <c r="U348" s="618">
        <f t="shared" si="26"/>
        <v>0</v>
      </c>
      <c r="V348" s="7"/>
      <c r="W348" s="7"/>
      <c r="X348" s="7"/>
      <c r="Y348" s="7"/>
      <c r="Z348" s="7"/>
      <c r="AA348" s="7"/>
    </row>
    <row r="349" spans="1:27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3"/>
      <c r="I349" s="213"/>
      <c r="J349" s="213"/>
      <c r="K349" s="213"/>
      <c r="L349" s="213"/>
      <c r="M349" s="643"/>
      <c r="N349" s="616">
        <f t="shared" si="27"/>
        <v>0</v>
      </c>
      <c r="O349" s="633"/>
      <c r="P349" s="636"/>
      <c r="Q349" s="636"/>
      <c r="R349" s="7"/>
      <c r="S349" s="699"/>
      <c r="T349" s="7"/>
      <c r="U349" s="618">
        <f t="shared" si="26"/>
        <v>0</v>
      </c>
      <c r="V349" s="7"/>
      <c r="W349" s="7"/>
      <c r="X349" s="7"/>
      <c r="Y349" s="7"/>
      <c r="Z349" s="7"/>
      <c r="AA349" s="7"/>
    </row>
    <row r="350" spans="1:27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3"/>
      <c r="I350" s="213"/>
      <c r="J350" s="213"/>
      <c r="K350" s="213"/>
      <c r="L350" s="213"/>
      <c r="M350" s="643"/>
      <c r="N350" s="616">
        <f t="shared" si="27"/>
        <v>0</v>
      </c>
      <c r="O350" s="633"/>
      <c r="P350" s="636"/>
      <c r="Q350" s="636"/>
      <c r="R350" s="7"/>
      <c r="S350" s="699"/>
      <c r="T350" s="7"/>
      <c r="U350" s="618">
        <f t="shared" si="26"/>
        <v>0</v>
      </c>
      <c r="V350" s="7"/>
      <c r="W350" s="7"/>
      <c r="X350" s="7"/>
      <c r="Y350" s="7"/>
      <c r="Z350" s="7"/>
      <c r="AA350" s="7"/>
    </row>
    <row r="351" spans="1:27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3"/>
      <c r="I351" s="213"/>
      <c r="J351" s="213"/>
      <c r="K351" s="213"/>
      <c r="L351" s="213"/>
      <c r="M351" s="643"/>
      <c r="N351" s="616">
        <f t="shared" si="27"/>
        <v>0</v>
      </c>
      <c r="O351" s="633"/>
      <c r="P351" s="636"/>
      <c r="Q351" s="636"/>
      <c r="R351" s="7"/>
      <c r="S351" s="699"/>
      <c r="T351" s="7"/>
      <c r="U351" s="618">
        <f t="shared" si="26"/>
        <v>0</v>
      </c>
      <c r="V351" s="7"/>
      <c r="W351" s="7"/>
      <c r="X351" s="7"/>
      <c r="Y351" s="7"/>
      <c r="Z351" s="7"/>
      <c r="AA351" s="7"/>
    </row>
    <row r="352" spans="1:27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3"/>
      <c r="I352" s="213"/>
      <c r="J352" s="213"/>
      <c r="K352" s="213"/>
      <c r="L352" s="213"/>
      <c r="M352" s="643"/>
      <c r="N352" s="616">
        <f t="shared" si="27"/>
        <v>0</v>
      </c>
      <c r="O352" s="633"/>
      <c r="P352" s="636"/>
      <c r="Q352" s="636"/>
      <c r="R352" s="7"/>
      <c r="S352" s="699"/>
      <c r="T352" s="7"/>
      <c r="U352" s="618">
        <f t="shared" si="26"/>
        <v>0</v>
      </c>
      <c r="V352" s="7"/>
      <c r="W352" s="7"/>
      <c r="X352" s="7"/>
      <c r="Y352" s="7"/>
      <c r="Z352" s="7"/>
      <c r="AA352" s="7"/>
    </row>
    <row r="353" spans="1:27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3"/>
      <c r="I353" s="213"/>
      <c r="J353" s="213"/>
      <c r="K353" s="213"/>
      <c r="L353" s="213"/>
      <c r="M353" s="643"/>
      <c r="N353" s="616">
        <f t="shared" si="27"/>
        <v>0</v>
      </c>
      <c r="O353" s="633"/>
      <c r="P353" s="640"/>
      <c r="Q353" s="640"/>
      <c r="R353" s="7"/>
      <c r="S353" s="699"/>
      <c r="T353" s="7"/>
      <c r="U353" s="618">
        <f t="shared" si="26"/>
        <v>0</v>
      </c>
      <c r="V353" s="7"/>
      <c r="W353" s="7"/>
      <c r="X353" s="7"/>
      <c r="Y353" s="7"/>
      <c r="Z353" s="7"/>
      <c r="AA353" s="7"/>
    </row>
    <row r="354" spans="1:27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3"/>
      <c r="I354" s="213"/>
      <c r="J354" s="213"/>
      <c r="K354" s="213"/>
      <c r="L354" s="213"/>
      <c r="M354" s="643"/>
      <c r="N354" s="616">
        <f t="shared" si="27"/>
        <v>0</v>
      </c>
      <c r="O354" s="633"/>
      <c r="P354" s="547"/>
      <c r="Q354" s="547"/>
      <c r="R354" s="7"/>
      <c r="S354" s="699"/>
      <c r="T354" s="7"/>
      <c r="U354" s="618">
        <f t="shared" si="26"/>
        <v>0</v>
      </c>
      <c r="V354" s="7"/>
      <c r="W354" s="7"/>
      <c r="X354" s="7"/>
      <c r="Y354" s="7"/>
      <c r="Z354" s="7"/>
      <c r="AA354" s="7"/>
    </row>
    <row r="355" spans="1:27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3"/>
      <c r="I355" s="213"/>
      <c r="J355" s="213"/>
      <c r="K355" s="213"/>
      <c r="L355" s="213"/>
      <c r="M355" s="643"/>
      <c r="N355" s="616">
        <f t="shared" si="27"/>
        <v>0</v>
      </c>
      <c r="O355" s="633"/>
      <c r="P355" s="666"/>
      <c r="Q355" s="666"/>
      <c r="R355" s="7"/>
      <c r="S355" s="699"/>
      <c r="T355" s="7"/>
      <c r="U355" s="618">
        <f t="shared" si="26"/>
        <v>0</v>
      </c>
      <c r="V355" s="7"/>
      <c r="W355" s="7"/>
      <c r="X355" s="7"/>
      <c r="Y355" s="7"/>
      <c r="Z355" s="7"/>
      <c r="AA355" s="7"/>
    </row>
    <row r="356" spans="1:27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3"/>
      <c r="I356" s="213"/>
      <c r="J356" s="213"/>
      <c r="K356" s="213"/>
      <c r="L356" s="213"/>
      <c r="M356" s="643"/>
      <c r="N356" s="616">
        <f t="shared" si="27"/>
        <v>0</v>
      </c>
      <c r="O356" s="633"/>
      <c r="P356" s="666"/>
      <c r="Q356" s="666"/>
      <c r="R356" s="7"/>
      <c r="S356" s="699"/>
      <c r="T356" s="7"/>
      <c r="U356" s="618">
        <f t="shared" si="26"/>
        <v>0</v>
      </c>
      <c r="V356" s="7"/>
      <c r="W356" s="7"/>
      <c r="X356" s="7"/>
      <c r="Y356" s="7"/>
      <c r="Z356" s="7"/>
      <c r="AA356" s="7"/>
    </row>
    <row r="357" spans="1:27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3"/>
      <c r="I357" s="213"/>
      <c r="J357" s="213"/>
      <c r="K357" s="213"/>
      <c r="L357" s="213"/>
      <c r="M357" s="643"/>
      <c r="N357" s="616">
        <f t="shared" si="27"/>
        <v>0</v>
      </c>
      <c r="O357" s="633"/>
      <c r="P357" s="542"/>
      <c r="Q357" s="542"/>
      <c r="R357" s="7"/>
      <c r="S357" s="699"/>
      <c r="T357" s="7"/>
      <c r="U357" s="618">
        <f t="shared" si="26"/>
        <v>0</v>
      </c>
      <c r="V357" s="7"/>
      <c r="W357" s="7"/>
      <c r="X357" s="7"/>
      <c r="Y357" s="7"/>
      <c r="Z357" s="7"/>
      <c r="AA357" s="7"/>
    </row>
    <row r="358" spans="1:27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3"/>
      <c r="I358" s="213"/>
      <c r="J358" s="213"/>
      <c r="K358" s="213"/>
      <c r="L358" s="213"/>
      <c r="M358" s="643"/>
      <c r="N358" s="616">
        <f t="shared" si="27"/>
        <v>0</v>
      </c>
      <c r="O358" s="633"/>
      <c r="P358" s="542"/>
      <c r="Q358" s="542"/>
      <c r="R358" s="7"/>
      <c r="S358" s="699"/>
      <c r="T358" s="7"/>
      <c r="U358" s="618">
        <f t="shared" si="26"/>
        <v>0</v>
      </c>
      <c r="V358" s="7"/>
      <c r="W358" s="7"/>
      <c r="X358" s="7"/>
      <c r="Y358" s="7"/>
      <c r="Z358" s="7"/>
      <c r="AA358" s="7"/>
    </row>
    <row r="359" spans="1:27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3"/>
      <c r="I359" s="213"/>
      <c r="J359" s="213"/>
      <c r="K359" s="213"/>
      <c r="L359" s="213"/>
      <c r="M359" s="643"/>
      <c r="N359" s="616">
        <f t="shared" si="27"/>
        <v>0</v>
      </c>
      <c r="O359" s="633"/>
      <c r="P359" s="542"/>
      <c r="Q359" s="542"/>
      <c r="R359" s="7"/>
      <c r="S359" s="699"/>
      <c r="T359" s="7"/>
      <c r="U359" s="618">
        <f t="shared" si="26"/>
        <v>0</v>
      </c>
      <c r="V359" s="7"/>
      <c r="W359" s="7"/>
      <c r="X359" s="7"/>
      <c r="Y359" s="7"/>
      <c r="Z359" s="7"/>
      <c r="AA359" s="7"/>
    </row>
    <row r="360" spans="1:27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3"/>
      <c r="I360" s="213"/>
      <c r="J360" s="213"/>
      <c r="K360" s="213"/>
      <c r="L360" s="213"/>
      <c r="M360" s="643"/>
      <c r="N360" s="616">
        <f t="shared" si="27"/>
        <v>0</v>
      </c>
      <c r="O360" s="633"/>
      <c r="P360" s="542"/>
      <c r="Q360" s="542"/>
      <c r="R360" s="7"/>
      <c r="S360" s="699"/>
      <c r="T360" s="7"/>
      <c r="U360" s="618">
        <f t="shared" si="26"/>
        <v>0</v>
      </c>
      <c r="V360" s="7"/>
      <c r="W360" s="7"/>
      <c r="X360" s="7"/>
      <c r="Y360" s="7"/>
      <c r="Z360" s="7"/>
      <c r="AA360" s="7"/>
    </row>
    <row r="361" spans="1:27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3"/>
      <c r="I361" s="213"/>
      <c r="J361" s="213"/>
      <c r="K361" s="213"/>
      <c r="L361" s="213"/>
      <c r="M361" s="643"/>
      <c r="N361" s="616">
        <f t="shared" si="27"/>
        <v>0</v>
      </c>
      <c r="O361" s="633"/>
      <c r="P361" s="547"/>
      <c r="Q361" s="547"/>
      <c r="R361" s="7"/>
      <c r="S361" s="699"/>
      <c r="T361" s="7"/>
      <c r="U361" s="618">
        <f t="shared" si="26"/>
        <v>0</v>
      </c>
      <c r="V361" s="7"/>
      <c r="W361" s="7"/>
      <c r="X361" s="7"/>
      <c r="Y361" s="7"/>
      <c r="Z361" s="7"/>
      <c r="AA361" s="7"/>
    </row>
    <row r="362" spans="1:27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3"/>
      <c r="I362" s="213"/>
      <c r="J362" s="213"/>
      <c r="K362" s="213"/>
      <c r="L362" s="213"/>
      <c r="M362" s="643"/>
      <c r="N362" s="616">
        <f t="shared" si="27"/>
        <v>0</v>
      </c>
      <c r="O362" s="633"/>
      <c r="P362" s="241"/>
      <c r="Q362" s="241"/>
      <c r="R362" s="7"/>
      <c r="S362" s="699"/>
      <c r="T362" s="7"/>
      <c r="U362" s="618">
        <f t="shared" si="26"/>
        <v>0</v>
      </c>
      <c r="V362" s="7"/>
      <c r="W362" s="7"/>
      <c r="X362" s="7"/>
      <c r="Y362" s="7"/>
      <c r="Z362" s="7"/>
      <c r="AA362" s="7"/>
    </row>
    <row r="363" spans="1:27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3"/>
      <c r="I363" s="213"/>
      <c r="J363" s="213"/>
      <c r="K363" s="213"/>
      <c r="L363" s="213"/>
      <c r="M363" s="643"/>
      <c r="N363" s="616">
        <f t="shared" si="27"/>
        <v>0</v>
      </c>
      <c r="O363" s="633"/>
      <c r="P363" s="241"/>
      <c r="Q363" s="241"/>
      <c r="R363" s="7"/>
      <c r="S363" s="699"/>
      <c r="T363" s="7"/>
      <c r="U363" s="618">
        <f t="shared" si="26"/>
        <v>0</v>
      </c>
      <c r="V363" s="7"/>
      <c r="W363" s="7"/>
      <c r="X363" s="7"/>
      <c r="Y363" s="7"/>
      <c r="Z363" s="7"/>
      <c r="AA363" s="7"/>
    </row>
    <row r="364" spans="1:27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3"/>
      <c r="I364" s="213"/>
      <c r="J364" s="213"/>
      <c r="K364" s="213"/>
      <c r="L364" s="213"/>
      <c r="M364" s="643"/>
      <c r="N364" s="616">
        <f t="shared" si="27"/>
        <v>0</v>
      </c>
      <c r="O364" s="633"/>
      <c r="P364" s="241"/>
      <c r="Q364" s="241"/>
      <c r="R364" s="7"/>
      <c r="S364" s="699"/>
      <c r="T364" s="7"/>
      <c r="U364" s="618">
        <f t="shared" si="26"/>
        <v>0</v>
      </c>
      <c r="V364" s="7"/>
      <c r="W364" s="7"/>
      <c r="X364" s="7"/>
      <c r="Y364" s="7"/>
      <c r="Z364" s="7"/>
      <c r="AA364" s="7"/>
    </row>
    <row r="365" spans="1:27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3"/>
      <c r="I365" s="213"/>
      <c r="J365" s="213"/>
      <c r="K365" s="213"/>
      <c r="L365" s="213"/>
      <c r="M365" s="643"/>
      <c r="N365" s="616">
        <f t="shared" si="27"/>
        <v>0</v>
      </c>
      <c r="O365" s="633"/>
      <c r="P365" s="241"/>
      <c r="Q365" s="241"/>
      <c r="R365" s="7"/>
      <c r="S365" s="699"/>
      <c r="T365" s="7"/>
      <c r="U365" s="618">
        <f t="shared" si="26"/>
        <v>0</v>
      </c>
      <c r="V365" s="7"/>
      <c r="W365" s="7"/>
      <c r="X365" s="7"/>
      <c r="Y365" s="7"/>
      <c r="Z365" s="7"/>
      <c r="AA365" s="7"/>
    </row>
    <row r="366" spans="1:27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3"/>
      <c r="I366" s="213"/>
      <c r="J366" s="213"/>
      <c r="K366" s="213"/>
      <c r="L366" s="213"/>
      <c r="M366" s="643"/>
      <c r="N366" s="616">
        <f t="shared" si="27"/>
        <v>0</v>
      </c>
      <c r="O366" s="633"/>
      <c r="P366" s="547"/>
      <c r="Q366" s="547"/>
      <c r="R366" s="7"/>
      <c r="S366" s="699"/>
      <c r="T366" s="7"/>
      <c r="U366" s="618">
        <f t="shared" si="26"/>
        <v>0</v>
      </c>
      <c r="V366" s="7"/>
      <c r="W366" s="7"/>
      <c r="X366" s="7"/>
      <c r="Y366" s="7"/>
      <c r="Z366" s="7"/>
      <c r="AA366" s="7"/>
    </row>
    <row r="367" spans="1:27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3"/>
      <c r="I367" s="213"/>
      <c r="J367" s="213"/>
      <c r="K367" s="213"/>
      <c r="L367" s="213"/>
      <c r="M367" s="643"/>
      <c r="N367" s="616">
        <f t="shared" si="27"/>
        <v>0</v>
      </c>
      <c r="O367" s="633"/>
      <c r="P367" s="547"/>
      <c r="Q367" s="547"/>
      <c r="R367" s="7"/>
      <c r="S367" s="699"/>
      <c r="T367" s="7"/>
      <c r="U367" s="618">
        <f t="shared" si="26"/>
        <v>0</v>
      </c>
      <c r="V367" s="7"/>
      <c r="W367" s="7"/>
      <c r="X367" s="7"/>
      <c r="Y367" s="7"/>
      <c r="Z367" s="7"/>
      <c r="AA367" s="7"/>
    </row>
    <row r="368" spans="1:27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3"/>
      <c r="I368" s="213"/>
      <c r="J368" s="213"/>
      <c r="K368" s="213"/>
      <c r="L368" s="213"/>
      <c r="M368" s="643"/>
      <c r="N368" s="616">
        <f t="shared" si="27"/>
        <v>0</v>
      </c>
      <c r="O368" s="633"/>
      <c r="P368" s="640"/>
      <c r="Q368" s="640"/>
      <c r="R368" s="7"/>
      <c r="S368" s="699"/>
      <c r="T368" s="7"/>
      <c r="U368" s="618">
        <f t="shared" si="26"/>
        <v>0</v>
      </c>
      <c r="V368" s="7"/>
      <c r="W368" s="7"/>
      <c r="X368" s="7"/>
      <c r="Y368" s="7"/>
      <c r="Z368" s="7"/>
      <c r="AA368" s="7"/>
    </row>
    <row r="369" spans="1:27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/>
      <c r="H369" s="213"/>
      <c r="I369" s="213"/>
      <c r="J369" s="213"/>
      <c r="K369" s="213"/>
      <c r="L369" s="213"/>
      <c r="M369" s="657"/>
      <c r="N369" s="616">
        <f t="shared" si="27"/>
        <v>0</v>
      </c>
      <c r="O369" s="633"/>
      <c r="P369" s="636"/>
      <c r="Q369" s="636"/>
      <c r="R369" s="7"/>
      <c r="S369" s="699"/>
      <c r="T369" s="7"/>
      <c r="U369" s="618">
        <f t="shared" si="26"/>
        <v>0</v>
      </c>
      <c r="V369" s="7"/>
      <c r="W369" s="7"/>
      <c r="X369" s="7"/>
      <c r="Y369" s="7"/>
      <c r="Z369" s="7"/>
      <c r="AA369" s="7"/>
    </row>
    <row r="370" spans="1:27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3"/>
      <c r="I370" s="213"/>
      <c r="J370" s="213"/>
      <c r="K370" s="213"/>
      <c r="L370" s="213"/>
      <c r="M370" s="643"/>
      <c r="N370" s="616">
        <f t="shared" si="27"/>
        <v>0</v>
      </c>
      <c r="O370" s="633"/>
      <c r="P370" s="648"/>
      <c r="Q370" s="648"/>
      <c r="R370" s="7"/>
      <c r="S370" s="699"/>
      <c r="T370" s="7"/>
      <c r="U370" s="618">
        <f t="shared" si="26"/>
        <v>0</v>
      </c>
      <c r="V370" s="7"/>
      <c r="W370" s="7"/>
      <c r="X370" s="7"/>
      <c r="Y370" s="7"/>
      <c r="Z370" s="7"/>
      <c r="AA370" s="7"/>
    </row>
    <row r="371" spans="1:27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213"/>
      <c r="I371" s="213"/>
      <c r="J371" s="213"/>
      <c r="K371" s="213"/>
      <c r="L371" s="213"/>
      <c r="M371" s="643"/>
      <c r="N371" s="616">
        <f t="shared" si="27"/>
        <v>0</v>
      </c>
      <c r="O371" s="633"/>
      <c r="P371" s="648"/>
      <c r="Q371" s="648"/>
      <c r="R371" s="7"/>
      <c r="S371" s="699"/>
      <c r="T371" s="7"/>
      <c r="U371" s="618"/>
      <c r="V371" s="7"/>
      <c r="W371" s="7"/>
      <c r="X371" s="7"/>
      <c r="Y371" s="7"/>
      <c r="Z371" s="7"/>
      <c r="AA371" s="7"/>
    </row>
    <row r="372" spans="1:27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3"/>
      <c r="I372" s="213"/>
      <c r="J372" s="213"/>
      <c r="K372" s="213"/>
      <c r="L372" s="213"/>
      <c r="M372" s="657"/>
      <c r="N372" s="616">
        <f t="shared" si="27"/>
        <v>0</v>
      </c>
      <c r="O372" s="633"/>
      <c r="P372" s="636"/>
      <c r="Q372" s="636"/>
      <c r="R372" s="7"/>
      <c r="S372" s="699"/>
      <c r="T372" s="7"/>
      <c r="U372" s="618">
        <f t="shared" ref="U372:U374" si="28">S372-N372</f>
        <v>0</v>
      </c>
      <c r="V372" s="7"/>
      <c r="W372" s="7"/>
      <c r="X372" s="7"/>
      <c r="Y372" s="7"/>
      <c r="Z372" s="7"/>
      <c r="AA372" s="7"/>
    </row>
    <row r="373" spans="1:27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3"/>
      <c r="I373" s="213"/>
      <c r="J373" s="213"/>
      <c r="K373" s="213"/>
      <c r="L373" s="213"/>
      <c r="M373" s="643"/>
      <c r="N373" s="616">
        <f t="shared" si="27"/>
        <v>0</v>
      </c>
      <c r="O373" s="633"/>
      <c r="P373" s="648"/>
      <c r="Q373" s="648"/>
      <c r="R373" s="7"/>
      <c r="S373" s="699"/>
      <c r="T373" s="7"/>
      <c r="U373" s="618">
        <f t="shared" si="28"/>
        <v>0</v>
      </c>
      <c r="V373" s="7"/>
      <c r="W373" s="7"/>
      <c r="X373" s="7"/>
      <c r="Y373" s="7"/>
      <c r="Z373" s="7"/>
      <c r="AA373" s="7"/>
    </row>
    <row r="374" spans="1:27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3"/>
      <c r="I374" s="213"/>
      <c r="J374" s="213"/>
      <c r="K374" s="213"/>
      <c r="L374" s="213"/>
      <c r="M374" s="643"/>
      <c r="N374" s="616">
        <f t="shared" si="27"/>
        <v>0</v>
      </c>
      <c r="O374" s="633"/>
      <c r="P374" s="648"/>
      <c r="Q374" s="648"/>
      <c r="R374" s="7"/>
      <c r="S374" s="699"/>
      <c r="T374" s="7"/>
      <c r="U374" s="618">
        <f t="shared" si="28"/>
        <v>0</v>
      </c>
      <c r="V374" s="7"/>
      <c r="W374" s="7"/>
      <c r="X374" s="7"/>
      <c r="Y374" s="7"/>
      <c r="Z374" s="7"/>
      <c r="AA374" s="7"/>
    </row>
    <row r="375" spans="1:27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3"/>
      <c r="I375" s="213"/>
      <c r="J375" s="213"/>
      <c r="K375" s="213"/>
      <c r="L375" s="213"/>
      <c r="M375" s="643"/>
      <c r="N375" s="616">
        <f t="shared" si="27"/>
        <v>0</v>
      </c>
      <c r="O375" s="633"/>
      <c r="P375" s="636"/>
      <c r="Q375" s="636"/>
      <c r="R375" s="7"/>
      <c r="S375" s="725"/>
      <c r="T375" s="7"/>
      <c r="U375" s="618"/>
      <c r="V375" s="7"/>
      <c r="W375" s="7"/>
      <c r="X375" s="7"/>
      <c r="Y375" s="7"/>
      <c r="Z375" s="7"/>
      <c r="AA375" s="7"/>
    </row>
    <row r="376" spans="1:27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3"/>
      <c r="I376" s="213"/>
      <c r="J376" s="213"/>
      <c r="K376" s="213"/>
      <c r="L376" s="213"/>
      <c r="M376" s="643"/>
      <c r="N376" s="616">
        <f t="shared" si="27"/>
        <v>0</v>
      </c>
      <c r="O376" s="633"/>
      <c r="P376" s="648"/>
      <c r="Q376" s="648"/>
      <c r="R376" s="7"/>
      <c r="S376" s="725"/>
      <c r="T376" s="7"/>
      <c r="U376" s="618"/>
      <c r="V376" s="7"/>
      <c r="W376" s="7"/>
      <c r="X376" s="7"/>
      <c r="Y376" s="7"/>
      <c r="Z376" s="7"/>
      <c r="AA376" s="7"/>
    </row>
    <row r="377" spans="1:27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3"/>
      <c r="I377" s="213"/>
      <c r="J377" s="213"/>
      <c r="K377" s="213"/>
      <c r="L377" s="213"/>
      <c r="M377" s="643"/>
      <c r="N377" s="616">
        <f t="shared" si="27"/>
        <v>0</v>
      </c>
      <c r="O377" s="633"/>
      <c r="P377" s="648"/>
      <c r="Q377" s="648"/>
      <c r="R377" s="7"/>
      <c r="S377" s="725"/>
      <c r="T377" s="7"/>
      <c r="U377" s="618"/>
      <c r="V377" s="7"/>
      <c r="W377" s="7"/>
      <c r="X377" s="7"/>
      <c r="Y377" s="7"/>
      <c r="Z377" s="7"/>
      <c r="AA377" s="7"/>
    </row>
    <row r="378" spans="1:27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3"/>
      <c r="I378" s="213"/>
      <c r="J378" s="213"/>
      <c r="K378" s="213"/>
      <c r="L378" s="213"/>
      <c r="M378" s="643"/>
      <c r="N378" s="616">
        <f t="shared" si="27"/>
        <v>0</v>
      </c>
      <c r="O378" s="633"/>
      <c r="P378" s="636"/>
      <c r="Q378" s="636"/>
      <c r="R378" s="7"/>
      <c r="S378" s="725"/>
      <c r="T378" s="7"/>
      <c r="U378" s="618"/>
      <c r="V378" s="7"/>
      <c r="W378" s="7"/>
      <c r="X378" s="7"/>
      <c r="Y378" s="7"/>
      <c r="Z378" s="7"/>
      <c r="AA378" s="7"/>
    </row>
    <row r="379" spans="1:27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3"/>
      <c r="I379" s="213"/>
      <c r="J379" s="213"/>
      <c r="K379" s="213"/>
      <c r="L379" s="213"/>
      <c r="M379" s="643"/>
      <c r="N379" s="616">
        <f t="shared" si="27"/>
        <v>0</v>
      </c>
      <c r="O379" s="633"/>
      <c r="P379" s="648"/>
      <c r="Q379" s="648"/>
      <c r="R379" s="7"/>
      <c r="S379" s="725"/>
      <c r="T379" s="7"/>
      <c r="U379" s="618">
        <f t="shared" ref="U379:U437" si="29">S379-N379</f>
        <v>0</v>
      </c>
      <c r="V379" s="7"/>
      <c r="W379" s="7"/>
      <c r="X379" s="7"/>
      <c r="Y379" s="7"/>
      <c r="Z379" s="7"/>
      <c r="AA379" s="7"/>
    </row>
    <row r="380" spans="1:27" ht="21.75" customHeight="1">
      <c r="A380" s="503" t="s">
        <v>1499</v>
      </c>
      <c r="B380" s="483" t="s">
        <v>828</v>
      </c>
      <c r="C380" s="658" t="s">
        <v>829</v>
      </c>
      <c r="D380" s="504" t="s">
        <v>2082</v>
      </c>
      <c r="E380" s="213"/>
      <c r="F380" s="213"/>
      <c r="G380" s="213"/>
      <c r="H380" s="213"/>
      <c r="I380" s="213"/>
      <c r="J380" s="213"/>
      <c r="K380" s="213"/>
      <c r="L380" s="213"/>
      <c r="M380" s="643"/>
      <c r="N380" s="616">
        <f t="shared" si="27"/>
        <v>0</v>
      </c>
      <c r="O380" s="633"/>
      <c r="P380" s="648"/>
      <c r="Q380" s="648"/>
      <c r="R380" s="7"/>
      <c r="S380" s="725"/>
      <c r="T380" s="7"/>
      <c r="U380" s="618">
        <f t="shared" si="29"/>
        <v>0</v>
      </c>
      <c r="V380" s="7"/>
      <c r="W380" s="7"/>
      <c r="X380" s="7"/>
      <c r="Y380" s="7"/>
      <c r="Z380" s="7"/>
      <c r="AA380" s="7"/>
    </row>
    <row r="381" spans="1:27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3"/>
      <c r="I381" s="213"/>
      <c r="J381" s="213"/>
      <c r="K381" s="213"/>
      <c r="L381" s="213"/>
      <c r="M381" s="643"/>
      <c r="N381" s="616">
        <f t="shared" si="27"/>
        <v>0</v>
      </c>
      <c r="O381" s="633"/>
      <c r="P381" s="648"/>
      <c r="Q381" s="648"/>
      <c r="R381" s="7"/>
      <c r="S381" s="725"/>
      <c r="T381" s="7"/>
      <c r="U381" s="618">
        <f t="shared" si="29"/>
        <v>0</v>
      </c>
      <c r="V381" s="7"/>
      <c r="W381" s="7"/>
      <c r="X381" s="7"/>
      <c r="Y381" s="7"/>
      <c r="Z381" s="7"/>
      <c r="AA381" s="7"/>
    </row>
    <row r="382" spans="1:27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3"/>
      <c r="I382" s="213"/>
      <c r="J382" s="213"/>
      <c r="K382" s="213"/>
      <c r="L382" s="213"/>
      <c r="M382" s="643"/>
      <c r="N382" s="616">
        <f t="shared" si="27"/>
        <v>0</v>
      </c>
      <c r="O382" s="633"/>
      <c r="P382" s="636"/>
      <c r="Q382" s="636"/>
      <c r="R382" s="7"/>
      <c r="S382" s="725"/>
      <c r="T382" s="7"/>
      <c r="U382" s="618">
        <f t="shared" si="29"/>
        <v>0</v>
      </c>
      <c r="V382" s="7"/>
      <c r="W382" s="7"/>
      <c r="X382" s="7"/>
      <c r="Y382" s="7"/>
      <c r="Z382" s="7"/>
      <c r="AA382" s="7"/>
    </row>
    <row r="383" spans="1:27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3"/>
      <c r="I383" s="213"/>
      <c r="J383" s="213"/>
      <c r="K383" s="213"/>
      <c r="L383" s="213"/>
      <c r="M383" s="643"/>
      <c r="N383" s="616">
        <f t="shared" si="27"/>
        <v>0</v>
      </c>
      <c r="O383" s="633"/>
      <c r="P383" s="636"/>
      <c r="Q383" s="636"/>
      <c r="R383" s="7"/>
      <c r="S383" s="725"/>
      <c r="T383" s="7"/>
      <c r="U383" s="618">
        <f t="shared" si="29"/>
        <v>0</v>
      </c>
      <c r="V383" s="7"/>
      <c r="W383" s="7"/>
      <c r="X383" s="7"/>
      <c r="Y383" s="7"/>
      <c r="Z383" s="7"/>
      <c r="AA383" s="7"/>
    </row>
    <row r="384" spans="1:27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3"/>
      <c r="I384" s="213"/>
      <c r="J384" s="213"/>
      <c r="K384" s="213"/>
      <c r="L384" s="213"/>
      <c r="M384" s="643"/>
      <c r="N384" s="616">
        <f t="shared" si="27"/>
        <v>0</v>
      </c>
      <c r="O384" s="633"/>
      <c r="P384" s="648"/>
      <c r="Q384" s="648"/>
      <c r="R384" s="7"/>
      <c r="S384" s="725"/>
      <c r="T384" s="7"/>
      <c r="U384" s="618">
        <f t="shared" si="29"/>
        <v>0</v>
      </c>
      <c r="V384" s="7"/>
      <c r="W384" s="7"/>
      <c r="X384" s="7"/>
      <c r="Y384" s="7"/>
      <c r="Z384" s="7"/>
      <c r="AA384" s="7"/>
    </row>
    <row r="385" spans="1:27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3"/>
      <c r="I385" s="213"/>
      <c r="J385" s="213"/>
      <c r="K385" s="213"/>
      <c r="L385" s="213"/>
      <c r="M385" s="643"/>
      <c r="N385" s="616">
        <f t="shared" si="27"/>
        <v>0</v>
      </c>
      <c r="O385" s="633"/>
      <c r="P385" s="648"/>
      <c r="Q385" s="648"/>
      <c r="R385" s="7"/>
      <c r="S385" s="725"/>
      <c r="T385" s="7"/>
      <c r="U385" s="618">
        <f t="shared" si="29"/>
        <v>0</v>
      </c>
      <c r="V385" s="7"/>
      <c r="W385" s="7"/>
      <c r="X385" s="7"/>
      <c r="Y385" s="7"/>
      <c r="Z385" s="7"/>
      <c r="AA385" s="7"/>
    </row>
    <row r="386" spans="1:27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3"/>
      <c r="I386" s="213"/>
      <c r="J386" s="213"/>
      <c r="K386" s="213"/>
      <c r="L386" s="213"/>
      <c r="M386" s="643"/>
      <c r="N386" s="616">
        <f t="shared" si="27"/>
        <v>0</v>
      </c>
      <c r="O386" s="633"/>
      <c r="P386" s="648"/>
      <c r="Q386" s="648"/>
      <c r="R386" s="7"/>
      <c r="S386" s="725"/>
      <c r="T386" s="7"/>
      <c r="U386" s="618">
        <f t="shared" si="29"/>
        <v>0</v>
      </c>
      <c r="V386" s="7"/>
      <c r="W386" s="7"/>
      <c r="X386" s="7"/>
      <c r="Y386" s="7"/>
      <c r="Z386" s="7"/>
      <c r="AA386" s="7"/>
    </row>
    <row r="387" spans="1:27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3"/>
      <c r="I387" s="213"/>
      <c r="J387" s="213"/>
      <c r="K387" s="213"/>
      <c r="L387" s="213"/>
      <c r="M387" s="643"/>
      <c r="N387" s="616">
        <f t="shared" si="27"/>
        <v>0</v>
      </c>
      <c r="O387" s="633"/>
      <c r="P387" s="648"/>
      <c r="Q387" s="648"/>
      <c r="R387" s="7"/>
      <c r="S387" s="725"/>
      <c r="T387" s="7"/>
      <c r="U387" s="618">
        <f t="shared" si="29"/>
        <v>0</v>
      </c>
      <c r="V387" s="7"/>
      <c r="W387" s="7"/>
      <c r="X387" s="7"/>
      <c r="Y387" s="7"/>
      <c r="Z387" s="7"/>
      <c r="AA387" s="7"/>
    </row>
    <row r="388" spans="1:27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3"/>
      <c r="I388" s="213"/>
      <c r="J388" s="213"/>
      <c r="K388" s="213"/>
      <c r="L388" s="213"/>
      <c r="M388" s="643"/>
      <c r="N388" s="616">
        <f t="shared" si="27"/>
        <v>0</v>
      </c>
      <c r="O388" s="633"/>
      <c r="P388" s="636"/>
      <c r="Q388" s="636"/>
      <c r="R388" s="7"/>
      <c r="S388" s="725"/>
      <c r="T388" s="7"/>
      <c r="U388" s="618">
        <f t="shared" si="29"/>
        <v>0</v>
      </c>
      <c r="V388" s="7"/>
      <c r="W388" s="7"/>
      <c r="X388" s="7"/>
      <c r="Y388" s="7"/>
      <c r="Z388" s="7"/>
      <c r="AA388" s="7"/>
    </row>
    <row r="389" spans="1:27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3"/>
      <c r="I389" s="213"/>
      <c r="J389" s="213"/>
      <c r="K389" s="213"/>
      <c r="L389" s="213"/>
      <c r="M389" s="643"/>
      <c r="N389" s="616">
        <f t="shared" si="27"/>
        <v>0</v>
      </c>
      <c r="O389" s="633"/>
      <c r="P389" s="636"/>
      <c r="Q389" s="636"/>
      <c r="R389" s="7"/>
      <c r="S389" s="725"/>
      <c r="T389" s="7"/>
      <c r="U389" s="618">
        <f t="shared" si="29"/>
        <v>0</v>
      </c>
      <c r="V389" s="7"/>
      <c r="W389" s="7"/>
      <c r="X389" s="7"/>
      <c r="Y389" s="7"/>
      <c r="Z389" s="7"/>
      <c r="AA389" s="7"/>
    </row>
    <row r="390" spans="1:27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3"/>
      <c r="I390" s="213"/>
      <c r="J390" s="213"/>
      <c r="K390" s="213"/>
      <c r="L390" s="213"/>
      <c r="M390" s="643"/>
      <c r="N390" s="616">
        <f t="shared" si="27"/>
        <v>0</v>
      </c>
      <c r="O390" s="633"/>
      <c r="P390" s="636"/>
      <c r="Q390" s="636"/>
      <c r="R390" s="7"/>
      <c r="S390" s="725"/>
      <c r="T390" s="7"/>
      <c r="U390" s="618">
        <f t="shared" si="29"/>
        <v>0</v>
      </c>
      <c r="V390" s="7"/>
      <c r="W390" s="7"/>
      <c r="X390" s="7"/>
      <c r="Y390" s="7"/>
      <c r="Z390" s="7"/>
      <c r="AA390" s="7"/>
    </row>
    <row r="391" spans="1:27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3"/>
      <c r="I391" s="213"/>
      <c r="J391" s="213"/>
      <c r="K391" s="213"/>
      <c r="L391" s="213"/>
      <c r="M391" s="643"/>
      <c r="N391" s="616">
        <f t="shared" si="27"/>
        <v>0</v>
      </c>
      <c r="O391" s="633"/>
      <c r="P391" s="636"/>
      <c r="Q391" s="636"/>
      <c r="R391" s="7"/>
      <c r="S391" s="725"/>
      <c r="T391" s="7"/>
      <c r="U391" s="618">
        <f t="shared" si="29"/>
        <v>0</v>
      </c>
      <c r="V391" s="7"/>
      <c r="W391" s="7"/>
      <c r="X391" s="7"/>
      <c r="Y391" s="7"/>
      <c r="Z391" s="7"/>
      <c r="AA391" s="7"/>
    </row>
    <row r="392" spans="1:27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3"/>
      <c r="I392" s="213"/>
      <c r="J392" s="213"/>
      <c r="K392" s="213"/>
      <c r="L392" s="213"/>
      <c r="M392" s="643"/>
      <c r="N392" s="616">
        <f t="shared" si="27"/>
        <v>0</v>
      </c>
      <c r="O392" s="633"/>
      <c r="P392" s="636"/>
      <c r="Q392" s="636"/>
      <c r="R392" s="7"/>
      <c r="S392" s="725"/>
      <c r="T392" s="7"/>
      <c r="U392" s="618">
        <f t="shared" si="29"/>
        <v>0</v>
      </c>
      <c r="V392" s="7"/>
      <c r="W392" s="7"/>
      <c r="X392" s="7"/>
      <c r="Y392" s="7"/>
      <c r="Z392" s="7"/>
      <c r="AA392" s="7"/>
    </row>
    <row r="393" spans="1:27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3"/>
      <c r="I393" s="213"/>
      <c r="J393" s="213"/>
      <c r="K393" s="213"/>
      <c r="L393" s="213"/>
      <c r="M393" s="643"/>
      <c r="N393" s="616">
        <f t="shared" si="27"/>
        <v>0</v>
      </c>
      <c r="O393" s="633"/>
      <c r="P393" s="636"/>
      <c r="Q393" s="636"/>
      <c r="R393" s="7"/>
      <c r="S393" s="725"/>
      <c r="T393" s="7"/>
      <c r="U393" s="618">
        <f t="shared" si="29"/>
        <v>0</v>
      </c>
      <c r="V393" s="7"/>
      <c r="W393" s="7"/>
      <c r="X393" s="7"/>
      <c r="Y393" s="7"/>
      <c r="Z393" s="7"/>
      <c r="AA393" s="7"/>
    </row>
    <row r="394" spans="1:27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3"/>
      <c r="I394" s="213"/>
      <c r="J394" s="213"/>
      <c r="K394" s="213"/>
      <c r="L394" s="213"/>
      <c r="M394" s="643"/>
      <c r="N394" s="616">
        <f t="shared" si="27"/>
        <v>0</v>
      </c>
      <c r="O394" s="633"/>
      <c r="P394" s="634"/>
      <c r="Q394" s="634"/>
      <c r="R394" s="7"/>
      <c r="S394" s="725"/>
      <c r="T394" s="7"/>
      <c r="U394" s="618">
        <f t="shared" si="29"/>
        <v>0</v>
      </c>
      <c r="V394" s="7"/>
      <c r="W394" s="7"/>
      <c r="X394" s="7"/>
      <c r="Y394" s="7"/>
      <c r="Z394" s="7"/>
      <c r="AA394" s="7"/>
    </row>
    <row r="395" spans="1:27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3"/>
      <c r="I395" s="213"/>
      <c r="J395" s="213"/>
      <c r="K395" s="213"/>
      <c r="L395" s="213"/>
      <c r="M395" s="643"/>
      <c r="N395" s="616">
        <f t="shared" si="27"/>
        <v>0</v>
      </c>
      <c r="O395" s="633"/>
      <c r="P395" s="634"/>
      <c r="Q395" s="634"/>
      <c r="R395" s="7"/>
      <c r="S395" s="725"/>
      <c r="T395" s="7"/>
      <c r="U395" s="618">
        <f t="shared" si="29"/>
        <v>0</v>
      </c>
      <c r="V395" s="7"/>
      <c r="W395" s="7"/>
      <c r="X395" s="7"/>
      <c r="Y395" s="7"/>
      <c r="Z395" s="7"/>
      <c r="AA395" s="7"/>
    </row>
    <row r="396" spans="1:27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3"/>
      <c r="I396" s="213"/>
      <c r="J396" s="213"/>
      <c r="K396" s="213"/>
      <c r="L396" s="213"/>
      <c r="M396" s="643"/>
      <c r="N396" s="616">
        <f t="shared" si="27"/>
        <v>0</v>
      </c>
      <c r="O396" s="633"/>
      <c r="P396" s="634"/>
      <c r="Q396" s="634"/>
      <c r="R396" s="7"/>
      <c r="S396" s="725"/>
      <c r="T396" s="7"/>
      <c r="U396" s="618">
        <f t="shared" si="29"/>
        <v>0</v>
      </c>
      <c r="V396" s="7"/>
      <c r="W396" s="7"/>
      <c r="X396" s="7"/>
      <c r="Y396" s="7"/>
      <c r="Z396" s="7"/>
      <c r="AA396" s="7"/>
    </row>
    <row r="397" spans="1:27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3"/>
      <c r="I397" s="213"/>
      <c r="J397" s="213"/>
      <c r="K397" s="213"/>
      <c r="L397" s="213"/>
      <c r="M397" s="643"/>
      <c r="N397" s="616">
        <f t="shared" si="27"/>
        <v>0</v>
      </c>
      <c r="O397" s="633"/>
      <c r="P397" s="636"/>
      <c r="Q397" s="636"/>
      <c r="R397" s="7"/>
      <c r="S397" s="725"/>
      <c r="T397" s="7"/>
      <c r="U397" s="618">
        <f t="shared" si="29"/>
        <v>0</v>
      </c>
      <c r="V397" s="7"/>
      <c r="W397" s="7"/>
      <c r="X397" s="7"/>
      <c r="Y397" s="7"/>
      <c r="Z397" s="7"/>
      <c r="AA397" s="7"/>
    </row>
    <row r="398" spans="1:27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3"/>
      <c r="I398" s="213"/>
      <c r="J398" s="213"/>
      <c r="K398" s="213"/>
      <c r="L398" s="213"/>
      <c r="M398" s="643"/>
      <c r="N398" s="616">
        <f t="shared" si="27"/>
        <v>0</v>
      </c>
      <c r="O398" s="633"/>
      <c r="P398" s="634"/>
      <c r="Q398" s="634"/>
      <c r="R398" s="7"/>
      <c r="S398" s="725"/>
      <c r="T398" s="7"/>
      <c r="U398" s="618">
        <f t="shared" si="29"/>
        <v>0</v>
      </c>
      <c r="V398" s="7"/>
      <c r="W398" s="7"/>
      <c r="X398" s="7"/>
      <c r="Y398" s="7"/>
      <c r="Z398" s="7"/>
      <c r="AA398" s="7"/>
    </row>
    <row r="399" spans="1:27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3"/>
      <c r="I399" s="213"/>
      <c r="J399" s="213"/>
      <c r="K399" s="213"/>
      <c r="L399" s="213"/>
      <c r="M399" s="643"/>
      <c r="N399" s="616">
        <f t="shared" si="27"/>
        <v>0</v>
      </c>
      <c r="O399" s="633"/>
      <c r="P399" s="634"/>
      <c r="Q399" s="634"/>
      <c r="R399" s="7"/>
      <c r="S399" s="725"/>
      <c r="T399" s="7"/>
      <c r="U399" s="618">
        <f t="shared" si="29"/>
        <v>0</v>
      </c>
      <c r="V399" s="7"/>
      <c r="W399" s="7"/>
      <c r="X399" s="7"/>
      <c r="Y399" s="7"/>
      <c r="Z399" s="7"/>
      <c r="AA399" s="7"/>
    </row>
    <row r="400" spans="1:27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3"/>
      <c r="I400" s="213"/>
      <c r="J400" s="213"/>
      <c r="K400" s="213"/>
      <c r="L400" s="213"/>
      <c r="M400" s="643"/>
      <c r="N400" s="616">
        <f t="shared" si="27"/>
        <v>0</v>
      </c>
      <c r="O400" s="633"/>
      <c r="P400" s="636"/>
      <c r="Q400" s="636"/>
      <c r="R400" s="7"/>
      <c r="S400" s="725"/>
      <c r="T400" s="7"/>
      <c r="U400" s="618">
        <f t="shared" si="29"/>
        <v>0</v>
      </c>
      <c r="V400" s="7"/>
      <c r="W400" s="7"/>
      <c r="X400" s="7"/>
      <c r="Y400" s="7"/>
      <c r="Z400" s="7"/>
      <c r="AA400" s="7"/>
    </row>
    <row r="401" spans="1:27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3"/>
      <c r="I401" s="213"/>
      <c r="J401" s="213"/>
      <c r="K401" s="213"/>
      <c r="L401" s="213"/>
      <c r="M401" s="643"/>
      <c r="N401" s="616">
        <f t="shared" si="27"/>
        <v>0</v>
      </c>
      <c r="O401" s="633"/>
      <c r="P401" s="634"/>
      <c r="Q401" s="634"/>
      <c r="R401" s="7"/>
      <c r="S401" s="725"/>
      <c r="T401" s="7"/>
      <c r="U401" s="618">
        <f t="shared" si="29"/>
        <v>0</v>
      </c>
      <c r="V401" s="7"/>
      <c r="W401" s="7"/>
      <c r="X401" s="7"/>
      <c r="Y401" s="7"/>
      <c r="Z401" s="7"/>
      <c r="AA401" s="7"/>
    </row>
    <row r="402" spans="1:27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3"/>
      <c r="I402" s="213"/>
      <c r="J402" s="213"/>
      <c r="K402" s="213"/>
      <c r="L402" s="213"/>
      <c r="M402" s="643"/>
      <c r="N402" s="616">
        <f t="shared" si="27"/>
        <v>0</v>
      </c>
      <c r="O402" s="633"/>
      <c r="P402" s="634"/>
      <c r="Q402" s="634"/>
      <c r="R402" s="7"/>
      <c r="S402" s="725"/>
      <c r="T402" s="7"/>
      <c r="U402" s="618">
        <f t="shared" si="29"/>
        <v>0</v>
      </c>
      <c r="V402" s="7"/>
      <c r="W402" s="7"/>
      <c r="X402" s="7"/>
      <c r="Y402" s="7"/>
      <c r="Z402" s="7"/>
      <c r="AA402" s="7"/>
    </row>
    <row r="403" spans="1:27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3"/>
      <c r="I403" s="213"/>
      <c r="J403" s="213"/>
      <c r="K403" s="213"/>
      <c r="L403" s="213"/>
      <c r="M403" s="643"/>
      <c r="N403" s="616">
        <f t="shared" si="27"/>
        <v>0</v>
      </c>
      <c r="O403" s="633"/>
      <c r="P403" s="634"/>
      <c r="Q403" s="634"/>
      <c r="R403" s="7"/>
      <c r="S403" s="725"/>
      <c r="T403" s="7"/>
      <c r="U403" s="618">
        <f t="shared" si="29"/>
        <v>0</v>
      </c>
      <c r="V403" s="7"/>
      <c r="W403" s="7"/>
      <c r="X403" s="7"/>
      <c r="Y403" s="7"/>
      <c r="Z403" s="7"/>
      <c r="AA403" s="7"/>
    </row>
    <row r="404" spans="1:27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3"/>
      <c r="I404" s="213"/>
      <c r="J404" s="213"/>
      <c r="K404" s="213"/>
      <c r="L404" s="213"/>
      <c r="M404" s="643"/>
      <c r="N404" s="616">
        <f t="shared" si="27"/>
        <v>0</v>
      </c>
      <c r="O404" s="633"/>
      <c r="P404" s="640"/>
      <c r="Q404" s="640"/>
      <c r="R404" s="7"/>
      <c r="S404" s="725"/>
      <c r="T404" s="7"/>
      <c r="U404" s="618">
        <f t="shared" si="29"/>
        <v>0</v>
      </c>
      <c r="V404" s="7"/>
      <c r="W404" s="7"/>
      <c r="X404" s="7"/>
      <c r="Y404" s="7"/>
      <c r="Z404" s="7"/>
      <c r="AA404" s="7"/>
    </row>
    <row r="405" spans="1:27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3"/>
      <c r="I405" s="213"/>
      <c r="J405" s="213"/>
      <c r="K405" s="213"/>
      <c r="L405" s="213"/>
      <c r="M405" s="643"/>
      <c r="N405" s="616">
        <f t="shared" si="27"/>
        <v>0</v>
      </c>
      <c r="O405" s="633"/>
      <c r="P405" s="636"/>
      <c r="Q405" s="636"/>
      <c r="R405" s="7"/>
      <c r="S405" s="725"/>
      <c r="T405" s="7"/>
      <c r="U405" s="618">
        <f t="shared" si="29"/>
        <v>0</v>
      </c>
      <c r="V405" s="7"/>
      <c r="W405" s="7"/>
      <c r="X405" s="7"/>
      <c r="Y405" s="7"/>
      <c r="Z405" s="7"/>
      <c r="AA405" s="7"/>
    </row>
    <row r="406" spans="1:27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3"/>
      <c r="I406" s="213"/>
      <c r="J406" s="213"/>
      <c r="K406" s="213"/>
      <c r="L406" s="213"/>
      <c r="M406" s="643"/>
      <c r="N406" s="616">
        <f t="shared" si="27"/>
        <v>0</v>
      </c>
      <c r="O406" s="633"/>
      <c r="P406" s="636"/>
      <c r="Q406" s="636"/>
      <c r="R406" s="7"/>
      <c r="S406" s="725"/>
      <c r="T406" s="7"/>
      <c r="U406" s="618">
        <f t="shared" si="29"/>
        <v>0</v>
      </c>
      <c r="V406" s="7"/>
      <c r="W406" s="7"/>
      <c r="X406" s="7"/>
      <c r="Y406" s="7"/>
      <c r="Z406" s="7"/>
      <c r="AA406" s="7"/>
    </row>
    <row r="407" spans="1:27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3"/>
      <c r="I407" s="213"/>
      <c r="J407" s="213"/>
      <c r="K407" s="213"/>
      <c r="L407" s="213"/>
      <c r="M407" s="643"/>
      <c r="N407" s="616">
        <f t="shared" si="27"/>
        <v>0</v>
      </c>
      <c r="O407" s="633"/>
      <c r="P407" s="636"/>
      <c r="Q407" s="636"/>
      <c r="R407" s="7"/>
      <c r="S407" s="725"/>
      <c r="T407" s="7"/>
      <c r="U407" s="618">
        <f t="shared" si="29"/>
        <v>0</v>
      </c>
      <c r="V407" s="7"/>
      <c r="W407" s="7"/>
      <c r="X407" s="7"/>
      <c r="Y407" s="7"/>
      <c r="Z407" s="7"/>
      <c r="AA407" s="7"/>
    </row>
    <row r="408" spans="1:27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3"/>
      <c r="I408" s="213"/>
      <c r="J408" s="213"/>
      <c r="K408" s="213"/>
      <c r="L408" s="213"/>
      <c r="M408" s="643"/>
      <c r="N408" s="616">
        <f t="shared" si="27"/>
        <v>0</v>
      </c>
      <c r="O408" s="633"/>
      <c r="P408" s="636"/>
      <c r="Q408" s="636"/>
      <c r="R408" s="7"/>
      <c r="S408" s="725"/>
      <c r="T408" s="7"/>
      <c r="U408" s="618">
        <f t="shared" si="29"/>
        <v>0</v>
      </c>
      <c r="V408" s="7"/>
      <c r="W408" s="7"/>
      <c r="X408" s="7"/>
      <c r="Y408" s="7"/>
      <c r="Z408" s="7"/>
      <c r="AA408" s="7"/>
    </row>
    <row r="409" spans="1:27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3"/>
      <c r="I409" s="213"/>
      <c r="J409" s="213"/>
      <c r="K409" s="213"/>
      <c r="L409" s="213"/>
      <c r="M409" s="643"/>
      <c r="N409" s="616">
        <f t="shared" si="27"/>
        <v>0</v>
      </c>
      <c r="O409" s="633"/>
      <c r="P409" s="636"/>
      <c r="Q409" s="636"/>
      <c r="R409" s="7"/>
      <c r="S409" s="725"/>
      <c r="T409" s="7"/>
      <c r="U409" s="618">
        <f t="shared" si="29"/>
        <v>0</v>
      </c>
      <c r="V409" s="7"/>
      <c r="W409" s="7"/>
      <c r="X409" s="7"/>
      <c r="Y409" s="7"/>
      <c r="Z409" s="7"/>
      <c r="AA409" s="7"/>
    </row>
    <row r="410" spans="1:27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3"/>
      <c r="I410" s="213"/>
      <c r="J410" s="213"/>
      <c r="K410" s="213"/>
      <c r="L410" s="213"/>
      <c r="M410" s="643"/>
      <c r="N410" s="616">
        <f t="shared" si="27"/>
        <v>0</v>
      </c>
      <c r="O410" s="633"/>
      <c r="P410" s="636"/>
      <c r="Q410" s="636"/>
      <c r="R410" s="7"/>
      <c r="S410" s="725"/>
      <c r="T410" s="7"/>
      <c r="U410" s="618">
        <f t="shared" si="29"/>
        <v>0</v>
      </c>
      <c r="V410" s="7"/>
      <c r="W410" s="7"/>
      <c r="X410" s="7"/>
      <c r="Y410" s="7"/>
      <c r="Z410" s="7"/>
      <c r="AA410" s="7"/>
    </row>
    <row r="411" spans="1:27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3"/>
      <c r="I411" s="213"/>
      <c r="J411" s="213"/>
      <c r="K411" s="213"/>
      <c r="L411" s="213"/>
      <c r="M411" s="643"/>
      <c r="N411" s="616">
        <f t="shared" si="27"/>
        <v>0</v>
      </c>
      <c r="O411" s="633"/>
      <c r="P411" s="636"/>
      <c r="Q411" s="636"/>
      <c r="R411" s="7"/>
      <c r="S411" s="725"/>
      <c r="T411" s="7"/>
      <c r="U411" s="618">
        <f t="shared" si="29"/>
        <v>0</v>
      </c>
      <c r="V411" s="7"/>
      <c r="W411" s="7"/>
      <c r="X411" s="7"/>
      <c r="Y411" s="7"/>
      <c r="Z411" s="7"/>
      <c r="AA411" s="7"/>
    </row>
    <row r="412" spans="1:27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3"/>
      <c r="I412" s="213"/>
      <c r="J412" s="213"/>
      <c r="K412" s="213"/>
      <c r="L412" s="213"/>
      <c r="M412" s="643"/>
      <c r="N412" s="616">
        <f t="shared" si="27"/>
        <v>0</v>
      </c>
      <c r="O412" s="633"/>
      <c r="P412" s="636"/>
      <c r="Q412" s="636"/>
      <c r="R412" s="7"/>
      <c r="S412" s="725"/>
      <c r="T412" s="7"/>
      <c r="U412" s="618">
        <f t="shared" si="29"/>
        <v>0</v>
      </c>
      <c r="V412" s="7"/>
      <c r="W412" s="7"/>
      <c r="X412" s="7"/>
      <c r="Y412" s="7"/>
      <c r="Z412" s="7"/>
      <c r="AA412" s="7"/>
    </row>
    <row r="413" spans="1:27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3"/>
      <c r="I413" s="213"/>
      <c r="J413" s="213"/>
      <c r="K413" s="213"/>
      <c r="L413" s="213"/>
      <c r="M413" s="643"/>
      <c r="N413" s="616">
        <f t="shared" si="27"/>
        <v>0</v>
      </c>
      <c r="O413" s="633"/>
      <c r="P413" s="636"/>
      <c r="Q413" s="636"/>
      <c r="R413" s="7"/>
      <c r="S413" s="725"/>
      <c r="T413" s="7"/>
      <c r="U413" s="618">
        <f t="shared" si="29"/>
        <v>0</v>
      </c>
      <c r="V413" s="7"/>
      <c r="W413" s="7"/>
      <c r="X413" s="7"/>
      <c r="Y413" s="7"/>
      <c r="Z413" s="7"/>
      <c r="AA413" s="7"/>
    </row>
    <row r="414" spans="1:27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3"/>
      <c r="I414" s="213"/>
      <c r="J414" s="213"/>
      <c r="K414" s="213"/>
      <c r="L414" s="213"/>
      <c r="M414" s="643"/>
      <c r="N414" s="616">
        <f t="shared" si="27"/>
        <v>0</v>
      </c>
      <c r="O414" s="633"/>
      <c r="P414" s="636"/>
      <c r="Q414" s="636"/>
      <c r="R414" s="7"/>
      <c r="S414" s="725"/>
      <c r="T414" s="7"/>
      <c r="U414" s="618">
        <f t="shared" si="29"/>
        <v>0</v>
      </c>
      <c r="V414" s="7"/>
      <c r="W414" s="7"/>
      <c r="X414" s="7"/>
      <c r="Y414" s="7"/>
      <c r="Z414" s="7"/>
      <c r="AA414" s="7"/>
    </row>
    <row r="415" spans="1:27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3"/>
      <c r="I415" s="213"/>
      <c r="J415" s="213"/>
      <c r="K415" s="213"/>
      <c r="L415" s="213"/>
      <c r="M415" s="643"/>
      <c r="N415" s="616">
        <f t="shared" si="27"/>
        <v>0</v>
      </c>
      <c r="O415" s="633"/>
      <c r="P415" s="636"/>
      <c r="Q415" s="636"/>
      <c r="R415" s="7"/>
      <c r="S415" s="725"/>
      <c r="T415" s="7"/>
      <c r="U415" s="618">
        <f t="shared" si="29"/>
        <v>0</v>
      </c>
      <c r="V415" s="7"/>
      <c r="W415" s="7"/>
      <c r="X415" s="7"/>
      <c r="Y415" s="7"/>
      <c r="Z415" s="7"/>
      <c r="AA415" s="7"/>
    </row>
    <row r="416" spans="1:27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3"/>
      <c r="I416" s="213"/>
      <c r="J416" s="213"/>
      <c r="K416" s="213"/>
      <c r="L416" s="213"/>
      <c r="M416" s="643"/>
      <c r="N416" s="616">
        <f t="shared" si="27"/>
        <v>0</v>
      </c>
      <c r="O416" s="633"/>
      <c r="P416" s="636"/>
      <c r="Q416" s="636"/>
      <c r="R416" s="7"/>
      <c r="S416" s="725"/>
      <c r="T416" s="7"/>
      <c r="U416" s="618">
        <f t="shared" si="29"/>
        <v>0</v>
      </c>
      <c r="V416" s="7"/>
      <c r="W416" s="7"/>
      <c r="X416" s="7"/>
      <c r="Y416" s="7"/>
      <c r="Z416" s="7"/>
      <c r="AA416" s="7"/>
    </row>
    <row r="417" spans="1:27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3"/>
      <c r="I417" s="213"/>
      <c r="J417" s="213"/>
      <c r="K417" s="213"/>
      <c r="L417" s="213"/>
      <c r="M417" s="643"/>
      <c r="N417" s="616">
        <f t="shared" si="27"/>
        <v>0</v>
      </c>
      <c r="O417" s="633"/>
      <c r="P417" s="636"/>
      <c r="Q417" s="636"/>
      <c r="R417" s="7"/>
      <c r="S417" s="725"/>
      <c r="T417" s="7"/>
      <c r="U417" s="618">
        <f t="shared" si="29"/>
        <v>0</v>
      </c>
      <c r="V417" s="7"/>
      <c r="W417" s="7"/>
      <c r="X417" s="7"/>
      <c r="Y417" s="7"/>
      <c r="Z417" s="7"/>
      <c r="AA417" s="7"/>
    </row>
    <row r="418" spans="1:27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3"/>
      <c r="I418" s="213"/>
      <c r="J418" s="213"/>
      <c r="K418" s="213"/>
      <c r="L418" s="213"/>
      <c r="M418" s="643"/>
      <c r="N418" s="616">
        <f t="shared" si="27"/>
        <v>0</v>
      </c>
      <c r="O418" s="633"/>
      <c r="P418" s="636"/>
      <c r="Q418" s="636"/>
      <c r="R418" s="7"/>
      <c r="S418" s="725"/>
      <c r="T418" s="7"/>
      <c r="U418" s="618">
        <f t="shared" si="29"/>
        <v>0</v>
      </c>
      <c r="V418" s="7"/>
      <c r="W418" s="7"/>
      <c r="X418" s="7"/>
      <c r="Y418" s="7"/>
      <c r="Z418" s="7"/>
      <c r="AA418" s="7"/>
    </row>
    <row r="419" spans="1:27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3"/>
      <c r="I419" s="213"/>
      <c r="J419" s="213"/>
      <c r="K419" s="213"/>
      <c r="L419" s="213"/>
      <c r="M419" s="643"/>
      <c r="N419" s="616">
        <f t="shared" si="27"/>
        <v>0</v>
      </c>
      <c r="O419" s="633"/>
      <c r="P419" s="636"/>
      <c r="Q419" s="636"/>
      <c r="R419" s="7"/>
      <c r="S419" s="725"/>
      <c r="T419" s="7"/>
      <c r="U419" s="618">
        <f t="shared" si="29"/>
        <v>0</v>
      </c>
      <c r="V419" s="7"/>
      <c r="W419" s="7"/>
      <c r="X419" s="7"/>
      <c r="Y419" s="7"/>
      <c r="Z419" s="7"/>
      <c r="AA419" s="7"/>
    </row>
    <row r="420" spans="1:27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3"/>
      <c r="I420" s="213"/>
      <c r="J420" s="213"/>
      <c r="K420" s="213"/>
      <c r="L420" s="213"/>
      <c r="M420" s="643"/>
      <c r="N420" s="616">
        <f t="shared" si="27"/>
        <v>0</v>
      </c>
      <c r="O420" s="633"/>
      <c r="P420" s="636"/>
      <c r="Q420" s="636"/>
      <c r="R420" s="7"/>
      <c r="S420" s="725"/>
      <c r="T420" s="7"/>
      <c r="U420" s="618">
        <f t="shared" si="29"/>
        <v>0</v>
      </c>
      <c r="V420" s="7"/>
      <c r="W420" s="7"/>
      <c r="X420" s="7"/>
      <c r="Y420" s="7"/>
      <c r="Z420" s="7"/>
      <c r="AA420" s="7"/>
    </row>
    <row r="421" spans="1:27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3"/>
      <c r="I421" s="213"/>
      <c r="J421" s="213"/>
      <c r="K421" s="213"/>
      <c r="L421" s="213"/>
      <c r="M421" s="643"/>
      <c r="N421" s="616">
        <f t="shared" si="27"/>
        <v>0</v>
      </c>
      <c r="O421" s="633"/>
      <c r="P421" s="640"/>
      <c r="Q421" s="640"/>
      <c r="R421" s="7"/>
      <c r="S421" s="725"/>
      <c r="T421" s="7"/>
      <c r="U421" s="618">
        <f t="shared" si="29"/>
        <v>0</v>
      </c>
      <c r="V421" s="7"/>
      <c r="W421" s="7"/>
      <c r="X421" s="7"/>
      <c r="Y421" s="7"/>
      <c r="Z421" s="7"/>
      <c r="AA421" s="7"/>
    </row>
    <row r="422" spans="1:27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3"/>
      <c r="I422" s="213"/>
      <c r="J422" s="213"/>
      <c r="K422" s="213"/>
      <c r="L422" s="213"/>
      <c r="M422" s="643"/>
      <c r="N422" s="616">
        <f t="shared" si="27"/>
        <v>0</v>
      </c>
      <c r="O422" s="633"/>
      <c r="P422" s="634"/>
      <c r="Q422" s="634"/>
      <c r="R422" s="7"/>
      <c r="S422" s="725"/>
      <c r="T422" s="7"/>
      <c r="U422" s="618">
        <f t="shared" si="29"/>
        <v>0</v>
      </c>
      <c r="V422" s="7"/>
      <c r="W422" s="7"/>
      <c r="X422" s="7"/>
      <c r="Y422" s="7"/>
      <c r="Z422" s="7"/>
      <c r="AA422" s="7"/>
    </row>
    <row r="423" spans="1:27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3"/>
      <c r="I423" s="213"/>
      <c r="J423" s="213"/>
      <c r="K423" s="213"/>
      <c r="L423" s="213"/>
      <c r="M423" s="643"/>
      <c r="N423" s="616">
        <f t="shared" si="27"/>
        <v>0</v>
      </c>
      <c r="O423" s="633"/>
      <c r="P423" s="634"/>
      <c r="Q423" s="634"/>
      <c r="R423" s="7"/>
      <c r="S423" s="725"/>
      <c r="T423" s="7"/>
      <c r="U423" s="618">
        <f t="shared" si="29"/>
        <v>0</v>
      </c>
      <c r="V423" s="7"/>
      <c r="W423" s="7"/>
      <c r="X423" s="7"/>
      <c r="Y423" s="7"/>
      <c r="Z423" s="7"/>
      <c r="AA423" s="7"/>
    </row>
    <row r="424" spans="1:27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3"/>
      <c r="I424" s="213"/>
      <c r="J424" s="213"/>
      <c r="K424" s="213"/>
      <c r="L424" s="213"/>
      <c r="M424" s="643"/>
      <c r="N424" s="616">
        <f t="shared" si="27"/>
        <v>0</v>
      </c>
      <c r="O424" s="633"/>
      <c r="P424" s="634"/>
      <c r="Q424" s="634"/>
      <c r="R424" s="7"/>
      <c r="S424" s="725"/>
      <c r="T424" s="7"/>
      <c r="U424" s="618">
        <f t="shared" si="29"/>
        <v>0</v>
      </c>
      <c r="V424" s="7"/>
      <c r="W424" s="7"/>
      <c r="X424" s="7"/>
      <c r="Y424" s="7"/>
      <c r="Z424" s="7"/>
      <c r="AA424" s="7"/>
    </row>
    <row r="425" spans="1:27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3"/>
      <c r="I425" s="213"/>
      <c r="J425" s="213"/>
      <c r="K425" s="213"/>
      <c r="L425" s="213"/>
      <c r="M425" s="643"/>
      <c r="N425" s="616">
        <f t="shared" si="27"/>
        <v>0</v>
      </c>
      <c r="O425" s="633"/>
      <c r="P425" s="636"/>
      <c r="Q425" s="636"/>
      <c r="R425" s="7"/>
      <c r="S425" s="725"/>
      <c r="T425" s="7"/>
      <c r="U425" s="618">
        <f t="shared" si="29"/>
        <v>0</v>
      </c>
      <c r="V425" s="7"/>
      <c r="W425" s="7"/>
      <c r="X425" s="7"/>
      <c r="Y425" s="7"/>
      <c r="Z425" s="7"/>
      <c r="AA425" s="7"/>
    </row>
    <row r="426" spans="1:27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3"/>
      <c r="I426" s="213"/>
      <c r="J426" s="213"/>
      <c r="K426" s="213"/>
      <c r="L426" s="213"/>
      <c r="M426" s="643"/>
      <c r="N426" s="616">
        <f t="shared" si="27"/>
        <v>0</v>
      </c>
      <c r="O426" s="633"/>
      <c r="P426" s="634"/>
      <c r="Q426" s="634"/>
      <c r="R426" s="7"/>
      <c r="S426" s="725"/>
      <c r="T426" s="7"/>
      <c r="U426" s="618">
        <f t="shared" si="29"/>
        <v>0</v>
      </c>
      <c r="V426" s="7"/>
      <c r="W426" s="7"/>
      <c r="X426" s="7"/>
      <c r="Y426" s="7"/>
      <c r="Z426" s="7"/>
      <c r="AA426" s="7"/>
    </row>
    <row r="427" spans="1:27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3"/>
      <c r="I427" s="213"/>
      <c r="J427" s="213"/>
      <c r="K427" s="213"/>
      <c r="L427" s="213"/>
      <c r="M427" s="643"/>
      <c r="N427" s="616">
        <f t="shared" si="27"/>
        <v>0</v>
      </c>
      <c r="O427" s="633"/>
      <c r="P427" s="640"/>
      <c r="Q427" s="640"/>
      <c r="R427" s="7"/>
      <c r="S427" s="725"/>
      <c r="T427" s="7"/>
      <c r="U427" s="618">
        <f t="shared" si="29"/>
        <v>0</v>
      </c>
      <c r="V427" s="7"/>
      <c r="W427" s="7"/>
      <c r="X427" s="7"/>
      <c r="Y427" s="7"/>
      <c r="Z427" s="7"/>
      <c r="AA427" s="7"/>
    </row>
    <row r="428" spans="1:27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3"/>
      <c r="I428" s="213"/>
      <c r="J428" s="213"/>
      <c r="K428" s="213"/>
      <c r="L428" s="213"/>
      <c r="M428" s="643"/>
      <c r="N428" s="616">
        <f t="shared" si="27"/>
        <v>0</v>
      </c>
      <c r="O428" s="633"/>
      <c r="P428" s="636"/>
      <c r="Q428" s="636"/>
      <c r="R428" s="7"/>
      <c r="S428" s="725"/>
      <c r="T428" s="7"/>
      <c r="U428" s="618">
        <f t="shared" si="29"/>
        <v>0</v>
      </c>
      <c r="V428" s="7"/>
      <c r="W428" s="7"/>
      <c r="X428" s="7"/>
      <c r="Y428" s="7"/>
      <c r="Z428" s="7"/>
      <c r="AA428" s="7"/>
    </row>
    <row r="429" spans="1:27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3"/>
      <c r="I429" s="213"/>
      <c r="J429" s="213"/>
      <c r="K429" s="213"/>
      <c r="L429" s="213"/>
      <c r="M429" s="643"/>
      <c r="N429" s="616">
        <f t="shared" si="27"/>
        <v>0</v>
      </c>
      <c r="O429" s="633"/>
      <c r="P429" s="636"/>
      <c r="Q429" s="636"/>
      <c r="R429" s="7"/>
      <c r="S429" s="725"/>
      <c r="T429" s="7"/>
      <c r="U429" s="618">
        <f t="shared" si="29"/>
        <v>0</v>
      </c>
      <c r="V429" s="7"/>
      <c r="W429" s="7"/>
      <c r="X429" s="7"/>
      <c r="Y429" s="7"/>
      <c r="Z429" s="7"/>
      <c r="AA429" s="7"/>
    </row>
    <row r="430" spans="1:27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3"/>
      <c r="I430" s="213"/>
      <c r="J430" s="213"/>
      <c r="K430" s="213"/>
      <c r="L430" s="213"/>
      <c r="M430" s="643"/>
      <c r="N430" s="616">
        <f t="shared" si="27"/>
        <v>0</v>
      </c>
      <c r="O430" s="633"/>
      <c r="P430" s="636"/>
      <c r="Q430" s="636"/>
      <c r="R430" s="7"/>
      <c r="S430" s="725"/>
      <c r="T430" s="7"/>
      <c r="U430" s="618">
        <f t="shared" si="29"/>
        <v>0</v>
      </c>
      <c r="V430" s="7"/>
      <c r="W430" s="7"/>
      <c r="X430" s="7"/>
      <c r="Y430" s="7"/>
      <c r="Z430" s="7"/>
      <c r="AA430" s="7"/>
    </row>
    <row r="431" spans="1:27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3"/>
      <c r="I431" s="213"/>
      <c r="J431" s="213"/>
      <c r="K431" s="213"/>
      <c r="L431" s="213"/>
      <c r="M431" s="643"/>
      <c r="N431" s="616">
        <f t="shared" si="27"/>
        <v>0</v>
      </c>
      <c r="O431" s="633"/>
      <c r="P431" s="636"/>
      <c r="Q431" s="636"/>
      <c r="R431" s="7"/>
      <c r="S431" s="725"/>
      <c r="T431" s="7"/>
      <c r="U431" s="618">
        <f t="shared" si="29"/>
        <v>0</v>
      </c>
      <c r="V431" s="7"/>
      <c r="W431" s="7"/>
      <c r="X431" s="7"/>
      <c r="Y431" s="7"/>
      <c r="Z431" s="7"/>
      <c r="AA431" s="7"/>
    </row>
    <row r="432" spans="1:27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3"/>
      <c r="I432" s="213"/>
      <c r="J432" s="213"/>
      <c r="K432" s="213"/>
      <c r="L432" s="213"/>
      <c r="M432" s="643"/>
      <c r="N432" s="616">
        <f t="shared" si="27"/>
        <v>0</v>
      </c>
      <c r="O432" s="633"/>
      <c r="P432" s="636"/>
      <c r="Q432" s="636"/>
      <c r="R432" s="7"/>
      <c r="S432" s="725"/>
      <c r="T432" s="7"/>
      <c r="U432" s="618">
        <f t="shared" si="29"/>
        <v>0</v>
      </c>
      <c r="V432" s="7"/>
      <c r="W432" s="7"/>
      <c r="X432" s="7"/>
      <c r="Y432" s="7"/>
      <c r="Z432" s="7"/>
      <c r="AA432" s="7"/>
    </row>
    <row r="433" spans="1:27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3"/>
      <c r="I433" s="213"/>
      <c r="J433" s="213"/>
      <c r="K433" s="213"/>
      <c r="L433" s="213"/>
      <c r="M433" s="643"/>
      <c r="N433" s="616">
        <f t="shared" si="27"/>
        <v>0</v>
      </c>
      <c r="O433" s="633"/>
      <c r="P433" s="636"/>
      <c r="Q433" s="636"/>
      <c r="R433" s="7"/>
      <c r="S433" s="725"/>
      <c r="T433" s="7"/>
      <c r="U433" s="618">
        <f t="shared" si="29"/>
        <v>0</v>
      </c>
      <c r="V433" s="7"/>
      <c r="W433" s="7"/>
      <c r="X433" s="7"/>
      <c r="Y433" s="7"/>
      <c r="Z433" s="7"/>
      <c r="AA433" s="7"/>
    </row>
    <row r="434" spans="1:27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3"/>
      <c r="I434" s="213"/>
      <c r="J434" s="213"/>
      <c r="K434" s="213"/>
      <c r="L434" s="213"/>
      <c r="M434" s="643"/>
      <c r="N434" s="616">
        <f t="shared" si="27"/>
        <v>0</v>
      </c>
      <c r="O434" s="633"/>
      <c r="P434" s="636"/>
      <c r="Q434" s="636"/>
      <c r="R434" s="7"/>
      <c r="S434" s="725"/>
      <c r="T434" s="7"/>
      <c r="U434" s="618">
        <f t="shared" si="29"/>
        <v>0</v>
      </c>
      <c r="V434" s="7"/>
      <c r="W434" s="7"/>
      <c r="X434" s="7"/>
      <c r="Y434" s="7"/>
      <c r="Z434" s="7"/>
      <c r="AA434" s="7"/>
    </row>
    <row r="435" spans="1:27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3"/>
      <c r="I435" s="213"/>
      <c r="J435" s="213"/>
      <c r="K435" s="213"/>
      <c r="L435" s="213"/>
      <c r="M435" s="643"/>
      <c r="N435" s="616">
        <f t="shared" si="27"/>
        <v>0</v>
      </c>
      <c r="O435" s="633"/>
      <c r="P435" s="636"/>
      <c r="Q435" s="636"/>
      <c r="R435" s="7"/>
      <c r="S435" s="725"/>
      <c r="T435" s="7"/>
      <c r="U435" s="618">
        <f t="shared" si="29"/>
        <v>0</v>
      </c>
      <c r="V435" s="7"/>
      <c r="W435" s="7"/>
      <c r="X435" s="7"/>
      <c r="Y435" s="7"/>
      <c r="Z435" s="7"/>
      <c r="AA435" s="7"/>
    </row>
    <row r="436" spans="1:27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3"/>
      <c r="I436" s="213"/>
      <c r="J436" s="213"/>
      <c r="K436" s="213"/>
      <c r="L436" s="213"/>
      <c r="M436" s="643"/>
      <c r="N436" s="616">
        <f t="shared" si="27"/>
        <v>0</v>
      </c>
      <c r="O436" s="633"/>
      <c r="P436" s="636"/>
      <c r="Q436" s="636"/>
      <c r="R436" s="7"/>
      <c r="S436" s="725"/>
      <c r="T436" s="7"/>
      <c r="U436" s="618">
        <f t="shared" si="29"/>
        <v>0</v>
      </c>
      <c r="V436" s="7"/>
      <c r="W436" s="7"/>
      <c r="X436" s="7"/>
      <c r="Y436" s="7"/>
      <c r="Z436" s="7"/>
      <c r="AA436" s="7"/>
    </row>
    <row r="437" spans="1:27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3"/>
      <c r="I437" s="213"/>
      <c r="J437" s="213"/>
      <c r="K437" s="213"/>
      <c r="L437" s="213"/>
      <c r="M437" s="643"/>
      <c r="N437" s="616">
        <f t="shared" si="27"/>
        <v>0</v>
      </c>
      <c r="O437" s="633"/>
      <c r="P437" s="636"/>
      <c r="Q437" s="636"/>
      <c r="R437" s="7"/>
      <c r="S437" s="725"/>
      <c r="T437" s="7"/>
      <c r="U437" s="618">
        <f t="shared" si="29"/>
        <v>0</v>
      </c>
      <c r="V437" s="7"/>
      <c r="W437" s="7"/>
      <c r="X437" s="7"/>
      <c r="Y437" s="7"/>
      <c r="Z437" s="7"/>
      <c r="AA437" s="7"/>
    </row>
    <row r="438" spans="1:27" ht="21.75" customHeight="1">
      <c r="A438" s="486">
        <v>15.3</v>
      </c>
      <c r="B438" s="487" t="s">
        <v>947</v>
      </c>
      <c r="C438" s="635" t="s">
        <v>948</v>
      </c>
      <c r="D438" s="412" t="s">
        <v>2083</v>
      </c>
      <c r="E438" s="213"/>
      <c r="F438" s="213"/>
      <c r="G438" s="213"/>
      <c r="H438" s="213"/>
      <c r="I438" s="213"/>
      <c r="J438" s="213"/>
      <c r="K438" s="213"/>
      <c r="L438" s="213"/>
      <c r="M438" s="643"/>
      <c r="N438" s="616">
        <f t="shared" si="27"/>
        <v>0</v>
      </c>
      <c r="O438" s="633"/>
      <c r="P438" s="636"/>
      <c r="Q438" s="636"/>
      <c r="R438" s="7"/>
      <c r="S438" s="725"/>
      <c r="T438" s="7"/>
      <c r="U438" s="618"/>
      <c r="V438" s="7"/>
      <c r="W438" s="7"/>
      <c r="X438" s="7"/>
      <c r="Y438" s="7"/>
      <c r="Z438" s="7"/>
      <c r="AA438" s="7"/>
    </row>
    <row r="439" spans="1:27" ht="21.75" customHeight="1">
      <c r="A439" s="503" t="s">
        <v>1515</v>
      </c>
      <c r="B439" s="483" t="s">
        <v>951</v>
      </c>
      <c r="C439" s="629" t="s">
        <v>131</v>
      </c>
      <c r="D439" s="485" t="s">
        <v>2084</v>
      </c>
      <c r="E439" s="213"/>
      <c r="F439" s="213"/>
      <c r="G439" s="213"/>
      <c r="H439" s="213"/>
      <c r="I439" s="213"/>
      <c r="J439" s="213"/>
      <c r="K439" s="213"/>
      <c r="L439" s="213"/>
      <c r="M439" s="643"/>
      <c r="N439" s="616">
        <f t="shared" si="27"/>
        <v>0</v>
      </c>
      <c r="O439" s="633"/>
      <c r="P439" s="636"/>
      <c r="Q439" s="636"/>
      <c r="R439" s="7"/>
      <c r="S439" s="725"/>
      <c r="T439" s="7"/>
      <c r="U439" s="618"/>
      <c r="V439" s="7"/>
      <c r="W439" s="7"/>
      <c r="X439" s="7"/>
      <c r="Y439" s="7"/>
      <c r="Z439" s="7"/>
      <c r="AA439" s="7"/>
    </row>
    <row r="440" spans="1:27" ht="21.75" customHeight="1">
      <c r="A440" s="503" t="s">
        <v>1517</v>
      </c>
      <c r="B440" s="483" t="s">
        <v>953</v>
      </c>
      <c r="C440" s="629" t="s">
        <v>200</v>
      </c>
      <c r="D440" s="485" t="s">
        <v>2085</v>
      </c>
      <c r="E440" s="213"/>
      <c r="F440" s="213"/>
      <c r="G440" s="213"/>
      <c r="H440" s="213"/>
      <c r="I440" s="213"/>
      <c r="J440" s="213"/>
      <c r="K440" s="213"/>
      <c r="L440" s="213"/>
      <c r="M440" s="643"/>
      <c r="N440" s="616">
        <f t="shared" si="27"/>
        <v>0</v>
      </c>
      <c r="O440" s="633"/>
      <c r="P440" s="636"/>
      <c r="Q440" s="636"/>
      <c r="R440" s="7"/>
      <c r="S440" s="725"/>
      <c r="T440" s="7"/>
      <c r="U440" s="618">
        <f t="shared" ref="U440:U447" si="30">S440-N440</f>
        <v>0</v>
      </c>
      <c r="V440" s="7"/>
      <c r="W440" s="7"/>
      <c r="X440" s="7"/>
      <c r="Y440" s="7"/>
      <c r="Z440" s="7"/>
      <c r="AA440" s="7"/>
    </row>
    <row r="441" spans="1:27" ht="21.75" customHeight="1">
      <c r="A441" s="503" t="s">
        <v>1519</v>
      </c>
      <c r="B441" s="483" t="s">
        <v>955</v>
      </c>
      <c r="C441" s="629" t="s">
        <v>203</v>
      </c>
      <c r="D441" s="485" t="s">
        <v>2086</v>
      </c>
      <c r="E441" s="213"/>
      <c r="F441" s="213"/>
      <c r="G441" s="213"/>
      <c r="H441" s="213"/>
      <c r="I441" s="213"/>
      <c r="J441" s="213"/>
      <c r="K441" s="213"/>
      <c r="L441" s="213"/>
      <c r="M441" s="643"/>
      <c r="N441" s="616">
        <f t="shared" si="27"/>
        <v>0</v>
      </c>
      <c r="O441" s="633"/>
      <c r="P441" s="636"/>
      <c r="Q441" s="636"/>
      <c r="R441" s="7"/>
      <c r="S441" s="725"/>
      <c r="T441" s="7"/>
      <c r="U441" s="618">
        <f t="shared" si="30"/>
        <v>0</v>
      </c>
      <c r="V441" s="7"/>
      <c r="W441" s="7"/>
      <c r="X441" s="7"/>
      <c r="Y441" s="7"/>
      <c r="Z441" s="7"/>
      <c r="AA441" s="7"/>
    </row>
    <row r="442" spans="1:27" ht="21.75" customHeight="1">
      <c r="A442" s="503" t="s">
        <v>1521</v>
      </c>
      <c r="B442" s="483" t="s">
        <v>957</v>
      </c>
      <c r="C442" s="629" t="s">
        <v>159</v>
      </c>
      <c r="D442" s="485" t="s">
        <v>2087</v>
      </c>
      <c r="E442" s="213"/>
      <c r="F442" s="213"/>
      <c r="G442" s="213"/>
      <c r="H442" s="213"/>
      <c r="I442" s="213"/>
      <c r="J442" s="213"/>
      <c r="K442" s="213"/>
      <c r="L442" s="213"/>
      <c r="M442" s="643"/>
      <c r="N442" s="616">
        <f t="shared" si="27"/>
        <v>0</v>
      </c>
      <c r="O442" s="633"/>
      <c r="P442" s="636"/>
      <c r="Q442" s="636"/>
      <c r="R442" s="7"/>
      <c r="S442" s="725"/>
      <c r="T442" s="7"/>
      <c r="U442" s="618">
        <f t="shared" si="30"/>
        <v>0</v>
      </c>
      <c r="V442" s="7"/>
      <c r="W442" s="7"/>
      <c r="X442" s="7"/>
      <c r="Y442" s="7"/>
      <c r="Z442" s="7"/>
      <c r="AA442" s="7"/>
    </row>
    <row r="443" spans="1:27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3"/>
      <c r="I443" s="213"/>
      <c r="J443" s="213"/>
      <c r="K443" s="213"/>
      <c r="L443" s="213"/>
      <c r="M443" s="643"/>
      <c r="N443" s="616">
        <f t="shared" si="27"/>
        <v>0</v>
      </c>
      <c r="O443" s="633"/>
      <c r="P443" s="636"/>
      <c r="Q443" s="636"/>
      <c r="R443" s="7"/>
      <c r="S443" s="725"/>
      <c r="T443" s="7"/>
      <c r="U443" s="618">
        <f t="shared" si="30"/>
        <v>0</v>
      </c>
      <c r="V443" s="7"/>
      <c r="W443" s="7"/>
      <c r="X443" s="7"/>
      <c r="Y443" s="7"/>
      <c r="Z443" s="7"/>
      <c r="AA443" s="7"/>
    </row>
    <row r="444" spans="1:27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213"/>
      <c r="I444" s="213"/>
      <c r="J444" s="213"/>
      <c r="K444" s="213"/>
      <c r="L444" s="213"/>
      <c r="M444" s="643"/>
      <c r="N444" s="616">
        <f t="shared" si="27"/>
        <v>0</v>
      </c>
      <c r="O444" s="633"/>
      <c r="P444" s="636"/>
      <c r="Q444" s="636"/>
      <c r="R444" s="7"/>
      <c r="S444" s="725"/>
      <c r="T444" s="7"/>
      <c r="U444" s="618">
        <f t="shared" si="30"/>
        <v>0</v>
      </c>
      <c r="V444" s="7"/>
      <c r="W444" s="7"/>
      <c r="X444" s="7"/>
      <c r="Y444" s="7"/>
      <c r="Z444" s="7"/>
      <c r="AA444" s="7"/>
    </row>
    <row r="445" spans="1:27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3"/>
      <c r="I445" s="213"/>
      <c r="J445" s="213"/>
      <c r="K445" s="213"/>
      <c r="L445" s="213"/>
      <c r="M445" s="643"/>
      <c r="N445" s="616">
        <f t="shared" si="27"/>
        <v>0</v>
      </c>
      <c r="O445" s="633"/>
      <c r="P445" s="636"/>
      <c r="Q445" s="636"/>
      <c r="R445" s="7"/>
      <c r="S445" s="725"/>
      <c r="T445" s="7"/>
      <c r="U445" s="618">
        <f t="shared" si="30"/>
        <v>0</v>
      </c>
      <c r="V445" s="7"/>
      <c r="W445" s="7"/>
      <c r="X445" s="7"/>
      <c r="Y445" s="7"/>
      <c r="Z445" s="7"/>
      <c r="AA445" s="7"/>
    </row>
    <row r="446" spans="1:27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3"/>
      <c r="I446" s="213"/>
      <c r="J446" s="213"/>
      <c r="K446" s="213"/>
      <c r="L446" s="213"/>
      <c r="M446" s="643"/>
      <c r="N446" s="616">
        <f t="shared" si="27"/>
        <v>0</v>
      </c>
      <c r="O446" s="633"/>
      <c r="P446" s="636"/>
      <c r="Q446" s="636"/>
      <c r="R446" s="7"/>
      <c r="S446" s="725"/>
      <c r="T446" s="7"/>
      <c r="U446" s="618">
        <f t="shared" si="30"/>
        <v>0</v>
      </c>
      <c r="V446" s="7"/>
      <c r="W446" s="7"/>
      <c r="X446" s="7"/>
      <c r="Y446" s="7"/>
      <c r="Z446" s="7"/>
      <c r="AA446" s="7"/>
    </row>
    <row r="447" spans="1:27" ht="42" customHeight="1">
      <c r="A447" s="519"/>
      <c r="B447" s="801" t="s">
        <v>969</v>
      </c>
      <c r="C447" s="771"/>
      <c r="D447" s="491" t="s">
        <v>970</v>
      </c>
      <c r="E447" s="231">
        <v>355.6</v>
      </c>
      <c r="F447" s="231">
        <v>627</v>
      </c>
      <c r="G447" s="231"/>
      <c r="H447" s="231"/>
      <c r="I447" s="231"/>
      <c r="J447" s="231"/>
      <c r="K447" s="231"/>
      <c r="L447" s="231"/>
      <c r="M447" s="678"/>
      <c r="N447" s="616">
        <f t="shared" si="27"/>
        <v>982.6</v>
      </c>
      <c r="O447" s="633"/>
      <c r="P447" s="537"/>
      <c r="Q447" s="537"/>
      <c r="R447" s="7"/>
      <c r="S447" s="726">
        <v>28370.71</v>
      </c>
      <c r="T447" s="7"/>
      <c r="U447" s="618">
        <f t="shared" si="30"/>
        <v>27388.11</v>
      </c>
      <c r="V447" s="7"/>
      <c r="W447" s="7"/>
      <c r="X447" s="7"/>
      <c r="Y447" s="7"/>
      <c r="Z447" s="7"/>
      <c r="AA447" s="7"/>
    </row>
    <row r="448" spans="1:27" ht="21.75" customHeight="1">
      <c r="A448" s="534"/>
      <c r="B448" s="535"/>
      <c r="C448" s="680"/>
      <c r="D448" s="536"/>
      <c r="E448" s="539"/>
      <c r="F448" s="7"/>
      <c r="G448" s="7"/>
      <c r="H448" s="7"/>
      <c r="I448" s="7"/>
    </row>
    <row r="449" spans="1:9" ht="15.75" customHeight="1">
      <c r="A449" s="541"/>
      <c r="B449" s="542" t="s">
        <v>1523</v>
      </c>
      <c r="C449" s="542"/>
      <c r="D449" s="541"/>
      <c r="E449" s="539"/>
      <c r="F449" s="7"/>
      <c r="G449" s="7"/>
      <c r="H449" s="7"/>
      <c r="I449" s="7"/>
    </row>
    <row r="450" spans="1:9" ht="15.75" customHeight="1">
      <c r="A450" s="541"/>
      <c r="B450" s="545" t="s">
        <v>1524</v>
      </c>
      <c r="C450" s="542" t="s">
        <v>1525</v>
      </c>
      <c r="D450" s="541"/>
      <c r="E450" s="539"/>
      <c r="F450" s="7"/>
      <c r="G450" s="7"/>
      <c r="H450" s="7"/>
      <c r="I450" s="7"/>
    </row>
    <row r="451" spans="1:9" ht="15.75" customHeight="1">
      <c r="A451" s="541"/>
      <c r="B451" s="545" t="s">
        <v>1526</v>
      </c>
      <c r="C451" s="542" t="s">
        <v>1527</v>
      </c>
      <c r="D451" s="541"/>
      <c r="E451" s="681"/>
      <c r="F451" s="7"/>
      <c r="G451" s="7"/>
      <c r="H451" s="7"/>
      <c r="I451" s="7"/>
    </row>
    <row r="452" spans="1:9" ht="15.75" customHeight="1">
      <c r="A452" s="541"/>
      <c r="B452" s="545"/>
      <c r="C452" s="542"/>
      <c r="D452" s="541"/>
      <c r="E452" s="681"/>
      <c r="F452" s="7"/>
      <c r="G452" s="7"/>
      <c r="H452" s="7"/>
      <c r="I452" s="7"/>
    </row>
    <row r="453" spans="1:9" ht="15.75" customHeight="1">
      <c r="A453" s="541"/>
      <c r="B453" s="802" t="s">
        <v>1528</v>
      </c>
      <c r="C453" s="791"/>
      <c r="D453" s="541"/>
      <c r="E453" s="681"/>
      <c r="F453" s="7"/>
      <c r="G453" s="7"/>
      <c r="H453" s="7"/>
      <c r="I453" s="7"/>
    </row>
    <row r="454" spans="1:9" ht="15.75" customHeight="1">
      <c r="A454" s="541"/>
      <c r="B454" s="790" t="s">
        <v>1529</v>
      </c>
      <c r="C454" s="791"/>
      <c r="D454" s="541" t="s">
        <v>1530</v>
      </c>
      <c r="E454" s="681"/>
      <c r="F454" s="7"/>
      <c r="G454" s="7"/>
      <c r="H454" s="7"/>
      <c r="I454" s="7"/>
    </row>
    <row r="455" spans="1:9" ht="15.75" customHeight="1">
      <c r="A455" s="541"/>
      <c r="B455" s="545"/>
      <c r="C455" s="542"/>
      <c r="D455" s="541"/>
      <c r="E455" s="681"/>
      <c r="F455" s="7"/>
      <c r="G455" s="7"/>
      <c r="H455" s="7"/>
      <c r="I455" s="7"/>
    </row>
    <row r="456" spans="1:9" ht="15.75" customHeight="1">
      <c r="A456" s="546" t="s">
        <v>971</v>
      </c>
      <c r="B456" s="547"/>
      <c r="C456" s="547"/>
      <c r="D456" s="547"/>
      <c r="E456" s="682"/>
      <c r="F456" s="7"/>
      <c r="G456" s="7"/>
      <c r="H456" s="7"/>
      <c r="I456" s="7"/>
    </row>
    <row r="457" spans="1:9" ht="15.75" customHeight="1">
      <c r="A457" s="549" t="s">
        <v>972</v>
      </c>
      <c r="B457" s="550"/>
      <c r="C457" s="550"/>
      <c r="D457" s="550"/>
      <c r="E457" s="684"/>
      <c r="F457" s="7"/>
      <c r="G457" s="7"/>
      <c r="H457" s="7"/>
      <c r="I457" s="7"/>
    </row>
    <row r="458" spans="1:9" ht="15.75" customHeight="1">
      <c r="A458" s="546"/>
      <c r="B458" s="547"/>
      <c r="C458" s="241" t="s">
        <v>12</v>
      </c>
      <c r="D458" s="242">
        <f>COUNTIF($D$11:$N$11,"Hà Giang")</f>
        <v>0</v>
      </c>
      <c r="E458" s="539"/>
      <c r="F458" s="7"/>
      <c r="G458" s="7"/>
      <c r="H458" s="7"/>
      <c r="I458" s="7"/>
    </row>
    <row r="459" spans="1:9" ht="15.75" customHeight="1">
      <c r="A459" s="546"/>
      <c r="B459" s="547"/>
      <c r="C459" s="241" t="s">
        <v>14</v>
      </c>
      <c r="D459" s="242">
        <f>COUNTIF($D$11:$N$11,"Lào Cai")</f>
        <v>0</v>
      </c>
      <c r="E459" s="539"/>
      <c r="F459" s="7"/>
      <c r="G459" s="7"/>
      <c r="H459" s="7"/>
      <c r="I459" s="7"/>
    </row>
    <row r="460" spans="1:9" ht="15.75" customHeight="1">
      <c r="A460" s="546"/>
      <c r="B460" s="552"/>
      <c r="C460" s="241" t="s">
        <v>23</v>
      </c>
      <c r="D460" s="242">
        <f>COUNTIF($D$11:$N$11,"Lai Châu")</f>
        <v>0</v>
      </c>
      <c r="E460" s="539"/>
      <c r="F460" s="7"/>
      <c r="G460" s="7"/>
      <c r="H460" s="7"/>
      <c r="I460" s="7"/>
    </row>
    <row r="461" spans="1:9" ht="15.75" customHeight="1">
      <c r="A461" s="686"/>
      <c r="B461" s="687"/>
      <c r="C461" s="243" t="s">
        <v>17</v>
      </c>
      <c r="D461" s="242">
        <f>COUNTIF($D$11:$N$11,"Điện Biên")</f>
        <v>0</v>
      </c>
      <c r="E461" s="688"/>
      <c r="F461" s="7"/>
      <c r="G461" s="7"/>
      <c r="H461" s="7"/>
      <c r="I461" s="7"/>
    </row>
    <row r="462" spans="1:9" ht="15.75" customHeight="1">
      <c r="A462" s="686"/>
      <c r="B462" s="687"/>
      <c r="C462" s="243" t="s">
        <v>16</v>
      </c>
      <c r="D462" s="242">
        <f>COUNTIF($D$11:$N$11,"Lạng Sơn")</f>
        <v>0</v>
      </c>
      <c r="E462" s="688"/>
      <c r="F462" s="7"/>
      <c r="G462" s="7"/>
      <c r="H462" s="7"/>
      <c r="I462" s="7"/>
    </row>
    <row r="463" spans="1:9" ht="15.75" customHeight="1">
      <c r="A463" s="686"/>
      <c r="B463" s="687"/>
      <c r="C463" s="243" t="s">
        <v>13</v>
      </c>
      <c r="D463" s="242">
        <f>COUNTIF($D$11:$N$11,"Cao Bằng")</f>
        <v>0</v>
      </c>
      <c r="E463" s="688"/>
      <c r="F463" s="7"/>
      <c r="G463" s="7"/>
      <c r="H463" s="7"/>
      <c r="I463" s="7"/>
    </row>
    <row r="464" spans="1:9" ht="15.75" customHeight="1">
      <c r="A464" s="686"/>
      <c r="B464" s="687"/>
      <c r="C464" s="243" t="s">
        <v>1090</v>
      </c>
      <c r="D464" s="242">
        <f>COUNTIF($D$11:$N$11,"Sơn La")</f>
        <v>0</v>
      </c>
      <c r="E464" s="688"/>
      <c r="F464" s="7"/>
      <c r="G464" s="7"/>
      <c r="H464" s="7"/>
      <c r="I464" s="7"/>
    </row>
    <row r="465" spans="1:9" ht="15.75" customHeight="1">
      <c r="A465" s="686"/>
      <c r="B465" s="687"/>
      <c r="C465" s="243" t="s">
        <v>19</v>
      </c>
      <c r="D465" s="242">
        <f>COUNTIF($D$11:$N$11,"Yên Bái")</f>
        <v>0</v>
      </c>
      <c r="E465" s="688"/>
      <c r="F465" s="7"/>
      <c r="G465" s="7"/>
      <c r="H465" s="7"/>
      <c r="I465" s="7"/>
    </row>
    <row r="466" spans="1:9" ht="15.75" customHeight="1">
      <c r="A466" s="686"/>
      <c r="B466" s="687"/>
      <c r="C466" s="243" t="s">
        <v>18</v>
      </c>
      <c r="D466" s="242">
        <f>COUNTIF($D$11:$N$11,"Tuyên Quang")</f>
        <v>0</v>
      </c>
      <c r="E466" s="688"/>
      <c r="F466" s="7"/>
      <c r="G466" s="7"/>
      <c r="H466" s="7"/>
      <c r="I466" s="7"/>
    </row>
    <row r="467" spans="1:9" ht="15.75" customHeight="1">
      <c r="A467" s="686"/>
      <c r="B467" s="687"/>
      <c r="C467" s="243" t="s">
        <v>1091</v>
      </c>
      <c r="D467" s="242">
        <f>COUNTIF($D$11:$N$11,"Thái Nguyên")</f>
        <v>0</v>
      </c>
      <c r="E467" s="688"/>
      <c r="F467" s="7"/>
      <c r="G467" s="7"/>
      <c r="H467" s="7"/>
      <c r="I467" s="7"/>
    </row>
    <row r="468" spans="1:9" ht="15.75" customHeight="1">
      <c r="A468" s="686"/>
      <c r="B468" s="687"/>
      <c r="C468" s="243" t="s">
        <v>15</v>
      </c>
      <c r="D468" s="242">
        <f>COUNTIF($D$11:$N$11,"Bắc Kạn")</f>
        <v>0</v>
      </c>
      <c r="E468" s="688"/>
      <c r="F468" s="7"/>
      <c r="G468" s="7"/>
      <c r="H468" s="7"/>
      <c r="I468" s="7"/>
    </row>
    <row r="469" spans="1:9" ht="15.75" customHeight="1">
      <c r="A469" s="686"/>
      <c r="B469" s="687"/>
      <c r="C469" s="243" t="s">
        <v>25</v>
      </c>
      <c r="D469" s="242">
        <f>COUNTIF($D$11:$N$11,"Hoà Bình")</f>
        <v>0</v>
      </c>
      <c r="E469" s="688"/>
      <c r="F469" s="7"/>
      <c r="G469" s="7"/>
      <c r="H469" s="7"/>
      <c r="I469" s="7"/>
    </row>
    <row r="470" spans="1:9" ht="15.75" customHeight="1">
      <c r="A470" s="686"/>
      <c r="B470" s="687"/>
      <c r="C470" s="243" t="s">
        <v>1092</v>
      </c>
      <c r="D470" s="242">
        <f>COUNTIF($D$11:$N$11,"Bắc Giang")</f>
        <v>0</v>
      </c>
      <c r="E470" s="688"/>
      <c r="F470" s="7"/>
      <c r="G470" s="7"/>
      <c r="H470" s="7"/>
      <c r="I470" s="7"/>
    </row>
    <row r="471" spans="1:9" ht="15.75" customHeight="1">
      <c r="A471" s="686"/>
      <c r="B471" s="687"/>
      <c r="C471" s="243" t="s">
        <v>28</v>
      </c>
      <c r="D471" s="242">
        <f>COUNTIF($D$11:$N$11,"Quảng Ninh")</f>
        <v>0</v>
      </c>
      <c r="E471" s="688"/>
      <c r="F471" s="7"/>
      <c r="G471" s="7"/>
      <c r="H471" s="7"/>
      <c r="I471" s="7"/>
    </row>
    <row r="472" spans="1:9" ht="15.75" customHeight="1">
      <c r="A472" s="686"/>
      <c r="B472" s="687"/>
      <c r="C472" s="243" t="s">
        <v>26</v>
      </c>
      <c r="D472" s="242">
        <f>COUNTIF($D$11:$N$11,"Hà Nội")</f>
        <v>0</v>
      </c>
      <c r="E472" s="688"/>
      <c r="F472" s="7"/>
      <c r="G472" s="7"/>
      <c r="H472" s="7"/>
      <c r="I472" s="7"/>
    </row>
    <row r="473" spans="1:9" ht="15.75" customHeight="1">
      <c r="A473" s="686"/>
      <c r="B473" s="687"/>
      <c r="C473" s="243" t="s">
        <v>21</v>
      </c>
      <c r="D473" s="242">
        <f>COUNTIF($D$11:$N$11,"Phú Thọ")</f>
        <v>0</v>
      </c>
      <c r="E473" s="688"/>
      <c r="F473" s="7"/>
      <c r="G473" s="7"/>
      <c r="H473" s="7"/>
      <c r="I473" s="7"/>
    </row>
    <row r="474" spans="1:9" ht="15.75" customHeight="1">
      <c r="A474" s="686"/>
      <c r="B474" s="687"/>
      <c r="C474" s="243" t="s">
        <v>1093</v>
      </c>
      <c r="D474" s="242">
        <f>COUNTIF($D$11:$N$11,"Vĩnh Phúc")</f>
        <v>0</v>
      </c>
      <c r="E474" s="688"/>
      <c r="F474" s="7"/>
      <c r="G474" s="7"/>
      <c r="H474" s="7"/>
      <c r="I474" s="7"/>
    </row>
    <row r="475" spans="1:9" ht="15.75" customHeight="1">
      <c r="A475" s="686"/>
      <c r="B475" s="687"/>
      <c r="C475" s="243" t="s">
        <v>32</v>
      </c>
      <c r="D475" s="242">
        <f>COUNTIF($D$11:$N$11,"Bắc Ninh")</f>
        <v>0</v>
      </c>
      <c r="E475" s="688"/>
      <c r="F475" s="7"/>
      <c r="G475" s="7"/>
      <c r="H475" s="7"/>
      <c r="I475" s="7"/>
    </row>
    <row r="476" spans="1:9" ht="15.75" customHeight="1">
      <c r="A476" s="686"/>
      <c r="B476" s="687"/>
      <c r="C476" s="243" t="s">
        <v>29</v>
      </c>
      <c r="D476" s="242">
        <f>COUNTIF($D$11:$N$11,"Hải Dương")</f>
        <v>0</v>
      </c>
      <c r="E476" s="688"/>
      <c r="F476" s="7"/>
      <c r="G476" s="7"/>
      <c r="H476" s="7"/>
      <c r="I476" s="7"/>
    </row>
    <row r="477" spans="1:9" ht="15.75" customHeight="1">
      <c r="A477" s="686"/>
      <c r="B477" s="687"/>
      <c r="C477" s="243" t="s">
        <v>30</v>
      </c>
      <c r="D477" s="242">
        <f>COUNTIF($D$11:$N$11,"Hưng Yên")</f>
        <v>0</v>
      </c>
      <c r="E477" s="688"/>
      <c r="F477" s="7"/>
      <c r="G477" s="7"/>
      <c r="H477" s="7"/>
      <c r="I477" s="7"/>
    </row>
    <row r="478" spans="1:9" ht="15.75" customHeight="1">
      <c r="A478" s="686"/>
      <c r="B478" s="687"/>
      <c r="C478" s="243" t="s">
        <v>27</v>
      </c>
      <c r="D478" s="242">
        <f>COUNTIF($D$11:$N$11,"Hải Phòng")</f>
        <v>0</v>
      </c>
      <c r="E478" s="688"/>
      <c r="F478" s="7"/>
      <c r="G478" s="7"/>
      <c r="H478" s="7"/>
      <c r="I478" s="7"/>
    </row>
    <row r="479" spans="1:9" ht="15.75" customHeight="1">
      <c r="A479" s="686"/>
      <c r="B479" s="687"/>
      <c r="C479" s="243" t="s">
        <v>33</v>
      </c>
      <c r="D479" s="242">
        <f>COUNTIF($D$11:$N$11,"Hà Nam")</f>
        <v>0</v>
      </c>
      <c r="E479" s="688"/>
      <c r="F479" s="7"/>
      <c r="G479" s="7"/>
      <c r="H479" s="7"/>
      <c r="I479" s="7"/>
    </row>
    <row r="480" spans="1:9" ht="15.75" customHeight="1">
      <c r="A480" s="686"/>
      <c r="B480" s="687"/>
      <c r="C480" s="243" t="s">
        <v>36</v>
      </c>
      <c r="D480" s="242">
        <f>COUNTIF($D$11:$N$11,"Nam Định")</f>
        <v>0</v>
      </c>
      <c r="E480" s="688"/>
      <c r="F480" s="7"/>
      <c r="G480" s="7"/>
      <c r="H480" s="7"/>
      <c r="I480" s="7"/>
    </row>
    <row r="481" spans="1:9" ht="15.75" customHeight="1">
      <c r="A481" s="686"/>
      <c r="B481" s="687"/>
      <c r="C481" s="243" t="s">
        <v>1094</v>
      </c>
      <c r="D481" s="242">
        <f>COUNTIF($D$11:$N$11,"Thái Bình")</f>
        <v>0</v>
      </c>
      <c r="E481" s="688"/>
      <c r="F481" s="7"/>
      <c r="G481" s="7"/>
      <c r="H481" s="7"/>
      <c r="I481" s="7"/>
    </row>
    <row r="482" spans="1:9" ht="15.75" customHeight="1">
      <c r="A482" s="686"/>
      <c r="B482" s="687"/>
      <c r="C482" s="243" t="s">
        <v>34</v>
      </c>
      <c r="D482" s="242">
        <f>COUNTIF($D$11:$N$11,"Ninh Bình")</f>
        <v>0</v>
      </c>
      <c r="E482" s="688"/>
      <c r="F482" s="7"/>
      <c r="G482" s="7"/>
      <c r="H482" s="7"/>
      <c r="I482" s="7"/>
    </row>
    <row r="483" spans="1:9" ht="15.75" customHeight="1">
      <c r="A483" s="686"/>
      <c r="B483" s="687"/>
      <c r="C483" s="243" t="s">
        <v>37</v>
      </c>
      <c r="D483" s="242">
        <f>COUNTIF($D$11:$N$11,"Thanh Hoá")</f>
        <v>0</v>
      </c>
      <c r="E483" s="688"/>
      <c r="F483" s="7"/>
      <c r="G483" s="7"/>
      <c r="H483" s="7"/>
      <c r="I483" s="7"/>
    </row>
    <row r="484" spans="1:9" ht="15.75" customHeight="1">
      <c r="A484" s="686"/>
      <c r="B484" s="687"/>
      <c r="C484" s="243" t="s">
        <v>1095</v>
      </c>
      <c r="D484" s="242">
        <f>COUNTIF($D$11:$N$11,"Nghệ An")</f>
        <v>0</v>
      </c>
      <c r="E484" s="688"/>
      <c r="F484" s="7"/>
      <c r="G484" s="7"/>
      <c r="H484" s="7"/>
      <c r="I484" s="7"/>
    </row>
    <row r="485" spans="1:9" ht="15.75" customHeight="1">
      <c r="A485" s="686"/>
      <c r="B485" s="687"/>
      <c r="C485" s="243" t="s">
        <v>1096</v>
      </c>
      <c r="D485" s="242">
        <f>COUNTIF($D$11:$N$11,"Hà Tĩnh")</f>
        <v>0</v>
      </c>
      <c r="E485" s="688"/>
      <c r="F485" s="7"/>
      <c r="G485" s="7"/>
      <c r="H485" s="7"/>
      <c r="I485" s="7"/>
    </row>
    <row r="486" spans="1:9" ht="15.75" customHeight="1">
      <c r="A486" s="686"/>
      <c r="B486" s="687"/>
      <c r="C486" s="243" t="s">
        <v>1097</v>
      </c>
      <c r="D486" s="242">
        <f>COUNTIF($D$11:$N$11,"Quảng Bình")</f>
        <v>0</v>
      </c>
      <c r="E486" s="688"/>
      <c r="F486" s="7"/>
      <c r="G486" s="7"/>
      <c r="H486" s="7"/>
      <c r="I486" s="7"/>
    </row>
    <row r="487" spans="1:9" ht="15.75" customHeight="1">
      <c r="A487" s="686"/>
      <c r="B487" s="687"/>
      <c r="C487" s="243" t="s">
        <v>1098</v>
      </c>
      <c r="D487" s="242">
        <f>COUNTIF($D$11:$N$11,"Quảng Trị")</f>
        <v>0</v>
      </c>
      <c r="E487" s="688"/>
      <c r="F487" s="7"/>
      <c r="G487" s="7"/>
      <c r="H487" s="7"/>
      <c r="I487" s="7"/>
    </row>
    <row r="488" spans="1:9" ht="15.75" customHeight="1">
      <c r="A488" s="686"/>
      <c r="B488" s="687"/>
      <c r="C488" s="243" t="s">
        <v>1099</v>
      </c>
      <c r="D488" s="242">
        <f>COUNTIF($D$11:$N$11,"Thừa Thiên Huế")</f>
        <v>0</v>
      </c>
      <c r="E488" s="688"/>
      <c r="F488" s="7"/>
      <c r="G488" s="7"/>
      <c r="H488" s="7"/>
      <c r="I488" s="7"/>
    </row>
    <row r="489" spans="1:9" ht="15.75" customHeight="1">
      <c r="A489" s="686"/>
      <c r="B489" s="687"/>
      <c r="C489" s="243" t="s">
        <v>1100</v>
      </c>
      <c r="D489" s="242">
        <f>COUNTIF($D$11:$N$11,"Đà Nẵng")</f>
        <v>0</v>
      </c>
      <c r="E489" s="688"/>
      <c r="F489" s="7"/>
      <c r="G489" s="7"/>
      <c r="H489" s="7"/>
      <c r="I489" s="7"/>
    </row>
    <row r="490" spans="1:9" ht="15.75" customHeight="1">
      <c r="A490" s="686"/>
      <c r="B490" s="687"/>
      <c r="C490" s="243" t="s">
        <v>1101</v>
      </c>
      <c r="D490" s="242">
        <f>COUNTIF($D$11:$N$11,"Quảng Nam")</f>
        <v>0</v>
      </c>
      <c r="E490" s="688"/>
      <c r="F490" s="7"/>
      <c r="G490" s="7"/>
      <c r="H490" s="7"/>
      <c r="I490" s="7"/>
    </row>
    <row r="491" spans="1:9" ht="15.75" customHeight="1">
      <c r="A491" s="686"/>
      <c r="B491" s="687"/>
      <c r="C491" s="243" t="s">
        <v>1102</v>
      </c>
      <c r="D491" s="242">
        <f>COUNTIF($D$11:$N$11,"Quảng Ngãi")</f>
        <v>0</v>
      </c>
      <c r="E491" s="688"/>
      <c r="F491" s="7"/>
      <c r="G491" s="7"/>
      <c r="H491" s="7"/>
      <c r="I491" s="7"/>
    </row>
    <row r="492" spans="1:9" ht="15.75" customHeight="1">
      <c r="A492" s="686"/>
      <c r="B492" s="687"/>
      <c r="C492" s="243" t="s">
        <v>1103</v>
      </c>
      <c r="D492" s="242">
        <f>COUNTIF($D$11:$N$11,"Bình Định")</f>
        <v>0</v>
      </c>
      <c r="E492" s="688"/>
      <c r="F492" s="7"/>
      <c r="G492" s="7"/>
      <c r="H492" s="7"/>
      <c r="I492" s="7"/>
    </row>
    <row r="493" spans="1:9" ht="15.75" customHeight="1">
      <c r="A493" s="686"/>
      <c r="B493" s="687"/>
      <c r="C493" s="243" t="s">
        <v>1104</v>
      </c>
      <c r="D493" s="242">
        <f>COUNTIF($D$11:$N$11,"Phú Yên")</f>
        <v>0</v>
      </c>
      <c r="E493" s="688"/>
      <c r="F493" s="7"/>
      <c r="G493" s="7"/>
      <c r="H493" s="7"/>
      <c r="I493" s="7"/>
    </row>
    <row r="494" spans="1:9" ht="15.75" customHeight="1">
      <c r="A494" s="686"/>
      <c r="B494" s="687"/>
      <c r="C494" s="243" t="s">
        <v>1105</v>
      </c>
      <c r="D494" s="242">
        <f>COUNTIF($D$11:$N$11,"Khánh Hoà")</f>
        <v>0</v>
      </c>
      <c r="E494" s="688"/>
      <c r="F494" s="7"/>
      <c r="G494" s="7"/>
      <c r="H494" s="7"/>
      <c r="I494" s="7"/>
    </row>
    <row r="495" spans="1:9" ht="15.75" customHeight="1">
      <c r="A495" s="686"/>
      <c r="B495" s="687"/>
      <c r="C495" s="243" t="s">
        <v>1106</v>
      </c>
      <c r="D495" s="242">
        <f>COUNTIF($D$11:$N$11,"Ninh Thuận")</f>
        <v>0</v>
      </c>
      <c r="E495" s="688"/>
      <c r="F495" s="7"/>
      <c r="G495" s="7"/>
      <c r="H495" s="7"/>
      <c r="I495" s="7"/>
    </row>
    <row r="496" spans="1:9" ht="15.75" customHeight="1">
      <c r="A496" s="686"/>
      <c r="B496" s="687"/>
      <c r="C496" s="243" t="s">
        <v>1107</v>
      </c>
      <c r="D496" s="242">
        <f>COUNTIF($D$11:$N$11,"Bình Thuận")</f>
        <v>0</v>
      </c>
      <c r="E496" s="688"/>
      <c r="F496" s="7"/>
      <c r="G496" s="7"/>
      <c r="H496" s="7"/>
      <c r="I496" s="7"/>
    </row>
    <row r="497" spans="1:9" ht="15.75" customHeight="1">
      <c r="A497" s="686"/>
      <c r="B497" s="687"/>
      <c r="C497" s="243" t="s">
        <v>1108</v>
      </c>
      <c r="D497" s="242">
        <f>COUNTIF($D$11:$N$11,"Kon Tum")</f>
        <v>0</v>
      </c>
      <c r="E497" s="688"/>
      <c r="F497" s="7"/>
      <c r="G497" s="7"/>
      <c r="H497" s="7"/>
      <c r="I497" s="7"/>
    </row>
    <row r="498" spans="1:9" ht="15.75" customHeight="1">
      <c r="A498" s="686"/>
      <c r="B498" s="687"/>
      <c r="C498" s="243" t="s">
        <v>1109</v>
      </c>
      <c r="D498" s="242">
        <f>COUNTIF($D$11:$N$11,"Gia Lai")</f>
        <v>0</v>
      </c>
      <c r="E498" s="688"/>
      <c r="F498" s="7"/>
      <c r="G498" s="7"/>
      <c r="H498" s="7"/>
      <c r="I498" s="7"/>
    </row>
    <row r="499" spans="1:9" ht="15.75" customHeight="1">
      <c r="A499" s="686"/>
      <c r="B499" s="687"/>
      <c r="C499" s="243" t="s">
        <v>1110</v>
      </c>
      <c r="D499" s="242">
        <f>COUNTIF($D$11:$N$11,"Đắk Lắk")</f>
        <v>0</v>
      </c>
      <c r="E499" s="688"/>
      <c r="F499" s="7"/>
      <c r="G499" s="7"/>
      <c r="H499" s="7"/>
      <c r="I499" s="7"/>
    </row>
    <row r="500" spans="1:9" ht="15.75" customHeight="1">
      <c r="A500" s="686"/>
      <c r="B500" s="687"/>
      <c r="C500" s="243" t="s">
        <v>1111</v>
      </c>
      <c r="D500" s="242">
        <f>COUNTIF($D$11:$N$11,"Đắk Nông")</f>
        <v>0</v>
      </c>
      <c r="E500" s="688"/>
      <c r="F500" s="7"/>
      <c r="G500" s="7"/>
      <c r="H500" s="7"/>
      <c r="I500" s="7"/>
    </row>
    <row r="501" spans="1:9" ht="15.75" customHeight="1">
      <c r="A501" s="686"/>
      <c r="B501" s="687"/>
      <c r="C501" s="243" t="s">
        <v>1112</v>
      </c>
      <c r="D501" s="242">
        <f>COUNTIF($D$11:$N$11,"Lâm Đồng")</f>
        <v>0</v>
      </c>
      <c r="E501" s="688"/>
      <c r="F501" s="7"/>
      <c r="G501" s="7"/>
      <c r="H501" s="7"/>
      <c r="I501" s="7"/>
    </row>
    <row r="502" spans="1:9" ht="15.75" customHeight="1">
      <c r="A502" s="686"/>
      <c r="B502" s="687"/>
      <c r="C502" s="243" t="s">
        <v>1113</v>
      </c>
      <c r="D502" s="242">
        <f>COUNTIF($D$11:$N$11,"Tây Ninh")</f>
        <v>0</v>
      </c>
      <c r="E502" s="688"/>
      <c r="F502" s="7"/>
      <c r="G502" s="7"/>
      <c r="H502" s="7"/>
      <c r="I502" s="7"/>
    </row>
    <row r="503" spans="1:9" ht="15.75" customHeight="1">
      <c r="A503" s="686"/>
      <c r="B503" s="687"/>
      <c r="C503" s="243" t="s">
        <v>1114</v>
      </c>
      <c r="D503" s="242">
        <f>COUNTIF($D$11:$N$11,"Bình Phước")</f>
        <v>0</v>
      </c>
      <c r="E503" s="688"/>
      <c r="F503" s="7"/>
      <c r="G503" s="7"/>
      <c r="H503" s="7"/>
      <c r="I503" s="7"/>
    </row>
    <row r="504" spans="1:9" ht="15.75" customHeight="1">
      <c r="A504" s="686"/>
      <c r="B504" s="687"/>
      <c r="C504" s="243" t="s">
        <v>1115</v>
      </c>
      <c r="D504" s="242">
        <f>COUNTIF($D$11:$N$11,"Bình Dương")</f>
        <v>0</v>
      </c>
      <c r="E504" s="688"/>
      <c r="F504" s="7"/>
      <c r="G504" s="7"/>
      <c r="H504" s="7"/>
      <c r="I504" s="7"/>
    </row>
    <row r="505" spans="1:9" ht="15.75" customHeight="1">
      <c r="A505" s="686"/>
      <c r="B505" s="687"/>
      <c r="C505" s="243" t="s">
        <v>1116</v>
      </c>
      <c r="D505" s="242">
        <f>COUNTIF($D$11:$N$11,"Bà Rịa - Vũng Tàu")</f>
        <v>0</v>
      </c>
      <c r="E505" s="688"/>
      <c r="F505" s="7"/>
      <c r="G505" s="7"/>
      <c r="H505" s="7"/>
      <c r="I505" s="7"/>
    </row>
    <row r="506" spans="1:9" ht="15.75" customHeight="1">
      <c r="A506" s="686"/>
      <c r="B506" s="687"/>
      <c r="C506" s="243" t="s">
        <v>1117</v>
      </c>
      <c r="D506" s="242">
        <f>COUNTIF($D$11:$N$11,"Bến Tre")</f>
        <v>0</v>
      </c>
      <c r="E506" s="688"/>
      <c r="F506" s="7"/>
      <c r="G506" s="7"/>
      <c r="H506" s="7"/>
      <c r="I506" s="7"/>
    </row>
    <row r="507" spans="1:9" ht="15.75" customHeight="1">
      <c r="A507" s="686"/>
      <c r="B507" s="687"/>
      <c r="C507" s="243" t="s">
        <v>1118</v>
      </c>
      <c r="D507" s="242">
        <f>COUNTIF($D$11:$N$11,"An Giang")</f>
        <v>0</v>
      </c>
      <c r="E507" s="688"/>
      <c r="F507" s="7"/>
      <c r="G507" s="7"/>
      <c r="H507" s="7"/>
      <c r="I507" s="7"/>
    </row>
    <row r="508" spans="1:9" ht="15.75" customHeight="1">
      <c r="A508" s="686"/>
      <c r="B508" s="687"/>
      <c r="C508" s="243" t="s">
        <v>1119</v>
      </c>
      <c r="D508" s="242">
        <f>COUNTIF($D$11:$N$11,"Vĩnh Long")</f>
        <v>2</v>
      </c>
      <c r="E508" s="688"/>
      <c r="F508" s="7"/>
      <c r="G508" s="7"/>
      <c r="H508" s="7"/>
      <c r="I508" s="7"/>
    </row>
    <row r="509" spans="1:9" ht="15.75" customHeight="1">
      <c r="A509" s="686"/>
      <c r="B509" s="687"/>
      <c r="C509" s="243" t="s">
        <v>1120</v>
      </c>
      <c r="D509" s="242">
        <f>COUNTIF($D$11:$N$11,"Cần Thơ")</f>
        <v>0</v>
      </c>
      <c r="E509" s="688"/>
      <c r="F509" s="7"/>
      <c r="G509" s="7"/>
      <c r="H509" s="7"/>
      <c r="I509" s="7"/>
    </row>
    <row r="510" spans="1:9" ht="15.75" customHeight="1">
      <c r="A510" s="686"/>
      <c r="B510" s="687"/>
      <c r="C510" s="243" t="s">
        <v>1121</v>
      </c>
      <c r="D510" s="242">
        <f>COUNTIF($D$11:$N$11,"Hậu Giang")</f>
        <v>0</v>
      </c>
      <c r="E510" s="688"/>
      <c r="F510" s="7"/>
      <c r="G510" s="7"/>
      <c r="H510" s="7"/>
      <c r="I510" s="7"/>
    </row>
    <row r="511" spans="1:9" ht="15.75" customHeight="1">
      <c r="A511" s="686"/>
      <c r="B511" s="687"/>
      <c r="C511" s="243" t="s">
        <v>1122</v>
      </c>
      <c r="D511" s="242">
        <f>COUNTIF($D$11:$N$11,"Sóc Trăng")</f>
        <v>0</v>
      </c>
      <c r="E511" s="688"/>
      <c r="F511" s="7"/>
      <c r="G511" s="7"/>
      <c r="H511" s="7"/>
      <c r="I511" s="7"/>
    </row>
    <row r="512" spans="1:9" ht="15.75" customHeight="1">
      <c r="A512" s="686"/>
      <c r="B512" s="687"/>
      <c r="C512" s="243" t="s">
        <v>1123</v>
      </c>
      <c r="D512" s="242">
        <f>COUNTIF($D$11:$N$11,"Bạc Liêu")</f>
        <v>0</v>
      </c>
      <c r="E512" s="688"/>
      <c r="F512" s="7"/>
      <c r="G512" s="7"/>
      <c r="H512" s="7"/>
      <c r="I512" s="7"/>
    </row>
    <row r="513" spans="1:9" ht="15.75" customHeight="1">
      <c r="A513" s="686"/>
      <c r="B513" s="687"/>
      <c r="C513" s="243" t="s">
        <v>1124</v>
      </c>
      <c r="D513" s="242">
        <f>COUNTIF($D$11:$N$11,"Cà Mau")</f>
        <v>0</v>
      </c>
      <c r="E513" s="688"/>
      <c r="F513" s="7"/>
      <c r="G513" s="7"/>
      <c r="H513" s="7"/>
      <c r="I513" s="7"/>
    </row>
    <row r="514" spans="1:9" ht="15.75" customHeight="1">
      <c r="A514" s="686"/>
      <c r="B514" s="687"/>
      <c r="C514" s="243" t="s">
        <v>1125</v>
      </c>
      <c r="D514" s="242">
        <f>COUNTIF($D$11:$N$11,"Kiên Giang")</f>
        <v>0</v>
      </c>
      <c r="E514" s="688"/>
      <c r="F514" s="7"/>
      <c r="G514" s="7"/>
      <c r="H514" s="7"/>
      <c r="I514" s="7"/>
    </row>
    <row r="515" spans="1:9" ht="15.75" customHeight="1">
      <c r="A515" s="686"/>
      <c r="B515" s="687"/>
      <c r="C515" s="243" t="s">
        <v>1126</v>
      </c>
      <c r="D515" s="242">
        <f>COUNTIF($D$11:$N$11,"Đồng Tháp")</f>
        <v>0</v>
      </c>
      <c r="E515" s="688"/>
      <c r="F515" s="7"/>
      <c r="G515" s="7"/>
      <c r="H515" s="7"/>
      <c r="I515" s="7"/>
    </row>
    <row r="516" spans="1:9" ht="15.75" customHeight="1">
      <c r="A516" s="686"/>
      <c r="B516" s="687"/>
      <c r="C516" s="243" t="s">
        <v>1127</v>
      </c>
      <c r="D516" s="242">
        <f>COUNTIF($D$11:$N$11,"Trà Vinh")</f>
        <v>0</v>
      </c>
      <c r="E516" s="688"/>
      <c r="F516" s="7"/>
      <c r="G516" s="7"/>
      <c r="H516" s="7"/>
      <c r="I516" s="7"/>
    </row>
    <row r="517" spans="1:9" ht="15.75" customHeight="1">
      <c r="A517" s="686"/>
      <c r="B517" s="687"/>
      <c r="C517" s="243" t="s">
        <v>1128</v>
      </c>
      <c r="D517" s="242">
        <f>COUNTIF($D$11:$N$11,"Tiền Giang")</f>
        <v>0</v>
      </c>
      <c r="E517" s="688"/>
      <c r="F517" s="7"/>
      <c r="G517" s="7"/>
      <c r="H517" s="7"/>
      <c r="I517" s="7"/>
    </row>
    <row r="518" spans="1:9" ht="15.75" customHeight="1">
      <c r="A518" s="686"/>
      <c r="B518" s="687"/>
      <c r="C518" s="243" t="s">
        <v>1129</v>
      </c>
      <c r="D518" s="242">
        <f>COUNTIF($D$11:$N$11,"Long An")</f>
        <v>0</v>
      </c>
      <c r="E518" s="688"/>
      <c r="F518" s="7"/>
      <c r="G518" s="7"/>
      <c r="H518" s="7"/>
      <c r="I518" s="7"/>
    </row>
    <row r="519" spans="1:9" ht="15.75" customHeight="1">
      <c r="A519" s="686"/>
      <c r="B519" s="687"/>
      <c r="C519" s="243" t="s">
        <v>1130</v>
      </c>
      <c r="D519" s="242">
        <f>COUNTIF($D$11:$N$11,"Đồng Nai")</f>
        <v>0</v>
      </c>
      <c r="E519" s="688"/>
      <c r="F519" s="7"/>
      <c r="G519" s="7"/>
      <c r="H519" s="7"/>
      <c r="I519" s="7"/>
    </row>
    <row r="520" spans="1:9" ht="15.75" customHeight="1">
      <c r="A520" s="686"/>
      <c r="B520" s="687"/>
      <c r="C520" s="243" t="s">
        <v>1131</v>
      </c>
      <c r="D520" s="242">
        <f>COUNTIF($D$11:$N$11,"TP Hồ Chí Minh")</f>
        <v>0</v>
      </c>
      <c r="E520" s="688"/>
      <c r="F520" s="7"/>
      <c r="G520" s="7"/>
      <c r="H520" s="7"/>
      <c r="I520" s="7"/>
    </row>
    <row r="521" spans="1:9" ht="15.75" customHeight="1">
      <c r="A521" s="686"/>
      <c r="B521" s="687"/>
      <c r="C521" s="243"/>
      <c r="D521" s="244"/>
      <c r="E521" s="688"/>
      <c r="F521" s="7"/>
      <c r="G521" s="7"/>
      <c r="H521" s="7"/>
      <c r="I521" s="7"/>
    </row>
    <row r="522" spans="1:9" ht="15.75" customHeight="1">
      <c r="A522" s="686"/>
      <c r="B522" s="687"/>
      <c r="C522" s="243"/>
      <c r="D522" s="245">
        <f>SUM(D458:D520)</f>
        <v>2</v>
      </c>
      <c r="E522" s="688"/>
      <c r="F522" s="7"/>
      <c r="G522" s="7"/>
      <c r="H522" s="7"/>
      <c r="I522" s="7"/>
    </row>
    <row r="523" spans="1:9" ht="15.75" customHeight="1">
      <c r="A523" s="686"/>
      <c r="B523" s="687"/>
      <c r="C523" s="243"/>
      <c r="D523" s="244"/>
      <c r="E523" s="688"/>
      <c r="F523" s="7"/>
      <c r="G523" s="7"/>
      <c r="H523" s="7"/>
      <c r="I523" s="7"/>
    </row>
    <row r="524" spans="1:9" ht="15.75" customHeight="1">
      <c r="A524" s="686"/>
      <c r="B524" s="687"/>
      <c r="C524" s="243"/>
      <c r="D524" s="244"/>
      <c r="E524" s="688"/>
      <c r="F524" s="7"/>
      <c r="G524" s="7"/>
      <c r="H524" s="7"/>
      <c r="I524" s="7"/>
    </row>
    <row r="525" spans="1:9" ht="15.75" customHeight="1">
      <c r="A525" s="686"/>
      <c r="B525" s="687"/>
      <c r="C525" s="243"/>
      <c r="D525" s="244"/>
      <c r="E525" s="688"/>
      <c r="F525" s="7"/>
      <c r="G525" s="7"/>
      <c r="H525" s="7"/>
      <c r="I525" s="7"/>
    </row>
    <row r="526" spans="1:9" ht="15.75" customHeight="1">
      <c r="A526" s="686"/>
      <c r="B526" s="687"/>
      <c r="C526" s="243"/>
      <c r="D526" s="244"/>
      <c r="E526" s="688"/>
      <c r="F526" s="7"/>
      <c r="G526" s="7"/>
      <c r="H526" s="7"/>
      <c r="I526" s="7"/>
    </row>
    <row r="527" spans="1:9" ht="15.75" customHeight="1">
      <c r="A527" s="686"/>
      <c r="B527" s="687"/>
      <c r="C527" s="243"/>
      <c r="D527" s="244"/>
      <c r="E527" s="688"/>
      <c r="F527" s="7"/>
      <c r="G527" s="7"/>
      <c r="H527" s="7"/>
      <c r="I527" s="7"/>
    </row>
    <row r="528" spans="1:9" ht="15.75" customHeight="1">
      <c r="A528" s="686"/>
      <c r="B528" s="687"/>
      <c r="C528" s="243"/>
      <c r="D528" s="244"/>
      <c r="E528" s="688"/>
      <c r="F528" s="7"/>
      <c r="G528" s="7"/>
      <c r="H528" s="7"/>
      <c r="I528" s="7"/>
    </row>
    <row r="529" spans="1:9" ht="15.75" customHeight="1">
      <c r="A529" s="686"/>
      <c r="B529" s="687"/>
      <c r="C529" s="243"/>
      <c r="D529" s="244"/>
      <c r="E529" s="688"/>
      <c r="F529" s="7"/>
      <c r="G529" s="7"/>
      <c r="H529" s="7"/>
      <c r="I529" s="7"/>
    </row>
    <row r="530" spans="1:9" ht="15.75" customHeight="1">
      <c r="A530" s="686"/>
      <c r="B530" s="687"/>
      <c r="C530" s="243"/>
      <c r="D530" s="244"/>
      <c r="E530" s="688"/>
      <c r="F530" s="7"/>
      <c r="G530" s="7"/>
      <c r="H530" s="7"/>
      <c r="I530" s="7"/>
    </row>
    <row r="531" spans="1:9" ht="15.75" customHeight="1">
      <c r="A531" s="686"/>
      <c r="B531" s="687"/>
      <c r="C531" s="243"/>
      <c r="D531" s="244"/>
      <c r="E531" s="688"/>
      <c r="F531" s="7"/>
      <c r="G531" s="7"/>
      <c r="H531" s="7"/>
      <c r="I531" s="7"/>
    </row>
    <row r="532" spans="1:9" ht="15.75" customHeight="1">
      <c r="A532" s="686"/>
      <c r="B532" s="687"/>
      <c r="C532" s="243"/>
      <c r="D532" s="244"/>
      <c r="E532" s="688"/>
      <c r="F532" s="7"/>
      <c r="G532" s="7"/>
      <c r="H532" s="7"/>
      <c r="I532" s="7"/>
    </row>
    <row r="533" spans="1:9" ht="15.75" customHeight="1">
      <c r="A533" s="686"/>
      <c r="B533" s="687"/>
      <c r="C533" s="243"/>
      <c r="D533" s="244"/>
      <c r="E533" s="688"/>
      <c r="F533" s="7"/>
      <c r="G533" s="7"/>
      <c r="H533" s="7"/>
      <c r="I533" s="7"/>
    </row>
    <row r="534" spans="1:9" ht="15.75" customHeight="1">
      <c r="A534" s="686"/>
      <c r="B534" s="687"/>
      <c r="C534" s="243"/>
      <c r="D534" s="244"/>
      <c r="E534" s="688"/>
      <c r="F534" s="7"/>
      <c r="G534" s="7"/>
      <c r="H534" s="7"/>
      <c r="I534" s="7"/>
    </row>
    <row r="535" spans="1:9" ht="15.75" customHeight="1">
      <c r="A535" s="686"/>
      <c r="B535" s="687"/>
      <c r="C535" s="243"/>
      <c r="D535" s="244"/>
      <c r="E535" s="688"/>
      <c r="F535" s="7"/>
      <c r="G535" s="7"/>
      <c r="H535" s="7"/>
      <c r="I535" s="7"/>
    </row>
    <row r="536" spans="1:9" ht="15.75" customHeight="1">
      <c r="A536" s="686"/>
      <c r="B536" s="687"/>
      <c r="C536" s="243"/>
      <c r="D536" s="244"/>
      <c r="E536" s="688"/>
      <c r="F536" s="7"/>
      <c r="G536" s="7"/>
      <c r="H536" s="7"/>
      <c r="I536" s="7"/>
    </row>
    <row r="537" spans="1:9" ht="15.75" customHeight="1">
      <c r="A537" s="686"/>
      <c r="B537" s="687"/>
      <c r="C537" s="243"/>
      <c r="D537" s="244"/>
      <c r="E537" s="688"/>
      <c r="F537" s="7"/>
      <c r="G537" s="7"/>
      <c r="H537" s="7"/>
      <c r="I537" s="7"/>
    </row>
    <row r="538" spans="1:9" ht="15.75" customHeight="1">
      <c r="A538" s="686"/>
      <c r="B538" s="687"/>
      <c r="C538" s="243"/>
      <c r="D538" s="244"/>
      <c r="E538" s="688"/>
      <c r="F538" s="7"/>
      <c r="G538" s="7"/>
      <c r="H538" s="7"/>
      <c r="I538" s="7"/>
    </row>
    <row r="539" spans="1:9" ht="15.75" customHeight="1">
      <c r="A539" s="686"/>
      <c r="B539" s="687"/>
      <c r="C539" s="243"/>
      <c r="D539" s="244"/>
      <c r="E539" s="688"/>
      <c r="F539" s="7"/>
      <c r="G539" s="7"/>
      <c r="H539" s="7"/>
      <c r="I539" s="7"/>
    </row>
    <row r="540" spans="1:9" ht="15.75" customHeight="1">
      <c r="A540" s="686"/>
      <c r="B540" s="687"/>
      <c r="C540" s="243"/>
      <c r="D540" s="244"/>
      <c r="E540" s="688"/>
      <c r="F540" s="7"/>
      <c r="G540" s="7"/>
      <c r="H540" s="7"/>
      <c r="I540" s="7"/>
    </row>
    <row r="541" spans="1:9" ht="15.75" customHeight="1">
      <c r="A541" s="686"/>
      <c r="B541" s="687"/>
      <c r="C541" s="243"/>
      <c r="D541" s="244"/>
      <c r="E541" s="688"/>
      <c r="F541" s="7"/>
      <c r="G541" s="7"/>
      <c r="H541" s="7"/>
      <c r="I541" s="7"/>
    </row>
    <row r="542" spans="1:9" ht="15.75" customHeight="1">
      <c r="A542" s="686"/>
      <c r="B542" s="687"/>
      <c r="C542" s="243"/>
      <c r="D542" s="244"/>
      <c r="E542" s="688"/>
      <c r="F542" s="7"/>
      <c r="G542" s="7"/>
      <c r="H542" s="7"/>
      <c r="I542" s="7"/>
    </row>
    <row r="543" spans="1:9" ht="15.75" customHeight="1">
      <c r="A543" s="686"/>
      <c r="B543" s="687"/>
      <c r="C543" s="243"/>
      <c r="D543" s="244"/>
      <c r="E543" s="688"/>
      <c r="F543" s="7"/>
      <c r="G543" s="7"/>
      <c r="H543" s="7"/>
      <c r="I543" s="7"/>
    </row>
    <row r="544" spans="1:9" ht="15.75" customHeight="1">
      <c r="A544" s="686"/>
      <c r="B544" s="687"/>
      <c r="C544" s="243"/>
      <c r="D544" s="244"/>
      <c r="E544" s="688"/>
      <c r="F544" s="7"/>
      <c r="G544" s="7"/>
      <c r="H544" s="7"/>
      <c r="I544" s="7"/>
    </row>
    <row r="545" spans="1:9" ht="15.75" customHeight="1">
      <c r="A545" s="686"/>
      <c r="B545" s="687"/>
      <c r="C545" s="243"/>
      <c r="D545" s="244"/>
      <c r="E545" s="688"/>
      <c r="F545" s="7"/>
      <c r="G545" s="7"/>
      <c r="H545" s="7"/>
      <c r="I545" s="7"/>
    </row>
    <row r="546" spans="1:9" ht="15.75" customHeight="1">
      <c r="A546" s="686"/>
      <c r="B546" s="687"/>
      <c r="C546" s="243"/>
      <c r="D546" s="244"/>
      <c r="E546" s="688"/>
      <c r="F546" s="7"/>
      <c r="G546" s="7"/>
      <c r="H546" s="7"/>
      <c r="I546" s="7"/>
    </row>
    <row r="547" spans="1:9" ht="15.75" customHeight="1">
      <c r="A547" s="686"/>
      <c r="B547" s="687"/>
      <c r="C547" s="243"/>
      <c r="D547" s="244"/>
      <c r="E547" s="688"/>
      <c r="F547" s="7"/>
      <c r="G547" s="7"/>
      <c r="H547" s="7"/>
      <c r="I547" s="7"/>
    </row>
    <row r="548" spans="1:9" ht="15.75" customHeight="1">
      <c r="A548" s="686"/>
      <c r="B548" s="687"/>
      <c r="C548" s="243"/>
      <c r="D548" s="244"/>
      <c r="E548" s="688"/>
      <c r="F548" s="7"/>
      <c r="G548" s="7"/>
      <c r="H548" s="7"/>
      <c r="I548" s="7"/>
    </row>
    <row r="549" spans="1:9" ht="15.75" customHeight="1">
      <c r="A549" s="686"/>
      <c r="B549" s="687"/>
      <c r="C549" s="243"/>
      <c r="D549" s="244"/>
      <c r="E549" s="688"/>
      <c r="F549" s="7"/>
      <c r="G549" s="7"/>
      <c r="H549" s="7"/>
      <c r="I549" s="7"/>
    </row>
    <row r="550" spans="1:9" ht="15.75" customHeight="1">
      <c r="A550" s="686"/>
      <c r="B550" s="687"/>
      <c r="C550" s="243"/>
      <c r="D550" s="244"/>
      <c r="E550" s="688"/>
      <c r="F550" s="7"/>
      <c r="G550" s="7"/>
      <c r="H550" s="7"/>
      <c r="I550" s="7"/>
    </row>
    <row r="551" spans="1:9" ht="15.75" customHeight="1">
      <c r="A551" s="686"/>
      <c r="B551" s="687"/>
      <c r="C551" s="243"/>
      <c r="D551" s="244"/>
      <c r="E551" s="688"/>
      <c r="F551" s="7"/>
      <c r="G551" s="7"/>
      <c r="H551" s="7"/>
      <c r="I551" s="7"/>
    </row>
    <row r="552" spans="1:9" ht="15.75" customHeight="1">
      <c r="A552" s="686"/>
      <c r="B552" s="687"/>
      <c r="C552" s="243"/>
      <c r="D552" s="244"/>
      <c r="E552" s="688"/>
      <c r="F552" s="7"/>
      <c r="G552" s="7"/>
      <c r="H552" s="7"/>
      <c r="I552" s="7"/>
    </row>
    <row r="553" spans="1:9" ht="15.75" customHeight="1">
      <c r="A553" s="686"/>
      <c r="B553" s="687"/>
      <c r="C553" s="243"/>
      <c r="D553" s="244"/>
      <c r="E553" s="688"/>
      <c r="F553" s="7"/>
      <c r="G553" s="7"/>
      <c r="H553" s="7"/>
      <c r="I553" s="7"/>
    </row>
    <row r="554" spans="1:9" ht="15.75" customHeight="1">
      <c r="A554" s="686"/>
      <c r="B554" s="687"/>
      <c r="C554" s="243"/>
      <c r="D554" s="244"/>
      <c r="E554" s="688"/>
      <c r="F554" s="7"/>
      <c r="G554" s="7"/>
      <c r="H554" s="7"/>
      <c r="I554" s="7"/>
    </row>
    <row r="555" spans="1:9" ht="15.75" customHeight="1">
      <c r="A555" s="686"/>
      <c r="B555" s="687"/>
      <c r="C555" s="243"/>
      <c r="D555" s="244"/>
      <c r="E555" s="688"/>
      <c r="F555" s="7"/>
      <c r="G555" s="7"/>
      <c r="H555" s="7"/>
      <c r="I555" s="7"/>
    </row>
    <row r="556" spans="1:9" ht="15.75" customHeight="1">
      <c r="A556" s="686"/>
      <c r="B556" s="687"/>
      <c r="C556" s="243"/>
      <c r="D556" s="244"/>
      <c r="E556" s="688"/>
      <c r="F556" s="7"/>
      <c r="G556" s="7"/>
      <c r="H556" s="7"/>
      <c r="I556" s="7"/>
    </row>
    <row r="557" spans="1:9" ht="15.75" customHeight="1">
      <c r="A557" s="686"/>
      <c r="B557" s="687"/>
      <c r="C557" s="243"/>
      <c r="D557" s="244"/>
      <c r="E557" s="688"/>
      <c r="F557" s="7"/>
      <c r="G557" s="7"/>
      <c r="H557" s="7"/>
      <c r="I557" s="7"/>
    </row>
    <row r="558" spans="1:9" ht="15.75" customHeight="1">
      <c r="A558" s="686"/>
      <c r="B558" s="687"/>
      <c r="C558" s="243"/>
      <c r="D558" s="244"/>
      <c r="E558" s="688"/>
      <c r="F558" s="7"/>
      <c r="G558" s="7"/>
      <c r="H558" s="7"/>
      <c r="I558" s="7"/>
    </row>
    <row r="559" spans="1:9" ht="15.75" customHeight="1">
      <c r="A559" s="686"/>
      <c r="B559" s="687"/>
      <c r="C559" s="243"/>
      <c r="D559" s="244"/>
      <c r="E559" s="688"/>
      <c r="F559" s="7"/>
      <c r="G559" s="7"/>
      <c r="H559" s="7"/>
      <c r="I559" s="7"/>
    </row>
    <row r="560" spans="1:9" ht="15.75" customHeight="1">
      <c r="A560" s="686"/>
      <c r="B560" s="687"/>
      <c r="C560" s="243"/>
      <c r="D560" s="244"/>
      <c r="E560" s="688"/>
      <c r="F560" s="7"/>
      <c r="G560" s="7"/>
      <c r="H560" s="7"/>
      <c r="I560" s="7"/>
    </row>
    <row r="561" spans="1:9" ht="15.75" customHeight="1">
      <c r="A561" s="686"/>
      <c r="B561" s="687"/>
      <c r="C561" s="243"/>
      <c r="D561" s="244"/>
      <c r="E561" s="688"/>
      <c r="F561" s="7"/>
      <c r="G561" s="7"/>
      <c r="H561" s="7"/>
      <c r="I561" s="7"/>
    </row>
    <row r="562" spans="1:9" ht="15.75" customHeight="1">
      <c r="A562" s="686"/>
      <c r="B562" s="687"/>
      <c r="C562" s="243"/>
      <c r="D562" s="244"/>
      <c r="E562" s="688"/>
      <c r="F562" s="7"/>
      <c r="G562" s="7"/>
      <c r="H562" s="7"/>
      <c r="I562" s="7"/>
    </row>
    <row r="563" spans="1:9" ht="15.75" customHeight="1">
      <c r="A563" s="686"/>
      <c r="B563" s="687"/>
      <c r="C563" s="243"/>
      <c r="D563" s="244"/>
      <c r="E563" s="688"/>
      <c r="F563" s="7"/>
      <c r="G563" s="7"/>
      <c r="H563" s="7"/>
      <c r="I563" s="7"/>
    </row>
    <row r="564" spans="1:9" ht="15.75" customHeight="1">
      <c r="A564" s="686"/>
      <c r="B564" s="687"/>
      <c r="C564" s="243"/>
      <c r="D564" s="244"/>
      <c r="E564" s="688"/>
      <c r="F564" s="7"/>
      <c r="G564" s="7"/>
      <c r="H564" s="7"/>
      <c r="I564" s="7"/>
    </row>
    <row r="565" spans="1:9" ht="15.75" customHeight="1">
      <c r="A565" s="686"/>
      <c r="B565" s="687"/>
      <c r="C565" s="243"/>
      <c r="D565" s="244"/>
      <c r="E565" s="688"/>
      <c r="F565" s="7"/>
      <c r="G565" s="7"/>
      <c r="H565" s="7"/>
      <c r="I565" s="7"/>
    </row>
    <row r="566" spans="1:9" ht="15.75" customHeight="1">
      <c r="A566" s="686"/>
      <c r="B566" s="687"/>
      <c r="C566" s="243"/>
      <c r="D566" s="244"/>
      <c r="E566" s="688"/>
      <c r="F566" s="7"/>
      <c r="G566" s="7"/>
      <c r="H566" s="7"/>
      <c r="I566" s="7"/>
    </row>
    <row r="567" spans="1:9" ht="15.75" customHeight="1">
      <c r="A567" s="686"/>
      <c r="B567" s="687"/>
      <c r="C567" s="243"/>
      <c r="D567" s="244"/>
      <c r="E567" s="688"/>
      <c r="F567" s="7"/>
      <c r="G567" s="7"/>
      <c r="H567" s="7"/>
      <c r="I567" s="7"/>
    </row>
    <row r="568" spans="1:9" ht="15.75" customHeight="1">
      <c r="A568" s="686"/>
      <c r="B568" s="687"/>
      <c r="C568" s="243"/>
      <c r="D568" s="244"/>
      <c r="E568" s="688"/>
      <c r="F568" s="7"/>
      <c r="G568" s="7"/>
      <c r="H568" s="7"/>
      <c r="I568" s="7"/>
    </row>
    <row r="569" spans="1:9" ht="15.75" customHeight="1">
      <c r="A569" s="686"/>
      <c r="B569" s="687"/>
      <c r="C569" s="243"/>
      <c r="D569" s="244"/>
      <c r="E569" s="688"/>
      <c r="F569" s="7"/>
      <c r="G569" s="7"/>
      <c r="H569" s="7"/>
      <c r="I569" s="7"/>
    </row>
    <row r="570" spans="1:9" ht="15.75" customHeight="1">
      <c r="A570" s="686"/>
      <c r="B570" s="687"/>
      <c r="C570" s="243"/>
      <c r="D570" s="244"/>
      <c r="E570" s="688"/>
      <c r="F570" s="7"/>
      <c r="G570" s="7"/>
      <c r="H570" s="7"/>
      <c r="I570" s="7"/>
    </row>
    <row r="571" spans="1:9" ht="15.75" customHeight="1">
      <c r="A571" s="686"/>
      <c r="B571" s="687"/>
      <c r="C571" s="243"/>
      <c r="D571" s="244"/>
      <c r="E571" s="688"/>
      <c r="F571" s="7"/>
      <c r="G571" s="7"/>
      <c r="H571" s="7"/>
      <c r="I571" s="7"/>
    </row>
    <row r="572" spans="1:9" ht="15.75" customHeight="1">
      <c r="A572" s="686"/>
      <c r="B572" s="687"/>
      <c r="C572" s="243"/>
      <c r="D572" s="244"/>
      <c r="E572" s="688"/>
      <c r="F572" s="7"/>
      <c r="G572" s="7"/>
      <c r="H572" s="7"/>
      <c r="I572" s="7"/>
    </row>
    <row r="573" spans="1:9" ht="15.75" customHeight="1">
      <c r="A573" s="686"/>
      <c r="B573" s="687"/>
      <c r="C573" s="243"/>
      <c r="D573" s="244"/>
      <c r="E573" s="688"/>
      <c r="F573" s="7"/>
      <c r="G573" s="7"/>
      <c r="H573" s="7"/>
      <c r="I573" s="7"/>
    </row>
    <row r="574" spans="1:9" ht="15.75" customHeight="1">
      <c r="A574" s="686"/>
      <c r="B574" s="687"/>
      <c r="C574" s="243"/>
      <c r="D574" s="244"/>
      <c r="E574" s="688"/>
      <c r="F574" s="7"/>
      <c r="G574" s="7"/>
      <c r="H574" s="7"/>
      <c r="I574" s="7"/>
    </row>
    <row r="575" spans="1:9" ht="15.75" customHeight="1">
      <c r="A575" s="686"/>
      <c r="B575" s="687"/>
      <c r="C575" s="243"/>
      <c r="D575" s="244"/>
      <c r="E575" s="688"/>
      <c r="F575" s="7"/>
      <c r="G575" s="7"/>
      <c r="H575" s="7"/>
      <c r="I575" s="7"/>
    </row>
    <row r="576" spans="1:9" ht="15.75" customHeight="1">
      <c r="A576" s="686"/>
      <c r="B576" s="687"/>
      <c r="C576" s="243"/>
      <c r="D576" s="244"/>
      <c r="E576" s="688"/>
      <c r="F576" s="7"/>
      <c r="G576" s="7"/>
      <c r="H576" s="7"/>
      <c r="I576" s="7"/>
    </row>
    <row r="577" spans="1:9" ht="15.75" customHeight="1">
      <c r="A577" s="686"/>
      <c r="B577" s="687"/>
      <c r="C577" s="243"/>
      <c r="D577" s="244"/>
      <c r="E577" s="688"/>
      <c r="F577" s="7"/>
      <c r="G577" s="7"/>
      <c r="H577" s="7"/>
      <c r="I577" s="7"/>
    </row>
    <row r="578" spans="1:9" ht="15.75" customHeight="1">
      <c r="A578" s="686"/>
      <c r="B578" s="687"/>
      <c r="C578" s="243"/>
      <c r="D578" s="244"/>
      <c r="E578" s="688"/>
      <c r="F578" s="7"/>
      <c r="G578" s="7"/>
      <c r="H578" s="7"/>
      <c r="I578" s="7"/>
    </row>
    <row r="579" spans="1:9" ht="15.75" customHeight="1">
      <c r="A579" s="686"/>
      <c r="B579" s="687"/>
      <c r="C579" s="243"/>
      <c r="D579" s="244"/>
      <c r="E579" s="688"/>
      <c r="F579" s="7"/>
      <c r="G579" s="7"/>
      <c r="H579" s="7"/>
      <c r="I579" s="7"/>
    </row>
    <row r="580" spans="1:9" ht="15.75" customHeight="1">
      <c r="A580" s="686"/>
      <c r="B580" s="687"/>
      <c r="C580" s="243"/>
      <c r="D580" s="244"/>
      <c r="E580" s="688"/>
      <c r="F580" s="7"/>
      <c r="G580" s="7"/>
      <c r="H580" s="7"/>
      <c r="I580" s="7"/>
    </row>
    <row r="581" spans="1:9" ht="15.75" customHeight="1">
      <c r="A581" s="686"/>
      <c r="B581" s="687"/>
      <c r="C581" s="243"/>
      <c r="D581" s="244"/>
      <c r="E581" s="688"/>
      <c r="F581" s="7"/>
      <c r="G581" s="7"/>
      <c r="H581" s="7"/>
      <c r="I581" s="7"/>
    </row>
    <row r="582" spans="1:9" ht="15.75" customHeight="1">
      <c r="A582" s="686"/>
      <c r="B582" s="687"/>
      <c r="C582" s="243"/>
      <c r="D582" s="244"/>
      <c r="E582" s="688"/>
      <c r="F582" s="7"/>
      <c r="G582" s="7"/>
      <c r="H582" s="7"/>
      <c r="I582" s="7"/>
    </row>
    <row r="583" spans="1:9" ht="15.75" customHeight="1">
      <c r="A583" s="686"/>
      <c r="B583" s="687"/>
      <c r="C583" s="243"/>
      <c r="D583" s="244"/>
      <c r="E583" s="688"/>
      <c r="F583" s="7"/>
      <c r="G583" s="7"/>
      <c r="H583" s="7"/>
      <c r="I583" s="7"/>
    </row>
    <row r="584" spans="1:9" ht="15.75" customHeight="1">
      <c r="A584" s="686"/>
      <c r="B584" s="687"/>
      <c r="C584" s="243"/>
      <c r="D584" s="244"/>
      <c r="E584" s="688"/>
      <c r="F584" s="7"/>
      <c r="G584" s="7"/>
      <c r="H584" s="7"/>
      <c r="I584" s="7"/>
    </row>
    <row r="585" spans="1:9" ht="15.75" customHeight="1">
      <c r="A585" s="686"/>
      <c r="B585" s="687"/>
      <c r="C585" s="243"/>
      <c r="D585" s="244"/>
      <c r="E585" s="688"/>
      <c r="F585" s="7"/>
      <c r="G585" s="7"/>
      <c r="H585" s="7"/>
      <c r="I585" s="7"/>
    </row>
    <row r="586" spans="1:9" ht="15.75" customHeight="1">
      <c r="A586" s="686"/>
      <c r="B586" s="687"/>
      <c r="C586" s="243"/>
      <c r="D586" s="244"/>
      <c r="E586" s="688"/>
      <c r="F586" s="7"/>
      <c r="G586" s="7"/>
      <c r="H586" s="7"/>
      <c r="I586" s="7"/>
    </row>
    <row r="587" spans="1:9" ht="15.75" customHeight="1">
      <c r="A587" s="686"/>
      <c r="B587" s="687"/>
      <c r="C587" s="243"/>
      <c r="D587" s="244"/>
      <c r="E587" s="688"/>
      <c r="F587" s="7"/>
      <c r="G587" s="7"/>
      <c r="H587" s="7"/>
      <c r="I587" s="7"/>
    </row>
    <row r="588" spans="1:9" ht="15.75" customHeight="1">
      <c r="A588" s="686"/>
      <c r="B588" s="687"/>
      <c r="C588" s="243"/>
      <c r="D588" s="244"/>
      <c r="E588" s="688"/>
      <c r="F588" s="7"/>
      <c r="G588" s="7"/>
      <c r="H588" s="7"/>
      <c r="I588" s="7"/>
    </row>
    <row r="589" spans="1:9" ht="15.75" customHeight="1">
      <c r="A589" s="686"/>
      <c r="B589" s="687"/>
      <c r="C589" s="243"/>
      <c r="D589" s="244"/>
      <c r="E589" s="688"/>
      <c r="F589" s="7"/>
      <c r="G589" s="7"/>
      <c r="H589" s="7"/>
      <c r="I589" s="7"/>
    </row>
    <row r="590" spans="1:9" ht="15.75" customHeight="1">
      <c r="A590" s="686"/>
      <c r="B590" s="687"/>
      <c r="C590" s="243"/>
      <c r="D590" s="244"/>
      <c r="E590" s="688"/>
      <c r="F590" s="7"/>
      <c r="G590" s="7"/>
      <c r="H590" s="7"/>
      <c r="I590" s="7"/>
    </row>
    <row r="591" spans="1:9" ht="15.75" customHeight="1">
      <c r="A591" s="686"/>
      <c r="B591" s="687"/>
      <c r="C591" s="243"/>
      <c r="D591" s="244"/>
      <c r="E591" s="688"/>
      <c r="F591" s="7"/>
      <c r="G591" s="7"/>
      <c r="H591" s="7"/>
      <c r="I591" s="7"/>
    </row>
    <row r="592" spans="1:9" ht="15.75" customHeight="1">
      <c r="A592" s="686"/>
      <c r="B592" s="687"/>
      <c r="C592" s="243"/>
      <c r="D592" s="244"/>
      <c r="E592" s="688"/>
      <c r="F592" s="7"/>
      <c r="G592" s="7"/>
      <c r="H592" s="7"/>
      <c r="I592" s="7"/>
    </row>
    <row r="593" spans="1:9" ht="15.75" customHeight="1">
      <c r="A593" s="686"/>
      <c r="B593" s="687"/>
      <c r="C593" s="243"/>
      <c r="D593" s="244"/>
      <c r="E593" s="688"/>
      <c r="F593" s="7"/>
      <c r="G593" s="7"/>
      <c r="H593" s="7"/>
      <c r="I593" s="7"/>
    </row>
    <row r="594" spans="1:9" ht="15.75" customHeight="1">
      <c r="A594" s="686"/>
      <c r="B594" s="687"/>
      <c r="C594" s="243"/>
      <c r="D594" s="244"/>
      <c r="E594" s="688"/>
      <c r="F594" s="7"/>
      <c r="G594" s="7"/>
      <c r="H594" s="7"/>
      <c r="I594" s="7"/>
    </row>
    <row r="595" spans="1:9" ht="15.75" customHeight="1">
      <c r="A595" s="686"/>
      <c r="B595" s="687"/>
      <c r="C595" s="243"/>
      <c r="D595" s="244"/>
      <c r="E595" s="688"/>
      <c r="F595" s="7"/>
      <c r="G595" s="7"/>
      <c r="H595" s="7"/>
      <c r="I595" s="7"/>
    </row>
    <row r="596" spans="1:9" ht="15.75" customHeight="1">
      <c r="A596" s="686"/>
      <c r="B596" s="687"/>
      <c r="C596" s="243"/>
      <c r="D596" s="244"/>
      <c r="E596" s="688"/>
      <c r="F596" s="7"/>
      <c r="G596" s="7"/>
      <c r="H596" s="7"/>
      <c r="I596" s="7"/>
    </row>
    <row r="597" spans="1:9" ht="15.75" customHeight="1">
      <c r="A597" s="686"/>
      <c r="B597" s="687"/>
      <c r="C597" s="243"/>
      <c r="D597" s="244"/>
      <c r="E597" s="688"/>
      <c r="F597" s="7"/>
      <c r="G597" s="7"/>
      <c r="H597" s="7"/>
      <c r="I597" s="7"/>
    </row>
    <row r="598" spans="1:9" ht="15.75" customHeight="1">
      <c r="A598" s="686"/>
      <c r="B598" s="687"/>
      <c r="C598" s="243"/>
      <c r="D598" s="244"/>
      <c r="E598" s="688"/>
      <c r="F598" s="7"/>
      <c r="G598" s="7"/>
      <c r="H598" s="7"/>
      <c r="I598" s="7"/>
    </row>
    <row r="599" spans="1:9" ht="15.75" customHeight="1">
      <c r="A599" s="686"/>
      <c r="B599" s="687"/>
      <c r="C599" s="243"/>
      <c r="D599" s="244"/>
      <c r="E599" s="688"/>
      <c r="F599" s="7"/>
      <c r="G599" s="7"/>
      <c r="H599" s="7"/>
      <c r="I599" s="7"/>
    </row>
    <row r="600" spans="1:9" ht="15.75" customHeight="1">
      <c r="A600" s="686"/>
      <c r="B600" s="687"/>
      <c r="C600" s="243"/>
      <c r="D600" s="244"/>
      <c r="E600" s="688"/>
      <c r="F600" s="7"/>
      <c r="G600" s="7"/>
      <c r="H600" s="7"/>
      <c r="I600" s="7"/>
    </row>
    <row r="601" spans="1:9" ht="15.75" customHeight="1">
      <c r="A601" s="686"/>
      <c r="B601" s="687"/>
      <c r="C601" s="243"/>
      <c r="D601" s="244"/>
      <c r="E601" s="688"/>
      <c r="F601" s="7"/>
      <c r="G601" s="7"/>
      <c r="H601" s="7"/>
      <c r="I601" s="7"/>
    </row>
    <row r="602" spans="1:9" ht="15.75" customHeight="1">
      <c r="A602" s="686"/>
      <c r="B602" s="687"/>
      <c r="C602" s="243"/>
      <c r="D602" s="244"/>
      <c r="E602" s="688"/>
      <c r="F602" s="7"/>
      <c r="G602" s="7"/>
      <c r="H602" s="7"/>
      <c r="I602" s="7"/>
    </row>
    <row r="603" spans="1:9" ht="15.75" customHeight="1">
      <c r="A603" s="686"/>
      <c r="B603" s="687"/>
      <c r="C603" s="243"/>
      <c r="D603" s="244"/>
      <c r="E603" s="688"/>
      <c r="F603" s="7"/>
      <c r="G603" s="7"/>
      <c r="H603" s="7"/>
      <c r="I603" s="7"/>
    </row>
    <row r="604" spans="1:9" ht="15.75" customHeight="1">
      <c r="A604" s="686"/>
      <c r="B604" s="687"/>
      <c r="C604" s="243"/>
      <c r="D604" s="244"/>
      <c r="E604" s="688"/>
      <c r="F604" s="7"/>
      <c r="G604" s="7"/>
      <c r="H604" s="7"/>
      <c r="I604" s="7"/>
    </row>
    <row r="605" spans="1:9" ht="15.75" customHeight="1">
      <c r="A605" s="686"/>
      <c r="B605" s="687"/>
      <c r="C605" s="243"/>
      <c r="D605" s="244"/>
      <c r="E605" s="688"/>
      <c r="F605" s="7"/>
      <c r="G605" s="7"/>
      <c r="H605" s="7"/>
      <c r="I605" s="7"/>
    </row>
    <row r="606" spans="1:9" ht="15.75" customHeight="1">
      <c r="A606" s="686"/>
      <c r="B606" s="687"/>
      <c r="C606" s="243"/>
      <c r="D606" s="244"/>
      <c r="E606" s="688"/>
      <c r="F606" s="7"/>
      <c r="G606" s="7"/>
      <c r="H606" s="7"/>
      <c r="I606" s="7"/>
    </row>
    <row r="607" spans="1:9" ht="15.75" customHeight="1">
      <c r="A607" s="686"/>
      <c r="B607" s="687"/>
      <c r="C607" s="243"/>
      <c r="D607" s="244"/>
      <c r="E607" s="688"/>
      <c r="F607" s="7"/>
      <c r="G607" s="7"/>
      <c r="H607" s="7"/>
      <c r="I607" s="7"/>
    </row>
    <row r="608" spans="1:9" ht="15.75" customHeight="1">
      <c r="A608" s="686"/>
      <c r="B608" s="687"/>
      <c r="C608" s="243"/>
      <c r="D608" s="244"/>
      <c r="E608" s="688"/>
      <c r="F608" s="7"/>
      <c r="G608" s="7"/>
      <c r="H608" s="7"/>
      <c r="I608" s="7"/>
    </row>
    <row r="609" spans="1:9" ht="15.75" customHeight="1">
      <c r="A609" s="686"/>
      <c r="B609" s="687"/>
      <c r="C609" s="243"/>
      <c r="D609" s="244"/>
      <c r="E609" s="688"/>
      <c r="F609" s="7"/>
      <c r="G609" s="7"/>
      <c r="H609" s="7"/>
      <c r="I609" s="7"/>
    </row>
    <row r="610" spans="1:9" ht="15.75" customHeight="1">
      <c r="A610" s="686"/>
      <c r="B610" s="687"/>
      <c r="C610" s="243"/>
      <c r="D610" s="244"/>
      <c r="E610" s="688"/>
      <c r="F610" s="7"/>
      <c r="G610" s="7"/>
      <c r="H610" s="7"/>
      <c r="I610" s="7"/>
    </row>
    <row r="611" spans="1:9" ht="15.75" customHeight="1">
      <c r="A611" s="686"/>
      <c r="B611" s="687"/>
      <c r="C611" s="243"/>
      <c r="D611" s="244"/>
      <c r="E611" s="688"/>
      <c r="F611" s="7"/>
      <c r="G611" s="7"/>
      <c r="H611" s="7"/>
      <c r="I611" s="7"/>
    </row>
    <row r="612" spans="1:9" ht="15.75" customHeight="1">
      <c r="A612" s="686"/>
      <c r="B612" s="687"/>
      <c r="C612" s="243"/>
      <c r="D612" s="244"/>
      <c r="E612" s="688"/>
      <c r="F612" s="7"/>
      <c r="G612" s="7"/>
      <c r="H612" s="7"/>
      <c r="I612" s="7"/>
    </row>
    <row r="613" spans="1:9" ht="15.75" customHeight="1">
      <c r="A613" s="686"/>
      <c r="B613" s="687"/>
      <c r="C613" s="243"/>
      <c r="D613" s="244"/>
      <c r="E613" s="688"/>
      <c r="F613" s="7"/>
      <c r="G613" s="7"/>
      <c r="H613" s="7"/>
      <c r="I613" s="7"/>
    </row>
    <row r="614" spans="1:9" ht="15.75" customHeight="1">
      <c r="A614" s="686"/>
      <c r="B614" s="687"/>
      <c r="C614" s="243"/>
      <c r="D614" s="244"/>
      <c r="E614" s="688"/>
      <c r="F614" s="7"/>
      <c r="G614" s="7"/>
      <c r="H614" s="7"/>
      <c r="I614" s="7"/>
    </row>
    <row r="615" spans="1:9" ht="15.75" customHeight="1">
      <c r="A615" s="686"/>
      <c r="B615" s="687"/>
      <c r="C615" s="243"/>
      <c r="D615" s="244"/>
      <c r="E615" s="688"/>
      <c r="F615" s="7"/>
      <c r="G615" s="7"/>
      <c r="H615" s="7"/>
      <c r="I615" s="7"/>
    </row>
    <row r="616" spans="1:9" ht="15.75" customHeight="1">
      <c r="A616" s="686"/>
      <c r="B616" s="687"/>
      <c r="C616" s="243"/>
      <c r="D616" s="244"/>
      <c r="E616" s="688"/>
      <c r="F616" s="7"/>
      <c r="G616" s="7"/>
      <c r="H616" s="7"/>
      <c r="I616" s="7"/>
    </row>
    <row r="617" spans="1:9" ht="15.75" customHeight="1">
      <c r="A617" s="686"/>
      <c r="B617" s="687"/>
      <c r="C617" s="243"/>
      <c r="D617" s="244"/>
      <c r="E617" s="688"/>
      <c r="F617" s="7"/>
      <c r="G617" s="7"/>
      <c r="H617" s="7"/>
      <c r="I617" s="7"/>
    </row>
    <row r="618" spans="1:9" ht="15.75" customHeight="1">
      <c r="A618" s="686"/>
      <c r="B618" s="687"/>
      <c r="C618" s="243"/>
      <c r="D618" s="244"/>
      <c r="E618" s="688"/>
      <c r="F618" s="7"/>
      <c r="G618" s="7"/>
      <c r="H618" s="7"/>
      <c r="I618" s="7"/>
    </row>
    <row r="619" spans="1:9" ht="15.75" customHeight="1">
      <c r="A619" s="686"/>
      <c r="B619" s="687"/>
      <c r="C619" s="243"/>
      <c r="D619" s="244"/>
      <c r="E619" s="688"/>
      <c r="F619" s="7"/>
      <c r="G619" s="7"/>
      <c r="H619" s="7"/>
      <c r="I619" s="7"/>
    </row>
    <row r="620" spans="1:9" ht="15.75" customHeight="1">
      <c r="A620" s="686"/>
      <c r="B620" s="687"/>
      <c r="C620" s="243"/>
      <c r="D620" s="244"/>
      <c r="E620" s="688"/>
      <c r="F620" s="7"/>
      <c r="G620" s="7"/>
      <c r="H620" s="7"/>
      <c r="I620" s="7"/>
    </row>
    <row r="621" spans="1:9" ht="15.75" customHeight="1">
      <c r="A621" s="686"/>
      <c r="B621" s="687"/>
      <c r="C621" s="243"/>
      <c r="D621" s="244"/>
      <c r="E621" s="688"/>
      <c r="F621" s="7"/>
      <c r="G621" s="7"/>
      <c r="H621" s="7"/>
      <c r="I621" s="7"/>
    </row>
    <row r="622" spans="1:9" ht="15.75" customHeight="1">
      <c r="A622" s="686"/>
      <c r="B622" s="687"/>
      <c r="C622" s="243"/>
      <c r="D622" s="244"/>
      <c r="E622" s="688"/>
      <c r="F622" s="7"/>
      <c r="G622" s="7"/>
      <c r="H622" s="7"/>
      <c r="I622" s="7"/>
    </row>
    <row r="623" spans="1:9" ht="15.75" customHeight="1">
      <c r="A623" s="686"/>
      <c r="B623" s="687"/>
      <c r="C623" s="243"/>
      <c r="D623" s="244"/>
      <c r="E623" s="688"/>
      <c r="F623" s="7"/>
      <c r="G623" s="7"/>
      <c r="H623" s="7"/>
      <c r="I623" s="7"/>
    </row>
    <row r="624" spans="1:9" ht="15.75" customHeight="1">
      <c r="A624" s="686"/>
      <c r="B624" s="687"/>
      <c r="C624" s="243"/>
      <c r="D624" s="244"/>
      <c r="E624" s="688"/>
      <c r="F624" s="7"/>
      <c r="G624" s="7"/>
      <c r="H624" s="7"/>
      <c r="I624" s="7"/>
    </row>
    <row r="625" spans="1:9" ht="15.75" customHeight="1">
      <c r="A625" s="686"/>
      <c r="B625" s="687"/>
      <c r="C625" s="243"/>
      <c r="D625" s="244"/>
      <c r="E625" s="688"/>
      <c r="F625" s="7"/>
      <c r="G625" s="7"/>
      <c r="H625" s="7"/>
      <c r="I625" s="7"/>
    </row>
    <row r="626" spans="1:9" ht="15.75" customHeight="1">
      <c r="A626" s="686"/>
      <c r="B626" s="687"/>
      <c r="C626" s="243"/>
      <c r="D626" s="244"/>
      <c r="E626" s="688"/>
      <c r="F626" s="7"/>
      <c r="G626" s="7"/>
      <c r="H626" s="7"/>
      <c r="I626" s="7"/>
    </row>
    <row r="627" spans="1:9" ht="15.75" customHeight="1">
      <c r="A627" s="686"/>
      <c r="B627" s="687"/>
      <c r="C627" s="243"/>
      <c r="D627" s="244"/>
      <c r="E627" s="688"/>
      <c r="F627" s="7"/>
      <c r="G627" s="7"/>
      <c r="H627" s="7"/>
      <c r="I627" s="7"/>
    </row>
    <row r="628" spans="1:9" ht="15.75" customHeight="1">
      <c r="A628" s="686"/>
      <c r="B628" s="687"/>
      <c r="C628" s="243"/>
      <c r="D628" s="244"/>
      <c r="E628" s="688"/>
      <c r="F628" s="7"/>
      <c r="G628" s="7"/>
      <c r="H628" s="7"/>
      <c r="I628" s="7"/>
    </row>
    <row r="629" spans="1:9" ht="15.75" customHeight="1">
      <c r="A629" s="686"/>
      <c r="B629" s="687"/>
      <c r="C629" s="243"/>
      <c r="D629" s="244"/>
      <c r="E629" s="688"/>
      <c r="F629" s="7"/>
      <c r="G629" s="7"/>
      <c r="H629" s="7"/>
      <c r="I629" s="7"/>
    </row>
    <row r="630" spans="1:9" ht="15.75" customHeight="1">
      <c r="A630" s="686"/>
      <c r="B630" s="687"/>
      <c r="C630" s="243"/>
      <c r="D630" s="244"/>
      <c r="E630" s="688"/>
      <c r="F630" s="7"/>
      <c r="G630" s="7"/>
      <c r="H630" s="7"/>
      <c r="I630" s="7"/>
    </row>
    <row r="631" spans="1:9" ht="15.75" customHeight="1">
      <c r="A631" s="686"/>
      <c r="B631" s="687"/>
      <c r="C631" s="243"/>
      <c r="D631" s="244"/>
      <c r="E631" s="688"/>
      <c r="F631" s="7"/>
      <c r="G631" s="7"/>
      <c r="H631" s="7"/>
      <c r="I631" s="7"/>
    </row>
    <row r="632" spans="1:9" ht="15.75" customHeight="1">
      <c r="A632" s="686"/>
      <c r="B632" s="687"/>
      <c r="C632" s="243"/>
      <c r="D632" s="244"/>
      <c r="E632" s="688"/>
      <c r="F632" s="7"/>
      <c r="G632" s="7"/>
      <c r="H632" s="7"/>
      <c r="I632" s="7"/>
    </row>
    <row r="633" spans="1:9" ht="15.75" customHeight="1">
      <c r="A633" s="686"/>
      <c r="B633" s="687"/>
      <c r="C633" s="243"/>
      <c r="D633" s="244"/>
      <c r="E633" s="688"/>
      <c r="F633" s="7"/>
      <c r="G633" s="7"/>
      <c r="H633" s="7"/>
      <c r="I633" s="7"/>
    </row>
    <row r="634" spans="1:9" ht="15.75" customHeight="1">
      <c r="A634" s="686"/>
      <c r="B634" s="687"/>
      <c r="C634" s="243"/>
      <c r="D634" s="244"/>
      <c r="E634" s="688"/>
      <c r="F634" s="7"/>
      <c r="G634" s="7"/>
      <c r="H634" s="7"/>
      <c r="I634" s="7"/>
    </row>
    <row r="635" spans="1:9" ht="15.75" customHeight="1">
      <c r="A635" s="686"/>
      <c r="B635" s="687"/>
      <c r="C635" s="243"/>
      <c r="D635" s="244"/>
      <c r="E635" s="688"/>
      <c r="F635" s="7"/>
      <c r="G635" s="7"/>
      <c r="H635" s="7"/>
      <c r="I635" s="7"/>
    </row>
    <row r="636" spans="1:9" ht="15.75" customHeight="1">
      <c r="A636" s="686"/>
      <c r="B636" s="687"/>
      <c r="C636" s="243"/>
      <c r="D636" s="244"/>
      <c r="E636" s="688"/>
      <c r="F636" s="7"/>
      <c r="G636" s="7"/>
      <c r="H636" s="7"/>
      <c r="I636" s="7"/>
    </row>
    <row r="637" spans="1:9" ht="15.75" customHeight="1">
      <c r="A637" s="686"/>
      <c r="B637" s="687"/>
      <c r="C637" s="243"/>
      <c r="D637" s="244"/>
      <c r="E637" s="688"/>
      <c r="F637" s="7"/>
      <c r="G637" s="7"/>
      <c r="H637" s="7"/>
      <c r="I637" s="7"/>
    </row>
    <row r="638" spans="1:9" ht="15.75" customHeight="1">
      <c r="A638" s="686"/>
      <c r="B638" s="687"/>
      <c r="C638" s="243"/>
      <c r="D638" s="244"/>
      <c r="E638" s="688"/>
      <c r="F638" s="7"/>
      <c r="G638" s="7"/>
      <c r="H638" s="7"/>
      <c r="I638" s="7"/>
    </row>
    <row r="639" spans="1:9" ht="15.75" customHeight="1">
      <c r="A639" s="686"/>
      <c r="B639" s="687"/>
      <c r="C639" s="243"/>
      <c r="D639" s="244"/>
      <c r="E639" s="688"/>
      <c r="F639" s="7"/>
      <c r="G639" s="7"/>
      <c r="H639" s="7"/>
      <c r="I639" s="7"/>
    </row>
    <row r="640" spans="1:9" ht="15.75" customHeight="1">
      <c r="A640" s="686"/>
      <c r="B640" s="687"/>
      <c r="C640" s="243"/>
      <c r="D640" s="244"/>
      <c r="E640" s="688"/>
      <c r="F640" s="7"/>
      <c r="G640" s="7"/>
      <c r="H640" s="7"/>
      <c r="I640" s="7"/>
    </row>
    <row r="641" spans="1:9" ht="15.75" customHeight="1">
      <c r="A641" s="686"/>
      <c r="B641" s="687"/>
      <c r="C641" s="243"/>
      <c r="D641" s="244"/>
      <c r="E641" s="688"/>
      <c r="F641" s="7"/>
      <c r="G641" s="7"/>
      <c r="H641" s="7"/>
      <c r="I641" s="7"/>
    </row>
    <row r="642" spans="1:9" ht="15.75" customHeight="1">
      <c r="A642" s="686"/>
      <c r="B642" s="687"/>
      <c r="C642" s="243"/>
      <c r="D642" s="244"/>
      <c r="E642" s="688"/>
      <c r="F642" s="7"/>
      <c r="G642" s="7"/>
      <c r="H642" s="7"/>
      <c r="I642" s="7"/>
    </row>
    <row r="643" spans="1:9" ht="15.75" customHeight="1">
      <c r="A643" s="686"/>
      <c r="B643" s="687"/>
      <c r="C643" s="243"/>
      <c r="D643" s="244"/>
      <c r="E643" s="688"/>
      <c r="F643" s="7"/>
      <c r="G643" s="7"/>
      <c r="H643" s="7"/>
      <c r="I643" s="7"/>
    </row>
    <row r="644" spans="1:9" ht="15.75" customHeight="1">
      <c r="A644" s="686"/>
      <c r="B644" s="687"/>
      <c r="C644" s="243"/>
      <c r="D644" s="244"/>
      <c r="E644" s="688"/>
      <c r="F644" s="7"/>
      <c r="G644" s="7"/>
      <c r="H644" s="7"/>
      <c r="I644" s="7"/>
    </row>
    <row r="645" spans="1:9" ht="15.75" customHeight="1">
      <c r="A645" s="686"/>
      <c r="B645" s="687"/>
      <c r="C645" s="243"/>
      <c r="D645" s="244"/>
      <c r="E645" s="688"/>
      <c r="F645" s="7"/>
      <c r="G645" s="7"/>
      <c r="H645" s="7"/>
      <c r="I645" s="7"/>
    </row>
    <row r="646" spans="1:9" ht="15.75" customHeight="1">
      <c r="A646" s="686"/>
      <c r="B646" s="687"/>
      <c r="C646" s="243"/>
      <c r="D646" s="244"/>
      <c r="E646" s="688"/>
      <c r="F646" s="7"/>
      <c r="G646" s="7"/>
      <c r="H646" s="7"/>
      <c r="I646" s="7"/>
    </row>
    <row r="647" spans="1:9" ht="15.75" customHeight="1">
      <c r="A647" s="686"/>
      <c r="B647" s="687"/>
      <c r="C647" s="243"/>
      <c r="D647" s="244"/>
      <c r="E647" s="688"/>
      <c r="F647" s="7"/>
      <c r="G647" s="7"/>
      <c r="H647" s="7"/>
      <c r="I647" s="7"/>
    </row>
    <row r="648" spans="1:9" ht="15.75" customHeight="1">
      <c r="A648" s="686"/>
      <c r="B648" s="687"/>
      <c r="C648" s="243"/>
      <c r="D648" s="244"/>
      <c r="E648" s="688"/>
      <c r="F648" s="7"/>
      <c r="G648" s="7"/>
      <c r="H648" s="7"/>
      <c r="I648" s="7"/>
    </row>
    <row r="649" spans="1:9" ht="15.75" customHeight="1">
      <c r="A649" s="686"/>
      <c r="B649" s="687"/>
      <c r="C649" s="243"/>
      <c r="D649" s="244"/>
      <c r="E649" s="688"/>
      <c r="F649" s="7"/>
      <c r="G649" s="7"/>
      <c r="H649" s="7"/>
      <c r="I649" s="7"/>
    </row>
    <row r="650" spans="1:9" ht="15.75" customHeight="1">
      <c r="A650" s="686"/>
      <c r="B650" s="687"/>
      <c r="C650" s="243"/>
      <c r="D650" s="244"/>
      <c r="E650" s="688"/>
      <c r="F650" s="7"/>
      <c r="G650" s="7"/>
      <c r="H650" s="7"/>
      <c r="I650" s="7"/>
    </row>
    <row r="651" spans="1:9" ht="15.75" customHeight="1">
      <c r="A651" s="686"/>
      <c r="B651" s="687"/>
      <c r="C651" s="243"/>
      <c r="D651" s="244"/>
      <c r="E651" s="688"/>
      <c r="F651" s="7"/>
      <c r="G651" s="7"/>
      <c r="H651" s="7"/>
      <c r="I651" s="7"/>
    </row>
    <row r="652" spans="1:9" ht="15.75" customHeight="1">
      <c r="A652" s="686"/>
      <c r="B652" s="687"/>
      <c r="C652" s="243"/>
      <c r="D652" s="244"/>
      <c r="E652" s="688"/>
      <c r="F652" s="7"/>
      <c r="G652" s="7"/>
      <c r="H652" s="7"/>
      <c r="I652" s="7"/>
    </row>
    <row r="653" spans="1:9" ht="15.75" customHeight="1">
      <c r="A653" s="686"/>
      <c r="B653" s="687"/>
      <c r="C653" s="243"/>
      <c r="D653" s="244"/>
      <c r="E653" s="688"/>
      <c r="F653" s="7"/>
      <c r="G653" s="7"/>
      <c r="H653" s="7"/>
      <c r="I653" s="7"/>
    </row>
    <row r="654" spans="1:9" ht="15.75" customHeight="1">
      <c r="A654" s="686"/>
      <c r="B654" s="687"/>
      <c r="C654" s="243"/>
      <c r="D654" s="244"/>
      <c r="E654" s="688"/>
      <c r="F654" s="7"/>
      <c r="G654" s="7"/>
      <c r="H654" s="7"/>
      <c r="I654" s="7"/>
    </row>
    <row r="655" spans="1:9" ht="15.75" customHeight="1">
      <c r="A655" s="686"/>
      <c r="B655" s="687"/>
      <c r="C655" s="243"/>
      <c r="D655" s="244"/>
      <c r="E655" s="688"/>
      <c r="F655" s="7"/>
      <c r="G655" s="7"/>
      <c r="H655" s="7"/>
      <c r="I655" s="7"/>
    </row>
    <row r="656" spans="1:9" ht="15.75" customHeight="1">
      <c r="A656" s="686"/>
      <c r="B656" s="687"/>
      <c r="C656" s="243"/>
      <c r="D656" s="244"/>
      <c r="E656" s="688"/>
      <c r="F656" s="7"/>
      <c r="G656" s="7"/>
      <c r="H656" s="7"/>
      <c r="I656" s="7"/>
    </row>
    <row r="657" spans="1:9" ht="15.75" customHeight="1">
      <c r="A657" s="686"/>
      <c r="B657" s="687"/>
      <c r="C657" s="243"/>
      <c r="D657" s="244"/>
      <c r="E657" s="688"/>
      <c r="F657" s="7"/>
      <c r="G657" s="7"/>
      <c r="H657" s="7"/>
      <c r="I657" s="7"/>
    </row>
    <row r="658" spans="1:9" ht="14.25" customHeight="1">
      <c r="A658" s="7"/>
      <c r="B658" s="7"/>
      <c r="C658" s="7"/>
      <c r="D658" s="7"/>
      <c r="E658" s="7"/>
      <c r="F658" s="7"/>
      <c r="G658" s="7"/>
      <c r="H658" s="7"/>
      <c r="I658" s="7"/>
    </row>
    <row r="659" spans="1:9" ht="14.25" customHeight="1">
      <c r="A659" s="7"/>
      <c r="B659" s="7"/>
      <c r="C659" s="7"/>
      <c r="D659" s="7"/>
      <c r="E659" s="7"/>
      <c r="F659" s="7"/>
      <c r="G659" s="7"/>
      <c r="H659" s="7"/>
      <c r="I659" s="7"/>
    </row>
    <row r="660" spans="1:9" ht="14.25" customHeight="1">
      <c r="A660" s="7"/>
      <c r="B660" s="7"/>
      <c r="C660" s="7"/>
      <c r="D660" s="7"/>
      <c r="E660" s="7"/>
      <c r="F660" s="7"/>
      <c r="G660" s="7"/>
      <c r="H660" s="7"/>
      <c r="I660" s="7"/>
    </row>
    <row r="661" spans="1:9" ht="14.25" customHeight="1">
      <c r="A661" s="7"/>
      <c r="B661" s="7"/>
      <c r="C661" s="7"/>
      <c r="D661" s="7"/>
      <c r="E661" s="7"/>
      <c r="F661" s="7"/>
      <c r="G661" s="7"/>
      <c r="H661" s="7"/>
      <c r="I661" s="7"/>
    </row>
    <row r="662" spans="1:9" ht="14.25" customHeight="1">
      <c r="A662" s="7"/>
      <c r="B662" s="7"/>
      <c r="C662" s="7"/>
      <c r="D662" s="7"/>
      <c r="E662" s="7"/>
      <c r="F662" s="7"/>
      <c r="G662" s="7"/>
      <c r="H662" s="7"/>
      <c r="I662" s="7"/>
    </row>
    <row r="663" spans="1:9" ht="14.25" customHeight="1">
      <c r="A663" s="7"/>
      <c r="B663" s="7"/>
      <c r="C663" s="7"/>
      <c r="D663" s="7"/>
      <c r="E663" s="7"/>
      <c r="F663" s="7"/>
      <c r="G663" s="7"/>
      <c r="H663" s="7"/>
      <c r="I663" s="7"/>
    </row>
    <row r="664" spans="1:9" ht="14.25" customHeight="1">
      <c r="A664" s="7"/>
      <c r="B664" s="7"/>
      <c r="C664" s="7"/>
      <c r="D664" s="7"/>
      <c r="E664" s="7"/>
      <c r="F664" s="7"/>
      <c r="G664" s="7"/>
      <c r="H664" s="7"/>
      <c r="I664" s="7"/>
    </row>
    <row r="665" spans="1:9" ht="14.25" customHeight="1">
      <c r="A665" s="7"/>
      <c r="B665" s="7"/>
      <c r="C665" s="7"/>
      <c r="D665" s="7"/>
      <c r="E665" s="7"/>
      <c r="F665" s="7"/>
      <c r="G665" s="7"/>
      <c r="H665" s="7"/>
      <c r="I665" s="7"/>
    </row>
    <row r="666" spans="1:9" ht="14.25" customHeight="1">
      <c r="A666" s="7"/>
      <c r="B666" s="7"/>
      <c r="C666" s="7"/>
      <c r="D666" s="7"/>
      <c r="E666" s="7"/>
      <c r="F666" s="7"/>
      <c r="G666" s="7"/>
      <c r="H666" s="7"/>
      <c r="I666" s="7"/>
    </row>
    <row r="667" spans="1:9" ht="14.25" customHeight="1">
      <c r="A667" s="7"/>
      <c r="B667" s="7"/>
      <c r="C667" s="7"/>
      <c r="D667" s="7"/>
      <c r="E667" s="7"/>
      <c r="F667" s="7"/>
      <c r="G667" s="7"/>
      <c r="H667" s="7"/>
      <c r="I667" s="7"/>
    </row>
    <row r="668" spans="1:9" ht="14.25" customHeight="1">
      <c r="A668" s="7"/>
      <c r="B668" s="7"/>
      <c r="C668" s="7"/>
      <c r="D668" s="7"/>
      <c r="E668" s="7"/>
      <c r="F668" s="7"/>
      <c r="G668" s="7"/>
      <c r="H668" s="7"/>
      <c r="I668" s="7"/>
    </row>
    <row r="669" spans="1:9" ht="14.25" customHeight="1">
      <c r="A669" s="7"/>
      <c r="B669" s="7"/>
      <c r="C669" s="7"/>
      <c r="D669" s="7"/>
      <c r="E669" s="7"/>
      <c r="F669" s="7"/>
      <c r="G669" s="7"/>
      <c r="H669" s="7"/>
      <c r="I669" s="7"/>
    </row>
    <row r="670" spans="1:9" ht="14.25" customHeight="1">
      <c r="A670" s="7"/>
      <c r="B670" s="7"/>
      <c r="C670" s="7"/>
      <c r="D670" s="7"/>
      <c r="E670" s="7"/>
      <c r="F670" s="7"/>
      <c r="G670" s="7"/>
      <c r="H670" s="7"/>
      <c r="I670" s="7"/>
    </row>
    <row r="671" spans="1:9" ht="14.25" customHeight="1">
      <c r="A671" s="7"/>
      <c r="B671" s="7"/>
      <c r="C671" s="7"/>
      <c r="D671" s="7"/>
      <c r="E671" s="7"/>
      <c r="F671" s="7"/>
      <c r="G671" s="7"/>
      <c r="H671" s="7"/>
      <c r="I671" s="7"/>
    </row>
    <row r="672" spans="1:9" ht="14.25" customHeight="1">
      <c r="A672" s="7"/>
      <c r="B672" s="7"/>
      <c r="C672" s="7"/>
      <c r="D672" s="7"/>
      <c r="E672" s="7"/>
      <c r="F672" s="7"/>
      <c r="G672" s="7"/>
      <c r="H672" s="7"/>
      <c r="I672" s="7"/>
    </row>
    <row r="673" spans="1:9" ht="14.25" customHeight="1">
      <c r="A673" s="7"/>
      <c r="B673" s="7"/>
      <c r="C673" s="7"/>
      <c r="D673" s="7"/>
      <c r="E673" s="7"/>
      <c r="F673" s="7"/>
      <c r="G673" s="7"/>
      <c r="H673" s="7"/>
      <c r="I673" s="7"/>
    </row>
    <row r="674" spans="1:9" ht="14.25" customHeight="1">
      <c r="A674" s="7"/>
      <c r="B674" s="7"/>
      <c r="C674" s="7"/>
      <c r="D674" s="7"/>
      <c r="E674" s="7"/>
      <c r="F674" s="7"/>
      <c r="G674" s="7"/>
      <c r="H674" s="7"/>
      <c r="I674" s="7"/>
    </row>
    <row r="675" spans="1:9" ht="14.25" customHeight="1">
      <c r="A675" s="7"/>
      <c r="B675" s="7"/>
      <c r="C675" s="7"/>
      <c r="D675" s="7"/>
      <c r="E675" s="7"/>
      <c r="F675" s="7"/>
      <c r="G675" s="7"/>
      <c r="H675" s="7"/>
      <c r="I675" s="7"/>
    </row>
    <row r="676" spans="1:9" ht="14.25" customHeight="1">
      <c r="A676" s="7"/>
      <c r="B676" s="7"/>
      <c r="C676" s="7"/>
      <c r="D676" s="7"/>
      <c r="E676" s="7"/>
      <c r="F676" s="7"/>
      <c r="G676" s="7"/>
      <c r="H676" s="7"/>
      <c r="I676" s="7"/>
    </row>
    <row r="677" spans="1:9" ht="14.25" customHeight="1">
      <c r="A677" s="7"/>
      <c r="B677" s="7"/>
      <c r="C677" s="7"/>
      <c r="D677" s="7"/>
      <c r="E677" s="7"/>
      <c r="F677" s="7"/>
      <c r="G677" s="7"/>
      <c r="H677" s="7"/>
      <c r="I677" s="7"/>
    </row>
    <row r="678" spans="1:9" ht="14.25" customHeight="1">
      <c r="A678" s="7"/>
      <c r="B678" s="7"/>
      <c r="C678" s="7"/>
      <c r="D678" s="7"/>
      <c r="E678" s="7"/>
      <c r="F678" s="7"/>
      <c r="G678" s="7"/>
      <c r="H678" s="7"/>
      <c r="I678" s="7"/>
    </row>
    <row r="679" spans="1:9" ht="14.25" customHeight="1">
      <c r="A679" s="7"/>
      <c r="B679" s="7"/>
      <c r="C679" s="7"/>
      <c r="D679" s="7"/>
      <c r="E679" s="7"/>
      <c r="F679" s="7"/>
      <c r="G679" s="7"/>
      <c r="H679" s="7"/>
      <c r="I679" s="7"/>
    </row>
    <row r="680" spans="1:9" ht="14.25" customHeight="1">
      <c r="A680" s="7"/>
      <c r="B680" s="7"/>
      <c r="C680" s="7"/>
      <c r="D680" s="7"/>
      <c r="E680" s="7"/>
      <c r="F680" s="7"/>
      <c r="G680" s="7"/>
      <c r="H680" s="7"/>
      <c r="I680" s="7"/>
    </row>
    <row r="681" spans="1:9" ht="14.25" customHeight="1">
      <c r="A681" s="7"/>
      <c r="B681" s="7"/>
      <c r="C681" s="7"/>
      <c r="D681" s="7"/>
      <c r="E681" s="7"/>
      <c r="F681" s="7"/>
      <c r="G681" s="7"/>
      <c r="H681" s="7"/>
      <c r="I681" s="7"/>
    </row>
    <row r="682" spans="1:9" ht="14.25" customHeight="1">
      <c r="A682" s="7"/>
      <c r="B682" s="7"/>
      <c r="C682" s="7"/>
      <c r="D682" s="7"/>
      <c r="E682" s="7"/>
      <c r="F682" s="7"/>
      <c r="G682" s="7"/>
      <c r="H682" s="7"/>
      <c r="I682" s="7"/>
    </row>
    <row r="683" spans="1:9" ht="14.25" customHeight="1">
      <c r="A683" s="7"/>
      <c r="B683" s="7"/>
      <c r="C683" s="7"/>
      <c r="D683" s="7"/>
      <c r="E683" s="7"/>
      <c r="F683" s="7"/>
      <c r="G683" s="7"/>
      <c r="H683" s="7"/>
      <c r="I683" s="7"/>
    </row>
    <row r="684" spans="1:9" ht="14.25" customHeight="1">
      <c r="A684" s="7"/>
      <c r="B684" s="7"/>
      <c r="C684" s="7"/>
      <c r="D684" s="7"/>
      <c r="E684" s="7"/>
      <c r="F684" s="7"/>
      <c r="G684" s="7"/>
      <c r="H684" s="7"/>
      <c r="I684" s="7"/>
    </row>
    <row r="685" spans="1:9" ht="14.25" customHeight="1">
      <c r="A685" s="7"/>
      <c r="B685" s="7"/>
      <c r="C685" s="7"/>
      <c r="D685" s="7"/>
      <c r="E685" s="7"/>
      <c r="F685" s="7"/>
      <c r="G685" s="7"/>
      <c r="H685" s="7"/>
      <c r="I685" s="7"/>
    </row>
    <row r="686" spans="1:9" ht="14.25" customHeight="1">
      <c r="A686" s="7"/>
      <c r="B686" s="7"/>
      <c r="C686" s="7"/>
      <c r="D686" s="7"/>
      <c r="E686" s="7"/>
      <c r="F686" s="7"/>
      <c r="G686" s="7"/>
      <c r="H686" s="7"/>
      <c r="I686" s="7"/>
    </row>
    <row r="687" spans="1:9" ht="14.25" customHeight="1">
      <c r="A687" s="7"/>
      <c r="B687" s="7"/>
      <c r="C687" s="7"/>
      <c r="D687" s="7"/>
      <c r="E687" s="7"/>
      <c r="F687" s="7"/>
      <c r="G687" s="7"/>
      <c r="H687" s="7"/>
      <c r="I687" s="7"/>
    </row>
    <row r="688" spans="1:9" ht="14.25" customHeight="1">
      <c r="A688" s="7"/>
      <c r="B688" s="7"/>
      <c r="C688" s="7"/>
      <c r="D688" s="7"/>
      <c r="E688" s="7"/>
      <c r="F688" s="7"/>
      <c r="G688" s="7"/>
      <c r="H688" s="7"/>
      <c r="I688" s="7"/>
    </row>
    <row r="689" spans="1:9" ht="14.25" customHeight="1">
      <c r="A689" s="7"/>
      <c r="B689" s="7"/>
      <c r="C689" s="7"/>
      <c r="D689" s="7"/>
      <c r="E689" s="7"/>
      <c r="F689" s="7"/>
      <c r="G689" s="7"/>
      <c r="H689" s="7"/>
      <c r="I689" s="7"/>
    </row>
    <row r="690" spans="1:9" ht="14.25" customHeight="1">
      <c r="A690" s="7"/>
      <c r="B690" s="7"/>
      <c r="C690" s="7"/>
      <c r="D690" s="7"/>
      <c r="E690" s="7"/>
      <c r="F690" s="7"/>
      <c r="G690" s="7"/>
      <c r="H690" s="7"/>
      <c r="I690" s="7"/>
    </row>
    <row r="691" spans="1:9" ht="14.25" customHeight="1">
      <c r="A691" s="7"/>
      <c r="B691" s="7"/>
      <c r="C691" s="7"/>
      <c r="D691" s="7"/>
      <c r="E691" s="7"/>
      <c r="F691" s="7"/>
      <c r="G691" s="7"/>
      <c r="H691" s="7"/>
      <c r="I691" s="7"/>
    </row>
    <row r="692" spans="1:9" ht="14.25" customHeight="1">
      <c r="A692" s="7"/>
      <c r="B692" s="7"/>
      <c r="C692" s="7"/>
      <c r="D692" s="7"/>
      <c r="E692" s="7"/>
      <c r="F692" s="7"/>
      <c r="G692" s="7"/>
      <c r="H692" s="7"/>
      <c r="I692" s="7"/>
    </row>
    <row r="693" spans="1:9" ht="14.25" customHeight="1">
      <c r="A693" s="7"/>
      <c r="B693" s="7"/>
      <c r="C693" s="7"/>
      <c r="D693" s="7"/>
      <c r="E693" s="7"/>
      <c r="F693" s="7"/>
      <c r="G693" s="7"/>
      <c r="H693" s="7"/>
      <c r="I693" s="7"/>
    </row>
    <row r="694" spans="1:9" ht="14.25" customHeight="1">
      <c r="A694" s="7"/>
      <c r="B694" s="7"/>
      <c r="C694" s="7"/>
      <c r="D694" s="7"/>
      <c r="E694" s="7"/>
      <c r="F694" s="7"/>
      <c r="G694" s="7"/>
      <c r="H694" s="7"/>
      <c r="I694" s="7"/>
    </row>
    <row r="695" spans="1:9" ht="14.25" customHeight="1">
      <c r="A695" s="7"/>
      <c r="B695" s="7"/>
      <c r="C695" s="7"/>
      <c r="D695" s="7"/>
      <c r="E695" s="7"/>
      <c r="F695" s="7"/>
      <c r="G695" s="7"/>
      <c r="H695" s="7"/>
      <c r="I695" s="7"/>
    </row>
    <row r="696" spans="1:9" ht="14.25" customHeight="1">
      <c r="A696" s="7"/>
      <c r="B696" s="7"/>
      <c r="C696" s="7"/>
      <c r="D696" s="7"/>
      <c r="E696" s="7"/>
      <c r="F696" s="7"/>
      <c r="G696" s="7"/>
      <c r="H696" s="7"/>
      <c r="I696" s="7"/>
    </row>
    <row r="697" spans="1:9" ht="14.25" customHeight="1">
      <c r="A697" s="7"/>
      <c r="B697" s="7"/>
      <c r="C697" s="7"/>
      <c r="D697" s="7"/>
      <c r="E697" s="7"/>
      <c r="F697" s="7"/>
      <c r="G697" s="7"/>
      <c r="H697" s="7"/>
      <c r="I697" s="7"/>
    </row>
    <row r="698" spans="1:9" ht="14.25" customHeight="1">
      <c r="A698" s="7"/>
      <c r="B698" s="7"/>
      <c r="C698" s="7"/>
      <c r="D698" s="7"/>
      <c r="E698" s="7"/>
      <c r="F698" s="7"/>
      <c r="G698" s="7"/>
      <c r="H698" s="7"/>
      <c r="I698" s="7"/>
    </row>
    <row r="699" spans="1:9" ht="14.25" customHeight="1">
      <c r="A699" s="7"/>
      <c r="B699" s="7"/>
      <c r="C699" s="7"/>
      <c r="D699" s="7"/>
      <c r="E699" s="7"/>
      <c r="F699" s="7"/>
      <c r="G699" s="7"/>
      <c r="H699" s="7"/>
      <c r="I699" s="7"/>
    </row>
    <row r="700" spans="1:9" ht="14.25" customHeight="1">
      <c r="A700" s="7"/>
      <c r="B700" s="7"/>
      <c r="C700" s="7"/>
      <c r="D700" s="7"/>
      <c r="E700" s="7"/>
      <c r="F700" s="7"/>
      <c r="G700" s="7"/>
      <c r="H700" s="7"/>
      <c r="I700" s="7"/>
    </row>
    <row r="701" spans="1:9" ht="14.25" customHeight="1">
      <c r="A701" s="7"/>
      <c r="B701" s="7"/>
      <c r="C701" s="7"/>
      <c r="D701" s="7"/>
      <c r="E701" s="7"/>
      <c r="F701" s="7"/>
      <c r="G701" s="7"/>
      <c r="H701" s="7"/>
      <c r="I701" s="7"/>
    </row>
    <row r="702" spans="1:9" ht="14.25" customHeight="1">
      <c r="A702" s="7"/>
      <c r="B702" s="7"/>
      <c r="C702" s="7"/>
      <c r="D702" s="7"/>
      <c r="E702" s="7"/>
      <c r="F702" s="7"/>
      <c r="G702" s="7"/>
      <c r="H702" s="7"/>
      <c r="I702" s="7"/>
    </row>
    <row r="703" spans="1:9" ht="14.25" customHeight="1">
      <c r="A703" s="7"/>
      <c r="B703" s="7"/>
      <c r="C703" s="7"/>
      <c r="D703" s="7"/>
      <c r="E703" s="7"/>
      <c r="F703" s="7"/>
      <c r="G703" s="7"/>
      <c r="H703" s="7"/>
      <c r="I703" s="7"/>
    </row>
    <row r="704" spans="1:9" ht="14.25" customHeight="1">
      <c r="A704" s="7"/>
      <c r="B704" s="7"/>
      <c r="C704" s="7"/>
      <c r="D704" s="7"/>
      <c r="E704" s="7"/>
      <c r="F704" s="7"/>
      <c r="G704" s="7"/>
      <c r="H704" s="7"/>
      <c r="I704" s="7"/>
    </row>
    <row r="705" spans="1:9" ht="14.25" customHeight="1">
      <c r="A705" s="7"/>
      <c r="B705" s="7"/>
      <c r="C705" s="7"/>
      <c r="D705" s="7"/>
      <c r="E705" s="7"/>
      <c r="F705" s="7"/>
      <c r="G705" s="7"/>
      <c r="H705" s="7"/>
      <c r="I705" s="7"/>
    </row>
    <row r="706" spans="1:9" ht="14.25" customHeight="1">
      <c r="A706" s="7"/>
      <c r="B706" s="7"/>
      <c r="C706" s="7"/>
      <c r="D706" s="7"/>
      <c r="E706" s="7"/>
      <c r="F706" s="7"/>
      <c r="G706" s="7"/>
      <c r="H706" s="7"/>
      <c r="I706" s="7"/>
    </row>
    <row r="707" spans="1:9" ht="14.25" customHeight="1">
      <c r="A707" s="7"/>
      <c r="B707" s="7"/>
      <c r="C707" s="7"/>
      <c r="D707" s="7"/>
      <c r="E707" s="7"/>
      <c r="F707" s="7"/>
      <c r="G707" s="7"/>
      <c r="H707" s="7"/>
      <c r="I707" s="7"/>
    </row>
    <row r="708" spans="1:9" ht="14.25" customHeight="1">
      <c r="A708" s="7"/>
      <c r="B708" s="7"/>
      <c r="C708" s="7"/>
      <c r="D708" s="7"/>
      <c r="E708" s="7"/>
      <c r="F708" s="7"/>
      <c r="G708" s="7"/>
      <c r="H708" s="7"/>
      <c r="I708" s="7"/>
    </row>
    <row r="709" spans="1:9" ht="14.25" customHeight="1">
      <c r="A709" s="7"/>
      <c r="B709" s="7"/>
      <c r="C709" s="7"/>
      <c r="D709" s="7"/>
      <c r="E709" s="7"/>
      <c r="F709" s="7"/>
      <c r="G709" s="7"/>
      <c r="H709" s="7"/>
      <c r="I709" s="7"/>
    </row>
    <row r="710" spans="1:9" ht="14.25" customHeight="1">
      <c r="A710" s="7"/>
      <c r="B710" s="7"/>
      <c r="C710" s="7"/>
      <c r="D710" s="7"/>
      <c r="E710" s="7"/>
      <c r="F710" s="7"/>
      <c r="G710" s="7"/>
      <c r="H710" s="7"/>
      <c r="I710" s="7"/>
    </row>
    <row r="711" spans="1:9" ht="14.25" customHeight="1">
      <c r="A711" s="7"/>
      <c r="B711" s="7"/>
      <c r="C711" s="7"/>
      <c r="D711" s="7"/>
      <c r="E711" s="7"/>
      <c r="F711" s="7"/>
      <c r="G711" s="7"/>
      <c r="H711" s="7"/>
      <c r="I711" s="7"/>
    </row>
    <row r="712" spans="1:9" ht="14.25" customHeight="1">
      <c r="A712" s="7"/>
      <c r="B712" s="7"/>
      <c r="C712" s="7"/>
      <c r="D712" s="7"/>
      <c r="E712" s="7"/>
      <c r="F712" s="7"/>
      <c r="G712" s="7"/>
      <c r="H712" s="7"/>
      <c r="I712" s="7"/>
    </row>
    <row r="713" spans="1:9" ht="14.25" customHeight="1">
      <c r="A713" s="7"/>
      <c r="B713" s="7"/>
      <c r="C713" s="7"/>
      <c r="D713" s="7"/>
      <c r="E713" s="7"/>
      <c r="F713" s="7"/>
      <c r="G713" s="7"/>
      <c r="H713" s="7"/>
      <c r="I713" s="7"/>
    </row>
    <row r="714" spans="1:9" ht="14.25" customHeight="1">
      <c r="A714" s="7"/>
      <c r="B714" s="7"/>
      <c r="C714" s="7"/>
      <c r="D714" s="7"/>
      <c r="E714" s="7"/>
      <c r="F714" s="7"/>
      <c r="G714" s="7"/>
      <c r="H714" s="7"/>
      <c r="I714" s="7"/>
    </row>
    <row r="715" spans="1:9" ht="14.25" customHeight="1">
      <c r="A715" s="7"/>
      <c r="B715" s="7"/>
      <c r="C715" s="7"/>
      <c r="D715" s="7"/>
      <c r="E715" s="7"/>
      <c r="F715" s="7"/>
      <c r="G715" s="7"/>
      <c r="H715" s="7"/>
      <c r="I715" s="7"/>
    </row>
    <row r="716" spans="1:9" ht="14.25" customHeight="1">
      <c r="A716" s="7"/>
      <c r="B716" s="7"/>
      <c r="C716" s="7"/>
      <c r="D716" s="7"/>
      <c r="E716" s="7"/>
      <c r="F716" s="7"/>
      <c r="G716" s="7"/>
      <c r="H716" s="7"/>
      <c r="I716" s="7"/>
    </row>
    <row r="717" spans="1:9" ht="14.25" customHeight="1">
      <c r="A717" s="7"/>
      <c r="B717" s="7"/>
      <c r="C717" s="7"/>
      <c r="D717" s="7"/>
      <c r="E717" s="7"/>
      <c r="F717" s="7"/>
      <c r="G717" s="7"/>
      <c r="H717" s="7"/>
      <c r="I717" s="7"/>
    </row>
    <row r="718" spans="1:9" ht="14.25" customHeight="1">
      <c r="A718" s="7"/>
      <c r="B718" s="7"/>
      <c r="C718" s="7"/>
      <c r="D718" s="7"/>
      <c r="E718" s="7"/>
      <c r="F718" s="7"/>
      <c r="G718" s="7"/>
      <c r="H718" s="7"/>
      <c r="I718" s="7"/>
    </row>
    <row r="719" spans="1:9" ht="14.25" customHeight="1">
      <c r="A719" s="7"/>
      <c r="B719" s="7"/>
      <c r="C719" s="7"/>
      <c r="D719" s="7"/>
      <c r="E719" s="7"/>
      <c r="F719" s="7"/>
      <c r="G719" s="7"/>
      <c r="H719" s="7"/>
      <c r="I719" s="7"/>
    </row>
    <row r="720" spans="1:9" ht="14.25" customHeight="1">
      <c r="A720" s="7"/>
      <c r="B720" s="7"/>
      <c r="C720" s="7"/>
      <c r="D720" s="7"/>
      <c r="E720" s="7"/>
      <c r="F720" s="7"/>
      <c r="G720" s="7"/>
      <c r="H720" s="7"/>
      <c r="I720" s="7"/>
    </row>
    <row r="721" spans="1:9" ht="14.25" customHeight="1">
      <c r="A721" s="7"/>
      <c r="B721" s="7"/>
      <c r="C721" s="7"/>
      <c r="D721" s="7"/>
      <c r="E721" s="7"/>
      <c r="F721" s="7"/>
      <c r="G721" s="7"/>
      <c r="H721" s="7"/>
      <c r="I721" s="7"/>
    </row>
    <row r="722" spans="1:9" ht="14.25" customHeight="1">
      <c r="A722" s="7"/>
      <c r="B722" s="7"/>
      <c r="C722" s="7"/>
      <c r="D722" s="7"/>
      <c r="E722" s="7"/>
      <c r="F722" s="7"/>
      <c r="G722" s="7"/>
      <c r="H722" s="7"/>
      <c r="I722" s="7"/>
    </row>
    <row r="723" spans="1:9" ht="15.75" customHeight="1"/>
    <row r="724" spans="1:9" ht="15.75" customHeight="1"/>
    <row r="725" spans="1:9" ht="15.75" customHeight="1"/>
    <row r="726" spans="1:9" ht="15.75" customHeight="1"/>
    <row r="727" spans="1:9" ht="15.75" customHeight="1"/>
    <row r="728" spans="1:9" ht="15.75" customHeight="1"/>
    <row r="729" spans="1:9" ht="15.75" customHeight="1"/>
    <row r="730" spans="1:9" ht="15.75" customHeight="1"/>
    <row r="731" spans="1:9" ht="15.75" customHeight="1"/>
    <row r="732" spans="1:9" ht="15.75" customHeight="1"/>
    <row r="733" spans="1:9" ht="15.75" customHeight="1"/>
    <row r="734" spans="1:9" ht="15.75" customHeight="1"/>
    <row r="735" spans="1:9" ht="15.75" customHeight="1"/>
    <row r="736" spans="1:9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E11">
    <cfRule type="containsText" dxfId="26" priority="1" operator="containsText" text="vĩnh long">
      <formula>NOT(ISERROR(SEARCH(("vĩnh long"),(E11))))</formula>
    </cfRule>
  </conditionalFormatting>
  <conditionalFormatting sqref="F11">
    <cfRule type="containsText" dxfId="25" priority="2" operator="containsText" text="&quot;quảng ngãi&quot;">
      <formula>NOT(ISERROR(SEARCH(("""quảng ngãi"""),(F11))))</formula>
    </cfRule>
  </conditionalFormatting>
  <conditionalFormatting sqref="U17:U447">
    <cfRule type="cellIs" dxfId="24" priority="3" operator="lessThan">
      <formula>0</formula>
    </cfRule>
  </conditionalFormatting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27" ht="24.75" hidden="1" customHeight="1">
      <c r="A1" s="397" t="s">
        <v>0</v>
      </c>
      <c r="B1" s="398"/>
      <c r="C1" s="398"/>
      <c r="D1" s="399"/>
      <c r="E1" s="562"/>
      <c r="F1" s="7"/>
      <c r="G1" s="7"/>
      <c r="H1" s="7"/>
      <c r="I1" s="7"/>
    </row>
    <row r="2" spans="1:27" ht="33" hidden="1" customHeight="1">
      <c r="A2" s="792" t="s">
        <v>1</v>
      </c>
      <c r="B2" s="793"/>
      <c r="C2" s="791"/>
      <c r="D2" s="399"/>
      <c r="E2" s="562"/>
      <c r="F2" s="7"/>
      <c r="G2" s="7"/>
      <c r="H2" s="7"/>
      <c r="I2" s="7"/>
    </row>
    <row r="3" spans="1:27" ht="23.25" hidden="1" customHeight="1">
      <c r="A3" s="794" t="s">
        <v>2</v>
      </c>
      <c r="B3" s="793"/>
      <c r="C3" s="791"/>
      <c r="D3" s="399"/>
      <c r="E3" s="562"/>
      <c r="F3" s="7"/>
      <c r="G3" s="7"/>
      <c r="H3" s="7"/>
      <c r="I3" s="7"/>
    </row>
    <row r="4" spans="1:27" ht="39.75" customHeight="1">
      <c r="A4" s="803" t="s">
        <v>1537</v>
      </c>
      <c r="B4" s="793"/>
      <c r="C4" s="793"/>
      <c r="D4" s="793"/>
      <c r="E4" s="791"/>
      <c r="F4" s="7"/>
      <c r="G4" s="7"/>
      <c r="H4" s="7"/>
      <c r="I4" s="7"/>
    </row>
    <row r="5" spans="1:27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  <c r="G5" s="7"/>
      <c r="H5" s="7"/>
      <c r="I5" s="7"/>
    </row>
    <row r="6" spans="1:27" ht="21" hidden="1" customHeight="1">
      <c r="A6" s="804" t="s">
        <v>1338</v>
      </c>
      <c r="B6" s="793"/>
      <c r="C6" s="793"/>
      <c r="D6" s="793"/>
      <c r="E6" s="791"/>
      <c r="F6" s="7"/>
      <c r="G6" s="7"/>
      <c r="H6" s="7"/>
      <c r="I6" s="7"/>
    </row>
    <row r="7" spans="1:27" ht="18.75" hidden="1" customHeight="1">
      <c r="A7" s="244"/>
      <c r="B7" s="401"/>
      <c r="C7" s="564" t="s">
        <v>1339</v>
      </c>
      <c r="D7" s="403"/>
      <c r="E7" s="565"/>
      <c r="F7" s="7"/>
      <c r="G7" s="7"/>
      <c r="H7" s="7"/>
      <c r="I7" s="7"/>
    </row>
    <row r="8" spans="1:27" ht="14.25" hidden="1" customHeight="1">
      <c r="A8" s="244"/>
      <c r="B8" s="404"/>
      <c r="C8" s="564" t="s">
        <v>1340</v>
      </c>
      <c r="D8" s="405"/>
      <c r="E8" s="566"/>
      <c r="F8" s="7"/>
      <c r="G8" s="7"/>
      <c r="H8" s="7"/>
      <c r="I8" s="7"/>
    </row>
    <row r="9" spans="1:27" ht="14.25" hidden="1" customHeight="1">
      <c r="A9" s="244"/>
      <c r="B9" s="404"/>
      <c r="C9" s="798" t="s">
        <v>1341</v>
      </c>
      <c r="D9" s="791"/>
      <c r="E9" s="567"/>
      <c r="F9" s="7"/>
      <c r="G9" s="7"/>
      <c r="H9" s="7"/>
      <c r="I9" s="7"/>
    </row>
    <row r="10" spans="1:27" ht="25.5" customHeight="1">
      <c r="A10" s="568"/>
      <c r="B10" s="569"/>
      <c r="C10" s="570"/>
      <c r="D10" s="571"/>
      <c r="E10" s="572"/>
      <c r="F10" s="7"/>
      <c r="G10" s="7"/>
      <c r="H10" s="7"/>
      <c r="I10" s="7"/>
    </row>
    <row r="11" spans="1:27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414" t="s">
        <v>12</v>
      </c>
      <c r="F11" s="22" t="s">
        <v>12</v>
      </c>
      <c r="G11" s="574" t="s">
        <v>12</v>
      </c>
      <c r="H11" s="805" t="s">
        <v>12</v>
      </c>
      <c r="I11" s="771"/>
      <c r="J11" s="22" t="s">
        <v>12</v>
      </c>
      <c r="K11" s="289" t="s">
        <v>12</v>
      </c>
      <c r="L11" s="414"/>
      <c r="M11" s="201"/>
      <c r="N11" s="576" t="s">
        <v>38</v>
      </c>
      <c r="O11" s="577"/>
      <c r="P11" s="535"/>
      <c r="Q11" s="535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29.25" customHeight="1">
      <c r="A12" s="578"/>
      <c r="B12" s="430"/>
      <c r="C12" s="579" t="s">
        <v>39</v>
      </c>
      <c r="D12" s="186"/>
      <c r="E12" s="293">
        <v>1</v>
      </c>
      <c r="F12" s="29">
        <v>1</v>
      </c>
      <c r="G12" s="185">
        <v>1</v>
      </c>
      <c r="H12" s="806">
        <v>1</v>
      </c>
      <c r="I12" s="771"/>
      <c r="J12" s="29">
        <v>1</v>
      </c>
      <c r="K12" s="190">
        <v>1</v>
      </c>
      <c r="L12" s="293"/>
      <c r="M12" s="352"/>
      <c r="N12" s="581">
        <f>SUM(E12:M12)</f>
        <v>6</v>
      </c>
      <c r="O12" s="582"/>
      <c r="P12" s="582"/>
      <c r="Q12" s="582"/>
      <c r="R12" s="7"/>
      <c r="S12" s="7"/>
      <c r="T12" s="7"/>
      <c r="U12" s="7">
        <v>6</v>
      </c>
      <c r="V12" s="7"/>
      <c r="W12" s="7"/>
      <c r="X12" s="7"/>
      <c r="Y12" s="7"/>
      <c r="Z12" s="7"/>
      <c r="AA12" s="7"/>
    </row>
    <row r="13" spans="1:27" ht="37.5" customHeight="1">
      <c r="A13" s="583"/>
      <c r="B13" s="584"/>
      <c r="C13" s="585" t="s">
        <v>40</v>
      </c>
      <c r="D13" s="584"/>
      <c r="E13" s="189" t="s">
        <v>2088</v>
      </c>
      <c r="F13" s="189" t="s">
        <v>2089</v>
      </c>
      <c r="G13" s="191" t="s">
        <v>1542</v>
      </c>
      <c r="H13" s="32" t="s">
        <v>2090</v>
      </c>
      <c r="I13" s="32" t="s">
        <v>2091</v>
      </c>
      <c r="J13" s="189" t="s">
        <v>2092</v>
      </c>
      <c r="K13" s="189">
        <v>44871</v>
      </c>
      <c r="L13" s="189"/>
      <c r="M13" s="32"/>
      <c r="N13" s="581"/>
      <c r="O13" s="591"/>
      <c r="P13" s="582"/>
      <c r="Q13" s="591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53.25" customHeight="1">
      <c r="A14" s="578"/>
      <c r="B14" s="430"/>
      <c r="C14" s="579" t="s">
        <v>41</v>
      </c>
      <c r="D14" s="430"/>
      <c r="E14" s="185"/>
      <c r="F14" s="30"/>
      <c r="G14" s="592"/>
      <c r="H14" s="185"/>
      <c r="I14" s="185" t="s">
        <v>2093</v>
      </c>
      <c r="J14" s="30"/>
      <c r="K14" s="190"/>
      <c r="L14" s="185"/>
      <c r="M14" s="593"/>
      <c r="N14" s="581"/>
      <c r="O14" s="582"/>
      <c r="P14" s="582"/>
      <c r="Q14" s="582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51" customHeight="1">
      <c r="A15" s="578"/>
      <c r="B15" s="430"/>
      <c r="C15" s="579" t="s">
        <v>42</v>
      </c>
      <c r="D15" s="430"/>
      <c r="E15" s="191" t="s">
        <v>2094</v>
      </c>
      <c r="F15" s="30" t="s">
        <v>1886</v>
      </c>
      <c r="G15" s="185" t="s">
        <v>1556</v>
      </c>
      <c r="H15" s="185" t="s">
        <v>1394</v>
      </c>
      <c r="I15" s="185" t="s">
        <v>1712</v>
      </c>
      <c r="J15" s="30" t="s">
        <v>1394</v>
      </c>
      <c r="K15" s="190" t="s">
        <v>1888</v>
      </c>
      <c r="L15" s="191"/>
      <c r="M15" s="353"/>
      <c r="N15" s="576"/>
      <c r="O15" s="582"/>
      <c r="P15" s="582"/>
      <c r="Q15" s="582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30.75" customHeight="1">
      <c r="A16" s="579"/>
      <c r="B16" s="186"/>
      <c r="C16" s="579" t="s">
        <v>43</v>
      </c>
      <c r="D16" s="186"/>
      <c r="E16" s="193" t="s">
        <v>2095</v>
      </c>
      <c r="F16" s="34"/>
      <c r="G16" s="185" t="s">
        <v>1646</v>
      </c>
      <c r="H16" s="354" t="s">
        <v>2096</v>
      </c>
      <c r="I16" s="354" t="s">
        <v>2097</v>
      </c>
      <c r="J16" s="34" t="s">
        <v>2098</v>
      </c>
      <c r="K16" s="190" t="s">
        <v>2099</v>
      </c>
      <c r="L16" s="193"/>
      <c r="M16" s="597"/>
      <c r="N16" s="598"/>
      <c r="O16" s="599"/>
      <c r="P16" s="599"/>
      <c r="Q16" s="599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33.75" customHeight="1">
      <c r="A17" s="583"/>
      <c r="B17" s="584"/>
      <c r="C17" s="585" t="s">
        <v>70</v>
      </c>
      <c r="D17" s="584"/>
      <c r="E17" s="189" t="s">
        <v>2100</v>
      </c>
      <c r="F17" s="32" t="s">
        <v>2101</v>
      </c>
      <c r="G17" s="185" t="s">
        <v>1660</v>
      </c>
      <c r="H17" s="601" t="s">
        <v>2102</v>
      </c>
      <c r="I17" s="601" t="s">
        <v>2008</v>
      </c>
      <c r="J17" s="32" t="s">
        <v>1717</v>
      </c>
      <c r="K17" s="189">
        <v>44871</v>
      </c>
      <c r="L17" s="32"/>
      <c r="M17" s="32"/>
      <c r="N17" s="581"/>
      <c r="O17" s="591"/>
      <c r="P17" s="591"/>
      <c r="Q17" s="591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197"/>
      <c r="H18" s="196"/>
      <c r="I18" s="196"/>
      <c r="J18" s="43"/>
      <c r="K18" s="198"/>
      <c r="L18" s="43"/>
      <c r="M18" s="606"/>
      <c r="N18" s="607"/>
      <c r="O18" s="608"/>
      <c r="P18" s="609"/>
      <c r="Q18" s="609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611"/>
      <c r="H19" s="202"/>
      <c r="I19" s="202"/>
      <c r="J19" s="201"/>
      <c r="K19" s="204"/>
      <c r="L19" s="201"/>
      <c r="M19" s="615"/>
      <c r="N19" s="616"/>
      <c r="O19" s="617"/>
      <c r="P19" s="577"/>
      <c r="Q19" s="577"/>
      <c r="R19" s="7"/>
      <c r="S19" s="363"/>
      <c r="T19" s="7"/>
      <c r="U19" s="618">
        <f t="shared" ref="U19:U36" si="0">S19-N19</f>
        <v>0</v>
      </c>
      <c r="V19" s="7"/>
      <c r="W19" s="7"/>
      <c r="X19" s="7"/>
      <c r="Y19" s="7"/>
      <c r="Z19" s="7"/>
      <c r="AA19" s="7"/>
    </row>
    <row r="20" spans="1:27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620"/>
      <c r="H20" s="210"/>
      <c r="I20" s="210"/>
      <c r="J20" s="209"/>
      <c r="K20" s="364"/>
      <c r="L20" s="209"/>
      <c r="M20" s="624"/>
      <c r="N20" s="625">
        <f t="shared" ref="N20:N274" si="1">+SUM(E20:M20)</f>
        <v>0</v>
      </c>
      <c r="O20" s="626"/>
      <c r="P20" s="627"/>
      <c r="Q20" s="627"/>
      <c r="R20" s="7"/>
      <c r="S20" s="725"/>
      <c r="T20" s="7"/>
      <c r="U20" s="618">
        <f t="shared" si="0"/>
        <v>0</v>
      </c>
      <c r="V20" s="7"/>
      <c r="W20" s="7"/>
      <c r="X20" s="7"/>
      <c r="Y20" s="7"/>
      <c r="Z20" s="7"/>
      <c r="AA20" s="7"/>
    </row>
    <row r="21" spans="1:27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620"/>
      <c r="H21" s="214"/>
      <c r="I21" s="214"/>
      <c r="J21" s="213"/>
      <c r="K21" s="292"/>
      <c r="L21" s="213"/>
      <c r="M21" s="615"/>
      <c r="N21" s="616">
        <f t="shared" si="1"/>
        <v>0</v>
      </c>
      <c r="O21" s="633"/>
      <c r="P21" s="634"/>
      <c r="Q21" s="634"/>
      <c r="R21" s="7"/>
      <c r="S21" s="725"/>
      <c r="T21" s="7"/>
      <c r="U21" s="618">
        <f t="shared" si="0"/>
        <v>0</v>
      </c>
      <c r="V21" s="7"/>
      <c r="W21" s="7"/>
      <c r="X21" s="7"/>
      <c r="Y21" s="7"/>
      <c r="Z21" s="7"/>
      <c r="AA21" s="7"/>
    </row>
    <row r="22" spans="1:27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620"/>
      <c r="H22" s="214"/>
      <c r="I22" s="214"/>
      <c r="J22" s="213"/>
      <c r="K22" s="292"/>
      <c r="L22" s="213"/>
      <c r="M22" s="615"/>
      <c r="N22" s="616">
        <f t="shared" si="1"/>
        <v>0</v>
      </c>
      <c r="O22" s="633"/>
      <c r="P22" s="634"/>
      <c r="Q22" s="634"/>
      <c r="R22" s="7"/>
      <c r="S22" s="725"/>
      <c r="T22" s="7"/>
      <c r="U22" s="618">
        <f t="shared" si="0"/>
        <v>0</v>
      </c>
      <c r="V22" s="7"/>
      <c r="W22" s="7"/>
      <c r="X22" s="7"/>
      <c r="Y22" s="7"/>
      <c r="Z22" s="7"/>
      <c r="AA22" s="7"/>
    </row>
    <row r="23" spans="1:27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620"/>
      <c r="H23" s="214"/>
      <c r="I23" s="214"/>
      <c r="J23" s="213"/>
      <c r="K23" s="292"/>
      <c r="L23" s="213"/>
      <c r="M23" s="615"/>
      <c r="N23" s="616">
        <f t="shared" si="1"/>
        <v>0</v>
      </c>
      <c r="O23" s="633"/>
      <c r="P23" s="634"/>
      <c r="Q23" s="634"/>
      <c r="R23" s="7"/>
      <c r="S23" s="725"/>
      <c r="T23" s="7"/>
      <c r="U23" s="618">
        <f t="shared" si="0"/>
        <v>0</v>
      </c>
      <c r="V23" s="7"/>
      <c r="W23" s="7"/>
      <c r="X23" s="7"/>
      <c r="Y23" s="7"/>
      <c r="Z23" s="7"/>
      <c r="AA23" s="7"/>
    </row>
    <row r="24" spans="1:27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620"/>
      <c r="H24" s="214"/>
      <c r="I24" s="214"/>
      <c r="J24" s="213"/>
      <c r="K24" s="292"/>
      <c r="L24" s="213"/>
      <c r="M24" s="615"/>
      <c r="N24" s="616">
        <f t="shared" si="1"/>
        <v>0</v>
      </c>
      <c r="O24" s="633"/>
      <c r="P24" s="634"/>
      <c r="Q24" s="634"/>
      <c r="R24" s="7"/>
      <c r="S24" s="725"/>
      <c r="T24" s="7"/>
      <c r="U24" s="618">
        <f t="shared" si="0"/>
        <v>0</v>
      </c>
      <c r="V24" s="7"/>
      <c r="W24" s="7"/>
      <c r="X24" s="7"/>
      <c r="Y24" s="7"/>
      <c r="Z24" s="7"/>
      <c r="AA24" s="7"/>
    </row>
    <row r="25" spans="1:27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620"/>
      <c r="H25" s="210"/>
      <c r="I25" s="210"/>
      <c r="J25" s="209"/>
      <c r="K25" s="364"/>
      <c r="L25" s="209"/>
      <c r="M25" s="624"/>
      <c r="N25" s="625">
        <f t="shared" si="1"/>
        <v>0</v>
      </c>
      <c r="O25" s="626"/>
      <c r="P25" s="627"/>
      <c r="Q25" s="627"/>
      <c r="R25" s="7"/>
      <c r="S25" s="725"/>
      <c r="T25" s="7"/>
      <c r="U25" s="618">
        <f t="shared" si="0"/>
        <v>0</v>
      </c>
      <c r="V25" s="7"/>
      <c r="W25" s="7"/>
      <c r="X25" s="7"/>
      <c r="Y25" s="7"/>
      <c r="Z25" s="7"/>
      <c r="AA25" s="7"/>
    </row>
    <row r="26" spans="1:27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620"/>
      <c r="H26" s="214"/>
      <c r="I26" s="214"/>
      <c r="J26" s="213"/>
      <c r="K26" s="292"/>
      <c r="L26" s="213"/>
      <c r="M26" s="615"/>
      <c r="N26" s="616">
        <f t="shared" si="1"/>
        <v>0</v>
      </c>
      <c r="O26" s="633"/>
      <c r="P26" s="634"/>
      <c r="Q26" s="634"/>
      <c r="R26" s="7"/>
      <c r="S26" s="725"/>
      <c r="T26" s="7"/>
      <c r="U26" s="618">
        <f t="shared" si="0"/>
        <v>0</v>
      </c>
      <c r="V26" s="7"/>
      <c r="W26" s="7"/>
      <c r="X26" s="7"/>
      <c r="Y26" s="7"/>
      <c r="Z26" s="7"/>
      <c r="AA26" s="7"/>
    </row>
    <row r="27" spans="1:27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620"/>
      <c r="H27" s="214"/>
      <c r="I27" s="214"/>
      <c r="J27" s="213"/>
      <c r="K27" s="292"/>
      <c r="L27" s="213"/>
      <c r="M27" s="615"/>
      <c r="N27" s="616">
        <f t="shared" si="1"/>
        <v>0</v>
      </c>
      <c r="O27" s="633"/>
      <c r="P27" s="634"/>
      <c r="Q27" s="634"/>
      <c r="R27" s="7"/>
      <c r="S27" s="725"/>
      <c r="T27" s="7"/>
      <c r="U27" s="618">
        <f t="shared" si="0"/>
        <v>0</v>
      </c>
      <c r="V27" s="7"/>
      <c r="W27" s="7"/>
      <c r="X27" s="7"/>
      <c r="Y27" s="7"/>
      <c r="Z27" s="7"/>
      <c r="AA27" s="7"/>
    </row>
    <row r="28" spans="1:27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620"/>
      <c r="H28" s="214"/>
      <c r="I28" s="214"/>
      <c r="J28" s="213"/>
      <c r="K28" s="292"/>
      <c r="L28" s="213"/>
      <c r="M28" s="615"/>
      <c r="N28" s="616">
        <f t="shared" si="1"/>
        <v>0</v>
      </c>
      <c r="O28" s="633"/>
      <c r="P28" s="634"/>
      <c r="Q28" s="634"/>
      <c r="R28" s="7"/>
      <c r="S28" s="725"/>
      <c r="T28" s="7"/>
      <c r="U28" s="618">
        <f t="shared" si="0"/>
        <v>0</v>
      </c>
      <c r="V28" s="7"/>
      <c r="W28" s="7"/>
      <c r="X28" s="7"/>
      <c r="Y28" s="7"/>
      <c r="Z28" s="7"/>
      <c r="AA28" s="7"/>
    </row>
    <row r="29" spans="1:27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620"/>
      <c r="H29" s="214"/>
      <c r="I29" s="214"/>
      <c r="J29" s="213"/>
      <c r="K29" s="292"/>
      <c r="L29" s="213"/>
      <c r="M29" s="615"/>
      <c r="N29" s="616">
        <f t="shared" si="1"/>
        <v>0</v>
      </c>
      <c r="O29" s="633"/>
      <c r="P29" s="634"/>
      <c r="Q29" s="634"/>
      <c r="R29" s="7"/>
      <c r="S29" s="725"/>
      <c r="T29" s="7"/>
      <c r="U29" s="618">
        <f t="shared" si="0"/>
        <v>0</v>
      </c>
      <c r="V29" s="7"/>
      <c r="W29" s="7"/>
      <c r="X29" s="7"/>
      <c r="Y29" s="7"/>
      <c r="Z29" s="7"/>
      <c r="AA29" s="7"/>
    </row>
    <row r="30" spans="1:27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620"/>
      <c r="H30" s="210"/>
      <c r="I30" s="210"/>
      <c r="J30" s="209"/>
      <c r="K30" s="364"/>
      <c r="L30" s="209"/>
      <c r="M30" s="624"/>
      <c r="N30" s="625">
        <f t="shared" si="1"/>
        <v>0</v>
      </c>
      <c r="O30" s="626"/>
      <c r="P30" s="627"/>
      <c r="Q30" s="627"/>
      <c r="R30" s="7"/>
      <c r="S30" s="725">
        <v>2</v>
      </c>
      <c r="T30" s="7"/>
      <c r="U30" s="618">
        <f t="shared" si="0"/>
        <v>2</v>
      </c>
      <c r="V30" s="7"/>
      <c r="W30" s="7"/>
      <c r="X30" s="7"/>
      <c r="Y30" s="7"/>
      <c r="Z30" s="7"/>
      <c r="AA30" s="7"/>
    </row>
    <row r="31" spans="1:27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620"/>
      <c r="H31" s="214"/>
      <c r="I31" s="214"/>
      <c r="J31" s="213"/>
      <c r="K31" s="292"/>
      <c r="L31" s="213"/>
      <c r="M31" s="615"/>
      <c r="N31" s="616">
        <f t="shared" si="1"/>
        <v>0</v>
      </c>
      <c r="O31" s="633"/>
      <c r="P31" s="634"/>
      <c r="Q31" s="634"/>
      <c r="R31" s="7"/>
      <c r="S31" s="725"/>
      <c r="T31" s="7"/>
      <c r="U31" s="618">
        <f t="shared" si="0"/>
        <v>0</v>
      </c>
      <c r="V31" s="7"/>
      <c r="W31" s="7"/>
      <c r="X31" s="7"/>
      <c r="Y31" s="7"/>
      <c r="Z31" s="7"/>
      <c r="AA31" s="7"/>
    </row>
    <row r="32" spans="1:27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620"/>
      <c r="H32" s="214"/>
      <c r="I32" s="214"/>
      <c r="J32" s="213"/>
      <c r="K32" s="292"/>
      <c r="L32" s="213"/>
      <c r="M32" s="615"/>
      <c r="N32" s="616">
        <f t="shared" si="1"/>
        <v>0</v>
      </c>
      <c r="O32" s="633"/>
      <c r="P32" s="634"/>
      <c r="Q32" s="634"/>
      <c r="R32" s="7"/>
      <c r="S32" s="725"/>
      <c r="T32" s="7"/>
      <c r="U32" s="618">
        <f t="shared" si="0"/>
        <v>0</v>
      </c>
      <c r="V32" s="7"/>
      <c r="W32" s="7"/>
      <c r="X32" s="7"/>
      <c r="Y32" s="7"/>
      <c r="Z32" s="7"/>
      <c r="AA32" s="7"/>
    </row>
    <row r="33" spans="1:27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620"/>
      <c r="H33" s="214"/>
      <c r="I33" s="214"/>
      <c r="J33" s="213"/>
      <c r="K33" s="292"/>
      <c r="L33" s="213"/>
      <c r="M33" s="615"/>
      <c r="N33" s="616">
        <f t="shared" si="1"/>
        <v>0</v>
      </c>
      <c r="O33" s="633"/>
      <c r="P33" s="634"/>
      <c r="Q33" s="634"/>
      <c r="R33" s="7"/>
      <c r="S33" s="725"/>
      <c r="T33" s="7"/>
      <c r="U33" s="618">
        <f t="shared" si="0"/>
        <v>0</v>
      </c>
      <c r="V33" s="7"/>
      <c r="W33" s="7"/>
      <c r="X33" s="7"/>
      <c r="Y33" s="7"/>
      <c r="Z33" s="7"/>
      <c r="AA33" s="7"/>
    </row>
    <row r="34" spans="1:27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620"/>
      <c r="H34" s="214"/>
      <c r="I34" s="214"/>
      <c r="J34" s="213"/>
      <c r="K34" s="292"/>
      <c r="L34" s="213"/>
      <c r="M34" s="615"/>
      <c r="N34" s="616">
        <f t="shared" si="1"/>
        <v>0</v>
      </c>
      <c r="O34" s="633"/>
      <c r="P34" s="634"/>
      <c r="Q34" s="634"/>
      <c r="R34" s="7"/>
      <c r="S34" s="725"/>
      <c r="T34" s="7"/>
      <c r="U34" s="618">
        <f t="shared" si="0"/>
        <v>0</v>
      </c>
      <c r="V34" s="7"/>
      <c r="W34" s="7"/>
      <c r="X34" s="7"/>
      <c r="Y34" s="7"/>
      <c r="Z34" s="7"/>
      <c r="AA34" s="7"/>
    </row>
    <row r="35" spans="1:27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620"/>
      <c r="H35" s="214"/>
      <c r="I35" s="214"/>
      <c r="J35" s="213"/>
      <c r="K35" s="292"/>
      <c r="L35" s="213"/>
      <c r="M35" s="615"/>
      <c r="N35" s="616">
        <f t="shared" si="1"/>
        <v>0</v>
      </c>
      <c r="O35" s="633"/>
      <c r="P35" s="636"/>
      <c r="Q35" s="636"/>
      <c r="R35" s="7"/>
      <c r="S35" s="725"/>
      <c r="T35" s="7"/>
      <c r="U35" s="618">
        <f t="shared" si="0"/>
        <v>0</v>
      </c>
      <c r="V35" s="7"/>
      <c r="W35" s="7"/>
      <c r="X35" s="7"/>
      <c r="Y35" s="7"/>
      <c r="Z35" s="7"/>
      <c r="AA35" s="7"/>
    </row>
    <row r="36" spans="1:27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620"/>
      <c r="H36" s="214"/>
      <c r="I36" s="214"/>
      <c r="J36" s="213"/>
      <c r="K36" s="292"/>
      <c r="L36" s="213"/>
      <c r="M36" s="615"/>
      <c r="N36" s="616">
        <f t="shared" si="1"/>
        <v>0</v>
      </c>
      <c r="O36" s="633"/>
      <c r="P36" s="547" t="s">
        <v>1576</v>
      </c>
      <c r="Q36" s="636"/>
      <c r="R36" s="7"/>
      <c r="S36" s="725"/>
      <c r="T36" s="7"/>
      <c r="U36" s="618">
        <f t="shared" si="0"/>
        <v>0</v>
      </c>
      <c r="V36" s="7"/>
      <c r="W36" s="7"/>
      <c r="X36" s="7"/>
      <c r="Y36" s="7"/>
      <c r="Z36" s="7"/>
      <c r="AA36" s="7"/>
    </row>
    <row r="37" spans="1:27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638"/>
      <c r="H37" s="214"/>
      <c r="I37" s="214"/>
      <c r="J37" s="677">
        <f>SUM(J38:J53)+J62</f>
        <v>61</v>
      </c>
      <c r="K37" s="292"/>
      <c r="L37" s="213"/>
      <c r="M37" s="639"/>
      <c r="N37" s="616">
        <f t="shared" si="1"/>
        <v>61</v>
      </c>
      <c r="O37" s="633"/>
      <c r="P37" s="640"/>
      <c r="Q37" s="640"/>
      <c r="R37" s="7"/>
      <c r="S37" s="728"/>
      <c r="T37" s="7"/>
      <c r="U37" s="618"/>
      <c r="V37" s="7"/>
      <c r="W37" s="7"/>
      <c r="X37" s="7"/>
      <c r="Y37" s="7"/>
      <c r="Z37" s="7"/>
      <c r="AA37" s="7"/>
    </row>
    <row r="38" spans="1:27" ht="20.25" customHeight="1">
      <c r="A38" s="492"/>
      <c r="B38" s="493" t="s">
        <v>130</v>
      </c>
      <c r="C38" s="641" t="s">
        <v>131</v>
      </c>
      <c r="D38" s="495" t="s">
        <v>132</v>
      </c>
      <c r="E38" s="209"/>
      <c r="F38" s="209">
        <v>1</v>
      </c>
      <c r="G38" s="620"/>
      <c r="H38" s="210"/>
      <c r="I38" s="210">
        <v>1</v>
      </c>
      <c r="J38" s="209">
        <v>1</v>
      </c>
      <c r="K38" s="364"/>
      <c r="L38" s="209"/>
      <c r="M38" s="624"/>
      <c r="N38" s="625">
        <f t="shared" si="1"/>
        <v>3</v>
      </c>
      <c r="O38" s="626"/>
      <c r="P38" s="627" t="s">
        <v>1577</v>
      </c>
      <c r="Q38" s="642">
        <f>N38</f>
        <v>3</v>
      </c>
      <c r="R38" s="7"/>
      <c r="S38" s="725">
        <f>15+11</f>
        <v>26</v>
      </c>
      <c r="T38" s="7"/>
      <c r="U38" s="618">
        <f t="shared" ref="U38:U47" si="2">S38-N38</f>
        <v>23</v>
      </c>
      <c r="V38" s="7"/>
      <c r="W38" s="7"/>
      <c r="X38" s="7"/>
      <c r="Y38" s="7"/>
      <c r="Z38" s="7"/>
      <c r="AA38" s="7"/>
    </row>
    <row r="39" spans="1:27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620"/>
      <c r="H39" s="214"/>
      <c r="I39" s="214"/>
      <c r="J39" s="213"/>
      <c r="K39" s="292"/>
      <c r="L39" s="213"/>
      <c r="M39" s="643"/>
      <c r="N39" s="616">
        <f t="shared" si="1"/>
        <v>0</v>
      </c>
      <c r="O39" s="633"/>
      <c r="P39" s="644" t="s">
        <v>1578</v>
      </c>
      <c r="Q39" s="645">
        <f>O43</f>
        <v>146</v>
      </c>
      <c r="R39" s="7"/>
      <c r="S39" s="725"/>
      <c r="T39" s="7"/>
      <c r="U39" s="618">
        <f t="shared" si="2"/>
        <v>0</v>
      </c>
      <c r="V39" s="7"/>
      <c r="W39" s="7"/>
      <c r="X39" s="7"/>
      <c r="Y39" s="7"/>
      <c r="Z39" s="7"/>
      <c r="AA39" s="7"/>
    </row>
    <row r="40" spans="1:27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620"/>
      <c r="H40" s="214"/>
      <c r="I40" s="214"/>
      <c r="J40" s="213"/>
      <c r="K40" s="292"/>
      <c r="L40" s="213"/>
      <c r="M40" s="643"/>
      <c r="N40" s="616">
        <f t="shared" si="1"/>
        <v>0</v>
      </c>
      <c r="O40" s="633"/>
      <c r="P40" s="636"/>
      <c r="Q40" s="636"/>
      <c r="R40" s="7"/>
      <c r="S40" s="725"/>
      <c r="T40" s="7"/>
      <c r="U40" s="618">
        <f t="shared" si="2"/>
        <v>0</v>
      </c>
      <c r="V40" s="7"/>
      <c r="W40" s="7"/>
      <c r="X40" s="7"/>
      <c r="Y40" s="7"/>
      <c r="Z40" s="7"/>
      <c r="AA40" s="7"/>
    </row>
    <row r="41" spans="1:27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620"/>
      <c r="H41" s="214"/>
      <c r="I41" s="214"/>
      <c r="J41" s="213"/>
      <c r="K41" s="292"/>
      <c r="L41" s="213"/>
      <c r="M41" s="643"/>
      <c r="N41" s="616">
        <f t="shared" si="1"/>
        <v>0</v>
      </c>
      <c r="O41" s="633"/>
      <c r="P41" s="636"/>
      <c r="Q41" s="636"/>
      <c r="R41" s="7"/>
      <c r="S41" s="725"/>
      <c r="T41" s="7"/>
      <c r="U41" s="618">
        <f t="shared" si="2"/>
        <v>0</v>
      </c>
      <c r="V41" s="7"/>
      <c r="W41" s="7"/>
      <c r="X41" s="7"/>
      <c r="Y41" s="7"/>
      <c r="Z41" s="7"/>
      <c r="AA41" s="7"/>
    </row>
    <row r="42" spans="1:27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620"/>
      <c r="H42" s="214"/>
      <c r="I42" s="214"/>
      <c r="J42" s="213"/>
      <c r="K42" s="292"/>
      <c r="L42" s="213"/>
      <c r="M42" s="643"/>
      <c r="N42" s="616">
        <f t="shared" si="1"/>
        <v>0</v>
      </c>
      <c r="O42" s="633"/>
      <c r="P42" s="636"/>
      <c r="Q42" s="636"/>
      <c r="R42" s="7"/>
      <c r="S42" s="725"/>
      <c r="T42" s="7"/>
      <c r="U42" s="618">
        <f t="shared" si="2"/>
        <v>0</v>
      </c>
      <c r="V42" s="7"/>
      <c r="W42" s="7"/>
      <c r="X42" s="7"/>
      <c r="Y42" s="7"/>
      <c r="Z42" s="7"/>
      <c r="AA42" s="7"/>
    </row>
    <row r="43" spans="1:27" ht="20.25" customHeight="1">
      <c r="A43" s="482"/>
      <c r="B43" s="496" t="s">
        <v>143</v>
      </c>
      <c r="C43" s="555" t="s">
        <v>144</v>
      </c>
      <c r="D43" s="485" t="s">
        <v>132</v>
      </c>
      <c r="E43" s="213">
        <v>1</v>
      </c>
      <c r="F43" s="213"/>
      <c r="G43" s="620"/>
      <c r="H43" s="214"/>
      <c r="I43" s="214"/>
      <c r="J43" s="213"/>
      <c r="K43" s="292"/>
      <c r="L43" s="213"/>
      <c r="M43" s="643"/>
      <c r="N43" s="616">
        <f t="shared" si="1"/>
        <v>1</v>
      </c>
      <c r="O43" s="633">
        <f>N43+N48+N53+N62</f>
        <v>146</v>
      </c>
      <c r="P43" s="634"/>
      <c r="Q43" s="634"/>
      <c r="R43" s="7"/>
      <c r="S43" s="725">
        <f>2+2</f>
        <v>4</v>
      </c>
      <c r="T43" s="7"/>
      <c r="U43" s="618">
        <f t="shared" si="2"/>
        <v>3</v>
      </c>
      <c r="V43" s="7"/>
      <c r="W43" s="7"/>
      <c r="X43" s="7"/>
      <c r="Y43" s="7"/>
      <c r="Z43" s="7"/>
      <c r="AA43" s="7"/>
    </row>
    <row r="44" spans="1:27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620"/>
      <c r="H44" s="214"/>
      <c r="I44" s="214"/>
      <c r="J44" s="213"/>
      <c r="K44" s="292"/>
      <c r="L44" s="213"/>
      <c r="M44" s="643"/>
      <c r="N44" s="616">
        <f t="shared" si="1"/>
        <v>0</v>
      </c>
      <c r="O44" s="633"/>
      <c r="P44" s="634"/>
      <c r="Q44" s="634"/>
      <c r="R44" s="7"/>
      <c r="S44" s="725"/>
      <c r="T44" s="7"/>
      <c r="U44" s="618">
        <f t="shared" si="2"/>
        <v>0</v>
      </c>
      <c r="V44" s="7"/>
      <c r="W44" s="7"/>
      <c r="X44" s="7"/>
      <c r="Y44" s="7"/>
      <c r="Z44" s="7"/>
      <c r="AA44" s="7"/>
    </row>
    <row r="45" spans="1:27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620"/>
      <c r="H45" s="214"/>
      <c r="I45" s="214"/>
      <c r="J45" s="213"/>
      <c r="K45" s="292"/>
      <c r="L45" s="213"/>
      <c r="M45" s="643"/>
      <c r="N45" s="616">
        <f t="shared" si="1"/>
        <v>0</v>
      </c>
      <c r="O45" s="633"/>
      <c r="P45" s="634"/>
      <c r="Q45" s="634"/>
      <c r="R45" s="7"/>
      <c r="S45" s="725"/>
      <c r="T45" s="7"/>
      <c r="U45" s="618">
        <f t="shared" si="2"/>
        <v>0</v>
      </c>
      <c r="V45" s="7"/>
      <c r="W45" s="7"/>
      <c r="X45" s="7"/>
      <c r="Y45" s="7"/>
      <c r="Z45" s="7"/>
      <c r="AA45" s="7"/>
    </row>
    <row r="46" spans="1:27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620"/>
      <c r="H46" s="214"/>
      <c r="I46" s="214"/>
      <c r="J46" s="213"/>
      <c r="K46" s="292"/>
      <c r="L46" s="213"/>
      <c r="M46" s="643"/>
      <c r="N46" s="616">
        <f t="shared" si="1"/>
        <v>0</v>
      </c>
      <c r="O46" s="633"/>
      <c r="P46" s="634"/>
      <c r="Q46" s="634"/>
      <c r="R46" s="7"/>
      <c r="S46" s="725"/>
      <c r="T46" s="7"/>
      <c r="U46" s="618">
        <f t="shared" si="2"/>
        <v>0</v>
      </c>
      <c r="V46" s="7"/>
      <c r="W46" s="7"/>
      <c r="X46" s="7"/>
      <c r="Y46" s="7"/>
      <c r="Z46" s="7"/>
      <c r="AA46" s="7"/>
    </row>
    <row r="47" spans="1:27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620"/>
      <c r="H47" s="214"/>
      <c r="I47" s="214"/>
      <c r="J47" s="213"/>
      <c r="K47" s="292"/>
      <c r="L47" s="213"/>
      <c r="M47" s="643"/>
      <c r="N47" s="616">
        <f t="shared" si="1"/>
        <v>0</v>
      </c>
      <c r="O47" s="633"/>
      <c r="P47" s="634"/>
      <c r="Q47" s="634"/>
      <c r="R47" s="7"/>
      <c r="S47" s="725"/>
      <c r="T47" s="7"/>
      <c r="U47" s="618">
        <f t="shared" si="2"/>
        <v>0</v>
      </c>
      <c r="V47" s="7"/>
      <c r="W47" s="7"/>
      <c r="X47" s="7"/>
      <c r="Y47" s="7"/>
      <c r="Z47" s="7"/>
      <c r="AA47" s="7"/>
    </row>
    <row r="48" spans="1:27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49</v>
      </c>
      <c r="F48" s="213">
        <v>3</v>
      </c>
      <c r="G48" s="620"/>
      <c r="H48" s="214"/>
      <c r="I48" s="214">
        <v>1</v>
      </c>
      <c r="J48" s="213">
        <v>60</v>
      </c>
      <c r="K48" s="292"/>
      <c r="L48" s="213"/>
      <c r="M48" s="643"/>
      <c r="N48" s="616">
        <f t="shared" si="1"/>
        <v>113</v>
      </c>
      <c r="O48" s="633"/>
      <c r="P48" s="634"/>
      <c r="Q48" s="634"/>
      <c r="R48" s="7"/>
      <c r="S48" s="725">
        <f>16+13</f>
        <v>29</v>
      </c>
      <c r="T48" s="7"/>
      <c r="U48" s="618"/>
      <c r="V48" s="7"/>
      <c r="W48" s="7"/>
      <c r="X48" s="7"/>
      <c r="Y48" s="7"/>
      <c r="Z48" s="7"/>
      <c r="AA48" s="7"/>
    </row>
    <row r="49" spans="1:27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620"/>
      <c r="H49" s="214"/>
      <c r="I49" s="214"/>
      <c r="J49" s="213"/>
      <c r="K49" s="292"/>
      <c r="L49" s="213"/>
      <c r="M49" s="643"/>
      <c r="N49" s="616">
        <f t="shared" si="1"/>
        <v>0</v>
      </c>
      <c r="O49" s="633"/>
      <c r="P49" s="634"/>
      <c r="Q49" s="634"/>
      <c r="R49" s="7"/>
      <c r="S49" s="725"/>
      <c r="T49" s="7"/>
      <c r="U49" s="618">
        <f t="shared" ref="U49:U52" si="3">S49-N49</f>
        <v>0</v>
      </c>
      <c r="V49" s="7"/>
      <c r="W49" s="7"/>
      <c r="X49" s="7"/>
      <c r="Y49" s="7"/>
      <c r="Z49" s="7"/>
      <c r="AA49" s="7"/>
    </row>
    <row r="50" spans="1:27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620"/>
      <c r="H50" s="214"/>
      <c r="I50" s="214"/>
      <c r="J50" s="213"/>
      <c r="K50" s="292"/>
      <c r="L50" s="213"/>
      <c r="M50" s="643"/>
      <c r="N50" s="616">
        <f t="shared" si="1"/>
        <v>0</v>
      </c>
      <c r="O50" s="633"/>
      <c r="P50" s="634"/>
      <c r="Q50" s="634"/>
      <c r="R50" s="7"/>
      <c r="S50" s="725"/>
      <c r="T50" s="7"/>
      <c r="U50" s="618">
        <f t="shared" si="3"/>
        <v>0</v>
      </c>
      <c r="V50" s="7"/>
      <c r="W50" s="7"/>
      <c r="X50" s="7"/>
      <c r="Y50" s="7"/>
      <c r="Z50" s="7"/>
      <c r="AA50" s="7"/>
    </row>
    <row r="51" spans="1:27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620"/>
      <c r="H51" s="214"/>
      <c r="I51" s="214"/>
      <c r="J51" s="213"/>
      <c r="K51" s="292"/>
      <c r="L51" s="213"/>
      <c r="M51" s="643"/>
      <c r="N51" s="616">
        <f t="shared" si="1"/>
        <v>0</v>
      </c>
      <c r="O51" s="633"/>
      <c r="P51" s="634"/>
      <c r="Q51" s="634"/>
      <c r="R51" s="7"/>
      <c r="S51" s="725"/>
      <c r="T51" s="7"/>
      <c r="U51" s="618">
        <f t="shared" si="3"/>
        <v>0</v>
      </c>
      <c r="V51" s="7"/>
      <c r="W51" s="7"/>
      <c r="X51" s="7"/>
      <c r="Y51" s="7"/>
      <c r="Z51" s="7"/>
      <c r="AA51" s="7"/>
    </row>
    <row r="52" spans="1:27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620"/>
      <c r="H52" s="214"/>
      <c r="I52" s="214"/>
      <c r="J52" s="213"/>
      <c r="K52" s="292"/>
      <c r="L52" s="213"/>
      <c r="M52" s="643"/>
      <c r="N52" s="616">
        <f t="shared" si="1"/>
        <v>0</v>
      </c>
      <c r="O52" s="633"/>
      <c r="P52" s="634"/>
      <c r="Q52" s="634"/>
      <c r="R52" s="7"/>
      <c r="S52" s="725"/>
      <c r="T52" s="7"/>
      <c r="U52" s="618">
        <f t="shared" si="3"/>
        <v>0</v>
      </c>
      <c r="V52" s="7"/>
      <c r="W52" s="7"/>
      <c r="X52" s="7"/>
      <c r="Y52" s="7"/>
      <c r="Z52" s="7"/>
      <c r="AA52" s="7"/>
    </row>
    <row r="53" spans="1:27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5</v>
      </c>
      <c r="F53" s="213">
        <v>16</v>
      </c>
      <c r="G53" s="620"/>
      <c r="H53" s="214"/>
      <c r="I53" s="214"/>
      <c r="J53" s="213"/>
      <c r="K53" s="292">
        <v>8</v>
      </c>
      <c r="L53" s="213"/>
      <c r="M53" s="643"/>
      <c r="N53" s="616">
        <f t="shared" si="1"/>
        <v>29</v>
      </c>
      <c r="O53" s="633"/>
      <c r="P53" s="634"/>
      <c r="Q53" s="634"/>
      <c r="R53" s="7"/>
      <c r="S53" s="725">
        <f>102+104+41</f>
        <v>247</v>
      </c>
      <c r="T53" s="7"/>
      <c r="U53" s="618">
        <f>218-84</f>
        <v>134</v>
      </c>
      <c r="V53" s="7"/>
      <c r="W53" s="7"/>
      <c r="X53" s="7"/>
      <c r="Y53" s="7"/>
      <c r="Z53" s="7"/>
      <c r="AA53" s="7"/>
    </row>
    <row r="54" spans="1:27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620"/>
      <c r="H54" s="214"/>
      <c r="I54" s="214"/>
      <c r="J54" s="213"/>
      <c r="K54" s="292"/>
      <c r="L54" s="213"/>
      <c r="M54" s="643"/>
      <c r="N54" s="616">
        <f t="shared" si="1"/>
        <v>0</v>
      </c>
      <c r="O54" s="633"/>
      <c r="P54" s="634"/>
      <c r="Q54" s="634"/>
      <c r="R54" s="7"/>
      <c r="S54" s="725"/>
      <c r="T54" s="7"/>
      <c r="U54" s="618">
        <f t="shared" ref="U54:U104" si="4">S54-N54</f>
        <v>0</v>
      </c>
      <c r="V54" s="7"/>
      <c r="W54" s="7"/>
      <c r="X54" s="7"/>
      <c r="Y54" s="7"/>
      <c r="Z54" s="7"/>
      <c r="AA54" s="7"/>
    </row>
    <row r="55" spans="1:27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620"/>
      <c r="H55" s="214"/>
      <c r="I55" s="214"/>
      <c r="J55" s="213"/>
      <c r="K55" s="292"/>
      <c r="L55" s="213"/>
      <c r="M55" s="643"/>
      <c r="N55" s="616">
        <f t="shared" si="1"/>
        <v>0</v>
      </c>
      <c r="O55" s="633"/>
      <c r="P55" s="634"/>
      <c r="Q55" s="634"/>
      <c r="R55" s="7"/>
      <c r="S55" s="725"/>
      <c r="T55" s="7"/>
      <c r="U55" s="618">
        <f t="shared" si="4"/>
        <v>0</v>
      </c>
      <c r="V55" s="7"/>
      <c r="W55" s="7"/>
      <c r="X55" s="7"/>
      <c r="Y55" s="7"/>
      <c r="Z55" s="7"/>
      <c r="AA55" s="7"/>
    </row>
    <row r="56" spans="1:27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620"/>
      <c r="H56" s="214"/>
      <c r="I56" s="214"/>
      <c r="J56" s="213"/>
      <c r="K56" s="292"/>
      <c r="L56" s="213"/>
      <c r="M56" s="643"/>
      <c r="N56" s="616">
        <f t="shared" si="1"/>
        <v>0</v>
      </c>
      <c r="O56" s="633"/>
      <c r="P56" s="634"/>
      <c r="Q56" s="634"/>
      <c r="R56" s="7"/>
      <c r="S56" s="725"/>
      <c r="T56" s="7"/>
      <c r="U56" s="618">
        <f t="shared" si="4"/>
        <v>0</v>
      </c>
      <c r="V56" s="7"/>
      <c r="W56" s="7"/>
      <c r="X56" s="7"/>
      <c r="Y56" s="7"/>
      <c r="Z56" s="7"/>
      <c r="AA56" s="7"/>
    </row>
    <row r="57" spans="1:27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620"/>
      <c r="H57" s="214"/>
      <c r="I57" s="214"/>
      <c r="J57" s="213"/>
      <c r="K57" s="292"/>
      <c r="L57" s="213"/>
      <c r="M57" s="643"/>
      <c r="N57" s="616">
        <f t="shared" si="1"/>
        <v>0</v>
      </c>
      <c r="O57" s="633"/>
      <c r="P57" s="634"/>
      <c r="Q57" s="634"/>
      <c r="R57" s="7"/>
      <c r="S57" s="725"/>
      <c r="T57" s="7"/>
      <c r="U57" s="618">
        <f t="shared" si="4"/>
        <v>0</v>
      </c>
      <c r="V57" s="7"/>
      <c r="W57" s="7"/>
      <c r="X57" s="7"/>
      <c r="Y57" s="7"/>
      <c r="Z57" s="7"/>
      <c r="AA57" s="7"/>
    </row>
    <row r="58" spans="1:27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620"/>
      <c r="H58" s="374"/>
      <c r="I58" s="374"/>
      <c r="J58" s="209"/>
      <c r="K58" s="292"/>
      <c r="L58" s="219"/>
      <c r="M58" s="643"/>
      <c r="N58" s="616">
        <f t="shared" si="1"/>
        <v>0</v>
      </c>
      <c r="O58" s="633"/>
      <c r="P58" s="634"/>
      <c r="Q58" s="634"/>
      <c r="R58" s="7"/>
      <c r="S58" s="725"/>
      <c r="T58" s="7"/>
      <c r="U58" s="618">
        <f t="shared" si="4"/>
        <v>0</v>
      </c>
      <c r="V58" s="7"/>
      <c r="W58" s="7"/>
      <c r="X58" s="7"/>
      <c r="Y58" s="7"/>
      <c r="Z58" s="7"/>
      <c r="AA58" s="7"/>
    </row>
    <row r="59" spans="1:27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647"/>
      <c r="H59" s="214"/>
      <c r="I59" s="214"/>
      <c r="J59" s="213"/>
      <c r="K59" s="292"/>
      <c r="L59" s="213"/>
      <c r="M59" s="643"/>
      <c r="N59" s="616">
        <f t="shared" si="1"/>
        <v>0</v>
      </c>
      <c r="O59" s="633"/>
      <c r="P59" s="648"/>
      <c r="Q59" s="648"/>
      <c r="R59" s="7"/>
      <c r="S59" s="725"/>
      <c r="T59" s="7"/>
      <c r="U59" s="618">
        <f t="shared" si="4"/>
        <v>0</v>
      </c>
      <c r="V59" s="7"/>
      <c r="W59" s="7"/>
      <c r="X59" s="7"/>
      <c r="Y59" s="7"/>
      <c r="Z59" s="7"/>
      <c r="AA59" s="7"/>
    </row>
    <row r="60" spans="1:27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647"/>
      <c r="H60" s="214"/>
      <c r="I60" s="214"/>
      <c r="J60" s="213"/>
      <c r="K60" s="292"/>
      <c r="L60" s="213"/>
      <c r="M60" s="643"/>
      <c r="N60" s="616">
        <f t="shared" si="1"/>
        <v>0</v>
      </c>
      <c r="O60" s="633"/>
      <c r="P60" s="648"/>
      <c r="Q60" s="648"/>
      <c r="R60" s="7"/>
      <c r="S60" s="725"/>
      <c r="T60" s="7"/>
      <c r="U60" s="618">
        <f t="shared" si="4"/>
        <v>0</v>
      </c>
      <c r="V60" s="7"/>
      <c r="W60" s="7"/>
      <c r="X60" s="7"/>
      <c r="Y60" s="7"/>
      <c r="Z60" s="7"/>
      <c r="AA60" s="7"/>
    </row>
    <row r="61" spans="1:27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647"/>
      <c r="H61" s="214"/>
      <c r="I61" s="214"/>
      <c r="J61" s="213"/>
      <c r="K61" s="292"/>
      <c r="L61" s="213"/>
      <c r="M61" s="643"/>
      <c r="N61" s="616">
        <f t="shared" si="1"/>
        <v>0</v>
      </c>
      <c r="O61" s="633"/>
      <c r="P61" s="648"/>
      <c r="Q61" s="648"/>
      <c r="R61" s="7"/>
      <c r="S61" s="725"/>
      <c r="T61" s="7"/>
      <c r="U61" s="618">
        <f t="shared" si="4"/>
        <v>0</v>
      </c>
      <c r="V61" s="7"/>
      <c r="W61" s="7"/>
      <c r="X61" s="7"/>
      <c r="Y61" s="7"/>
      <c r="Z61" s="7"/>
      <c r="AA61" s="7"/>
    </row>
    <row r="62" spans="1:27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>
        <v>2</v>
      </c>
      <c r="G62" s="620"/>
      <c r="H62" s="214"/>
      <c r="I62" s="214"/>
      <c r="J62" s="213"/>
      <c r="K62" s="292">
        <v>1</v>
      </c>
      <c r="L62" s="213"/>
      <c r="M62" s="643"/>
      <c r="N62" s="616">
        <f t="shared" si="1"/>
        <v>3</v>
      </c>
      <c r="O62" s="633"/>
      <c r="P62" s="636"/>
      <c r="Q62" s="636"/>
      <c r="R62" s="7"/>
      <c r="S62" s="725">
        <v>43</v>
      </c>
      <c r="T62" s="7"/>
      <c r="U62" s="618">
        <f t="shared" si="4"/>
        <v>40</v>
      </c>
      <c r="V62" s="7"/>
      <c r="W62" s="7"/>
      <c r="X62" s="7"/>
      <c r="Y62" s="7"/>
      <c r="Z62" s="7"/>
      <c r="AA62" s="7"/>
    </row>
    <row r="63" spans="1:27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638"/>
      <c r="H63" s="214"/>
      <c r="I63" s="214"/>
      <c r="J63" s="213"/>
      <c r="K63" s="292"/>
      <c r="L63" s="213"/>
      <c r="M63" s="643"/>
      <c r="N63" s="616">
        <f t="shared" si="1"/>
        <v>0</v>
      </c>
      <c r="O63" s="633"/>
      <c r="P63" s="636"/>
      <c r="Q63" s="636"/>
      <c r="R63" s="7"/>
      <c r="S63" s="725"/>
      <c r="T63" s="7"/>
      <c r="U63" s="618">
        <f t="shared" si="4"/>
        <v>0</v>
      </c>
      <c r="V63" s="7"/>
      <c r="W63" s="7"/>
      <c r="X63" s="7"/>
      <c r="Y63" s="7"/>
      <c r="Z63" s="7"/>
      <c r="AA63" s="7"/>
    </row>
    <row r="64" spans="1:27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638"/>
      <c r="H64" s="214"/>
      <c r="I64" s="214"/>
      <c r="J64" s="213"/>
      <c r="K64" s="292"/>
      <c r="L64" s="213"/>
      <c r="M64" s="643"/>
      <c r="N64" s="616">
        <f t="shared" si="1"/>
        <v>0</v>
      </c>
      <c r="O64" s="633"/>
      <c r="P64" s="640"/>
      <c r="Q64" s="640"/>
      <c r="R64" s="7"/>
      <c r="S64" s="725"/>
      <c r="T64" s="7"/>
      <c r="U64" s="618">
        <f t="shared" si="4"/>
        <v>0</v>
      </c>
      <c r="V64" s="7"/>
      <c r="W64" s="7"/>
      <c r="X64" s="7"/>
      <c r="Y64" s="7"/>
      <c r="Z64" s="7"/>
      <c r="AA64" s="7"/>
    </row>
    <row r="65" spans="1:27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620"/>
      <c r="H65" s="214"/>
      <c r="I65" s="214"/>
      <c r="J65" s="213">
        <v>3</v>
      </c>
      <c r="K65" s="292">
        <v>1</v>
      </c>
      <c r="L65" s="213"/>
      <c r="M65" s="643"/>
      <c r="N65" s="616">
        <f t="shared" si="1"/>
        <v>4</v>
      </c>
      <c r="O65" s="633"/>
      <c r="P65" s="636"/>
      <c r="Q65" s="636"/>
      <c r="R65" s="7"/>
      <c r="S65" s="725">
        <f>12+9</f>
        <v>21</v>
      </c>
      <c r="T65" s="7"/>
      <c r="U65" s="618">
        <f t="shared" si="4"/>
        <v>17</v>
      </c>
      <c r="V65" s="7"/>
      <c r="W65" s="7"/>
      <c r="X65" s="7"/>
      <c r="Y65" s="7"/>
      <c r="Z65" s="7"/>
      <c r="AA65" s="7"/>
    </row>
    <row r="66" spans="1:27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620"/>
      <c r="H66" s="214"/>
      <c r="I66" s="214"/>
      <c r="J66" s="213"/>
      <c r="K66" s="292"/>
      <c r="L66" s="213"/>
      <c r="M66" s="643"/>
      <c r="N66" s="616">
        <f t="shared" si="1"/>
        <v>0</v>
      </c>
      <c r="O66" s="633"/>
      <c r="P66" s="636"/>
      <c r="Q66" s="636"/>
      <c r="R66" s="7"/>
      <c r="S66" s="725"/>
      <c r="T66" s="7"/>
      <c r="U66" s="618">
        <f t="shared" si="4"/>
        <v>0</v>
      </c>
      <c r="V66" s="7"/>
      <c r="W66" s="7"/>
      <c r="X66" s="7"/>
      <c r="Y66" s="7"/>
      <c r="Z66" s="7"/>
      <c r="AA66" s="7"/>
    </row>
    <row r="67" spans="1:27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620"/>
      <c r="H67" s="214"/>
      <c r="I67" s="214"/>
      <c r="J67" s="213"/>
      <c r="K67" s="292"/>
      <c r="L67" s="213"/>
      <c r="M67" s="643"/>
      <c r="N67" s="616">
        <f t="shared" si="1"/>
        <v>0</v>
      </c>
      <c r="O67" s="633"/>
      <c r="P67" s="634"/>
      <c r="Q67" s="634"/>
      <c r="R67" s="7"/>
      <c r="S67" s="725"/>
      <c r="T67" s="7"/>
      <c r="U67" s="618">
        <f t="shared" si="4"/>
        <v>0</v>
      </c>
      <c r="V67" s="7"/>
      <c r="W67" s="7"/>
      <c r="X67" s="7"/>
      <c r="Y67" s="7"/>
      <c r="Z67" s="7"/>
      <c r="AA67" s="7"/>
    </row>
    <row r="68" spans="1:27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620"/>
      <c r="H68" s="214"/>
      <c r="I68" s="214"/>
      <c r="J68" s="213"/>
      <c r="K68" s="292"/>
      <c r="L68" s="213"/>
      <c r="M68" s="643"/>
      <c r="N68" s="616">
        <f t="shared" si="1"/>
        <v>0</v>
      </c>
      <c r="O68" s="633"/>
      <c r="P68" s="634"/>
      <c r="Q68" s="634"/>
      <c r="R68" s="7"/>
      <c r="S68" s="725"/>
      <c r="T68" s="7"/>
      <c r="U68" s="618">
        <f t="shared" si="4"/>
        <v>0</v>
      </c>
      <c r="V68" s="7"/>
      <c r="W68" s="7"/>
      <c r="X68" s="7"/>
      <c r="Y68" s="7"/>
      <c r="Z68" s="7"/>
      <c r="AA68" s="7"/>
    </row>
    <row r="69" spans="1:27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620"/>
      <c r="H69" s="214"/>
      <c r="I69" s="214"/>
      <c r="J69" s="213"/>
      <c r="K69" s="292"/>
      <c r="L69" s="213"/>
      <c r="M69" s="643"/>
      <c r="N69" s="616">
        <f t="shared" si="1"/>
        <v>0</v>
      </c>
      <c r="O69" s="633"/>
      <c r="P69" s="634"/>
      <c r="Q69" s="634"/>
      <c r="R69" s="7"/>
      <c r="S69" s="725"/>
      <c r="T69" s="7"/>
      <c r="U69" s="618">
        <f t="shared" si="4"/>
        <v>0</v>
      </c>
      <c r="V69" s="7"/>
      <c r="W69" s="7"/>
      <c r="X69" s="7"/>
      <c r="Y69" s="7"/>
      <c r="Z69" s="7"/>
      <c r="AA69" s="7"/>
    </row>
    <row r="70" spans="1:27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620"/>
      <c r="H70" s="214"/>
      <c r="I70" s="214"/>
      <c r="J70" s="213"/>
      <c r="K70" s="292"/>
      <c r="L70" s="213"/>
      <c r="M70" s="643"/>
      <c r="N70" s="616">
        <f t="shared" si="1"/>
        <v>0</v>
      </c>
      <c r="O70" s="633"/>
      <c r="P70" s="634"/>
      <c r="Q70" s="634"/>
      <c r="R70" s="7"/>
      <c r="S70" s="704"/>
      <c r="T70" s="7"/>
      <c r="U70" s="618">
        <f t="shared" si="4"/>
        <v>0</v>
      </c>
      <c r="V70" s="7"/>
      <c r="W70" s="7"/>
      <c r="X70" s="7"/>
      <c r="Y70" s="7"/>
      <c r="Z70" s="7"/>
      <c r="AA70" s="7"/>
    </row>
    <row r="71" spans="1:27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620"/>
      <c r="H71" s="214"/>
      <c r="I71" s="214"/>
      <c r="J71" s="213"/>
      <c r="K71" s="292"/>
      <c r="L71" s="213"/>
      <c r="M71" s="643"/>
      <c r="N71" s="616">
        <f t="shared" si="1"/>
        <v>0</v>
      </c>
      <c r="O71" s="633"/>
      <c r="P71" s="636"/>
      <c r="Q71" s="636"/>
      <c r="R71" s="7"/>
      <c r="S71" s="704"/>
      <c r="T71" s="7"/>
      <c r="U71" s="618">
        <f t="shared" si="4"/>
        <v>0</v>
      </c>
      <c r="V71" s="7"/>
      <c r="W71" s="7"/>
      <c r="X71" s="7"/>
      <c r="Y71" s="7"/>
      <c r="Z71" s="7"/>
      <c r="AA71" s="7"/>
    </row>
    <row r="72" spans="1:27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647"/>
      <c r="H72" s="214"/>
      <c r="I72" s="214"/>
      <c r="J72" s="213"/>
      <c r="K72" s="292"/>
      <c r="L72" s="213"/>
      <c r="M72" s="643"/>
      <c r="N72" s="616">
        <f t="shared" si="1"/>
        <v>0</v>
      </c>
      <c r="O72" s="633"/>
      <c r="P72" s="648"/>
      <c r="Q72" s="648"/>
      <c r="R72" s="7"/>
      <c r="S72" s="704"/>
      <c r="T72" s="7"/>
      <c r="U72" s="618">
        <f t="shared" si="4"/>
        <v>0</v>
      </c>
      <c r="V72" s="7"/>
      <c r="W72" s="7"/>
      <c r="X72" s="7"/>
      <c r="Y72" s="7"/>
      <c r="Z72" s="7"/>
      <c r="AA72" s="7"/>
    </row>
    <row r="73" spans="1:27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647"/>
      <c r="H73" s="214"/>
      <c r="I73" s="214"/>
      <c r="J73" s="213"/>
      <c r="K73" s="292"/>
      <c r="L73" s="213"/>
      <c r="M73" s="643"/>
      <c r="N73" s="616">
        <f t="shared" si="1"/>
        <v>0</v>
      </c>
      <c r="O73" s="633"/>
      <c r="P73" s="648"/>
      <c r="Q73" s="648"/>
      <c r="R73" s="7"/>
      <c r="S73" s="704"/>
      <c r="T73" s="7"/>
      <c r="U73" s="618">
        <f t="shared" si="4"/>
        <v>0</v>
      </c>
      <c r="V73" s="7"/>
      <c r="W73" s="7"/>
      <c r="X73" s="7"/>
      <c r="Y73" s="7"/>
      <c r="Z73" s="7"/>
      <c r="AA73" s="7"/>
    </row>
    <row r="74" spans="1:27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647"/>
      <c r="H74" s="214"/>
      <c r="I74" s="214"/>
      <c r="J74" s="213"/>
      <c r="K74" s="292"/>
      <c r="L74" s="213"/>
      <c r="M74" s="643"/>
      <c r="N74" s="616">
        <f t="shared" si="1"/>
        <v>0</v>
      </c>
      <c r="O74" s="633"/>
      <c r="P74" s="648"/>
      <c r="Q74" s="648"/>
      <c r="R74" s="7"/>
      <c r="S74" s="704"/>
      <c r="T74" s="7"/>
      <c r="U74" s="618">
        <f t="shared" si="4"/>
        <v>0</v>
      </c>
      <c r="V74" s="7"/>
      <c r="W74" s="7"/>
      <c r="X74" s="7"/>
      <c r="Y74" s="7"/>
      <c r="Z74" s="7"/>
      <c r="AA74" s="7"/>
    </row>
    <row r="75" spans="1:27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638"/>
      <c r="H75" s="214"/>
      <c r="I75" s="214"/>
      <c r="J75" s="213"/>
      <c r="K75" s="292"/>
      <c r="L75" s="213"/>
      <c r="M75" s="643"/>
      <c r="N75" s="616">
        <f t="shared" si="1"/>
        <v>0</v>
      </c>
      <c r="O75" s="633"/>
      <c r="P75" s="636"/>
      <c r="Q75" s="636"/>
      <c r="R75" s="7"/>
      <c r="S75" s="704"/>
      <c r="T75" s="7"/>
      <c r="U75" s="618">
        <f t="shared" si="4"/>
        <v>0</v>
      </c>
      <c r="V75" s="7"/>
      <c r="W75" s="7"/>
      <c r="X75" s="7"/>
      <c r="Y75" s="7"/>
      <c r="Z75" s="7"/>
      <c r="AA75" s="7"/>
    </row>
    <row r="76" spans="1:27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638"/>
      <c r="H76" s="214"/>
      <c r="I76" s="214"/>
      <c r="J76" s="213"/>
      <c r="K76" s="292"/>
      <c r="L76" s="213"/>
      <c r="M76" s="643"/>
      <c r="N76" s="616">
        <f t="shared" si="1"/>
        <v>0</v>
      </c>
      <c r="O76" s="633"/>
      <c r="P76" s="636"/>
      <c r="Q76" s="636"/>
      <c r="R76" s="7"/>
      <c r="S76" s="704"/>
      <c r="T76" s="7"/>
      <c r="U76" s="618">
        <f t="shared" si="4"/>
        <v>0</v>
      </c>
      <c r="V76" s="7"/>
      <c r="W76" s="7"/>
      <c r="X76" s="7"/>
      <c r="Y76" s="7"/>
      <c r="Z76" s="7"/>
      <c r="AA76" s="7"/>
    </row>
    <row r="77" spans="1:27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638"/>
      <c r="H77" s="214"/>
      <c r="I77" s="214"/>
      <c r="J77" s="213"/>
      <c r="K77" s="292"/>
      <c r="L77" s="213"/>
      <c r="M77" s="643"/>
      <c r="N77" s="616">
        <f t="shared" si="1"/>
        <v>0</v>
      </c>
      <c r="O77" s="633"/>
      <c r="P77" s="640"/>
      <c r="Q77" s="640"/>
      <c r="R77" s="7"/>
      <c r="S77" s="704"/>
      <c r="T77" s="7"/>
      <c r="U77" s="618">
        <f t="shared" si="4"/>
        <v>0</v>
      </c>
      <c r="V77" s="7"/>
      <c r="W77" s="7"/>
      <c r="X77" s="7"/>
      <c r="Y77" s="7"/>
      <c r="Z77" s="7"/>
      <c r="AA77" s="7"/>
    </row>
    <row r="78" spans="1:27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649"/>
      <c r="H78" s="214"/>
      <c r="I78" s="214"/>
      <c r="J78" s="213"/>
      <c r="K78" s="292"/>
      <c r="L78" s="213"/>
      <c r="M78" s="643"/>
      <c r="N78" s="616">
        <f t="shared" si="1"/>
        <v>0</v>
      </c>
      <c r="O78" s="633"/>
      <c r="P78" s="636"/>
      <c r="Q78" s="636"/>
      <c r="R78" s="7"/>
      <c r="S78" s="704"/>
      <c r="T78" s="7"/>
      <c r="U78" s="618">
        <f t="shared" si="4"/>
        <v>0</v>
      </c>
      <c r="V78" s="7"/>
      <c r="W78" s="7"/>
      <c r="X78" s="7"/>
      <c r="Y78" s="7"/>
      <c r="Z78" s="7"/>
      <c r="AA78" s="7"/>
    </row>
    <row r="79" spans="1:27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620"/>
      <c r="H79" s="214"/>
      <c r="I79" s="214"/>
      <c r="J79" s="213"/>
      <c r="K79" s="292"/>
      <c r="L79" s="213"/>
      <c r="M79" s="643"/>
      <c r="N79" s="616">
        <f t="shared" si="1"/>
        <v>0</v>
      </c>
      <c r="O79" s="633"/>
      <c r="P79" s="634"/>
      <c r="Q79" s="634"/>
      <c r="R79" s="7"/>
      <c r="S79" s="704"/>
      <c r="T79" s="7"/>
      <c r="U79" s="618">
        <f t="shared" si="4"/>
        <v>0</v>
      </c>
      <c r="V79" s="7"/>
      <c r="W79" s="7"/>
      <c r="X79" s="7"/>
      <c r="Y79" s="7"/>
      <c r="Z79" s="7"/>
      <c r="AA79" s="7"/>
    </row>
    <row r="80" spans="1:27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620"/>
      <c r="H80" s="214"/>
      <c r="I80" s="214"/>
      <c r="J80" s="213"/>
      <c r="K80" s="292"/>
      <c r="L80" s="213"/>
      <c r="M80" s="643"/>
      <c r="N80" s="616">
        <f t="shared" si="1"/>
        <v>0</v>
      </c>
      <c r="O80" s="633"/>
      <c r="P80" s="634"/>
      <c r="Q80" s="634"/>
      <c r="R80" s="7"/>
      <c r="S80" s="704"/>
      <c r="T80" s="7"/>
      <c r="U80" s="618">
        <f t="shared" si="4"/>
        <v>0</v>
      </c>
      <c r="V80" s="7"/>
      <c r="W80" s="7"/>
      <c r="X80" s="7"/>
      <c r="Y80" s="7"/>
      <c r="Z80" s="7"/>
      <c r="AA80" s="7"/>
    </row>
    <row r="81" spans="1:27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620"/>
      <c r="H81" s="214"/>
      <c r="I81" s="214"/>
      <c r="J81" s="213"/>
      <c r="K81" s="292"/>
      <c r="L81" s="213"/>
      <c r="M81" s="643"/>
      <c r="N81" s="616">
        <f t="shared" si="1"/>
        <v>0</v>
      </c>
      <c r="O81" s="633"/>
      <c r="P81" s="634"/>
      <c r="Q81" s="634"/>
      <c r="R81" s="7"/>
      <c r="S81" s="704"/>
      <c r="T81" s="7"/>
      <c r="U81" s="618">
        <f t="shared" si="4"/>
        <v>0</v>
      </c>
      <c r="V81" s="7"/>
      <c r="W81" s="7"/>
      <c r="X81" s="7"/>
      <c r="Y81" s="7"/>
      <c r="Z81" s="7"/>
      <c r="AA81" s="7"/>
    </row>
    <row r="82" spans="1:27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620"/>
      <c r="H82" s="214"/>
      <c r="I82" s="214"/>
      <c r="J82" s="213"/>
      <c r="K82" s="292"/>
      <c r="L82" s="213"/>
      <c r="M82" s="643"/>
      <c r="N82" s="616">
        <f t="shared" si="1"/>
        <v>0</v>
      </c>
      <c r="O82" s="633"/>
      <c r="P82" s="634"/>
      <c r="Q82" s="634"/>
      <c r="R82" s="7"/>
      <c r="S82" s="704"/>
      <c r="T82" s="7"/>
      <c r="U82" s="618">
        <f t="shared" si="4"/>
        <v>0</v>
      </c>
      <c r="V82" s="7"/>
      <c r="W82" s="7"/>
      <c r="X82" s="7"/>
      <c r="Y82" s="7"/>
      <c r="Z82" s="7"/>
      <c r="AA82" s="7"/>
    </row>
    <row r="83" spans="1:27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649"/>
      <c r="H83" s="214"/>
      <c r="I83" s="214"/>
      <c r="J83" s="213"/>
      <c r="K83" s="292"/>
      <c r="L83" s="213"/>
      <c r="M83" s="643"/>
      <c r="N83" s="616">
        <f t="shared" si="1"/>
        <v>0</v>
      </c>
      <c r="O83" s="633"/>
      <c r="P83" s="636"/>
      <c r="Q83" s="636"/>
      <c r="R83" s="7"/>
      <c r="S83" s="704"/>
      <c r="T83" s="7"/>
      <c r="U83" s="618">
        <f t="shared" si="4"/>
        <v>0</v>
      </c>
      <c r="V83" s="7"/>
      <c r="W83" s="7"/>
      <c r="X83" s="7"/>
      <c r="Y83" s="7"/>
      <c r="Z83" s="7"/>
      <c r="AA83" s="7"/>
    </row>
    <row r="84" spans="1:27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647"/>
      <c r="H84" s="214"/>
      <c r="I84" s="214"/>
      <c r="J84" s="213"/>
      <c r="K84" s="292"/>
      <c r="L84" s="213"/>
      <c r="M84" s="643"/>
      <c r="N84" s="616">
        <f t="shared" si="1"/>
        <v>0</v>
      </c>
      <c r="O84" s="633"/>
      <c r="P84" s="648"/>
      <c r="Q84" s="648"/>
      <c r="R84" s="7"/>
      <c r="S84" s="704"/>
      <c r="T84" s="7"/>
      <c r="U84" s="618">
        <f t="shared" si="4"/>
        <v>0</v>
      </c>
      <c r="V84" s="7"/>
      <c r="W84" s="7"/>
      <c r="X84" s="7"/>
      <c r="Y84" s="7"/>
      <c r="Z84" s="7"/>
      <c r="AA84" s="7"/>
    </row>
    <row r="85" spans="1:27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647"/>
      <c r="H85" s="214"/>
      <c r="I85" s="214"/>
      <c r="J85" s="213"/>
      <c r="K85" s="292"/>
      <c r="L85" s="213"/>
      <c r="M85" s="643"/>
      <c r="N85" s="616">
        <f t="shared" si="1"/>
        <v>0</v>
      </c>
      <c r="O85" s="633"/>
      <c r="P85" s="648"/>
      <c r="Q85" s="648"/>
      <c r="R85" s="7"/>
      <c r="S85" s="704"/>
      <c r="T85" s="7"/>
      <c r="U85" s="618">
        <f t="shared" si="4"/>
        <v>0</v>
      </c>
      <c r="V85" s="7"/>
      <c r="W85" s="7"/>
      <c r="X85" s="7"/>
      <c r="Y85" s="7"/>
      <c r="Z85" s="7"/>
      <c r="AA85" s="7"/>
    </row>
    <row r="86" spans="1:27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647"/>
      <c r="H86" s="214"/>
      <c r="I86" s="214"/>
      <c r="J86" s="213"/>
      <c r="K86" s="292"/>
      <c r="L86" s="213"/>
      <c r="M86" s="643"/>
      <c r="N86" s="616">
        <f t="shared" si="1"/>
        <v>0</v>
      </c>
      <c r="O86" s="633"/>
      <c r="P86" s="648"/>
      <c r="Q86" s="648"/>
      <c r="R86" s="7"/>
      <c r="S86" s="704"/>
      <c r="T86" s="7"/>
      <c r="U86" s="618">
        <f t="shared" si="4"/>
        <v>0</v>
      </c>
      <c r="V86" s="7"/>
      <c r="W86" s="7"/>
      <c r="X86" s="7"/>
      <c r="Y86" s="7"/>
      <c r="Z86" s="7"/>
      <c r="AA86" s="7"/>
    </row>
    <row r="87" spans="1:27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638"/>
      <c r="H87" s="214"/>
      <c r="I87" s="214"/>
      <c r="J87" s="213"/>
      <c r="K87" s="292"/>
      <c r="L87" s="213"/>
      <c r="M87" s="643"/>
      <c r="N87" s="616">
        <f t="shared" si="1"/>
        <v>0</v>
      </c>
      <c r="O87" s="633"/>
      <c r="P87" s="636"/>
      <c r="Q87" s="636"/>
      <c r="R87" s="7"/>
      <c r="S87" s="704"/>
      <c r="T87" s="7"/>
      <c r="U87" s="618">
        <f t="shared" si="4"/>
        <v>0</v>
      </c>
      <c r="V87" s="7"/>
      <c r="W87" s="7"/>
      <c r="X87" s="7"/>
      <c r="Y87" s="7"/>
      <c r="Z87" s="7"/>
      <c r="AA87" s="7"/>
    </row>
    <row r="88" spans="1:27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638"/>
      <c r="H88" s="214"/>
      <c r="I88" s="214"/>
      <c r="J88" s="213"/>
      <c r="K88" s="292"/>
      <c r="L88" s="213"/>
      <c r="M88" s="643"/>
      <c r="N88" s="616">
        <f t="shared" si="1"/>
        <v>0</v>
      </c>
      <c r="O88" s="633"/>
      <c r="P88" s="636"/>
      <c r="Q88" s="636"/>
      <c r="R88" s="7"/>
      <c r="S88" s="704"/>
      <c r="T88" s="7"/>
      <c r="U88" s="618">
        <f t="shared" si="4"/>
        <v>0</v>
      </c>
      <c r="V88" s="7"/>
      <c r="W88" s="7"/>
      <c r="X88" s="7"/>
      <c r="Y88" s="7"/>
      <c r="Z88" s="7"/>
      <c r="AA88" s="7"/>
    </row>
    <row r="89" spans="1:27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638"/>
      <c r="H89" s="214"/>
      <c r="I89" s="214"/>
      <c r="J89" s="213"/>
      <c r="K89" s="292"/>
      <c r="L89" s="213"/>
      <c r="M89" s="643"/>
      <c r="N89" s="616">
        <f t="shared" si="1"/>
        <v>0</v>
      </c>
      <c r="O89" s="633"/>
      <c r="P89" s="636"/>
      <c r="Q89" s="636"/>
      <c r="R89" s="7"/>
      <c r="S89" s="704"/>
      <c r="T89" s="7"/>
      <c r="U89" s="618">
        <f t="shared" si="4"/>
        <v>0</v>
      </c>
      <c r="V89" s="7"/>
      <c r="W89" s="7"/>
      <c r="X89" s="7"/>
      <c r="Y89" s="7"/>
      <c r="Z89" s="7"/>
      <c r="AA89" s="7"/>
    </row>
    <row r="90" spans="1:27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638"/>
      <c r="H90" s="214"/>
      <c r="I90" s="214"/>
      <c r="J90" s="213"/>
      <c r="K90" s="292"/>
      <c r="L90" s="213"/>
      <c r="M90" s="643"/>
      <c r="N90" s="616">
        <f t="shared" si="1"/>
        <v>0</v>
      </c>
      <c r="O90" s="633"/>
      <c r="P90" s="640"/>
      <c r="Q90" s="640"/>
      <c r="R90" s="7"/>
      <c r="S90" s="704"/>
      <c r="T90" s="7"/>
      <c r="U90" s="618">
        <f t="shared" si="4"/>
        <v>0</v>
      </c>
      <c r="V90" s="7"/>
      <c r="W90" s="7"/>
      <c r="X90" s="7"/>
      <c r="Y90" s="7"/>
      <c r="Z90" s="7"/>
      <c r="AA90" s="7"/>
    </row>
    <row r="91" spans="1:27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620"/>
      <c r="H91" s="214"/>
      <c r="I91" s="214"/>
      <c r="J91" s="213"/>
      <c r="K91" s="292"/>
      <c r="L91" s="213"/>
      <c r="M91" s="643"/>
      <c r="N91" s="616">
        <f t="shared" si="1"/>
        <v>0</v>
      </c>
      <c r="O91" s="633"/>
      <c r="P91" s="636"/>
      <c r="Q91" s="636"/>
      <c r="R91" s="7"/>
      <c r="S91" s="704"/>
      <c r="T91" s="7"/>
      <c r="U91" s="618">
        <f t="shared" si="4"/>
        <v>0</v>
      </c>
      <c r="V91" s="7"/>
      <c r="W91" s="7"/>
      <c r="X91" s="7"/>
      <c r="Y91" s="7"/>
      <c r="Z91" s="7"/>
      <c r="AA91" s="7"/>
    </row>
    <row r="92" spans="1:27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620"/>
      <c r="H92" s="214"/>
      <c r="I92" s="214"/>
      <c r="J92" s="213"/>
      <c r="K92" s="292"/>
      <c r="L92" s="213"/>
      <c r="M92" s="643"/>
      <c r="N92" s="616">
        <f t="shared" si="1"/>
        <v>0</v>
      </c>
      <c r="O92" s="633"/>
      <c r="P92" s="636"/>
      <c r="Q92" s="636"/>
      <c r="R92" s="7"/>
      <c r="S92" s="704"/>
      <c r="T92" s="7"/>
      <c r="U92" s="618">
        <f t="shared" si="4"/>
        <v>0</v>
      </c>
      <c r="V92" s="7"/>
      <c r="W92" s="7"/>
      <c r="X92" s="7"/>
      <c r="Y92" s="7"/>
      <c r="Z92" s="7"/>
      <c r="AA92" s="7"/>
    </row>
    <row r="93" spans="1:27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620"/>
      <c r="H93" s="214"/>
      <c r="I93" s="214"/>
      <c r="J93" s="213"/>
      <c r="K93" s="292"/>
      <c r="L93" s="213"/>
      <c r="M93" s="643"/>
      <c r="N93" s="616">
        <f t="shared" si="1"/>
        <v>0</v>
      </c>
      <c r="O93" s="633"/>
      <c r="P93" s="636"/>
      <c r="Q93" s="636"/>
      <c r="R93" s="7"/>
      <c r="S93" s="704"/>
      <c r="T93" s="7"/>
      <c r="U93" s="618">
        <f t="shared" si="4"/>
        <v>0</v>
      </c>
      <c r="V93" s="7"/>
      <c r="W93" s="7"/>
      <c r="X93" s="7"/>
      <c r="Y93" s="7"/>
      <c r="Z93" s="7"/>
      <c r="AA93" s="7"/>
    </row>
    <row r="94" spans="1:27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620"/>
      <c r="H94" s="214"/>
      <c r="I94" s="214"/>
      <c r="J94" s="213"/>
      <c r="K94" s="292"/>
      <c r="L94" s="213"/>
      <c r="M94" s="643"/>
      <c r="N94" s="616">
        <f t="shared" si="1"/>
        <v>0</v>
      </c>
      <c r="O94" s="633"/>
      <c r="P94" s="636"/>
      <c r="Q94" s="636"/>
      <c r="R94" s="7"/>
      <c r="S94" s="704"/>
      <c r="T94" s="7"/>
      <c r="U94" s="618">
        <f t="shared" si="4"/>
        <v>0</v>
      </c>
      <c r="V94" s="7"/>
      <c r="W94" s="7"/>
      <c r="X94" s="7"/>
      <c r="Y94" s="7"/>
      <c r="Z94" s="7"/>
      <c r="AA94" s="7"/>
    </row>
    <row r="95" spans="1:27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620"/>
      <c r="H95" s="214"/>
      <c r="I95" s="214"/>
      <c r="J95" s="213"/>
      <c r="K95" s="292"/>
      <c r="L95" s="213"/>
      <c r="M95" s="643"/>
      <c r="N95" s="616">
        <f t="shared" si="1"/>
        <v>0</v>
      </c>
      <c r="O95" s="633"/>
      <c r="P95" s="636"/>
      <c r="Q95" s="636"/>
      <c r="R95" s="7"/>
      <c r="S95" s="704"/>
      <c r="T95" s="7"/>
      <c r="U95" s="618">
        <f t="shared" si="4"/>
        <v>0</v>
      </c>
      <c r="V95" s="7"/>
      <c r="W95" s="7"/>
      <c r="X95" s="7"/>
      <c r="Y95" s="7"/>
      <c r="Z95" s="7"/>
      <c r="AA95" s="7"/>
    </row>
    <row r="96" spans="1:27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620"/>
      <c r="H96" s="214"/>
      <c r="I96" s="214"/>
      <c r="J96" s="213"/>
      <c r="K96" s="292"/>
      <c r="L96" s="213"/>
      <c r="M96" s="643"/>
      <c r="N96" s="616">
        <f t="shared" si="1"/>
        <v>0</v>
      </c>
      <c r="O96" s="633"/>
      <c r="P96" s="636"/>
      <c r="Q96" s="636"/>
      <c r="R96" s="7"/>
      <c r="S96" s="704"/>
      <c r="T96" s="7"/>
      <c r="U96" s="618">
        <f t="shared" si="4"/>
        <v>0</v>
      </c>
      <c r="V96" s="7"/>
      <c r="W96" s="7"/>
      <c r="X96" s="7"/>
      <c r="Y96" s="7"/>
      <c r="Z96" s="7"/>
      <c r="AA96" s="7"/>
    </row>
    <row r="97" spans="1:27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620"/>
      <c r="H97" s="214"/>
      <c r="I97" s="214"/>
      <c r="J97" s="213"/>
      <c r="K97" s="292"/>
      <c r="L97" s="213"/>
      <c r="M97" s="643"/>
      <c r="N97" s="616">
        <f t="shared" si="1"/>
        <v>0</v>
      </c>
      <c r="O97" s="633"/>
      <c r="P97" s="636"/>
      <c r="Q97" s="636"/>
      <c r="R97" s="7"/>
      <c r="S97" s="704"/>
      <c r="T97" s="7"/>
      <c r="U97" s="618">
        <f t="shared" si="4"/>
        <v>0</v>
      </c>
      <c r="V97" s="7"/>
      <c r="W97" s="7"/>
      <c r="X97" s="7"/>
      <c r="Y97" s="7"/>
      <c r="Z97" s="7"/>
      <c r="AA97" s="7"/>
    </row>
    <row r="98" spans="1:27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620"/>
      <c r="H98" s="214"/>
      <c r="I98" s="214"/>
      <c r="J98" s="213"/>
      <c r="K98" s="292"/>
      <c r="L98" s="213"/>
      <c r="M98" s="643"/>
      <c r="N98" s="616">
        <f t="shared" si="1"/>
        <v>0</v>
      </c>
      <c r="O98" s="633"/>
      <c r="P98" s="636"/>
      <c r="Q98" s="636"/>
      <c r="R98" s="7"/>
      <c r="S98" s="704"/>
      <c r="T98" s="7"/>
      <c r="U98" s="618">
        <f t="shared" si="4"/>
        <v>0</v>
      </c>
      <c r="V98" s="7"/>
      <c r="W98" s="7"/>
      <c r="X98" s="7"/>
      <c r="Y98" s="7"/>
      <c r="Z98" s="7"/>
      <c r="AA98" s="7"/>
    </row>
    <row r="99" spans="1:27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620"/>
      <c r="H99" s="214"/>
      <c r="I99" s="214"/>
      <c r="J99" s="213"/>
      <c r="K99" s="292"/>
      <c r="L99" s="213"/>
      <c r="M99" s="643"/>
      <c r="N99" s="616">
        <f t="shared" si="1"/>
        <v>0</v>
      </c>
      <c r="O99" s="633"/>
      <c r="P99" s="636"/>
      <c r="Q99" s="636"/>
      <c r="R99" s="7"/>
      <c r="S99" s="704"/>
      <c r="T99" s="7"/>
      <c r="U99" s="618">
        <f t="shared" si="4"/>
        <v>0</v>
      </c>
      <c r="V99" s="7"/>
      <c r="W99" s="7"/>
      <c r="X99" s="7"/>
      <c r="Y99" s="7"/>
      <c r="Z99" s="7"/>
      <c r="AA99" s="7"/>
    </row>
    <row r="100" spans="1:27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620"/>
      <c r="H100" s="214"/>
      <c r="I100" s="214"/>
      <c r="J100" s="213"/>
      <c r="K100" s="292"/>
      <c r="L100" s="213"/>
      <c r="M100" s="643"/>
      <c r="N100" s="616">
        <f t="shared" si="1"/>
        <v>0</v>
      </c>
      <c r="O100" s="633"/>
      <c r="P100" s="636"/>
      <c r="Q100" s="636"/>
      <c r="R100" s="7"/>
      <c r="S100" s="704"/>
      <c r="T100" s="7"/>
      <c r="U100" s="618">
        <f t="shared" si="4"/>
        <v>0</v>
      </c>
      <c r="V100" s="7"/>
      <c r="W100" s="7"/>
      <c r="X100" s="7"/>
      <c r="Y100" s="7"/>
      <c r="Z100" s="7"/>
      <c r="AA100" s="7"/>
    </row>
    <row r="101" spans="1:27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638"/>
      <c r="H101" s="214"/>
      <c r="I101" s="214"/>
      <c r="J101" s="213"/>
      <c r="K101" s="292"/>
      <c r="L101" s="213"/>
      <c r="M101" s="643"/>
      <c r="N101" s="616">
        <f t="shared" si="1"/>
        <v>0</v>
      </c>
      <c r="O101" s="633"/>
      <c r="P101" s="636"/>
      <c r="Q101" s="636"/>
      <c r="R101" s="7"/>
      <c r="S101" s="704"/>
      <c r="T101" s="7"/>
      <c r="U101" s="618">
        <f t="shared" si="4"/>
        <v>0</v>
      </c>
      <c r="V101" s="7"/>
      <c r="W101" s="7"/>
      <c r="X101" s="7"/>
      <c r="Y101" s="7"/>
      <c r="Z101" s="7"/>
      <c r="AA101" s="7"/>
    </row>
    <row r="102" spans="1:27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638"/>
      <c r="H102" s="214"/>
      <c r="I102" s="214"/>
      <c r="J102" s="213"/>
      <c r="K102" s="292"/>
      <c r="L102" s="213"/>
      <c r="M102" s="643"/>
      <c r="N102" s="616">
        <f t="shared" si="1"/>
        <v>0</v>
      </c>
      <c r="O102" s="633"/>
      <c r="P102" s="636"/>
      <c r="Q102" s="636"/>
      <c r="R102" s="7"/>
      <c r="S102" s="704"/>
      <c r="T102" s="7"/>
      <c r="U102" s="618">
        <f t="shared" si="4"/>
        <v>0</v>
      </c>
      <c r="V102" s="7"/>
      <c r="W102" s="7"/>
      <c r="X102" s="7"/>
      <c r="Y102" s="7"/>
      <c r="Z102" s="7"/>
      <c r="AA102" s="7"/>
    </row>
    <row r="103" spans="1:27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638"/>
      <c r="H103" s="214"/>
      <c r="I103" s="214"/>
      <c r="J103" s="213"/>
      <c r="K103" s="292"/>
      <c r="L103" s="213"/>
      <c r="M103" s="643"/>
      <c r="N103" s="616">
        <f t="shared" si="1"/>
        <v>0</v>
      </c>
      <c r="O103" s="650" t="s">
        <v>1579</v>
      </c>
      <c r="P103" s="640"/>
      <c r="Q103" s="640"/>
      <c r="R103" s="7"/>
      <c r="S103" s="704"/>
      <c r="T103" s="7"/>
      <c r="U103" s="618">
        <f t="shared" si="4"/>
        <v>0</v>
      </c>
      <c r="V103" s="7"/>
      <c r="W103" s="7"/>
      <c r="X103" s="7"/>
      <c r="Y103" s="7"/>
      <c r="Z103" s="7"/>
      <c r="AA103" s="7"/>
    </row>
    <row r="104" spans="1:27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>
        <f>13+0.03+2</f>
        <v>15.03</v>
      </c>
      <c r="G104" s="620"/>
      <c r="H104" s="214">
        <f t="shared" ref="H104:H105" si="5">0.25+7</f>
        <v>7.25</v>
      </c>
      <c r="I104" s="214">
        <v>2.5</v>
      </c>
      <c r="J104" s="213">
        <v>84.32</v>
      </c>
      <c r="K104" s="729">
        <v>0.51500000000000001</v>
      </c>
      <c r="L104" s="213"/>
      <c r="M104" s="643"/>
      <c r="N104" s="616">
        <f t="shared" si="1"/>
        <v>109.61499999999999</v>
      </c>
      <c r="O104" s="633">
        <f>N104+N126+N115</f>
        <v>282.995</v>
      </c>
      <c r="P104" s="636"/>
      <c r="Q104" s="636"/>
      <c r="R104" s="7"/>
      <c r="S104" s="704">
        <f t="shared" ref="S104:S105" si="6">108.42+73</f>
        <v>181.42000000000002</v>
      </c>
      <c r="T104" s="7"/>
      <c r="U104" s="618">
        <f t="shared" si="4"/>
        <v>71.805000000000021</v>
      </c>
      <c r="V104" s="7"/>
      <c r="W104" s="7"/>
      <c r="X104" s="7"/>
      <c r="Y104" s="7"/>
      <c r="Z104" s="7"/>
      <c r="AA104" s="7"/>
    </row>
    <row r="105" spans="1:27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647"/>
      <c r="H105" s="214">
        <f t="shared" si="5"/>
        <v>7.25</v>
      </c>
      <c r="I105" s="214">
        <v>2.5</v>
      </c>
      <c r="J105" s="213"/>
      <c r="K105" s="204"/>
      <c r="L105" s="213"/>
      <c r="M105" s="643"/>
      <c r="N105" s="616">
        <f t="shared" si="1"/>
        <v>9.75</v>
      </c>
      <c r="O105" s="633"/>
      <c r="P105" s="654"/>
      <c r="Q105" s="654"/>
      <c r="R105" s="7"/>
      <c r="S105" s="704">
        <f t="shared" si="6"/>
        <v>181.42000000000002</v>
      </c>
      <c r="T105" s="7"/>
      <c r="U105" s="618"/>
      <c r="V105" s="7"/>
      <c r="W105" s="7"/>
      <c r="X105" s="7"/>
      <c r="Y105" s="7"/>
      <c r="Z105" s="7"/>
      <c r="AA105" s="7"/>
    </row>
    <row r="106" spans="1:27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647"/>
      <c r="H106" s="214">
        <v>0.25</v>
      </c>
      <c r="I106" s="214"/>
      <c r="J106" s="213"/>
      <c r="K106" s="204"/>
      <c r="L106" s="213"/>
      <c r="M106" s="643"/>
      <c r="N106" s="616">
        <f t="shared" si="1"/>
        <v>0.25</v>
      </c>
      <c r="O106" s="633"/>
      <c r="P106" s="648"/>
      <c r="Q106" s="648"/>
      <c r="R106" s="7"/>
      <c r="S106" s="704">
        <v>108.42</v>
      </c>
      <c r="T106" s="7"/>
      <c r="U106" s="618"/>
      <c r="V106" s="7"/>
      <c r="W106" s="7"/>
      <c r="X106" s="7"/>
      <c r="Y106" s="7"/>
      <c r="Z106" s="7"/>
      <c r="AA106" s="7"/>
    </row>
    <row r="107" spans="1:27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647"/>
      <c r="H107" s="214">
        <v>7</v>
      </c>
      <c r="I107" s="214">
        <v>2.5</v>
      </c>
      <c r="J107" s="213"/>
      <c r="K107" s="292"/>
      <c r="L107" s="213"/>
      <c r="M107" s="643"/>
      <c r="N107" s="616">
        <f t="shared" si="1"/>
        <v>9.5</v>
      </c>
      <c r="O107" s="633"/>
      <c r="P107" s="648"/>
      <c r="Q107" s="648"/>
      <c r="R107" s="7"/>
      <c r="S107" s="704"/>
      <c r="T107" s="7"/>
      <c r="U107" s="618"/>
      <c r="V107" s="7"/>
      <c r="W107" s="7"/>
      <c r="X107" s="7"/>
      <c r="Y107" s="7"/>
      <c r="Z107" s="7"/>
      <c r="AA107" s="7"/>
    </row>
    <row r="108" spans="1:27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647"/>
      <c r="H108" s="214"/>
      <c r="I108" s="214"/>
      <c r="J108" s="213"/>
      <c r="K108" s="292"/>
      <c r="L108" s="213"/>
      <c r="M108" s="643"/>
      <c r="N108" s="616">
        <f t="shared" si="1"/>
        <v>0</v>
      </c>
      <c r="O108" s="633"/>
      <c r="P108" s="648"/>
      <c r="Q108" s="648"/>
      <c r="R108" s="7"/>
      <c r="S108" s="704">
        <v>73</v>
      </c>
      <c r="T108" s="7"/>
      <c r="U108" s="618"/>
      <c r="V108" s="7"/>
      <c r="W108" s="7"/>
      <c r="X108" s="7"/>
      <c r="Y108" s="7"/>
      <c r="Z108" s="7"/>
      <c r="AA108" s="7"/>
    </row>
    <row r="109" spans="1:27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647"/>
      <c r="H109" s="214"/>
      <c r="I109" s="214"/>
      <c r="J109" s="213"/>
      <c r="K109" s="292"/>
      <c r="L109" s="213"/>
      <c r="M109" s="643"/>
      <c r="N109" s="616">
        <f t="shared" si="1"/>
        <v>0</v>
      </c>
      <c r="O109" s="633"/>
      <c r="P109" s="648"/>
      <c r="Q109" s="648"/>
      <c r="R109" s="7"/>
      <c r="S109" s="704"/>
      <c r="T109" s="7"/>
      <c r="U109" s="618">
        <f t="shared" ref="U109:U114" si="7">S109-N109</f>
        <v>0</v>
      </c>
      <c r="V109" s="7"/>
      <c r="W109" s="7"/>
      <c r="X109" s="7"/>
      <c r="Y109" s="7"/>
      <c r="Z109" s="7"/>
      <c r="AA109" s="7"/>
    </row>
    <row r="110" spans="1:27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647"/>
      <c r="H110" s="214"/>
      <c r="I110" s="214"/>
      <c r="J110" s="213"/>
      <c r="K110" s="292"/>
      <c r="L110" s="213"/>
      <c r="M110" s="643"/>
      <c r="N110" s="616">
        <f t="shared" si="1"/>
        <v>0</v>
      </c>
      <c r="O110" s="633"/>
      <c r="P110" s="654"/>
      <c r="Q110" s="654"/>
      <c r="R110" s="7"/>
      <c r="S110" s="704"/>
      <c r="T110" s="7"/>
      <c r="U110" s="618">
        <f t="shared" si="7"/>
        <v>0</v>
      </c>
      <c r="V110" s="7"/>
      <c r="W110" s="7"/>
      <c r="X110" s="7"/>
      <c r="Y110" s="7"/>
      <c r="Z110" s="7"/>
      <c r="AA110" s="7"/>
    </row>
    <row r="111" spans="1:27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647"/>
      <c r="H111" s="214"/>
      <c r="I111" s="214"/>
      <c r="J111" s="213"/>
      <c r="K111" s="292"/>
      <c r="L111" s="213"/>
      <c r="M111" s="643"/>
      <c r="N111" s="616">
        <f t="shared" si="1"/>
        <v>0</v>
      </c>
      <c r="O111" s="633"/>
      <c r="P111" s="634"/>
      <c r="Q111" s="634"/>
      <c r="R111" s="7"/>
      <c r="S111" s="704"/>
      <c r="T111" s="7"/>
      <c r="U111" s="618">
        <f t="shared" si="7"/>
        <v>0</v>
      </c>
      <c r="V111" s="7"/>
      <c r="W111" s="7"/>
      <c r="X111" s="7"/>
      <c r="Y111" s="7"/>
      <c r="Z111" s="7"/>
      <c r="AA111" s="7"/>
    </row>
    <row r="112" spans="1:27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647"/>
      <c r="H112" s="214"/>
      <c r="I112" s="214"/>
      <c r="J112" s="213"/>
      <c r="K112" s="292"/>
      <c r="L112" s="213"/>
      <c r="M112" s="643"/>
      <c r="N112" s="616">
        <f t="shared" si="1"/>
        <v>0</v>
      </c>
      <c r="O112" s="633"/>
      <c r="P112" s="634"/>
      <c r="Q112" s="634"/>
      <c r="R112" s="7"/>
      <c r="S112" s="704"/>
      <c r="T112" s="7"/>
      <c r="U112" s="618">
        <f t="shared" si="7"/>
        <v>0</v>
      </c>
      <c r="V112" s="7"/>
      <c r="W112" s="7"/>
      <c r="X112" s="7"/>
      <c r="Y112" s="7"/>
      <c r="Z112" s="7"/>
      <c r="AA112" s="7"/>
    </row>
    <row r="113" spans="1:27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647"/>
      <c r="H113" s="214"/>
      <c r="I113" s="214"/>
      <c r="J113" s="213"/>
      <c r="K113" s="292"/>
      <c r="L113" s="213"/>
      <c r="M113" s="643"/>
      <c r="N113" s="616">
        <f t="shared" si="1"/>
        <v>0</v>
      </c>
      <c r="O113" s="633"/>
      <c r="P113" s="634"/>
      <c r="Q113" s="634"/>
      <c r="R113" s="7"/>
      <c r="S113" s="704"/>
      <c r="T113" s="7"/>
      <c r="U113" s="618">
        <f t="shared" si="7"/>
        <v>0</v>
      </c>
      <c r="V113" s="7"/>
      <c r="W113" s="7"/>
      <c r="X113" s="7"/>
      <c r="Y113" s="7"/>
      <c r="Z113" s="7"/>
      <c r="AA113" s="7"/>
    </row>
    <row r="114" spans="1:27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647"/>
      <c r="H114" s="214"/>
      <c r="I114" s="214"/>
      <c r="J114" s="213"/>
      <c r="K114" s="292"/>
      <c r="L114" s="213"/>
      <c r="M114" s="643"/>
      <c r="N114" s="616">
        <f t="shared" si="1"/>
        <v>0</v>
      </c>
      <c r="O114" s="633"/>
      <c r="P114" s="634"/>
      <c r="Q114" s="634"/>
      <c r="R114" s="7"/>
      <c r="S114" s="704"/>
      <c r="T114" s="7"/>
      <c r="U114" s="618">
        <f t="shared" si="7"/>
        <v>0</v>
      </c>
      <c r="V114" s="7"/>
      <c r="W114" s="7"/>
      <c r="X114" s="7"/>
      <c r="Y114" s="7"/>
      <c r="Z114" s="7"/>
      <c r="AA114" s="7"/>
    </row>
    <row r="115" spans="1:27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>
        <v>0.315</v>
      </c>
      <c r="G115" s="647"/>
      <c r="H115" s="214"/>
      <c r="I115" s="214"/>
      <c r="J115" s="213"/>
      <c r="K115" s="292">
        <v>0.185</v>
      </c>
      <c r="L115" s="213"/>
      <c r="M115" s="643"/>
      <c r="N115" s="616">
        <f t="shared" si="1"/>
        <v>0.5</v>
      </c>
      <c r="O115" s="633"/>
      <c r="P115" s="636"/>
      <c r="Q115" s="636"/>
      <c r="R115" s="7"/>
      <c r="S115" s="704"/>
      <c r="T115" s="7"/>
      <c r="U115" s="618"/>
      <c r="V115" s="7"/>
      <c r="W115" s="7"/>
      <c r="X115" s="7"/>
      <c r="Y115" s="7"/>
      <c r="Z115" s="7"/>
      <c r="AA115" s="7"/>
    </row>
    <row r="116" spans="1:27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647"/>
      <c r="H116" s="214"/>
      <c r="I116" s="214"/>
      <c r="J116" s="213"/>
      <c r="K116" s="292"/>
      <c r="L116" s="213"/>
      <c r="M116" s="643"/>
      <c r="N116" s="616">
        <f t="shared" si="1"/>
        <v>0</v>
      </c>
      <c r="O116" s="633"/>
      <c r="P116" s="654"/>
      <c r="Q116" s="654"/>
      <c r="R116" s="7"/>
      <c r="S116" s="704"/>
      <c r="T116" s="7"/>
      <c r="U116" s="618">
        <f t="shared" ref="U116:U126" si="8">S116-N116</f>
        <v>0</v>
      </c>
      <c r="V116" s="7"/>
      <c r="W116" s="7"/>
      <c r="X116" s="7"/>
      <c r="Y116" s="7"/>
      <c r="Z116" s="7"/>
      <c r="AA116" s="7"/>
    </row>
    <row r="117" spans="1:27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647"/>
      <c r="H117" s="214"/>
      <c r="I117" s="214"/>
      <c r="J117" s="213"/>
      <c r="K117" s="292"/>
      <c r="L117" s="213"/>
      <c r="M117" s="643"/>
      <c r="N117" s="616">
        <f t="shared" si="1"/>
        <v>0</v>
      </c>
      <c r="O117" s="633"/>
      <c r="P117" s="648"/>
      <c r="Q117" s="648"/>
      <c r="R117" s="7"/>
      <c r="S117" s="704"/>
      <c r="T117" s="7"/>
      <c r="U117" s="618">
        <f t="shared" si="8"/>
        <v>0</v>
      </c>
      <c r="V117" s="7"/>
      <c r="W117" s="7"/>
      <c r="X117" s="7"/>
      <c r="Y117" s="7"/>
      <c r="Z117" s="7"/>
      <c r="AA117" s="7"/>
    </row>
    <row r="118" spans="1:27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647"/>
      <c r="H118" s="214"/>
      <c r="I118" s="214"/>
      <c r="J118" s="213"/>
      <c r="K118" s="292"/>
      <c r="L118" s="213"/>
      <c r="M118" s="643"/>
      <c r="N118" s="616">
        <f t="shared" si="1"/>
        <v>0</v>
      </c>
      <c r="O118" s="633"/>
      <c r="P118" s="648"/>
      <c r="Q118" s="648"/>
      <c r="R118" s="7"/>
      <c r="S118" s="704"/>
      <c r="T118" s="7"/>
      <c r="U118" s="618">
        <f t="shared" si="8"/>
        <v>0</v>
      </c>
      <c r="V118" s="7"/>
      <c r="W118" s="7"/>
      <c r="X118" s="7"/>
      <c r="Y118" s="7"/>
      <c r="Z118" s="7"/>
      <c r="AA118" s="7"/>
    </row>
    <row r="119" spans="1:27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647"/>
      <c r="H119" s="214"/>
      <c r="I119" s="214"/>
      <c r="J119" s="213"/>
      <c r="K119" s="292"/>
      <c r="L119" s="213"/>
      <c r="M119" s="643"/>
      <c r="N119" s="616">
        <f t="shared" si="1"/>
        <v>0</v>
      </c>
      <c r="O119" s="633"/>
      <c r="P119" s="648"/>
      <c r="Q119" s="648"/>
      <c r="R119" s="7"/>
      <c r="S119" s="704"/>
      <c r="T119" s="7"/>
      <c r="U119" s="618">
        <f t="shared" si="8"/>
        <v>0</v>
      </c>
      <c r="V119" s="7"/>
      <c r="W119" s="7"/>
      <c r="X119" s="7"/>
      <c r="Y119" s="7"/>
      <c r="Z119" s="7"/>
      <c r="AA119" s="7"/>
    </row>
    <row r="120" spans="1:27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647"/>
      <c r="H120" s="214"/>
      <c r="I120" s="214"/>
      <c r="J120" s="213"/>
      <c r="K120" s="292"/>
      <c r="L120" s="213"/>
      <c r="M120" s="643"/>
      <c r="N120" s="616">
        <f t="shared" si="1"/>
        <v>0</v>
      </c>
      <c r="O120" s="633"/>
      <c r="P120" s="648"/>
      <c r="Q120" s="648"/>
      <c r="R120" s="7"/>
      <c r="S120" s="704"/>
      <c r="T120" s="7"/>
      <c r="U120" s="618">
        <f t="shared" si="8"/>
        <v>0</v>
      </c>
      <c r="V120" s="7"/>
      <c r="W120" s="7"/>
      <c r="X120" s="7"/>
      <c r="Y120" s="7"/>
      <c r="Z120" s="7"/>
      <c r="AA120" s="7"/>
    </row>
    <row r="121" spans="1:27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647"/>
      <c r="H121" s="214"/>
      <c r="I121" s="214"/>
      <c r="J121" s="213"/>
      <c r="K121" s="292"/>
      <c r="L121" s="213"/>
      <c r="M121" s="643"/>
      <c r="N121" s="616">
        <f t="shared" si="1"/>
        <v>0</v>
      </c>
      <c r="O121" s="633"/>
      <c r="P121" s="654"/>
      <c r="Q121" s="654"/>
      <c r="R121" s="7"/>
      <c r="S121" s="704"/>
      <c r="T121" s="7"/>
      <c r="U121" s="618">
        <f t="shared" si="8"/>
        <v>0</v>
      </c>
      <c r="V121" s="7"/>
      <c r="W121" s="7"/>
      <c r="X121" s="7"/>
      <c r="Y121" s="7"/>
      <c r="Z121" s="7"/>
      <c r="AA121" s="7"/>
    </row>
    <row r="122" spans="1:27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647"/>
      <c r="H122" s="214"/>
      <c r="I122" s="214"/>
      <c r="J122" s="213"/>
      <c r="K122" s="292"/>
      <c r="L122" s="213"/>
      <c r="M122" s="643"/>
      <c r="N122" s="616">
        <f t="shared" si="1"/>
        <v>0</v>
      </c>
      <c r="O122" s="633"/>
      <c r="P122" s="648"/>
      <c r="Q122" s="648"/>
      <c r="R122" s="7"/>
      <c r="S122" s="704"/>
      <c r="T122" s="7"/>
      <c r="U122" s="618">
        <f t="shared" si="8"/>
        <v>0</v>
      </c>
      <c r="V122" s="7"/>
      <c r="W122" s="7"/>
      <c r="X122" s="7"/>
      <c r="Y122" s="7"/>
      <c r="Z122" s="7"/>
      <c r="AA122" s="7"/>
    </row>
    <row r="123" spans="1:27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647"/>
      <c r="H123" s="214"/>
      <c r="I123" s="214"/>
      <c r="J123" s="213"/>
      <c r="K123" s="292"/>
      <c r="L123" s="213"/>
      <c r="M123" s="643"/>
      <c r="N123" s="616">
        <f t="shared" si="1"/>
        <v>0</v>
      </c>
      <c r="O123" s="633"/>
      <c r="P123" s="648"/>
      <c r="Q123" s="648"/>
      <c r="R123" s="7"/>
      <c r="S123" s="704"/>
      <c r="T123" s="7"/>
      <c r="U123" s="618">
        <f t="shared" si="8"/>
        <v>0</v>
      </c>
      <c r="V123" s="7"/>
      <c r="W123" s="7"/>
      <c r="X123" s="7"/>
      <c r="Y123" s="7"/>
      <c r="Z123" s="7"/>
      <c r="AA123" s="7"/>
    </row>
    <row r="124" spans="1:27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647"/>
      <c r="H124" s="214"/>
      <c r="I124" s="214"/>
      <c r="J124" s="213"/>
      <c r="K124" s="292"/>
      <c r="L124" s="213"/>
      <c r="M124" s="643"/>
      <c r="N124" s="616">
        <f t="shared" si="1"/>
        <v>0</v>
      </c>
      <c r="O124" s="633"/>
      <c r="P124" s="648"/>
      <c r="Q124" s="648"/>
      <c r="R124" s="7"/>
      <c r="S124" s="704"/>
      <c r="T124" s="7"/>
      <c r="U124" s="618">
        <f t="shared" si="8"/>
        <v>0</v>
      </c>
      <c r="V124" s="7"/>
      <c r="W124" s="7"/>
      <c r="X124" s="7"/>
      <c r="Y124" s="7"/>
      <c r="Z124" s="7"/>
      <c r="AA124" s="7"/>
    </row>
    <row r="125" spans="1:27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647"/>
      <c r="H125" s="214"/>
      <c r="I125" s="214"/>
      <c r="J125" s="213"/>
      <c r="K125" s="292"/>
      <c r="L125" s="213"/>
      <c r="M125" s="643"/>
      <c r="N125" s="616">
        <f t="shared" si="1"/>
        <v>0</v>
      </c>
      <c r="O125" s="633"/>
      <c r="P125" s="648"/>
      <c r="Q125" s="648"/>
      <c r="R125" s="7"/>
      <c r="S125" s="704"/>
      <c r="T125" s="7"/>
      <c r="U125" s="618">
        <f t="shared" si="8"/>
        <v>0</v>
      </c>
      <c r="V125" s="7"/>
      <c r="W125" s="7"/>
      <c r="X125" s="7"/>
      <c r="Y125" s="7"/>
      <c r="Z125" s="7"/>
      <c r="AA125" s="7"/>
    </row>
    <row r="126" spans="1:27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1</v>
      </c>
      <c r="F126" s="213">
        <f>10.78+1.1+0.5</f>
        <v>12.379999999999999</v>
      </c>
      <c r="G126" s="620">
        <v>2.8</v>
      </c>
      <c r="H126" s="214">
        <f>3+6.7+1.1+0.2</f>
        <v>10.999999999999998</v>
      </c>
      <c r="I126" s="214">
        <f>0.7+0.4</f>
        <v>1.1000000000000001</v>
      </c>
      <c r="J126" s="213">
        <f>126.18+16.57+1.8</f>
        <v>144.55000000000001</v>
      </c>
      <c r="K126" s="313">
        <v>0.05</v>
      </c>
      <c r="L126" s="213"/>
      <c r="M126" s="643"/>
      <c r="N126" s="616">
        <f t="shared" si="1"/>
        <v>172.88000000000002</v>
      </c>
      <c r="O126" s="633"/>
      <c r="P126" s="636"/>
      <c r="Q126" s="636"/>
      <c r="R126" s="7"/>
      <c r="S126" s="704">
        <f>266.745+153.212+29.1+17.75</f>
        <v>466.80700000000002</v>
      </c>
      <c r="T126" s="7"/>
      <c r="U126" s="618">
        <f t="shared" si="8"/>
        <v>293.92700000000002</v>
      </c>
      <c r="V126" s="7"/>
      <c r="W126" s="7"/>
      <c r="X126" s="7"/>
      <c r="Y126" s="7"/>
      <c r="Z126" s="7"/>
      <c r="AA126" s="7"/>
    </row>
    <row r="127" spans="1:27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647"/>
      <c r="H127" s="214">
        <v>3</v>
      </c>
      <c r="I127" s="214"/>
      <c r="J127" s="213"/>
      <c r="K127" s="292"/>
      <c r="L127" s="213"/>
      <c r="M127" s="643"/>
      <c r="N127" s="616">
        <f t="shared" si="1"/>
        <v>3</v>
      </c>
      <c r="O127" s="633"/>
      <c r="P127" s="634"/>
      <c r="Q127" s="634"/>
      <c r="R127" s="7"/>
      <c r="S127" s="704"/>
      <c r="T127" s="7"/>
      <c r="U127" s="618"/>
      <c r="V127" s="7"/>
      <c r="W127" s="7"/>
      <c r="X127" s="7"/>
      <c r="Y127" s="7"/>
      <c r="Z127" s="7"/>
      <c r="AA127" s="7"/>
    </row>
    <row r="128" spans="1:27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647"/>
      <c r="H128" s="214">
        <f>6.7+1.1+0.2</f>
        <v>8</v>
      </c>
      <c r="I128" s="214"/>
      <c r="J128" s="213"/>
      <c r="K128" s="292"/>
      <c r="L128" s="213"/>
      <c r="M128" s="643"/>
      <c r="N128" s="616">
        <f t="shared" si="1"/>
        <v>8</v>
      </c>
      <c r="O128" s="633"/>
      <c r="P128" s="634"/>
      <c r="Q128" s="634"/>
      <c r="R128" s="7"/>
      <c r="S128" s="704"/>
      <c r="T128" s="7"/>
      <c r="U128" s="618"/>
      <c r="V128" s="7"/>
      <c r="W128" s="7"/>
      <c r="X128" s="7"/>
      <c r="Y128" s="7"/>
      <c r="Z128" s="7"/>
      <c r="AA128" s="7"/>
    </row>
    <row r="129" spans="1:27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647"/>
      <c r="H129" s="214"/>
      <c r="I129" s="214"/>
      <c r="J129" s="213"/>
      <c r="K129" s="292"/>
      <c r="L129" s="213"/>
      <c r="M129" s="643"/>
      <c r="N129" s="616">
        <f t="shared" si="1"/>
        <v>0</v>
      </c>
      <c r="O129" s="633"/>
      <c r="P129" s="634"/>
      <c r="Q129" s="634"/>
      <c r="R129" s="7"/>
      <c r="S129" s="704"/>
      <c r="T129" s="7"/>
      <c r="U129" s="618"/>
      <c r="V129" s="7"/>
      <c r="W129" s="7"/>
      <c r="X129" s="7"/>
      <c r="Y129" s="7"/>
      <c r="Z129" s="7"/>
      <c r="AA129" s="7"/>
    </row>
    <row r="130" spans="1:27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647"/>
      <c r="H130" s="214"/>
      <c r="I130" s="214"/>
      <c r="J130" s="213"/>
      <c r="K130" s="292"/>
      <c r="L130" s="213"/>
      <c r="M130" s="643"/>
      <c r="N130" s="616">
        <f t="shared" si="1"/>
        <v>0</v>
      </c>
      <c r="O130" s="633"/>
      <c r="P130" s="634"/>
      <c r="Q130" s="634"/>
      <c r="R130" s="7"/>
      <c r="S130" s="704"/>
      <c r="T130" s="7"/>
      <c r="U130" s="618">
        <f t="shared" ref="U130:U136" si="9">S130-N130</f>
        <v>0</v>
      </c>
      <c r="V130" s="7"/>
      <c r="W130" s="7"/>
      <c r="X130" s="7"/>
      <c r="Y130" s="7"/>
      <c r="Z130" s="7"/>
      <c r="AA130" s="7"/>
    </row>
    <row r="131" spans="1:27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620"/>
      <c r="H131" s="214"/>
      <c r="I131" s="214"/>
      <c r="J131" s="213"/>
      <c r="K131" s="292"/>
      <c r="L131" s="213"/>
      <c r="M131" s="643"/>
      <c r="N131" s="616">
        <f t="shared" si="1"/>
        <v>0</v>
      </c>
      <c r="O131" s="633"/>
      <c r="P131" s="636"/>
      <c r="Q131" s="636"/>
      <c r="R131" s="7"/>
      <c r="S131" s="704"/>
      <c r="T131" s="7"/>
      <c r="U131" s="618">
        <f t="shared" si="9"/>
        <v>0</v>
      </c>
      <c r="V131" s="7"/>
      <c r="W131" s="7"/>
      <c r="X131" s="7"/>
      <c r="Y131" s="7"/>
      <c r="Z131" s="7"/>
      <c r="AA131" s="7"/>
    </row>
    <row r="132" spans="1:27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647"/>
      <c r="H132" s="214"/>
      <c r="I132" s="214"/>
      <c r="J132" s="213"/>
      <c r="K132" s="292"/>
      <c r="L132" s="213"/>
      <c r="M132" s="643"/>
      <c r="N132" s="616">
        <f t="shared" si="1"/>
        <v>0</v>
      </c>
      <c r="O132" s="633"/>
      <c r="P132" s="634"/>
      <c r="Q132" s="634"/>
      <c r="R132" s="7"/>
      <c r="S132" s="704"/>
      <c r="T132" s="7"/>
      <c r="U132" s="618">
        <f t="shared" si="9"/>
        <v>0</v>
      </c>
      <c r="V132" s="7"/>
      <c r="W132" s="7"/>
      <c r="X132" s="7"/>
      <c r="Y132" s="7"/>
      <c r="Z132" s="7"/>
      <c r="AA132" s="7"/>
    </row>
    <row r="133" spans="1:27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647"/>
      <c r="H133" s="214"/>
      <c r="I133" s="214"/>
      <c r="J133" s="213"/>
      <c r="K133" s="292"/>
      <c r="L133" s="213"/>
      <c r="M133" s="643"/>
      <c r="N133" s="616">
        <f t="shared" si="1"/>
        <v>0</v>
      </c>
      <c r="O133" s="633"/>
      <c r="P133" s="634"/>
      <c r="Q133" s="634"/>
      <c r="R133" s="7"/>
      <c r="S133" s="704"/>
      <c r="T133" s="7"/>
      <c r="U133" s="618">
        <f t="shared" si="9"/>
        <v>0</v>
      </c>
      <c r="V133" s="7"/>
      <c r="W133" s="7"/>
      <c r="X133" s="7"/>
      <c r="Y133" s="7"/>
      <c r="Z133" s="7"/>
      <c r="AA133" s="7"/>
    </row>
    <row r="134" spans="1:27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647"/>
      <c r="H134" s="214"/>
      <c r="I134" s="214"/>
      <c r="J134" s="213"/>
      <c r="K134" s="292"/>
      <c r="L134" s="213"/>
      <c r="M134" s="643"/>
      <c r="N134" s="616">
        <f t="shared" si="1"/>
        <v>0</v>
      </c>
      <c r="O134" s="633"/>
      <c r="P134" s="634"/>
      <c r="Q134" s="634"/>
      <c r="R134" s="7"/>
      <c r="S134" s="704"/>
      <c r="T134" s="7"/>
      <c r="U134" s="618">
        <f t="shared" si="9"/>
        <v>0</v>
      </c>
      <c r="V134" s="7"/>
      <c r="W134" s="7"/>
      <c r="X134" s="7"/>
      <c r="Y134" s="7"/>
      <c r="Z134" s="7"/>
      <c r="AA134" s="7"/>
    </row>
    <row r="135" spans="1:27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647"/>
      <c r="H135" s="214"/>
      <c r="I135" s="214"/>
      <c r="J135" s="213"/>
      <c r="K135" s="292"/>
      <c r="L135" s="213"/>
      <c r="M135" s="643"/>
      <c r="N135" s="616">
        <f t="shared" si="1"/>
        <v>0</v>
      </c>
      <c r="O135" s="633"/>
      <c r="P135" s="634"/>
      <c r="Q135" s="634"/>
      <c r="R135" s="7"/>
      <c r="S135" s="704"/>
      <c r="T135" s="7"/>
      <c r="U135" s="618">
        <f t="shared" si="9"/>
        <v>0</v>
      </c>
      <c r="V135" s="7"/>
      <c r="W135" s="7"/>
      <c r="X135" s="7"/>
      <c r="Y135" s="7"/>
      <c r="Z135" s="7"/>
      <c r="AA135" s="7"/>
    </row>
    <row r="136" spans="1:27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620"/>
      <c r="H136" s="214"/>
      <c r="I136" s="214"/>
      <c r="J136" s="213">
        <v>4.5060000000000002</v>
      </c>
      <c r="K136" s="292"/>
      <c r="L136" s="213"/>
      <c r="M136" s="643"/>
      <c r="N136" s="616">
        <f t="shared" si="1"/>
        <v>4.5060000000000002</v>
      </c>
      <c r="O136" s="633"/>
      <c r="P136" s="636"/>
      <c r="Q136" s="636"/>
      <c r="R136" s="7"/>
      <c r="S136" s="704">
        <f>25.12+16.71+5.2</f>
        <v>47.03</v>
      </c>
      <c r="T136" s="7"/>
      <c r="U136" s="618">
        <f t="shared" si="9"/>
        <v>42.524000000000001</v>
      </c>
      <c r="V136" s="7"/>
      <c r="W136" s="7"/>
      <c r="X136" s="7"/>
      <c r="Y136" s="7"/>
      <c r="Z136" s="7"/>
      <c r="AA136" s="7"/>
    </row>
    <row r="137" spans="1:27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647"/>
      <c r="H137" s="214"/>
      <c r="I137" s="214"/>
      <c r="J137" s="213"/>
      <c r="K137" s="292"/>
      <c r="L137" s="213"/>
      <c r="M137" s="643"/>
      <c r="N137" s="616">
        <f t="shared" si="1"/>
        <v>0</v>
      </c>
      <c r="O137" s="633"/>
      <c r="P137" s="648"/>
      <c r="Q137" s="648"/>
      <c r="R137" s="7"/>
      <c r="S137" s="704">
        <v>25.12</v>
      </c>
      <c r="T137" s="7"/>
      <c r="U137" s="618"/>
      <c r="V137" s="7"/>
      <c r="W137" s="7"/>
      <c r="X137" s="7"/>
      <c r="Y137" s="7"/>
      <c r="Z137" s="7"/>
      <c r="AA137" s="7"/>
    </row>
    <row r="138" spans="1:27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647"/>
      <c r="H138" s="214"/>
      <c r="I138" s="214"/>
      <c r="J138" s="213"/>
      <c r="K138" s="292"/>
      <c r="L138" s="213"/>
      <c r="M138" s="643"/>
      <c r="N138" s="616">
        <f t="shared" si="1"/>
        <v>0</v>
      </c>
      <c r="O138" s="633"/>
      <c r="P138" s="648"/>
      <c r="Q138" s="648"/>
      <c r="R138" s="7"/>
      <c r="S138" s="704"/>
      <c r="T138" s="7"/>
      <c r="U138" s="618"/>
      <c r="V138" s="7"/>
      <c r="W138" s="7"/>
      <c r="X138" s="7"/>
      <c r="Y138" s="7"/>
      <c r="Z138" s="7"/>
      <c r="AA138" s="7"/>
    </row>
    <row r="139" spans="1:27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647"/>
      <c r="H139" s="214"/>
      <c r="I139" s="214"/>
      <c r="J139" s="213"/>
      <c r="K139" s="292"/>
      <c r="L139" s="213"/>
      <c r="M139" s="643"/>
      <c r="N139" s="616">
        <f t="shared" si="1"/>
        <v>0</v>
      </c>
      <c r="O139" s="633"/>
      <c r="P139" s="648"/>
      <c r="Q139" s="648"/>
      <c r="R139" s="7"/>
      <c r="S139" s="704">
        <v>16.71</v>
      </c>
      <c r="T139" s="7"/>
      <c r="U139" s="618"/>
      <c r="V139" s="7"/>
      <c r="W139" s="7"/>
      <c r="X139" s="7"/>
      <c r="Y139" s="7"/>
      <c r="Z139" s="7"/>
      <c r="AA139" s="7"/>
    </row>
    <row r="140" spans="1:27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647"/>
      <c r="H140" s="214"/>
      <c r="I140" s="214"/>
      <c r="J140" s="213"/>
      <c r="K140" s="292"/>
      <c r="L140" s="213"/>
      <c r="M140" s="643"/>
      <c r="N140" s="616">
        <f t="shared" si="1"/>
        <v>0</v>
      </c>
      <c r="O140" s="633"/>
      <c r="P140" s="648"/>
      <c r="Q140" s="648"/>
      <c r="R140" s="7"/>
      <c r="S140" s="704">
        <v>5.2</v>
      </c>
      <c r="T140" s="7"/>
      <c r="U140" s="618"/>
      <c r="V140" s="7"/>
      <c r="W140" s="7"/>
      <c r="X140" s="7"/>
      <c r="Y140" s="7"/>
      <c r="Z140" s="7"/>
      <c r="AA140" s="7"/>
    </row>
    <row r="141" spans="1:27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620"/>
      <c r="H141" s="214"/>
      <c r="I141" s="214"/>
      <c r="J141" s="213">
        <f>42.1+0.1</f>
        <v>42.2</v>
      </c>
      <c r="K141" s="292"/>
      <c r="L141" s="213"/>
      <c r="M141" s="643"/>
      <c r="N141" s="616">
        <f t="shared" si="1"/>
        <v>42.2</v>
      </c>
      <c r="O141" s="633"/>
      <c r="P141" s="636"/>
      <c r="Q141" s="636"/>
      <c r="R141" s="7"/>
      <c r="S141" s="704"/>
      <c r="T141" s="7"/>
      <c r="U141" s="618"/>
      <c r="V141" s="7"/>
      <c r="W141" s="7"/>
      <c r="X141" s="7"/>
      <c r="Y141" s="7"/>
      <c r="Z141" s="7"/>
      <c r="AA141" s="7"/>
    </row>
    <row r="142" spans="1:27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647"/>
      <c r="H142" s="214"/>
      <c r="I142" s="214"/>
      <c r="J142" s="213"/>
      <c r="K142" s="292"/>
      <c r="L142" s="213"/>
      <c r="M142" s="643"/>
      <c r="N142" s="616">
        <f t="shared" si="1"/>
        <v>0</v>
      </c>
      <c r="O142" s="633"/>
      <c r="P142" s="648"/>
      <c r="Q142" s="648"/>
      <c r="R142" s="7"/>
      <c r="S142" s="704"/>
      <c r="T142" s="7"/>
      <c r="U142" s="618">
        <f t="shared" ref="U142:U145" si="10">S142-N142</f>
        <v>0</v>
      </c>
      <c r="V142" s="7"/>
      <c r="W142" s="7"/>
      <c r="X142" s="7"/>
      <c r="Y142" s="7"/>
      <c r="Z142" s="7"/>
      <c r="AA142" s="7"/>
    </row>
    <row r="143" spans="1:27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647"/>
      <c r="H143" s="214"/>
      <c r="I143" s="214"/>
      <c r="J143" s="213"/>
      <c r="K143" s="292"/>
      <c r="L143" s="213"/>
      <c r="M143" s="643"/>
      <c r="N143" s="616">
        <f t="shared" si="1"/>
        <v>0</v>
      </c>
      <c r="O143" s="633"/>
      <c r="P143" s="648"/>
      <c r="Q143" s="648"/>
      <c r="R143" s="7"/>
      <c r="S143" s="704"/>
      <c r="T143" s="7"/>
      <c r="U143" s="618">
        <f t="shared" si="10"/>
        <v>0</v>
      </c>
      <c r="V143" s="7"/>
      <c r="W143" s="7"/>
      <c r="X143" s="7"/>
      <c r="Y143" s="7"/>
      <c r="Z143" s="7"/>
      <c r="AA143" s="7"/>
    </row>
    <row r="144" spans="1:27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647"/>
      <c r="H144" s="214"/>
      <c r="I144" s="214"/>
      <c r="J144" s="213"/>
      <c r="K144" s="292"/>
      <c r="L144" s="213"/>
      <c r="M144" s="643"/>
      <c r="N144" s="616">
        <f t="shared" si="1"/>
        <v>0</v>
      </c>
      <c r="O144" s="633"/>
      <c r="P144" s="648"/>
      <c r="Q144" s="648"/>
      <c r="R144" s="7"/>
      <c r="S144" s="725"/>
      <c r="T144" s="7"/>
      <c r="U144" s="618">
        <f t="shared" si="10"/>
        <v>0</v>
      </c>
      <c r="V144" s="7"/>
      <c r="W144" s="7"/>
      <c r="X144" s="7"/>
      <c r="Y144" s="7"/>
      <c r="Z144" s="7"/>
      <c r="AA144" s="7"/>
    </row>
    <row r="145" spans="1:27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647"/>
      <c r="H145" s="214"/>
      <c r="I145" s="214"/>
      <c r="J145" s="213"/>
      <c r="K145" s="292"/>
      <c r="L145" s="213"/>
      <c r="M145" s="643"/>
      <c r="N145" s="616">
        <f t="shared" si="1"/>
        <v>0</v>
      </c>
      <c r="O145" s="633"/>
      <c r="P145" s="648"/>
      <c r="Q145" s="648"/>
      <c r="R145" s="7"/>
      <c r="S145" s="725"/>
      <c r="T145" s="7"/>
      <c r="U145" s="618">
        <f t="shared" si="10"/>
        <v>0</v>
      </c>
      <c r="V145" s="7"/>
      <c r="W145" s="7"/>
      <c r="X145" s="7"/>
      <c r="Y145" s="7"/>
      <c r="Z145" s="7"/>
      <c r="AA145" s="7"/>
    </row>
    <row r="146" spans="1:27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620"/>
      <c r="H146" s="214"/>
      <c r="I146" s="214"/>
      <c r="J146" s="213">
        <f>29.3+0.5</f>
        <v>29.8</v>
      </c>
      <c r="K146" s="292"/>
      <c r="L146" s="213"/>
      <c r="M146" s="643"/>
      <c r="N146" s="616">
        <f t="shared" si="1"/>
        <v>29.8</v>
      </c>
      <c r="O146" s="633"/>
      <c r="P146" s="636"/>
      <c r="Q146" s="636"/>
      <c r="R146" s="7"/>
      <c r="S146" s="725">
        <v>0.4</v>
      </c>
      <c r="T146" s="7"/>
      <c r="U146" s="618"/>
      <c r="V146" s="7"/>
      <c r="W146" s="7"/>
      <c r="X146" s="7"/>
      <c r="Y146" s="7"/>
      <c r="Z146" s="7"/>
      <c r="AA146" s="7"/>
    </row>
    <row r="147" spans="1:27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647"/>
      <c r="H147" s="214"/>
      <c r="I147" s="214"/>
      <c r="J147" s="213"/>
      <c r="K147" s="292"/>
      <c r="L147" s="213"/>
      <c r="M147" s="643"/>
      <c r="N147" s="616">
        <f t="shared" si="1"/>
        <v>0</v>
      </c>
      <c r="O147" s="633"/>
      <c r="P147" s="634"/>
      <c r="Q147" s="634"/>
      <c r="R147" s="7"/>
      <c r="S147" s="725"/>
      <c r="T147" s="7"/>
      <c r="U147" s="618">
        <f t="shared" ref="U147:U151" si="11">S147-N147</f>
        <v>0</v>
      </c>
      <c r="V147" s="7"/>
      <c r="W147" s="7"/>
      <c r="X147" s="7"/>
      <c r="Y147" s="7"/>
      <c r="Z147" s="7"/>
      <c r="AA147" s="7"/>
    </row>
    <row r="148" spans="1:27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647"/>
      <c r="H148" s="214"/>
      <c r="I148" s="214"/>
      <c r="J148" s="213"/>
      <c r="K148" s="292"/>
      <c r="L148" s="213"/>
      <c r="M148" s="643"/>
      <c r="N148" s="616">
        <f t="shared" si="1"/>
        <v>0</v>
      </c>
      <c r="O148" s="633"/>
      <c r="P148" s="634"/>
      <c r="Q148" s="634"/>
      <c r="R148" s="7"/>
      <c r="S148" s="725"/>
      <c r="T148" s="7"/>
      <c r="U148" s="618">
        <f t="shared" si="11"/>
        <v>0</v>
      </c>
      <c r="V148" s="7"/>
      <c r="W148" s="7"/>
      <c r="X148" s="7"/>
      <c r="Y148" s="7"/>
      <c r="Z148" s="7"/>
      <c r="AA148" s="7"/>
    </row>
    <row r="149" spans="1:27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647"/>
      <c r="H149" s="214"/>
      <c r="I149" s="214"/>
      <c r="J149" s="213"/>
      <c r="K149" s="292"/>
      <c r="L149" s="213"/>
      <c r="M149" s="643"/>
      <c r="N149" s="616">
        <f t="shared" si="1"/>
        <v>0</v>
      </c>
      <c r="O149" s="633"/>
      <c r="P149" s="634"/>
      <c r="Q149" s="634"/>
      <c r="R149" s="7"/>
      <c r="S149" s="725"/>
      <c r="T149" s="7"/>
      <c r="U149" s="618">
        <f t="shared" si="11"/>
        <v>0</v>
      </c>
      <c r="V149" s="7"/>
      <c r="W149" s="7"/>
      <c r="X149" s="7"/>
      <c r="Y149" s="7"/>
      <c r="Z149" s="7"/>
      <c r="AA149" s="7"/>
    </row>
    <row r="150" spans="1:27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647"/>
      <c r="H150" s="214"/>
      <c r="I150" s="214"/>
      <c r="J150" s="213"/>
      <c r="K150" s="292"/>
      <c r="L150" s="213"/>
      <c r="M150" s="643"/>
      <c r="N150" s="616">
        <f t="shared" si="1"/>
        <v>0</v>
      </c>
      <c r="O150" s="633"/>
      <c r="P150" s="634"/>
      <c r="Q150" s="634"/>
      <c r="R150" s="7"/>
      <c r="S150" s="725"/>
      <c r="T150" s="7"/>
      <c r="U150" s="618">
        <f t="shared" si="11"/>
        <v>0</v>
      </c>
      <c r="V150" s="7"/>
      <c r="W150" s="7"/>
      <c r="X150" s="7"/>
      <c r="Y150" s="7"/>
      <c r="Z150" s="7"/>
      <c r="AA150" s="7"/>
    </row>
    <row r="151" spans="1:27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>
        <v>11</v>
      </c>
      <c r="G151" s="620"/>
      <c r="H151" s="214"/>
      <c r="I151" s="214">
        <v>3.5</v>
      </c>
      <c r="J151" s="213"/>
      <c r="K151" s="292">
        <v>0.1</v>
      </c>
      <c r="L151" s="213"/>
      <c r="M151" s="643"/>
      <c r="N151" s="616">
        <f t="shared" si="1"/>
        <v>14.6</v>
      </c>
      <c r="O151" s="633"/>
      <c r="P151" s="636"/>
      <c r="Q151" s="636"/>
      <c r="R151" s="7"/>
      <c r="S151" s="725">
        <f>0.91+69.61</f>
        <v>70.52</v>
      </c>
      <c r="T151" s="7"/>
      <c r="U151" s="618">
        <f t="shared" si="11"/>
        <v>55.919999999999995</v>
      </c>
      <c r="V151" s="7"/>
      <c r="W151" s="7"/>
      <c r="X151" s="7"/>
      <c r="Y151" s="7"/>
      <c r="Z151" s="7"/>
      <c r="AA151" s="7"/>
    </row>
    <row r="152" spans="1:27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647"/>
      <c r="H152" s="214"/>
      <c r="I152" s="214"/>
      <c r="J152" s="213"/>
      <c r="K152" s="292"/>
      <c r="L152" s="213"/>
      <c r="M152" s="643"/>
      <c r="N152" s="616">
        <f t="shared" si="1"/>
        <v>0</v>
      </c>
      <c r="O152" s="633"/>
      <c r="P152" s="634"/>
      <c r="Q152" s="634"/>
      <c r="R152" s="7"/>
      <c r="S152" s="725">
        <v>0.91</v>
      </c>
      <c r="T152" s="7"/>
      <c r="U152" s="618"/>
      <c r="V152" s="7"/>
      <c r="W152" s="7"/>
      <c r="X152" s="7"/>
      <c r="Y152" s="7"/>
      <c r="Z152" s="7"/>
      <c r="AA152" s="7"/>
    </row>
    <row r="153" spans="1:27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647"/>
      <c r="H153" s="214"/>
      <c r="I153" s="214"/>
      <c r="J153" s="213"/>
      <c r="K153" s="292"/>
      <c r="L153" s="213"/>
      <c r="M153" s="643"/>
      <c r="N153" s="616">
        <f t="shared" si="1"/>
        <v>0</v>
      </c>
      <c r="O153" s="633"/>
      <c r="P153" s="634"/>
      <c r="Q153" s="634"/>
      <c r="R153" s="7"/>
      <c r="S153" s="725"/>
      <c r="T153" s="7"/>
      <c r="U153" s="618"/>
      <c r="V153" s="7"/>
      <c r="W153" s="7"/>
      <c r="X153" s="7"/>
      <c r="Y153" s="7"/>
      <c r="Z153" s="7"/>
      <c r="AA153" s="7"/>
    </row>
    <row r="154" spans="1:27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647"/>
      <c r="H154" s="214"/>
      <c r="I154" s="214"/>
      <c r="J154" s="213"/>
      <c r="K154" s="292"/>
      <c r="L154" s="213"/>
      <c r="M154" s="643"/>
      <c r="N154" s="616">
        <f t="shared" si="1"/>
        <v>0</v>
      </c>
      <c r="O154" s="633"/>
      <c r="P154" s="634"/>
      <c r="Q154" s="634"/>
      <c r="R154" s="7"/>
      <c r="S154" s="725">
        <v>69.61</v>
      </c>
      <c r="T154" s="7"/>
      <c r="U154" s="618"/>
      <c r="V154" s="7"/>
      <c r="W154" s="7"/>
      <c r="X154" s="7"/>
      <c r="Y154" s="7"/>
      <c r="Z154" s="7"/>
      <c r="AA154" s="7"/>
    </row>
    <row r="155" spans="1:27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647"/>
      <c r="H155" s="214"/>
      <c r="I155" s="214"/>
      <c r="J155" s="213"/>
      <c r="K155" s="292"/>
      <c r="L155" s="213"/>
      <c r="M155" s="643"/>
      <c r="N155" s="616">
        <f t="shared" si="1"/>
        <v>0</v>
      </c>
      <c r="O155" s="633"/>
      <c r="P155" s="634"/>
      <c r="Q155" s="634"/>
      <c r="R155" s="7"/>
      <c r="S155" s="725"/>
      <c r="T155" s="7"/>
      <c r="U155" s="618">
        <f t="shared" ref="U155:U164" si="12">S155-N155</f>
        <v>0</v>
      </c>
      <c r="V155" s="7"/>
      <c r="W155" s="7"/>
      <c r="X155" s="7"/>
      <c r="Y155" s="7"/>
      <c r="Z155" s="7"/>
      <c r="AA155" s="7"/>
    </row>
    <row r="156" spans="1:27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620"/>
      <c r="H156" s="214"/>
      <c r="I156" s="214"/>
      <c r="J156" s="213"/>
      <c r="K156" s="292"/>
      <c r="L156" s="213"/>
      <c r="M156" s="643"/>
      <c r="N156" s="616">
        <f t="shared" si="1"/>
        <v>0</v>
      </c>
      <c r="O156" s="633"/>
      <c r="P156" s="636"/>
      <c r="Q156" s="636"/>
      <c r="R156" s="7"/>
      <c r="S156" s="725"/>
      <c r="T156" s="7"/>
      <c r="U156" s="618">
        <f t="shared" si="12"/>
        <v>0</v>
      </c>
      <c r="V156" s="7"/>
      <c r="W156" s="7"/>
      <c r="X156" s="7"/>
      <c r="Y156" s="7"/>
      <c r="Z156" s="7"/>
      <c r="AA156" s="7"/>
    </row>
    <row r="157" spans="1:27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647"/>
      <c r="H157" s="214"/>
      <c r="I157" s="214"/>
      <c r="J157" s="213"/>
      <c r="K157" s="292"/>
      <c r="L157" s="213"/>
      <c r="M157" s="643"/>
      <c r="N157" s="616">
        <f t="shared" si="1"/>
        <v>0</v>
      </c>
      <c r="O157" s="633"/>
      <c r="P157" s="648"/>
      <c r="Q157" s="648"/>
      <c r="R157" s="7"/>
      <c r="S157" s="725"/>
      <c r="T157" s="7"/>
      <c r="U157" s="618">
        <f t="shared" si="12"/>
        <v>0</v>
      </c>
      <c r="V157" s="7"/>
      <c r="W157" s="7"/>
      <c r="X157" s="7"/>
      <c r="Y157" s="7"/>
      <c r="Z157" s="7"/>
      <c r="AA157" s="7"/>
    </row>
    <row r="158" spans="1:27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647"/>
      <c r="H158" s="214"/>
      <c r="I158" s="214"/>
      <c r="J158" s="213"/>
      <c r="K158" s="292"/>
      <c r="L158" s="213"/>
      <c r="M158" s="643"/>
      <c r="N158" s="616">
        <f t="shared" si="1"/>
        <v>0</v>
      </c>
      <c r="O158" s="633"/>
      <c r="P158" s="648"/>
      <c r="Q158" s="648"/>
      <c r="R158" s="7"/>
      <c r="S158" s="725"/>
      <c r="T158" s="7"/>
      <c r="U158" s="618">
        <f t="shared" si="12"/>
        <v>0</v>
      </c>
      <c r="V158" s="7"/>
      <c r="W158" s="7"/>
      <c r="X158" s="7"/>
      <c r="Y158" s="7"/>
      <c r="Z158" s="7"/>
      <c r="AA158" s="7"/>
    </row>
    <row r="159" spans="1:27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647"/>
      <c r="H159" s="214"/>
      <c r="I159" s="214"/>
      <c r="J159" s="213"/>
      <c r="K159" s="292"/>
      <c r="L159" s="213"/>
      <c r="M159" s="643"/>
      <c r="N159" s="616">
        <f t="shared" si="1"/>
        <v>0</v>
      </c>
      <c r="O159" s="633"/>
      <c r="P159" s="648"/>
      <c r="Q159" s="648"/>
      <c r="R159" s="7"/>
      <c r="S159" s="725"/>
      <c r="T159" s="7"/>
      <c r="U159" s="618">
        <f t="shared" si="12"/>
        <v>0</v>
      </c>
      <c r="V159" s="7"/>
      <c r="W159" s="7"/>
      <c r="X159" s="7"/>
      <c r="Y159" s="7"/>
      <c r="Z159" s="7"/>
      <c r="AA159" s="7"/>
    </row>
    <row r="160" spans="1:27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647"/>
      <c r="H160" s="214"/>
      <c r="I160" s="214"/>
      <c r="J160" s="213"/>
      <c r="K160" s="292"/>
      <c r="L160" s="213"/>
      <c r="M160" s="643"/>
      <c r="N160" s="616">
        <f t="shared" si="1"/>
        <v>0</v>
      </c>
      <c r="O160" s="633"/>
      <c r="P160" s="648"/>
      <c r="Q160" s="648"/>
      <c r="R160" s="7"/>
      <c r="S160" s="725"/>
      <c r="T160" s="7"/>
      <c r="U160" s="618">
        <f t="shared" si="12"/>
        <v>0</v>
      </c>
      <c r="V160" s="7"/>
      <c r="W160" s="7"/>
      <c r="X160" s="7"/>
      <c r="Y160" s="7"/>
      <c r="Z160" s="7"/>
      <c r="AA160" s="7"/>
    </row>
    <row r="161" spans="1:27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620"/>
      <c r="H161" s="214"/>
      <c r="I161" s="214"/>
      <c r="J161" s="213"/>
      <c r="K161" s="292"/>
      <c r="L161" s="213"/>
      <c r="M161" s="643"/>
      <c r="N161" s="616">
        <f t="shared" si="1"/>
        <v>0</v>
      </c>
      <c r="O161" s="633"/>
      <c r="P161" s="636"/>
      <c r="Q161" s="636"/>
      <c r="R161" s="7"/>
      <c r="S161" s="725"/>
      <c r="T161" s="7"/>
      <c r="U161" s="618">
        <f t="shared" si="12"/>
        <v>0</v>
      </c>
      <c r="V161" s="7"/>
      <c r="W161" s="7"/>
      <c r="X161" s="7"/>
      <c r="Y161" s="7"/>
      <c r="Z161" s="7"/>
      <c r="AA161" s="7"/>
    </row>
    <row r="162" spans="1:27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620"/>
      <c r="H162" s="214"/>
      <c r="I162" s="214"/>
      <c r="J162" s="213"/>
      <c r="K162" s="292"/>
      <c r="L162" s="213"/>
      <c r="M162" s="643"/>
      <c r="N162" s="616">
        <f t="shared" si="1"/>
        <v>0</v>
      </c>
      <c r="O162" s="633"/>
      <c r="P162" s="636"/>
      <c r="Q162" s="636"/>
      <c r="R162" s="7"/>
      <c r="S162" s="725"/>
      <c r="T162" s="7"/>
      <c r="U162" s="618">
        <f t="shared" si="12"/>
        <v>0</v>
      </c>
      <c r="V162" s="7"/>
      <c r="W162" s="7"/>
      <c r="X162" s="7"/>
      <c r="Y162" s="7"/>
      <c r="Z162" s="7"/>
      <c r="AA162" s="7"/>
    </row>
    <row r="163" spans="1:27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620"/>
      <c r="H163" s="214"/>
      <c r="I163" s="214"/>
      <c r="J163" s="213"/>
      <c r="K163" s="292"/>
      <c r="L163" s="213"/>
      <c r="M163" s="643"/>
      <c r="N163" s="616">
        <f t="shared" si="1"/>
        <v>0</v>
      </c>
      <c r="O163" s="633"/>
      <c r="P163" s="636"/>
      <c r="Q163" s="636"/>
      <c r="R163" s="7"/>
      <c r="S163" s="725"/>
      <c r="T163" s="7"/>
      <c r="U163" s="618">
        <f t="shared" si="12"/>
        <v>0</v>
      </c>
      <c r="V163" s="7"/>
      <c r="W163" s="7"/>
      <c r="X163" s="7"/>
      <c r="Y163" s="7"/>
      <c r="Z163" s="7"/>
      <c r="AA163" s="7"/>
    </row>
    <row r="164" spans="1:27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620"/>
      <c r="H164" s="214"/>
      <c r="I164" s="214"/>
      <c r="J164" s="213"/>
      <c r="K164" s="292"/>
      <c r="L164" s="213"/>
      <c r="M164" s="643"/>
      <c r="N164" s="616">
        <f t="shared" si="1"/>
        <v>0</v>
      </c>
      <c r="O164" s="633"/>
      <c r="P164" s="636"/>
      <c r="Q164" s="636"/>
      <c r="R164" s="7"/>
      <c r="S164" s="725"/>
      <c r="T164" s="7"/>
      <c r="U164" s="618">
        <f t="shared" si="12"/>
        <v>0</v>
      </c>
      <c r="V164" s="7"/>
      <c r="W164" s="7"/>
      <c r="X164" s="7"/>
      <c r="Y164" s="7"/>
      <c r="Z164" s="7"/>
      <c r="AA164" s="7"/>
    </row>
    <row r="165" spans="1:27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620"/>
      <c r="H165" s="214"/>
      <c r="I165" s="214"/>
      <c r="J165" s="213"/>
      <c r="K165" s="292">
        <v>0.45</v>
      </c>
      <c r="L165" s="213"/>
      <c r="M165" s="643"/>
      <c r="N165" s="616">
        <f t="shared" si="1"/>
        <v>0.45</v>
      </c>
      <c r="O165" s="633"/>
      <c r="P165" s="636"/>
      <c r="Q165" s="636"/>
      <c r="R165" s="7"/>
      <c r="S165" s="725"/>
      <c r="T165" s="7"/>
      <c r="U165" s="618"/>
      <c r="V165" s="7"/>
      <c r="W165" s="7"/>
      <c r="X165" s="7"/>
      <c r="Y165" s="7"/>
      <c r="Z165" s="7"/>
      <c r="AA165" s="7"/>
    </row>
    <row r="166" spans="1:27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620"/>
      <c r="H166" s="214"/>
      <c r="I166" s="214"/>
      <c r="J166" s="213"/>
      <c r="K166" s="292"/>
      <c r="L166" s="213"/>
      <c r="M166" s="643"/>
      <c r="N166" s="616">
        <f t="shared" si="1"/>
        <v>0</v>
      </c>
      <c r="O166" s="633"/>
      <c r="P166" s="636"/>
      <c r="Q166" s="636"/>
      <c r="R166" s="7"/>
      <c r="S166" s="725"/>
      <c r="T166" s="7"/>
      <c r="U166" s="618">
        <f t="shared" ref="U166:U173" si="13">S166-N166</f>
        <v>0</v>
      </c>
      <c r="V166" s="7"/>
      <c r="W166" s="7"/>
      <c r="X166" s="7"/>
      <c r="Y166" s="7"/>
      <c r="Z166" s="7"/>
      <c r="AA166" s="7"/>
    </row>
    <row r="167" spans="1:27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620"/>
      <c r="H167" s="214"/>
      <c r="I167" s="214"/>
      <c r="J167" s="213"/>
      <c r="K167" s="292"/>
      <c r="L167" s="213"/>
      <c r="M167" s="643"/>
      <c r="N167" s="616">
        <f t="shared" si="1"/>
        <v>0</v>
      </c>
      <c r="O167" s="633"/>
      <c r="P167" s="636"/>
      <c r="Q167" s="636"/>
      <c r="R167" s="7"/>
      <c r="S167" s="725"/>
      <c r="T167" s="7"/>
      <c r="U167" s="618">
        <f t="shared" si="13"/>
        <v>0</v>
      </c>
      <c r="V167" s="7"/>
      <c r="W167" s="7"/>
      <c r="X167" s="7"/>
      <c r="Y167" s="7"/>
      <c r="Z167" s="7"/>
      <c r="AA167" s="7"/>
    </row>
    <row r="168" spans="1:27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620"/>
      <c r="H168" s="214"/>
      <c r="I168" s="214"/>
      <c r="J168" s="213"/>
      <c r="K168" s="292"/>
      <c r="L168" s="213"/>
      <c r="M168" s="643"/>
      <c r="N168" s="616">
        <f t="shared" si="1"/>
        <v>0</v>
      </c>
      <c r="O168" s="633"/>
      <c r="P168" s="636"/>
      <c r="Q168" s="636"/>
      <c r="R168" s="7"/>
      <c r="S168" s="725"/>
      <c r="T168" s="7"/>
      <c r="U168" s="618">
        <f t="shared" si="13"/>
        <v>0</v>
      </c>
      <c r="V168" s="7"/>
      <c r="W168" s="7"/>
      <c r="X168" s="7"/>
      <c r="Y168" s="7"/>
      <c r="Z168" s="7"/>
      <c r="AA168" s="7"/>
    </row>
    <row r="169" spans="1:27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620"/>
      <c r="H169" s="214"/>
      <c r="I169" s="214"/>
      <c r="J169" s="213"/>
      <c r="K169" s="292"/>
      <c r="L169" s="213"/>
      <c r="M169" s="643"/>
      <c r="N169" s="616">
        <f t="shared" si="1"/>
        <v>0</v>
      </c>
      <c r="O169" s="633"/>
      <c r="P169" s="636"/>
      <c r="Q169" s="636"/>
      <c r="R169" s="7"/>
      <c r="S169" s="725"/>
      <c r="T169" s="7"/>
      <c r="U169" s="618">
        <f t="shared" si="13"/>
        <v>0</v>
      </c>
      <c r="V169" s="7"/>
      <c r="W169" s="7"/>
      <c r="X169" s="7"/>
      <c r="Y169" s="7"/>
      <c r="Z169" s="7"/>
      <c r="AA169" s="7"/>
    </row>
    <row r="170" spans="1:27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620"/>
      <c r="H170" s="214"/>
      <c r="I170" s="214"/>
      <c r="J170" s="213"/>
      <c r="K170" s="292"/>
      <c r="L170" s="213"/>
      <c r="M170" s="643"/>
      <c r="N170" s="616">
        <f t="shared" si="1"/>
        <v>0</v>
      </c>
      <c r="O170" s="633"/>
      <c r="P170" s="636"/>
      <c r="Q170" s="636"/>
      <c r="R170" s="7"/>
      <c r="S170" s="725"/>
      <c r="T170" s="7"/>
      <c r="U170" s="618">
        <f t="shared" si="13"/>
        <v>0</v>
      </c>
      <c r="V170" s="7"/>
      <c r="W170" s="7"/>
      <c r="X170" s="7"/>
      <c r="Y170" s="7"/>
      <c r="Z170" s="7"/>
      <c r="AA170" s="7"/>
    </row>
    <row r="171" spans="1:27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638"/>
      <c r="H171" s="214"/>
      <c r="I171" s="214"/>
      <c r="J171" s="213"/>
      <c r="K171" s="292"/>
      <c r="L171" s="213"/>
      <c r="M171" s="643"/>
      <c r="N171" s="616">
        <f t="shared" si="1"/>
        <v>0</v>
      </c>
      <c r="O171" s="633"/>
      <c r="P171" s="636"/>
      <c r="Q171" s="636"/>
      <c r="R171" s="7"/>
      <c r="S171" s="725"/>
      <c r="T171" s="7"/>
      <c r="U171" s="618">
        <f t="shared" si="13"/>
        <v>0</v>
      </c>
      <c r="V171" s="7"/>
      <c r="W171" s="7"/>
      <c r="X171" s="7"/>
      <c r="Y171" s="7"/>
      <c r="Z171" s="7"/>
      <c r="AA171" s="7"/>
    </row>
    <row r="172" spans="1:27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638"/>
      <c r="H172" s="214"/>
      <c r="I172" s="214"/>
      <c r="J172" s="213"/>
      <c r="K172" s="292"/>
      <c r="L172" s="213"/>
      <c r="M172" s="643"/>
      <c r="N172" s="616">
        <f t="shared" si="1"/>
        <v>0</v>
      </c>
      <c r="O172" s="633"/>
      <c r="P172" s="640"/>
      <c r="Q172" s="640"/>
      <c r="R172" s="7"/>
      <c r="S172" s="725"/>
      <c r="T172" s="7"/>
      <c r="U172" s="618">
        <f t="shared" si="13"/>
        <v>0</v>
      </c>
      <c r="V172" s="7"/>
      <c r="W172" s="7"/>
      <c r="X172" s="7"/>
      <c r="Y172" s="7"/>
      <c r="Z172" s="7"/>
      <c r="AA172" s="7"/>
    </row>
    <row r="173" spans="1:27" ht="20.25" customHeight="1">
      <c r="A173" s="486"/>
      <c r="B173" s="487" t="s">
        <v>381</v>
      </c>
      <c r="C173" s="635" t="s">
        <v>382</v>
      </c>
      <c r="D173" s="412" t="s">
        <v>383</v>
      </c>
      <c r="E173" s="213">
        <v>1</v>
      </c>
      <c r="F173" s="213">
        <v>9</v>
      </c>
      <c r="G173" s="620">
        <v>22</v>
      </c>
      <c r="H173" s="214">
        <v>4</v>
      </c>
      <c r="I173" s="214"/>
      <c r="J173" s="213">
        <v>4</v>
      </c>
      <c r="K173" s="292">
        <v>1</v>
      </c>
      <c r="L173" s="213"/>
      <c r="M173" s="643"/>
      <c r="N173" s="616">
        <f t="shared" si="1"/>
        <v>41</v>
      </c>
      <c r="O173" s="633"/>
      <c r="P173" s="636"/>
      <c r="Q173" s="636"/>
      <c r="R173" s="7"/>
      <c r="S173" s="725">
        <v>86</v>
      </c>
      <c r="T173" s="7"/>
      <c r="U173" s="618">
        <f t="shared" si="13"/>
        <v>45</v>
      </c>
      <c r="V173" s="7"/>
      <c r="W173" s="7"/>
      <c r="X173" s="7"/>
      <c r="Y173" s="7"/>
      <c r="Z173" s="7"/>
      <c r="AA173" s="7"/>
    </row>
    <row r="174" spans="1:27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647">
        <v>22</v>
      </c>
      <c r="H174" s="214"/>
      <c r="I174" s="214"/>
      <c r="J174" s="213"/>
      <c r="K174" s="292"/>
      <c r="L174" s="213"/>
      <c r="M174" s="643"/>
      <c r="N174" s="616">
        <f t="shared" si="1"/>
        <v>22</v>
      </c>
      <c r="O174" s="633"/>
      <c r="P174" s="648"/>
      <c r="Q174" s="648"/>
      <c r="R174" s="7"/>
      <c r="S174" s="725">
        <f>45+19</f>
        <v>64</v>
      </c>
      <c r="T174" s="7"/>
      <c r="U174" s="618"/>
      <c r="V174" s="7"/>
      <c r="W174" s="7"/>
      <c r="X174" s="7"/>
      <c r="Y174" s="7"/>
      <c r="Z174" s="7"/>
      <c r="AA174" s="7"/>
    </row>
    <row r="175" spans="1:27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647"/>
      <c r="H175" s="214"/>
      <c r="I175" s="214"/>
      <c r="J175" s="213"/>
      <c r="K175" s="292"/>
      <c r="L175" s="213"/>
      <c r="M175" s="643"/>
      <c r="N175" s="616">
        <f t="shared" si="1"/>
        <v>0</v>
      </c>
      <c r="O175" s="633"/>
      <c r="P175" s="648"/>
      <c r="Q175" s="648"/>
      <c r="R175" s="7"/>
      <c r="S175" s="725"/>
      <c r="T175" s="7"/>
      <c r="U175" s="618"/>
      <c r="V175" s="7"/>
      <c r="W175" s="7"/>
      <c r="X175" s="7"/>
      <c r="Y175" s="7"/>
      <c r="Z175" s="7"/>
      <c r="AA175" s="7"/>
    </row>
    <row r="176" spans="1:27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647"/>
      <c r="H176" s="214"/>
      <c r="I176" s="214"/>
      <c r="J176" s="213"/>
      <c r="K176" s="292"/>
      <c r="L176" s="213"/>
      <c r="M176" s="643"/>
      <c r="N176" s="616">
        <f t="shared" si="1"/>
        <v>0</v>
      </c>
      <c r="O176" s="633"/>
      <c r="P176" s="648"/>
      <c r="Q176" s="648"/>
      <c r="R176" s="7"/>
      <c r="S176" s="725">
        <v>22</v>
      </c>
      <c r="T176" s="7"/>
      <c r="U176" s="618"/>
      <c r="V176" s="7"/>
      <c r="W176" s="7"/>
      <c r="X176" s="7"/>
      <c r="Y176" s="7"/>
      <c r="Z176" s="7"/>
      <c r="AA176" s="7"/>
    </row>
    <row r="177" spans="1:27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647"/>
      <c r="H177" s="214"/>
      <c r="I177" s="214"/>
      <c r="J177" s="213"/>
      <c r="K177" s="292"/>
      <c r="L177" s="213"/>
      <c r="M177" s="643"/>
      <c r="N177" s="616">
        <f t="shared" si="1"/>
        <v>0</v>
      </c>
      <c r="O177" s="633"/>
      <c r="P177" s="648"/>
      <c r="Q177" s="648"/>
      <c r="R177" s="7"/>
      <c r="S177" s="725"/>
      <c r="T177" s="7"/>
      <c r="U177" s="618"/>
      <c r="V177" s="7"/>
      <c r="W177" s="7"/>
      <c r="X177" s="7"/>
      <c r="Y177" s="7"/>
      <c r="Z177" s="7"/>
      <c r="AA177" s="7"/>
    </row>
    <row r="178" spans="1:27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620"/>
      <c r="H178" s="214"/>
      <c r="I178" s="214"/>
      <c r="J178" s="213">
        <v>220</v>
      </c>
      <c r="K178" s="292"/>
      <c r="L178" s="213"/>
      <c r="M178" s="657"/>
      <c r="N178" s="616">
        <f t="shared" si="1"/>
        <v>220</v>
      </c>
      <c r="O178" s="633"/>
      <c r="P178" s="636"/>
      <c r="Q178" s="636"/>
      <c r="R178" s="7"/>
      <c r="S178" s="725">
        <v>802</v>
      </c>
      <c r="T178" s="7"/>
      <c r="U178" s="618">
        <f t="shared" ref="U178:U206" si="14">S178-N178</f>
        <v>582</v>
      </c>
      <c r="V178" s="7"/>
      <c r="W178" s="7"/>
      <c r="X178" s="7"/>
      <c r="Y178" s="7"/>
      <c r="Z178" s="7"/>
      <c r="AA178" s="7"/>
    </row>
    <row r="179" spans="1:27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647"/>
      <c r="H179" s="214"/>
      <c r="I179" s="214"/>
      <c r="J179" s="213"/>
      <c r="K179" s="292"/>
      <c r="L179" s="213"/>
      <c r="M179" s="643"/>
      <c r="N179" s="616">
        <f t="shared" si="1"/>
        <v>0</v>
      </c>
      <c r="O179" s="633"/>
      <c r="P179" s="648"/>
      <c r="Q179" s="648"/>
      <c r="R179" s="7"/>
      <c r="S179" s="725"/>
      <c r="T179" s="7"/>
      <c r="U179" s="618">
        <f t="shared" si="14"/>
        <v>0</v>
      </c>
      <c r="V179" s="7"/>
      <c r="W179" s="7"/>
      <c r="X179" s="7"/>
      <c r="Y179" s="7"/>
      <c r="Z179" s="7"/>
      <c r="AA179" s="7"/>
    </row>
    <row r="180" spans="1:27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647"/>
      <c r="H180" s="214"/>
      <c r="I180" s="214"/>
      <c r="J180" s="213"/>
      <c r="K180" s="292"/>
      <c r="L180" s="213"/>
      <c r="M180" s="643"/>
      <c r="N180" s="616">
        <f t="shared" si="1"/>
        <v>0</v>
      </c>
      <c r="O180" s="633"/>
      <c r="P180" s="648"/>
      <c r="Q180" s="648"/>
      <c r="R180" s="7"/>
      <c r="S180" s="725"/>
      <c r="T180" s="7"/>
      <c r="U180" s="618">
        <f t="shared" si="14"/>
        <v>0</v>
      </c>
      <c r="V180" s="7"/>
      <c r="W180" s="7"/>
      <c r="X180" s="7"/>
      <c r="Y180" s="7"/>
      <c r="Z180" s="7"/>
      <c r="AA180" s="7"/>
    </row>
    <row r="181" spans="1:27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647"/>
      <c r="H181" s="214"/>
      <c r="I181" s="214"/>
      <c r="J181" s="213"/>
      <c r="K181" s="292"/>
      <c r="L181" s="213"/>
      <c r="M181" s="643"/>
      <c r="N181" s="616">
        <f t="shared" si="1"/>
        <v>0</v>
      </c>
      <c r="O181" s="633"/>
      <c r="P181" s="636"/>
      <c r="Q181" s="636"/>
      <c r="R181" s="7"/>
      <c r="S181" s="725"/>
      <c r="T181" s="7"/>
      <c r="U181" s="618">
        <f t="shared" si="14"/>
        <v>0</v>
      </c>
      <c r="V181" s="7"/>
      <c r="W181" s="7"/>
      <c r="X181" s="7"/>
      <c r="Y181" s="7"/>
      <c r="Z181" s="7"/>
      <c r="AA181" s="7"/>
    </row>
    <row r="182" spans="1:27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620"/>
      <c r="H182" s="214"/>
      <c r="I182" s="214"/>
      <c r="J182" s="213"/>
      <c r="K182" s="292"/>
      <c r="L182" s="213"/>
      <c r="M182" s="643"/>
      <c r="N182" s="616">
        <f t="shared" si="1"/>
        <v>0</v>
      </c>
      <c r="O182" s="633"/>
      <c r="P182" s="636"/>
      <c r="Q182" s="636"/>
      <c r="R182" s="7"/>
      <c r="S182" s="725"/>
      <c r="T182" s="7"/>
      <c r="U182" s="618">
        <f t="shared" si="14"/>
        <v>0</v>
      </c>
      <c r="V182" s="7"/>
      <c r="W182" s="7"/>
      <c r="X182" s="7"/>
      <c r="Y182" s="7"/>
      <c r="Z182" s="7"/>
      <c r="AA182" s="7"/>
    </row>
    <row r="183" spans="1:27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638"/>
      <c r="H183" s="214"/>
      <c r="I183" s="214"/>
      <c r="J183" s="213"/>
      <c r="K183" s="292"/>
      <c r="L183" s="213"/>
      <c r="M183" s="643"/>
      <c r="N183" s="616">
        <f t="shared" si="1"/>
        <v>0</v>
      </c>
      <c r="O183" s="633"/>
      <c r="P183" s="636"/>
      <c r="Q183" s="636"/>
      <c r="R183" s="7"/>
      <c r="S183" s="725"/>
      <c r="T183" s="7"/>
      <c r="U183" s="618">
        <f t="shared" si="14"/>
        <v>0</v>
      </c>
      <c r="V183" s="7"/>
      <c r="W183" s="7"/>
      <c r="X183" s="7"/>
      <c r="Y183" s="7"/>
      <c r="Z183" s="7"/>
      <c r="AA183" s="7"/>
    </row>
    <row r="184" spans="1:27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638"/>
      <c r="H184" s="214"/>
      <c r="I184" s="214"/>
      <c r="J184" s="213"/>
      <c r="K184" s="292"/>
      <c r="L184" s="213"/>
      <c r="M184" s="643"/>
      <c r="N184" s="616">
        <f t="shared" si="1"/>
        <v>0</v>
      </c>
      <c r="O184" s="633"/>
      <c r="P184" s="636"/>
      <c r="Q184" s="636"/>
      <c r="R184" s="7"/>
      <c r="S184" s="725"/>
      <c r="T184" s="7"/>
      <c r="U184" s="618">
        <f t="shared" si="14"/>
        <v>0</v>
      </c>
      <c r="V184" s="7"/>
      <c r="W184" s="7"/>
      <c r="X184" s="7"/>
      <c r="Y184" s="7"/>
      <c r="Z184" s="7"/>
      <c r="AA184" s="7"/>
    </row>
    <row r="185" spans="1:27" ht="18.75" customHeight="1">
      <c r="A185" s="486">
        <v>7.7</v>
      </c>
      <c r="B185" s="487" t="s">
        <v>412</v>
      </c>
      <c r="C185" s="635" t="s">
        <v>413</v>
      </c>
      <c r="D185" s="412" t="s">
        <v>2103</v>
      </c>
      <c r="E185" s="213"/>
      <c r="F185" s="213"/>
      <c r="G185" s="620"/>
      <c r="H185" s="214"/>
      <c r="I185" s="214"/>
      <c r="J185" s="213"/>
      <c r="K185" s="292"/>
      <c r="L185" s="213"/>
      <c r="M185" s="643"/>
      <c r="N185" s="616">
        <f t="shared" si="1"/>
        <v>0</v>
      </c>
      <c r="O185" s="633"/>
      <c r="P185" s="636"/>
      <c r="Q185" s="636"/>
      <c r="R185" s="7"/>
      <c r="S185" s="725"/>
      <c r="T185" s="7"/>
      <c r="U185" s="618">
        <f t="shared" si="14"/>
        <v>0</v>
      </c>
      <c r="V185" s="7"/>
      <c r="W185" s="7"/>
      <c r="X185" s="7"/>
      <c r="Y185" s="7"/>
      <c r="Z185" s="7"/>
      <c r="AA185" s="7"/>
    </row>
    <row r="186" spans="1:27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638"/>
      <c r="H186" s="214"/>
      <c r="I186" s="214"/>
      <c r="J186" s="213"/>
      <c r="K186" s="292"/>
      <c r="L186" s="213"/>
      <c r="M186" s="643"/>
      <c r="N186" s="616">
        <f t="shared" si="1"/>
        <v>0</v>
      </c>
      <c r="O186" s="633"/>
      <c r="P186" s="636"/>
      <c r="Q186" s="636"/>
      <c r="R186" s="7"/>
      <c r="S186" s="725"/>
      <c r="T186" s="7"/>
      <c r="U186" s="618">
        <f t="shared" si="14"/>
        <v>0</v>
      </c>
      <c r="V186" s="7"/>
      <c r="W186" s="7"/>
      <c r="X186" s="7"/>
      <c r="Y186" s="7"/>
      <c r="Z186" s="7"/>
      <c r="AA186" s="7"/>
    </row>
    <row r="187" spans="1:27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638"/>
      <c r="H187" s="214"/>
      <c r="I187" s="214"/>
      <c r="J187" s="213"/>
      <c r="K187" s="292"/>
      <c r="L187" s="213"/>
      <c r="M187" s="643"/>
      <c r="N187" s="616">
        <f t="shared" si="1"/>
        <v>0</v>
      </c>
      <c r="O187" s="633"/>
      <c r="P187" s="640"/>
      <c r="Q187" s="640"/>
      <c r="R187" s="7"/>
      <c r="S187" s="725"/>
      <c r="T187" s="7"/>
      <c r="U187" s="618">
        <f t="shared" si="14"/>
        <v>0</v>
      </c>
      <c r="V187" s="7"/>
      <c r="W187" s="7"/>
      <c r="X187" s="7"/>
      <c r="Y187" s="7"/>
      <c r="Z187" s="7"/>
      <c r="AA187" s="7"/>
    </row>
    <row r="188" spans="1:27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647"/>
      <c r="H188" s="214"/>
      <c r="I188" s="214"/>
      <c r="J188" s="213"/>
      <c r="K188" s="292"/>
      <c r="L188" s="213"/>
      <c r="M188" s="643"/>
      <c r="N188" s="616">
        <f t="shared" si="1"/>
        <v>0</v>
      </c>
      <c r="O188" s="633"/>
      <c r="P188" s="636"/>
      <c r="Q188" s="636"/>
      <c r="R188" s="7"/>
      <c r="S188" s="725"/>
      <c r="T188" s="7"/>
      <c r="U188" s="618">
        <f t="shared" si="14"/>
        <v>0</v>
      </c>
      <c r="V188" s="7"/>
      <c r="W188" s="7"/>
      <c r="X188" s="7"/>
      <c r="Y188" s="7"/>
      <c r="Z188" s="7"/>
      <c r="AA188" s="7"/>
    </row>
    <row r="189" spans="1:27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647"/>
      <c r="H189" s="214"/>
      <c r="I189" s="214"/>
      <c r="J189" s="213"/>
      <c r="K189" s="292"/>
      <c r="L189" s="213"/>
      <c r="M189" s="643"/>
      <c r="N189" s="616">
        <f t="shared" si="1"/>
        <v>0</v>
      </c>
      <c r="O189" s="633"/>
      <c r="P189" s="648"/>
      <c r="Q189" s="648"/>
      <c r="R189" s="7"/>
      <c r="S189" s="725"/>
      <c r="T189" s="7"/>
      <c r="U189" s="618">
        <f t="shared" si="14"/>
        <v>0</v>
      </c>
      <c r="V189" s="7"/>
      <c r="W189" s="7"/>
      <c r="X189" s="7"/>
      <c r="Y189" s="7"/>
      <c r="Z189" s="7"/>
      <c r="AA189" s="7"/>
    </row>
    <row r="190" spans="1:27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647"/>
      <c r="H190" s="214"/>
      <c r="I190" s="214"/>
      <c r="J190" s="213"/>
      <c r="K190" s="292"/>
      <c r="L190" s="213"/>
      <c r="M190" s="643"/>
      <c r="N190" s="616">
        <f t="shared" si="1"/>
        <v>0</v>
      </c>
      <c r="O190" s="633"/>
      <c r="P190" s="648"/>
      <c r="Q190" s="648"/>
      <c r="R190" s="7"/>
      <c r="S190" s="725"/>
      <c r="T190" s="7"/>
      <c r="U190" s="618">
        <f t="shared" si="14"/>
        <v>0</v>
      </c>
      <c r="V190" s="7"/>
      <c r="W190" s="7"/>
      <c r="X190" s="7"/>
      <c r="Y190" s="7"/>
      <c r="Z190" s="7"/>
      <c r="AA190" s="7"/>
    </row>
    <row r="191" spans="1:27" ht="20.25" customHeight="1">
      <c r="A191" s="503"/>
      <c r="B191" s="483" t="s">
        <v>428</v>
      </c>
      <c r="C191" s="658" t="s">
        <v>429</v>
      </c>
      <c r="D191" s="504" t="s">
        <v>2104</v>
      </c>
      <c r="E191" s="213"/>
      <c r="F191" s="213"/>
      <c r="G191" s="647"/>
      <c r="H191" s="214"/>
      <c r="I191" s="214"/>
      <c r="J191" s="213"/>
      <c r="K191" s="292"/>
      <c r="L191" s="213"/>
      <c r="M191" s="643"/>
      <c r="N191" s="616">
        <f t="shared" si="1"/>
        <v>0</v>
      </c>
      <c r="O191" s="633"/>
      <c r="P191" s="648"/>
      <c r="Q191" s="648"/>
      <c r="R191" s="7"/>
      <c r="S191" s="725"/>
      <c r="T191" s="7"/>
      <c r="U191" s="618">
        <f t="shared" si="14"/>
        <v>0</v>
      </c>
      <c r="V191" s="7"/>
      <c r="W191" s="7"/>
      <c r="X191" s="7"/>
      <c r="Y191" s="7"/>
      <c r="Z191" s="7"/>
      <c r="AA191" s="7"/>
    </row>
    <row r="192" spans="1:27" ht="20.25" customHeight="1">
      <c r="A192" s="503"/>
      <c r="B192" s="483" t="s">
        <v>426</v>
      </c>
      <c r="C192" s="658" t="s">
        <v>431</v>
      </c>
      <c r="D192" s="504" t="s">
        <v>2105</v>
      </c>
      <c r="E192" s="213"/>
      <c r="F192" s="213"/>
      <c r="G192" s="647"/>
      <c r="H192" s="214"/>
      <c r="I192" s="214"/>
      <c r="J192" s="213"/>
      <c r="K192" s="292"/>
      <c r="L192" s="213"/>
      <c r="M192" s="643"/>
      <c r="N192" s="616">
        <f t="shared" si="1"/>
        <v>0</v>
      </c>
      <c r="O192" s="633"/>
      <c r="P192" s="636"/>
      <c r="Q192" s="636"/>
      <c r="R192" s="7"/>
      <c r="S192" s="725"/>
      <c r="T192" s="7"/>
      <c r="U192" s="618">
        <f t="shared" si="14"/>
        <v>0</v>
      </c>
      <c r="V192" s="7"/>
      <c r="W192" s="7"/>
      <c r="X192" s="7"/>
      <c r="Y192" s="7"/>
      <c r="Z192" s="7"/>
      <c r="AA192" s="7"/>
    </row>
    <row r="193" spans="1:27" ht="20.25" customHeight="1">
      <c r="A193" s="503"/>
      <c r="B193" s="483" t="s">
        <v>428</v>
      </c>
      <c r="C193" s="658" t="s">
        <v>433</v>
      </c>
      <c r="D193" s="504" t="s">
        <v>2106</v>
      </c>
      <c r="E193" s="213"/>
      <c r="F193" s="213"/>
      <c r="G193" s="647"/>
      <c r="H193" s="214"/>
      <c r="I193" s="214"/>
      <c r="J193" s="213"/>
      <c r="K193" s="292"/>
      <c r="L193" s="213"/>
      <c r="M193" s="643"/>
      <c r="N193" s="616">
        <f t="shared" si="1"/>
        <v>0</v>
      </c>
      <c r="O193" s="633"/>
      <c r="P193" s="648"/>
      <c r="Q193" s="648"/>
      <c r="R193" s="7"/>
      <c r="S193" s="725"/>
      <c r="T193" s="7"/>
      <c r="U193" s="618">
        <f t="shared" si="14"/>
        <v>0</v>
      </c>
      <c r="V193" s="7"/>
      <c r="W193" s="7"/>
      <c r="X193" s="7"/>
      <c r="Y193" s="7"/>
      <c r="Z193" s="7"/>
      <c r="AA193" s="7"/>
    </row>
    <row r="194" spans="1:27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620"/>
      <c r="H194" s="214"/>
      <c r="I194" s="214"/>
      <c r="J194" s="213"/>
      <c r="K194" s="292"/>
      <c r="L194" s="213"/>
      <c r="M194" s="643"/>
      <c r="N194" s="616">
        <f t="shared" si="1"/>
        <v>0</v>
      </c>
      <c r="O194" s="633"/>
      <c r="P194" s="654"/>
      <c r="Q194" s="654"/>
      <c r="R194" s="7"/>
      <c r="S194" s="725"/>
      <c r="T194" s="7"/>
      <c r="U194" s="618">
        <f t="shared" si="14"/>
        <v>0</v>
      </c>
      <c r="V194" s="7"/>
      <c r="W194" s="7"/>
      <c r="X194" s="7"/>
      <c r="Y194" s="7"/>
      <c r="Z194" s="7"/>
      <c r="AA194" s="7"/>
    </row>
    <row r="195" spans="1:27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647"/>
      <c r="H195" s="214"/>
      <c r="I195" s="214"/>
      <c r="J195" s="213"/>
      <c r="K195" s="292"/>
      <c r="L195" s="213"/>
      <c r="M195" s="643"/>
      <c r="N195" s="616">
        <f t="shared" si="1"/>
        <v>0</v>
      </c>
      <c r="O195" s="633"/>
      <c r="P195" s="648"/>
      <c r="Q195" s="648"/>
      <c r="R195" s="7"/>
      <c r="S195" s="725"/>
      <c r="T195" s="7"/>
      <c r="U195" s="618">
        <f t="shared" si="14"/>
        <v>0</v>
      </c>
      <c r="V195" s="7"/>
      <c r="W195" s="7"/>
      <c r="X195" s="7"/>
      <c r="Y195" s="7"/>
      <c r="Z195" s="7"/>
      <c r="AA195" s="7"/>
    </row>
    <row r="196" spans="1:27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647"/>
      <c r="H196" s="214"/>
      <c r="I196" s="214"/>
      <c r="J196" s="213"/>
      <c r="K196" s="292"/>
      <c r="L196" s="213"/>
      <c r="M196" s="643"/>
      <c r="N196" s="616">
        <f t="shared" si="1"/>
        <v>0</v>
      </c>
      <c r="O196" s="633"/>
      <c r="P196" s="636"/>
      <c r="Q196" s="636"/>
      <c r="R196" s="7"/>
      <c r="S196" s="725"/>
      <c r="T196" s="7"/>
      <c r="U196" s="618">
        <f t="shared" si="14"/>
        <v>0</v>
      </c>
      <c r="V196" s="7"/>
      <c r="W196" s="7"/>
      <c r="X196" s="7"/>
      <c r="Y196" s="7"/>
      <c r="Z196" s="7"/>
      <c r="AA196" s="7"/>
    </row>
    <row r="197" spans="1:27" ht="20.25" customHeight="1">
      <c r="A197" s="503"/>
      <c r="B197" s="483" t="s">
        <v>440</v>
      </c>
      <c r="C197" s="658" t="s">
        <v>429</v>
      </c>
      <c r="D197" s="504" t="s">
        <v>2107</v>
      </c>
      <c r="E197" s="213"/>
      <c r="F197" s="213"/>
      <c r="G197" s="647"/>
      <c r="H197" s="214"/>
      <c r="I197" s="214"/>
      <c r="J197" s="213"/>
      <c r="K197" s="292"/>
      <c r="L197" s="213"/>
      <c r="M197" s="643"/>
      <c r="N197" s="616">
        <f t="shared" si="1"/>
        <v>0</v>
      </c>
      <c r="O197" s="633"/>
      <c r="P197" s="648"/>
      <c r="Q197" s="648"/>
      <c r="R197" s="7"/>
      <c r="S197" s="725"/>
      <c r="T197" s="7"/>
      <c r="U197" s="618">
        <f t="shared" si="14"/>
        <v>0</v>
      </c>
      <c r="V197" s="7"/>
      <c r="W197" s="7"/>
      <c r="X197" s="7"/>
      <c r="Y197" s="7"/>
      <c r="Z197" s="7"/>
      <c r="AA197" s="7"/>
    </row>
    <row r="198" spans="1:27" ht="20.25" customHeight="1">
      <c r="A198" s="503"/>
      <c r="B198" s="483" t="s">
        <v>439</v>
      </c>
      <c r="C198" s="658" t="s">
        <v>431</v>
      </c>
      <c r="D198" s="504" t="s">
        <v>2108</v>
      </c>
      <c r="E198" s="213"/>
      <c r="F198" s="213"/>
      <c r="G198" s="647"/>
      <c r="H198" s="214"/>
      <c r="I198" s="214"/>
      <c r="J198" s="213"/>
      <c r="K198" s="292"/>
      <c r="L198" s="213"/>
      <c r="M198" s="643"/>
      <c r="N198" s="616">
        <f t="shared" si="1"/>
        <v>0</v>
      </c>
      <c r="O198" s="633"/>
      <c r="P198" s="648"/>
      <c r="Q198" s="648"/>
      <c r="R198" s="7"/>
      <c r="S198" s="725"/>
      <c r="T198" s="7"/>
      <c r="U198" s="618">
        <f t="shared" si="14"/>
        <v>0</v>
      </c>
      <c r="V198" s="7"/>
      <c r="W198" s="7"/>
      <c r="X198" s="7"/>
      <c r="Y198" s="7"/>
      <c r="Z198" s="7"/>
      <c r="AA198" s="7"/>
    </row>
    <row r="199" spans="1:27" ht="20.25" customHeight="1">
      <c r="A199" s="503"/>
      <c r="B199" s="483" t="s">
        <v>440</v>
      </c>
      <c r="C199" s="658" t="s">
        <v>433</v>
      </c>
      <c r="D199" s="504" t="s">
        <v>2109</v>
      </c>
      <c r="E199" s="213"/>
      <c r="F199" s="213"/>
      <c r="G199" s="647"/>
      <c r="H199" s="214"/>
      <c r="I199" s="214"/>
      <c r="J199" s="213"/>
      <c r="K199" s="292"/>
      <c r="L199" s="213"/>
      <c r="M199" s="643"/>
      <c r="N199" s="616">
        <f t="shared" si="1"/>
        <v>0</v>
      </c>
      <c r="O199" s="633"/>
      <c r="P199" s="648"/>
      <c r="Q199" s="648"/>
      <c r="R199" s="7"/>
      <c r="S199" s="725"/>
      <c r="T199" s="7"/>
      <c r="U199" s="618">
        <f t="shared" si="14"/>
        <v>0</v>
      </c>
      <c r="V199" s="7"/>
      <c r="W199" s="7"/>
      <c r="X199" s="7"/>
      <c r="Y199" s="7"/>
      <c r="Z199" s="7"/>
      <c r="AA199" s="7"/>
    </row>
    <row r="200" spans="1:27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620"/>
      <c r="H200" s="214"/>
      <c r="I200" s="214"/>
      <c r="J200" s="213"/>
      <c r="K200" s="292"/>
      <c r="L200" s="213"/>
      <c r="M200" s="643"/>
      <c r="N200" s="616">
        <f t="shared" si="1"/>
        <v>0</v>
      </c>
      <c r="O200" s="633"/>
      <c r="P200" s="636"/>
      <c r="Q200" s="636"/>
      <c r="R200" s="7"/>
      <c r="S200" s="725"/>
      <c r="T200" s="7"/>
      <c r="U200" s="618">
        <f t="shared" si="14"/>
        <v>0</v>
      </c>
      <c r="V200" s="7"/>
      <c r="W200" s="7"/>
      <c r="X200" s="7"/>
      <c r="Y200" s="7"/>
      <c r="Z200" s="7"/>
      <c r="AA200" s="7"/>
    </row>
    <row r="201" spans="1:27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647"/>
      <c r="H201" s="214"/>
      <c r="I201" s="214"/>
      <c r="J201" s="213"/>
      <c r="K201" s="292"/>
      <c r="L201" s="213"/>
      <c r="M201" s="643"/>
      <c r="N201" s="616">
        <f t="shared" si="1"/>
        <v>0</v>
      </c>
      <c r="O201" s="633"/>
      <c r="P201" s="648"/>
      <c r="Q201" s="648"/>
      <c r="R201" s="7"/>
      <c r="S201" s="725"/>
      <c r="T201" s="7"/>
      <c r="U201" s="618">
        <f t="shared" si="14"/>
        <v>0</v>
      </c>
      <c r="V201" s="7"/>
      <c r="W201" s="7"/>
      <c r="X201" s="7"/>
      <c r="Y201" s="7"/>
      <c r="Z201" s="7"/>
      <c r="AA201" s="7"/>
    </row>
    <row r="202" spans="1:27" ht="20.25" customHeight="1">
      <c r="A202" s="503"/>
      <c r="B202" s="483" t="s">
        <v>449</v>
      </c>
      <c r="C202" s="658" t="s">
        <v>450</v>
      </c>
      <c r="D202" s="504" t="s">
        <v>2110</v>
      </c>
      <c r="E202" s="213"/>
      <c r="F202" s="213"/>
      <c r="G202" s="647"/>
      <c r="H202" s="214"/>
      <c r="I202" s="214"/>
      <c r="J202" s="213"/>
      <c r="K202" s="292"/>
      <c r="L202" s="213"/>
      <c r="M202" s="643"/>
      <c r="N202" s="616">
        <f t="shared" si="1"/>
        <v>0</v>
      </c>
      <c r="O202" s="633"/>
      <c r="P202" s="648"/>
      <c r="Q202" s="648"/>
      <c r="R202" s="7"/>
      <c r="S202" s="725"/>
      <c r="T202" s="7"/>
      <c r="U202" s="618">
        <f t="shared" si="14"/>
        <v>0</v>
      </c>
      <c r="V202" s="7"/>
      <c r="W202" s="7"/>
      <c r="X202" s="7"/>
      <c r="Y202" s="7"/>
      <c r="Z202" s="7"/>
      <c r="AA202" s="7"/>
    </row>
    <row r="203" spans="1:27" ht="20.25" customHeight="1">
      <c r="A203" s="503"/>
      <c r="B203" s="483" t="s">
        <v>449</v>
      </c>
      <c r="C203" s="658" t="s">
        <v>431</v>
      </c>
      <c r="D203" s="504" t="s">
        <v>2111</v>
      </c>
      <c r="E203" s="213"/>
      <c r="F203" s="213"/>
      <c r="G203" s="647"/>
      <c r="H203" s="214"/>
      <c r="I203" s="214"/>
      <c r="J203" s="213"/>
      <c r="K203" s="292"/>
      <c r="L203" s="213"/>
      <c r="M203" s="643"/>
      <c r="N203" s="616">
        <f t="shared" si="1"/>
        <v>0</v>
      </c>
      <c r="O203" s="633"/>
      <c r="P203" s="648"/>
      <c r="Q203" s="648"/>
      <c r="R203" s="7"/>
      <c r="S203" s="725"/>
      <c r="T203" s="7"/>
      <c r="U203" s="618">
        <f t="shared" si="14"/>
        <v>0</v>
      </c>
      <c r="V203" s="7"/>
      <c r="W203" s="7"/>
      <c r="X203" s="7"/>
      <c r="Y203" s="7"/>
      <c r="Z203" s="7"/>
      <c r="AA203" s="7"/>
    </row>
    <row r="204" spans="1:27" ht="20.25" customHeight="1">
      <c r="A204" s="503"/>
      <c r="B204" s="483" t="s">
        <v>453</v>
      </c>
      <c r="C204" s="658" t="s">
        <v>433</v>
      </c>
      <c r="D204" s="504" t="s">
        <v>2112</v>
      </c>
      <c r="E204" s="213"/>
      <c r="F204" s="213"/>
      <c r="G204" s="647"/>
      <c r="H204" s="214"/>
      <c r="I204" s="214"/>
      <c r="J204" s="213"/>
      <c r="K204" s="292"/>
      <c r="L204" s="213"/>
      <c r="M204" s="643"/>
      <c r="N204" s="616">
        <f t="shared" si="1"/>
        <v>0</v>
      </c>
      <c r="O204" s="633"/>
      <c r="P204" s="636"/>
      <c r="Q204" s="636"/>
      <c r="R204" s="7"/>
      <c r="S204" s="725"/>
      <c r="T204" s="7"/>
      <c r="U204" s="618">
        <f t="shared" si="14"/>
        <v>0</v>
      </c>
      <c r="V204" s="7"/>
      <c r="W204" s="7"/>
      <c r="X204" s="7"/>
      <c r="Y204" s="7"/>
      <c r="Z204" s="7"/>
      <c r="AA204" s="7"/>
    </row>
    <row r="205" spans="1:27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647"/>
      <c r="H205" s="214"/>
      <c r="I205" s="214"/>
      <c r="J205" s="213"/>
      <c r="K205" s="292"/>
      <c r="L205" s="213"/>
      <c r="M205" s="643"/>
      <c r="N205" s="616">
        <f t="shared" si="1"/>
        <v>0</v>
      </c>
      <c r="O205" s="633"/>
      <c r="P205" s="636"/>
      <c r="Q205" s="636"/>
      <c r="R205" s="7"/>
      <c r="S205" s="725"/>
      <c r="T205" s="7"/>
      <c r="U205" s="618">
        <f t="shared" si="14"/>
        <v>0</v>
      </c>
      <c r="V205" s="7"/>
      <c r="W205" s="7"/>
      <c r="X205" s="7"/>
      <c r="Y205" s="7"/>
      <c r="Z205" s="7"/>
      <c r="AA205" s="7"/>
    </row>
    <row r="206" spans="1:27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647"/>
      <c r="H206" s="214"/>
      <c r="I206" s="214">
        <v>7</v>
      </c>
      <c r="J206" s="213">
        <f>10+40</f>
        <v>50</v>
      </c>
      <c r="K206" s="292"/>
      <c r="L206" s="213"/>
      <c r="M206" s="643"/>
      <c r="N206" s="616">
        <f t="shared" si="1"/>
        <v>57</v>
      </c>
      <c r="O206" s="633"/>
      <c r="P206" s="648"/>
      <c r="Q206" s="648"/>
      <c r="R206" s="7"/>
      <c r="S206" s="725">
        <v>2088</v>
      </c>
      <c r="T206" s="7"/>
      <c r="U206" s="618">
        <f t="shared" si="14"/>
        <v>2031</v>
      </c>
      <c r="V206" s="7"/>
      <c r="W206" s="7"/>
      <c r="X206" s="7"/>
      <c r="Y206" s="7"/>
      <c r="Z206" s="7"/>
      <c r="AA206" s="7"/>
    </row>
    <row r="207" spans="1:27" ht="20.25" customHeight="1">
      <c r="A207" s="503"/>
      <c r="B207" s="483" t="s">
        <v>461</v>
      </c>
      <c r="C207" s="658" t="s">
        <v>431</v>
      </c>
      <c r="D207" s="504" t="s">
        <v>2113</v>
      </c>
      <c r="E207" s="213"/>
      <c r="F207" s="213"/>
      <c r="G207" s="647"/>
      <c r="H207" s="214"/>
      <c r="I207" s="214"/>
      <c r="J207" s="213">
        <v>5</v>
      </c>
      <c r="K207" s="292"/>
      <c r="L207" s="213"/>
      <c r="M207" s="643"/>
      <c r="N207" s="616">
        <f t="shared" si="1"/>
        <v>5</v>
      </c>
      <c r="O207" s="633"/>
      <c r="P207" s="648"/>
      <c r="Q207" s="648"/>
      <c r="R207" s="7"/>
      <c r="S207" s="725"/>
      <c r="T207" s="7"/>
      <c r="U207" s="618"/>
      <c r="V207" s="7"/>
      <c r="W207" s="7"/>
      <c r="X207" s="7"/>
      <c r="Y207" s="7"/>
      <c r="Z207" s="7"/>
      <c r="AA207" s="7"/>
    </row>
    <row r="208" spans="1:27" ht="20.25" customHeight="1">
      <c r="A208" s="503"/>
      <c r="B208" s="483" t="s">
        <v>464</v>
      </c>
      <c r="C208" s="658" t="s">
        <v>433</v>
      </c>
      <c r="D208" s="504" t="s">
        <v>2114</v>
      </c>
      <c r="E208" s="213"/>
      <c r="F208" s="213"/>
      <c r="G208" s="647"/>
      <c r="H208" s="214"/>
      <c r="I208" s="214"/>
      <c r="J208" s="213"/>
      <c r="K208" s="292"/>
      <c r="L208" s="213"/>
      <c r="M208" s="643"/>
      <c r="N208" s="616">
        <f t="shared" si="1"/>
        <v>0</v>
      </c>
      <c r="O208" s="633"/>
      <c r="P208" s="636"/>
      <c r="Q208" s="636"/>
      <c r="R208" s="7"/>
      <c r="S208" s="725"/>
      <c r="T208" s="7"/>
      <c r="U208" s="618">
        <f t="shared" ref="U208:U225" si="15">S208-N208</f>
        <v>0</v>
      </c>
      <c r="V208" s="7"/>
      <c r="W208" s="7"/>
      <c r="X208" s="7"/>
      <c r="Y208" s="7"/>
      <c r="Z208" s="7"/>
      <c r="AA208" s="7"/>
    </row>
    <row r="209" spans="1:27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620"/>
      <c r="H209" s="214"/>
      <c r="I209" s="214"/>
      <c r="J209" s="213"/>
      <c r="K209" s="292"/>
      <c r="L209" s="213"/>
      <c r="M209" s="643"/>
      <c r="N209" s="616">
        <f t="shared" si="1"/>
        <v>0</v>
      </c>
      <c r="O209" s="633"/>
      <c r="P209" s="648"/>
      <c r="Q209" s="648"/>
      <c r="R209" s="7"/>
      <c r="S209" s="725"/>
      <c r="T209" s="7"/>
      <c r="U209" s="618">
        <f t="shared" si="15"/>
        <v>0</v>
      </c>
      <c r="V209" s="7"/>
      <c r="W209" s="7"/>
      <c r="X209" s="7"/>
      <c r="Y209" s="7"/>
      <c r="Z209" s="7"/>
      <c r="AA209" s="7"/>
    </row>
    <row r="210" spans="1:27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647"/>
      <c r="H210" s="214"/>
      <c r="I210" s="214"/>
      <c r="J210" s="213"/>
      <c r="K210" s="292"/>
      <c r="L210" s="213"/>
      <c r="M210" s="643"/>
      <c r="N210" s="616">
        <f t="shared" si="1"/>
        <v>0</v>
      </c>
      <c r="O210" s="633"/>
      <c r="P210" s="648"/>
      <c r="Q210" s="648"/>
      <c r="R210" s="7"/>
      <c r="S210" s="725"/>
      <c r="T210" s="7"/>
      <c r="U210" s="618">
        <f t="shared" si="15"/>
        <v>0</v>
      </c>
      <c r="V210" s="7"/>
      <c r="W210" s="7"/>
      <c r="X210" s="7"/>
      <c r="Y210" s="7"/>
      <c r="Z210" s="7"/>
      <c r="AA210" s="7"/>
    </row>
    <row r="211" spans="1:27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647"/>
      <c r="H211" s="214"/>
      <c r="I211" s="214"/>
      <c r="J211" s="213"/>
      <c r="K211" s="292"/>
      <c r="L211" s="213"/>
      <c r="M211" s="643"/>
      <c r="N211" s="616">
        <f t="shared" si="1"/>
        <v>0</v>
      </c>
      <c r="O211" s="633"/>
      <c r="P211" s="636"/>
      <c r="Q211" s="636"/>
      <c r="R211" s="7"/>
      <c r="S211" s="725"/>
      <c r="T211" s="7"/>
      <c r="U211" s="618">
        <f t="shared" si="15"/>
        <v>0</v>
      </c>
      <c r="V211" s="7"/>
      <c r="W211" s="7"/>
      <c r="X211" s="7"/>
      <c r="Y211" s="7"/>
      <c r="Z211" s="7"/>
      <c r="AA211" s="7"/>
    </row>
    <row r="212" spans="1:27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647"/>
      <c r="H212" s="214"/>
      <c r="I212" s="214"/>
      <c r="J212" s="213"/>
      <c r="K212" s="292"/>
      <c r="L212" s="213"/>
      <c r="M212" s="643"/>
      <c r="N212" s="616">
        <f t="shared" si="1"/>
        <v>0</v>
      </c>
      <c r="O212" s="633"/>
      <c r="P212" s="636"/>
      <c r="Q212" s="636"/>
      <c r="R212" s="7"/>
      <c r="S212" s="725"/>
      <c r="T212" s="7"/>
      <c r="U212" s="618">
        <f t="shared" si="15"/>
        <v>0</v>
      </c>
      <c r="V212" s="7"/>
      <c r="W212" s="7"/>
      <c r="X212" s="7"/>
      <c r="Y212" s="7"/>
      <c r="Z212" s="7"/>
      <c r="AA212" s="7"/>
    </row>
    <row r="213" spans="1:27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620"/>
      <c r="H213" s="214"/>
      <c r="I213" s="214"/>
      <c r="J213" s="213"/>
      <c r="K213" s="292"/>
      <c r="L213" s="213"/>
      <c r="M213" s="643"/>
      <c r="N213" s="616">
        <f t="shared" si="1"/>
        <v>0</v>
      </c>
      <c r="O213" s="633"/>
      <c r="P213" s="636"/>
      <c r="Q213" s="636"/>
      <c r="R213" s="7"/>
      <c r="S213" s="725"/>
      <c r="T213" s="7"/>
      <c r="U213" s="618">
        <f t="shared" si="15"/>
        <v>0</v>
      </c>
      <c r="V213" s="7"/>
      <c r="W213" s="7"/>
      <c r="X213" s="7"/>
      <c r="Y213" s="7"/>
      <c r="Z213" s="7"/>
      <c r="AA213" s="7"/>
    </row>
    <row r="214" spans="1:27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647"/>
      <c r="H214" s="214"/>
      <c r="I214" s="214"/>
      <c r="J214" s="213"/>
      <c r="K214" s="292"/>
      <c r="L214" s="213"/>
      <c r="M214" s="643"/>
      <c r="N214" s="616">
        <f t="shared" si="1"/>
        <v>0</v>
      </c>
      <c r="O214" s="633"/>
      <c r="P214" s="636"/>
      <c r="Q214" s="636"/>
      <c r="R214" s="7"/>
      <c r="S214" s="725"/>
      <c r="T214" s="7"/>
      <c r="U214" s="618">
        <f t="shared" si="15"/>
        <v>0</v>
      </c>
      <c r="V214" s="7"/>
      <c r="W214" s="7"/>
      <c r="X214" s="7"/>
      <c r="Y214" s="7"/>
      <c r="Z214" s="7"/>
      <c r="AA214" s="7"/>
    </row>
    <row r="215" spans="1:27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647"/>
      <c r="H215" s="214"/>
      <c r="I215" s="214"/>
      <c r="J215" s="213"/>
      <c r="K215" s="292"/>
      <c r="L215" s="213"/>
      <c r="M215" s="643"/>
      <c r="N215" s="616">
        <f t="shared" si="1"/>
        <v>0</v>
      </c>
      <c r="O215" s="633"/>
      <c r="P215" s="636"/>
      <c r="Q215" s="636"/>
      <c r="R215" s="7"/>
      <c r="S215" s="725"/>
      <c r="T215" s="7"/>
      <c r="U215" s="618">
        <f t="shared" si="15"/>
        <v>0</v>
      </c>
      <c r="V215" s="7"/>
      <c r="W215" s="7"/>
      <c r="X215" s="7"/>
      <c r="Y215" s="7"/>
      <c r="Z215" s="7"/>
      <c r="AA215" s="7"/>
    </row>
    <row r="216" spans="1:27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647"/>
      <c r="H216" s="214"/>
      <c r="I216" s="214"/>
      <c r="J216" s="213"/>
      <c r="K216" s="292"/>
      <c r="L216" s="213"/>
      <c r="M216" s="643"/>
      <c r="N216" s="616">
        <f t="shared" si="1"/>
        <v>0</v>
      </c>
      <c r="O216" s="633"/>
      <c r="P216" s="636"/>
      <c r="Q216" s="636"/>
      <c r="R216" s="7"/>
      <c r="S216" s="725"/>
      <c r="T216" s="7"/>
      <c r="U216" s="618">
        <f t="shared" si="15"/>
        <v>0</v>
      </c>
      <c r="V216" s="7"/>
      <c r="W216" s="7"/>
      <c r="X216" s="7"/>
      <c r="Y216" s="7"/>
      <c r="Z216" s="7"/>
      <c r="AA216" s="7"/>
    </row>
    <row r="217" spans="1:27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647"/>
      <c r="H217" s="214"/>
      <c r="I217" s="214"/>
      <c r="J217" s="213"/>
      <c r="K217" s="292"/>
      <c r="L217" s="213"/>
      <c r="M217" s="643"/>
      <c r="N217" s="616">
        <f t="shared" si="1"/>
        <v>0</v>
      </c>
      <c r="O217" s="633"/>
      <c r="P217" s="636"/>
      <c r="Q217" s="636"/>
      <c r="R217" s="7"/>
      <c r="S217" s="725"/>
      <c r="T217" s="7"/>
      <c r="U217" s="618">
        <f t="shared" si="15"/>
        <v>0</v>
      </c>
      <c r="V217" s="7"/>
      <c r="W217" s="7"/>
      <c r="X217" s="7"/>
      <c r="Y217" s="7"/>
      <c r="Z217" s="7"/>
      <c r="AA217" s="7"/>
    </row>
    <row r="218" spans="1:27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647"/>
      <c r="H218" s="214"/>
      <c r="I218" s="214"/>
      <c r="J218" s="213"/>
      <c r="K218" s="292"/>
      <c r="L218" s="213"/>
      <c r="M218" s="643"/>
      <c r="N218" s="616">
        <f t="shared" si="1"/>
        <v>0</v>
      </c>
      <c r="O218" s="633"/>
      <c r="P218" s="636"/>
      <c r="Q218" s="636"/>
      <c r="R218" s="7"/>
      <c r="S218" s="725"/>
      <c r="T218" s="7"/>
      <c r="U218" s="618">
        <f t="shared" si="15"/>
        <v>0</v>
      </c>
      <c r="V218" s="7"/>
      <c r="W218" s="7"/>
      <c r="X218" s="7"/>
      <c r="Y218" s="7"/>
      <c r="Z218" s="7"/>
      <c r="AA218" s="7"/>
    </row>
    <row r="219" spans="1:27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>
        <v>3</v>
      </c>
      <c r="G219" s="647"/>
      <c r="H219" s="214"/>
      <c r="I219" s="214"/>
      <c r="J219" s="213"/>
      <c r="K219" s="292"/>
      <c r="L219" s="213"/>
      <c r="M219" s="643"/>
      <c r="N219" s="616">
        <f t="shared" si="1"/>
        <v>3</v>
      </c>
      <c r="O219" s="633"/>
      <c r="P219" s="636"/>
      <c r="Q219" s="636"/>
      <c r="R219" s="7"/>
      <c r="S219" s="725">
        <f>33+4+2</f>
        <v>39</v>
      </c>
      <c r="T219" s="7"/>
      <c r="U219" s="618">
        <f t="shared" si="15"/>
        <v>36</v>
      </c>
      <c r="V219" s="7"/>
      <c r="W219" s="7"/>
      <c r="X219" s="7"/>
      <c r="Y219" s="7"/>
      <c r="Z219" s="7"/>
      <c r="AA219" s="7"/>
    </row>
    <row r="220" spans="1:27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647"/>
      <c r="H220" s="214"/>
      <c r="I220" s="214"/>
      <c r="J220" s="213"/>
      <c r="K220" s="292"/>
      <c r="L220" s="213"/>
      <c r="M220" s="643"/>
      <c r="N220" s="616">
        <f t="shared" si="1"/>
        <v>0</v>
      </c>
      <c r="O220" s="633"/>
      <c r="P220" s="636"/>
      <c r="Q220" s="636"/>
      <c r="R220" s="7"/>
      <c r="S220" s="725"/>
      <c r="T220" s="7"/>
      <c r="U220" s="618">
        <f t="shared" si="15"/>
        <v>0</v>
      </c>
      <c r="V220" s="7"/>
      <c r="W220" s="7"/>
      <c r="X220" s="7"/>
      <c r="Y220" s="7"/>
      <c r="Z220" s="7"/>
      <c r="AA220" s="7"/>
    </row>
    <row r="221" spans="1:27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620"/>
      <c r="H221" s="214"/>
      <c r="I221" s="214"/>
      <c r="J221" s="213"/>
      <c r="K221" s="292"/>
      <c r="L221" s="213"/>
      <c r="M221" s="643"/>
      <c r="N221" s="616">
        <f t="shared" si="1"/>
        <v>0</v>
      </c>
      <c r="O221" s="633"/>
      <c r="P221" s="634"/>
      <c r="Q221" s="634"/>
      <c r="R221" s="7"/>
      <c r="S221" s="725"/>
      <c r="T221" s="7"/>
      <c r="U221" s="618">
        <f t="shared" si="15"/>
        <v>0</v>
      </c>
      <c r="V221" s="7"/>
      <c r="W221" s="7"/>
      <c r="X221" s="7"/>
      <c r="Y221" s="7"/>
      <c r="Z221" s="7"/>
      <c r="AA221" s="7"/>
    </row>
    <row r="222" spans="1:27" ht="20.25" customHeight="1">
      <c r="A222" s="482" t="s">
        <v>1007</v>
      </c>
      <c r="B222" s="483" t="s">
        <v>502</v>
      </c>
      <c r="C222" s="629" t="s">
        <v>503</v>
      </c>
      <c r="D222" s="504" t="s">
        <v>2115</v>
      </c>
      <c r="E222" s="213"/>
      <c r="F222" s="213"/>
      <c r="G222" s="647"/>
      <c r="H222" s="214"/>
      <c r="I222" s="214"/>
      <c r="J222" s="213"/>
      <c r="K222" s="292"/>
      <c r="L222" s="213"/>
      <c r="M222" s="643"/>
      <c r="N222" s="616">
        <f t="shared" si="1"/>
        <v>0</v>
      </c>
      <c r="O222" s="633"/>
      <c r="P222" s="634"/>
      <c r="Q222" s="634"/>
      <c r="R222" s="7"/>
      <c r="S222" s="725"/>
      <c r="T222" s="7"/>
      <c r="U222" s="618">
        <f t="shared" si="15"/>
        <v>0</v>
      </c>
      <c r="V222" s="7"/>
      <c r="W222" s="7"/>
      <c r="X222" s="7"/>
      <c r="Y222" s="7"/>
      <c r="Z222" s="7"/>
      <c r="AA222" s="7"/>
    </row>
    <row r="223" spans="1:27" ht="20.25" customHeight="1">
      <c r="A223" s="482"/>
      <c r="B223" s="483" t="s">
        <v>506</v>
      </c>
      <c r="C223" s="629" t="s">
        <v>507</v>
      </c>
      <c r="D223" s="485" t="s">
        <v>2116</v>
      </c>
      <c r="E223" s="213"/>
      <c r="F223" s="213"/>
      <c r="G223" s="620"/>
      <c r="H223" s="214"/>
      <c r="I223" s="214"/>
      <c r="J223" s="213"/>
      <c r="K223" s="292"/>
      <c r="L223" s="213"/>
      <c r="M223" s="643"/>
      <c r="N223" s="616">
        <f t="shared" si="1"/>
        <v>0</v>
      </c>
      <c r="O223" s="633"/>
      <c r="P223" s="634"/>
      <c r="Q223" s="634"/>
      <c r="R223" s="7"/>
      <c r="S223" s="725"/>
      <c r="T223" s="7"/>
      <c r="U223" s="618">
        <f t="shared" si="15"/>
        <v>0</v>
      </c>
      <c r="V223" s="7"/>
      <c r="W223" s="7"/>
      <c r="X223" s="7"/>
      <c r="Y223" s="7"/>
      <c r="Z223" s="7"/>
      <c r="AA223" s="7"/>
    </row>
    <row r="224" spans="1:27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638"/>
      <c r="H224" s="214"/>
      <c r="I224" s="214"/>
      <c r="J224" s="213"/>
      <c r="K224" s="292"/>
      <c r="L224" s="213"/>
      <c r="M224" s="643"/>
      <c r="N224" s="616">
        <f t="shared" si="1"/>
        <v>0</v>
      </c>
      <c r="O224" s="633"/>
      <c r="P224" s="636"/>
      <c r="Q224" s="636"/>
      <c r="R224" s="7"/>
      <c r="S224" s="725"/>
      <c r="T224" s="7"/>
      <c r="U224" s="618">
        <f t="shared" si="15"/>
        <v>0</v>
      </c>
      <c r="V224" s="7"/>
      <c r="W224" s="7"/>
      <c r="X224" s="7"/>
      <c r="Y224" s="7"/>
      <c r="Z224" s="7"/>
      <c r="AA224" s="7"/>
    </row>
    <row r="225" spans="1:27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638"/>
      <c r="H225" s="214"/>
      <c r="I225" s="214"/>
      <c r="J225" s="213"/>
      <c r="K225" s="292"/>
      <c r="L225" s="213"/>
      <c r="M225" s="643"/>
      <c r="N225" s="616">
        <f t="shared" si="1"/>
        <v>0</v>
      </c>
      <c r="O225" s="660" t="s">
        <v>1594</v>
      </c>
      <c r="P225" s="640"/>
      <c r="Q225" s="640"/>
      <c r="R225" s="7"/>
      <c r="S225" s="725"/>
      <c r="T225" s="7"/>
      <c r="U225" s="618">
        <f t="shared" si="15"/>
        <v>0</v>
      </c>
      <c r="V225" s="7"/>
      <c r="W225" s="7"/>
      <c r="X225" s="7"/>
      <c r="Y225" s="7"/>
      <c r="Z225" s="7"/>
      <c r="AA225" s="7"/>
    </row>
    <row r="226" spans="1:27" ht="15.75" customHeight="1">
      <c r="A226" s="486"/>
      <c r="B226" s="487" t="s">
        <v>515</v>
      </c>
      <c r="C226" s="635" t="s">
        <v>516</v>
      </c>
      <c r="D226" s="512"/>
      <c r="E226" s="213"/>
      <c r="F226" s="213" t="s">
        <v>2117</v>
      </c>
      <c r="G226" s="647"/>
      <c r="H226" s="214"/>
      <c r="I226" s="214"/>
      <c r="J226" s="213">
        <v>3</v>
      </c>
      <c r="K226" s="292"/>
      <c r="L226" s="213"/>
      <c r="M226" s="643"/>
      <c r="N226" s="616">
        <f t="shared" si="1"/>
        <v>3</v>
      </c>
      <c r="O226" s="642">
        <f>N227+N237</f>
        <v>90</v>
      </c>
      <c r="P226" s="636"/>
      <c r="Q226" s="636"/>
      <c r="R226" s="7"/>
      <c r="S226" s="725"/>
      <c r="T226" s="7"/>
      <c r="U226" s="618"/>
      <c r="V226" s="7"/>
      <c r="W226" s="7"/>
      <c r="X226" s="7"/>
      <c r="Y226" s="7"/>
      <c r="Z226" s="7"/>
      <c r="AA226" s="7"/>
    </row>
    <row r="227" spans="1:27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647"/>
      <c r="H227" s="214"/>
      <c r="I227" s="214"/>
      <c r="J227" s="213"/>
      <c r="K227" s="292"/>
      <c r="L227" s="213"/>
      <c r="M227" s="643"/>
      <c r="N227" s="616">
        <f t="shared" si="1"/>
        <v>0</v>
      </c>
      <c r="O227" s="648"/>
      <c r="P227" s="648"/>
      <c r="Q227" s="648"/>
      <c r="R227" s="7"/>
      <c r="S227" s="725">
        <v>430</v>
      </c>
      <c r="T227" s="7"/>
      <c r="U227" s="618">
        <f t="shared" ref="U227:U228" si="16">S227-N227</f>
        <v>430</v>
      </c>
      <c r="V227" s="7"/>
      <c r="W227" s="7"/>
      <c r="X227" s="7"/>
      <c r="Y227" s="7"/>
      <c r="Z227" s="7"/>
      <c r="AA227" s="7"/>
    </row>
    <row r="228" spans="1:27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647"/>
      <c r="H228" s="214"/>
      <c r="I228" s="214"/>
      <c r="J228" s="213"/>
      <c r="K228" s="292"/>
      <c r="L228" s="213"/>
      <c r="M228" s="643"/>
      <c r="N228" s="616">
        <f t="shared" si="1"/>
        <v>0</v>
      </c>
      <c r="O228" s="661" t="s">
        <v>1595</v>
      </c>
      <c r="P228" s="648"/>
      <c r="Q228" s="648"/>
      <c r="R228" s="7"/>
      <c r="S228" s="725"/>
      <c r="T228" s="7"/>
      <c r="U228" s="618">
        <f t="shared" si="16"/>
        <v>0</v>
      </c>
      <c r="V228" s="7"/>
      <c r="W228" s="7"/>
      <c r="X228" s="7"/>
      <c r="Y228" s="7"/>
      <c r="Z228" s="7"/>
      <c r="AA228" s="7"/>
    </row>
    <row r="229" spans="1:27" ht="19.5" customHeight="1">
      <c r="A229" s="503"/>
      <c r="B229" s="483" t="s">
        <v>523</v>
      </c>
      <c r="C229" s="629" t="s">
        <v>524</v>
      </c>
      <c r="D229" s="504" t="s">
        <v>2118</v>
      </c>
      <c r="E229" s="213"/>
      <c r="F229" s="213">
        <v>400</v>
      </c>
      <c r="G229" s="647"/>
      <c r="H229" s="214"/>
      <c r="I229" s="214"/>
      <c r="J229" s="213">
        <f>50+1200</f>
        <v>1250</v>
      </c>
      <c r="K229" s="292"/>
      <c r="L229" s="213"/>
      <c r="M229" s="643"/>
      <c r="N229" s="616">
        <f t="shared" si="1"/>
        <v>1650</v>
      </c>
      <c r="O229" s="642">
        <f>N229+N230+N239+N240</f>
        <v>17558.5</v>
      </c>
      <c r="P229" s="648"/>
      <c r="Q229" s="648"/>
      <c r="R229" s="7"/>
      <c r="S229" s="725"/>
      <c r="T229" s="7"/>
      <c r="U229" s="618"/>
      <c r="V229" s="7"/>
      <c r="W229" s="7"/>
      <c r="X229" s="7"/>
      <c r="Y229" s="7"/>
      <c r="Z229" s="7"/>
      <c r="AA229" s="7"/>
    </row>
    <row r="230" spans="1:27" ht="20.25" customHeight="1">
      <c r="A230" s="503"/>
      <c r="B230" s="483" t="s">
        <v>526</v>
      </c>
      <c r="C230" s="629" t="s">
        <v>527</v>
      </c>
      <c r="D230" s="504" t="s">
        <v>2119</v>
      </c>
      <c r="E230" s="213"/>
      <c r="F230" s="213"/>
      <c r="G230" s="647"/>
      <c r="H230" s="214"/>
      <c r="I230" s="214"/>
      <c r="J230" s="213"/>
      <c r="K230" s="292"/>
      <c r="L230" s="213"/>
      <c r="M230" s="643"/>
      <c r="N230" s="616">
        <f t="shared" si="1"/>
        <v>0</v>
      </c>
      <c r="O230" s="633"/>
      <c r="P230" s="648"/>
      <c r="Q230" s="648"/>
      <c r="R230" s="7"/>
      <c r="S230" s="725"/>
      <c r="T230" s="7"/>
      <c r="U230" s="618">
        <f t="shared" ref="U230:U232" si="17">S230-N230</f>
        <v>0</v>
      </c>
      <c r="V230" s="7"/>
      <c r="W230" s="7"/>
      <c r="X230" s="7"/>
      <c r="Y230" s="7"/>
      <c r="Z230" s="7"/>
      <c r="AA230" s="7"/>
    </row>
    <row r="231" spans="1:27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647"/>
      <c r="H231" s="214"/>
      <c r="I231" s="214"/>
      <c r="J231" s="213"/>
      <c r="K231" s="292"/>
      <c r="L231" s="213"/>
      <c r="M231" s="643"/>
      <c r="N231" s="616">
        <f t="shared" si="1"/>
        <v>0</v>
      </c>
      <c r="O231" s="633"/>
      <c r="P231" s="648"/>
      <c r="Q231" s="648"/>
      <c r="R231" s="7"/>
      <c r="S231" s="725"/>
      <c r="T231" s="7"/>
      <c r="U231" s="618">
        <f t="shared" si="17"/>
        <v>0</v>
      </c>
      <c r="V231" s="7"/>
      <c r="W231" s="7"/>
      <c r="X231" s="7"/>
      <c r="Y231" s="7"/>
      <c r="Z231" s="7"/>
      <c r="AA231" s="7"/>
    </row>
    <row r="232" spans="1:27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647"/>
      <c r="H232" s="214"/>
      <c r="I232" s="214"/>
      <c r="J232" s="213"/>
      <c r="K232" s="292"/>
      <c r="L232" s="213"/>
      <c r="M232" s="643"/>
      <c r="N232" s="616">
        <f t="shared" si="1"/>
        <v>0</v>
      </c>
      <c r="O232" s="633"/>
      <c r="P232" s="648"/>
      <c r="Q232" s="648"/>
      <c r="R232" s="7"/>
      <c r="S232" s="725"/>
      <c r="T232" s="7"/>
      <c r="U232" s="618">
        <f t="shared" si="17"/>
        <v>0</v>
      </c>
      <c r="V232" s="7"/>
      <c r="W232" s="7"/>
      <c r="X232" s="7"/>
      <c r="Y232" s="7"/>
      <c r="Z232" s="7"/>
      <c r="AA232" s="7"/>
    </row>
    <row r="233" spans="1:27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>
        <v>1</v>
      </c>
      <c r="G233" s="647"/>
      <c r="H233" s="214"/>
      <c r="I233" s="214"/>
      <c r="J233" s="213">
        <v>279</v>
      </c>
      <c r="K233" s="292"/>
      <c r="L233" s="213"/>
      <c r="M233" s="643"/>
      <c r="N233" s="616">
        <f t="shared" si="1"/>
        <v>280</v>
      </c>
      <c r="O233" s="633"/>
      <c r="P233" s="648"/>
      <c r="Q233" s="648"/>
      <c r="R233" s="7"/>
      <c r="S233" s="725"/>
      <c r="T233" s="7"/>
      <c r="U233" s="618"/>
      <c r="V233" s="7"/>
      <c r="W233" s="7"/>
      <c r="X233" s="7"/>
      <c r="Y233" s="7"/>
      <c r="Z233" s="7"/>
      <c r="AA233" s="7"/>
    </row>
    <row r="234" spans="1:27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662"/>
      <c r="H234" s="214"/>
      <c r="I234" s="214"/>
      <c r="J234" s="213"/>
      <c r="K234" s="292"/>
      <c r="L234" s="213"/>
      <c r="M234" s="643"/>
      <c r="N234" s="616">
        <f t="shared" si="1"/>
        <v>0</v>
      </c>
      <c r="O234" s="633"/>
      <c r="P234" s="648"/>
      <c r="Q234" s="648"/>
      <c r="R234" s="7"/>
      <c r="S234" s="725"/>
      <c r="T234" s="7"/>
      <c r="U234" s="618">
        <f t="shared" ref="U234:U240" si="18">S234-N234</f>
        <v>0</v>
      </c>
      <c r="V234" s="7"/>
      <c r="W234" s="7"/>
      <c r="X234" s="7"/>
      <c r="Y234" s="7"/>
      <c r="Z234" s="7"/>
      <c r="AA234" s="7"/>
    </row>
    <row r="235" spans="1:27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647"/>
      <c r="H235" s="214"/>
      <c r="I235" s="214"/>
      <c r="J235" s="213"/>
      <c r="K235" s="292"/>
      <c r="L235" s="213"/>
      <c r="M235" s="643"/>
      <c r="N235" s="616">
        <f t="shared" si="1"/>
        <v>0</v>
      </c>
      <c r="O235" s="633"/>
      <c r="P235" s="648"/>
      <c r="Q235" s="648"/>
      <c r="R235" s="7"/>
      <c r="S235" s="725"/>
      <c r="T235" s="7"/>
      <c r="U235" s="618">
        <f t="shared" si="18"/>
        <v>0</v>
      </c>
      <c r="V235" s="7"/>
      <c r="W235" s="7"/>
      <c r="X235" s="7"/>
      <c r="Y235" s="7"/>
      <c r="Z235" s="7"/>
      <c r="AA235" s="7"/>
    </row>
    <row r="236" spans="1:27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647"/>
      <c r="H236" s="214"/>
      <c r="I236" s="214"/>
      <c r="J236" s="213"/>
      <c r="K236" s="292"/>
      <c r="L236" s="213"/>
      <c r="M236" s="643"/>
      <c r="N236" s="616">
        <f t="shared" si="1"/>
        <v>0</v>
      </c>
      <c r="O236" s="633"/>
      <c r="P236" s="636"/>
      <c r="Q236" s="636"/>
      <c r="R236" s="7"/>
      <c r="S236" s="725"/>
      <c r="T236" s="7"/>
      <c r="U236" s="618">
        <f t="shared" si="18"/>
        <v>0</v>
      </c>
      <c r="V236" s="7"/>
      <c r="W236" s="7"/>
      <c r="X236" s="7"/>
      <c r="Y236" s="7"/>
      <c r="Z236" s="7"/>
      <c r="AA236" s="7"/>
    </row>
    <row r="237" spans="1:27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647"/>
      <c r="H237" s="214">
        <v>15</v>
      </c>
      <c r="I237" s="214"/>
      <c r="J237" s="213"/>
      <c r="K237" s="292">
        <v>75</v>
      </c>
      <c r="L237" s="213"/>
      <c r="M237" s="643"/>
      <c r="N237" s="616">
        <f t="shared" si="1"/>
        <v>90</v>
      </c>
      <c r="O237" s="633"/>
      <c r="P237" s="648"/>
      <c r="Q237" s="648"/>
      <c r="R237" s="7"/>
      <c r="S237" s="725">
        <f>398+2698</f>
        <v>3096</v>
      </c>
      <c r="T237" s="7"/>
      <c r="U237" s="618">
        <f t="shared" si="18"/>
        <v>3006</v>
      </c>
      <c r="V237" s="7"/>
      <c r="W237" s="7"/>
      <c r="X237" s="7"/>
      <c r="Y237" s="7"/>
      <c r="Z237" s="7"/>
      <c r="AA237" s="7"/>
    </row>
    <row r="238" spans="1:27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647"/>
      <c r="H238" s="214"/>
      <c r="I238" s="214"/>
      <c r="J238" s="213"/>
      <c r="K238" s="292"/>
      <c r="L238" s="213"/>
      <c r="M238" s="643"/>
      <c r="N238" s="616">
        <f t="shared" si="1"/>
        <v>0</v>
      </c>
      <c r="O238" s="633"/>
      <c r="P238" s="648"/>
      <c r="Q238" s="648"/>
      <c r="R238" s="7"/>
      <c r="S238" s="725"/>
      <c r="T238" s="7"/>
      <c r="U238" s="618">
        <f t="shared" si="18"/>
        <v>0</v>
      </c>
      <c r="V238" s="7"/>
      <c r="W238" s="7"/>
      <c r="X238" s="7"/>
      <c r="Y238" s="7"/>
      <c r="Z238" s="7"/>
      <c r="AA238" s="7"/>
    </row>
    <row r="239" spans="1:27" ht="20.25" customHeight="1">
      <c r="A239" s="503"/>
      <c r="B239" s="483" t="s">
        <v>551</v>
      </c>
      <c r="C239" s="629" t="s">
        <v>524</v>
      </c>
      <c r="D239" s="504" t="s">
        <v>2120</v>
      </c>
      <c r="E239" s="213"/>
      <c r="F239" s="213">
        <f>1850+400+10000</f>
        <v>12250</v>
      </c>
      <c r="G239" s="647"/>
      <c r="H239" s="214">
        <f>20+150</f>
        <v>170</v>
      </c>
      <c r="I239" s="214"/>
      <c r="J239" s="213">
        <f>2800+105+20+40+4+6+300+5.5+10+100+10+45+20</f>
        <v>3465.5</v>
      </c>
      <c r="K239" s="292">
        <v>23</v>
      </c>
      <c r="L239" s="213"/>
      <c r="M239" s="643"/>
      <c r="N239" s="616">
        <f t="shared" si="1"/>
        <v>15908.5</v>
      </c>
      <c r="O239" s="633"/>
      <c r="P239" s="648"/>
      <c r="Q239" s="648"/>
      <c r="R239" s="7"/>
      <c r="S239" s="725">
        <f>3362+163640</f>
        <v>167002</v>
      </c>
      <c r="T239" s="7"/>
      <c r="U239" s="618">
        <f t="shared" si="18"/>
        <v>151093.5</v>
      </c>
      <c r="V239" s="7"/>
      <c r="W239" s="7"/>
      <c r="X239" s="7"/>
      <c r="Y239" s="7"/>
      <c r="Z239" s="7"/>
      <c r="AA239" s="7"/>
    </row>
    <row r="240" spans="1:27" ht="20.25" customHeight="1">
      <c r="A240" s="503"/>
      <c r="B240" s="483" t="s">
        <v>553</v>
      </c>
      <c r="C240" s="629" t="s">
        <v>527</v>
      </c>
      <c r="D240" s="504" t="s">
        <v>2121</v>
      </c>
      <c r="E240" s="213"/>
      <c r="F240" s="213"/>
      <c r="G240" s="647"/>
      <c r="H240" s="214"/>
      <c r="I240" s="214"/>
      <c r="J240" s="213"/>
      <c r="K240" s="292"/>
      <c r="L240" s="213"/>
      <c r="M240" s="643"/>
      <c r="N240" s="616">
        <f t="shared" si="1"/>
        <v>0</v>
      </c>
      <c r="O240" s="633"/>
      <c r="P240" s="648"/>
      <c r="Q240" s="648"/>
      <c r="R240" s="7"/>
      <c r="S240" s="725"/>
      <c r="T240" s="7"/>
      <c r="U240" s="618">
        <f t="shared" si="18"/>
        <v>0</v>
      </c>
      <c r="V240" s="7"/>
      <c r="W240" s="7"/>
      <c r="X240" s="7"/>
      <c r="Y240" s="7"/>
      <c r="Z240" s="7"/>
      <c r="AA240" s="7"/>
    </row>
    <row r="241" spans="1:27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>
        <v>1</v>
      </c>
      <c r="G241" s="647"/>
      <c r="H241" s="214"/>
      <c r="I241" s="214"/>
      <c r="J241" s="213">
        <v>3</v>
      </c>
      <c r="K241" s="292"/>
      <c r="L241" s="213"/>
      <c r="M241" s="643"/>
      <c r="N241" s="616">
        <f t="shared" si="1"/>
        <v>4</v>
      </c>
      <c r="O241" s="633"/>
      <c r="P241" s="648"/>
      <c r="Q241" s="648"/>
      <c r="R241" s="7"/>
      <c r="S241" s="725">
        <v>3</v>
      </c>
      <c r="T241" s="7"/>
      <c r="U241" s="618"/>
      <c r="V241" s="7"/>
      <c r="W241" s="7"/>
      <c r="X241" s="7"/>
      <c r="Y241" s="7"/>
      <c r="Z241" s="7"/>
      <c r="AA241" s="7"/>
    </row>
    <row r="242" spans="1:27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647"/>
      <c r="H242" s="214"/>
      <c r="I242" s="214"/>
      <c r="J242" s="213">
        <v>1</v>
      </c>
      <c r="K242" s="292"/>
      <c r="L242" s="213"/>
      <c r="M242" s="643"/>
      <c r="N242" s="616">
        <f t="shared" si="1"/>
        <v>1</v>
      </c>
      <c r="O242" s="633"/>
      <c r="P242" s="648"/>
      <c r="Q242" s="648"/>
      <c r="R242" s="7"/>
      <c r="S242" s="725"/>
      <c r="T242" s="7"/>
      <c r="U242" s="618"/>
      <c r="V242" s="7"/>
      <c r="W242" s="7"/>
      <c r="X242" s="7"/>
      <c r="Y242" s="7"/>
      <c r="Z242" s="7"/>
      <c r="AA242" s="7"/>
    </row>
    <row r="243" spans="1:27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647"/>
      <c r="H243" s="214"/>
      <c r="I243" s="214"/>
      <c r="J243" s="213">
        <f>13+1+1+1+1+1+1+2+1+1+4+3</f>
        <v>30</v>
      </c>
      <c r="K243" s="292"/>
      <c r="L243" s="213"/>
      <c r="M243" s="643"/>
      <c r="N243" s="616">
        <f t="shared" si="1"/>
        <v>30</v>
      </c>
      <c r="O243" s="633"/>
      <c r="P243" s="648"/>
      <c r="Q243" s="648"/>
      <c r="R243" s="7"/>
      <c r="S243" s="725"/>
      <c r="T243" s="7"/>
      <c r="U243" s="618"/>
      <c r="V243" s="7"/>
      <c r="W243" s="7"/>
      <c r="X243" s="7"/>
      <c r="Y243" s="7"/>
      <c r="Z243" s="7"/>
      <c r="AA243" s="7"/>
    </row>
    <row r="244" spans="1:27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662"/>
      <c r="H244" s="214"/>
      <c r="I244" s="214"/>
      <c r="J244" s="213"/>
      <c r="K244" s="292"/>
      <c r="L244" s="213"/>
      <c r="M244" s="643"/>
      <c r="N244" s="616">
        <f t="shared" si="1"/>
        <v>0</v>
      </c>
      <c r="O244" s="633"/>
      <c r="P244" s="648"/>
      <c r="Q244" s="648"/>
      <c r="R244" s="7"/>
      <c r="S244" s="725"/>
      <c r="T244" s="7"/>
      <c r="U244" s="618"/>
      <c r="V244" s="7"/>
      <c r="W244" s="7"/>
      <c r="X244" s="7"/>
      <c r="Y244" s="7"/>
      <c r="Z244" s="7"/>
      <c r="AA244" s="7"/>
    </row>
    <row r="245" spans="1:27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647"/>
      <c r="H245" s="214"/>
      <c r="I245" s="214"/>
      <c r="J245" s="213"/>
      <c r="K245" s="292"/>
      <c r="L245" s="213"/>
      <c r="M245" s="643"/>
      <c r="N245" s="616">
        <f t="shared" si="1"/>
        <v>0</v>
      </c>
      <c r="O245" s="633"/>
      <c r="P245" s="648"/>
      <c r="Q245" s="648"/>
      <c r="R245" s="7"/>
      <c r="S245" s="725"/>
      <c r="T245" s="7"/>
      <c r="U245" s="618">
        <f t="shared" ref="U245:U282" si="19">S245-N245</f>
        <v>0</v>
      </c>
      <c r="V245" s="7"/>
      <c r="W245" s="7"/>
      <c r="X245" s="7"/>
      <c r="Y245" s="7"/>
      <c r="Z245" s="7"/>
      <c r="AA245" s="7"/>
    </row>
    <row r="246" spans="1:27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620"/>
      <c r="H246" s="214"/>
      <c r="I246" s="214"/>
      <c r="J246" s="213"/>
      <c r="K246" s="292"/>
      <c r="L246" s="213"/>
      <c r="M246" s="643"/>
      <c r="N246" s="616">
        <f t="shared" si="1"/>
        <v>0</v>
      </c>
      <c r="O246" s="633"/>
      <c r="P246" s="636"/>
      <c r="Q246" s="636"/>
      <c r="R246" s="7"/>
      <c r="S246" s="725"/>
      <c r="T246" s="7"/>
      <c r="U246" s="618">
        <f t="shared" si="19"/>
        <v>0</v>
      </c>
      <c r="V246" s="7"/>
      <c r="W246" s="7"/>
      <c r="X246" s="7"/>
      <c r="Y246" s="7"/>
      <c r="Z246" s="7"/>
      <c r="AA246" s="7"/>
    </row>
    <row r="247" spans="1:27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620"/>
      <c r="H247" s="214"/>
      <c r="I247" s="214"/>
      <c r="J247" s="213"/>
      <c r="K247" s="292"/>
      <c r="L247" s="213"/>
      <c r="M247" s="643"/>
      <c r="N247" s="616">
        <f t="shared" si="1"/>
        <v>0</v>
      </c>
      <c r="O247" s="633"/>
      <c r="P247" s="636"/>
      <c r="Q247" s="636"/>
      <c r="R247" s="7"/>
      <c r="S247" s="725"/>
      <c r="T247" s="7"/>
      <c r="U247" s="618">
        <f t="shared" si="19"/>
        <v>0</v>
      </c>
      <c r="V247" s="7"/>
      <c r="W247" s="7"/>
      <c r="X247" s="7"/>
      <c r="Y247" s="7"/>
      <c r="Z247" s="7"/>
      <c r="AA247" s="7"/>
    </row>
    <row r="248" spans="1:27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620"/>
      <c r="H248" s="214"/>
      <c r="I248" s="214"/>
      <c r="J248" s="213"/>
      <c r="K248" s="292"/>
      <c r="L248" s="213"/>
      <c r="M248" s="643"/>
      <c r="N248" s="616">
        <f t="shared" si="1"/>
        <v>0</v>
      </c>
      <c r="O248" s="633"/>
      <c r="P248" s="636"/>
      <c r="Q248" s="636"/>
      <c r="R248" s="7"/>
      <c r="S248" s="725"/>
      <c r="T248" s="7"/>
      <c r="U248" s="618">
        <f t="shared" si="19"/>
        <v>0</v>
      </c>
      <c r="V248" s="7"/>
      <c r="W248" s="7"/>
      <c r="X248" s="7"/>
      <c r="Y248" s="7"/>
      <c r="Z248" s="7"/>
      <c r="AA248" s="7"/>
    </row>
    <row r="249" spans="1:27" ht="20.25" customHeight="1">
      <c r="A249" s="503" t="s">
        <v>1020</v>
      </c>
      <c r="B249" s="483" t="s">
        <v>566</v>
      </c>
      <c r="C249" s="629" t="s">
        <v>567</v>
      </c>
      <c r="D249" s="485" t="s">
        <v>2122</v>
      </c>
      <c r="E249" s="213"/>
      <c r="F249" s="213"/>
      <c r="G249" s="620"/>
      <c r="H249" s="214"/>
      <c r="I249" s="214"/>
      <c r="J249" s="213"/>
      <c r="K249" s="292"/>
      <c r="L249" s="213"/>
      <c r="M249" s="643"/>
      <c r="N249" s="616">
        <f t="shared" si="1"/>
        <v>0</v>
      </c>
      <c r="O249" s="633"/>
      <c r="P249" s="636"/>
      <c r="Q249" s="636"/>
      <c r="R249" s="7"/>
      <c r="S249" s="725"/>
      <c r="T249" s="7"/>
      <c r="U249" s="618">
        <f t="shared" si="19"/>
        <v>0</v>
      </c>
      <c r="V249" s="7"/>
      <c r="W249" s="7"/>
      <c r="X249" s="7"/>
      <c r="Y249" s="7"/>
      <c r="Z249" s="7"/>
      <c r="AA249" s="7"/>
    </row>
    <row r="250" spans="1:27" ht="20.25" customHeight="1">
      <c r="A250" s="503" t="s">
        <v>1022</v>
      </c>
      <c r="B250" s="483" t="s">
        <v>569</v>
      </c>
      <c r="C250" s="629" t="s">
        <v>570</v>
      </c>
      <c r="D250" s="485" t="s">
        <v>2123</v>
      </c>
      <c r="E250" s="213"/>
      <c r="F250" s="213"/>
      <c r="G250" s="620"/>
      <c r="H250" s="214"/>
      <c r="I250" s="214"/>
      <c r="J250" s="213"/>
      <c r="K250" s="292"/>
      <c r="L250" s="213"/>
      <c r="M250" s="643"/>
      <c r="N250" s="616">
        <f t="shared" si="1"/>
        <v>0</v>
      </c>
      <c r="O250" s="633"/>
      <c r="P250" s="636"/>
      <c r="Q250" s="636"/>
      <c r="R250" s="7"/>
      <c r="S250" s="725"/>
      <c r="T250" s="7"/>
      <c r="U250" s="618">
        <f t="shared" si="19"/>
        <v>0</v>
      </c>
      <c r="V250" s="7"/>
      <c r="W250" s="7"/>
      <c r="X250" s="7"/>
      <c r="Y250" s="7"/>
      <c r="Z250" s="7"/>
      <c r="AA250" s="7"/>
    </row>
    <row r="251" spans="1:27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647"/>
      <c r="H251" s="214"/>
      <c r="I251" s="214"/>
      <c r="J251" s="213"/>
      <c r="K251" s="292"/>
      <c r="L251" s="213"/>
      <c r="M251" s="643"/>
      <c r="N251" s="616">
        <f t="shared" si="1"/>
        <v>0</v>
      </c>
      <c r="O251" s="633"/>
      <c r="P251" s="636"/>
      <c r="Q251" s="636"/>
      <c r="R251" s="7"/>
      <c r="S251" s="725"/>
      <c r="T251" s="7"/>
      <c r="U251" s="618">
        <f t="shared" si="19"/>
        <v>0</v>
      </c>
      <c r="V251" s="7"/>
      <c r="W251" s="7"/>
      <c r="X251" s="7"/>
      <c r="Y251" s="7"/>
      <c r="Z251" s="7"/>
      <c r="AA251" s="7"/>
    </row>
    <row r="252" spans="1:27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647"/>
      <c r="H252" s="214"/>
      <c r="I252" s="214"/>
      <c r="J252" s="213"/>
      <c r="K252" s="292"/>
      <c r="L252" s="213"/>
      <c r="M252" s="643"/>
      <c r="N252" s="616">
        <f t="shared" si="1"/>
        <v>0</v>
      </c>
      <c r="O252" s="633"/>
      <c r="P252" s="636"/>
      <c r="Q252" s="636"/>
      <c r="R252" s="7"/>
      <c r="S252" s="725"/>
      <c r="T252" s="7"/>
      <c r="U252" s="618">
        <f t="shared" si="19"/>
        <v>0</v>
      </c>
      <c r="V252" s="7"/>
      <c r="W252" s="7"/>
      <c r="X252" s="7"/>
      <c r="Y252" s="7"/>
      <c r="Z252" s="7"/>
      <c r="AA252" s="7"/>
    </row>
    <row r="253" spans="1:27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662"/>
      <c r="H253" s="214"/>
      <c r="I253" s="214"/>
      <c r="J253" s="213"/>
      <c r="K253" s="292"/>
      <c r="L253" s="213"/>
      <c r="M253" s="643"/>
      <c r="N253" s="616">
        <f t="shared" si="1"/>
        <v>0</v>
      </c>
      <c r="O253" s="633"/>
      <c r="P253" s="636"/>
      <c r="Q253" s="636"/>
      <c r="R253" s="7"/>
      <c r="S253" s="725"/>
      <c r="T253" s="7"/>
      <c r="U253" s="618">
        <f t="shared" si="19"/>
        <v>0</v>
      </c>
      <c r="V253" s="7"/>
      <c r="W253" s="7"/>
      <c r="X253" s="7"/>
      <c r="Y253" s="7"/>
      <c r="Z253" s="7"/>
      <c r="AA253" s="7"/>
    </row>
    <row r="254" spans="1:27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620"/>
      <c r="H254" s="214"/>
      <c r="I254" s="214"/>
      <c r="J254" s="213"/>
      <c r="K254" s="292"/>
      <c r="L254" s="213"/>
      <c r="M254" s="643"/>
      <c r="N254" s="616">
        <f t="shared" si="1"/>
        <v>0</v>
      </c>
      <c r="O254" s="633"/>
      <c r="P254" s="636"/>
      <c r="Q254" s="636"/>
      <c r="R254" s="7"/>
      <c r="S254" s="725"/>
      <c r="T254" s="7"/>
      <c r="U254" s="618">
        <f t="shared" si="19"/>
        <v>0</v>
      </c>
      <c r="V254" s="7"/>
      <c r="W254" s="7"/>
      <c r="X254" s="7"/>
      <c r="Y254" s="7"/>
      <c r="Z254" s="7"/>
      <c r="AA254" s="7"/>
    </row>
    <row r="255" spans="1:27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647"/>
      <c r="H255" s="214"/>
      <c r="I255" s="214"/>
      <c r="J255" s="213"/>
      <c r="K255" s="292"/>
      <c r="L255" s="213"/>
      <c r="M255" s="643"/>
      <c r="N255" s="616">
        <f t="shared" si="1"/>
        <v>0</v>
      </c>
      <c r="O255" s="633"/>
      <c r="P255" s="636"/>
      <c r="Q255" s="636"/>
      <c r="R255" s="7"/>
      <c r="S255" s="725"/>
      <c r="T255" s="7"/>
      <c r="U255" s="618">
        <f t="shared" si="19"/>
        <v>0</v>
      </c>
      <c r="V255" s="7"/>
      <c r="W255" s="7"/>
      <c r="X255" s="7"/>
      <c r="Y255" s="7"/>
      <c r="Z255" s="7"/>
      <c r="AA255" s="7"/>
    </row>
    <row r="256" spans="1:27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647"/>
      <c r="H256" s="214"/>
      <c r="I256" s="214"/>
      <c r="J256" s="213"/>
      <c r="K256" s="292"/>
      <c r="L256" s="213"/>
      <c r="M256" s="643"/>
      <c r="N256" s="616">
        <f t="shared" si="1"/>
        <v>0</v>
      </c>
      <c r="O256" s="633"/>
      <c r="P256" s="636"/>
      <c r="Q256" s="636"/>
      <c r="R256" s="7"/>
      <c r="S256" s="725"/>
      <c r="T256" s="7"/>
      <c r="U256" s="618">
        <f t="shared" si="19"/>
        <v>0</v>
      </c>
      <c r="V256" s="7"/>
      <c r="W256" s="7"/>
      <c r="X256" s="7"/>
      <c r="Y256" s="7"/>
      <c r="Z256" s="7"/>
      <c r="AA256" s="7"/>
    </row>
    <row r="257" spans="1:27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647"/>
      <c r="H257" s="214"/>
      <c r="I257" s="214"/>
      <c r="J257" s="213"/>
      <c r="K257" s="292"/>
      <c r="L257" s="213"/>
      <c r="M257" s="643"/>
      <c r="N257" s="616">
        <f t="shared" si="1"/>
        <v>0</v>
      </c>
      <c r="O257" s="633"/>
      <c r="P257" s="648"/>
      <c r="Q257" s="648"/>
      <c r="R257" s="7"/>
      <c r="S257" s="725"/>
      <c r="T257" s="7"/>
      <c r="U257" s="618">
        <f t="shared" si="19"/>
        <v>0</v>
      </c>
      <c r="V257" s="7"/>
      <c r="W257" s="7"/>
      <c r="X257" s="7"/>
      <c r="Y257" s="7"/>
      <c r="Z257" s="7"/>
      <c r="AA257" s="7"/>
    </row>
    <row r="258" spans="1:27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647"/>
      <c r="H258" s="214"/>
      <c r="I258" s="214"/>
      <c r="J258" s="213"/>
      <c r="K258" s="292"/>
      <c r="L258" s="213"/>
      <c r="M258" s="643"/>
      <c r="N258" s="616">
        <f t="shared" si="1"/>
        <v>0</v>
      </c>
      <c r="O258" s="633"/>
      <c r="P258" s="648"/>
      <c r="Q258" s="648"/>
      <c r="R258" s="7"/>
      <c r="S258" s="725"/>
      <c r="T258" s="7"/>
      <c r="U258" s="618">
        <f t="shared" si="19"/>
        <v>0</v>
      </c>
      <c r="V258" s="7"/>
      <c r="W258" s="7"/>
      <c r="X258" s="7"/>
      <c r="Y258" s="7"/>
      <c r="Z258" s="7"/>
      <c r="AA258" s="7"/>
    </row>
    <row r="259" spans="1:27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662"/>
      <c r="H259" s="214"/>
      <c r="I259" s="214"/>
      <c r="J259" s="213"/>
      <c r="K259" s="292"/>
      <c r="L259" s="213"/>
      <c r="M259" s="643"/>
      <c r="N259" s="616">
        <f t="shared" si="1"/>
        <v>0</v>
      </c>
      <c r="O259" s="633"/>
      <c r="P259" s="648"/>
      <c r="Q259" s="648"/>
      <c r="R259" s="7"/>
      <c r="S259" s="725"/>
      <c r="T259" s="7"/>
      <c r="U259" s="618">
        <f t="shared" si="19"/>
        <v>0</v>
      </c>
      <c r="V259" s="7"/>
      <c r="W259" s="7"/>
      <c r="X259" s="7"/>
      <c r="Y259" s="7"/>
      <c r="Z259" s="7"/>
      <c r="AA259" s="7"/>
    </row>
    <row r="260" spans="1:27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647"/>
      <c r="H260" s="214"/>
      <c r="I260" s="214"/>
      <c r="J260" s="213"/>
      <c r="K260" s="292"/>
      <c r="L260" s="213"/>
      <c r="M260" s="643"/>
      <c r="N260" s="616">
        <f t="shared" si="1"/>
        <v>0</v>
      </c>
      <c r="O260" s="633"/>
      <c r="P260" s="648"/>
      <c r="Q260" s="648"/>
      <c r="R260" s="7"/>
      <c r="S260" s="725"/>
      <c r="T260" s="7"/>
      <c r="U260" s="618">
        <f t="shared" si="19"/>
        <v>0</v>
      </c>
      <c r="V260" s="7"/>
      <c r="W260" s="7"/>
      <c r="X260" s="7"/>
      <c r="Y260" s="7"/>
      <c r="Z260" s="7"/>
      <c r="AA260" s="7"/>
    </row>
    <row r="261" spans="1:27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647"/>
      <c r="H261" s="214"/>
      <c r="I261" s="214"/>
      <c r="J261" s="213"/>
      <c r="K261" s="292"/>
      <c r="L261" s="213"/>
      <c r="M261" s="643"/>
      <c r="N261" s="616">
        <f t="shared" si="1"/>
        <v>0</v>
      </c>
      <c r="O261" s="633"/>
      <c r="P261" s="648"/>
      <c r="Q261" s="648"/>
      <c r="R261" s="7"/>
      <c r="S261" s="725"/>
      <c r="T261" s="7"/>
      <c r="U261" s="618">
        <f t="shared" si="19"/>
        <v>0</v>
      </c>
      <c r="V261" s="7"/>
      <c r="W261" s="7"/>
      <c r="X261" s="7"/>
      <c r="Y261" s="7"/>
      <c r="Z261" s="7"/>
      <c r="AA261" s="7"/>
    </row>
    <row r="262" spans="1:27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647"/>
      <c r="H262" s="214"/>
      <c r="I262" s="214"/>
      <c r="J262" s="213"/>
      <c r="K262" s="292"/>
      <c r="L262" s="213"/>
      <c r="M262" s="643"/>
      <c r="N262" s="616">
        <f t="shared" si="1"/>
        <v>0</v>
      </c>
      <c r="O262" s="633"/>
      <c r="P262" s="648"/>
      <c r="Q262" s="648"/>
      <c r="R262" s="7"/>
      <c r="S262" s="725"/>
      <c r="T262" s="7"/>
      <c r="U262" s="618">
        <f t="shared" si="19"/>
        <v>0</v>
      </c>
      <c r="V262" s="7"/>
      <c r="W262" s="7"/>
      <c r="X262" s="7"/>
      <c r="Y262" s="7"/>
      <c r="Z262" s="7"/>
      <c r="AA262" s="7"/>
    </row>
    <row r="263" spans="1:27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647"/>
      <c r="H263" s="214"/>
      <c r="I263" s="214"/>
      <c r="J263" s="213"/>
      <c r="K263" s="292"/>
      <c r="L263" s="213"/>
      <c r="M263" s="643"/>
      <c r="N263" s="616">
        <f t="shared" si="1"/>
        <v>0</v>
      </c>
      <c r="O263" s="633"/>
      <c r="P263" s="636"/>
      <c r="Q263" s="636"/>
      <c r="R263" s="7"/>
      <c r="S263" s="725"/>
      <c r="T263" s="7"/>
      <c r="U263" s="618">
        <f t="shared" si="19"/>
        <v>0</v>
      </c>
      <c r="V263" s="7"/>
      <c r="W263" s="7"/>
      <c r="X263" s="7"/>
      <c r="Y263" s="7"/>
      <c r="Z263" s="7"/>
      <c r="AA263" s="7"/>
    </row>
    <row r="264" spans="1:27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647"/>
      <c r="H264" s="214"/>
      <c r="I264" s="214"/>
      <c r="J264" s="213"/>
      <c r="K264" s="292"/>
      <c r="L264" s="213"/>
      <c r="M264" s="643"/>
      <c r="N264" s="616">
        <f t="shared" si="1"/>
        <v>0</v>
      </c>
      <c r="O264" s="633"/>
      <c r="P264" s="648"/>
      <c r="Q264" s="648"/>
      <c r="R264" s="7"/>
      <c r="S264" s="725"/>
      <c r="T264" s="7"/>
      <c r="U264" s="618">
        <f t="shared" si="19"/>
        <v>0</v>
      </c>
      <c r="V264" s="7"/>
      <c r="W264" s="7"/>
      <c r="X264" s="7"/>
      <c r="Y264" s="7"/>
      <c r="Z264" s="7"/>
      <c r="AA264" s="7"/>
    </row>
    <row r="265" spans="1:27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662"/>
      <c r="H265" s="214"/>
      <c r="I265" s="214"/>
      <c r="J265" s="213"/>
      <c r="K265" s="292"/>
      <c r="L265" s="213"/>
      <c r="M265" s="643"/>
      <c r="N265" s="616">
        <f t="shared" si="1"/>
        <v>0</v>
      </c>
      <c r="O265" s="633"/>
      <c r="P265" s="648"/>
      <c r="Q265" s="648"/>
      <c r="R265" s="7"/>
      <c r="S265" s="725"/>
      <c r="T265" s="7"/>
      <c r="U265" s="618">
        <f t="shared" si="19"/>
        <v>0</v>
      </c>
      <c r="V265" s="7"/>
      <c r="W265" s="7"/>
      <c r="X265" s="7"/>
      <c r="Y265" s="7"/>
      <c r="Z265" s="7"/>
      <c r="AA265" s="7"/>
    </row>
    <row r="266" spans="1:27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647"/>
      <c r="H266" s="214"/>
      <c r="I266" s="214"/>
      <c r="J266" s="213"/>
      <c r="K266" s="292"/>
      <c r="L266" s="213"/>
      <c r="M266" s="643"/>
      <c r="N266" s="616">
        <f t="shared" si="1"/>
        <v>0</v>
      </c>
      <c r="O266" s="633"/>
      <c r="P266" s="648"/>
      <c r="Q266" s="648"/>
      <c r="R266" s="7"/>
      <c r="S266" s="725"/>
      <c r="T266" s="7"/>
      <c r="U266" s="618">
        <f t="shared" si="19"/>
        <v>0</v>
      </c>
      <c r="V266" s="7"/>
      <c r="W266" s="7"/>
      <c r="X266" s="7"/>
      <c r="Y266" s="7"/>
      <c r="Z266" s="7"/>
      <c r="AA266" s="7"/>
    </row>
    <row r="267" spans="1:27" ht="20.25" customHeight="1">
      <c r="A267" s="503" t="s">
        <v>605</v>
      </c>
      <c r="B267" s="483" t="s">
        <v>606</v>
      </c>
      <c r="C267" s="629" t="s">
        <v>593</v>
      </c>
      <c r="D267" s="485" t="s">
        <v>2124</v>
      </c>
      <c r="E267" s="213"/>
      <c r="F267" s="213"/>
      <c r="G267" s="620"/>
      <c r="H267" s="214"/>
      <c r="I267" s="214"/>
      <c r="J267" s="213"/>
      <c r="K267" s="292"/>
      <c r="L267" s="213"/>
      <c r="M267" s="643"/>
      <c r="N267" s="616">
        <f t="shared" si="1"/>
        <v>0</v>
      </c>
      <c r="O267" s="633"/>
      <c r="P267" s="648"/>
      <c r="Q267" s="648"/>
      <c r="R267" s="7"/>
      <c r="S267" s="725"/>
      <c r="T267" s="7"/>
      <c r="U267" s="618">
        <f t="shared" si="19"/>
        <v>0</v>
      </c>
      <c r="V267" s="7"/>
      <c r="W267" s="7"/>
      <c r="X267" s="7"/>
      <c r="Y267" s="7"/>
      <c r="Z267" s="7"/>
      <c r="AA267" s="7"/>
    </row>
    <row r="268" spans="1:27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647"/>
      <c r="H268" s="214"/>
      <c r="I268" s="214"/>
      <c r="J268" s="213"/>
      <c r="K268" s="292"/>
      <c r="L268" s="213"/>
      <c r="M268" s="643"/>
      <c r="N268" s="616">
        <f t="shared" si="1"/>
        <v>0</v>
      </c>
      <c r="O268" s="633"/>
      <c r="P268" s="648"/>
      <c r="Q268" s="648"/>
      <c r="R268" s="7"/>
      <c r="S268" s="725"/>
      <c r="T268" s="7"/>
      <c r="U268" s="618">
        <f t="shared" si="19"/>
        <v>0</v>
      </c>
      <c r="V268" s="7"/>
      <c r="W268" s="7"/>
      <c r="X268" s="7"/>
      <c r="Y268" s="7"/>
      <c r="Z268" s="7"/>
      <c r="AA268" s="7"/>
    </row>
    <row r="269" spans="1:27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647"/>
      <c r="H269" s="214"/>
      <c r="I269" s="214"/>
      <c r="J269" s="213"/>
      <c r="K269" s="292"/>
      <c r="L269" s="213"/>
      <c r="M269" s="643"/>
      <c r="N269" s="616">
        <f t="shared" si="1"/>
        <v>0</v>
      </c>
      <c r="O269" s="633"/>
      <c r="P269" s="636"/>
      <c r="Q269" s="636"/>
      <c r="R269" s="7"/>
      <c r="S269" s="725"/>
      <c r="T269" s="7"/>
      <c r="U269" s="618">
        <f t="shared" si="19"/>
        <v>0</v>
      </c>
      <c r="V269" s="7"/>
      <c r="W269" s="7"/>
      <c r="X269" s="7"/>
      <c r="Y269" s="7"/>
      <c r="Z269" s="7"/>
      <c r="AA269" s="7"/>
    </row>
    <row r="270" spans="1:27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647"/>
      <c r="H270" s="214"/>
      <c r="I270" s="214"/>
      <c r="J270" s="213"/>
      <c r="K270" s="292"/>
      <c r="L270" s="213"/>
      <c r="M270" s="643"/>
      <c r="N270" s="616">
        <f t="shared" si="1"/>
        <v>0</v>
      </c>
      <c r="O270" s="633"/>
      <c r="P270" s="648"/>
      <c r="Q270" s="648"/>
      <c r="R270" s="7"/>
      <c r="S270" s="725"/>
      <c r="T270" s="7"/>
      <c r="U270" s="618">
        <f t="shared" si="19"/>
        <v>0</v>
      </c>
      <c r="V270" s="7"/>
      <c r="W270" s="7"/>
      <c r="X270" s="7"/>
      <c r="Y270" s="7"/>
      <c r="Z270" s="7"/>
      <c r="AA270" s="7"/>
    </row>
    <row r="271" spans="1:27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647"/>
      <c r="H271" s="214"/>
      <c r="I271" s="214"/>
      <c r="J271" s="213"/>
      <c r="K271" s="292"/>
      <c r="L271" s="213"/>
      <c r="M271" s="643"/>
      <c r="N271" s="616">
        <f t="shared" si="1"/>
        <v>0</v>
      </c>
      <c r="O271" s="633"/>
      <c r="P271" s="648"/>
      <c r="Q271" s="648"/>
      <c r="R271" s="7"/>
      <c r="S271" s="725"/>
      <c r="T271" s="7"/>
      <c r="U271" s="618">
        <f t="shared" si="19"/>
        <v>0</v>
      </c>
      <c r="V271" s="7"/>
      <c r="W271" s="7"/>
      <c r="X271" s="7"/>
      <c r="Y271" s="7"/>
      <c r="Z271" s="7"/>
      <c r="AA271" s="7"/>
    </row>
    <row r="272" spans="1:27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662"/>
      <c r="H272" s="214"/>
      <c r="I272" s="214"/>
      <c r="J272" s="213"/>
      <c r="K272" s="292"/>
      <c r="L272" s="213"/>
      <c r="M272" s="643"/>
      <c r="N272" s="616">
        <f t="shared" si="1"/>
        <v>0</v>
      </c>
      <c r="O272" s="633"/>
      <c r="P272" s="648"/>
      <c r="Q272" s="648"/>
      <c r="R272" s="7"/>
      <c r="S272" s="725"/>
      <c r="T272" s="7"/>
      <c r="U272" s="618">
        <f t="shared" si="19"/>
        <v>0</v>
      </c>
      <c r="V272" s="7"/>
      <c r="W272" s="7"/>
      <c r="X272" s="7"/>
      <c r="Y272" s="7"/>
      <c r="Z272" s="7"/>
      <c r="AA272" s="7"/>
    </row>
    <row r="273" spans="1:27" ht="20.25" customHeight="1">
      <c r="A273" s="503" t="s">
        <v>620</v>
      </c>
      <c r="B273" s="483" t="s">
        <v>621</v>
      </c>
      <c r="C273" s="629" t="s">
        <v>622</v>
      </c>
      <c r="D273" s="485" t="s">
        <v>2125</v>
      </c>
      <c r="E273" s="213"/>
      <c r="F273" s="213"/>
      <c r="G273" s="620"/>
      <c r="H273" s="214"/>
      <c r="I273" s="214"/>
      <c r="J273" s="213"/>
      <c r="K273" s="292"/>
      <c r="L273" s="213"/>
      <c r="M273" s="643"/>
      <c r="N273" s="616">
        <f t="shared" si="1"/>
        <v>0</v>
      </c>
      <c r="O273" s="633"/>
      <c r="P273" s="648"/>
      <c r="Q273" s="648"/>
      <c r="R273" s="7"/>
      <c r="S273" s="725"/>
      <c r="T273" s="7"/>
      <c r="U273" s="618">
        <f t="shared" si="19"/>
        <v>0</v>
      </c>
      <c r="V273" s="7"/>
      <c r="W273" s="7"/>
      <c r="X273" s="7"/>
      <c r="Y273" s="7"/>
      <c r="Z273" s="7"/>
      <c r="AA273" s="7"/>
    </row>
    <row r="274" spans="1:27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647"/>
      <c r="H274" s="214"/>
      <c r="I274" s="214"/>
      <c r="J274" s="213"/>
      <c r="K274" s="292"/>
      <c r="L274" s="213"/>
      <c r="M274" s="643"/>
      <c r="N274" s="616">
        <f t="shared" si="1"/>
        <v>0</v>
      </c>
      <c r="O274" s="633"/>
      <c r="P274" s="648"/>
      <c r="Q274" s="648"/>
      <c r="R274" s="7"/>
      <c r="S274" s="725"/>
      <c r="T274" s="7"/>
      <c r="U274" s="618">
        <f t="shared" si="19"/>
        <v>0</v>
      </c>
      <c r="V274" s="7"/>
      <c r="W274" s="7"/>
      <c r="X274" s="7"/>
      <c r="Y274" s="7"/>
      <c r="Z274" s="7"/>
      <c r="AA274" s="7"/>
    </row>
    <row r="275" spans="1:27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620"/>
      <c r="H275" s="214"/>
      <c r="I275" s="214"/>
      <c r="J275" s="213"/>
      <c r="K275" s="292"/>
      <c r="L275" s="213"/>
      <c r="M275" s="643"/>
      <c r="N275" s="616">
        <f t="shared" ref="N275:N447" si="20">+SUM(E275:M275)</f>
        <v>0</v>
      </c>
      <c r="O275" s="633"/>
      <c r="P275" s="636"/>
      <c r="Q275" s="636"/>
      <c r="R275" s="7"/>
      <c r="S275" s="725"/>
      <c r="T275" s="7"/>
      <c r="U275" s="618">
        <f t="shared" si="19"/>
        <v>0</v>
      </c>
      <c r="V275" s="7"/>
      <c r="W275" s="7"/>
      <c r="X275" s="7"/>
      <c r="Y275" s="7"/>
      <c r="Z275" s="7"/>
      <c r="AA275" s="7"/>
    </row>
    <row r="276" spans="1:27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647"/>
      <c r="H276" s="214"/>
      <c r="I276" s="214"/>
      <c r="J276" s="213"/>
      <c r="K276" s="292"/>
      <c r="L276" s="213"/>
      <c r="M276" s="643"/>
      <c r="N276" s="616">
        <f t="shared" si="20"/>
        <v>0</v>
      </c>
      <c r="O276" s="633"/>
      <c r="P276" s="648"/>
      <c r="Q276" s="648"/>
      <c r="R276" s="7"/>
      <c r="S276" s="725"/>
      <c r="T276" s="7"/>
      <c r="U276" s="618">
        <f t="shared" si="19"/>
        <v>0</v>
      </c>
      <c r="V276" s="7"/>
      <c r="W276" s="7"/>
      <c r="X276" s="7"/>
      <c r="Y276" s="7"/>
      <c r="Z276" s="7"/>
      <c r="AA276" s="7"/>
    </row>
    <row r="277" spans="1:27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662"/>
      <c r="H277" s="214"/>
      <c r="I277" s="214"/>
      <c r="J277" s="213"/>
      <c r="K277" s="292"/>
      <c r="L277" s="213"/>
      <c r="M277" s="643"/>
      <c r="N277" s="616">
        <f t="shared" si="20"/>
        <v>0</v>
      </c>
      <c r="O277" s="633"/>
      <c r="P277" s="648"/>
      <c r="Q277" s="648"/>
      <c r="R277" s="7"/>
      <c r="S277" s="725"/>
      <c r="T277" s="7"/>
      <c r="U277" s="618">
        <f t="shared" si="19"/>
        <v>0</v>
      </c>
      <c r="V277" s="7"/>
      <c r="W277" s="7"/>
      <c r="X277" s="7"/>
      <c r="Y277" s="7"/>
      <c r="Z277" s="7"/>
      <c r="AA277" s="7"/>
    </row>
    <row r="278" spans="1:27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647"/>
      <c r="H278" s="214"/>
      <c r="I278" s="214"/>
      <c r="J278" s="213"/>
      <c r="K278" s="292"/>
      <c r="L278" s="213"/>
      <c r="M278" s="643"/>
      <c r="N278" s="616">
        <f t="shared" si="20"/>
        <v>0</v>
      </c>
      <c r="O278" s="633"/>
      <c r="P278" s="648"/>
      <c r="Q278" s="648"/>
      <c r="R278" s="7"/>
      <c r="S278" s="725"/>
      <c r="T278" s="7"/>
      <c r="U278" s="618">
        <f t="shared" si="19"/>
        <v>0</v>
      </c>
      <c r="V278" s="7"/>
      <c r="W278" s="7"/>
      <c r="X278" s="7"/>
      <c r="Y278" s="7"/>
      <c r="Z278" s="7"/>
      <c r="AA278" s="7"/>
    </row>
    <row r="279" spans="1:27" ht="20.25" customHeight="1">
      <c r="A279" s="503" t="s">
        <v>636</v>
      </c>
      <c r="B279" s="483" t="s">
        <v>637</v>
      </c>
      <c r="C279" s="629" t="s">
        <v>638</v>
      </c>
      <c r="D279" s="485" t="s">
        <v>2126</v>
      </c>
      <c r="E279" s="213"/>
      <c r="F279" s="213"/>
      <c r="G279" s="620"/>
      <c r="H279" s="214"/>
      <c r="I279" s="214"/>
      <c r="J279" s="213"/>
      <c r="K279" s="292"/>
      <c r="L279" s="213"/>
      <c r="M279" s="643"/>
      <c r="N279" s="616">
        <f t="shared" si="20"/>
        <v>0</v>
      </c>
      <c r="O279" s="633"/>
      <c r="P279" s="648"/>
      <c r="Q279" s="648"/>
      <c r="R279" s="7"/>
      <c r="S279" s="725"/>
      <c r="T279" s="7"/>
      <c r="U279" s="618">
        <f t="shared" si="19"/>
        <v>0</v>
      </c>
      <c r="V279" s="7"/>
      <c r="W279" s="7"/>
      <c r="X279" s="7"/>
      <c r="Y279" s="7"/>
      <c r="Z279" s="7"/>
      <c r="AA279" s="7"/>
    </row>
    <row r="280" spans="1:27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647"/>
      <c r="H280" s="214"/>
      <c r="I280" s="214"/>
      <c r="J280" s="213"/>
      <c r="K280" s="292"/>
      <c r="L280" s="213"/>
      <c r="M280" s="643"/>
      <c r="N280" s="616">
        <f t="shared" si="20"/>
        <v>0</v>
      </c>
      <c r="O280" s="633"/>
      <c r="P280" s="648"/>
      <c r="Q280" s="648"/>
      <c r="R280" s="7"/>
      <c r="S280" s="725"/>
      <c r="T280" s="7"/>
      <c r="U280" s="618">
        <f t="shared" si="19"/>
        <v>0</v>
      </c>
      <c r="V280" s="7"/>
      <c r="W280" s="7"/>
      <c r="X280" s="7"/>
      <c r="Y280" s="7"/>
      <c r="Z280" s="7"/>
      <c r="AA280" s="7"/>
    </row>
    <row r="281" spans="1:27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662"/>
      <c r="H281" s="214"/>
      <c r="I281" s="214"/>
      <c r="J281" s="213"/>
      <c r="K281" s="292"/>
      <c r="L281" s="213"/>
      <c r="M281" s="643"/>
      <c r="N281" s="616">
        <f t="shared" si="20"/>
        <v>0</v>
      </c>
      <c r="O281" s="633"/>
      <c r="P281" s="648"/>
      <c r="Q281" s="648"/>
      <c r="R281" s="7"/>
      <c r="S281" s="725"/>
      <c r="T281" s="7"/>
      <c r="U281" s="618">
        <f t="shared" si="19"/>
        <v>0</v>
      </c>
      <c r="V281" s="7"/>
      <c r="W281" s="7"/>
      <c r="X281" s="7"/>
      <c r="Y281" s="7"/>
      <c r="Z281" s="7"/>
      <c r="AA281" s="7"/>
    </row>
    <row r="282" spans="1:27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662"/>
      <c r="H282" s="214"/>
      <c r="I282" s="214"/>
      <c r="J282" s="213"/>
      <c r="K282" s="292"/>
      <c r="L282" s="213"/>
      <c r="M282" s="643"/>
      <c r="N282" s="616">
        <f t="shared" si="20"/>
        <v>0</v>
      </c>
      <c r="O282" s="633"/>
      <c r="P282" s="640"/>
      <c r="Q282" s="640"/>
      <c r="R282" s="7"/>
      <c r="S282" s="725"/>
      <c r="T282" s="7"/>
      <c r="U282" s="618">
        <f t="shared" si="19"/>
        <v>0</v>
      </c>
      <c r="V282" s="7"/>
      <c r="W282" s="7"/>
      <c r="X282" s="7"/>
      <c r="Y282" s="7"/>
      <c r="Z282" s="7"/>
      <c r="AA282" s="7"/>
    </row>
    <row r="283" spans="1:27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>
        <v>1.64</v>
      </c>
      <c r="G283" s="620"/>
      <c r="H283" s="214">
        <v>0.1</v>
      </c>
      <c r="I283" s="214">
        <v>0.7</v>
      </c>
      <c r="J283" s="213">
        <f>0.032+4.37</f>
        <v>4.4020000000000001</v>
      </c>
      <c r="K283" s="292">
        <v>0.63300000000000001</v>
      </c>
      <c r="L283" s="213"/>
      <c r="M283" s="643"/>
      <c r="N283" s="616">
        <f t="shared" si="20"/>
        <v>7.4750000000000005</v>
      </c>
      <c r="O283" s="633"/>
      <c r="P283" s="636"/>
      <c r="Q283" s="636"/>
      <c r="R283" s="7"/>
      <c r="S283" s="725"/>
      <c r="T283" s="7"/>
      <c r="U283" s="618"/>
      <c r="V283" s="7"/>
      <c r="W283" s="7"/>
      <c r="X283" s="7"/>
      <c r="Y283" s="7"/>
      <c r="Z283" s="7"/>
      <c r="AA283" s="7"/>
    </row>
    <row r="284" spans="1:27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647"/>
      <c r="H284" s="214"/>
      <c r="I284" s="214"/>
      <c r="J284" s="213"/>
      <c r="K284" s="292"/>
      <c r="L284" s="213"/>
      <c r="M284" s="643"/>
      <c r="N284" s="616">
        <f t="shared" si="20"/>
        <v>0</v>
      </c>
      <c r="O284" s="633"/>
      <c r="P284" s="654"/>
      <c r="Q284" s="654"/>
      <c r="R284" s="7"/>
      <c r="S284" s="725"/>
      <c r="T284" s="7"/>
      <c r="U284" s="618">
        <f t="shared" ref="U284:U324" si="21">S284-N284</f>
        <v>0</v>
      </c>
      <c r="V284" s="7"/>
      <c r="W284" s="7"/>
      <c r="X284" s="7"/>
      <c r="Y284" s="7"/>
      <c r="Z284" s="7"/>
      <c r="AA284" s="7"/>
    </row>
    <row r="285" spans="1:27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647"/>
      <c r="H285" s="214"/>
      <c r="I285" s="214"/>
      <c r="J285" s="213"/>
      <c r="K285" s="292"/>
      <c r="L285" s="213"/>
      <c r="M285" s="643"/>
      <c r="N285" s="616">
        <f t="shared" si="20"/>
        <v>0</v>
      </c>
      <c r="O285" s="633"/>
      <c r="P285" s="654"/>
      <c r="Q285" s="654"/>
      <c r="R285" s="7"/>
      <c r="S285" s="725"/>
      <c r="T285" s="7"/>
      <c r="U285" s="618">
        <f t="shared" si="21"/>
        <v>0</v>
      </c>
      <c r="V285" s="7"/>
      <c r="W285" s="7"/>
      <c r="X285" s="7"/>
      <c r="Y285" s="7"/>
      <c r="Z285" s="7"/>
      <c r="AA285" s="7"/>
    </row>
    <row r="286" spans="1:27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647"/>
      <c r="H286" s="214"/>
      <c r="I286" s="214"/>
      <c r="J286" s="213"/>
      <c r="K286" s="292"/>
      <c r="L286" s="213"/>
      <c r="M286" s="643"/>
      <c r="N286" s="616">
        <f t="shared" si="20"/>
        <v>0</v>
      </c>
      <c r="O286" s="633"/>
      <c r="P286" s="654"/>
      <c r="Q286" s="654"/>
      <c r="R286" s="7"/>
      <c r="S286" s="725"/>
      <c r="T286" s="7"/>
      <c r="U286" s="618">
        <f t="shared" si="21"/>
        <v>0</v>
      </c>
      <c r="V286" s="7"/>
      <c r="W286" s="7"/>
      <c r="X286" s="7"/>
      <c r="Y286" s="7"/>
      <c r="Z286" s="7"/>
      <c r="AA286" s="7"/>
    </row>
    <row r="287" spans="1:27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647"/>
      <c r="H287" s="214"/>
      <c r="I287" s="214"/>
      <c r="J287" s="213"/>
      <c r="K287" s="292"/>
      <c r="L287" s="213"/>
      <c r="M287" s="643"/>
      <c r="N287" s="616">
        <f t="shared" si="20"/>
        <v>0</v>
      </c>
      <c r="O287" s="633"/>
      <c r="P287" s="654"/>
      <c r="Q287" s="654"/>
      <c r="R287" s="7"/>
      <c r="S287" s="725"/>
      <c r="T287" s="7"/>
      <c r="U287" s="618">
        <f t="shared" si="21"/>
        <v>0</v>
      </c>
      <c r="V287" s="7"/>
      <c r="W287" s="7"/>
      <c r="X287" s="7"/>
      <c r="Y287" s="7"/>
      <c r="Z287" s="7"/>
      <c r="AA287" s="7"/>
    </row>
    <row r="288" spans="1:27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647"/>
      <c r="H288" s="214"/>
      <c r="I288" s="214"/>
      <c r="J288" s="213"/>
      <c r="K288" s="292"/>
      <c r="L288" s="213"/>
      <c r="M288" s="643"/>
      <c r="N288" s="616">
        <f t="shared" si="20"/>
        <v>0</v>
      </c>
      <c r="O288" s="633"/>
      <c r="P288" s="654"/>
      <c r="Q288" s="654"/>
      <c r="R288" s="7"/>
      <c r="S288" s="725"/>
      <c r="T288" s="7"/>
      <c r="U288" s="618">
        <f t="shared" si="21"/>
        <v>0</v>
      </c>
      <c r="V288" s="7"/>
      <c r="W288" s="7"/>
      <c r="X288" s="7"/>
      <c r="Y288" s="7"/>
      <c r="Z288" s="7"/>
      <c r="AA288" s="7"/>
    </row>
    <row r="289" spans="1:27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647"/>
      <c r="H289" s="214"/>
      <c r="I289" s="214"/>
      <c r="J289" s="213"/>
      <c r="K289" s="292"/>
      <c r="L289" s="213"/>
      <c r="M289" s="643"/>
      <c r="N289" s="616">
        <f t="shared" si="20"/>
        <v>0</v>
      </c>
      <c r="O289" s="633"/>
      <c r="P289" s="654"/>
      <c r="Q289" s="654"/>
      <c r="R289" s="7"/>
      <c r="S289" s="725"/>
      <c r="T289" s="7"/>
      <c r="U289" s="618">
        <f t="shared" si="21"/>
        <v>0</v>
      </c>
      <c r="V289" s="7"/>
      <c r="W289" s="7"/>
      <c r="X289" s="7"/>
      <c r="Y289" s="7"/>
      <c r="Z289" s="7"/>
      <c r="AA289" s="7"/>
    </row>
    <row r="290" spans="1:27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647"/>
      <c r="H290" s="214"/>
      <c r="I290" s="214"/>
      <c r="J290" s="213"/>
      <c r="K290" s="292"/>
      <c r="L290" s="213"/>
      <c r="M290" s="643"/>
      <c r="N290" s="616">
        <f t="shared" si="20"/>
        <v>0</v>
      </c>
      <c r="O290" s="633"/>
      <c r="P290" s="648"/>
      <c r="Q290" s="648"/>
      <c r="R290" s="7"/>
      <c r="S290" s="725"/>
      <c r="T290" s="7"/>
      <c r="U290" s="618">
        <f t="shared" si="21"/>
        <v>0</v>
      </c>
      <c r="V290" s="7"/>
      <c r="W290" s="7"/>
      <c r="X290" s="7"/>
      <c r="Y290" s="7"/>
      <c r="Z290" s="7"/>
      <c r="AA290" s="7"/>
    </row>
    <row r="291" spans="1:27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647"/>
      <c r="H291" s="214"/>
      <c r="I291" s="214"/>
      <c r="J291" s="213"/>
      <c r="K291" s="292"/>
      <c r="L291" s="213"/>
      <c r="M291" s="643"/>
      <c r="N291" s="616">
        <f t="shared" si="20"/>
        <v>0</v>
      </c>
      <c r="O291" s="633"/>
      <c r="P291" s="648"/>
      <c r="Q291" s="648"/>
      <c r="R291" s="7"/>
      <c r="S291" s="725"/>
      <c r="T291" s="7"/>
      <c r="U291" s="618">
        <f t="shared" si="21"/>
        <v>0</v>
      </c>
      <c r="V291" s="7"/>
      <c r="W291" s="7"/>
      <c r="X291" s="7"/>
      <c r="Y291" s="7"/>
      <c r="Z291" s="7"/>
      <c r="AA291" s="7"/>
    </row>
    <row r="292" spans="1:27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647"/>
      <c r="H292" s="214"/>
      <c r="I292" s="214"/>
      <c r="J292" s="213"/>
      <c r="K292" s="292"/>
      <c r="L292" s="213"/>
      <c r="M292" s="643"/>
      <c r="N292" s="616">
        <f t="shared" si="20"/>
        <v>0</v>
      </c>
      <c r="O292" s="633"/>
      <c r="P292" s="648"/>
      <c r="Q292" s="648"/>
      <c r="R292" s="7"/>
      <c r="S292" s="725"/>
      <c r="T292" s="7"/>
      <c r="U292" s="618">
        <f t="shared" si="21"/>
        <v>0</v>
      </c>
      <c r="V292" s="7"/>
      <c r="W292" s="7"/>
      <c r="X292" s="7"/>
      <c r="Y292" s="7"/>
      <c r="Z292" s="7"/>
      <c r="AA292" s="7"/>
    </row>
    <row r="293" spans="1:27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647"/>
      <c r="H293" s="214"/>
      <c r="I293" s="214"/>
      <c r="J293" s="213"/>
      <c r="K293" s="292"/>
      <c r="L293" s="213"/>
      <c r="M293" s="643"/>
      <c r="N293" s="616">
        <f t="shared" si="20"/>
        <v>0</v>
      </c>
      <c r="O293" s="633"/>
      <c r="P293" s="648"/>
      <c r="Q293" s="648"/>
      <c r="R293" s="7"/>
      <c r="S293" s="725"/>
      <c r="T293" s="7"/>
      <c r="U293" s="618">
        <f t="shared" si="21"/>
        <v>0</v>
      </c>
      <c r="V293" s="7"/>
      <c r="W293" s="7"/>
      <c r="X293" s="7"/>
      <c r="Y293" s="7"/>
      <c r="Z293" s="7"/>
      <c r="AA293" s="7"/>
    </row>
    <row r="294" spans="1:27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620"/>
      <c r="H294" s="214"/>
      <c r="I294" s="214"/>
      <c r="J294" s="213"/>
      <c r="K294" s="292"/>
      <c r="L294" s="213"/>
      <c r="M294" s="643"/>
      <c r="N294" s="616">
        <f t="shared" si="20"/>
        <v>0</v>
      </c>
      <c r="O294" s="633"/>
      <c r="P294" s="654"/>
      <c r="Q294" s="654"/>
      <c r="R294" s="7"/>
      <c r="S294" s="725"/>
      <c r="T294" s="7"/>
      <c r="U294" s="618">
        <f t="shared" si="21"/>
        <v>0</v>
      </c>
      <c r="V294" s="7"/>
      <c r="W294" s="7"/>
      <c r="X294" s="7"/>
      <c r="Y294" s="7"/>
      <c r="Z294" s="7"/>
      <c r="AA294" s="7"/>
    </row>
    <row r="295" spans="1:27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647"/>
      <c r="H295" s="214"/>
      <c r="I295" s="214"/>
      <c r="J295" s="213"/>
      <c r="K295" s="292"/>
      <c r="L295" s="213"/>
      <c r="M295" s="643"/>
      <c r="N295" s="616">
        <f t="shared" si="20"/>
        <v>0</v>
      </c>
      <c r="O295" s="633"/>
      <c r="P295" s="648"/>
      <c r="Q295" s="648"/>
      <c r="R295" s="7"/>
      <c r="S295" s="725"/>
      <c r="T295" s="7"/>
      <c r="U295" s="618">
        <f t="shared" si="21"/>
        <v>0</v>
      </c>
      <c r="V295" s="7"/>
      <c r="W295" s="7"/>
      <c r="X295" s="7"/>
      <c r="Y295" s="7"/>
      <c r="Z295" s="7"/>
      <c r="AA295" s="7"/>
    </row>
    <row r="296" spans="1:27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647"/>
      <c r="H296" s="214"/>
      <c r="I296" s="214"/>
      <c r="J296" s="213"/>
      <c r="K296" s="292"/>
      <c r="L296" s="213"/>
      <c r="M296" s="643"/>
      <c r="N296" s="616">
        <f t="shared" si="20"/>
        <v>0</v>
      </c>
      <c r="O296" s="633"/>
      <c r="P296" s="648"/>
      <c r="Q296" s="648"/>
      <c r="R296" s="7"/>
      <c r="S296" s="725"/>
      <c r="T296" s="7"/>
      <c r="U296" s="618">
        <f t="shared" si="21"/>
        <v>0</v>
      </c>
      <c r="V296" s="7"/>
      <c r="W296" s="7"/>
      <c r="X296" s="7"/>
      <c r="Y296" s="7"/>
      <c r="Z296" s="7"/>
      <c r="AA296" s="7"/>
    </row>
    <row r="297" spans="1:27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647"/>
      <c r="H297" s="214"/>
      <c r="I297" s="214"/>
      <c r="J297" s="213"/>
      <c r="K297" s="292"/>
      <c r="L297" s="213"/>
      <c r="M297" s="643"/>
      <c r="N297" s="616">
        <f t="shared" si="20"/>
        <v>0</v>
      </c>
      <c r="O297" s="633"/>
      <c r="P297" s="648"/>
      <c r="Q297" s="648"/>
      <c r="R297" s="7"/>
      <c r="S297" s="725"/>
      <c r="T297" s="7"/>
      <c r="U297" s="618">
        <f t="shared" si="21"/>
        <v>0</v>
      </c>
      <c r="V297" s="7"/>
      <c r="W297" s="7"/>
      <c r="X297" s="7"/>
      <c r="Y297" s="7"/>
      <c r="Z297" s="7"/>
      <c r="AA297" s="7"/>
    </row>
    <row r="298" spans="1:27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647"/>
      <c r="H298" s="214"/>
      <c r="I298" s="214"/>
      <c r="J298" s="213"/>
      <c r="K298" s="292"/>
      <c r="L298" s="213"/>
      <c r="M298" s="643"/>
      <c r="N298" s="616">
        <f t="shared" si="20"/>
        <v>0</v>
      </c>
      <c r="O298" s="633"/>
      <c r="P298" s="648"/>
      <c r="Q298" s="648"/>
      <c r="R298" s="7"/>
      <c r="S298" s="725"/>
      <c r="T298" s="7"/>
      <c r="U298" s="618">
        <f t="shared" si="21"/>
        <v>0</v>
      </c>
      <c r="V298" s="7"/>
      <c r="W298" s="7"/>
      <c r="X298" s="7"/>
      <c r="Y298" s="7"/>
      <c r="Z298" s="7"/>
      <c r="AA298" s="7"/>
    </row>
    <row r="299" spans="1:27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620"/>
      <c r="H299" s="214"/>
      <c r="I299" s="214"/>
      <c r="J299" s="213"/>
      <c r="K299" s="292"/>
      <c r="L299" s="213"/>
      <c r="M299" s="643"/>
      <c r="N299" s="616">
        <f t="shared" si="20"/>
        <v>0</v>
      </c>
      <c r="O299" s="633"/>
      <c r="P299" s="636"/>
      <c r="Q299" s="636"/>
      <c r="R299" s="7"/>
      <c r="S299" s="725"/>
      <c r="T299" s="7"/>
      <c r="U299" s="618">
        <f t="shared" si="21"/>
        <v>0</v>
      </c>
      <c r="V299" s="7"/>
      <c r="W299" s="7"/>
      <c r="X299" s="7"/>
      <c r="Y299" s="7"/>
      <c r="Z299" s="7"/>
      <c r="AA299" s="7"/>
    </row>
    <row r="300" spans="1:27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620"/>
      <c r="H300" s="214"/>
      <c r="I300" s="214"/>
      <c r="J300" s="213"/>
      <c r="K300" s="292"/>
      <c r="L300" s="213"/>
      <c r="M300" s="643"/>
      <c r="N300" s="616">
        <f t="shared" si="20"/>
        <v>0</v>
      </c>
      <c r="O300" s="633"/>
      <c r="P300" s="636"/>
      <c r="Q300" s="636"/>
      <c r="R300" s="7"/>
      <c r="S300" s="725"/>
      <c r="T300" s="7"/>
      <c r="U300" s="618">
        <f t="shared" si="21"/>
        <v>0</v>
      </c>
      <c r="V300" s="7"/>
      <c r="W300" s="7"/>
      <c r="X300" s="7"/>
      <c r="Y300" s="7"/>
      <c r="Z300" s="7"/>
      <c r="AA300" s="7"/>
    </row>
    <row r="301" spans="1:27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647"/>
      <c r="H301" s="214"/>
      <c r="I301" s="214"/>
      <c r="J301" s="213"/>
      <c r="K301" s="292"/>
      <c r="L301" s="213"/>
      <c r="M301" s="643"/>
      <c r="N301" s="616">
        <f t="shared" si="20"/>
        <v>0</v>
      </c>
      <c r="O301" s="633"/>
      <c r="P301" s="648"/>
      <c r="Q301" s="648"/>
      <c r="R301" s="7"/>
      <c r="S301" s="725"/>
      <c r="T301" s="7"/>
      <c r="U301" s="618">
        <f t="shared" si="21"/>
        <v>0</v>
      </c>
      <c r="V301" s="7"/>
      <c r="W301" s="7"/>
      <c r="X301" s="7"/>
      <c r="Y301" s="7"/>
      <c r="Z301" s="7"/>
      <c r="AA301" s="7"/>
    </row>
    <row r="302" spans="1:27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647"/>
      <c r="H302" s="214"/>
      <c r="I302" s="214"/>
      <c r="J302" s="213"/>
      <c r="K302" s="292"/>
      <c r="L302" s="213"/>
      <c r="M302" s="643"/>
      <c r="N302" s="616">
        <f t="shared" si="20"/>
        <v>0</v>
      </c>
      <c r="O302" s="633"/>
      <c r="P302" s="648"/>
      <c r="Q302" s="648"/>
      <c r="R302" s="7"/>
      <c r="S302" s="725"/>
      <c r="T302" s="7"/>
      <c r="U302" s="618">
        <f t="shared" si="21"/>
        <v>0</v>
      </c>
      <c r="V302" s="7"/>
      <c r="W302" s="7"/>
      <c r="X302" s="7"/>
      <c r="Y302" s="7"/>
      <c r="Z302" s="7"/>
      <c r="AA302" s="7"/>
    </row>
    <row r="303" spans="1:27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647"/>
      <c r="H303" s="214"/>
      <c r="I303" s="214"/>
      <c r="J303" s="213"/>
      <c r="K303" s="292"/>
      <c r="L303" s="213"/>
      <c r="M303" s="643"/>
      <c r="N303" s="616">
        <f t="shared" si="20"/>
        <v>0</v>
      </c>
      <c r="O303" s="633"/>
      <c r="P303" s="648"/>
      <c r="Q303" s="648"/>
      <c r="R303" s="7"/>
      <c r="S303" s="725"/>
      <c r="T303" s="7"/>
      <c r="U303" s="618">
        <f t="shared" si="21"/>
        <v>0</v>
      </c>
      <c r="V303" s="7"/>
      <c r="W303" s="7"/>
      <c r="X303" s="7"/>
      <c r="Y303" s="7"/>
      <c r="Z303" s="7"/>
      <c r="AA303" s="7"/>
    </row>
    <row r="304" spans="1:27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647"/>
      <c r="H304" s="214"/>
      <c r="I304" s="214"/>
      <c r="J304" s="213"/>
      <c r="K304" s="292"/>
      <c r="L304" s="213"/>
      <c r="M304" s="643"/>
      <c r="N304" s="616">
        <f t="shared" si="20"/>
        <v>0</v>
      </c>
      <c r="O304" s="633"/>
      <c r="P304" s="648"/>
      <c r="Q304" s="648"/>
      <c r="R304" s="7"/>
      <c r="S304" s="725"/>
      <c r="T304" s="7"/>
      <c r="U304" s="618">
        <f t="shared" si="21"/>
        <v>0</v>
      </c>
      <c r="V304" s="7"/>
      <c r="W304" s="7"/>
      <c r="X304" s="7"/>
      <c r="Y304" s="7"/>
      <c r="Z304" s="7"/>
      <c r="AA304" s="7"/>
    </row>
    <row r="305" spans="1:27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620"/>
      <c r="H305" s="214"/>
      <c r="I305" s="214"/>
      <c r="J305" s="213"/>
      <c r="K305" s="292"/>
      <c r="L305" s="213"/>
      <c r="M305" s="643"/>
      <c r="N305" s="616">
        <f t="shared" si="20"/>
        <v>0</v>
      </c>
      <c r="O305" s="633"/>
      <c r="P305" s="636"/>
      <c r="Q305" s="636"/>
      <c r="R305" s="7"/>
      <c r="S305" s="725"/>
      <c r="T305" s="7"/>
      <c r="U305" s="618">
        <f t="shared" si="21"/>
        <v>0</v>
      </c>
      <c r="V305" s="7"/>
      <c r="W305" s="7"/>
      <c r="X305" s="7"/>
      <c r="Y305" s="7"/>
      <c r="Z305" s="7"/>
      <c r="AA305" s="7"/>
    </row>
    <row r="306" spans="1:27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647"/>
      <c r="H306" s="214"/>
      <c r="I306" s="214"/>
      <c r="J306" s="213"/>
      <c r="K306" s="292"/>
      <c r="L306" s="213"/>
      <c r="M306" s="643"/>
      <c r="N306" s="616">
        <f t="shared" si="20"/>
        <v>0</v>
      </c>
      <c r="O306" s="633"/>
      <c r="P306" s="648"/>
      <c r="Q306" s="648"/>
      <c r="R306" s="7"/>
      <c r="S306" s="725"/>
      <c r="T306" s="7"/>
      <c r="U306" s="618">
        <f t="shared" si="21"/>
        <v>0</v>
      </c>
      <c r="V306" s="7"/>
      <c r="W306" s="7"/>
      <c r="X306" s="7"/>
      <c r="Y306" s="7"/>
      <c r="Z306" s="7"/>
      <c r="AA306" s="7"/>
    </row>
    <row r="307" spans="1:27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647"/>
      <c r="H307" s="214"/>
      <c r="I307" s="214"/>
      <c r="J307" s="213"/>
      <c r="K307" s="292"/>
      <c r="L307" s="213"/>
      <c r="M307" s="643"/>
      <c r="N307" s="616">
        <f t="shared" si="20"/>
        <v>0</v>
      </c>
      <c r="O307" s="633"/>
      <c r="P307" s="648"/>
      <c r="Q307" s="648"/>
      <c r="R307" s="7"/>
      <c r="S307" s="725"/>
      <c r="T307" s="7"/>
      <c r="U307" s="618">
        <f t="shared" si="21"/>
        <v>0</v>
      </c>
      <c r="V307" s="7"/>
      <c r="W307" s="7"/>
      <c r="X307" s="7"/>
      <c r="Y307" s="7"/>
      <c r="Z307" s="7"/>
      <c r="AA307" s="7"/>
    </row>
    <row r="308" spans="1:27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647"/>
      <c r="H308" s="214"/>
      <c r="I308" s="214"/>
      <c r="J308" s="213"/>
      <c r="K308" s="292"/>
      <c r="L308" s="213"/>
      <c r="M308" s="643"/>
      <c r="N308" s="616">
        <f t="shared" si="20"/>
        <v>0</v>
      </c>
      <c r="O308" s="633"/>
      <c r="P308" s="648"/>
      <c r="Q308" s="648"/>
      <c r="R308" s="7"/>
      <c r="S308" s="725"/>
      <c r="T308" s="7"/>
      <c r="U308" s="618">
        <f t="shared" si="21"/>
        <v>0</v>
      </c>
      <c r="V308" s="7"/>
      <c r="W308" s="7"/>
      <c r="X308" s="7"/>
      <c r="Y308" s="7"/>
      <c r="Z308" s="7"/>
      <c r="AA308" s="7"/>
    </row>
    <row r="309" spans="1:27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647"/>
      <c r="H309" s="214"/>
      <c r="I309" s="214"/>
      <c r="J309" s="213"/>
      <c r="K309" s="292"/>
      <c r="L309" s="213"/>
      <c r="M309" s="643"/>
      <c r="N309" s="616">
        <f t="shared" si="20"/>
        <v>0</v>
      </c>
      <c r="O309" s="633"/>
      <c r="P309" s="648"/>
      <c r="Q309" s="648"/>
      <c r="R309" s="7"/>
      <c r="S309" s="725"/>
      <c r="T309" s="7"/>
      <c r="U309" s="618">
        <f t="shared" si="21"/>
        <v>0</v>
      </c>
      <c r="V309" s="7"/>
      <c r="W309" s="7"/>
      <c r="X309" s="7"/>
      <c r="Y309" s="7"/>
      <c r="Z309" s="7"/>
      <c r="AA309" s="7"/>
    </row>
    <row r="310" spans="1:27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620"/>
      <c r="H310" s="214"/>
      <c r="I310" s="214"/>
      <c r="J310" s="213"/>
      <c r="K310" s="292"/>
      <c r="L310" s="213"/>
      <c r="M310" s="643"/>
      <c r="N310" s="616">
        <f t="shared" si="20"/>
        <v>0</v>
      </c>
      <c r="O310" s="633"/>
      <c r="P310" s="636"/>
      <c r="Q310" s="636"/>
      <c r="R310" s="7"/>
      <c r="S310" s="725"/>
      <c r="T310" s="7"/>
      <c r="U310" s="618">
        <f t="shared" si="21"/>
        <v>0</v>
      </c>
      <c r="V310" s="7"/>
      <c r="W310" s="7"/>
      <c r="X310" s="7"/>
      <c r="Y310" s="7"/>
      <c r="Z310" s="7"/>
      <c r="AA310" s="7"/>
    </row>
    <row r="311" spans="1:27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647"/>
      <c r="H311" s="214"/>
      <c r="I311" s="214"/>
      <c r="J311" s="213"/>
      <c r="K311" s="292"/>
      <c r="L311" s="213"/>
      <c r="M311" s="643"/>
      <c r="N311" s="616">
        <f t="shared" si="20"/>
        <v>0</v>
      </c>
      <c r="O311" s="633"/>
      <c r="P311" s="648"/>
      <c r="Q311" s="648"/>
      <c r="R311" s="7"/>
      <c r="S311" s="725"/>
      <c r="T311" s="7"/>
      <c r="U311" s="618">
        <f t="shared" si="21"/>
        <v>0</v>
      </c>
      <c r="V311" s="7"/>
      <c r="W311" s="7"/>
      <c r="X311" s="7"/>
      <c r="Y311" s="7"/>
      <c r="Z311" s="7"/>
      <c r="AA311" s="7"/>
    </row>
    <row r="312" spans="1:27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647"/>
      <c r="H312" s="214"/>
      <c r="I312" s="214"/>
      <c r="J312" s="213"/>
      <c r="K312" s="292"/>
      <c r="L312" s="213"/>
      <c r="M312" s="643"/>
      <c r="N312" s="616">
        <f t="shared" si="20"/>
        <v>0</v>
      </c>
      <c r="O312" s="633"/>
      <c r="P312" s="648"/>
      <c r="Q312" s="648"/>
      <c r="R312" s="7"/>
      <c r="S312" s="725"/>
      <c r="T312" s="7"/>
      <c r="U312" s="618">
        <f t="shared" si="21"/>
        <v>0</v>
      </c>
      <c r="V312" s="7"/>
      <c r="W312" s="7"/>
      <c r="X312" s="7"/>
      <c r="Y312" s="7"/>
      <c r="Z312" s="7"/>
      <c r="AA312" s="7"/>
    </row>
    <row r="313" spans="1:27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647"/>
      <c r="H313" s="214"/>
      <c r="I313" s="214"/>
      <c r="J313" s="213"/>
      <c r="K313" s="292"/>
      <c r="L313" s="213"/>
      <c r="M313" s="643"/>
      <c r="N313" s="616">
        <f t="shared" si="20"/>
        <v>0</v>
      </c>
      <c r="O313" s="633"/>
      <c r="P313" s="648"/>
      <c r="Q313" s="648"/>
      <c r="R313" s="7"/>
      <c r="S313" s="725"/>
      <c r="T313" s="7"/>
      <c r="U313" s="618">
        <f t="shared" si="21"/>
        <v>0</v>
      </c>
      <c r="V313" s="7"/>
      <c r="W313" s="7"/>
      <c r="X313" s="7"/>
      <c r="Y313" s="7"/>
      <c r="Z313" s="7"/>
      <c r="AA313" s="7"/>
    </row>
    <row r="314" spans="1:27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647"/>
      <c r="H314" s="214"/>
      <c r="I314" s="214"/>
      <c r="J314" s="213"/>
      <c r="K314" s="292"/>
      <c r="L314" s="213"/>
      <c r="M314" s="643"/>
      <c r="N314" s="616">
        <f t="shared" si="20"/>
        <v>0</v>
      </c>
      <c r="O314" s="633"/>
      <c r="P314" s="648"/>
      <c r="Q314" s="648"/>
      <c r="R314" s="7"/>
      <c r="S314" s="725"/>
      <c r="T314" s="7"/>
      <c r="U314" s="618">
        <f t="shared" si="21"/>
        <v>0</v>
      </c>
      <c r="V314" s="7"/>
      <c r="W314" s="7"/>
      <c r="X314" s="7"/>
      <c r="Y314" s="7"/>
      <c r="Z314" s="7"/>
      <c r="AA314" s="7"/>
    </row>
    <row r="315" spans="1:27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647"/>
      <c r="H315" s="214"/>
      <c r="I315" s="214"/>
      <c r="J315" s="213"/>
      <c r="K315" s="292"/>
      <c r="L315" s="213"/>
      <c r="M315" s="643"/>
      <c r="N315" s="616">
        <f t="shared" si="20"/>
        <v>0</v>
      </c>
      <c r="O315" s="633"/>
      <c r="P315" s="636"/>
      <c r="Q315" s="636"/>
      <c r="R315" s="7"/>
      <c r="S315" s="725"/>
      <c r="T315" s="7"/>
      <c r="U315" s="618">
        <f t="shared" si="21"/>
        <v>0</v>
      </c>
      <c r="V315" s="7"/>
      <c r="W315" s="7"/>
      <c r="X315" s="7"/>
      <c r="Y315" s="7"/>
      <c r="Z315" s="7"/>
      <c r="AA315" s="7"/>
    </row>
    <row r="316" spans="1:27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647"/>
      <c r="H316" s="214"/>
      <c r="I316" s="214"/>
      <c r="J316" s="213"/>
      <c r="K316" s="292"/>
      <c r="L316" s="213"/>
      <c r="M316" s="643"/>
      <c r="N316" s="616">
        <f t="shared" si="20"/>
        <v>0</v>
      </c>
      <c r="O316" s="633"/>
      <c r="P316" s="648"/>
      <c r="Q316" s="648"/>
      <c r="R316" s="7"/>
      <c r="S316" s="725"/>
      <c r="T316" s="7"/>
      <c r="U316" s="618">
        <f t="shared" si="21"/>
        <v>0</v>
      </c>
      <c r="V316" s="7"/>
      <c r="W316" s="7"/>
      <c r="X316" s="7"/>
      <c r="Y316" s="7"/>
      <c r="Z316" s="7"/>
      <c r="AA316" s="7"/>
    </row>
    <row r="317" spans="1:27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647"/>
      <c r="H317" s="214"/>
      <c r="I317" s="214"/>
      <c r="J317" s="213"/>
      <c r="K317" s="292"/>
      <c r="L317" s="213"/>
      <c r="M317" s="643"/>
      <c r="N317" s="616">
        <f t="shared" si="20"/>
        <v>0</v>
      </c>
      <c r="O317" s="633"/>
      <c r="P317" s="648"/>
      <c r="Q317" s="648"/>
      <c r="R317" s="7"/>
      <c r="S317" s="725"/>
      <c r="T317" s="7"/>
      <c r="U317" s="618">
        <f t="shared" si="21"/>
        <v>0</v>
      </c>
      <c r="V317" s="7"/>
      <c r="W317" s="7"/>
      <c r="X317" s="7"/>
      <c r="Y317" s="7"/>
      <c r="Z317" s="7"/>
      <c r="AA317" s="7"/>
    </row>
    <row r="318" spans="1:27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647"/>
      <c r="H318" s="214"/>
      <c r="I318" s="214"/>
      <c r="J318" s="213"/>
      <c r="K318" s="292"/>
      <c r="L318" s="213"/>
      <c r="M318" s="643"/>
      <c r="N318" s="616">
        <f t="shared" si="20"/>
        <v>0</v>
      </c>
      <c r="O318" s="633"/>
      <c r="P318" s="648"/>
      <c r="Q318" s="648"/>
      <c r="R318" s="7"/>
      <c r="S318" s="725"/>
      <c r="T318" s="7"/>
      <c r="U318" s="618">
        <f t="shared" si="21"/>
        <v>0</v>
      </c>
      <c r="V318" s="7"/>
      <c r="W318" s="7"/>
      <c r="X318" s="7"/>
      <c r="Y318" s="7"/>
      <c r="Z318" s="7"/>
      <c r="AA318" s="7"/>
    </row>
    <row r="319" spans="1:27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647"/>
      <c r="H319" s="214"/>
      <c r="I319" s="214"/>
      <c r="J319" s="213"/>
      <c r="K319" s="292"/>
      <c r="L319" s="213"/>
      <c r="M319" s="643"/>
      <c r="N319" s="616">
        <f t="shared" si="20"/>
        <v>0</v>
      </c>
      <c r="O319" s="633"/>
      <c r="P319" s="648"/>
      <c r="Q319" s="648"/>
      <c r="R319" s="7"/>
      <c r="S319" s="725"/>
      <c r="T319" s="7"/>
      <c r="U319" s="618">
        <f t="shared" si="21"/>
        <v>0</v>
      </c>
      <c r="V319" s="7"/>
      <c r="W319" s="7"/>
      <c r="X319" s="7"/>
      <c r="Y319" s="7"/>
      <c r="Z319" s="7"/>
      <c r="AA319" s="7"/>
    </row>
    <row r="320" spans="1:27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620"/>
      <c r="H320" s="214"/>
      <c r="I320" s="214"/>
      <c r="J320" s="213"/>
      <c r="K320" s="292"/>
      <c r="L320" s="213"/>
      <c r="M320" s="643"/>
      <c r="N320" s="616">
        <f t="shared" si="20"/>
        <v>0</v>
      </c>
      <c r="O320" s="633"/>
      <c r="P320" s="636"/>
      <c r="Q320" s="636"/>
      <c r="R320" s="7"/>
      <c r="S320" s="725"/>
      <c r="T320" s="7"/>
      <c r="U320" s="618">
        <f t="shared" si="21"/>
        <v>0</v>
      </c>
      <c r="V320" s="7"/>
      <c r="W320" s="7"/>
      <c r="X320" s="7"/>
      <c r="Y320" s="7"/>
      <c r="Z320" s="7"/>
      <c r="AA320" s="7"/>
    </row>
    <row r="321" spans="1:27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647"/>
      <c r="H321" s="214"/>
      <c r="I321" s="214"/>
      <c r="J321" s="213"/>
      <c r="K321" s="292"/>
      <c r="L321" s="213"/>
      <c r="M321" s="643"/>
      <c r="N321" s="616">
        <f t="shared" si="20"/>
        <v>0</v>
      </c>
      <c r="O321" s="633"/>
      <c r="P321" s="636"/>
      <c r="Q321" s="636"/>
      <c r="R321" s="7"/>
      <c r="S321" s="725"/>
      <c r="T321" s="7"/>
      <c r="U321" s="618">
        <f t="shared" si="21"/>
        <v>0</v>
      </c>
      <c r="V321" s="7"/>
      <c r="W321" s="7"/>
      <c r="X321" s="7"/>
      <c r="Y321" s="7"/>
      <c r="Z321" s="7"/>
      <c r="AA321" s="7"/>
    </row>
    <row r="322" spans="1:27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647"/>
      <c r="H322" s="214"/>
      <c r="I322" s="214"/>
      <c r="J322" s="213"/>
      <c r="K322" s="292"/>
      <c r="L322" s="213"/>
      <c r="M322" s="643"/>
      <c r="N322" s="616">
        <f t="shared" si="20"/>
        <v>0</v>
      </c>
      <c r="O322" s="633"/>
      <c r="P322" s="636"/>
      <c r="Q322" s="636"/>
      <c r="R322" s="7"/>
      <c r="S322" s="725"/>
      <c r="T322" s="7"/>
      <c r="U322" s="618">
        <f t="shared" si="21"/>
        <v>0</v>
      </c>
      <c r="V322" s="7"/>
      <c r="W322" s="7"/>
      <c r="X322" s="7"/>
      <c r="Y322" s="7"/>
      <c r="Z322" s="7"/>
      <c r="AA322" s="7"/>
    </row>
    <row r="323" spans="1:27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647"/>
      <c r="H323" s="214"/>
      <c r="I323" s="214"/>
      <c r="J323" s="213"/>
      <c r="K323" s="292"/>
      <c r="L323" s="213"/>
      <c r="M323" s="643"/>
      <c r="N323" s="616">
        <f t="shared" si="20"/>
        <v>0</v>
      </c>
      <c r="O323" s="633"/>
      <c r="P323" s="636"/>
      <c r="Q323" s="636"/>
      <c r="R323" s="7"/>
      <c r="S323" s="725"/>
      <c r="T323" s="7"/>
      <c r="U323" s="618">
        <f t="shared" si="21"/>
        <v>0</v>
      </c>
      <c r="V323" s="7"/>
      <c r="W323" s="7"/>
      <c r="X323" s="7"/>
      <c r="Y323" s="7"/>
      <c r="Z323" s="7"/>
      <c r="AA323" s="7"/>
    </row>
    <row r="324" spans="1:27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647"/>
      <c r="H324" s="214"/>
      <c r="I324" s="214"/>
      <c r="J324" s="213"/>
      <c r="K324" s="292"/>
      <c r="L324" s="213"/>
      <c r="M324" s="643"/>
      <c r="N324" s="616">
        <f t="shared" si="20"/>
        <v>0</v>
      </c>
      <c r="O324" s="633"/>
      <c r="P324" s="636"/>
      <c r="Q324" s="636"/>
      <c r="R324" s="7"/>
      <c r="S324" s="725"/>
      <c r="T324" s="7"/>
      <c r="U324" s="618">
        <f t="shared" si="21"/>
        <v>0</v>
      </c>
      <c r="V324" s="7"/>
      <c r="W324" s="7"/>
      <c r="X324" s="7"/>
      <c r="Y324" s="7"/>
      <c r="Z324" s="7"/>
      <c r="AA324" s="7"/>
    </row>
    <row r="325" spans="1:27" ht="33.75" customHeight="1">
      <c r="A325" s="486"/>
      <c r="B325" s="487" t="s">
        <v>703</v>
      </c>
      <c r="C325" s="656" t="s">
        <v>704</v>
      </c>
      <c r="D325" s="519" t="s">
        <v>2127</v>
      </c>
      <c r="E325" s="213"/>
      <c r="F325" s="213"/>
      <c r="G325" s="193"/>
      <c r="H325" s="214"/>
      <c r="I325" s="214"/>
      <c r="J325" s="213">
        <v>5</v>
      </c>
      <c r="K325" s="292"/>
      <c r="L325" s="213"/>
      <c r="M325" s="643"/>
      <c r="N325" s="616">
        <f t="shared" si="20"/>
        <v>5</v>
      </c>
      <c r="O325" s="633"/>
      <c r="P325" s="636"/>
      <c r="Q325" s="636"/>
      <c r="R325" s="7"/>
      <c r="S325" s="725"/>
      <c r="T325" s="7"/>
      <c r="U325" s="618"/>
      <c r="V325" s="7"/>
      <c r="W325" s="7"/>
      <c r="X325" s="7"/>
      <c r="Y325" s="7"/>
      <c r="Z325" s="7"/>
      <c r="AA325" s="7"/>
    </row>
    <row r="326" spans="1:27" ht="25.5" customHeight="1">
      <c r="A326" s="503"/>
      <c r="B326" s="483" t="s">
        <v>707</v>
      </c>
      <c r="C326" s="629" t="s">
        <v>131</v>
      </c>
      <c r="D326" s="354" t="s">
        <v>2128</v>
      </c>
      <c r="E326" s="213"/>
      <c r="F326" s="213"/>
      <c r="G326" s="193"/>
      <c r="H326" s="214"/>
      <c r="I326" s="214"/>
      <c r="J326" s="213"/>
      <c r="K326" s="292"/>
      <c r="L326" s="213"/>
      <c r="M326" s="643"/>
      <c r="N326" s="616">
        <f t="shared" si="20"/>
        <v>0</v>
      </c>
      <c r="O326" s="633"/>
      <c r="P326" s="634"/>
      <c r="Q326" s="634"/>
      <c r="R326" s="7"/>
      <c r="S326" s="725"/>
      <c r="T326" s="7"/>
      <c r="U326" s="618">
        <f t="shared" ref="U326:U369" si="22">S326-N326</f>
        <v>0</v>
      </c>
      <c r="V326" s="7"/>
      <c r="W326" s="7"/>
      <c r="X326" s="7"/>
      <c r="Y326" s="7"/>
      <c r="Z326" s="7"/>
      <c r="AA326" s="7"/>
    </row>
    <row r="327" spans="1:27" ht="21" customHeight="1">
      <c r="A327" s="503"/>
      <c r="B327" s="483" t="s">
        <v>709</v>
      </c>
      <c r="C327" s="629" t="s">
        <v>200</v>
      </c>
      <c r="D327" s="354" t="s">
        <v>2129</v>
      </c>
      <c r="E327" s="213"/>
      <c r="F327" s="213"/>
      <c r="G327" s="193"/>
      <c r="H327" s="214"/>
      <c r="I327" s="214"/>
      <c r="J327" s="213"/>
      <c r="K327" s="292"/>
      <c r="L327" s="213"/>
      <c r="M327" s="643"/>
      <c r="N327" s="616">
        <f t="shared" si="20"/>
        <v>0</v>
      </c>
      <c r="O327" s="633"/>
      <c r="P327" s="636"/>
      <c r="Q327" s="636"/>
      <c r="R327" s="7"/>
      <c r="S327" s="725"/>
      <c r="T327" s="7"/>
      <c r="U327" s="618">
        <f t="shared" si="22"/>
        <v>0</v>
      </c>
      <c r="V327" s="7"/>
      <c r="W327" s="7"/>
      <c r="X327" s="7"/>
      <c r="Y327" s="7"/>
      <c r="Z327" s="7"/>
      <c r="AA327" s="7"/>
    </row>
    <row r="328" spans="1:27" ht="21" customHeight="1">
      <c r="A328" s="503"/>
      <c r="B328" s="483" t="s">
        <v>711</v>
      </c>
      <c r="C328" s="629" t="s">
        <v>203</v>
      </c>
      <c r="D328" s="354" t="s">
        <v>2130</v>
      </c>
      <c r="E328" s="213"/>
      <c r="F328" s="213"/>
      <c r="G328" s="193"/>
      <c r="H328" s="214"/>
      <c r="I328" s="214"/>
      <c r="J328" s="213"/>
      <c r="K328" s="292"/>
      <c r="L328" s="213"/>
      <c r="M328" s="643"/>
      <c r="N328" s="616">
        <f t="shared" si="20"/>
        <v>0</v>
      </c>
      <c r="O328" s="633"/>
      <c r="P328" s="636"/>
      <c r="Q328" s="636"/>
      <c r="R328" s="7"/>
      <c r="S328" s="725"/>
      <c r="T328" s="7"/>
      <c r="U328" s="618">
        <f t="shared" si="22"/>
        <v>0</v>
      </c>
      <c r="V328" s="7"/>
      <c r="W328" s="7"/>
      <c r="X328" s="7"/>
      <c r="Y328" s="7"/>
      <c r="Z328" s="7"/>
      <c r="AA328" s="7"/>
    </row>
    <row r="329" spans="1:27" ht="21" customHeight="1">
      <c r="A329" s="503"/>
      <c r="B329" s="483" t="s">
        <v>713</v>
      </c>
      <c r="C329" s="629" t="s">
        <v>159</v>
      </c>
      <c r="D329" s="354" t="s">
        <v>2131</v>
      </c>
      <c r="E329" s="213"/>
      <c r="F329" s="213"/>
      <c r="G329" s="193"/>
      <c r="H329" s="214"/>
      <c r="I329" s="214"/>
      <c r="J329" s="213"/>
      <c r="K329" s="292"/>
      <c r="L329" s="213"/>
      <c r="M329" s="643"/>
      <c r="N329" s="616">
        <f t="shared" si="20"/>
        <v>0</v>
      </c>
      <c r="O329" s="633"/>
      <c r="P329" s="636"/>
      <c r="Q329" s="636"/>
      <c r="R329" s="7"/>
      <c r="S329" s="725"/>
      <c r="T329" s="7"/>
      <c r="U329" s="618">
        <f t="shared" si="22"/>
        <v>0</v>
      </c>
      <c r="V329" s="7"/>
      <c r="W329" s="7"/>
      <c r="X329" s="7"/>
      <c r="Y329" s="7"/>
      <c r="Z329" s="7"/>
      <c r="AA329" s="7"/>
    </row>
    <row r="330" spans="1:27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620"/>
      <c r="H330" s="214"/>
      <c r="I330" s="214"/>
      <c r="J330" s="213"/>
      <c r="K330" s="292"/>
      <c r="L330" s="213"/>
      <c r="M330" s="643"/>
      <c r="N330" s="616">
        <f t="shared" si="20"/>
        <v>0</v>
      </c>
      <c r="O330" s="633"/>
      <c r="P330" s="636"/>
      <c r="Q330" s="636"/>
      <c r="R330" s="7"/>
      <c r="S330" s="725"/>
      <c r="T330" s="7"/>
      <c r="U330" s="618">
        <f t="shared" si="22"/>
        <v>0</v>
      </c>
      <c r="V330" s="7"/>
      <c r="W330" s="7"/>
      <c r="X330" s="7"/>
      <c r="Y330" s="7"/>
      <c r="Z330" s="7"/>
      <c r="AA330" s="7"/>
    </row>
    <row r="331" spans="1:27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647"/>
      <c r="H331" s="214"/>
      <c r="I331" s="214"/>
      <c r="J331" s="213"/>
      <c r="K331" s="292"/>
      <c r="L331" s="213"/>
      <c r="M331" s="643"/>
      <c r="N331" s="616">
        <f t="shared" si="20"/>
        <v>0</v>
      </c>
      <c r="O331" s="633"/>
      <c r="P331" s="654"/>
      <c r="Q331" s="654"/>
      <c r="R331" s="7"/>
      <c r="S331" s="725"/>
      <c r="T331" s="7"/>
      <c r="U331" s="618">
        <f t="shared" si="22"/>
        <v>0</v>
      </c>
      <c r="V331" s="7"/>
      <c r="W331" s="7"/>
      <c r="X331" s="7"/>
      <c r="Y331" s="7"/>
      <c r="Z331" s="7"/>
      <c r="AA331" s="7"/>
    </row>
    <row r="332" spans="1:27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647"/>
      <c r="H332" s="214"/>
      <c r="I332" s="214"/>
      <c r="J332" s="213"/>
      <c r="K332" s="292"/>
      <c r="L332" s="213"/>
      <c r="M332" s="643"/>
      <c r="N332" s="616">
        <f t="shared" si="20"/>
        <v>0</v>
      </c>
      <c r="O332" s="633"/>
      <c r="P332" s="648"/>
      <c r="Q332" s="648"/>
      <c r="R332" s="7"/>
      <c r="S332" s="725"/>
      <c r="T332" s="7"/>
      <c r="U332" s="618">
        <f t="shared" si="22"/>
        <v>0</v>
      </c>
      <c r="V332" s="7"/>
      <c r="W332" s="7"/>
      <c r="X332" s="7"/>
      <c r="Y332" s="7"/>
      <c r="Z332" s="7"/>
      <c r="AA332" s="7"/>
    </row>
    <row r="333" spans="1:27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647"/>
      <c r="H333" s="214"/>
      <c r="I333" s="214"/>
      <c r="J333" s="213"/>
      <c r="K333" s="292"/>
      <c r="L333" s="213"/>
      <c r="M333" s="643"/>
      <c r="N333" s="616">
        <f t="shared" si="20"/>
        <v>0</v>
      </c>
      <c r="O333" s="633"/>
      <c r="P333" s="648"/>
      <c r="Q333" s="648"/>
      <c r="R333" s="7"/>
      <c r="S333" s="725"/>
      <c r="T333" s="7"/>
      <c r="U333" s="618">
        <f t="shared" si="22"/>
        <v>0</v>
      </c>
      <c r="V333" s="7"/>
      <c r="W333" s="7"/>
      <c r="X333" s="7"/>
      <c r="Y333" s="7"/>
      <c r="Z333" s="7"/>
      <c r="AA333" s="7"/>
    </row>
    <row r="334" spans="1:27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647"/>
      <c r="H334" s="214"/>
      <c r="I334" s="214"/>
      <c r="J334" s="213"/>
      <c r="K334" s="292"/>
      <c r="L334" s="213"/>
      <c r="M334" s="643"/>
      <c r="N334" s="616">
        <f t="shared" si="20"/>
        <v>0</v>
      </c>
      <c r="O334" s="633"/>
      <c r="P334" s="648"/>
      <c r="Q334" s="648"/>
      <c r="R334" s="7"/>
      <c r="S334" s="725"/>
      <c r="T334" s="7"/>
      <c r="U334" s="618">
        <f t="shared" si="22"/>
        <v>0</v>
      </c>
      <c r="V334" s="7"/>
      <c r="W334" s="7"/>
      <c r="X334" s="7"/>
      <c r="Y334" s="7"/>
      <c r="Z334" s="7"/>
      <c r="AA334" s="7"/>
    </row>
    <row r="335" spans="1:27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647"/>
      <c r="H335" s="214"/>
      <c r="I335" s="214"/>
      <c r="J335" s="213"/>
      <c r="K335" s="292"/>
      <c r="L335" s="213"/>
      <c r="M335" s="643"/>
      <c r="N335" s="616">
        <f t="shared" si="20"/>
        <v>0</v>
      </c>
      <c r="O335" s="633"/>
      <c r="P335" s="648"/>
      <c r="Q335" s="648"/>
      <c r="R335" s="7"/>
      <c r="S335" s="725"/>
      <c r="T335" s="7"/>
      <c r="U335" s="618">
        <f t="shared" si="22"/>
        <v>0</v>
      </c>
      <c r="V335" s="7"/>
      <c r="W335" s="7"/>
      <c r="X335" s="7"/>
      <c r="Y335" s="7"/>
      <c r="Z335" s="7"/>
      <c r="AA335" s="7"/>
    </row>
    <row r="336" spans="1:27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647"/>
      <c r="H336" s="214"/>
      <c r="I336" s="214"/>
      <c r="J336" s="213"/>
      <c r="K336" s="292"/>
      <c r="L336" s="213"/>
      <c r="M336" s="643"/>
      <c r="N336" s="616">
        <f t="shared" si="20"/>
        <v>0</v>
      </c>
      <c r="O336" s="633"/>
      <c r="P336" s="654"/>
      <c r="Q336" s="654"/>
      <c r="R336" s="7"/>
      <c r="S336" s="725"/>
      <c r="T336" s="7"/>
      <c r="U336" s="618">
        <f t="shared" si="22"/>
        <v>0</v>
      </c>
      <c r="V336" s="7"/>
      <c r="W336" s="7"/>
      <c r="X336" s="7"/>
      <c r="Y336" s="7"/>
      <c r="Z336" s="7"/>
      <c r="AA336" s="7"/>
    </row>
    <row r="337" spans="1:27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647"/>
      <c r="H337" s="214"/>
      <c r="I337" s="214"/>
      <c r="J337" s="213"/>
      <c r="K337" s="292"/>
      <c r="L337" s="213"/>
      <c r="M337" s="643"/>
      <c r="N337" s="616">
        <f t="shared" si="20"/>
        <v>0</v>
      </c>
      <c r="O337" s="633"/>
      <c r="P337" s="654"/>
      <c r="Q337" s="654"/>
      <c r="R337" s="7"/>
      <c r="S337" s="725"/>
      <c r="T337" s="7"/>
      <c r="U337" s="618">
        <f t="shared" si="22"/>
        <v>0</v>
      </c>
      <c r="V337" s="7"/>
      <c r="W337" s="7"/>
      <c r="X337" s="7"/>
      <c r="Y337" s="7"/>
      <c r="Z337" s="7"/>
      <c r="AA337" s="7"/>
    </row>
    <row r="338" spans="1:27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647"/>
      <c r="H338" s="214"/>
      <c r="I338" s="214"/>
      <c r="J338" s="213"/>
      <c r="K338" s="292"/>
      <c r="L338" s="213"/>
      <c r="M338" s="643"/>
      <c r="N338" s="616">
        <f t="shared" si="20"/>
        <v>0</v>
      </c>
      <c r="O338" s="633"/>
      <c r="P338" s="654"/>
      <c r="Q338" s="654"/>
      <c r="R338" s="7"/>
      <c r="S338" s="725"/>
      <c r="T338" s="7"/>
      <c r="U338" s="618">
        <f t="shared" si="22"/>
        <v>0</v>
      </c>
      <c r="V338" s="7"/>
      <c r="W338" s="7"/>
      <c r="X338" s="7"/>
      <c r="Y338" s="7"/>
      <c r="Z338" s="7"/>
      <c r="AA338" s="7"/>
    </row>
    <row r="339" spans="1:27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647"/>
      <c r="H339" s="214"/>
      <c r="I339" s="214"/>
      <c r="J339" s="213"/>
      <c r="K339" s="292"/>
      <c r="L339" s="213"/>
      <c r="M339" s="643"/>
      <c r="N339" s="616">
        <f t="shared" si="20"/>
        <v>0</v>
      </c>
      <c r="O339" s="633"/>
      <c r="P339" s="654"/>
      <c r="Q339" s="654"/>
      <c r="R339" s="7"/>
      <c r="S339" s="725"/>
      <c r="T339" s="7"/>
      <c r="U339" s="618">
        <f t="shared" si="22"/>
        <v>0</v>
      </c>
      <c r="V339" s="7"/>
      <c r="W339" s="7"/>
      <c r="X339" s="7"/>
      <c r="Y339" s="7"/>
      <c r="Z339" s="7"/>
      <c r="AA339" s="7"/>
    </row>
    <row r="340" spans="1:27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647"/>
      <c r="H340" s="214"/>
      <c r="I340" s="214"/>
      <c r="J340" s="213"/>
      <c r="K340" s="292"/>
      <c r="L340" s="213"/>
      <c r="M340" s="643"/>
      <c r="N340" s="616">
        <f t="shared" si="20"/>
        <v>0</v>
      </c>
      <c r="O340" s="633"/>
      <c r="P340" s="648"/>
      <c r="Q340" s="648"/>
      <c r="R340" s="7"/>
      <c r="S340" s="725"/>
      <c r="T340" s="7"/>
      <c r="U340" s="618">
        <f t="shared" si="22"/>
        <v>0</v>
      </c>
      <c r="V340" s="7"/>
      <c r="W340" s="7"/>
      <c r="X340" s="7"/>
      <c r="Y340" s="7"/>
      <c r="Z340" s="7"/>
      <c r="AA340" s="7"/>
    </row>
    <row r="341" spans="1:27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647"/>
      <c r="H341" s="214"/>
      <c r="I341" s="214"/>
      <c r="J341" s="213"/>
      <c r="K341" s="292"/>
      <c r="L341" s="213"/>
      <c r="M341" s="643"/>
      <c r="N341" s="616">
        <f t="shared" si="20"/>
        <v>0</v>
      </c>
      <c r="O341" s="633"/>
      <c r="P341" s="654"/>
      <c r="Q341" s="654"/>
      <c r="R341" s="7"/>
      <c r="S341" s="725"/>
      <c r="T341" s="7"/>
      <c r="U341" s="618">
        <f t="shared" si="22"/>
        <v>0</v>
      </c>
      <c r="V341" s="7"/>
      <c r="W341" s="7"/>
      <c r="X341" s="7"/>
      <c r="Y341" s="7"/>
      <c r="Z341" s="7"/>
      <c r="AA341" s="7"/>
    </row>
    <row r="342" spans="1:27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647"/>
      <c r="H342" s="214"/>
      <c r="I342" s="214"/>
      <c r="J342" s="213"/>
      <c r="K342" s="292"/>
      <c r="L342" s="213"/>
      <c r="M342" s="643"/>
      <c r="N342" s="616">
        <f t="shared" si="20"/>
        <v>0</v>
      </c>
      <c r="O342" s="633"/>
      <c r="P342" s="654"/>
      <c r="Q342" s="654"/>
      <c r="R342" s="7"/>
      <c r="S342" s="725"/>
      <c r="T342" s="7"/>
      <c r="U342" s="618">
        <f t="shared" si="22"/>
        <v>0</v>
      </c>
      <c r="V342" s="7"/>
      <c r="W342" s="7"/>
      <c r="X342" s="7"/>
      <c r="Y342" s="7"/>
      <c r="Z342" s="7"/>
      <c r="AA342" s="7"/>
    </row>
    <row r="343" spans="1:27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647"/>
      <c r="H343" s="214"/>
      <c r="I343" s="214"/>
      <c r="J343" s="213"/>
      <c r="K343" s="292"/>
      <c r="L343" s="213"/>
      <c r="M343" s="643"/>
      <c r="N343" s="616">
        <f t="shared" si="20"/>
        <v>0</v>
      </c>
      <c r="O343" s="633"/>
      <c r="P343" s="654"/>
      <c r="Q343" s="654"/>
      <c r="R343" s="7"/>
      <c r="S343" s="725"/>
      <c r="T343" s="7"/>
      <c r="U343" s="618">
        <f t="shared" si="22"/>
        <v>0</v>
      </c>
      <c r="V343" s="7"/>
      <c r="W343" s="7"/>
      <c r="X343" s="7"/>
      <c r="Y343" s="7"/>
      <c r="Z343" s="7"/>
      <c r="AA343" s="7"/>
    </row>
    <row r="344" spans="1:27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647"/>
      <c r="H344" s="214"/>
      <c r="I344" s="214"/>
      <c r="J344" s="213"/>
      <c r="K344" s="292"/>
      <c r="L344" s="213"/>
      <c r="M344" s="643"/>
      <c r="N344" s="616">
        <f t="shared" si="20"/>
        <v>0</v>
      </c>
      <c r="O344" s="633"/>
      <c r="P344" s="654"/>
      <c r="Q344" s="654"/>
      <c r="R344" s="7"/>
      <c r="S344" s="725"/>
      <c r="T344" s="7"/>
      <c r="U344" s="618">
        <f t="shared" si="22"/>
        <v>0</v>
      </c>
      <c r="V344" s="7"/>
      <c r="W344" s="7"/>
      <c r="X344" s="7"/>
      <c r="Y344" s="7"/>
      <c r="Z344" s="7"/>
      <c r="AA344" s="7"/>
    </row>
    <row r="345" spans="1:27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647"/>
      <c r="H345" s="214"/>
      <c r="I345" s="214"/>
      <c r="J345" s="213"/>
      <c r="K345" s="292"/>
      <c r="L345" s="213"/>
      <c r="M345" s="643"/>
      <c r="N345" s="616">
        <f t="shared" si="20"/>
        <v>0</v>
      </c>
      <c r="O345" s="633"/>
      <c r="P345" s="654"/>
      <c r="Q345" s="654"/>
      <c r="R345" s="7"/>
      <c r="S345" s="725"/>
      <c r="T345" s="7"/>
      <c r="U345" s="618">
        <f t="shared" si="22"/>
        <v>0</v>
      </c>
      <c r="V345" s="7"/>
      <c r="W345" s="7"/>
      <c r="X345" s="7"/>
      <c r="Y345" s="7"/>
      <c r="Z345" s="7"/>
      <c r="AA345" s="7"/>
    </row>
    <row r="346" spans="1:27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662"/>
      <c r="H346" s="214"/>
      <c r="I346" s="214"/>
      <c r="J346" s="213"/>
      <c r="K346" s="292"/>
      <c r="L346" s="213"/>
      <c r="M346" s="643"/>
      <c r="N346" s="616">
        <f t="shared" si="20"/>
        <v>0</v>
      </c>
      <c r="O346" s="633"/>
      <c r="P346" s="636"/>
      <c r="Q346" s="636"/>
      <c r="R346" s="7"/>
      <c r="S346" s="725"/>
      <c r="T346" s="7"/>
      <c r="U346" s="618">
        <f t="shared" si="22"/>
        <v>0</v>
      </c>
      <c r="V346" s="7"/>
      <c r="W346" s="7"/>
      <c r="X346" s="7"/>
      <c r="Y346" s="7"/>
      <c r="Z346" s="7"/>
      <c r="AA346" s="7"/>
    </row>
    <row r="347" spans="1:27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662"/>
      <c r="H347" s="214"/>
      <c r="I347" s="214"/>
      <c r="J347" s="213"/>
      <c r="K347" s="292"/>
      <c r="L347" s="213"/>
      <c r="M347" s="643"/>
      <c r="N347" s="616">
        <f t="shared" si="20"/>
        <v>0</v>
      </c>
      <c r="O347" s="633"/>
      <c r="P347" s="636"/>
      <c r="Q347" s="636"/>
      <c r="R347" s="7"/>
      <c r="S347" s="725"/>
      <c r="T347" s="7"/>
      <c r="U347" s="618">
        <f t="shared" si="22"/>
        <v>0</v>
      </c>
      <c r="V347" s="7"/>
      <c r="W347" s="7"/>
      <c r="X347" s="7"/>
      <c r="Y347" s="7"/>
      <c r="Z347" s="7"/>
      <c r="AA347" s="7"/>
    </row>
    <row r="348" spans="1:27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662"/>
      <c r="H348" s="214"/>
      <c r="I348" s="214"/>
      <c r="J348" s="213"/>
      <c r="K348" s="292"/>
      <c r="L348" s="213"/>
      <c r="M348" s="643"/>
      <c r="N348" s="616">
        <f t="shared" si="20"/>
        <v>0</v>
      </c>
      <c r="O348" s="633"/>
      <c r="P348" s="636"/>
      <c r="Q348" s="636"/>
      <c r="R348" s="7"/>
      <c r="S348" s="725"/>
      <c r="T348" s="7"/>
      <c r="U348" s="618">
        <f t="shared" si="22"/>
        <v>0</v>
      </c>
      <c r="V348" s="7"/>
      <c r="W348" s="7"/>
      <c r="X348" s="7"/>
      <c r="Y348" s="7"/>
      <c r="Z348" s="7"/>
      <c r="AA348" s="7"/>
    </row>
    <row r="349" spans="1:27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662"/>
      <c r="H349" s="214"/>
      <c r="I349" s="214"/>
      <c r="J349" s="213"/>
      <c r="K349" s="292"/>
      <c r="L349" s="213"/>
      <c r="M349" s="643"/>
      <c r="N349" s="616">
        <f t="shared" si="20"/>
        <v>0</v>
      </c>
      <c r="O349" s="633"/>
      <c r="P349" s="636"/>
      <c r="Q349" s="636"/>
      <c r="R349" s="7"/>
      <c r="S349" s="725"/>
      <c r="T349" s="7"/>
      <c r="U349" s="618">
        <f t="shared" si="22"/>
        <v>0</v>
      </c>
      <c r="V349" s="7"/>
      <c r="W349" s="7"/>
      <c r="X349" s="7"/>
      <c r="Y349" s="7"/>
      <c r="Z349" s="7"/>
      <c r="AA349" s="7"/>
    </row>
    <row r="350" spans="1:27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662"/>
      <c r="H350" s="214"/>
      <c r="I350" s="214"/>
      <c r="J350" s="213"/>
      <c r="K350" s="292"/>
      <c r="L350" s="213"/>
      <c r="M350" s="643"/>
      <c r="N350" s="616">
        <f t="shared" si="20"/>
        <v>0</v>
      </c>
      <c r="O350" s="633"/>
      <c r="P350" s="636"/>
      <c r="Q350" s="636"/>
      <c r="R350" s="7"/>
      <c r="S350" s="725"/>
      <c r="T350" s="7"/>
      <c r="U350" s="618">
        <f t="shared" si="22"/>
        <v>0</v>
      </c>
      <c r="V350" s="7"/>
      <c r="W350" s="7"/>
      <c r="X350" s="7"/>
      <c r="Y350" s="7"/>
      <c r="Z350" s="7"/>
      <c r="AA350" s="7"/>
    </row>
    <row r="351" spans="1:27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665"/>
      <c r="H351" s="214"/>
      <c r="I351" s="214"/>
      <c r="J351" s="213"/>
      <c r="K351" s="292"/>
      <c r="L351" s="213"/>
      <c r="M351" s="643"/>
      <c r="N351" s="616">
        <f t="shared" si="20"/>
        <v>0</v>
      </c>
      <c r="O351" s="633"/>
      <c r="P351" s="636"/>
      <c r="Q351" s="636"/>
      <c r="R351" s="7"/>
      <c r="S351" s="725"/>
      <c r="T351" s="7"/>
      <c r="U351" s="618">
        <f t="shared" si="22"/>
        <v>0</v>
      </c>
      <c r="V351" s="7"/>
      <c r="W351" s="7"/>
      <c r="X351" s="7"/>
      <c r="Y351" s="7"/>
      <c r="Z351" s="7"/>
      <c r="AA351" s="7"/>
    </row>
    <row r="352" spans="1:27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662"/>
      <c r="H352" s="214"/>
      <c r="I352" s="214"/>
      <c r="J352" s="213"/>
      <c r="K352" s="292"/>
      <c r="L352" s="213"/>
      <c r="M352" s="643"/>
      <c r="N352" s="616">
        <f t="shared" si="20"/>
        <v>0</v>
      </c>
      <c r="O352" s="633"/>
      <c r="P352" s="636"/>
      <c r="Q352" s="636"/>
      <c r="R352" s="7"/>
      <c r="S352" s="725"/>
      <c r="T352" s="7"/>
      <c r="U352" s="618">
        <f t="shared" si="22"/>
        <v>0</v>
      </c>
      <c r="V352" s="7"/>
      <c r="W352" s="7"/>
      <c r="X352" s="7"/>
      <c r="Y352" s="7"/>
      <c r="Z352" s="7"/>
      <c r="AA352" s="7"/>
    </row>
    <row r="353" spans="1:27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662"/>
      <c r="H353" s="214"/>
      <c r="I353" s="214"/>
      <c r="J353" s="213"/>
      <c r="K353" s="292"/>
      <c r="L353" s="213"/>
      <c r="M353" s="643"/>
      <c r="N353" s="616">
        <f t="shared" si="20"/>
        <v>0</v>
      </c>
      <c r="O353" s="633"/>
      <c r="P353" s="640"/>
      <c r="Q353" s="640"/>
      <c r="R353" s="7"/>
      <c r="S353" s="725"/>
      <c r="T353" s="7"/>
      <c r="U353" s="618">
        <f t="shared" si="22"/>
        <v>0</v>
      </c>
      <c r="V353" s="7"/>
      <c r="W353" s="7"/>
      <c r="X353" s="7"/>
      <c r="Y353" s="7"/>
      <c r="Z353" s="7"/>
      <c r="AA353" s="7"/>
    </row>
    <row r="354" spans="1:27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649"/>
      <c r="H354" s="214"/>
      <c r="I354" s="214"/>
      <c r="J354" s="213"/>
      <c r="K354" s="292"/>
      <c r="L354" s="213"/>
      <c r="M354" s="643"/>
      <c r="N354" s="616">
        <f t="shared" si="20"/>
        <v>0</v>
      </c>
      <c r="O354" s="633"/>
      <c r="P354" s="547"/>
      <c r="Q354" s="547"/>
      <c r="R354" s="7"/>
      <c r="S354" s="725"/>
      <c r="T354" s="7"/>
      <c r="U354" s="618">
        <f t="shared" si="22"/>
        <v>0</v>
      </c>
      <c r="V354" s="7"/>
      <c r="W354" s="7"/>
      <c r="X354" s="7"/>
      <c r="Y354" s="7"/>
      <c r="Z354" s="7"/>
      <c r="AA354" s="7"/>
    </row>
    <row r="355" spans="1:27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649"/>
      <c r="H355" s="214"/>
      <c r="I355" s="214"/>
      <c r="J355" s="213"/>
      <c r="K355" s="292"/>
      <c r="L355" s="213"/>
      <c r="M355" s="643"/>
      <c r="N355" s="616">
        <f t="shared" si="20"/>
        <v>0</v>
      </c>
      <c r="O355" s="633"/>
      <c r="P355" s="666"/>
      <c r="Q355" s="666"/>
      <c r="R355" s="7"/>
      <c r="S355" s="725"/>
      <c r="T355" s="7"/>
      <c r="U355" s="618">
        <f t="shared" si="22"/>
        <v>0</v>
      </c>
      <c r="V355" s="7"/>
      <c r="W355" s="7"/>
      <c r="X355" s="7"/>
      <c r="Y355" s="7"/>
      <c r="Z355" s="7"/>
      <c r="AA355" s="7"/>
    </row>
    <row r="356" spans="1:27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649"/>
      <c r="H356" s="214"/>
      <c r="I356" s="214"/>
      <c r="J356" s="213"/>
      <c r="K356" s="292"/>
      <c r="L356" s="213"/>
      <c r="M356" s="643"/>
      <c r="N356" s="616">
        <f t="shared" si="20"/>
        <v>0</v>
      </c>
      <c r="O356" s="633"/>
      <c r="P356" s="666"/>
      <c r="Q356" s="666"/>
      <c r="R356" s="7"/>
      <c r="S356" s="725"/>
      <c r="T356" s="7"/>
      <c r="U356" s="618">
        <f t="shared" si="22"/>
        <v>0</v>
      </c>
      <c r="V356" s="7"/>
      <c r="W356" s="7"/>
      <c r="X356" s="7"/>
      <c r="Y356" s="7"/>
      <c r="Z356" s="7"/>
      <c r="AA356" s="7"/>
    </row>
    <row r="357" spans="1:27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649"/>
      <c r="H357" s="214"/>
      <c r="I357" s="214"/>
      <c r="J357" s="213"/>
      <c r="K357" s="292"/>
      <c r="L357" s="213"/>
      <c r="M357" s="643"/>
      <c r="N357" s="616">
        <f t="shared" si="20"/>
        <v>0</v>
      </c>
      <c r="O357" s="633"/>
      <c r="P357" s="542"/>
      <c r="Q357" s="542"/>
      <c r="R357" s="7"/>
      <c r="S357" s="725"/>
      <c r="T357" s="7"/>
      <c r="U357" s="618">
        <f t="shared" si="22"/>
        <v>0</v>
      </c>
      <c r="V357" s="7"/>
      <c r="W357" s="7"/>
      <c r="X357" s="7"/>
      <c r="Y357" s="7"/>
      <c r="Z357" s="7"/>
      <c r="AA357" s="7"/>
    </row>
    <row r="358" spans="1:27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649"/>
      <c r="H358" s="214"/>
      <c r="I358" s="214"/>
      <c r="J358" s="213"/>
      <c r="K358" s="292"/>
      <c r="L358" s="213"/>
      <c r="M358" s="643"/>
      <c r="N358" s="616">
        <f t="shared" si="20"/>
        <v>0</v>
      </c>
      <c r="O358" s="633"/>
      <c r="P358" s="542"/>
      <c r="Q358" s="542"/>
      <c r="R358" s="7"/>
      <c r="S358" s="725"/>
      <c r="T358" s="7"/>
      <c r="U358" s="618">
        <f t="shared" si="22"/>
        <v>0</v>
      </c>
      <c r="V358" s="7"/>
      <c r="W358" s="7"/>
      <c r="X358" s="7"/>
      <c r="Y358" s="7"/>
      <c r="Z358" s="7"/>
      <c r="AA358" s="7"/>
    </row>
    <row r="359" spans="1:27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649"/>
      <c r="H359" s="214"/>
      <c r="I359" s="214"/>
      <c r="J359" s="213"/>
      <c r="K359" s="292"/>
      <c r="L359" s="213"/>
      <c r="M359" s="643"/>
      <c r="N359" s="616">
        <f t="shared" si="20"/>
        <v>0</v>
      </c>
      <c r="O359" s="633"/>
      <c r="P359" s="542"/>
      <c r="Q359" s="542"/>
      <c r="R359" s="7"/>
      <c r="S359" s="725"/>
      <c r="T359" s="7"/>
      <c r="U359" s="618">
        <f t="shared" si="22"/>
        <v>0</v>
      </c>
      <c r="V359" s="7"/>
      <c r="W359" s="7"/>
      <c r="X359" s="7"/>
      <c r="Y359" s="7"/>
      <c r="Z359" s="7"/>
      <c r="AA359" s="7"/>
    </row>
    <row r="360" spans="1:27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649"/>
      <c r="H360" s="214"/>
      <c r="I360" s="214"/>
      <c r="J360" s="213"/>
      <c r="K360" s="292"/>
      <c r="L360" s="213"/>
      <c r="M360" s="643"/>
      <c r="N360" s="616">
        <f t="shared" si="20"/>
        <v>0</v>
      </c>
      <c r="O360" s="633"/>
      <c r="P360" s="542"/>
      <c r="Q360" s="542"/>
      <c r="R360" s="7"/>
      <c r="S360" s="725"/>
      <c r="T360" s="7"/>
      <c r="U360" s="618">
        <f t="shared" si="22"/>
        <v>0</v>
      </c>
      <c r="V360" s="7"/>
      <c r="W360" s="7"/>
      <c r="X360" s="7"/>
      <c r="Y360" s="7"/>
      <c r="Z360" s="7"/>
      <c r="AA360" s="7"/>
    </row>
    <row r="361" spans="1:27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662"/>
      <c r="H361" s="214"/>
      <c r="I361" s="214"/>
      <c r="J361" s="213"/>
      <c r="K361" s="292"/>
      <c r="L361" s="213"/>
      <c r="M361" s="643"/>
      <c r="N361" s="616">
        <f t="shared" si="20"/>
        <v>0</v>
      </c>
      <c r="O361" s="633"/>
      <c r="P361" s="547"/>
      <c r="Q361" s="547"/>
      <c r="R361" s="7"/>
      <c r="S361" s="725"/>
      <c r="T361" s="7"/>
      <c r="U361" s="618">
        <f t="shared" si="22"/>
        <v>0</v>
      </c>
      <c r="V361" s="7"/>
      <c r="W361" s="7"/>
      <c r="X361" s="7"/>
      <c r="Y361" s="7"/>
      <c r="Z361" s="7"/>
      <c r="AA361" s="7"/>
    </row>
    <row r="362" spans="1:27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662"/>
      <c r="H362" s="214"/>
      <c r="I362" s="214"/>
      <c r="J362" s="213"/>
      <c r="K362" s="292"/>
      <c r="L362" s="213"/>
      <c r="M362" s="643"/>
      <c r="N362" s="616">
        <f t="shared" si="20"/>
        <v>0</v>
      </c>
      <c r="O362" s="633"/>
      <c r="P362" s="241"/>
      <c r="Q362" s="241"/>
      <c r="R362" s="7"/>
      <c r="S362" s="725"/>
      <c r="T362" s="7"/>
      <c r="U362" s="618">
        <f t="shared" si="22"/>
        <v>0</v>
      </c>
      <c r="V362" s="7"/>
      <c r="W362" s="7"/>
      <c r="X362" s="7"/>
      <c r="Y362" s="7"/>
      <c r="Z362" s="7"/>
      <c r="AA362" s="7"/>
    </row>
    <row r="363" spans="1:27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662"/>
      <c r="H363" s="214"/>
      <c r="I363" s="214"/>
      <c r="J363" s="213"/>
      <c r="K363" s="292"/>
      <c r="L363" s="213"/>
      <c r="M363" s="643"/>
      <c r="N363" s="616">
        <f t="shared" si="20"/>
        <v>0</v>
      </c>
      <c r="O363" s="633"/>
      <c r="P363" s="241"/>
      <c r="Q363" s="241"/>
      <c r="R363" s="7"/>
      <c r="S363" s="725"/>
      <c r="T363" s="7"/>
      <c r="U363" s="618">
        <f t="shared" si="22"/>
        <v>0</v>
      </c>
      <c r="V363" s="7"/>
      <c r="W363" s="7"/>
      <c r="X363" s="7"/>
      <c r="Y363" s="7"/>
      <c r="Z363" s="7"/>
      <c r="AA363" s="7"/>
    </row>
    <row r="364" spans="1:27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662"/>
      <c r="H364" s="214"/>
      <c r="I364" s="214"/>
      <c r="J364" s="213"/>
      <c r="K364" s="292"/>
      <c r="L364" s="213"/>
      <c r="M364" s="643"/>
      <c r="N364" s="616">
        <f t="shared" si="20"/>
        <v>0</v>
      </c>
      <c r="O364" s="633"/>
      <c r="P364" s="241"/>
      <c r="Q364" s="241"/>
      <c r="R364" s="7"/>
      <c r="S364" s="725"/>
      <c r="T364" s="7"/>
      <c r="U364" s="618">
        <f t="shared" si="22"/>
        <v>0</v>
      </c>
      <c r="V364" s="7"/>
      <c r="W364" s="7"/>
      <c r="X364" s="7"/>
      <c r="Y364" s="7"/>
      <c r="Z364" s="7"/>
      <c r="AA364" s="7"/>
    </row>
    <row r="365" spans="1:27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662"/>
      <c r="H365" s="214"/>
      <c r="I365" s="214"/>
      <c r="J365" s="213"/>
      <c r="K365" s="292"/>
      <c r="L365" s="213"/>
      <c r="M365" s="643"/>
      <c r="N365" s="616">
        <f t="shared" si="20"/>
        <v>0</v>
      </c>
      <c r="O365" s="633"/>
      <c r="P365" s="241"/>
      <c r="Q365" s="241"/>
      <c r="R365" s="7"/>
      <c r="S365" s="725"/>
      <c r="T365" s="7"/>
      <c r="U365" s="618">
        <f t="shared" si="22"/>
        <v>0</v>
      </c>
      <c r="V365" s="7"/>
      <c r="W365" s="7"/>
      <c r="X365" s="7"/>
      <c r="Y365" s="7"/>
      <c r="Z365" s="7"/>
      <c r="AA365" s="7"/>
    </row>
    <row r="366" spans="1:27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662"/>
      <c r="H366" s="214"/>
      <c r="I366" s="214"/>
      <c r="J366" s="213"/>
      <c r="K366" s="292"/>
      <c r="L366" s="213"/>
      <c r="M366" s="643"/>
      <c r="N366" s="616">
        <f t="shared" si="20"/>
        <v>0</v>
      </c>
      <c r="O366" s="633"/>
      <c r="P366" s="547"/>
      <c r="Q366" s="547"/>
      <c r="R366" s="7"/>
      <c r="S366" s="725"/>
      <c r="T366" s="7"/>
      <c r="U366" s="618">
        <f t="shared" si="22"/>
        <v>0</v>
      </c>
      <c r="V366" s="7"/>
      <c r="W366" s="7"/>
      <c r="X366" s="7"/>
      <c r="Y366" s="7"/>
      <c r="Z366" s="7"/>
      <c r="AA366" s="7"/>
    </row>
    <row r="367" spans="1:27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662"/>
      <c r="H367" s="214"/>
      <c r="I367" s="214"/>
      <c r="J367" s="213"/>
      <c r="K367" s="292"/>
      <c r="L367" s="213"/>
      <c r="M367" s="643"/>
      <c r="N367" s="616">
        <f t="shared" si="20"/>
        <v>0</v>
      </c>
      <c r="O367" s="633"/>
      <c r="P367" s="547"/>
      <c r="Q367" s="547"/>
      <c r="R367" s="7"/>
      <c r="S367" s="725"/>
      <c r="T367" s="7"/>
      <c r="U367" s="618">
        <f t="shared" si="22"/>
        <v>0</v>
      </c>
      <c r="V367" s="7"/>
      <c r="W367" s="7"/>
      <c r="X367" s="7"/>
      <c r="Y367" s="7"/>
      <c r="Z367" s="7"/>
      <c r="AA367" s="7"/>
    </row>
    <row r="368" spans="1:27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662"/>
      <c r="H368" s="214"/>
      <c r="I368" s="214"/>
      <c r="J368" s="213"/>
      <c r="K368" s="292"/>
      <c r="L368" s="213"/>
      <c r="M368" s="643"/>
      <c r="N368" s="616">
        <f t="shared" si="20"/>
        <v>0</v>
      </c>
      <c r="O368" s="633"/>
      <c r="P368" s="640"/>
      <c r="Q368" s="640"/>
      <c r="R368" s="7"/>
      <c r="S368" s="725"/>
      <c r="T368" s="7"/>
      <c r="U368" s="618">
        <f t="shared" si="22"/>
        <v>0</v>
      </c>
      <c r="V368" s="7"/>
      <c r="W368" s="7"/>
      <c r="X368" s="7"/>
      <c r="Y368" s="7"/>
      <c r="Z368" s="7"/>
      <c r="AA368" s="7"/>
    </row>
    <row r="369" spans="1:27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>
        <v>2</v>
      </c>
      <c r="G369" s="620"/>
      <c r="H369" s="214"/>
      <c r="I369" s="214"/>
      <c r="J369" s="213"/>
      <c r="K369" s="292"/>
      <c r="L369" s="213"/>
      <c r="M369" s="657"/>
      <c r="N369" s="616">
        <f t="shared" si="20"/>
        <v>2</v>
      </c>
      <c r="O369" s="633"/>
      <c r="P369" s="636"/>
      <c r="Q369" s="636"/>
      <c r="R369" s="7"/>
      <c r="S369" s="725">
        <v>12</v>
      </c>
      <c r="T369" s="7"/>
      <c r="U369" s="618">
        <f t="shared" si="22"/>
        <v>10</v>
      </c>
      <c r="V369" s="7"/>
      <c r="W369" s="7"/>
      <c r="X369" s="7"/>
      <c r="Y369" s="7"/>
      <c r="Z369" s="7"/>
      <c r="AA369" s="7"/>
    </row>
    <row r="370" spans="1:27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>
        <v>1</v>
      </c>
      <c r="G370" s="647"/>
      <c r="H370" s="214"/>
      <c r="I370" s="214"/>
      <c r="J370" s="213"/>
      <c r="K370" s="292"/>
      <c r="L370" s="213"/>
      <c r="M370" s="643"/>
      <c r="N370" s="616">
        <f t="shared" si="20"/>
        <v>1</v>
      </c>
      <c r="O370" s="633"/>
      <c r="P370" s="648"/>
      <c r="Q370" s="648"/>
      <c r="R370" s="7"/>
      <c r="S370" s="725"/>
      <c r="T370" s="7"/>
      <c r="U370" s="618"/>
      <c r="V370" s="7"/>
      <c r="W370" s="7"/>
      <c r="X370" s="7"/>
      <c r="Y370" s="7"/>
      <c r="Z370" s="7"/>
      <c r="AA370" s="7"/>
    </row>
    <row r="371" spans="1:27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>
        <v>1</v>
      </c>
      <c r="G371" s="647"/>
      <c r="H371" s="214"/>
      <c r="I371" s="214"/>
      <c r="J371" s="213"/>
      <c r="K371" s="292"/>
      <c r="L371" s="213"/>
      <c r="M371" s="643"/>
      <c r="N371" s="616">
        <f t="shared" si="20"/>
        <v>1</v>
      </c>
      <c r="O371" s="633"/>
      <c r="P371" s="648"/>
      <c r="Q371" s="648"/>
      <c r="R371" s="7"/>
      <c r="S371" s="725"/>
      <c r="T371" s="7"/>
      <c r="U371" s="618"/>
      <c r="V371" s="7"/>
      <c r="W371" s="7"/>
      <c r="X371" s="7"/>
      <c r="Y371" s="7"/>
      <c r="Z371" s="7"/>
      <c r="AA371" s="7"/>
    </row>
    <row r="372" spans="1:27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620"/>
      <c r="H372" s="214"/>
      <c r="I372" s="214"/>
      <c r="J372" s="213"/>
      <c r="K372" s="292"/>
      <c r="L372" s="213"/>
      <c r="M372" s="657"/>
      <c r="N372" s="616">
        <f t="shared" si="20"/>
        <v>0</v>
      </c>
      <c r="O372" s="633"/>
      <c r="P372" s="636"/>
      <c r="Q372" s="636"/>
      <c r="R372" s="7"/>
      <c r="S372" s="725"/>
      <c r="T372" s="7"/>
      <c r="U372" s="618"/>
      <c r="V372" s="7"/>
      <c r="W372" s="7"/>
      <c r="X372" s="7"/>
      <c r="Y372" s="7"/>
      <c r="Z372" s="7"/>
      <c r="AA372" s="7"/>
    </row>
    <row r="373" spans="1:27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647"/>
      <c r="H373" s="214"/>
      <c r="I373" s="214"/>
      <c r="J373" s="213"/>
      <c r="K373" s="292"/>
      <c r="L373" s="213"/>
      <c r="M373" s="643"/>
      <c r="N373" s="616">
        <f t="shared" si="20"/>
        <v>0</v>
      </c>
      <c r="O373" s="633"/>
      <c r="P373" s="648"/>
      <c r="Q373" s="648"/>
      <c r="R373" s="7"/>
      <c r="S373" s="725"/>
      <c r="T373" s="7"/>
      <c r="U373" s="618"/>
      <c r="V373" s="7"/>
      <c r="W373" s="7"/>
      <c r="X373" s="7"/>
      <c r="Y373" s="7"/>
      <c r="Z373" s="7"/>
      <c r="AA373" s="7"/>
    </row>
    <row r="374" spans="1:27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647"/>
      <c r="H374" s="214"/>
      <c r="I374" s="214"/>
      <c r="J374" s="213"/>
      <c r="K374" s="292"/>
      <c r="L374" s="213"/>
      <c r="M374" s="643"/>
      <c r="N374" s="616">
        <f t="shared" si="20"/>
        <v>0</v>
      </c>
      <c r="O374" s="633"/>
      <c r="P374" s="648"/>
      <c r="Q374" s="648"/>
      <c r="R374" s="7"/>
      <c r="S374" s="725"/>
      <c r="T374" s="7"/>
      <c r="U374" s="618">
        <f>S374-N374</f>
        <v>0</v>
      </c>
      <c r="V374" s="7"/>
      <c r="W374" s="7"/>
      <c r="X374" s="7"/>
      <c r="Y374" s="7"/>
      <c r="Z374" s="7"/>
      <c r="AA374" s="7"/>
    </row>
    <row r="375" spans="1:27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>
        <v>3</v>
      </c>
      <c r="G375" s="620"/>
      <c r="H375" s="214"/>
      <c r="I375" s="214"/>
      <c r="J375" s="213"/>
      <c r="K375" s="292"/>
      <c r="L375" s="213"/>
      <c r="M375" s="643"/>
      <c r="N375" s="616">
        <f t="shared" si="20"/>
        <v>3</v>
      </c>
      <c r="O375" s="633"/>
      <c r="P375" s="636"/>
      <c r="Q375" s="636"/>
      <c r="R375" s="7"/>
      <c r="S375" s="725">
        <v>2</v>
      </c>
      <c r="T375" s="7"/>
      <c r="U375" s="618"/>
      <c r="V375" s="7"/>
      <c r="W375" s="7"/>
      <c r="X375" s="7"/>
      <c r="Y375" s="7"/>
      <c r="Z375" s="7"/>
      <c r="AA375" s="7"/>
    </row>
    <row r="376" spans="1:27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647"/>
      <c r="H376" s="214"/>
      <c r="I376" s="214"/>
      <c r="J376" s="213"/>
      <c r="K376" s="292"/>
      <c r="L376" s="213"/>
      <c r="M376" s="643"/>
      <c r="N376" s="616">
        <f t="shared" si="20"/>
        <v>0</v>
      </c>
      <c r="O376" s="633"/>
      <c r="P376" s="648"/>
      <c r="Q376" s="648"/>
      <c r="R376" s="7"/>
      <c r="S376" s="725"/>
      <c r="T376" s="7"/>
      <c r="U376" s="618">
        <f t="shared" ref="U376:U447" si="23">S376-N376</f>
        <v>0</v>
      </c>
      <c r="V376" s="7"/>
      <c r="W376" s="7"/>
      <c r="X376" s="7"/>
      <c r="Y376" s="7"/>
      <c r="Z376" s="7"/>
      <c r="AA376" s="7"/>
    </row>
    <row r="377" spans="1:27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647"/>
      <c r="H377" s="214"/>
      <c r="I377" s="214"/>
      <c r="J377" s="213"/>
      <c r="K377" s="292"/>
      <c r="L377" s="213"/>
      <c r="M377" s="643"/>
      <c r="N377" s="616">
        <f t="shared" si="20"/>
        <v>0</v>
      </c>
      <c r="O377" s="633"/>
      <c r="P377" s="648"/>
      <c r="Q377" s="648"/>
      <c r="R377" s="7"/>
      <c r="S377" s="725"/>
      <c r="T377" s="7"/>
      <c r="U377" s="618">
        <f t="shared" si="23"/>
        <v>0</v>
      </c>
      <c r="V377" s="7"/>
      <c r="W377" s="7"/>
      <c r="X377" s="7"/>
      <c r="Y377" s="7"/>
      <c r="Z377" s="7"/>
      <c r="AA377" s="7"/>
    </row>
    <row r="378" spans="1:27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620"/>
      <c r="H378" s="214"/>
      <c r="I378" s="214"/>
      <c r="J378" s="213"/>
      <c r="K378" s="292"/>
      <c r="L378" s="213"/>
      <c r="M378" s="643"/>
      <c r="N378" s="616">
        <f t="shared" si="20"/>
        <v>0</v>
      </c>
      <c r="O378" s="633"/>
      <c r="P378" s="636"/>
      <c r="Q378" s="636"/>
      <c r="R378" s="7"/>
      <c r="S378" s="725"/>
      <c r="T378" s="7"/>
      <c r="U378" s="618">
        <f t="shared" si="23"/>
        <v>0</v>
      </c>
      <c r="V378" s="7"/>
      <c r="W378" s="7"/>
      <c r="X378" s="7"/>
      <c r="Y378" s="7"/>
      <c r="Z378" s="7"/>
      <c r="AA378" s="7"/>
    </row>
    <row r="379" spans="1:27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647"/>
      <c r="H379" s="214"/>
      <c r="I379" s="214"/>
      <c r="J379" s="213"/>
      <c r="K379" s="292"/>
      <c r="L379" s="213"/>
      <c r="M379" s="643"/>
      <c r="N379" s="616">
        <f t="shared" si="20"/>
        <v>0</v>
      </c>
      <c r="O379" s="633"/>
      <c r="P379" s="648"/>
      <c r="Q379" s="648"/>
      <c r="R379" s="7"/>
      <c r="S379" s="725"/>
      <c r="T379" s="7"/>
      <c r="U379" s="618">
        <f t="shared" si="23"/>
        <v>0</v>
      </c>
      <c r="V379" s="7"/>
      <c r="W379" s="7"/>
      <c r="X379" s="7"/>
      <c r="Y379" s="7"/>
      <c r="Z379" s="7"/>
      <c r="AA379" s="7"/>
    </row>
    <row r="380" spans="1:27" ht="21.75" customHeight="1">
      <c r="A380" s="503" t="s">
        <v>1499</v>
      </c>
      <c r="B380" s="483" t="s">
        <v>828</v>
      </c>
      <c r="C380" s="658" t="s">
        <v>829</v>
      </c>
      <c r="D380" s="504" t="s">
        <v>2132</v>
      </c>
      <c r="E380" s="213"/>
      <c r="F380" s="213"/>
      <c r="G380" s="647"/>
      <c r="H380" s="214"/>
      <c r="I380" s="214"/>
      <c r="J380" s="213"/>
      <c r="K380" s="292"/>
      <c r="L380" s="213"/>
      <c r="M380" s="643"/>
      <c r="N380" s="616">
        <f t="shared" si="20"/>
        <v>0</v>
      </c>
      <c r="O380" s="633"/>
      <c r="P380" s="648"/>
      <c r="Q380" s="648"/>
      <c r="R380" s="7"/>
      <c r="S380" s="725"/>
      <c r="T380" s="7"/>
      <c r="U380" s="618">
        <f t="shared" si="23"/>
        <v>0</v>
      </c>
      <c r="V380" s="7"/>
      <c r="W380" s="7"/>
      <c r="X380" s="7"/>
      <c r="Y380" s="7"/>
      <c r="Z380" s="7"/>
      <c r="AA380" s="7"/>
    </row>
    <row r="381" spans="1:27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647"/>
      <c r="H381" s="214"/>
      <c r="I381" s="214"/>
      <c r="J381" s="213"/>
      <c r="K381" s="292"/>
      <c r="L381" s="213"/>
      <c r="M381" s="643"/>
      <c r="N381" s="616">
        <f t="shared" si="20"/>
        <v>0</v>
      </c>
      <c r="O381" s="633"/>
      <c r="P381" s="648"/>
      <c r="Q381" s="648"/>
      <c r="R381" s="7"/>
      <c r="S381" s="725"/>
      <c r="T381" s="7"/>
      <c r="U381" s="618">
        <f t="shared" si="23"/>
        <v>0</v>
      </c>
      <c r="V381" s="7"/>
      <c r="W381" s="7"/>
      <c r="X381" s="7"/>
      <c r="Y381" s="7"/>
      <c r="Z381" s="7"/>
      <c r="AA381" s="7"/>
    </row>
    <row r="382" spans="1:27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620"/>
      <c r="H382" s="214"/>
      <c r="I382" s="214"/>
      <c r="J382" s="213"/>
      <c r="K382" s="292"/>
      <c r="L382" s="213"/>
      <c r="M382" s="643"/>
      <c r="N382" s="616">
        <f t="shared" si="20"/>
        <v>0</v>
      </c>
      <c r="O382" s="633"/>
      <c r="P382" s="636"/>
      <c r="Q382" s="636"/>
      <c r="R382" s="7"/>
      <c r="S382" s="725"/>
      <c r="T382" s="7"/>
      <c r="U382" s="618">
        <f t="shared" si="23"/>
        <v>0</v>
      </c>
      <c r="V382" s="7"/>
      <c r="W382" s="7"/>
      <c r="X382" s="7"/>
      <c r="Y382" s="7"/>
      <c r="Z382" s="7"/>
      <c r="AA382" s="7"/>
    </row>
    <row r="383" spans="1:27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620"/>
      <c r="H383" s="214"/>
      <c r="I383" s="214"/>
      <c r="J383" s="213"/>
      <c r="K383" s="292"/>
      <c r="L383" s="213"/>
      <c r="M383" s="643"/>
      <c r="N383" s="616">
        <f t="shared" si="20"/>
        <v>0</v>
      </c>
      <c r="O383" s="633"/>
      <c r="P383" s="636"/>
      <c r="Q383" s="636"/>
      <c r="R383" s="7"/>
      <c r="S383" s="725"/>
      <c r="T383" s="7"/>
      <c r="U383" s="618">
        <f t="shared" si="23"/>
        <v>0</v>
      </c>
      <c r="V383" s="7"/>
      <c r="W383" s="7"/>
      <c r="X383" s="7"/>
      <c r="Y383" s="7"/>
      <c r="Z383" s="7"/>
      <c r="AA383" s="7"/>
    </row>
    <row r="384" spans="1:27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620"/>
      <c r="H384" s="214"/>
      <c r="I384" s="214"/>
      <c r="J384" s="213"/>
      <c r="K384" s="292"/>
      <c r="L384" s="213"/>
      <c r="M384" s="643"/>
      <c r="N384" s="616">
        <f t="shared" si="20"/>
        <v>0</v>
      </c>
      <c r="O384" s="633"/>
      <c r="P384" s="648"/>
      <c r="Q384" s="648"/>
      <c r="R384" s="7"/>
      <c r="S384" s="725"/>
      <c r="T384" s="7"/>
      <c r="U384" s="618">
        <f t="shared" si="23"/>
        <v>0</v>
      </c>
      <c r="V384" s="7"/>
      <c r="W384" s="7"/>
      <c r="X384" s="7"/>
      <c r="Y384" s="7"/>
      <c r="Z384" s="7"/>
      <c r="AA384" s="7"/>
    </row>
    <row r="385" spans="1:27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620"/>
      <c r="H385" s="214"/>
      <c r="I385" s="214"/>
      <c r="J385" s="213"/>
      <c r="K385" s="292"/>
      <c r="L385" s="213"/>
      <c r="M385" s="643"/>
      <c r="N385" s="616">
        <f t="shared" si="20"/>
        <v>0</v>
      </c>
      <c r="O385" s="633"/>
      <c r="P385" s="648"/>
      <c r="Q385" s="648"/>
      <c r="R385" s="7"/>
      <c r="S385" s="725"/>
      <c r="T385" s="7"/>
      <c r="U385" s="618">
        <f t="shared" si="23"/>
        <v>0</v>
      </c>
      <c r="V385" s="7"/>
      <c r="W385" s="7"/>
      <c r="X385" s="7"/>
      <c r="Y385" s="7"/>
      <c r="Z385" s="7"/>
      <c r="AA385" s="7"/>
    </row>
    <row r="386" spans="1:27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620"/>
      <c r="H386" s="214"/>
      <c r="I386" s="214"/>
      <c r="J386" s="213"/>
      <c r="K386" s="292"/>
      <c r="L386" s="213"/>
      <c r="M386" s="643"/>
      <c r="N386" s="616">
        <f t="shared" si="20"/>
        <v>0</v>
      </c>
      <c r="O386" s="633"/>
      <c r="P386" s="648"/>
      <c r="Q386" s="648"/>
      <c r="R386" s="7"/>
      <c r="S386" s="725"/>
      <c r="T386" s="7"/>
      <c r="U386" s="618">
        <f t="shared" si="23"/>
        <v>0</v>
      </c>
      <c r="V386" s="7"/>
      <c r="W386" s="7"/>
      <c r="X386" s="7"/>
      <c r="Y386" s="7"/>
      <c r="Z386" s="7"/>
      <c r="AA386" s="7"/>
    </row>
    <row r="387" spans="1:27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620"/>
      <c r="H387" s="214"/>
      <c r="I387" s="214"/>
      <c r="J387" s="213"/>
      <c r="K387" s="292"/>
      <c r="L387" s="213"/>
      <c r="M387" s="643"/>
      <c r="N387" s="616">
        <f t="shared" si="20"/>
        <v>0</v>
      </c>
      <c r="O387" s="633"/>
      <c r="P387" s="648"/>
      <c r="Q387" s="648"/>
      <c r="R387" s="7"/>
      <c r="S387" s="725"/>
      <c r="T387" s="7"/>
      <c r="U387" s="618">
        <f t="shared" si="23"/>
        <v>0</v>
      </c>
      <c r="V387" s="7"/>
      <c r="W387" s="7"/>
      <c r="X387" s="7"/>
      <c r="Y387" s="7"/>
      <c r="Z387" s="7"/>
      <c r="AA387" s="7"/>
    </row>
    <row r="388" spans="1:27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620"/>
      <c r="H388" s="214"/>
      <c r="I388" s="214"/>
      <c r="J388" s="213"/>
      <c r="K388" s="292"/>
      <c r="L388" s="213"/>
      <c r="M388" s="643"/>
      <c r="N388" s="616">
        <f t="shared" si="20"/>
        <v>0</v>
      </c>
      <c r="O388" s="633"/>
      <c r="P388" s="636"/>
      <c r="Q388" s="636"/>
      <c r="R388" s="7"/>
      <c r="S388" s="725"/>
      <c r="T388" s="7"/>
      <c r="U388" s="618">
        <f t="shared" si="23"/>
        <v>0</v>
      </c>
      <c r="V388" s="7"/>
      <c r="W388" s="7"/>
      <c r="X388" s="7"/>
      <c r="Y388" s="7"/>
      <c r="Z388" s="7"/>
      <c r="AA388" s="7"/>
    </row>
    <row r="389" spans="1:27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620"/>
      <c r="H389" s="214"/>
      <c r="I389" s="214"/>
      <c r="J389" s="213"/>
      <c r="K389" s="292"/>
      <c r="L389" s="213"/>
      <c r="M389" s="643"/>
      <c r="N389" s="616">
        <f t="shared" si="20"/>
        <v>0</v>
      </c>
      <c r="O389" s="633"/>
      <c r="P389" s="636"/>
      <c r="Q389" s="636"/>
      <c r="R389" s="7"/>
      <c r="S389" s="725"/>
      <c r="T389" s="7"/>
      <c r="U389" s="618">
        <f t="shared" si="23"/>
        <v>0</v>
      </c>
      <c r="V389" s="7"/>
      <c r="W389" s="7"/>
      <c r="X389" s="7"/>
      <c r="Y389" s="7"/>
      <c r="Z389" s="7"/>
      <c r="AA389" s="7"/>
    </row>
    <row r="390" spans="1:27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662"/>
      <c r="H390" s="214"/>
      <c r="I390" s="214"/>
      <c r="J390" s="213"/>
      <c r="K390" s="292"/>
      <c r="L390" s="213"/>
      <c r="M390" s="643"/>
      <c r="N390" s="616">
        <f t="shared" si="20"/>
        <v>0</v>
      </c>
      <c r="O390" s="633"/>
      <c r="P390" s="636"/>
      <c r="Q390" s="636"/>
      <c r="R390" s="7"/>
      <c r="S390" s="725"/>
      <c r="T390" s="7"/>
      <c r="U390" s="618">
        <f t="shared" si="23"/>
        <v>0</v>
      </c>
      <c r="V390" s="7"/>
      <c r="W390" s="7"/>
      <c r="X390" s="7"/>
      <c r="Y390" s="7"/>
      <c r="Z390" s="7"/>
      <c r="AA390" s="7"/>
    </row>
    <row r="391" spans="1:27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662"/>
      <c r="H391" s="214"/>
      <c r="I391" s="214"/>
      <c r="J391" s="213"/>
      <c r="K391" s="292"/>
      <c r="L391" s="213"/>
      <c r="M391" s="643"/>
      <c r="N391" s="616">
        <f t="shared" si="20"/>
        <v>0</v>
      </c>
      <c r="O391" s="633"/>
      <c r="P391" s="636"/>
      <c r="Q391" s="636"/>
      <c r="R391" s="7"/>
      <c r="S391" s="725"/>
      <c r="T391" s="7"/>
      <c r="U391" s="618">
        <f t="shared" si="23"/>
        <v>0</v>
      </c>
      <c r="V391" s="7"/>
      <c r="W391" s="7"/>
      <c r="X391" s="7"/>
      <c r="Y391" s="7"/>
      <c r="Z391" s="7"/>
      <c r="AA391" s="7"/>
    </row>
    <row r="392" spans="1:27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662"/>
      <c r="H392" s="214"/>
      <c r="I392" s="214"/>
      <c r="J392" s="213"/>
      <c r="K392" s="292"/>
      <c r="L392" s="213"/>
      <c r="M392" s="643"/>
      <c r="N392" s="616">
        <f t="shared" si="20"/>
        <v>0</v>
      </c>
      <c r="O392" s="633"/>
      <c r="P392" s="636"/>
      <c r="Q392" s="636"/>
      <c r="R392" s="7"/>
      <c r="S392" s="725"/>
      <c r="T392" s="7"/>
      <c r="U392" s="618">
        <f t="shared" si="23"/>
        <v>0</v>
      </c>
      <c r="V392" s="7"/>
      <c r="W392" s="7"/>
      <c r="X392" s="7"/>
      <c r="Y392" s="7"/>
      <c r="Z392" s="7"/>
      <c r="AA392" s="7"/>
    </row>
    <row r="393" spans="1:27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662"/>
      <c r="H393" s="214"/>
      <c r="I393" s="214"/>
      <c r="J393" s="213"/>
      <c r="K393" s="292"/>
      <c r="L393" s="213"/>
      <c r="M393" s="643"/>
      <c r="N393" s="616">
        <f t="shared" si="20"/>
        <v>0</v>
      </c>
      <c r="O393" s="633"/>
      <c r="P393" s="636"/>
      <c r="Q393" s="636"/>
      <c r="R393" s="7"/>
      <c r="S393" s="725"/>
      <c r="T393" s="7"/>
      <c r="U393" s="618">
        <f t="shared" si="23"/>
        <v>0</v>
      </c>
      <c r="V393" s="7"/>
      <c r="W393" s="7"/>
      <c r="X393" s="7"/>
      <c r="Y393" s="7"/>
      <c r="Z393" s="7"/>
      <c r="AA393" s="7"/>
    </row>
    <row r="394" spans="1:27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620"/>
      <c r="H394" s="214"/>
      <c r="I394" s="214"/>
      <c r="J394" s="213"/>
      <c r="K394" s="292"/>
      <c r="L394" s="213"/>
      <c r="M394" s="643"/>
      <c r="N394" s="616">
        <f t="shared" si="20"/>
        <v>0</v>
      </c>
      <c r="O394" s="633"/>
      <c r="P394" s="634"/>
      <c r="Q394" s="634"/>
      <c r="R394" s="7"/>
      <c r="S394" s="725"/>
      <c r="T394" s="7"/>
      <c r="U394" s="618">
        <f t="shared" si="23"/>
        <v>0</v>
      </c>
      <c r="V394" s="7"/>
      <c r="W394" s="7"/>
      <c r="X394" s="7"/>
      <c r="Y394" s="7"/>
      <c r="Z394" s="7"/>
      <c r="AA394" s="7"/>
    </row>
    <row r="395" spans="1:27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620"/>
      <c r="H395" s="214"/>
      <c r="I395" s="214"/>
      <c r="J395" s="213"/>
      <c r="K395" s="292"/>
      <c r="L395" s="213"/>
      <c r="M395" s="643"/>
      <c r="N395" s="616">
        <f t="shared" si="20"/>
        <v>0</v>
      </c>
      <c r="O395" s="633"/>
      <c r="P395" s="634"/>
      <c r="Q395" s="634"/>
      <c r="R395" s="7"/>
      <c r="S395" s="725"/>
      <c r="T395" s="7"/>
      <c r="U395" s="618">
        <f t="shared" si="23"/>
        <v>0</v>
      </c>
      <c r="V395" s="7"/>
      <c r="W395" s="7"/>
      <c r="X395" s="7"/>
      <c r="Y395" s="7"/>
      <c r="Z395" s="7"/>
      <c r="AA395" s="7"/>
    </row>
    <row r="396" spans="1:27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620"/>
      <c r="H396" s="214"/>
      <c r="I396" s="214"/>
      <c r="J396" s="213"/>
      <c r="K396" s="292"/>
      <c r="L396" s="213"/>
      <c r="M396" s="643"/>
      <c r="N396" s="616">
        <f t="shared" si="20"/>
        <v>0</v>
      </c>
      <c r="O396" s="633"/>
      <c r="P396" s="634"/>
      <c r="Q396" s="634"/>
      <c r="R396" s="7"/>
      <c r="S396" s="725"/>
      <c r="T396" s="7"/>
      <c r="U396" s="618">
        <f t="shared" si="23"/>
        <v>0</v>
      </c>
      <c r="V396" s="7"/>
      <c r="W396" s="7"/>
      <c r="X396" s="7"/>
      <c r="Y396" s="7"/>
      <c r="Z396" s="7"/>
      <c r="AA396" s="7"/>
    </row>
    <row r="397" spans="1:27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620"/>
      <c r="H397" s="214"/>
      <c r="I397" s="214"/>
      <c r="J397" s="213"/>
      <c r="K397" s="292"/>
      <c r="L397" s="213"/>
      <c r="M397" s="643"/>
      <c r="N397" s="616">
        <f t="shared" si="20"/>
        <v>0</v>
      </c>
      <c r="O397" s="633"/>
      <c r="P397" s="636"/>
      <c r="Q397" s="636"/>
      <c r="R397" s="7"/>
      <c r="S397" s="725"/>
      <c r="T397" s="7"/>
      <c r="U397" s="618">
        <f t="shared" si="23"/>
        <v>0</v>
      </c>
      <c r="V397" s="7"/>
      <c r="W397" s="7"/>
      <c r="X397" s="7"/>
      <c r="Y397" s="7"/>
      <c r="Z397" s="7"/>
      <c r="AA397" s="7"/>
    </row>
    <row r="398" spans="1:27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620"/>
      <c r="H398" s="214"/>
      <c r="I398" s="214"/>
      <c r="J398" s="213"/>
      <c r="K398" s="292"/>
      <c r="L398" s="213"/>
      <c r="M398" s="643"/>
      <c r="N398" s="616">
        <f t="shared" si="20"/>
        <v>0</v>
      </c>
      <c r="O398" s="633"/>
      <c r="P398" s="634"/>
      <c r="Q398" s="634"/>
      <c r="R398" s="7"/>
      <c r="S398" s="725"/>
      <c r="T398" s="7"/>
      <c r="U398" s="618">
        <f t="shared" si="23"/>
        <v>0</v>
      </c>
      <c r="V398" s="7"/>
      <c r="W398" s="7"/>
      <c r="X398" s="7"/>
      <c r="Y398" s="7"/>
      <c r="Z398" s="7"/>
      <c r="AA398" s="7"/>
    </row>
    <row r="399" spans="1:27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620"/>
      <c r="H399" s="214"/>
      <c r="I399" s="214"/>
      <c r="J399" s="213"/>
      <c r="K399" s="292"/>
      <c r="L399" s="213"/>
      <c r="M399" s="643"/>
      <c r="N399" s="616">
        <f t="shared" si="20"/>
        <v>0</v>
      </c>
      <c r="O399" s="633"/>
      <c r="P399" s="634"/>
      <c r="Q399" s="634"/>
      <c r="R399" s="7"/>
      <c r="S399" s="725"/>
      <c r="T399" s="7"/>
      <c r="U399" s="618">
        <f t="shared" si="23"/>
        <v>0</v>
      </c>
      <c r="V399" s="7"/>
      <c r="W399" s="7"/>
      <c r="X399" s="7"/>
      <c r="Y399" s="7"/>
      <c r="Z399" s="7"/>
      <c r="AA399" s="7"/>
    </row>
    <row r="400" spans="1:27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620"/>
      <c r="H400" s="214"/>
      <c r="I400" s="214"/>
      <c r="J400" s="213"/>
      <c r="K400" s="292"/>
      <c r="L400" s="213"/>
      <c r="M400" s="643"/>
      <c r="N400" s="616">
        <f t="shared" si="20"/>
        <v>0</v>
      </c>
      <c r="O400" s="633"/>
      <c r="P400" s="636"/>
      <c r="Q400" s="636"/>
      <c r="R400" s="7"/>
      <c r="S400" s="725"/>
      <c r="T400" s="7"/>
      <c r="U400" s="618">
        <f t="shared" si="23"/>
        <v>0</v>
      </c>
      <c r="V400" s="7"/>
      <c r="W400" s="7"/>
      <c r="X400" s="7"/>
      <c r="Y400" s="7"/>
      <c r="Z400" s="7"/>
      <c r="AA400" s="7"/>
    </row>
    <row r="401" spans="1:27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620"/>
      <c r="H401" s="214"/>
      <c r="I401" s="214"/>
      <c r="J401" s="213"/>
      <c r="K401" s="292"/>
      <c r="L401" s="213"/>
      <c r="M401" s="643"/>
      <c r="N401" s="616">
        <f t="shared" si="20"/>
        <v>0</v>
      </c>
      <c r="O401" s="633"/>
      <c r="P401" s="634"/>
      <c r="Q401" s="634"/>
      <c r="R401" s="7"/>
      <c r="S401" s="725"/>
      <c r="T401" s="7"/>
      <c r="U401" s="618">
        <f t="shared" si="23"/>
        <v>0</v>
      </c>
      <c r="V401" s="7"/>
      <c r="W401" s="7"/>
      <c r="X401" s="7"/>
      <c r="Y401" s="7"/>
      <c r="Z401" s="7"/>
      <c r="AA401" s="7"/>
    </row>
    <row r="402" spans="1:27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620"/>
      <c r="H402" s="214"/>
      <c r="I402" s="214"/>
      <c r="J402" s="213"/>
      <c r="K402" s="292"/>
      <c r="L402" s="213"/>
      <c r="M402" s="643"/>
      <c r="N402" s="616">
        <f t="shared" si="20"/>
        <v>0</v>
      </c>
      <c r="O402" s="633"/>
      <c r="P402" s="634"/>
      <c r="Q402" s="634"/>
      <c r="R402" s="7"/>
      <c r="S402" s="725"/>
      <c r="T402" s="7"/>
      <c r="U402" s="618">
        <f t="shared" si="23"/>
        <v>0</v>
      </c>
      <c r="V402" s="7"/>
      <c r="W402" s="7"/>
      <c r="X402" s="7"/>
      <c r="Y402" s="7"/>
      <c r="Z402" s="7"/>
      <c r="AA402" s="7"/>
    </row>
    <row r="403" spans="1:27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662"/>
      <c r="H403" s="214"/>
      <c r="I403" s="214"/>
      <c r="J403" s="213"/>
      <c r="K403" s="292"/>
      <c r="L403" s="213"/>
      <c r="M403" s="643"/>
      <c r="N403" s="616">
        <f t="shared" si="20"/>
        <v>0</v>
      </c>
      <c r="O403" s="633"/>
      <c r="P403" s="634"/>
      <c r="Q403" s="634"/>
      <c r="R403" s="7"/>
      <c r="S403" s="725"/>
      <c r="T403" s="7"/>
      <c r="U403" s="618">
        <f t="shared" si="23"/>
        <v>0</v>
      </c>
      <c r="V403" s="7"/>
      <c r="W403" s="7"/>
      <c r="X403" s="7"/>
      <c r="Y403" s="7"/>
      <c r="Z403" s="7"/>
      <c r="AA403" s="7"/>
    </row>
    <row r="404" spans="1:27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662"/>
      <c r="H404" s="214"/>
      <c r="I404" s="214"/>
      <c r="J404" s="213"/>
      <c r="K404" s="292"/>
      <c r="L404" s="213"/>
      <c r="M404" s="643"/>
      <c r="N404" s="616">
        <f t="shared" si="20"/>
        <v>0</v>
      </c>
      <c r="O404" s="633"/>
      <c r="P404" s="640"/>
      <c r="Q404" s="640"/>
      <c r="R404" s="7"/>
      <c r="S404" s="725"/>
      <c r="T404" s="7"/>
      <c r="U404" s="618">
        <f t="shared" si="23"/>
        <v>0</v>
      </c>
      <c r="V404" s="7"/>
      <c r="W404" s="7"/>
      <c r="X404" s="7"/>
      <c r="Y404" s="7"/>
      <c r="Z404" s="7"/>
      <c r="AA404" s="7"/>
    </row>
    <row r="405" spans="1:27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662"/>
      <c r="H405" s="214"/>
      <c r="I405" s="214"/>
      <c r="J405" s="213"/>
      <c r="K405" s="292"/>
      <c r="L405" s="213"/>
      <c r="M405" s="643"/>
      <c r="N405" s="616">
        <f t="shared" si="20"/>
        <v>0</v>
      </c>
      <c r="O405" s="633"/>
      <c r="P405" s="636"/>
      <c r="Q405" s="636"/>
      <c r="R405" s="7"/>
      <c r="S405" s="725"/>
      <c r="T405" s="7"/>
      <c r="U405" s="618">
        <f t="shared" si="23"/>
        <v>0</v>
      </c>
      <c r="V405" s="7"/>
      <c r="W405" s="7"/>
      <c r="X405" s="7"/>
      <c r="Y405" s="7"/>
      <c r="Z405" s="7"/>
      <c r="AA405" s="7"/>
    </row>
    <row r="406" spans="1:27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662"/>
      <c r="H406" s="214"/>
      <c r="I406" s="214"/>
      <c r="J406" s="213"/>
      <c r="K406" s="292"/>
      <c r="L406" s="213"/>
      <c r="M406" s="643"/>
      <c r="N406" s="616">
        <f t="shared" si="20"/>
        <v>0</v>
      </c>
      <c r="O406" s="633"/>
      <c r="P406" s="636"/>
      <c r="Q406" s="636"/>
      <c r="R406" s="7"/>
      <c r="S406" s="725"/>
      <c r="T406" s="7"/>
      <c r="U406" s="618">
        <f t="shared" si="23"/>
        <v>0</v>
      </c>
      <c r="V406" s="7"/>
      <c r="W406" s="7"/>
      <c r="X406" s="7"/>
      <c r="Y406" s="7"/>
      <c r="Z406" s="7"/>
      <c r="AA406" s="7"/>
    </row>
    <row r="407" spans="1:27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662"/>
      <c r="H407" s="214"/>
      <c r="I407" s="214"/>
      <c r="J407" s="213"/>
      <c r="K407" s="292"/>
      <c r="L407" s="213"/>
      <c r="M407" s="643"/>
      <c r="N407" s="616">
        <f t="shared" si="20"/>
        <v>0</v>
      </c>
      <c r="O407" s="633"/>
      <c r="P407" s="636"/>
      <c r="Q407" s="636"/>
      <c r="R407" s="7"/>
      <c r="S407" s="725"/>
      <c r="T407" s="7"/>
      <c r="U407" s="618">
        <f t="shared" si="23"/>
        <v>0</v>
      </c>
      <c r="V407" s="7"/>
      <c r="W407" s="7"/>
      <c r="X407" s="7"/>
      <c r="Y407" s="7"/>
      <c r="Z407" s="7"/>
      <c r="AA407" s="7"/>
    </row>
    <row r="408" spans="1:27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662"/>
      <c r="H408" s="214"/>
      <c r="I408" s="214"/>
      <c r="J408" s="213"/>
      <c r="K408" s="292"/>
      <c r="L408" s="213"/>
      <c r="M408" s="643"/>
      <c r="N408" s="616">
        <f t="shared" si="20"/>
        <v>0</v>
      </c>
      <c r="O408" s="633"/>
      <c r="P408" s="636"/>
      <c r="Q408" s="636"/>
      <c r="R408" s="7"/>
      <c r="S408" s="725"/>
      <c r="T408" s="7"/>
      <c r="U408" s="618">
        <f t="shared" si="23"/>
        <v>0</v>
      </c>
      <c r="V408" s="7"/>
      <c r="W408" s="7"/>
      <c r="X408" s="7"/>
      <c r="Y408" s="7"/>
      <c r="Z408" s="7"/>
      <c r="AA408" s="7"/>
    </row>
    <row r="409" spans="1:27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662"/>
      <c r="H409" s="214"/>
      <c r="I409" s="214"/>
      <c r="J409" s="213"/>
      <c r="K409" s="292"/>
      <c r="L409" s="213"/>
      <c r="M409" s="643"/>
      <c r="N409" s="616">
        <f t="shared" si="20"/>
        <v>0</v>
      </c>
      <c r="O409" s="633"/>
      <c r="P409" s="636"/>
      <c r="Q409" s="636"/>
      <c r="R409" s="7"/>
      <c r="S409" s="725"/>
      <c r="T409" s="7"/>
      <c r="U409" s="618">
        <f t="shared" si="23"/>
        <v>0</v>
      </c>
      <c r="V409" s="7"/>
      <c r="W409" s="7"/>
      <c r="X409" s="7"/>
      <c r="Y409" s="7"/>
      <c r="Z409" s="7"/>
      <c r="AA409" s="7"/>
    </row>
    <row r="410" spans="1:27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662"/>
      <c r="H410" s="214"/>
      <c r="I410" s="214"/>
      <c r="J410" s="213"/>
      <c r="K410" s="292"/>
      <c r="L410" s="213"/>
      <c r="M410" s="643"/>
      <c r="N410" s="616">
        <f t="shared" si="20"/>
        <v>0</v>
      </c>
      <c r="O410" s="633"/>
      <c r="P410" s="636"/>
      <c r="Q410" s="636"/>
      <c r="R410" s="7"/>
      <c r="S410" s="725"/>
      <c r="T410" s="7"/>
      <c r="U410" s="618">
        <f t="shared" si="23"/>
        <v>0</v>
      </c>
      <c r="V410" s="7"/>
      <c r="W410" s="7"/>
      <c r="X410" s="7"/>
      <c r="Y410" s="7"/>
      <c r="Z410" s="7"/>
      <c r="AA410" s="7"/>
    </row>
    <row r="411" spans="1:27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662"/>
      <c r="H411" s="214"/>
      <c r="I411" s="214"/>
      <c r="J411" s="213"/>
      <c r="K411" s="292"/>
      <c r="L411" s="213"/>
      <c r="M411" s="643"/>
      <c r="N411" s="616">
        <f t="shared" si="20"/>
        <v>0</v>
      </c>
      <c r="O411" s="633"/>
      <c r="P411" s="636"/>
      <c r="Q411" s="636"/>
      <c r="R411" s="7"/>
      <c r="S411" s="725"/>
      <c r="T411" s="7"/>
      <c r="U411" s="618">
        <f t="shared" si="23"/>
        <v>0</v>
      </c>
      <c r="V411" s="7"/>
      <c r="W411" s="7"/>
      <c r="X411" s="7"/>
      <c r="Y411" s="7"/>
      <c r="Z411" s="7"/>
      <c r="AA411" s="7"/>
    </row>
    <row r="412" spans="1:27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662"/>
      <c r="H412" s="214"/>
      <c r="I412" s="214"/>
      <c r="J412" s="213"/>
      <c r="K412" s="292"/>
      <c r="L412" s="213"/>
      <c r="M412" s="643"/>
      <c r="N412" s="616">
        <f t="shared" si="20"/>
        <v>0</v>
      </c>
      <c r="O412" s="633"/>
      <c r="P412" s="636"/>
      <c r="Q412" s="636"/>
      <c r="R412" s="7"/>
      <c r="S412" s="725"/>
      <c r="T412" s="7"/>
      <c r="U412" s="618">
        <f t="shared" si="23"/>
        <v>0</v>
      </c>
      <c r="V412" s="7"/>
      <c r="W412" s="7"/>
      <c r="X412" s="7"/>
      <c r="Y412" s="7"/>
      <c r="Z412" s="7"/>
      <c r="AA412" s="7"/>
    </row>
    <row r="413" spans="1:27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662"/>
      <c r="H413" s="214"/>
      <c r="I413" s="214"/>
      <c r="J413" s="213"/>
      <c r="K413" s="292"/>
      <c r="L413" s="213"/>
      <c r="M413" s="643"/>
      <c r="N413" s="616">
        <f t="shared" si="20"/>
        <v>0</v>
      </c>
      <c r="O413" s="633"/>
      <c r="P413" s="636"/>
      <c r="Q413" s="636"/>
      <c r="R413" s="7"/>
      <c r="S413" s="725"/>
      <c r="T413" s="7"/>
      <c r="U413" s="618">
        <f t="shared" si="23"/>
        <v>0</v>
      </c>
      <c r="V413" s="7"/>
      <c r="W413" s="7"/>
      <c r="X413" s="7"/>
      <c r="Y413" s="7"/>
      <c r="Z413" s="7"/>
      <c r="AA413" s="7"/>
    </row>
    <row r="414" spans="1:27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662"/>
      <c r="H414" s="214"/>
      <c r="I414" s="214"/>
      <c r="J414" s="213"/>
      <c r="K414" s="292"/>
      <c r="L414" s="213"/>
      <c r="M414" s="643"/>
      <c r="N414" s="616">
        <f t="shared" si="20"/>
        <v>0</v>
      </c>
      <c r="O414" s="633"/>
      <c r="P414" s="636"/>
      <c r="Q414" s="636"/>
      <c r="R414" s="7"/>
      <c r="S414" s="725"/>
      <c r="T414" s="7"/>
      <c r="U414" s="618">
        <f t="shared" si="23"/>
        <v>0</v>
      </c>
      <c r="V414" s="7"/>
      <c r="W414" s="7"/>
      <c r="X414" s="7"/>
      <c r="Y414" s="7"/>
      <c r="Z414" s="7"/>
      <c r="AA414" s="7"/>
    </row>
    <row r="415" spans="1:27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662"/>
      <c r="H415" s="214"/>
      <c r="I415" s="214"/>
      <c r="J415" s="213"/>
      <c r="K415" s="292"/>
      <c r="L415" s="213"/>
      <c r="M415" s="643"/>
      <c r="N415" s="616">
        <f t="shared" si="20"/>
        <v>0</v>
      </c>
      <c r="O415" s="633"/>
      <c r="P415" s="636"/>
      <c r="Q415" s="636"/>
      <c r="R415" s="7"/>
      <c r="S415" s="725"/>
      <c r="T415" s="7"/>
      <c r="U415" s="618">
        <f t="shared" si="23"/>
        <v>0</v>
      </c>
      <c r="V415" s="7"/>
      <c r="W415" s="7"/>
      <c r="X415" s="7"/>
      <c r="Y415" s="7"/>
      <c r="Z415" s="7"/>
      <c r="AA415" s="7"/>
    </row>
    <row r="416" spans="1:27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662"/>
      <c r="H416" s="214"/>
      <c r="I416" s="214"/>
      <c r="J416" s="213"/>
      <c r="K416" s="292"/>
      <c r="L416" s="213"/>
      <c r="M416" s="643"/>
      <c r="N416" s="616">
        <f t="shared" si="20"/>
        <v>0</v>
      </c>
      <c r="O416" s="633"/>
      <c r="P416" s="636"/>
      <c r="Q416" s="636"/>
      <c r="R416" s="7"/>
      <c r="S416" s="725"/>
      <c r="T416" s="7"/>
      <c r="U416" s="618">
        <f t="shared" si="23"/>
        <v>0</v>
      </c>
      <c r="V416" s="7"/>
      <c r="W416" s="7"/>
      <c r="X416" s="7"/>
      <c r="Y416" s="7"/>
      <c r="Z416" s="7"/>
      <c r="AA416" s="7"/>
    </row>
    <row r="417" spans="1:27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662"/>
      <c r="H417" s="214"/>
      <c r="I417" s="214"/>
      <c r="J417" s="213"/>
      <c r="K417" s="292"/>
      <c r="L417" s="213"/>
      <c r="M417" s="643"/>
      <c r="N417" s="616">
        <f t="shared" si="20"/>
        <v>0</v>
      </c>
      <c r="O417" s="633"/>
      <c r="P417" s="636"/>
      <c r="Q417" s="636"/>
      <c r="R417" s="7"/>
      <c r="S417" s="725"/>
      <c r="T417" s="7"/>
      <c r="U417" s="618">
        <f t="shared" si="23"/>
        <v>0</v>
      </c>
      <c r="V417" s="7"/>
      <c r="W417" s="7"/>
      <c r="X417" s="7"/>
      <c r="Y417" s="7"/>
      <c r="Z417" s="7"/>
      <c r="AA417" s="7"/>
    </row>
    <row r="418" spans="1:27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662"/>
      <c r="H418" s="214"/>
      <c r="I418" s="214"/>
      <c r="J418" s="213"/>
      <c r="K418" s="292"/>
      <c r="L418" s="213"/>
      <c r="M418" s="643"/>
      <c r="N418" s="616">
        <f t="shared" si="20"/>
        <v>0</v>
      </c>
      <c r="O418" s="633"/>
      <c r="P418" s="636"/>
      <c r="Q418" s="636"/>
      <c r="R418" s="7"/>
      <c r="S418" s="725"/>
      <c r="T418" s="7"/>
      <c r="U418" s="618">
        <f t="shared" si="23"/>
        <v>0</v>
      </c>
      <c r="V418" s="7"/>
      <c r="W418" s="7"/>
      <c r="X418" s="7"/>
      <c r="Y418" s="7"/>
      <c r="Z418" s="7"/>
      <c r="AA418" s="7"/>
    </row>
    <row r="419" spans="1:27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662"/>
      <c r="H419" s="214"/>
      <c r="I419" s="214"/>
      <c r="J419" s="213"/>
      <c r="K419" s="292"/>
      <c r="L419" s="213"/>
      <c r="M419" s="643"/>
      <c r="N419" s="616">
        <f t="shared" si="20"/>
        <v>0</v>
      </c>
      <c r="O419" s="633"/>
      <c r="P419" s="636"/>
      <c r="Q419" s="636"/>
      <c r="R419" s="7"/>
      <c r="S419" s="725"/>
      <c r="T419" s="7"/>
      <c r="U419" s="618">
        <f t="shared" si="23"/>
        <v>0</v>
      </c>
      <c r="V419" s="7"/>
      <c r="W419" s="7"/>
      <c r="X419" s="7"/>
      <c r="Y419" s="7"/>
      <c r="Z419" s="7"/>
      <c r="AA419" s="7"/>
    </row>
    <row r="420" spans="1:27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662"/>
      <c r="H420" s="214"/>
      <c r="I420" s="214"/>
      <c r="J420" s="213"/>
      <c r="K420" s="292"/>
      <c r="L420" s="213"/>
      <c r="M420" s="643"/>
      <c r="N420" s="616">
        <f t="shared" si="20"/>
        <v>0</v>
      </c>
      <c r="O420" s="633"/>
      <c r="P420" s="636"/>
      <c r="Q420" s="636"/>
      <c r="R420" s="7"/>
      <c r="S420" s="725"/>
      <c r="T420" s="7"/>
      <c r="U420" s="618">
        <f t="shared" si="23"/>
        <v>0</v>
      </c>
      <c r="V420" s="7"/>
      <c r="W420" s="7"/>
      <c r="X420" s="7"/>
      <c r="Y420" s="7"/>
      <c r="Z420" s="7"/>
      <c r="AA420" s="7"/>
    </row>
    <row r="421" spans="1:27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662"/>
      <c r="H421" s="214"/>
      <c r="I421" s="214"/>
      <c r="J421" s="213"/>
      <c r="K421" s="292"/>
      <c r="L421" s="213"/>
      <c r="M421" s="643"/>
      <c r="N421" s="616">
        <f t="shared" si="20"/>
        <v>0</v>
      </c>
      <c r="O421" s="633"/>
      <c r="P421" s="640"/>
      <c r="Q421" s="640"/>
      <c r="R421" s="7"/>
      <c r="S421" s="725"/>
      <c r="T421" s="7"/>
      <c r="U421" s="618">
        <f t="shared" si="23"/>
        <v>0</v>
      </c>
      <c r="V421" s="7"/>
      <c r="W421" s="7"/>
      <c r="X421" s="7"/>
      <c r="Y421" s="7"/>
      <c r="Z421" s="7"/>
      <c r="AA421" s="7"/>
    </row>
    <row r="422" spans="1:27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672"/>
      <c r="H422" s="214"/>
      <c r="I422" s="214"/>
      <c r="J422" s="213"/>
      <c r="K422" s="292"/>
      <c r="L422" s="213"/>
      <c r="M422" s="643"/>
      <c r="N422" s="616">
        <f t="shared" si="20"/>
        <v>0</v>
      </c>
      <c r="O422" s="633"/>
      <c r="P422" s="634"/>
      <c r="Q422" s="634"/>
      <c r="R422" s="7"/>
      <c r="S422" s="725"/>
      <c r="T422" s="7"/>
      <c r="U422" s="618">
        <f t="shared" si="23"/>
        <v>0</v>
      </c>
      <c r="V422" s="7"/>
      <c r="W422" s="7"/>
      <c r="X422" s="7"/>
      <c r="Y422" s="7"/>
      <c r="Z422" s="7"/>
      <c r="AA422" s="7"/>
    </row>
    <row r="423" spans="1:27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672"/>
      <c r="H423" s="214"/>
      <c r="I423" s="214"/>
      <c r="J423" s="213"/>
      <c r="K423" s="292"/>
      <c r="L423" s="213"/>
      <c r="M423" s="643"/>
      <c r="N423" s="616">
        <f t="shared" si="20"/>
        <v>0</v>
      </c>
      <c r="O423" s="633"/>
      <c r="P423" s="634"/>
      <c r="Q423" s="634"/>
      <c r="R423" s="7"/>
      <c r="S423" s="725"/>
      <c r="T423" s="7"/>
      <c r="U423" s="618">
        <f t="shared" si="23"/>
        <v>0</v>
      </c>
      <c r="V423" s="7"/>
      <c r="W423" s="7"/>
      <c r="X423" s="7"/>
      <c r="Y423" s="7"/>
      <c r="Z423" s="7"/>
      <c r="AA423" s="7"/>
    </row>
    <row r="424" spans="1:27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672"/>
      <c r="H424" s="214"/>
      <c r="I424" s="214"/>
      <c r="J424" s="213"/>
      <c r="K424" s="292"/>
      <c r="L424" s="213"/>
      <c r="M424" s="643"/>
      <c r="N424" s="616">
        <f t="shared" si="20"/>
        <v>0</v>
      </c>
      <c r="O424" s="633"/>
      <c r="P424" s="634"/>
      <c r="Q424" s="634"/>
      <c r="R424" s="7"/>
      <c r="S424" s="725"/>
      <c r="T424" s="7"/>
      <c r="U424" s="618">
        <f t="shared" si="23"/>
        <v>0</v>
      </c>
      <c r="V424" s="7"/>
      <c r="W424" s="7"/>
      <c r="X424" s="7"/>
      <c r="Y424" s="7"/>
      <c r="Z424" s="7"/>
      <c r="AA424" s="7"/>
    </row>
    <row r="425" spans="1:27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672"/>
      <c r="H425" s="214"/>
      <c r="I425" s="214"/>
      <c r="J425" s="213"/>
      <c r="K425" s="292"/>
      <c r="L425" s="213"/>
      <c r="M425" s="643"/>
      <c r="N425" s="616">
        <f t="shared" si="20"/>
        <v>0</v>
      </c>
      <c r="O425" s="633"/>
      <c r="P425" s="636"/>
      <c r="Q425" s="636"/>
      <c r="R425" s="7"/>
      <c r="S425" s="725"/>
      <c r="T425" s="7"/>
      <c r="U425" s="618">
        <f t="shared" si="23"/>
        <v>0</v>
      </c>
      <c r="V425" s="7"/>
      <c r="W425" s="7"/>
      <c r="X425" s="7"/>
      <c r="Y425" s="7"/>
      <c r="Z425" s="7"/>
      <c r="AA425" s="7"/>
    </row>
    <row r="426" spans="1:27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662"/>
      <c r="H426" s="214"/>
      <c r="I426" s="214"/>
      <c r="J426" s="213"/>
      <c r="K426" s="292"/>
      <c r="L426" s="213"/>
      <c r="M426" s="643"/>
      <c r="N426" s="616">
        <f t="shared" si="20"/>
        <v>0</v>
      </c>
      <c r="O426" s="633"/>
      <c r="P426" s="634"/>
      <c r="Q426" s="634"/>
      <c r="R426" s="7"/>
      <c r="S426" s="725"/>
      <c r="T426" s="7"/>
      <c r="U426" s="618">
        <f t="shared" si="23"/>
        <v>0</v>
      </c>
      <c r="V426" s="7"/>
      <c r="W426" s="7"/>
      <c r="X426" s="7"/>
      <c r="Y426" s="7"/>
      <c r="Z426" s="7"/>
      <c r="AA426" s="7"/>
    </row>
    <row r="427" spans="1:27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662"/>
      <c r="H427" s="214"/>
      <c r="I427" s="214"/>
      <c r="J427" s="213"/>
      <c r="K427" s="292"/>
      <c r="L427" s="213"/>
      <c r="M427" s="643"/>
      <c r="N427" s="616">
        <f t="shared" si="20"/>
        <v>0</v>
      </c>
      <c r="O427" s="633"/>
      <c r="P427" s="640"/>
      <c r="Q427" s="640"/>
      <c r="R427" s="7"/>
      <c r="S427" s="725"/>
      <c r="T427" s="7"/>
      <c r="U427" s="618">
        <f t="shared" si="23"/>
        <v>0</v>
      </c>
      <c r="V427" s="7"/>
      <c r="W427" s="7"/>
      <c r="X427" s="7"/>
      <c r="Y427" s="7"/>
      <c r="Z427" s="7"/>
      <c r="AA427" s="7"/>
    </row>
    <row r="428" spans="1:27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620"/>
      <c r="H428" s="214"/>
      <c r="I428" s="214"/>
      <c r="J428" s="213"/>
      <c r="K428" s="292"/>
      <c r="L428" s="213"/>
      <c r="M428" s="643"/>
      <c r="N428" s="616">
        <f t="shared" si="20"/>
        <v>0</v>
      </c>
      <c r="O428" s="633"/>
      <c r="P428" s="636"/>
      <c r="Q428" s="636"/>
      <c r="R428" s="7"/>
      <c r="S428" s="725"/>
      <c r="T428" s="7"/>
      <c r="U428" s="618">
        <f t="shared" si="23"/>
        <v>0</v>
      </c>
      <c r="V428" s="7"/>
      <c r="W428" s="7"/>
      <c r="X428" s="7"/>
      <c r="Y428" s="7"/>
      <c r="Z428" s="7"/>
      <c r="AA428" s="7"/>
    </row>
    <row r="429" spans="1:27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620"/>
      <c r="H429" s="214"/>
      <c r="I429" s="214"/>
      <c r="J429" s="213"/>
      <c r="K429" s="292"/>
      <c r="L429" s="213"/>
      <c r="M429" s="643"/>
      <c r="N429" s="616">
        <f t="shared" si="20"/>
        <v>0</v>
      </c>
      <c r="O429" s="633"/>
      <c r="P429" s="636"/>
      <c r="Q429" s="636"/>
      <c r="R429" s="7"/>
      <c r="S429" s="725"/>
      <c r="T429" s="7"/>
      <c r="U429" s="618">
        <f t="shared" si="23"/>
        <v>0</v>
      </c>
      <c r="V429" s="7"/>
      <c r="W429" s="7"/>
      <c r="X429" s="7"/>
      <c r="Y429" s="7"/>
      <c r="Z429" s="7"/>
      <c r="AA429" s="7"/>
    </row>
    <row r="430" spans="1:27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620"/>
      <c r="H430" s="214"/>
      <c r="I430" s="214"/>
      <c r="J430" s="213"/>
      <c r="K430" s="292"/>
      <c r="L430" s="213"/>
      <c r="M430" s="643"/>
      <c r="N430" s="616">
        <f t="shared" si="20"/>
        <v>0</v>
      </c>
      <c r="O430" s="633"/>
      <c r="P430" s="636"/>
      <c r="Q430" s="636"/>
      <c r="R430" s="7"/>
      <c r="S430" s="725"/>
      <c r="T430" s="7"/>
      <c r="U430" s="618">
        <f t="shared" si="23"/>
        <v>0</v>
      </c>
      <c r="V430" s="7"/>
      <c r="W430" s="7"/>
      <c r="X430" s="7"/>
      <c r="Y430" s="7"/>
      <c r="Z430" s="7"/>
      <c r="AA430" s="7"/>
    </row>
    <row r="431" spans="1:27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620"/>
      <c r="H431" s="214"/>
      <c r="I431" s="214"/>
      <c r="J431" s="213"/>
      <c r="K431" s="292"/>
      <c r="L431" s="213"/>
      <c r="M431" s="643"/>
      <c r="N431" s="616">
        <f t="shared" si="20"/>
        <v>0</v>
      </c>
      <c r="O431" s="633"/>
      <c r="P431" s="636"/>
      <c r="Q431" s="636"/>
      <c r="R431" s="7"/>
      <c r="S431" s="725"/>
      <c r="T431" s="7"/>
      <c r="U431" s="618">
        <f t="shared" si="23"/>
        <v>0</v>
      </c>
      <c r="V431" s="7"/>
      <c r="W431" s="7"/>
      <c r="X431" s="7"/>
      <c r="Y431" s="7"/>
      <c r="Z431" s="7"/>
      <c r="AA431" s="7"/>
    </row>
    <row r="432" spans="1:27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620"/>
      <c r="H432" s="214"/>
      <c r="I432" s="214"/>
      <c r="J432" s="213"/>
      <c r="K432" s="292"/>
      <c r="L432" s="213"/>
      <c r="M432" s="643"/>
      <c r="N432" s="616">
        <f t="shared" si="20"/>
        <v>0</v>
      </c>
      <c r="O432" s="633"/>
      <c r="P432" s="636"/>
      <c r="Q432" s="636"/>
      <c r="R432" s="7"/>
      <c r="S432" s="725"/>
      <c r="T432" s="7"/>
      <c r="U432" s="618">
        <f t="shared" si="23"/>
        <v>0</v>
      </c>
      <c r="V432" s="7"/>
      <c r="W432" s="7"/>
      <c r="X432" s="7"/>
      <c r="Y432" s="7"/>
      <c r="Z432" s="7"/>
      <c r="AA432" s="7"/>
    </row>
    <row r="433" spans="1:27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620"/>
      <c r="H433" s="214"/>
      <c r="I433" s="214"/>
      <c r="J433" s="213"/>
      <c r="K433" s="292"/>
      <c r="L433" s="213"/>
      <c r="M433" s="643"/>
      <c r="N433" s="616">
        <f t="shared" si="20"/>
        <v>0</v>
      </c>
      <c r="O433" s="633"/>
      <c r="P433" s="636"/>
      <c r="Q433" s="636"/>
      <c r="R433" s="7"/>
      <c r="S433" s="725"/>
      <c r="T433" s="7"/>
      <c r="U433" s="618">
        <f t="shared" si="23"/>
        <v>0</v>
      </c>
      <c r="V433" s="7"/>
      <c r="W433" s="7"/>
      <c r="X433" s="7"/>
      <c r="Y433" s="7"/>
      <c r="Z433" s="7"/>
      <c r="AA433" s="7"/>
    </row>
    <row r="434" spans="1:27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620"/>
      <c r="H434" s="214"/>
      <c r="I434" s="214"/>
      <c r="J434" s="213"/>
      <c r="K434" s="292"/>
      <c r="L434" s="213"/>
      <c r="M434" s="643"/>
      <c r="N434" s="616">
        <f t="shared" si="20"/>
        <v>0</v>
      </c>
      <c r="O434" s="633"/>
      <c r="P434" s="636"/>
      <c r="Q434" s="636"/>
      <c r="R434" s="7"/>
      <c r="S434" s="725"/>
      <c r="T434" s="7"/>
      <c r="U434" s="618">
        <f t="shared" si="23"/>
        <v>0</v>
      </c>
      <c r="V434" s="7"/>
      <c r="W434" s="7"/>
      <c r="X434" s="7"/>
      <c r="Y434" s="7"/>
      <c r="Z434" s="7"/>
      <c r="AA434" s="7"/>
    </row>
    <row r="435" spans="1:27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620"/>
      <c r="H435" s="214"/>
      <c r="I435" s="214"/>
      <c r="J435" s="213"/>
      <c r="K435" s="292"/>
      <c r="L435" s="213"/>
      <c r="M435" s="643"/>
      <c r="N435" s="616">
        <f t="shared" si="20"/>
        <v>0</v>
      </c>
      <c r="O435" s="633"/>
      <c r="P435" s="636"/>
      <c r="Q435" s="636"/>
      <c r="R435" s="7"/>
      <c r="S435" s="725"/>
      <c r="T435" s="7"/>
      <c r="U435" s="618">
        <f t="shared" si="23"/>
        <v>0</v>
      </c>
      <c r="V435" s="7"/>
      <c r="W435" s="7"/>
      <c r="X435" s="7"/>
      <c r="Y435" s="7"/>
      <c r="Z435" s="7"/>
      <c r="AA435" s="7"/>
    </row>
    <row r="436" spans="1:27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620"/>
      <c r="H436" s="214"/>
      <c r="I436" s="214"/>
      <c r="J436" s="213"/>
      <c r="K436" s="292"/>
      <c r="L436" s="213"/>
      <c r="M436" s="643"/>
      <c r="N436" s="616">
        <f t="shared" si="20"/>
        <v>0</v>
      </c>
      <c r="O436" s="633"/>
      <c r="P436" s="636"/>
      <c r="Q436" s="636"/>
      <c r="R436" s="7"/>
      <c r="S436" s="725"/>
      <c r="T436" s="7"/>
      <c r="U436" s="618">
        <f t="shared" si="23"/>
        <v>0</v>
      </c>
      <c r="V436" s="7"/>
      <c r="W436" s="7"/>
      <c r="X436" s="7"/>
      <c r="Y436" s="7"/>
      <c r="Z436" s="7"/>
      <c r="AA436" s="7"/>
    </row>
    <row r="437" spans="1:27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620"/>
      <c r="H437" s="214"/>
      <c r="I437" s="214"/>
      <c r="J437" s="213"/>
      <c r="K437" s="292"/>
      <c r="L437" s="213"/>
      <c r="M437" s="643"/>
      <c r="N437" s="616">
        <f t="shared" si="20"/>
        <v>0</v>
      </c>
      <c r="O437" s="633"/>
      <c r="P437" s="636"/>
      <c r="Q437" s="636"/>
      <c r="R437" s="7"/>
      <c r="S437" s="725"/>
      <c r="T437" s="7"/>
      <c r="U437" s="618">
        <f t="shared" si="23"/>
        <v>0</v>
      </c>
      <c r="V437" s="7"/>
      <c r="W437" s="7"/>
      <c r="X437" s="7"/>
      <c r="Y437" s="7"/>
      <c r="Z437" s="7"/>
      <c r="AA437" s="7"/>
    </row>
    <row r="438" spans="1:27" ht="21.75" customHeight="1">
      <c r="A438" s="486">
        <v>15.3</v>
      </c>
      <c r="B438" s="487" t="s">
        <v>947</v>
      </c>
      <c r="C438" s="635" t="s">
        <v>948</v>
      </c>
      <c r="D438" s="412" t="s">
        <v>2133</v>
      </c>
      <c r="E438" s="213"/>
      <c r="F438" s="213"/>
      <c r="G438" s="620"/>
      <c r="H438" s="214"/>
      <c r="I438" s="214"/>
      <c r="J438" s="213"/>
      <c r="K438" s="292"/>
      <c r="L438" s="213"/>
      <c r="M438" s="643"/>
      <c r="N438" s="616">
        <f t="shared" si="20"/>
        <v>0</v>
      </c>
      <c r="O438" s="633"/>
      <c r="P438" s="636"/>
      <c r="Q438" s="636"/>
      <c r="R438" s="7"/>
      <c r="S438" s="725"/>
      <c r="T438" s="7"/>
      <c r="U438" s="618">
        <f t="shared" si="23"/>
        <v>0</v>
      </c>
      <c r="V438" s="7"/>
      <c r="W438" s="7"/>
      <c r="X438" s="7"/>
      <c r="Y438" s="7"/>
      <c r="Z438" s="7"/>
      <c r="AA438" s="7"/>
    </row>
    <row r="439" spans="1:27" ht="21.75" customHeight="1">
      <c r="A439" s="503" t="s">
        <v>1515</v>
      </c>
      <c r="B439" s="483" t="s">
        <v>951</v>
      </c>
      <c r="C439" s="629" t="s">
        <v>131</v>
      </c>
      <c r="D439" s="485" t="s">
        <v>2134</v>
      </c>
      <c r="E439" s="213"/>
      <c r="F439" s="213"/>
      <c r="G439" s="620"/>
      <c r="H439" s="214"/>
      <c r="I439" s="214"/>
      <c r="J439" s="213"/>
      <c r="K439" s="292"/>
      <c r="L439" s="213"/>
      <c r="M439" s="643"/>
      <c r="N439" s="616">
        <f t="shared" si="20"/>
        <v>0</v>
      </c>
      <c r="O439" s="633"/>
      <c r="P439" s="636"/>
      <c r="Q439" s="636"/>
      <c r="R439" s="7"/>
      <c r="S439" s="725"/>
      <c r="T439" s="7"/>
      <c r="U439" s="618">
        <f t="shared" si="23"/>
        <v>0</v>
      </c>
      <c r="V439" s="7"/>
      <c r="W439" s="7"/>
      <c r="X439" s="7"/>
      <c r="Y439" s="7"/>
      <c r="Z439" s="7"/>
      <c r="AA439" s="7"/>
    </row>
    <row r="440" spans="1:27" ht="21.75" customHeight="1">
      <c r="A440" s="503" t="s">
        <v>1517</v>
      </c>
      <c r="B440" s="483" t="s">
        <v>953</v>
      </c>
      <c r="C440" s="629" t="s">
        <v>200</v>
      </c>
      <c r="D440" s="485" t="s">
        <v>2135</v>
      </c>
      <c r="E440" s="213"/>
      <c r="F440" s="213"/>
      <c r="G440" s="620"/>
      <c r="H440" s="214"/>
      <c r="I440" s="214"/>
      <c r="J440" s="213"/>
      <c r="K440" s="292"/>
      <c r="L440" s="213"/>
      <c r="M440" s="643"/>
      <c r="N440" s="616">
        <f t="shared" si="20"/>
        <v>0</v>
      </c>
      <c r="O440" s="633"/>
      <c r="P440" s="636"/>
      <c r="Q440" s="636"/>
      <c r="R440" s="7"/>
      <c r="S440" s="725"/>
      <c r="T440" s="7"/>
      <c r="U440" s="618">
        <f t="shared" si="23"/>
        <v>0</v>
      </c>
      <c r="V440" s="7"/>
      <c r="W440" s="7"/>
      <c r="X440" s="7"/>
      <c r="Y440" s="7"/>
      <c r="Z440" s="7"/>
      <c r="AA440" s="7"/>
    </row>
    <row r="441" spans="1:27" ht="21.75" customHeight="1">
      <c r="A441" s="503" t="s">
        <v>1519</v>
      </c>
      <c r="B441" s="483" t="s">
        <v>955</v>
      </c>
      <c r="C441" s="629" t="s">
        <v>203</v>
      </c>
      <c r="D441" s="485" t="s">
        <v>2136</v>
      </c>
      <c r="E441" s="213"/>
      <c r="F441" s="213"/>
      <c r="G441" s="620"/>
      <c r="H441" s="214"/>
      <c r="I441" s="214"/>
      <c r="J441" s="213"/>
      <c r="K441" s="292"/>
      <c r="L441" s="213"/>
      <c r="M441" s="643"/>
      <c r="N441" s="616">
        <f t="shared" si="20"/>
        <v>0</v>
      </c>
      <c r="O441" s="633"/>
      <c r="P441" s="636"/>
      <c r="Q441" s="636"/>
      <c r="R441" s="7"/>
      <c r="S441" s="725"/>
      <c r="T441" s="7"/>
      <c r="U441" s="618">
        <f t="shared" si="23"/>
        <v>0</v>
      </c>
      <c r="V441" s="7"/>
      <c r="W441" s="7"/>
      <c r="X441" s="7"/>
      <c r="Y441" s="7"/>
      <c r="Z441" s="7"/>
      <c r="AA441" s="7"/>
    </row>
    <row r="442" spans="1:27" ht="21.75" customHeight="1">
      <c r="A442" s="503" t="s">
        <v>1521</v>
      </c>
      <c r="B442" s="483" t="s">
        <v>957</v>
      </c>
      <c r="C442" s="629" t="s">
        <v>159</v>
      </c>
      <c r="D442" s="485" t="s">
        <v>2137</v>
      </c>
      <c r="E442" s="213"/>
      <c r="F442" s="213"/>
      <c r="G442" s="620"/>
      <c r="H442" s="214"/>
      <c r="I442" s="214"/>
      <c r="J442" s="213"/>
      <c r="K442" s="292"/>
      <c r="L442" s="213"/>
      <c r="M442" s="643"/>
      <c r="N442" s="616">
        <f t="shared" si="20"/>
        <v>0</v>
      </c>
      <c r="O442" s="633"/>
      <c r="P442" s="636"/>
      <c r="Q442" s="636"/>
      <c r="R442" s="7"/>
      <c r="S442" s="725"/>
      <c r="T442" s="7"/>
      <c r="U442" s="618">
        <f t="shared" si="23"/>
        <v>0</v>
      </c>
      <c r="V442" s="7"/>
      <c r="W442" s="7"/>
      <c r="X442" s="7"/>
      <c r="Y442" s="7"/>
      <c r="Z442" s="7"/>
      <c r="AA442" s="7"/>
    </row>
    <row r="443" spans="1:27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620"/>
      <c r="H443" s="214"/>
      <c r="I443" s="214"/>
      <c r="J443" s="213"/>
      <c r="K443" s="292"/>
      <c r="L443" s="213"/>
      <c r="M443" s="643"/>
      <c r="N443" s="616">
        <f t="shared" si="20"/>
        <v>0</v>
      </c>
      <c r="O443" s="633"/>
      <c r="P443" s="636"/>
      <c r="Q443" s="636"/>
      <c r="R443" s="7"/>
      <c r="S443" s="725"/>
      <c r="T443" s="7"/>
      <c r="U443" s="618">
        <f t="shared" si="23"/>
        <v>0</v>
      </c>
      <c r="V443" s="7"/>
      <c r="W443" s="7"/>
      <c r="X443" s="7"/>
      <c r="Y443" s="7"/>
      <c r="Z443" s="7"/>
      <c r="AA443" s="7"/>
    </row>
    <row r="444" spans="1:27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662"/>
      <c r="H444" s="214"/>
      <c r="I444" s="214"/>
      <c r="J444" s="213"/>
      <c r="K444" s="292"/>
      <c r="L444" s="213"/>
      <c r="M444" s="643"/>
      <c r="N444" s="616">
        <f t="shared" si="20"/>
        <v>0</v>
      </c>
      <c r="O444" s="633"/>
      <c r="P444" s="636"/>
      <c r="Q444" s="636"/>
      <c r="R444" s="7"/>
      <c r="S444" s="725"/>
      <c r="T444" s="7"/>
      <c r="U444" s="618">
        <f t="shared" si="23"/>
        <v>0</v>
      </c>
      <c r="V444" s="7"/>
      <c r="W444" s="7"/>
      <c r="X444" s="7"/>
      <c r="Y444" s="7"/>
      <c r="Z444" s="7"/>
      <c r="AA444" s="7"/>
    </row>
    <row r="445" spans="1:27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662"/>
      <c r="H445" s="214"/>
      <c r="I445" s="214"/>
      <c r="J445" s="213"/>
      <c r="K445" s="292"/>
      <c r="L445" s="213"/>
      <c r="M445" s="643"/>
      <c r="N445" s="616">
        <f t="shared" si="20"/>
        <v>0</v>
      </c>
      <c r="O445" s="633"/>
      <c r="P445" s="636"/>
      <c r="Q445" s="636"/>
      <c r="R445" s="7"/>
      <c r="S445" s="725"/>
      <c r="T445" s="7"/>
      <c r="U445" s="618">
        <f t="shared" si="23"/>
        <v>0</v>
      </c>
      <c r="V445" s="7"/>
      <c r="W445" s="7"/>
      <c r="X445" s="7"/>
      <c r="Y445" s="7"/>
      <c r="Z445" s="7"/>
      <c r="AA445" s="7"/>
    </row>
    <row r="446" spans="1:27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662"/>
      <c r="H446" s="214"/>
      <c r="I446" s="214"/>
      <c r="J446" s="213"/>
      <c r="K446" s="292"/>
      <c r="L446" s="213"/>
      <c r="M446" s="643"/>
      <c r="N446" s="616">
        <f t="shared" si="20"/>
        <v>0</v>
      </c>
      <c r="O446" s="633"/>
      <c r="P446" s="636"/>
      <c r="Q446" s="636"/>
      <c r="R446" s="7"/>
      <c r="S446" s="725"/>
      <c r="T446" s="7"/>
      <c r="U446" s="618">
        <f t="shared" si="23"/>
        <v>0</v>
      </c>
      <c r="V446" s="7"/>
      <c r="W446" s="7"/>
      <c r="X446" s="7"/>
      <c r="Y446" s="7"/>
      <c r="Z446" s="7"/>
      <c r="AA446" s="7"/>
    </row>
    <row r="447" spans="1:27" ht="42" customHeight="1">
      <c r="A447" s="519"/>
      <c r="B447" s="801" t="s">
        <v>969</v>
      </c>
      <c r="C447" s="771"/>
      <c r="D447" s="491" t="s">
        <v>970</v>
      </c>
      <c r="E447" s="231">
        <v>470</v>
      </c>
      <c r="F447" s="219">
        <v>8500</v>
      </c>
      <c r="G447" s="675">
        <v>450</v>
      </c>
      <c r="H447" s="374">
        <v>580</v>
      </c>
      <c r="I447" s="374">
        <v>330</v>
      </c>
      <c r="J447" s="219">
        <v>8000</v>
      </c>
      <c r="K447" s="204">
        <v>600</v>
      </c>
      <c r="L447" s="231"/>
      <c r="M447" s="678"/>
      <c r="N447" s="616">
        <f t="shared" si="20"/>
        <v>18930</v>
      </c>
      <c r="O447" s="633"/>
      <c r="P447" s="537"/>
      <c r="Q447" s="537"/>
      <c r="R447" s="7"/>
      <c r="S447" s="679">
        <v>170220</v>
      </c>
      <c r="T447" s="7"/>
      <c r="U447" s="618">
        <f t="shared" si="23"/>
        <v>151290</v>
      </c>
      <c r="V447" s="7"/>
      <c r="W447" s="7"/>
      <c r="X447" s="7"/>
      <c r="Y447" s="7"/>
      <c r="Z447" s="7"/>
      <c r="AA447" s="7"/>
    </row>
    <row r="448" spans="1:27" ht="21.75" customHeight="1">
      <c r="A448" s="534"/>
      <c r="B448" s="535"/>
      <c r="C448" s="680"/>
      <c r="D448" s="536"/>
      <c r="E448" s="539"/>
      <c r="F448" s="7"/>
      <c r="G448" s="7"/>
      <c r="H448" s="7"/>
      <c r="I448" s="7"/>
    </row>
    <row r="449" spans="1:9" ht="15.75" customHeight="1">
      <c r="A449" s="541"/>
      <c r="B449" s="542" t="s">
        <v>1523</v>
      </c>
      <c r="C449" s="542"/>
      <c r="D449" s="541"/>
      <c r="E449" s="539"/>
      <c r="F449" s="7"/>
      <c r="G449" s="7"/>
      <c r="H449" s="7"/>
      <c r="I449" s="7"/>
    </row>
    <row r="450" spans="1:9" ht="15.75" customHeight="1">
      <c r="A450" s="541"/>
      <c r="B450" s="545" t="s">
        <v>1524</v>
      </c>
      <c r="C450" s="542" t="s">
        <v>1525</v>
      </c>
      <c r="D450" s="541"/>
      <c r="E450" s="539"/>
      <c r="F450" s="7"/>
      <c r="G450" s="7"/>
      <c r="H450" s="7"/>
      <c r="I450" s="7"/>
    </row>
    <row r="451" spans="1:9" ht="15.75" customHeight="1">
      <c r="A451" s="541"/>
      <c r="B451" s="545" t="s">
        <v>1526</v>
      </c>
      <c r="C451" s="542" t="s">
        <v>1527</v>
      </c>
      <c r="D451" s="541"/>
      <c r="E451" s="681"/>
      <c r="F451" s="7"/>
      <c r="G451" s="7"/>
      <c r="H451" s="7"/>
      <c r="I451" s="7"/>
    </row>
    <row r="452" spans="1:9" ht="15.75" customHeight="1">
      <c r="A452" s="541"/>
      <c r="B452" s="545"/>
      <c r="C452" s="542"/>
      <c r="D452" s="541"/>
      <c r="E452" s="681"/>
      <c r="F452" s="7"/>
      <c r="G452" s="7"/>
      <c r="H452" s="7"/>
      <c r="I452" s="7"/>
    </row>
    <row r="453" spans="1:9" ht="15.75" customHeight="1">
      <c r="A453" s="541"/>
      <c r="B453" s="802" t="s">
        <v>1528</v>
      </c>
      <c r="C453" s="791"/>
      <c r="D453" s="541"/>
      <c r="E453" s="681"/>
      <c r="F453" s="7"/>
      <c r="G453" s="7"/>
      <c r="H453" s="7"/>
      <c r="I453" s="7"/>
    </row>
    <row r="454" spans="1:9" ht="15.75" customHeight="1">
      <c r="A454" s="541"/>
      <c r="B454" s="790" t="s">
        <v>1529</v>
      </c>
      <c r="C454" s="791"/>
      <c r="D454" s="541" t="s">
        <v>1530</v>
      </c>
      <c r="E454" s="681"/>
      <c r="F454" s="7"/>
      <c r="G454" s="7"/>
      <c r="H454" s="7"/>
      <c r="I454" s="7"/>
    </row>
    <row r="455" spans="1:9" ht="15.75" customHeight="1">
      <c r="A455" s="541"/>
      <c r="B455" s="545"/>
      <c r="C455" s="542"/>
      <c r="D455" s="541"/>
      <c r="E455" s="681"/>
      <c r="F455" s="7"/>
      <c r="G455" s="7"/>
      <c r="H455" s="7"/>
      <c r="I455" s="7"/>
    </row>
    <row r="456" spans="1:9" ht="15.75" customHeight="1">
      <c r="A456" s="546" t="s">
        <v>971</v>
      </c>
      <c r="B456" s="547"/>
      <c r="C456" s="547"/>
      <c r="D456" s="547"/>
      <c r="E456" s="682"/>
      <c r="F456" s="7"/>
      <c r="G456" s="7"/>
      <c r="H456" s="7"/>
      <c r="I456" s="7"/>
    </row>
    <row r="457" spans="1:9" ht="15.75" customHeight="1">
      <c r="A457" s="549" t="s">
        <v>972</v>
      </c>
      <c r="B457" s="550"/>
      <c r="C457" s="550"/>
      <c r="D457" s="550"/>
      <c r="E457" s="684"/>
      <c r="F457" s="7"/>
      <c r="G457" s="7"/>
      <c r="H457" s="7"/>
      <c r="I457" s="7"/>
    </row>
    <row r="458" spans="1:9" ht="15.75" customHeight="1">
      <c r="A458" s="546"/>
      <c r="B458" s="547"/>
      <c r="C458" s="241" t="s">
        <v>12</v>
      </c>
      <c r="D458" s="242">
        <f>COUNTIF($D$11:$N$11,"Hà Giang")</f>
        <v>6</v>
      </c>
      <c r="E458" s="539"/>
      <c r="F458" s="7"/>
      <c r="G458" s="7"/>
      <c r="H458" s="7"/>
      <c r="I458" s="7"/>
    </row>
    <row r="459" spans="1:9" ht="15.75" customHeight="1">
      <c r="A459" s="546"/>
      <c r="B459" s="547"/>
      <c r="C459" s="241" t="s">
        <v>14</v>
      </c>
      <c r="D459" s="242">
        <f>COUNTIF($D$11:$N$11,"Lào Cai")</f>
        <v>0</v>
      </c>
      <c r="E459" s="539"/>
      <c r="F459" s="7"/>
      <c r="G459" s="7"/>
      <c r="H459" s="7"/>
      <c r="I459" s="7"/>
    </row>
    <row r="460" spans="1:9" ht="15.75" customHeight="1">
      <c r="A460" s="546"/>
      <c r="B460" s="552"/>
      <c r="C460" s="241" t="s">
        <v>23</v>
      </c>
      <c r="D460" s="242">
        <f>COUNTIF($D$11:$N$11,"Lai Châu")</f>
        <v>0</v>
      </c>
      <c r="E460" s="539"/>
      <c r="F460" s="7"/>
      <c r="G460" s="7"/>
      <c r="H460" s="7"/>
      <c r="I460" s="7"/>
    </row>
    <row r="461" spans="1:9" ht="15.75" customHeight="1">
      <c r="A461" s="686"/>
      <c r="B461" s="687"/>
      <c r="C461" s="243" t="s">
        <v>17</v>
      </c>
      <c r="D461" s="242">
        <f>COUNTIF($D$11:$N$11,"Điện Biên")</f>
        <v>0</v>
      </c>
      <c r="E461" s="688"/>
      <c r="F461" s="7"/>
      <c r="G461" s="7"/>
      <c r="H461" s="7"/>
      <c r="I461" s="7"/>
    </row>
    <row r="462" spans="1:9" ht="15.75" customHeight="1">
      <c r="A462" s="686"/>
      <c r="B462" s="687"/>
      <c r="C462" s="243" t="s">
        <v>16</v>
      </c>
      <c r="D462" s="242">
        <f>COUNTIF($D$11:$N$11,"Lạng Sơn")</f>
        <v>0</v>
      </c>
      <c r="E462" s="688"/>
      <c r="F462" s="7"/>
      <c r="G462" s="7"/>
      <c r="H462" s="7"/>
      <c r="I462" s="7"/>
    </row>
    <row r="463" spans="1:9" ht="15.75" customHeight="1">
      <c r="A463" s="686"/>
      <c r="B463" s="687"/>
      <c r="C463" s="243" t="s">
        <v>13</v>
      </c>
      <c r="D463" s="242">
        <f>COUNTIF($D$11:$N$11,"Cao Bằng")</f>
        <v>0</v>
      </c>
      <c r="E463" s="688"/>
      <c r="F463" s="7"/>
      <c r="G463" s="7"/>
      <c r="H463" s="7"/>
      <c r="I463" s="7"/>
    </row>
    <row r="464" spans="1:9" ht="15.75" customHeight="1">
      <c r="A464" s="686"/>
      <c r="B464" s="687"/>
      <c r="C464" s="243" t="s">
        <v>1090</v>
      </c>
      <c r="D464" s="242">
        <f>COUNTIF($D$11:$N$11,"Sơn La")</f>
        <v>0</v>
      </c>
      <c r="E464" s="688"/>
      <c r="F464" s="7"/>
      <c r="G464" s="7"/>
      <c r="H464" s="7"/>
      <c r="I464" s="7"/>
    </row>
    <row r="465" spans="1:9" ht="15.75" customHeight="1">
      <c r="A465" s="686"/>
      <c r="B465" s="687"/>
      <c r="C465" s="243" t="s">
        <v>19</v>
      </c>
      <c r="D465" s="242">
        <f>COUNTIF($D$11:$N$11,"Yên Bái")</f>
        <v>0</v>
      </c>
      <c r="E465" s="688"/>
      <c r="F465" s="7"/>
      <c r="G465" s="7"/>
      <c r="H465" s="7"/>
      <c r="I465" s="7"/>
    </row>
    <row r="466" spans="1:9" ht="15.75" customHeight="1">
      <c r="A466" s="686"/>
      <c r="B466" s="687"/>
      <c r="C466" s="243" t="s">
        <v>18</v>
      </c>
      <c r="D466" s="242">
        <f>COUNTIF($D$11:$N$11,"Tuyên Quang")</f>
        <v>0</v>
      </c>
      <c r="E466" s="688"/>
      <c r="F466" s="7"/>
      <c r="G466" s="7"/>
      <c r="H466" s="7"/>
      <c r="I466" s="7"/>
    </row>
    <row r="467" spans="1:9" ht="15.75" customHeight="1">
      <c r="A467" s="686"/>
      <c r="B467" s="687"/>
      <c r="C467" s="243" t="s">
        <v>1091</v>
      </c>
      <c r="D467" s="242">
        <f>COUNTIF($D$11:$N$11,"Thái Nguyên")</f>
        <v>0</v>
      </c>
      <c r="E467" s="688"/>
      <c r="F467" s="7"/>
      <c r="G467" s="7"/>
      <c r="H467" s="7"/>
      <c r="I467" s="7"/>
    </row>
    <row r="468" spans="1:9" ht="15.75" customHeight="1">
      <c r="A468" s="686"/>
      <c r="B468" s="687"/>
      <c r="C468" s="243" t="s">
        <v>15</v>
      </c>
      <c r="D468" s="242">
        <f>COUNTIF($D$11:$N$11,"Bắc Kạn")</f>
        <v>0</v>
      </c>
      <c r="E468" s="688"/>
      <c r="F468" s="7"/>
      <c r="G468" s="7"/>
      <c r="H468" s="7"/>
      <c r="I468" s="7"/>
    </row>
    <row r="469" spans="1:9" ht="15.75" customHeight="1">
      <c r="A469" s="686"/>
      <c r="B469" s="687"/>
      <c r="C469" s="243" t="s">
        <v>25</v>
      </c>
      <c r="D469" s="242">
        <f>COUNTIF($D$11:$N$11,"Hoà Bình")</f>
        <v>0</v>
      </c>
      <c r="E469" s="688"/>
      <c r="F469" s="7"/>
      <c r="G469" s="7"/>
      <c r="H469" s="7"/>
      <c r="I469" s="7"/>
    </row>
    <row r="470" spans="1:9" ht="15.75" customHeight="1">
      <c r="A470" s="686"/>
      <c r="B470" s="687"/>
      <c r="C470" s="243" t="s">
        <v>1092</v>
      </c>
      <c r="D470" s="242">
        <f>COUNTIF($D$11:$N$11,"Bắc Giang")</f>
        <v>0</v>
      </c>
      <c r="E470" s="688"/>
      <c r="F470" s="7"/>
      <c r="G470" s="7"/>
      <c r="H470" s="7"/>
      <c r="I470" s="7"/>
    </row>
    <row r="471" spans="1:9" ht="15.75" customHeight="1">
      <c r="A471" s="686"/>
      <c r="B471" s="687"/>
      <c r="C471" s="243" t="s">
        <v>28</v>
      </c>
      <c r="D471" s="242">
        <f>COUNTIF($D$11:$N$11,"Quảng Ninh")</f>
        <v>0</v>
      </c>
      <c r="E471" s="688"/>
      <c r="F471" s="7"/>
      <c r="G471" s="7"/>
      <c r="H471" s="7"/>
      <c r="I471" s="7"/>
    </row>
    <row r="472" spans="1:9" ht="15.75" customHeight="1">
      <c r="A472" s="686"/>
      <c r="B472" s="687"/>
      <c r="C472" s="243" t="s">
        <v>26</v>
      </c>
      <c r="D472" s="242">
        <f>COUNTIF($D$11:$N$11,"Hà Nội")</f>
        <v>0</v>
      </c>
      <c r="E472" s="688"/>
      <c r="F472" s="7"/>
      <c r="G472" s="7"/>
      <c r="H472" s="7"/>
      <c r="I472" s="7"/>
    </row>
    <row r="473" spans="1:9" ht="15.75" customHeight="1">
      <c r="A473" s="686"/>
      <c r="B473" s="687"/>
      <c r="C473" s="243" t="s">
        <v>21</v>
      </c>
      <c r="D473" s="242">
        <f>COUNTIF($D$11:$N$11,"Phú Thọ")</f>
        <v>0</v>
      </c>
      <c r="E473" s="688"/>
      <c r="F473" s="7"/>
      <c r="G473" s="7"/>
      <c r="H473" s="7"/>
      <c r="I473" s="7"/>
    </row>
    <row r="474" spans="1:9" ht="15.75" customHeight="1">
      <c r="A474" s="686"/>
      <c r="B474" s="687"/>
      <c r="C474" s="243" t="s">
        <v>1093</v>
      </c>
      <c r="D474" s="242">
        <f>COUNTIF($D$11:$N$11,"Vĩnh Phúc")</f>
        <v>0</v>
      </c>
      <c r="E474" s="688"/>
      <c r="F474" s="7"/>
      <c r="G474" s="7"/>
      <c r="H474" s="7"/>
      <c r="I474" s="7"/>
    </row>
    <row r="475" spans="1:9" ht="15.75" customHeight="1">
      <c r="A475" s="686"/>
      <c r="B475" s="687"/>
      <c r="C475" s="243" t="s">
        <v>32</v>
      </c>
      <c r="D475" s="242">
        <f>COUNTIF($D$11:$N$11,"Bắc Ninh")</f>
        <v>0</v>
      </c>
      <c r="E475" s="688"/>
      <c r="F475" s="7"/>
      <c r="G475" s="7"/>
      <c r="H475" s="7"/>
      <c r="I475" s="7"/>
    </row>
    <row r="476" spans="1:9" ht="15.75" customHeight="1">
      <c r="A476" s="686"/>
      <c r="B476" s="687"/>
      <c r="C476" s="243" t="s">
        <v>29</v>
      </c>
      <c r="D476" s="242">
        <f>COUNTIF($D$11:$N$11,"Hải Dương")</f>
        <v>0</v>
      </c>
      <c r="E476" s="688"/>
      <c r="F476" s="7"/>
      <c r="G476" s="7"/>
      <c r="H476" s="7"/>
      <c r="I476" s="7"/>
    </row>
    <row r="477" spans="1:9" ht="15.75" customHeight="1">
      <c r="A477" s="686"/>
      <c r="B477" s="687"/>
      <c r="C477" s="243" t="s">
        <v>30</v>
      </c>
      <c r="D477" s="242">
        <f>COUNTIF($D$11:$N$11,"Hưng Yên")</f>
        <v>0</v>
      </c>
      <c r="E477" s="688"/>
      <c r="F477" s="7"/>
      <c r="G477" s="7"/>
      <c r="H477" s="7"/>
      <c r="I477" s="7"/>
    </row>
    <row r="478" spans="1:9" ht="15.75" customHeight="1">
      <c r="A478" s="686"/>
      <c r="B478" s="687"/>
      <c r="C478" s="243" t="s">
        <v>27</v>
      </c>
      <c r="D478" s="242">
        <f>COUNTIF($D$11:$N$11,"Hải Phòng")</f>
        <v>0</v>
      </c>
      <c r="E478" s="688"/>
      <c r="F478" s="7"/>
      <c r="G478" s="7"/>
      <c r="H478" s="7"/>
      <c r="I478" s="7"/>
    </row>
    <row r="479" spans="1:9" ht="15.75" customHeight="1">
      <c r="A479" s="686"/>
      <c r="B479" s="687"/>
      <c r="C479" s="243" t="s">
        <v>33</v>
      </c>
      <c r="D479" s="242">
        <f>COUNTIF($D$11:$N$11,"Hà Nam")</f>
        <v>0</v>
      </c>
      <c r="E479" s="688"/>
      <c r="F479" s="7"/>
      <c r="G479" s="7"/>
      <c r="H479" s="7"/>
      <c r="I479" s="7"/>
    </row>
    <row r="480" spans="1:9" ht="15.75" customHeight="1">
      <c r="A480" s="686"/>
      <c r="B480" s="687"/>
      <c r="C480" s="243" t="s">
        <v>36</v>
      </c>
      <c r="D480" s="242">
        <f>COUNTIF($D$11:$N$11,"Nam Định")</f>
        <v>0</v>
      </c>
      <c r="E480" s="688"/>
      <c r="F480" s="7"/>
      <c r="G480" s="7"/>
      <c r="H480" s="7"/>
      <c r="I480" s="7"/>
    </row>
    <row r="481" spans="1:9" ht="15.75" customHeight="1">
      <c r="A481" s="686"/>
      <c r="B481" s="687"/>
      <c r="C481" s="243" t="s">
        <v>1094</v>
      </c>
      <c r="D481" s="242">
        <f>COUNTIF($D$11:$N$11,"Thái Bình")</f>
        <v>0</v>
      </c>
      <c r="E481" s="688"/>
      <c r="F481" s="7"/>
      <c r="G481" s="7"/>
      <c r="H481" s="7"/>
      <c r="I481" s="7"/>
    </row>
    <row r="482" spans="1:9" ht="15.75" customHeight="1">
      <c r="A482" s="686"/>
      <c r="B482" s="687"/>
      <c r="C482" s="243" t="s">
        <v>34</v>
      </c>
      <c r="D482" s="242">
        <f>COUNTIF($D$11:$N$11,"Ninh Bình")</f>
        <v>0</v>
      </c>
      <c r="E482" s="688"/>
      <c r="F482" s="7"/>
      <c r="G482" s="7"/>
      <c r="H482" s="7"/>
      <c r="I482" s="7"/>
    </row>
    <row r="483" spans="1:9" ht="15.75" customHeight="1">
      <c r="A483" s="686"/>
      <c r="B483" s="687"/>
      <c r="C483" s="243" t="s">
        <v>37</v>
      </c>
      <c r="D483" s="242">
        <f>COUNTIF($D$11:$N$11,"Thanh Hoá")</f>
        <v>0</v>
      </c>
      <c r="E483" s="688"/>
      <c r="F483" s="7"/>
      <c r="G483" s="7"/>
      <c r="H483" s="7"/>
      <c r="I483" s="7"/>
    </row>
    <row r="484" spans="1:9" ht="15.75" customHeight="1">
      <c r="A484" s="686"/>
      <c r="B484" s="687"/>
      <c r="C484" s="243" t="s">
        <v>1095</v>
      </c>
      <c r="D484" s="242">
        <f>COUNTIF($D$11:$N$11,"Nghệ An")</f>
        <v>0</v>
      </c>
      <c r="E484" s="688"/>
      <c r="F484" s="7"/>
      <c r="G484" s="7"/>
      <c r="H484" s="7"/>
      <c r="I484" s="7"/>
    </row>
    <row r="485" spans="1:9" ht="15.75" customHeight="1">
      <c r="A485" s="686"/>
      <c r="B485" s="687"/>
      <c r="C485" s="243" t="s">
        <v>1096</v>
      </c>
      <c r="D485" s="242">
        <f>COUNTIF($D$11:$N$11,"Hà Tĩnh")</f>
        <v>0</v>
      </c>
      <c r="E485" s="688"/>
      <c r="F485" s="7"/>
      <c r="G485" s="7"/>
      <c r="H485" s="7"/>
      <c r="I485" s="7"/>
    </row>
    <row r="486" spans="1:9" ht="15.75" customHeight="1">
      <c r="A486" s="686"/>
      <c r="B486" s="687"/>
      <c r="C486" s="243" t="s">
        <v>1097</v>
      </c>
      <c r="D486" s="242">
        <f>COUNTIF($D$11:$N$11,"Quảng Bình")</f>
        <v>0</v>
      </c>
      <c r="E486" s="688"/>
      <c r="F486" s="7"/>
      <c r="G486" s="7"/>
      <c r="H486" s="7"/>
      <c r="I486" s="7"/>
    </row>
    <row r="487" spans="1:9" ht="15.75" customHeight="1">
      <c r="A487" s="686"/>
      <c r="B487" s="687"/>
      <c r="C487" s="243" t="s">
        <v>1098</v>
      </c>
      <c r="D487" s="242">
        <f>COUNTIF($D$11:$N$11,"Quảng Trị")</f>
        <v>0</v>
      </c>
      <c r="E487" s="688"/>
      <c r="F487" s="7"/>
      <c r="G487" s="7"/>
      <c r="H487" s="7"/>
      <c r="I487" s="7"/>
    </row>
    <row r="488" spans="1:9" ht="15.75" customHeight="1">
      <c r="A488" s="686"/>
      <c r="B488" s="687"/>
      <c r="C488" s="243" t="s">
        <v>1099</v>
      </c>
      <c r="D488" s="242">
        <f>COUNTIF($D$11:$N$11,"Thừa Thiên Huế")</f>
        <v>0</v>
      </c>
      <c r="E488" s="688"/>
      <c r="F488" s="7"/>
      <c r="G488" s="7"/>
      <c r="H488" s="7"/>
      <c r="I488" s="7"/>
    </row>
    <row r="489" spans="1:9" ht="15.75" customHeight="1">
      <c r="A489" s="686"/>
      <c r="B489" s="687"/>
      <c r="C489" s="243" t="s">
        <v>1100</v>
      </c>
      <c r="D489" s="242">
        <f>COUNTIF($D$11:$N$11,"Đà Nẵng")</f>
        <v>0</v>
      </c>
      <c r="E489" s="688"/>
      <c r="F489" s="7"/>
      <c r="G489" s="7"/>
      <c r="H489" s="7"/>
      <c r="I489" s="7"/>
    </row>
    <row r="490" spans="1:9" ht="15.75" customHeight="1">
      <c r="A490" s="686"/>
      <c r="B490" s="687"/>
      <c r="C490" s="243" t="s">
        <v>1101</v>
      </c>
      <c r="D490" s="242">
        <f>COUNTIF($D$11:$N$11,"Quảng Nam")</f>
        <v>0</v>
      </c>
      <c r="E490" s="688"/>
      <c r="F490" s="7"/>
      <c r="G490" s="7"/>
      <c r="H490" s="7"/>
      <c r="I490" s="7"/>
    </row>
    <row r="491" spans="1:9" ht="15.75" customHeight="1">
      <c r="A491" s="686"/>
      <c r="B491" s="687"/>
      <c r="C491" s="243" t="s">
        <v>1102</v>
      </c>
      <c r="D491" s="242">
        <f>COUNTIF($D$11:$N$11,"Quảng Ngãi")</f>
        <v>0</v>
      </c>
      <c r="E491" s="688"/>
      <c r="F491" s="7"/>
      <c r="G491" s="7"/>
      <c r="H491" s="7"/>
      <c r="I491" s="7"/>
    </row>
    <row r="492" spans="1:9" ht="15.75" customHeight="1">
      <c r="A492" s="686"/>
      <c r="B492" s="687"/>
      <c r="C492" s="243" t="s">
        <v>1103</v>
      </c>
      <c r="D492" s="242">
        <f>COUNTIF($D$11:$N$11,"Bình Định")</f>
        <v>0</v>
      </c>
      <c r="E492" s="688"/>
      <c r="F492" s="7"/>
      <c r="G492" s="7"/>
      <c r="H492" s="7"/>
      <c r="I492" s="7"/>
    </row>
    <row r="493" spans="1:9" ht="15.75" customHeight="1">
      <c r="A493" s="686"/>
      <c r="B493" s="687"/>
      <c r="C493" s="243" t="s">
        <v>1104</v>
      </c>
      <c r="D493" s="242">
        <f>COUNTIF($D$11:$N$11,"Phú Yên")</f>
        <v>0</v>
      </c>
      <c r="E493" s="688"/>
      <c r="F493" s="7"/>
      <c r="G493" s="7"/>
      <c r="H493" s="7"/>
      <c r="I493" s="7"/>
    </row>
    <row r="494" spans="1:9" ht="15.75" customHeight="1">
      <c r="A494" s="686"/>
      <c r="B494" s="687"/>
      <c r="C494" s="243" t="s">
        <v>1105</v>
      </c>
      <c r="D494" s="242">
        <f>COUNTIF($D$11:$N$11,"Khánh Hoà")</f>
        <v>0</v>
      </c>
      <c r="E494" s="688"/>
      <c r="F494" s="7"/>
      <c r="G494" s="7"/>
      <c r="H494" s="7"/>
      <c r="I494" s="7"/>
    </row>
    <row r="495" spans="1:9" ht="15.75" customHeight="1">
      <c r="A495" s="686"/>
      <c r="B495" s="687"/>
      <c r="C495" s="243" t="s">
        <v>1106</v>
      </c>
      <c r="D495" s="242">
        <f>COUNTIF($D$11:$N$11,"Ninh Thuận")</f>
        <v>0</v>
      </c>
      <c r="E495" s="688"/>
      <c r="F495" s="7"/>
      <c r="G495" s="7"/>
      <c r="H495" s="7"/>
      <c r="I495" s="7"/>
    </row>
    <row r="496" spans="1:9" ht="15.75" customHeight="1">
      <c r="A496" s="686"/>
      <c r="B496" s="687"/>
      <c r="C496" s="243" t="s">
        <v>1107</v>
      </c>
      <c r="D496" s="242">
        <f>COUNTIF($D$11:$N$11,"Bình Thuận")</f>
        <v>0</v>
      </c>
      <c r="E496" s="688"/>
      <c r="F496" s="7"/>
      <c r="G496" s="7"/>
      <c r="H496" s="7"/>
      <c r="I496" s="7"/>
    </row>
    <row r="497" spans="1:9" ht="15.75" customHeight="1">
      <c r="A497" s="686"/>
      <c r="B497" s="687"/>
      <c r="C497" s="243" t="s">
        <v>1108</v>
      </c>
      <c r="D497" s="242">
        <f>COUNTIF($D$11:$N$11,"Kon Tum")</f>
        <v>0</v>
      </c>
      <c r="E497" s="688"/>
      <c r="F497" s="7"/>
      <c r="G497" s="7"/>
      <c r="H497" s="7"/>
      <c r="I497" s="7"/>
    </row>
    <row r="498" spans="1:9" ht="15.75" customHeight="1">
      <c r="A498" s="686"/>
      <c r="B498" s="687"/>
      <c r="C498" s="243" t="s">
        <v>1109</v>
      </c>
      <c r="D498" s="242">
        <f>COUNTIF($D$11:$N$11,"Gia Lai")</f>
        <v>0</v>
      </c>
      <c r="E498" s="688"/>
      <c r="F498" s="7"/>
      <c r="G498" s="7"/>
      <c r="H498" s="7"/>
      <c r="I498" s="7"/>
    </row>
    <row r="499" spans="1:9" ht="15.75" customHeight="1">
      <c r="A499" s="686"/>
      <c r="B499" s="687"/>
      <c r="C499" s="243" t="s">
        <v>1110</v>
      </c>
      <c r="D499" s="242">
        <f>COUNTIF($D$11:$N$11,"Đắk Lắk")</f>
        <v>0</v>
      </c>
      <c r="E499" s="688"/>
      <c r="F499" s="7"/>
      <c r="G499" s="7"/>
      <c r="H499" s="7"/>
      <c r="I499" s="7"/>
    </row>
    <row r="500" spans="1:9" ht="15.75" customHeight="1">
      <c r="A500" s="686"/>
      <c r="B500" s="687"/>
      <c r="C500" s="243" t="s">
        <v>1111</v>
      </c>
      <c r="D500" s="242">
        <f>COUNTIF($D$11:$N$11,"Đắk Nông")</f>
        <v>0</v>
      </c>
      <c r="E500" s="688"/>
      <c r="F500" s="7"/>
      <c r="G500" s="7"/>
      <c r="H500" s="7"/>
      <c r="I500" s="7"/>
    </row>
    <row r="501" spans="1:9" ht="15.75" customHeight="1">
      <c r="A501" s="686"/>
      <c r="B501" s="687"/>
      <c r="C501" s="243" t="s">
        <v>1112</v>
      </c>
      <c r="D501" s="242">
        <f>COUNTIF($D$11:$N$11,"Lâm Đồng")</f>
        <v>0</v>
      </c>
      <c r="E501" s="688"/>
      <c r="F501" s="7"/>
      <c r="G501" s="7"/>
      <c r="H501" s="7"/>
      <c r="I501" s="7"/>
    </row>
    <row r="502" spans="1:9" ht="15.75" customHeight="1">
      <c r="A502" s="686"/>
      <c r="B502" s="687"/>
      <c r="C502" s="243" t="s">
        <v>1113</v>
      </c>
      <c r="D502" s="242">
        <f>COUNTIF($D$11:$N$11,"Tây Ninh")</f>
        <v>0</v>
      </c>
      <c r="E502" s="688"/>
      <c r="F502" s="7"/>
      <c r="G502" s="7"/>
      <c r="H502" s="7"/>
      <c r="I502" s="7"/>
    </row>
    <row r="503" spans="1:9" ht="15.75" customHeight="1">
      <c r="A503" s="686"/>
      <c r="B503" s="687"/>
      <c r="C503" s="243" t="s">
        <v>1114</v>
      </c>
      <c r="D503" s="242">
        <f>COUNTIF($D$11:$N$11,"Bình Phước")</f>
        <v>0</v>
      </c>
      <c r="E503" s="688"/>
      <c r="F503" s="7"/>
      <c r="G503" s="7"/>
      <c r="H503" s="7"/>
      <c r="I503" s="7"/>
    </row>
    <row r="504" spans="1:9" ht="15.75" customHeight="1">
      <c r="A504" s="686"/>
      <c r="B504" s="687"/>
      <c r="C504" s="243" t="s">
        <v>1115</v>
      </c>
      <c r="D504" s="242">
        <f>COUNTIF($D$11:$N$11,"Bình Dương")</f>
        <v>0</v>
      </c>
      <c r="E504" s="688"/>
      <c r="F504" s="7"/>
      <c r="G504" s="7"/>
      <c r="H504" s="7"/>
      <c r="I504" s="7"/>
    </row>
    <row r="505" spans="1:9" ht="15.75" customHeight="1">
      <c r="A505" s="686"/>
      <c r="B505" s="687"/>
      <c r="C505" s="243" t="s">
        <v>1116</v>
      </c>
      <c r="D505" s="242">
        <f>COUNTIF($D$11:$N$11,"Bà Rịa - Vũng Tàu")</f>
        <v>0</v>
      </c>
      <c r="E505" s="688"/>
      <c r="F505" s="7"/>
      <c r="G505" s="7"/>
      <c r="H505" s="7"/>
      <c r="I505" s="7"/>
    </row>
    <row r="506" spans="1:9" ht="15.75" customHeight="1">
      <c r="A506" s="686"/>
      <c r="B506" s="687"/>
      <c r="C506" s="243" t="s">
        <v>1117</v>
      </c>
      <c r="D506" s="242">
        <f>COUNTIF($D$11:$N$11,"Bến Tre")</f>
        <v>0</v>
      </c>
      <c r="E506" s="688"/>
      <c r="F506" s="7"/>
      <c r="G506" s="7"/>
      <c r="H506" s="7"/>
      <c r="I506" s="7"/>
    </row>
    <row r="507" spans="1:9" ht="15.75" customHeight="1">
      <c r="A507" s="686"/>
      <c r="B507" s="687"/>
      <c r="C507" s="243" t="s">
        <v>1118</v>
      </c>
      <c r="D507" s="242">
        <f>COUNTIF($D$11:$N$11,"An Giang")</f>
        <v>0</v>
      </c>
      <c r="E507" s="688"/>
      <c r="F507" s="7"/>
      <c r="G507" s="7"/>
      <c r="H507" s="7"/>
      <c r="I507" s="7"/>
    </row>
    <row r="508" spans="1:9" ht="15.75" customHeight="1">
      <c r="A508" s="686"/>
      <c r="B508" s="687"/>
      <c r="C508" s="243" t="s">
        <v>1119</v>
      </c>
      <c r="D508" s="242">
        <f>COUNTIF($D$11:$N$11,"Vĩnh Long")</f>
        <v>0</v>
      </c>
      <c r="E508" s="688"/>
      <c r="F508" s="7"/>
      <c r="G508" s="7"/>
      <c r="H508" s="7"/>
      <c r="I508" s="7"/>
    </row>
    <row r="509" spans="1:9" ht="15.75" customHeight="1">
      <c r="A509" s="686"/>
      <c r="B509" s="687"/>
      <c r="C509" s="243" t="s">
        <v>1120</v>
      </c>
      <c r="D509" s="242">
        <f>COUNTIF($D$11:$N$11,"Cần Thơ")</f>
        <v>0</v>
      </c>
      <c r="E509" s="688"/>
      <c r="F509" s="7"/>
      <c r="G509" s="7"/>
      <c r="H509" s="7"/>
      <c r="I509" s="7"/>
    </row>
    <row r="510" spans="1:9" ht="15.75" customHeight="1">
      <c r="A510" s="686"/>
      <c r="B510" s="687"/>
      <c r="C510" s="243" t="s">
        <v>1121</v>
      </c>
      <c r="D510" s="242">
        <f>COUNTIF($D$11:$N$11,"Hậu Giang")</f>
        <v>0</v>
      </c>
      <c r="E510" s="688"/>
      <c r="F510" s="7"/>
      <c r="G510" s="7"/>
      <c r="H510" s="7"/>
      <c r="I510" s="7"/>
    </row>
    <row r="511" spans="1:9" ht="15.75" customHeight="1">
      <c r="A511" s="686"/>
      <c r="B511" s="687"/>
      <c r="C511" s="243" t="s">
        <v>1122</v>
      </c>
      <c r="D511" s="242">
        <f>COUNTIF($D$11:$N$11,"Sóc Trăng")</f>
        <v>0</v>
      </c>
      <c r="E511" s="688"/>
      <c r="F511" s="7"/>
      <c r="G511" s="7"/>
      <c r="H511" s="7"/>
      <c r="I511" s="7"/>
    </row>
    <row r="512" spans="1:9" ht="15.75" customHeight="1">
      <c r="A512" s="686"/>
      <c r="B512" s="687"/>
      <c r="C512" s="243" t="s">
        <v>1123</v>
      </c>
      <c r="D512" s="242">
        <f>COUNTIF($D$11:$N$11,"Bạc Liêu")</f>
        <v>0</v>
      </c>
      <c r="E512" s="688"/>
      <c r="F512" s="7"/>
      <c r="G512" s="7"/>
      <c r="H512" s="7"/>
      <c r="I512" s="7"/>
    </row>
    <row r="513" spans="1:9" ht="15.75" customHeight="1">
      <c r="A513" s="686"/>
      <c r="B513" s="687"/>
      <c r="C513" s="243" t="s">
        <v>1124</v>
      </c>
      <c r="D513" s="242">
        <f>COUNTIF($D$11:$N$11,"Cà Mau")</f>
        <v>0</v>
      </c>
      <c r="E513" s="688"/>
      <c r="F513" s="7"/>
      <c r="G513" s="7"/>
      <c r="H513" s="7"/>
      <c r="I513" s="7"/>
    </row>
    <row r="514" spans="1:9" ht="15.75" customHeight="1">
      <c r="A514" s="686"/>
      <c r="B514" s="687"/>
      <c r="C514" s="243" t="s">
        <v>1125</v>
      </c>
      <c r="D514" s="242">
        <f>COUNTIF($D$11:$N$11,"Kiên Giang")</f>
        <v>0</v>
      </c>
      <c r="E514" s="688"/>
      <c r="F514" s="7"/>
      <c r="G514" s="7"/>
      <c r="H514" s="7"/>
      <c r="I514" s="7"/>
    </row>
    <row r="515" spans="1:9" ht="15.75" customHeight="1">
      <c r="A515" s="686"/>
      <c r="B515" s="687"/>
      <c r="C515" s="243" t="s">
        <v>1126</v>
      </c>
      <c r="D515" s="242">
        <f>COUNTIF($D$11:$N$11,"Đồng Tháp")</f>
        <v>0</v>
      </c>
      <c r="E515" s="688"/>
      <c r="F515" s="7"/>
      <c r="G515" s="7"/>
      <c r="H515" s="7"/>
      <c r="I515" s="7"/>
    </row>
    <row r="516" spans="1:9" ht="15.75" customHeight="1">
      <c r="A516" s="686"/>
      <c r="B516" s="687"/>
      <c r="C516" s="243" t="s">
        <v>1127</v>
      </c>
      <c r="D516" s="242">
        <f>COUNTIF($D$11:$N$11,"Trà Vinh")</f>
        <v>0</v>
      </c>
      <c r="E516" s="688"/>
      <c r="F516" s="7"/>
      <c r="G516" s="7"/>
      <c r="H516" s="7"/>
      <c r="I516" s="7"/>
    </row>
    <row r="517" spans="1:9" ht="15.75" customHeight="1">
      <c r="A517" s="686"/>
      <c r="B517" s="687"/>
      <c r="C517" s="243" t="s">
        <v>1128</v>
      </c>
      <c r="D517" s="242">
        <f>COUNTIF($D$11:$N$11,"Tiền Giang")</f>
        <v>0</v>
      </c>
      <c r="E517" s="688"/>
      <c r="F517" s="7"/>
      <c r="G517" s="7"/>
      <c r="H517" s="7"/>
      <c r="I517" s="7"/>
    </row>
    <row r="518" spans="1:9" ht="15.75" customHeight="1">
      <c r="A518" s="686"/>
      <c r="B518" s="687"/>
      <c r="C518" s="243" t="s">
        <v>1129</v>
      </c>
      <c r="D518" s="242">
        <f>COUNTIF($D$11:$N$11,"Long An")</f>
        <v>0</v>
      </c>
      <c r="E518" s="688"/>
      <c r="F518" s="7"/>
      <c r="G518" s="7"/>
      <c r="H518" s="7"/>
      <c r="I518" s="7"/>
    </row>
    <row r="519" spans="1:9" ht="15.75" customHeight="1">
      <c r="A519" s="686"/>
      <c r="B519" s="687"/>
      <c r="C519" s="243" t="s">
        <v>1130</v>
      </c>
      <c r="D519" s="242">
        <f>COUNTIF($D$11:$N$11,"Đồng Nai")</f>
        <v>0</v>
      </c>
      <c r="E519" s="688"/>
      <c r="F519" s="7"/>
      <c r="G519" s="7"/>
      <c r="H519" s="7"/>
      <c r="I519" s="7"/>
    </row>
    <row r="520" spans="1:9" ht="15.75" customHeight="1">
      <c r="A520" s="686"/>
      <c r="B520" s="687"/>
      <c r="C520" s="243" t="s">
        <v>1131</v>
      </c>
      <c r="D520" s="242">
        <f>COUNTIF($D$11:$N$11,"TP Hồ Chí Minh")</f>
        <v>0</v>
      </c>
      <c r="E520" s="688"/>
      <c r="F520" s="7"/>
      <c r="G520" s="7"/>
      <c r="H520" s="7"/>
      <c r="I520" s="7"/>
    </row>
    <row r="521" spans="1:9" ht="15.75" customHeight="1">
      <c r="A521" s="686"/>
      <c r="B521" s="687"/>
      <c r="C521" s="243"/>
      <c r="D521" s="244"/>
      <c r="E521" s="688"/>
      <c r="F521" s="7"/>
      <c r="G521" s="7"/>
      <c r="H521" s="7"/>
      <c r="I521" s="7"/>
    </row>
    <row r="522" spans="1:9" ht="15.75" customHeight="1">
      <c r="A522" s="686"/>
      <c r="B522" s="687"/>
      <c r="C522" s="243"/>
      <c r="D522" s="245">
        <f>SUM(D458:D520)</f>
        <v>6</v>
      </c>
      <c r="E522" s="688"/>
      <c r="F522" s="7"/>
      <c r="G522" s="7"/>
      <c r="H522" s="7"/>
      <c r="I522" s="7"/>
    </row>
    <row r="523" spans="1:9" ht="15.75" customHeight="1">
      <c r="A523" s="686"/>
      <c r="B523" s="687"/>
      <c r="C523" s="243"/>
      <c r="D523" s="244"/>
      <c r="E523" s="688"/>
      <c r="F523" s="7"/>
      <c r="G523" s="7"/>
      <c r="H523" s="7"/>
      <c r="I523" s="7"/>
    </row>
    <row r="524" spans="1:9" ht="15.75" customHeight="1">
      <c r="A524" s="686"/>
      <c r="B524" s="687"/>
      <c r="C524" s="243"/>
      <c r="D524" s="244"/>
      <c r="E524" s="688"/>
      <c r="F524" s="7"/>
      <c r="G524" s="7"/>
      <c r="H524" s="7"/>
      <c r="I524" s="7"/>
    </row>
    <row r="525" spans="1:9" ht="15.75" customHeight="1">
      <c r="A525" s="686"/>
      <c r="B525" s="687"/>
      <c r="C525" s="243"/>
      <c r="D525" s="244"/>
      <c r="E525" s="688"/>
      <c r="F525" s="7"/>
      <c r="G525" s="7"/>
      <c r="H525" s="7"/>
      <c r="I525" s="7"/>
    </row>
    <row r="526" spans="1:9" ht="15.75" customHeight="1">
      <c r="A526" s="686"/>
      <c r="B526" s="687"/>
      <c r="C526" s="243"/>
      <c r="D526" s="244"/>
      <c r="E526" s="688"/>
      <c r="F526" s="7"/>
      <c r="G526" s="7"/>
      <c r="H526" s="7"/>
      <c r="I526" s="7"/>
    </row>
    <row r="527" spans="1:9" ht="15.75" customHeight="1">
      <c r="A527" s="686"/>
      <c r="B527" s="687"/>
      <c r="C527" s="243"/>
      <c r="D527" s="244"/>
      <c r="E527" s="688"/>
      <c r="F527" s="7"/>
      <c r="G527" s="7"/>
      <c r="H527" s="7"/>
      <c r="I527" s="7"/>
    </row>
    <row r="528" spans="1:9" ht="15.75" customHeight="1">
      <c r="A528" s="686"/>
      <c r="B528" s="687"/>
      <c r="C528" s="243"/>
      <c r="D528" s="244"/>
      <c r="E528" s="688"/>
      <c r="F528" s="7"/>
      <c r="G528" s="7"/>
      <c r="H528" s="7"/>
      <c r="I528" s="7"/>
    </row>
    <row r="529" spans="1:9" ht="15.75" customHeight="1">
      <c r="A529" s="686"/>
      <c r="B529" s="687"/>
      <c r="C529" s="243"/>
      <c r="D529" s="244"/>
      <c r="E529" s="688"/>
      <c r="F529" s="7"/>
      <c r="G529" s="7"/>
      <c r="H529" s="7"/>
      <c r="I529" s="7"/>
    </row>
    <row r="530" spans="1:9" ht="15.75" customHeight="1">
      <c r="A530" s="686"/>
      <c r="B530" s="687"/>
      <c r="C530" s="243"/>
      <c r="D530" s="244"/>
      <c r="E530" s="688"/>
      <c r="F530" s="7"/>
      <c r="G530" s="7"/>
      <c r="H530" s="7"/>
      <c r="I530" s="7"/>
    </row>
    <row r="531" spans="1:9" ht="15.75" customHeight="1">
      <c r="A531" s="686"/>
      <c r="B531" s="687"/>
      <c r="C531" s="243"/>
      <c r="D531" s="244"/>
      <c r="E531" s="688"/>
      <c r="F531" s="7"/>
      <c r="G531" s="7"/>
      <c r="H531" s="7"/>
      <c r="I531" s="7"/>
    </row>
    <row r="532" spans="1:9" ht="15.75" customHeight="1">
      <c r="A532" s="686"/>
      <c r="B532" s="687"/>
      <c r="C532" s="243"/>
      <c r="D532" s="244"/>
      <c r="E532" s="688"/>
      <c r="F532" s="7"/>
      <c r="G532" s="7"/>
      <c r="H532" s="7"/>
      <c r="I532" s="7"/>
    </row>
    <row r="533" spans="1:9" ht="15.75" customHeight="1">
      <c r="A533" s="686"/>
      <c r="B533" s="687"/>
      <c r="C533" s="243"/>
      <c r="D533" s="244"/>
      <c r="E533" s="688"/>
      <c r="F533" s="7"/>
      <c r="G533" s="7"/>
      <c r="H533" s="7"/>
      <c r="I533" s="7"/>
    </row>
    <row r="534" spans="1:9" ht="15.75" customHeight="1">
      <c r="A534" s="686"/>
      <c r="B534" s="687"/>
      <c r="C534" s="243"/>
      <c r="D534" s="244"/>
      <c r="E534" s="688"/>
      <c r="F534" s="7"/>
      <c r="G534" s="7"/>
      <c r="H534" s="7"/>
      <c r="I534" s="7"/>
    </row>
    <row r="535" spans="1:9" ht="15.75" customHeight="1">
      <c r="A535" s="686"/>
      <c r="B535" s="687"/>
      <c r="C535" s="243"/>
      <c r="D535" s="244"/>
      <c r="E535" s="688"/>
      <c r="F535" s="7"/>
      <c r="G535" s="7"/>
      <c r="H535" s="7"/>
      <c r="I535" s="7"/>
    </row>
    <row r="536" spans="1:9" ht="15.75" customHeight="1">
      <c r="A536" s="686"/>
      <c r="B536" s="687"/>
      <c r="C536" s="243"/>
      <c r="D536" s="244"/>
      <c r="E536" s="688"/>
      <c r="F536" s="7"/>
      <c r="G536" s="7"/>
      <c r="H536" s="7"/>
      <c r="I536" s="7"/>
    </row>
    <row r="537" spans="1:9" ht="15.75" customHeight="1">
      <c r="A537" s="686"/>
      <c r="B537" s="687"/>
      <c r="C537" s="243"/>
      <c r="D537" s="244"/>
      <c r="E537" s="688"/>
      <c r="F537" s="7"/>
      <c r="G537" s="7"/>
      <c r="H537" s="7"/>
      <c r="I537" s="7"/>
    </row>
    <row r="538" spans="1:9" ht="15.75" customHeight="1">
      <c r="A538" s="686"/>
      <c r="B538" s="687"/>
      <c r="C538" s="243"/>
      <c r="D538" s="244"/>
      <c r="E538" s="688"/>
      <c r="F538" s="7"/>
      <c r="G538" s="7"/>
      <c r="H538" s="7"/>
      <c r="I538" s="7"/>
    </row>
    <row r="539" spans="1:9" ht="15.75" customHeight="1">
      <c r="A539" s="686"/>
      <c r="B539" s="687"/>
      <c r="C539" s="243"/>
      <c r="D539" s="244"/>
      <c r="E539" s="688"/>
      <c r="F539" s="7"/>
      <c r="G539" s="7"/>
      <c r="H539" s="7"/>
      <c r="I539" s="7"/>
    </row>
    <row r="540" spans="1:9" ht="15.75" customHeight="1">
      <c r="A540" s="686"/>
      <c r="B540" s="687"/>
      <c r="C540" s="243"/>
      <c r="D540" s="244"/>
      <c r="E540" s="688"/>
      <c r="F540" s="7"/>
      <c r="G540" s="7"/>
      <c r="H540" s="7"/>
      <c r="I540" s="7"/>
    </row>
    <row r="541" spans="1:9" ht="15.75" customHeight="1">
      <c r="A541" s="686"/>
      <c r="B541" s="687"/>
      <c r="C541" s="243"/>
      <c r="D541" s="244"/>
      <c r="E541" s="688"/>
      <c r="F541" s="7"/>
      <c r="G541" s="7"/>
      <c r="H541" s="7"/>
      <c r="I541" s="7"/>
    </row>
    <row r="542" spans="1:9" ht="15.75" customHeight="1">
      <c r="A542" s="686"/>
      <c r="B542" s="687"/>
      <c r="C542" s="243"/>
      <c r="D542" s="244"/>
      <c r="E542" s="688"/>
      <c r="F542" s="7"/>
      <c r="G542" s="7"/>
      <c r="H542" s="7"/>
      <c r="I542" s="7"/>
    </row>
    <row r="543" spans="1:9" ht="15.75" customHeight="1">
      <c r="A543" s="686"/>
      <c r="B543" s="687"/>
      <c r="C543" s="243"/>
      <c r="D543" s="244"/>
      <c r="E543" s="688"/>
      <c r="F543" s="7"/>
      <c r="G543" s="7"/>
      <c r="H543" s="7"/>
      <c r="I543" s="7"/>
    </row>
    <row r="544" spans="1:9" ht="15.75" customHeight="1">
      <c r="A544" s="686"/>
      <c r="B544" s="687"/>
      <c r="C544" s="243"/>
      <c r="D544" s="244"/>
      <c r="E544" s="688"/>
      <c r="F544" s="7"/>
      <c r="G544" s="7"/>
      <c r="H544" s="7"/>
      <c r="I544" s="7"/>
    </row>
    <row r="545" spans="1:9" ht="15.75" customHeight="1">
      <c r="A545" s="686"/>
      <c r="B545" s="687"/>
      <c r="C545" s="243"/>
      <c r="D545" s="244"/>
      <c r="E545" s="688"/>
      <c r="F545" s="7"/>
      <c r="G545" s="7"/>
      <c r="H545" s="7"/>
      <c r="I545" s="7"/>
    </row>
    <row r="546" spans="1:9" ht="15.75" customHeight="1">
      <c r="A546" s="686"/>
      <c r="B546" s="687"/>
      <c r="C546" s="243"/>
      <c r="D546" s="244"/>
      <c r="E546" s="688"/>
      <c r="F546" s="7"/>
      <c r="G546" s="7"/>
      <c r="H546" s="7"/>
      <c r="I546" s="7"/>
    </row>
    <row r="547" spans="1:9" ht="15.75" customHeight="1">
      <c r="A547" s="686"/>
      <c r="B547" s="687"/>
      <c r="C547" s="243"/>
      <c r="D547" s="244"/>
      <c r="E547" s="688"/>
      <c r="F547" s="7"/>
      <c r="G547" s="7"/>
      <c r="H547" s="7"/>
      <c r="I547" s="7"/>
    </row>
    <row r="548" spans="1:9" ht="15.75" customHeight="1">
      <c r="A548" s="686"/>
      <c r="B548" s="687"/>
      <c r="C548" s="243"/>
      <c r="D548" s="244"/>
      <c r="E548" s="688"/>
      <c r="F548" s="7"/>
      <c r="G548" s="7"/>
      <c r="H548" s="7"/>
      <c r="I548" s="7"/>
    </row>
    <row r="549" spans="1:9" ht="15.75" customHeight="1">
      <c r="A549" s="686"/>
      <c r="B549" s="687"/>
      <c r="C549" s="243"/>
      <c r="D549" s="244"/>
      <c r="E549" s="688"/>
      <c r="F549" s="7"/>
      <c r="G549" s="7"/>
      <c r="H549" s="7"/>
      <c r="I549" s="7"/>
    </row>
    <row r="550" spans="1:9" ht="15.75" customHeight="1">
      <c r="A550" s="686"/>
      <c r="B550" s="687"/>
      <c r="C550" s="243"/>
      <c r="D550" s="244"/>
      <c r="E550" s="688"/>
      <c r="F550" s="7"/>
      <c r="G550" s="7"/>
      <c r="H550" s="7"/>
      <c r="I550" s="7"/>
    </row>
    <row r="551" spans="1:9" ht="15.75" customHeight="1">
      <c r="A551" s="686"/>
      <c r="B551" s="687"/>
      <c r="C551" s="243"/>
      <c r="D551" s="244"/>
      <c r="E551" s="688"/>
      <c r="F551" s="7"/>
      <c r="G551" s="7"/>
      <c r="H551" s="7"/>
      <c r="I551" s="7"/>
    </row>
    <row r="552" spans="1:9" ht="15.75" customHeight="1">
      <c r="A552" s="686"/>
      <c r="B552" s="687"/>
      <c r="C552" s="243"/>
      <c r="D552" s="244"/>
      <c r="E552" s="688"/>
      <c r="F552" s="7"/>
      <c r="G552" s="7"/>
      <c r="H552" s="7"/>
      <c r="I552" s="7"/>
    </row>
    <row r="553" spans="1:9" ht="15.75" customHeight="1">
      <c r="A553" s="686"/>
      <c r="B553" s="687"/>
      <c r="C553" s="243"/>
      <c r="D553" s="244"/>
      <c r="E553" s="688"/>
      <c r="F553" s="7"/>
      <c r="G553" s="7"/>
      <c r="H553" s="7"/>
      <c r="I553" s="7"/>
    </row>
    <row r="554" spans="1:9" ht="15.75" customHeight="1">
      <c r="A554" s="686"/>
      <c r="B554" s="687"/>
      <c r="C554" s="243"/>
      <c r="D554" s="244"/>
      <c r="E554" s="688"/>
      <c r="F554" s="7"/>
      <c r="G554" s="7"/>
      <c r="H554" s="7"/>
      <c r="I554" s="7"/>
    </row>
    <row r="555" spans="1:9" ht="15.75" customHeight="1">
      <c r="A555" s="686"/>
      <c r="B555" s="687"/>
      <c r="C555" s="243"/>
      <c r="D555" s="244"/>
      <c r="E555" s="688"/>
      <c r="F555" s="7"/>
      <c r="G555" s="7"/>
      <c r="H555" s="7"/>
      <c r="I555" s="7"/>
    </row>
    <row r="556" spans="1:9" ht="15.75" customHeight="1">
      <c r="A556" s="686"/>
      <c r="B556" s="687"/>
      <c r="C556" s="243"/>
      <c r="D556" s="244"/>
      <c r="E556" s="688"/>
      <c r="F556" s="7"/>
      <c r="G556" s="7"/>
      <c r="H556" s="7"/>
      <c r="I556" s="7"/>
    </row>
    <row r="557" spans="1:9" ht="15.75" customHeight="1">
      <c r="A557" s="686"/>
      <c r="B557" s="687"/>
      <c r="C557" s="243"/>
      <c r="D557" s="244"/>
      <c r="E557" s="688"/>
      <c r="F557" s="7"/>
      <c r="G557" s="7"/>
      <c r="H557" s="7"/>
      <c r="I557" s="7"/>
    </row>
    <row r="558" spans="1:9" ht="15.75" customHeight="1">
      <c r="A558" s="686"/>
      <c r="B558" s="687"/>
      <c r="C558" s="243"/>
      <c r="D558" s="244"/>
      <c r="E558" s="688"/>
      <c r="F558" s="7"/>
      <c r="G558" s="7"/>
      <c r="H558" s="7"/>
      <c r="I558" s="7"/>
    </row>
    <row r="559" spans="1:9" ht="15.75" customHeight="1">
      <c r="A559" s="686"/>
      <c r="B559" s="687"/>
      <c r="C559" s="243"/>
      <c r="D559" s="244"/>
      <c r="E559" s="688"/>
      <c r="F559" s="7"/>
      <c r="G559" s="7"/>
      <c r="H559" s="7"/>
      <c r="I559" s="7"/>
    </row>
    <row r="560" spans="1:9" ht="15.75" customHeight="1">
      <c r="A560" s="686"/>
      <c r="B560" s="687"/>
      <c r="C560" s="243"/>
      <c r="D560" s="244"/>
      <c r="E560" s="688"/>
      <c r="F560" s="7"/>
      <c r="G560" s="7"/>
      <c r="H560" s="7"/>
      <c r="I560" s="7"/>
    </row>
    <row r="561" spans="1:9" ht="15.75" customHeight="1">
      <c r="A561" s="686"/>
      <c r="B561" s="687"/>
      <c r="C561" s="243"/>
      <c r="D561" s="244"/>
      <c r="E561" s="688"/>
      <c r="F561" s="7"/>
      <c r="G561" s="7"/>
      <c r="H561" s="7"/>
      <c r="I561" s="7"/>
    </row>
    <row r="562" spans="1:9" ht="15.75" customHeight="1">
      <c r="A562" s="686"/>
      <c r="B562" s="687"/>
      <c r="C562" s="243"/>
      <c r="D562" s="244"/>
      <c r="E562" s="688"/>
      <c r="F562" s="7"/>
      <c r="G562" s="7"/>
      <c r="H562" s="7"/>
      <c r="I562" s="7"/>
    </row>
    <row r="563" spans="1:9" ht="15.75" customHeight="1">
      <c r="A563" s="686"/>
      <c r="B563" s="687"/>
      <c r="C563" s="243"/>
      <c r="D563" s="244"/>
      <c r="E563" s="688"/>
      <c r="F563" s="7"/>
      <c r="G563" s="7"/>
      <c r="H563" s="7"/>
      <c r="I563" s="7"/>
    </row>
    <row r="564" spans="1:9" ht="15.75" customHeight="1">
      <c r="A564" s="686"/>
      <c r="B564" s="687"/>
      <c r="C564" s="243"/>
      <c r="D564" s="244"/>
      <c r="E564" s="688"/>
      <c r="F564" s="7"/>
      <c r="G564" s="7"/>
      <c r="H564" s="7"/>
      <c r="I564" s="7"/>
    </row>
    <row r="565" spans="1:9" ht="15.75" customHeight="1">
      <c r="A565" s="686"/>
      <c r="B565" s="687"/>
      <c r="C565" s="243"/>
      <c r="D565" s="244"/>
      <c r="E565" s="688"/>
      <c r="F565" s="7"/>
      <c r="G565" s="7"/>
      <c r="H565" s="7"/>
      <c r="I565" s="7"/>
    </row>
    <row r="566" spans="1:9" ht="15.75" customHeight="1">
      <c r="A566" s="686"/>
      <c r="B566" s="687"/>
      <c r="C566" s="243"/>
      <c r="D566" s="244"/>
      <c r="E566" s="688"/>
      <c r="F566" s="7"/>
      <c r="G566" s="7"/>
      <c r="H566" s="7"/>
      <c r="I566" s="7"/>
    </row>
    <row r="567" spans="1:9" ht="15.75" customHeight="1">
      <c r="A567" s="686"/>
      <c r="B567" s="687"/>
      <c r="C567" s="243"/>
      <c r="D567" s="244"/>
      <c r="E567" s="688"/>
      <c r="F567" s="7"/>
      <c r="G567" s="7"/>
      <c r="H567" s="7"/>
      <c r="I567" s="7"/>
    </row>
    <row r="568" spans="1:9" ht="15.75" customHeight="1">
      <c r="A568" s="686"/>
      <c r="B568" s="687"/>
      <c r="C568" s="243"/>
      <c r="D568" s="244"/>
      <c r="E568" s="688"/>
      <c r="F568" s="7"/>
      <c r="G568" s="7"/>
      <c r="H568" s="7"/>
      <c r="I568" s="7"/>
    </row>
    <row r="569" spans="1:9" ht="15.75" customHeight="1">
      <c r="A569" s="686"/>
      <c r="B569" s="687"/>
      <c r="C569" s="243"/>
      <c r="D569" s="244"/>
      <c r="E569" s="688"/>
      <c r="F569" s="7"/>
      <c r="G569" s="7"/>
      <c r="H569" s="7"/>
      <c r="I569" s="7"/>
    </row>
    <row r="570" spans="1:9" ht="15.75" customHeight="1">
      <c r="A570" s="686"/>
      <c r="B570" s="687"/>
      <c r="C570" s="243"/>
      <c r="D570" s="244"/>
      <c r="E570" s="688"/>
      <c r="F570" s="7"/>
      <c r="G570" s="7"/>
      <c r="H570" s="7"/>
      <c r="I570" s="7"/>
    </row>
    <row r="571" spans="1:9" ht="15.75" customHeight="1">
      <c r="A571" s="686"/>
      <c r="B571" s="687"/>
      <c r="C571" s="243"/>
      <c r="D571" s="244"/>
      <c r="E571" s="688"/>
      <c r="F571" s="7"/>
      <c r="G571" s="7"/>
      <c r="H571" s="7"/>
      <c r="I571" s="7"/>
    </row>
    <row r="572" spans="1:9" ht="15.75" customHeight="1">
      <c r="A572" s="686"/>
      <c r="B572" s="687"/>
      <c r="C572" s="243"/>
      <c r="D572" s="244"/>
      <c r="E572" s="688"/>
      <c r="F572" s="7"/>
      <c r="G572" s="7"/>
      <c r="H572" s="7"/>
      <c r="I572" s="7"/>
    </row>
    <row r="573" spans="1:9" ht="15.75" customHeight="1">
      <c r="A573" s="686"/>
      <c r="B573" s="687"/>
      <c r="C573" s="243"/>
      <c r="D573" s="244"/>
      <c r="E573" s="688"/>
      <c r="F573" s="7"/>
      <c r="G573" s="7"/>
      <c r="H573" s="7"/>
      <c r="I573" s="7"/>
    </row>
    <row r="574" spans="1:9" ht="15.75" customHeight="1">
      <c r="A574" s="686"/>
      <c r="B574" s="687"/>
      <c r="C574" s="243"/>
      <c r="D574" s="244"/>
      <c r="E574" s="688"/>
      <c r="F574" s="7"/>
      <c r="G574" s="7"/>
      <c r="H574" s="7"/>
      <c r="I574" s="7"/>
    </row>
    <row r="575" spans="1:9" ht="15.75" customHeight="1">
      <c r="A575" s="686"/>
      <c r="B575" s="687"/>
      <c r="C575" s="243"/>
      <c r="D575" s="244"/>
      <c r="E575" s="688"/>
      <c r="F575" s="7"/>
      <c r="G575" s="7"/>
      <c r="H575" s="7"/>
      <c r="I575" s="7"/>
    </row>
    <row r="576" spans="1:9" ht="15.75" customHeight="1">
      <c r="A576" s="686"/>
      <c r="B576" s="687"/>
      <c r="C576" s="243"/>
      <c r="D576" s="244"/>
      <c r="E576" s="688"/>
      <c r="F576" s="7"/>
      <c r="G576" s="7"/>
      <c r="H576" s="7"/>
      <c r="I576" s="7"/>
    </row>
    <row r="577" spans="1:9" ht="15.75" customHeight="1">
      <c r="A577" s="686"/>
      <c r="B577" s="687"/>
      <c r="C577" s="243"/>
      <c r="D577" s="244"/>
      <c r="E577" s="688"/>
      <c r="F577" s="7"/>
      <c r="G577" s="7"/>
      <c r="H577" s="7"/>
      <c r="I577" s="7"/>
    </row>
    <row r="578" spans="1:9" ht="15.75" customHeight="1">
      <c r="A578" s="686"/>
      <c r="B578" s="687"/>
      <c r="C578" s="243"/>
      <c r="D578" s="244"/>
      <c r="E578" s="688"/>
      <c r="F578" s="7"/>
      <c r="G578" s="7"/>
      <c r="H578" s="7"/>
      <c r="I578" s="7"/>
    </row>
    <row r="579" spans="1:9" ht="15.75" customHeight="1">
      <c r="A579" s="686"/>
      <c r="B579" s="687"/>
      <c r="C579" s="243"/>
      <c r="D579" s="244"/>
      <c r="E579" s="688"/>
      <c r="F579" s="7"/>
      <c r="G579" s="7"/>
      <c r="H579" s="7"/>
      <c r="I579" s="7"/>
    </row>
    <row r="580" spans="1:9" ht="15.75" customHeight="1">
      <c r="A580" s="686"/>
      <c r="B580" s="687"/>
      <c r="C580" s="243"/>
      <c r="D580" s="244"/>
      <c r="E580" s="688"/>
      <c r="F580" s="7"/>
      <c r="G580" s="7"/>
      <c r="H580" s="7"/>
      <c r="I580" s="7"/>
    </row>
    <row r="581" spans="1:9" ht="15.75" customHeight="1">
      <c r="A581" s="686"/>
      <c r="B581" s="687"/>
      <c r="C581" s="243"/>
      <c r="D581" s="244"/>
      <c r="E581" s="688"/>
      <c r="F581" s="7"/>
      <c r="G581" s="7"/>
      <c r="H581" s="7"/>
      <c r="I581" s="7"/>
    </row>
    <row r="582" spans="1:9" ht="15.75" customHeight="1">
      <c r="A582" s="686"/>
      <c r="B582" s="687"/>
      <c r="C582" s="243"/>
      <c r="D582" s="244"/>
      <c r="E582" s="688"/>
      <c r="F582" s="7"/>
      <c r="G582" s="7"/>
      <c r="H582" s="7"/>
      <c r="I582" s="7"/>
    </row>
    <row r="583" spans="1:9" ht="15.75" customHeight="1">
      <c r="A583" s="686"/>
      <c r="B583" s="687"/>
      <c r="C583" s="243"/>
      <c r="D583" s="244"/>
      <c r="E583" s="688"/>
      <c r="F583" s="7"/>
      <c r="G583" s="7"/>
      <c r="H583" s="7"/>
      <c r="I583" s="7"/>
    </row>
    <row r="584" spans="1:9" ht="15.75" customHeight="1">
      <c r="A584" s="686"/>
      <c r="B584" s="687"/>
      <c r="C584" s="243"/>
      <c r="D584" s="244"/>
      <c r="E584" s="688"/>
      <c r="F584" s="7"/>
      <c r="G584" s="7"/>
      <c r="H584" s="7"/>
      <c r="I584" s="7"/>
    </row>
    <row r="585" spans="1:9" ht="15.75" customHeight="1">
      <c r="A585" s="686"/>
      <c r="B585" s="687"/>
      <c r="C585" s="243"/>
      <c r="D585" s="244"/>
      <c r="E585" s="688"/>
      <c r="F585" s="7"/>
      <c r="G585" s="7"/>
      <c r="H585" s="7"/>
      <c r="I585" s="7"/>
    </row>
    <row r="586" spans="1:9" ht="15.75" customHeight="1">
      <c r="A586" s="686"/>
      <c r="B586" s="687"/>
      <c r="C586" s="243"/>
      <c r="D586" s="244"/>
      <c r="E586" s="688"/>
      <c r="F586" s="7"/>
      <c r="G586" s="7"/>
      <c r="H586" s="7"/>
      <c r="I586" s="7"/>
    </row>
    <row r="587" spans="1:9" ht="15.75" customHeight="1">
      <c r="A587" s="686"/>
      <c r="B587" s="687"/>
      <c r="C587" s="243"/>
      <c r="D587" s="244"/>
      <c r="E587" s="688"/>
      <c r="F587" s="7"/>
      <c r="G587" s="7"/>
      <c r="H587" s="7"/>
      <c r="I587" s="7"/>
    </row>
    <row r="588" spans="1:9" ht="15.75" customHeight="1">
      <c r="A588" s="686"/>
      <c r="B588" s="687"/>
      <c r="C588" s="243"/>
      <c r="D588" s="244"/>
      <c r="E588" s="688"/>
      <c r="F588" s="7"/>
      <c r="G588" s="7"/>
      <c r="H588" s="7"/>
      <c r="I588" s="7"/>
    </row>
    <row r="589" spans="1:9" ht="15.75" customHeight="1">
      <c r="A589" s="686"/>
      <c r="B589" s="687"/>
      <c r="C589" s="243"/>
      <c r="D589" s="244"/>
      <c r="E589" s="688"/>
      <c r="F589" s="7"/>
      <c r="G589" s="7"/>
      <c r="H589" s="7"/>
      <c r="I589" s="7"/>
    </row>
    <row r="590" spans="1:9" ht="15.75" customHeight="1">
      <c r="A590" s="686"/>
      <c r="B590" s="687"/>
      <c r="C590" s="243"/>
      <c r="D590" s="244"/>
      <c r="E590" s="688"/>
      <c r="F590" s="7"/>
      <c r="G590" s="7"/>
      <c r="H590" s="7"/>
      <c r="I590" s="7"/>
    </row>
    <row r="591" spans="1:9" ht="15.75" customHeight="1">
      <c r="A591" s="686"/>
      <c r="B591" s="687"/>
      <c r="C591" s="243"/>
      <c r="D591" s="244"/>
      <c r="E591" s="688"/>
      <c r="F591" s="7"/>
      <c r="G591" s="7"/>
      <c r="H591" s="7"/>
      <c r="I591" s="7"/>
    </row>
    <row r="592" spans="1:9" ht="15.75" customHeight="1">
      <c r="A592" s="686"/>
      <c r="B592" s="687"/>
      <c r="C592" s="243"/>
      <c r="D592" s="244"/>
      <c r="E592" s="688"/>
      <c r="F592" s="7"/>
      <c r="G592" s="7"/>
      <c r="H592" s="7"/>
      <c r="I592" s="7"/>
    </row>
    <row r="593" spans="1:9" ht="15.75" customHeight="1">
      <c r="A593" s="686"/>
      <c r="B593" s="687"/>
      <c r="C593" s="243"/>
      <c r="D593" s="244"/>
      <c r="E593" s="688"/>
      <c r="F593" s="7"/>
      <c r="G593" s="7"/>
      <c r="H593" s="7"/>
      <c r="I593" s="7"/>
    </row>
    <row r="594" spans="1:9" ht="15.75" customHeight="1">
      <c r="A594" s="686"/>
      <c r="B594" s="687"/>
      <c r="C594" s="243"/>
      <c r="D594" s="244"/>
      <c r="E594" s="688"/>
      <c r="F594" s="7"/>
      <c r="G594" s="7"/>
      <c r="H594" s="7"/>
      <c r="I594" s="7"/>
    </row>
    <row r="595" spans="1:9" ht="15.75" customHeight="1">
      <c r="A595" s="686"/>
      <c r="B595" s="687"/>
      <c r="C595" s="243"/>
      <c r="D595" s="244"/>
      <c r="E595" s="688"/>
      <c r="F595" s="7"/>
      <c r="G595" s="7"/>
      <c r="H595" s="7"/>
      <c r="I595" s="7"/>
    </row>
    <row r="596" spans="1:9" ht="15.75" customHeight="1">
      <c r="A596" s="686"/>
      <c r="B596" s="687"/>
      <c r="C596" s="243"/>
      <c r="D596" s="244"/>
      <c r="E596" s="688"/>
      <c r="F596" s="7"/>
      <c r="G596" s="7"/>
      <c r="H596" s="7"/>
      <c r="I596" s="7"/>
    </row>
    <row r="597" spans="1:9" ht="15.75" customHeight="1">
      <c r="A597" s="686"/>
      <c r="B597" s="687"/>
      <c r="C597" s="243"/>
      <c r="D597" s="244"/>
      <c r="E597" s="688"/>
      <c r="F597" s="7"/>
      <c r="G597" s="7"/>
      <c r="H597" s="7"/>
      <c r="I597" s="7"/>
    </row>
    <row r="598" spans="1:9" ht="15.75" customHeight="1">
      <c r="A598" s="686"/>
      <c r="B598" s="687"/>
      <c r="C598" s="243"/>
      <c r="D598" s="244"/>
      <c r="E598" s="688"/>
      <c r="F598" s="7"/>
      <c r="G598" s="7"/>
      <c r="H598" s="7"/>
      <c r="I598" s="7"/>
    </row>
    <row r="599" spans="1:9" ht="15.75" customHeight="1">
      <c r="A599" s="686"/>
      <c r="B599" s="687"/>
      <c r="C599" s="243"/>
      <c r="D599" s="244"/>
      <c r="E599" s="688"/>
      <c r="F599" s="7"/>
      <c r="G599" s="7"/>
      <c r="H599" s="7"/>
      <c r="I599" s="7"/>
    </row>
    <row r="600" spans="1:9" ht="15.75" customHeight="1">
      <c r="A600" s="686"/>
      <c r="B600" s="687"/>
      <c r="C600" s="243"/>
      <c r="D600" s="244"/>
      <c r="E600" s="688"/>
      <c r="F600" s="7"/>
      <c r="G600" s="7"/>
      <c r="H600" s="7"/>
      <c r="I600" s="7"/>
    </row>
    <row r="601" spans="1:9" ht="15.75" customHeight="1">
      <c r="A601" s="686"/>
      <c r="B601" s="687"/>
      <c r="C601" s="243"/>
      <c r="D601" s="244"/>
      <c r="E601" s="688"/>
      <c r="F601" s="7"/>
      <c r="G601" s="7"/>
      <c r="H601" s="7"/>
      <c r="I601" s="7"/>
    </row>
    <row r="602" spans="1:9" ht="15.75" customHeight="1">
      <c r="A602" s="686"/>
      <c r="B602" s="687"/>
      <c r="C602" s="243"/>
      <c r="D602" s="244"/>
      <c r="E602" s="688"/>
      <c r="F602" s="7"/>
      <c r="G602" s="7"/>
      <c r="H602" s="7"/>
      <c r="I602" s="7"/>
    </row>
    <row r="603" spans="1:9" ht="15.75" customHeight="1">
      <c r="A603" s="686"/>
      <c r="B603" s="687"/>
      <c r="C603" s="243"/>
      <c r="D603" s="244"/>
      <c r="E603" s="688"/>
      <c r="F603" s="7"/>
      <c r="G603" s="7"/>
      <c r="H603" s="7"/>
      <c r="I603" s="7"/>
    </row>
    <row r="604" spans="1:9" ht="15.75" customHeight="1">
      <c r="A604" s="686"/>
      <c r="B604" s="687"/>
      <c r="C604" s="243"/>
      <c r="D604" s="244"/>
      <c r="E604" s="688"/>
      <c r="F604" s="7"/>
      <c r="G604" s="7"/>
      <c r="H604" s="7"/>
      <c r="I604" s="7"/>
    </row>
    <row r="605" spans="1:9" ht="15.75" customHeight="1">
      <c r="A605" s="686"/>
      <c r="B605" s="687"/>
      <c r="C605" s="243"/>
      <c r="D605" s="244"/>
      <c r="E605" s="688"/>
      <c r="F605" s="7"/>
      <c r="G605" s="7"/>
      <c r="H605" s="7"/>
      <c r="I605" s="7"/>
    </row>
    <row r="606" spans="1:9" ht="15.75" customHeight="1">
      <c r="A606" s="686"/>
      <c r="B606" s="687"/>
      <c r="C606" s="243"/>
      <c r="D606" s="244"/>
      <c r="E606" s="688"/>
      <c r="F606" s="7"/>
      <c r="G606" s="7"/>
      <c r="H606" s="7"/>
      <c r="I606" s="7"/>
    </row>
    <row r="607" spans="1:9" ht="15.75" customHeight="1">
      <c r="A607" s="686"/>
      <c r="B607" s="687"/>
      <c r="C607" s="243"/>
      <c r="D607" s="244"/>
      <c r="E607" s="688"/>
      <c r="F607" s="7"/>
      <c r="G607" s="7"/>
      <c r="H607" s="7"/>
      <c r="I607" s="7"/>
    </row>
    <row r="608" spans="1:9" ht="15.75" customHeight="1">
      <c r="A608" s="686"/>
      <c r="B608" s="687"/>
      <c r="C608" s="243"/>
      <c r="D608" s="244"/>
      <c r="E608" s="688"/>
      <c r="F608" s="7"/>
      <c r="G608" s="7"/>
      <c r="H608" s="7"/>
      <c r="I608" s="7"/>
    </row>
    <row r="609" spans="1:9" ht="15.75" customHeight="1">
      <c r="A609" s="686"/>
      <c r="B609" s="687"/>
      <c r="C609" s="243"/>
      <c r="D609" s="244"/>
      <c r="E609" s="688"/>
      <c r="F609" s="7"/>
      <c r="G609" s="7"/>
      <c r="H609" s="7"/>
      <c r="I609" s="7"/>
    </row>
    <row r="610" spans="1:9" ht="15.75" customHeight="1">
      <c r="A610" s="686"/>
      <c r="B610" s="687"/>
      <c r="C610" s="243"/>
      <c r="D610" s="244"/>
      <c r="E610" s="688"/>
      <c r="F610" s="7"/>
      <c r="G610" s="7"/>
      <c r="H610" s="7"/>
      <c r="I610" s="7"/>
    </row>
    <row r="611" spans="1:9" ht="15.75" customHeight="1">
      <c r="A611" s="686"/>
      <c r="B611" s="687"/>
      <c r="C611" s="243"/>
      <c r="D611" s="244"/>
      <c r="E611" s="688"/>
      <c r="F611" s="7"/>
      <c r="G611" s="7"/>
      <c r="H611" s="7"/>
      <c r="I611" s="7"/>
    </row>
    <row r="612" spans="1:9" ht="15.75" customHeight="1">
      <c r="A612" s="686"/>
      <c r="B612" s="687"/>
      <c r="C612" s="243"/>
      <c r="D612" s="244"/>
      <c r="E612" s="688"/>
      <c r="F612" s="7"/>
      <c r="G612" s="7"/>
      <c r="H612" s="7"/>
      <c r="I612" s="7"/>
    </row>
    <row r="613" spans="1:9" ht="15.75" customHeight="1">
      <c r="A613" s="686"/>
      <c r="B613" s="687"/>
      <c r="C613" s="243"/>
      <c r="D613" s="244"/>
      <c r="E613" s="688"/>
      <c r="F613" s="7"/>
      <c r="G613" s="7"/>
      <c r="H613" s="7"/>
      <c r="I613" s="7"/>
    </row>
    <row r="614" spans="1:9" ht="15.75" customHeight="1">
      <c r="A614" s="686"/>
      <c r="B614" s="687"/>
      <c r="C614" s="243"/>
      <c r="D614" s="244"/>
      <c r="E614" s="688"/>
      <c r="F614" s="7"/>
      <c r="G614" s="7"/>
      <c r="H614" s="7"/>
      <c r="I614" s="7"/>
    </row>
    <row r="615" spans="1:9" ht="15.75" customHeight="1">
      <c r="A615" s="686"/>
      <c r="B615" s="687"/>
      <c r="C615" s="243"/>
      <c r="D615" s="244"/>
      <c r="E615" s="688"/>
      <c r="F615" s="7"/>
      <c r="G615" s="7"/>
      <c r="H615" s="7"/>
      <c r="I615" s="7"/>
    </row>
    <row r="616" spans="1:9" ht="15.75" customHeight="1">
      <c r="A616" s="686"/>
      <c r="B616" s="687"/>
      <c r="C616" s="243"/>
      <c r="D616" s="244"/>
      <c r="E616" s="688"/>
      <c r="F616" s="7"/>
      <c r="G616" s="7"/>
      <c r="H616" s="7"/>
      <c r="I616" s="7"/>
    </row>
    <row r="617" spans="1:9" ht="15.75" customHeight="1">
      <c r="A617" s="686"/>
      <c r="B617" s="687"/>
      <c r="C617" s="243"/>
      <c r="D617" s="244"/>
      <c r="E617" s="688"/>
      <c r="F617" s="7"/>
      <c r="G617" s="7"/>
      <c r="H617" s="7"/>
      <c r="I617" s="7"/>
    </row>
    <row r="618" spans="1:9" ht="15.75" customHeight="1">
      <c r="A618" s="686"/>
      <c r="B618" s="687"/>
      <c r="C618" s="243"/>
      <c r="D618" s="244"/>
      <c r="E618" s="688"/>
      <c r="F618" s="7"/>
      <c r="G618" s="7"/>
      <c r="H618" s="7"/>
      <c r="I618" s="7"/>
    </row>
    <row r="619" spans="1:9" ht="15.75" customHeight="1">
      <c r="A619" s="686"/>
      <c r="B619" s="687"/>
      <c r="C619" s="243"/>
      <c r="D619" s="244"/>
      <c r="E619" s="688"/>
      <c r="F619" s="7"/>
      <c r="G619" s="7"/>
      <c r="H619" s="7"/>
      <c r="I619" s="7"/>
    </row>
    <row r="620" spans="1:9" ht="15.75" customHeight="1">
      <c r="A620" s="686"/>
      <c r="B620" s="687"/>
      <c r="C620" s="243"/>
      <c r="D620" s="244"/>
      <c r="E620" s="688"/>
      <c r="F620" s="7"/>
      <c r="G620" s="7"/>
      <c r="H620" s="7"/>
      <c r="I620" s="7"/>
    </row>
    <row r="621" spans="1:9" ht="15.75" customHeight="1">
      <c r="A621" s="686"/>
      <c r="B621" s="687"/>
      <c r="C621" s="243"/>
      <c r="D621" s="244"/>
      <c r="E621" s="688"/>
      <c r="F621" s="7"/>
      <c r="G621" s="7"/>
      <c r="H621" s="7"/>
      <c r="I621" s="7"/>
    </row>
    <row r="622" spans="1:9" ht="15.75" customHeight="1">
      <c r="A622" s="686"/>
      <c r="B622" s="687"/>
      <c r="C622" s="243"/>
      <c r="D622" s="244"/>
      <c r="E622" s="688"/>
      <c r="F622" s="7"/>
      <c r="G622" s="7"/>
      <c r="H622" s="7"/>
      <c r="I622" s="7"/>
    </row>
    <row r="623" spans="1:9" ht="15.75" customHeight="1">
      <c r="A623" s="686"/>
      <c r="B623" s="687"/>
      <c r="C623" s="243"/>
      <c r="D623" s="244"/>
      <c r="E623" s="688"/>
      <c r="F623" s="7"/>
      <c r="G623" s="7"/>
      <c r="H623" s="7"/>
      <c r="I623" s="7"/>
    </row>
    <row r="624" spans="1:9" ht="15.75" customHeight="1">
      <c r="A624" s="686"/>
      <c r="B624" s="687"/>
      <c r="C624" s="243"/>
      <c r="D624" s="244"/>
      <c r="E624" s="688"/>
      <c r="F624" s="7"/>
      <c r="G624" s="7"/>
      <c r="H624" s="7"/>
      <c r="I624" s="7"/>
    </row>
    <row r="625" spans="1:9" ht="15.75" customHeight="1">
      <c r="A625" s="686"/>
      <c r="B625" s="687"/>
      <c r="C625" s="243"/>
      <c r="D625" s="244"/>
      <c r="E625" s="688"/>
      <c r="F625" s="7"/>
      <c r="G625" s="7"/>
      <c r="H625" s="7"/>
      <c r="I625" s="7"/>
    </row>
    <row r="626" spans="1:9" ht="15.75" customHeight="1">
      <c r="A626" s="686"/>
      <c r="B626" s="687"/>
      <c r="C626" s="243"/>
      <c r="D626" s="244"/>
      <c r="E626" s="688"/>
      <c r="F626" s="7"/>
      <c r="G626" s="7"/>
      <c r="H626" s="7"/>
      <c r="I626" s="7"/>
    </row>
    <row r="627" spans="1:9" ht="15.75" customHeight="1">
      <c r="A627" s="686"/>
      <c r="B627" s="687"/>
      <c r="C627" s="243"/>
      <c r="D627" s="244"/>
      <c r="E627" s="688"/>
      <c r="F627" s="7"/>
      <c r="G627" s="7"/>
      <c r="H627" s="7"/>
      <c r="I627" s="7"/>
    </row>
    <row r="628" spans="1:9" ht="15.75" customHeight="1">
      <c r="A628" s="686"/>
      <c r="B628" s="687"/>
      <c r="C628" s="243"/>
      <c r="D628" s="244"/>
      <c r="E628" s="688"/>
      <c r="F628" s="7"/>
      <c r="G628" s="7"/>
      <c r="H628" s="7"/>
      <c r="I628" s="7"/>
    </row>
    <row r="629" spans="1:9" ht="15.75" customHeight="1">
      <c r="A629" s="686"/>
      <c r="B629" s="687"/>
      <c r="C629" s="243"/>
      <c r="D629" s="244"/>
      <c r="E629" s="688"/>
      <c r="F629" s="7"/>
      <c r="G629" s="7"/>
      <c r="H629" s="7"/>
      <c r="I629" s="7"/>
    </row>
    <row r="630" spans="1:9" ht="15.75" customHeight="1">
      <c r="A630" s="686"/>
      <c r="B630" s="687"/>
      <c r="C630" s="243"/>
      <c r="D630" s="244"/>
      <c r="E630" s="688"/>
      <c r="F630" s="7"/>
      <c r="G630" s="7"/>
      <c r="H630" s="7"/>
      <c r="I630" s="7"/>
    </row>
    <row r="631" spans="1:9" ht="15.75" customHeight="1">
      <c r="A631" s="686"/>
      <c r="B631" s="687"/>
      <c r="C631" s="243"/>
      <c r="D631" s="244"/>
      <c r="E631" s="688"/>
      <c r="F631" s="7"/>
      <c r="G631" s="7"/>
      <c r="H631" s="7"/>
      <c r="I631" s="7"/>
    </row>
    <row r="632" spans="1:9" ht="15.75" customHeight="1">
      <c r="A632" s="686"/>
      <c r="B632" s="687"/>
      <c r="C632" s="243"/>
      <c r="D632" s="244"/>
      <c r="E632" s="688"/>
      <c r="F632" s="7"/>
      <c r="G632" s="7"/>
      <c r="H632" s="7"/>
      <c r="I632" s="7"/>
    </row>
    <row r="633" spans="1:9" ht="15.75" customHeight="1">
      <c r="A633" s="686"/>
      <c r="B633" s="687"/>
      <c r="C633" s="243"/>
      <c r="D633" s="244"/>
      <c r="E633" s="688"/>
      <c r="F633" s="7"/>
      <c r="G633" s="7"/>
      <c r="H633" s="7"/>
      <c r="I633" s="7"/>
    </row>
    <row r="634" spans="1:9" ht="15.75" customHeight="1">
      <c r="A634" s="686"/>
      <c r="B634" s="687"/>
      <c r="C634" s="243"/>
      <c r="D634" s="244"/>
      <c r="E634" s="688"/>
      <c r="F634" s="7"/>
      <c r="G634" s="7"/>
      <c r="H634" s="7"/>
      <c r="I634" s="7"/>
    </row>
    <row r="635" spans="1:9" ht="15.75" customHeight="1">
      <c r="A635" s="686"/>
      <c r="B635" s="687"/>
      <c r="C635" s="243"/>
      <c r="D635" s="244"/>
      <c r="E635" s="688"/>
      <c r="F635" s="7"/>
      <c r="G635" s="7"/>
      <c r="H635" s="7"/>
      <c r="I635" s="7"/>
    </row>
    <row r="636" spans="1:9" ht="15.75" customHeight="1">
      <c r="A636" s="686"/>
      <c r="B636" s="687"/>
      <c r="C636" s="243"/>
      <c r="D636" s="244"/>
      <c r="E636" s="688"/>
      <c r="F636" s="7"/>
      <c r="G636" s="7"/>
      <c r="H636" s="7"/>
      <c r="I636" s="7"/>
    </row>
    <row r="637" spans="1:9" ht="15.75" customHeight="1">
      <c r="A637" s="686"/>
      <c r="B637" s="687"/>
      <c r="C637" s="243"/>
      <c r="D637" s="244"/>
      <c r="E637" s="688"/>
      <c r="F637" s="7"/>
      <c r="G637" s="7"/>
      <c r="H637" s="7"/>
      <c r="I637" s="7"/>
    </row>
    <row r="638" spans="1:9" ht="15.75" customHeight="1">
      <c r="A638" s="686"/>
      <c r="B638" s="687"/>
      <c r="C638" s="243"/>
      <c r="D638" s="244"/>
      <c r="E638" s="688"/>
      <c r="F638" s="7"/>
      <c r="G638" s="7"/>
      <c r="H638" s="7"/>
      <c r="I638" s="7"/>
    </row>
    <row r="639" spans="1:9" ht="15.75" customHeight="1">
      <c r="A639" s="686"/>
      <c r="B639" s="687"/>
      <c r="C639" s="243"/>
      <c r="D639" s="244"/>
      <c r="E639" s="688"/>
      <c r="F639" s="7"/>
      <c r="G639" s="7"/>
      <c r="H639" s="7"/>
      <c r="I639" s="7"/>
    </row>
    <row r="640" spans="1:9" ht="15.75" customHeight="1">
      <c r="A640" s="686"/>
      <c r="B640" s="687"/>
      <c r="C640" s="243"/>
      <c r="D640" s="244"/>
      <c r="E640" s="688"/>
      <c r="F640" s="7"/>
      <c r="G640" s="7"/>
      <c r="H640" s="7"/>
      <c r="I640" s="7"/>
    </row>
    <row r="641" spans="1:9" ht="15.75" customHeight="1">
      <c r="A641" s="686"/>
      <c r="B641" s="687"/>
      <c r="C641" s="243"/>
      <c r="D641" s="244"/>
      <c r="E641" s="688"/>
      <c r="F641" s="7"/>
      <c r="G641" s="7"/>
      <c r="H641" s="7"/>
      <c r="I641" s="7"/>
    </row>
    <row r="642" spans="1:9" ht="15.75" customHeight="1">
      <c r="A642" s="686"/>
      <c r="B642" s="687"/>
      <c r="C642" s="243"/>
      <c r="D642" s="244"/>
      <c r="E642" s="688"/>
      <c r="F642" s="7"/>
      <c r="G642" s="7"/>
      <c r="H642" s="7"/>
      <c r="I642" s="7"/>
    </row>
    <row r="643" spans="1:9" ht="15.75" customHeight="1">
      <c r="A643" s="686"/>
      <c r="B643" s="687"/>
      <c r="C643" s="243"/>
      <c r="D643" s="244"/>
      <c r="E643" s="688"/>
      <c r="F643" s="7"/>
      <c r="G643" s="7"/>
      <c r="H643" s="7"/>
      <c r="I643" s="7"/>
    </row>
    <row r="644" spans="1:9" ht="15.75" customHeight="1">
      <c r="A644" s="686"/>
      <c r="B644" s="687"/>
      <c r="C644" s="243"/>
      <c r="D644" s="244"/>
      <c r="E644" s="688"/>
      <c r="F644" s="7"/>
      <c r="G644" s="7"/>
      <c r="H644" s="7"/>
      <c r="I644" s="7"/>
    </row>
    <row r="645" spans="1:9" ht="15.75" customHeight="1">
      <c r="A645" s="686"/>
      <c r="B645" s="687"/>
      <c r="C645" s="243"/>
      <c r="D645" s="244"/>
      <c r="E645" s="688"/>
      <c r="F645" s="7"/>
      <c r="G645" s="7"/>
      <c r="H645" s="7"/>
      <c r="I645" s="7"/>
    </row>
    <row r="646" spans="1:9" ht="15.75" customHeight="1">
      <c r="A646" s="686"/>
      <c r="B646" s="687"/>
      <c r="C646" s="243"/>
      <c r="D646" s="244"/>
      <c r="E646" s="688"/>
      <c r="F646" s="7"/>
      <c r="G646" s="7"/>
      <c r="H646" s="7"/>
      <c r="I646" s="7"/>
    </row>
    <row r="647" spans="1:9" ht="15.75" customHeight="1">
      <c r="A647" s="686"/>
      <c r="B647" s="687"/>
      <c r="C647" s="243"/>
      <c r="D647" s="244"/>
      <c r="E647" s="688"/>
      <c r="F647" s="7"/>
      <c r="G647" s="7"/>
      <c r="H647" s="7"/>
      <c r="I647" s="7"/>
    </row>
    <row r="648" spans="1:9" ht="15.75" customHeight="1">
      <c r="A648" s="686"/>
      <c r="B648" s="687"/>
      <c r="C648" s="243"/>
      <c r="D648" s="244"/>
      <c r="E648" s="688"/>
      <c r="F648" s="7"/>
      <c r="G648" s="7"/>
      <c r="H648" s="7"/>
      <c r="I648" s="7"/>
    </row>
    <row r="649" spans="1:9" ht="15.75" customHeight="1">
      <c r="A649" s="686"/>
      <c r="B649" s="687"/>
      <c r="C649" s="243"/>
      <c r="D649" s="244"/>
      <c r="E649" s="688"/>
      <c r="F649" s="7"/>
      <c r="G649" s="7"/>
      <c r="H649" s="7"/>
      <c r="I649" s="7"/>
    </row>
    <row r="650" spans="1:9" ht="15.75" customHeight="1">
      <c r="A650" s="686"/>
      <c r="B650" s="687"/>
      <c r="C650" s="243"/>
      <c r="D650" s="244"/>
      <c r="E650" s="688"/>
      <c r="F650" s="7"/>
      <c r="G650" s="7"/>
      <c r="H650" s="7"/>
      <c r="I650" s="7"/>
    </row>
    <row r="651" spans="1:9" ht="15.75" customHeight="1">
      <c r="A651" s="686"/>
      <c r="B651" s="687"/>
      <c r="C651" s="243"/>
      <c r="D651" s="244"/>
      <c r="E651" s="688"/>
      <c r="F651" s="7"/>
      <c r="G651" s="7"/>
      <c r="H651" s="7"/>
      <c r="I651" s="7"/>
    </row>
    <row r="652" spans="1:9" ht="15.75" customHeight="1">
      <c r="A652" s="686"/>
      <c r="B652" s="687"/>
      <c r="C652" s="243"/>
      <c r="D652" s="244"/>
      <c r="E652" s="688"/>
      <c r="F652" s="7"/>
      <c r="G652" s="7"/>
      <c r="H652" s="7"/>
      <c r="I652" s="7"/>
    </row>
    <row r="653" spans="1:9" ht="15.75" customHeight="1">
      <c r="A653" s="686"/>
      <c r="B653" s="687"/>
      <c r="C653" s="243"/>
      <c r="D653" s="244"/>
      <c r="E653" s="688"/>
      <c r="F653" s="7"/>
      <c r="G653" s="7"/>
      <c r="H653" s="7"/>
      <c r="I653" s="7"/>
    </row>
    <row r="654" spans="1:9" ht="15.75" customHeight="1">
      <c r="A654" s="686"/>
      <c r="B654" s="687"/>
      <c r="C654" s="243"/>
      <c r="D654" s="244"/>
      <c r="E654" s="688"/>
      <c r="F654" s="7"/>
      <c r="G654" s="7"/>
      <c r="H654" s="7"/>
      <c r="I654" s="7"/>
    </row>
    <row r="655" spans="1:9" ht="15.75" customHeight="1">
      <c r="A655" s="686"/>
      <c r="B655" s="687"/>
      <c r="C655" s="243"/>
      <c r="D655" s="244"/>
      <c r="E655" s="688"/>
      <c r="F655" s="7"/>
      <c r="G655" s="7"/>
      <c r="H655" s="7"/>
      <c r="I655" s="7"/>
    </row>
    <row r="656" spans="1:9" ht="15.75" customHeight="1">
      <c r="A656" s="686"/>
      <c r="B656" s="687"/>
      <c r="C656" s="243"/>
      <c r="D656" s="244"/>
      <c r="E656" s="688"/>
      <c r="F656" s="7"/>
      <c r="G656" s="7"/>
      <c r="H656" s="7"/>
      <c r="I656" s="7"/>
    </row>
    <row r="657" spans="1:9" ht="15.75" customHeight="1">
      <c r="A657" s="686"/>
      <c r="B657" s="687"/>
      <c r="C657" s="243"/>
      <c r="D657" s="244"/>
      <c r="E657" s="688"/>
      <c r="F657" s="7"/>
      <c r="G657" s="7"/>
      <c r="H657" s="7"/>
      <c r="I657" s="7"/>
    </row>
    <row r="658" spans="1:9" ht="14.25" customHeight="1">
      <c r="A658" s="7"/>
      <c r="B658" s="7"/>
      <c r="C658" s="7"/>
      <c r="D658" s="7"/>
      <c r="E658" s="7"/>
      <c r="F658" s="7"/>
      <c r="G658" s="7"/>
      <c r="H658" s="7"/>
      <c r="I658" s="7"/>
    </row>
    <row r="659" spans="1:9" ht="14.25" customHeight="1">
      <c r="A659" s="7"/>
      <c r="B659" s="7"/>
      <c r="C659" s="7"/>
      <c r="D659" s="7"/>
      <c r="E659" s="7"/>
      <c r="F659" s="7"/>
      <c r="G659" s="7"/>
      <c r="H659" s="7"/>
      <c r="I659" s="7"/>
    </row>
    <row r="660" spans="1:9" ht="14.25" customHeight="1">
      <c r="A660" s="7"/>
      <c r="B660" s="7"/>
      <c r="C660" s="7"/>
      <c r="D660" s="7"/>
      <c r="E660" s="7"/>
      <c r="F660" s="7"/>
      <c r="G660" s="7"/>
      <c r="H660" s="7"/>
      <c r="I660" s="7"/>
    </row>
    <row r="661" spans="1:9" ht="14.25" customHeight="1">
      <c r="A661" s="7"/>
      <c r="B661" s="7"/>
      <c r="C661" s="7"/>
      <c r="D661" s="7"/>
      <c r="E661" s="7"/>
      <c r="F661" s="7"/>
      <c r="G661" s="7"/>
      <c r="H661" s="7"/>
      <c r="I661" s="7"/>
    </row>
    <row r="662" spans="1:9" ht="14.25" customHeight="1">
      <c r="A662" s="7"/>
      <c r="B662" s="7"/>
      <c r="C662" s="7"/>
      <c r="D662" s="7"/>
      <c r="E662" s="7"/>
      <c r="F662" s="7"/>
      <c r="G662" s="7"/>
      <c r="H662" s="7"/>
      <c r="I662" s="7"/>
    </row>
    <row r="663" spans="1:9" ht="14.25" customHeight="1">
      <c r="A663" s="7"/>
      <c r="B663" s="7"/>
      <c r="C663" s="7"/>
      <c r="D663" s="7"/>
      <c r="E663" s="7"/>
      <c r="F663" s="7"/>
      <c r="G663" s="7"/>
      <c r="H663" s="7"/>
      <c r="I663" s="7"/>
    </row>
    <row r="664" spans="1:9" ht="14.25" customHeight="1">
      <c r="A664" s="7"/>
      <c r="B664" s="7"/>
      <c r="C664" s="7"/>
      <c r="D664" s="7"/>
      <c r="E664" s="7"/>
      <c r="F664" s="7"/>
      <c r="G664" s="7"/>
      <c r="H664" s="7"/>
      <c r="I664" s="7"/>
    </row>
    <row r="665" spans="1:9" ht="14.25" customHeight="1">
      <c r="A665" s="7"/>
      <c r="B665" s="7"/>
      <c r="C665" s="7"/>
      <c r="D665" s="7"/>
      <c r="E665" s="7"/>
      <c r="F665" s="7"/>
      <c r="G665" s="7"/>
      <c r="H665" s="7"/>
      <c r="I665" s="7"/>
    </row>
    <row r="666" spans="1:9" ht="14.25" customHeight="1">
      <c r="A666" s="7"/>
      <c r="B666" s="7"/>
      <c r="C666" s="7"/>
      <c r="D666" s="7"/>
      <c r="E666" s="7"/>
      <c r="F666" s="7"/>
      <c r="G666" s="7"/>
      <c r="H666" s="7"/>
      <c r="I666" s="7"/>
    </row>
    <row r="667" spans="1:9" ht="14.25" customHeight="1">
      <c r="A667" s="7"/>
      <c r="B667" s="7"/>
      <c r="C667" s="7"/>
      <c r="D667" s="7"/>
      <c r="E667" s="7"/>
      <c r="F667" s="7"/>
      <c r="G667" s="7"/>
      <c r="H667" s="7"/>
      <c r="I667" s="7"/>
    </row>
    <row r="668" spans="1:9" ht="14.25" customHeight="1">
      <c r="A668" s="7"/>
      <c r="B668" s="7"/>
      <c r="C668" s="7"/>
      <c r="D668" s="7"/>
      <c r="E668" s="7"/>
      <c r="F668" s="7"/>
      <c r="G668" s="7"/>
      <c r="H668" s="7"/>
      <c r="I668" s="7"/>
    </row>
    <row r="669" spans="1:9" ht="14.25" customHeight="1">
      <c r="A669" s="7"/>
      <c r="B669" s="7"/>
      <c r="C669" s="7"/>
      <c r="D669" s="7"/>
      <c r="E669" s="7"/>
      <c r="F669" s="7"/>
      <c r="G669" s="7"/>
      <c r="H669" s="7"/>
      <c r="I669" s="7"/>
    </row>
    <row r="670" spans="1:9" ht="14.25" customHeight="1">
      <c r="A670" s="7"/>
      <c r="B670" s="7"/>
      <c r="C670" s="7"/>
      <c r="D670" s="7"/>
      <c r="E670" s="7"/>
      <c r="F670" s="7"/>
      <c r="G670" s="7"/>
      <c r="H670" s="7"/>
      <c r="I670" s="7"/>
    </row>
    <row r="671" spans="1:9" ht="14.25" customHeight="1">
      <c r="A671" s="7"/>
      <c r="B671" s="7"/>
      <c r="C671" s="7"/>
      <c r="D671" s="7"/>
      <c r="E671" s="7"/>
      <c r="F671" s="7"/>
      <c r="G671" s="7"/>
      <c r="H671" s="7"/>
      <c r="I671" s="7"/>
    </row>
    <row r="672" spans="1:9" ht="14.25" customHeight="1">
      <c r="A672" s="7"/>
      <c r="B672" s="7"/>
      <c r="C672" s="7"/>
      <c r="D672" s="7"/>
      <c r="E672" s="7"/>
      <c r="F672" s="7"/>
      <c r="G672" s="7"/>
      <c r="H672" s="7"/>
      <c r="I672" s="7"/>
    </row>
    <row r="673" spans="1:9" ht="14.25" customHeight="1">
      <c r="A673" s="7"/>
      <c r="B673" s="7"/>
      <c r="C673" s="7"/>
      <c r="D673" s="7"/>
      <c r="E673" s="7"/>
      <c r="F673" s="7"/>
      <c r="G673" s="7"/>
      <c r="H673" s="7"/>
      <c r="I673" s="7"/>
    </row>
    <row r="674" spans="1:9" ht="14.25" customHeight="1">
      <c r="A674" s="7"/>
      <c r="B674" s="7"/>
      <c r="C674" s="7"/>
      <c r="D674" s="7"/>
      <c r="E674" s="7"/>
      <c r="F674" s="7"/>
      <c r="G674" s="7"/>
      <c r="H674" s="7"/>
      <c r="I674" s="7"/>
    </row>
    <row r="675" spans="1:9" ht="14.25" customHeight="1">
      <c r="A675" s="7"/>
      <c r="B675" s="7"/>
      <c r="C675" s="7"/>
      <c r="D675" s="7"/>
      <c r="E675" s="7"/>
      <c r="F675" s="7"/>
      <c r="G675" s="7"/>
      <c r="H675" s="7"/>
      <c r="I675" s="7"/>
    </row>
    <row r="676" spans="1:9" ht="14.25" customHeight="1">
      <c r="A676" s="7"/>
      <c r="B676" s="7"/>
      <c r="C676" s="7"/>
      <c r="D676" s="7"/>
      <c r="E676" s="7"/>
      <c r="F676" s="7"/>
      <c r="G676" s="7"/>
      <c r="H676" s="7"/>
      <c r="I676" s="7"/>
    </row>
    <row r="677" spans="1:9" ht="14.25" customHeight="1">
      <c r="A677" s="7"/>
      <c r="B677" s="7"/>
      <c r="C677" s="7"/>
      <c r="D677" s="7"/>
      <c r="E677" s="7"/>
      <c r="F677" s="7"/>
      <c r="G677" s="7"/>
      <c r="H677" s="7"/>
      <c r="I677" s="7"/>
    </row>
    <row r="678" spans="1:9" ht="14.25" customHeight="1">
      <c r="A678" s="7"/>
      <c r="B678" s="7"/>
      <c r="C678" s="7"/>
      <c r="D678" s="7"/>
      <c r="E678" s="7"/>
      <c r="F678" s="7"/>
      <c r="G678" s="7"/>
      <c r="H678" s="7"/>
      <c r="I678" s="7"/>
    </row>
    <row r="679" spans="1:9" ht="14.25" customHeight="1">
      <c r="A679" s="7"/>
      <c r="B679" s="7"/>
      <c r="C679" s="7"/>
      <c r="D679" s="7"/>
      <c r="E679" s="7"/>
      <c r="F679" s="7"/>
      <c r="G679" s="7"/>
      <c r="H679" s="7"/>
      <c r="I679" s="7"/>
    </row>
    <row r="680" spans="1:9" ht="14.25" customHeight="1">
      <c r="A680" s="7"/>
      <c r="B680" s="7"/>
      <c r="C680" s="7"/>
      <c r="D680" s="7"/>
      <c r="E680" s="7"/>
      <c r="F680" s="7"/>
      <c r="G680" s="7"/>
      <c r="H680" s="7"/>
      <c r="I680" s="7"/>
    </row>
    <row r="681" spans="1:9" ht="14.25" customHeight="1">
      <c r="A681" s="7"/>
      <c r="B681" s="7"/>
      <c r="C681" s="7"/>
      <c r="D681" s="7"/>
      <c r="E681" s="7"/>
      <c r="F681" s="7"/>
      <c r="G681" s="7"/>
      <c r="H681" s="7"/>
      <c r="I681" s="7"/>
    </row>
    <row r="682" spans="1:9" ht="14.25" customHeight="1">
      <c r="A682" s="7"/>
      <c r="B682" s="7"/>
      <c r="C682" s="7"/>
      <c r="D682" s="7"/>
      <c r="E682" s="7"/>
      <c r="F682" s="7"/>
      <c r="G682" s="7"/>
      <c r="H682" s="7"/>
      <c r="I682" s="7"/>
    </row>
    <row r="683" spans="1:9" ht="14.25" customHeight="1">
      <c r="A683" s="7"/>
      <c r="B683" s="7"/>
      <c r="C683" s="7"/>
      <c r="D683" s="7"/>
      <c r="E683" s="7"/>
      <c r="F683" s="7"/>
      <c r="G683" s="7"/>
      <c r="H683" s="7"/>
      <c r="I683" s="7"/>
    </row>
    <row r="684" spans="1:9" ht="14.25" customHeight="1">
      <c r="A684" s="7"/>
      <c r="B684" s="7"/>
      <c r="C684" s="7"/>
      <c r="D684" s="7"/>
      <c r="E684" s="7"/>
      <c r="F684" s="7"/>
      <c r="G684" s="7"/>
      <c r="H684" s="7"/>
      <c r="I684" s="7"/>
    </row>
    <row r="685" spans="1:9" ht="14.25" customHeight="1">
      <c r="A685" s="7"/>
      <c r="B685" s="7"/>
      <c r="C685" s="7"/>
      <c r="D685" s="7"/>
      <c r="E685" s="7"/>
      <c r="F685" s="7"/>
      <c r="G685" s="7"/>
      <c r="H685" s="7"/>
      <c r="I685" s="7"/>
    </row>
    <row r="686" spans="1:9" ht="14.25" customHeight="1">
      <c r="A686" s="7"/>
      <c r="B686" s="7"/>
      <c r="C686" s="7"/>
      <c r="D686" s="7"/>
      <c r="E686" s="7"/>
      <c r="F686" s="7"/>
      <c r="G686" s="7"/>
      <c r="H686" s="7"/>
      <c r="I686" s="7"/>
    </row>
    <row r="687" spans="1:9" ht="14.25" customHeight="1">
      <c r="A687" s="7"/>
      <c r="B687" s="7"/>
      <c r="C687" s="7"/>
      <c r="D687" s="7"/>
      <c r="E687" s="7"/>
      <c r="F687" s="7"/>
      <c r="G687" s="7"/>
      <c r="H687" s="7"/>
      <c r="I687" s="7"/>
    </row>
    <row r="688" spans="1:9" ht="14.25" customHeight="1">
      <c r="A688" s="7"/>
      <c r="B688" s="7"/>
      <c r="C688" s="7"/>
      <c r="D688" s="7"/>
      <c r="E688" s="7"/>
      <c r="F688" s="7"/>
      <c r="G688" s="7"/>
      <c r="H688" s="7"/>
      <c r="I688" s="7"/>
    </row>
    <row r="689" spans="1:9" ht="14.25" customHeight="1">
      <c r="A689" s="7"/>
      <c r="B689" s="7"/>
      <c r="C689" s="7"/>
      <c r="D689" s="7"/>
      <c r="E689" s="7"/>
      <c r="F689" s="7"/>
      <c r="G689" s="7"/>
      <c r="H689" s="7"/>
      <c r="I689" s="7"/>
    </row>
    <row r="690" spans="1:9" ht="14.25" customHeight="1">
      <c r="A690" s="7"/>
      <c r="B690" s="7"/>
      <c r="C690" s="7"/>
      <c r="D690" s="7"/>
      <c r="E690" s="7"/>
      <c r="F690" s="7"/>
      <c r="G690" s="7"/>
      <c r="H690" s="7"/>
      <c r="I690" s="7"/>
    </row>
    <row r="691" spans="1:9" ht="14.25" customHeight="1">
      <c r="A691" s="7"/>
      <c r="B691" s="7"/>
      <c r="C691" s="7"/>
      <c r="D691" s="7"/>
      <c r="E691" s="7"/>
      <c r="F691" s="7"/>
      <c r="G691" s="7"/>
      <c r="H691" s="7"/>
      <c r="I691" s="7"/>
    </row>
    <row r="692" spans="1:9" ht="14.25" customHeight="1">
      <c r="A692" s="7"/>
      <c r="B692" s="7"/>
      <c r="C692" s="7"/>
      <c r="D692" s="7"/>
      <c r="E692" s="7"/>
      <c r="F692" s="7"/>
      <c r="G692" s="7"/>
      <c r="H692" s="7"/>
      <c r="I692" s="7"/>
    </row>
    <row r="693" spans="1:9" ht="14.25" customHeight="1">
      <c r="A693" s="7"/>
      <c r="B693" s="7"/>
      <c r="C693" s="7"/>
      <c r="D693" s="7"/>
      <c r="E693" s="7"/>
      <c r="F693" s="7"/>
      <c r="G693" s="7"/>
      <c r="H693" s="7"/>
      <c r="I693" s="7"/>
    </row>
    <row r="694" spans="1:9" ht="14.25" customHeight="1">
      <c r="A694" s="7"/>
      <c r="B694" s="7"/>
      <c r="C694" s="7"/>
      <c r="D694" s="7"/>
      <c r="E694" s="7"/>
      <c r="F694" s="7"/>
      <c r="G694" s="7"/>
      <c r="H694" s="7"/>
      <c r="I694" s="7"/>
    </row>
    <row r="695" spans="1:9" ht="14.25" customHeight="1">
      <c r="A695" s="7"/>
      <c r="B695" s="7"/>
      <c r="C695" s="7"/>
      <c r="D695" s="7"/>
      <c r="E695" s="7"/>
      <c r="F695" s="7"/>
      <c r="G695" s="7"/>
      <c r="H695" s="7"/>
      <c r="I695" s="7"/>
    </row>
    <row r="696" spans="1:9" ht="14.25" customHeight="1">
      <c r="A696" s="7"/>
      <c r="B696" s="7"/>
      <c r="C696" s="7"/>
      <c r="D696" s="7"/>
      <c r="E696" s="7"/>
      <c r="F696" s="7"/>
      <c r="G696" s="7"/>
      <c r="H696" s="7"/>
      <c r="I696" s="7"/>
    </row>
    <row r="697" spans="1:9" ht="14.25" customHeight="1">
      <c r="A697" s="7"/>
      <c r="B697" s="7"/>
      <c r="C697" s="7"/>
      <c r="D697" s="7"/>
      <c r="E697" s="7"/>
      <c r="F697" s="7"/>
      <c r="G697" s="7"/>
      <c r="H697" s="7"/>
      <c r="I697" s="7"/>
    </row>
    <row r="698" spans="1:9" ht="14.25" customHeight="1">
      <c r="A698" s="7"/>
      <c r="B698" s="7"/>
      <c r="C698" s="7"/>
      <c r="D698" s="7"/>
      <c r="E698" s="7"/>
      <c r="F698" s="7"/>
      <c r="G698" s="7"/>
      <c r="H698" s="7"/>
      <c r="I698" s="7"/>
    </row>
    <row r="699" spans="1:9" ht="14.25" customHeight="1">
      <c r="A699" s="7"/>
      <c r="B699" s="7"/>
      <c r="C699" s="7"/>
      <c r="D699" s="7"/>
      <c r="E699" s="7"/>
      <c r="F699" s="7"/>
      <c r="G699" s="7"/>
      <c r="H699" s="7"/>
      <c r="I699" s="7"/>
    </row>
    <row r="700" spans="1:9" ht="14.25" customHeight="1">
      <c r="A700" s="7"/>
      <c r="B700" s="7"/>
      <c r="C700" s="7"/>
      <c r="D700" s="7"/>
      <c r="E700" s="7"/>
      <c r="F700" s="7"/>
      <c r="G700" s="7"/>
      <c r="H700" s="7"/>
      <c r="I700" s="7"/>
    </row>
    <row r="701" spans="1:9" ht="14.25" customHeight="1">
      <c r="A701" s="7"/>
      <c r="B701" s="7"/>
      <c r="C701" s="7"/>
      <c r="D701" s="7"/>
      <c r="E701" s="7"/>
      <c r="F701" s="7"/>
      <c r="G701" s="7"/>
      <c r="H701" s="7"/>
      <c r="I701" s="7"/>
    </row>
    <row r="702" spans="1:9" ht="14.25" customHeight="1">
      <c r="A702" s="7"/>
      <c r="B702" s="7"/>
      <c r="C702" s="7"/>
      <c r="D702" s="7"/>
      <c r="E702" s="7"/>
      <c r="F702" s="7"/>
      <c r="G702" s="7"/>
      <c r="H702" s="7"/>
      <c r="I702" s="7"/>
    </row>
    <row r="703" spans="1:9" ht="14.25" customHeight="1">
      <c r="A703" s="7"/>
      <c r="B703" s="7"/>
      <c r="C703" s="7"/>
      <c r="D703" s="7"/>
      <c r="E703" s="7"/>
      <c r="F703" s="7"/>
      <c r="G703" s="7"/>
      <c r="H703" s="7"/>
      <c r="I703" s="7"/>
    </row>
    <row r="704" spans="1:9" ht="14.25" customHeight="1">
      <c r="A704" s="7"/>
      <c r="B704" s="7"/>
      <c r="C704" s="7"/>
      <c r="D704" s="7"/>
      <c r="E704" s="7"/>
      <c r="F704" s="7"/>
      <c r="G704" s="7"/>
      <c r="H704" s="7"/>
      <c r="I704" s="7"/>
    </row>
    <row r="705" spans="1:9" ht="14.25" customHeight="1">
      <c r="A705" s="7"/>
      <c r="B705" s="7"/>
      <c r="C705" s="7"/>
      <c r="D705" s="7"/>
      <c r="E705" s="7"/>
      <c r="F705" s="7"/>
      <c r="G705" s="7"/>
      <c r="H705" s="7"/>
      <c r="I705" s="7"/>
    </row>
    <row r="706" spans="1:9" ht="14.25" customHeight="1">
      <c r="A706" s="7"/>
      <c r="B706" s="7"/>
      <c r="C706" s="7"/>
      <c r="D706" s="7"/>
      <c r="E706" s="7"/>
      <c r="F706" s="7"/>
      <c r="G706" s="7"/>
      <c r="H706" s="7"/>
      <c r="I706" s="7"/>
    </row>
    <row r="707" spans="1:9" ht="14.25" customHeight="1">
      <c r="A707" s="7"/>
      <c r="B707" s="7"/>
      <c r="C707" s="7"/>
      <c r="D707" s="7"/>
      <c r="E707" s="7"/>
      <c r="F707" s="7"/>
      <c r="G707" s="7"/>
      <c r="H707" s="7"/>
      <c r="I707" s="7"/>
    </row>
    <row r="708" spans="1:9" ht="14.25" customHeight="1">
      <c r="A708" s="7"/>
      <c r="B708" s="7"/>
      <c r="C708" s="7"/>
      <c r="D708" s="7"/>
      <c r="E708" s="7"/>
      <c r="F708" s="7"/>
      <c r="G708" s="7"/>
      <c r="H708" s="7"/>
      <c r="I708" s="7"/>
    </row>
    <row r="709" spans="1:9" ht="14.25" customHeight="1">
      <c r="A709" s="7"/>
      <c r="B709" s="7"/>
      <c r="C709" s="7"/>
      <c r="D709" s="7"/>
      <c r="E709" s="7"/>
      <c r="F709" s="7"/>
      <c r="G709" s="7"/>
      <c r="H709" s="7"/>
      <c r="I709" s="7"/>
    </row>
    <row r="710" spans="1:9" ht="14.25" customHeight="1">
      <c r="A710" s="7"/>
      <c r="B710" s="7"/>
      <c r="C710" s="7"/>
      <c r="D710" s="7"/>
      <c r="E710" s="7"/>
      <c r="F710" s="7"/>
      <c r="G710" s="7"/>
      <c r="H710" s="7"/>
      <c r="I710" s="7"/>
    </row>
    <row r="711" spans="1:9" ht="14.25" customHeight="1">
      <c r="A711" s="7"/>
      <c r="B711" s="7"/>
      <c r="C711" s="7"/>
      <c r="D711" s="7"/>
      <c r="E711" s="7"/>
      <c r="F711" s="7"/>
      <c r="G711" s="7"/>
      <c r="H711" s="7"/>
      <c r="I711" s="7"/>
    </row>
    <row r="712" spans="1:9" ht="14.25" customHeight="1">
      <c r="A712" s="7"/>
      <c r="B712" s="7"/>
      <c r="C712" s="7"/>
      <c r="D712" s="7"/>
      <c r="E712" s="7"/>
      <c r="F712" s="7"/>
      <c r="G712" s="7"/>
      <c r="H712" s="7"/>
      <c r="I712" s="7"/>
    </row>
    <row r="713" spans="1:9" ht="14.25" customHeight="1">
      <c r="A713" s="7"/>
      <c r="B713" s="7"/>
      <c r="C713" s="7"/>
      <c r="D713" s="7"/>
      <c r="E713" s="7"/>
      <c r="F713" s="7"/>
      <c r="G713" s="7"/>
      <c r="H713" s="7"/>
      <c r="I713" s="7"/>
    </row>
    <row r="714" spans="1:9" ht="14.25" customHeight="1">
      <c r="A714" s="7"/>
      <c r="B714" s="7"/>
      <c r="C714" s="7"/>
      <c r="D714" s="7"/>
      <c r="E714" s="7"/>
      <c r="F714" s="7"/>
      <c r="G714" s="7"/>
      <c r="H714" s="7"/>
      <c r="I714" s="7"/>
    </row>
    <row r="715" spans="1:9" ht="14.25" customHeight="1">
      <c r="A715" s="7"/>
      <c r="B715" s="7"/>
      <c r="C715" s="7"/>
      <c r="D715" s="7"/>
      <c r="E715" s="7"/>
      <c r="F715" s="7"/>
      <c r="G715" s="7"/>
      <c r="H715" s="7"/>
      <c r="I715" s="7"/>
    </row>
    <row r="716" spans="1:9" ht="14.25" customHeight="1">
      <c r="A716" s="7"/>
      <c r="B716" s="7"/>
      <c r="C716" s="7"/>
      <c r="D716" s="7"/>
      <c r="E716" s="7"/>
      <c r="F716" s="7"/>
      <c r="G716" s="7"/>
      <c r="H716" s="7"/>
      <c r="I716" s="7"/>
    </row>
    <row r="717" spans="1:9" ht="14.25" customHeight="1">
      <c r="A717" s="7"/>
      <c r="B717" s="7"/>
      <c r="C717" s="7"/>
      <c r="D717" s="7"/>
      <c r="E717" s="7"/>
      <c r="F717" s="7"/>
      <c r="G717" s="7"/>
      <c r="H717" s="7"/>
      <c r="I717" s="7"/>
    </row>
    <row r="718" spans="1:9" ht="14.25" customHeight="1">
      <c r="A718" s="7"/>
      <c r="B718" s="7"/>
      <c r="C718" s="7"/>
      <c r="D718" s="7"/>
      <c r="E718" s="7"/>
      <c r="F718" s="7"/>
      <c r="G718" s="7"/>
      <c r="H718" s="7"/>
      <c r="I718" s="7"/>
    </row>
    <row r="719" spans="1:9" ht="14.25" customHeight="1">
      <c r="A719" s="7"/>
      <c r="B719" s="7"/>
      <c r="C719" s="7"/>
      <c r="D719" s="7"/>
      <c r="E719" s="7"/>
      <c r="F719" s="7"/>
      <c r="G719" s="7"/>
      <c r="H719" s="7"/>
      <c r="I719" s="7"/>
    </row>
    <row r="720" spans="1:9" ht="14.25" customHeight="1">
      <c r="A720" s="7"/>
      <c r="B720" s="7"/>
      <c r="C720" s="7"/>
      <c r="D720" s="7"/>
      <c r="E720" s="7"/>
      <c r="F720" s="7"/>
      <c r="G720" s="7"/>
      <c r="H720" s="7"/>
      <c r="I720" s="7"/>
    </row>
    <row r="721" spans="1:9" ht="14.25" customHeight="1">
      <c r="A721" s="7"/>
      <c r="B721" s="7"/>
      <c r="C721" s="7"/>
      <c r="D721" s="7"/>
      <c r="E721" s="7"/>
      <c r="F721" s="7"/>
      <c r="G721" s="7"/>
      <c r="H721" s="7"/>
      <c r="I721" s="7"/>
    </row>
    <row r="722" spans="1:9" ht="14.25" customHeight="1">
      <c r="A722" s="7"/>
      <c r="B722" s="7"/>
      <c r="C722" s="7"/>
      <c r="D722" s="7"/>
      <c r="E722" s="7"/>
      <c r="F722" s="7"/>
      <c r="G722" s="7"/>
      <c r="H722" s="7"/>
      <c r="I722" s="7"/>
    </row>
    <row r="723" spans="1:9" ht="15.75" customHeight="1"/>
    <row r="724" spans="1:9" ht="15.75" customHeight="1"/>
    <row r="725" spans="1:9" ht="15.75" customHeight="1"/>
    <row r="726" spans="1:9" ht="15.75" customHeight="1"/>
    <row r="727" spans="1:9" ht="15.75" customHeight="1"/>
    <row r="728" spans="1:9" ht="15.75" customHeight="1"/>
    <row r="729" spans="1:9" ht="15.75" customHeight="1"/>
    <row r="730" spans="1:9" ht="15.75" customHeight="1"/>
    <row r="731" spans="1:9" ht="15.75" customHeight="1"/>
    <row r="732" spans="1:9" ht="15.75" customHeight="1"/>
    <row r="733" spans="1:9" ht="15.75" customHeight="1"/>
    <row r="734" spans="1:9" ht="15.75" customHeight="1"/>
    <row r="735" spans="1:9" ht="15.75" customHeight="1"/>
    <row r="736" spans="1:9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B454:C454"/>
    <mergeCell ref="A2:C2"/>
    <mergeCell ref="A3:C3"/>
    <mergeCell ref="A4:E4"/>
    <mergeCell ref="A5:D5"/>
    <mergeCell ref="A6:E6"/>
    <mergeCell ref="H11:I11"/>
    <mergeCell ref="H12:I12"/>
    <mergeCell ref="C9:D9"/>
    <mergeCell ref="B447:C447"/>
    <mergeCell ref="B453:C453"/>
  </mergeCells>
  <conditionalFormatting sqref="E11:G11">
    <cfRule type="containsText" dxfId="23" priority="1" operator="containsText" text="hà giang">
      <formula>NOT(ISERROR(SEARCH(("hà giang"),(E11))))</formula>
    </cfRule>
  </conditionalFormatting>
  <conditionalFormatting sqref="U17:U447">
    <cfRule type="cellIs" dxfId="22" priority="2" operator="lessThan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722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41" ht="24.75" hidden="1" customHeight="1">
      <c r="A1" s="397" t="s">
        <v>0</v>
      </c>
      <c r="B1" s="398"/>
      <c r="C1" s="398"/>
      <c r="D1" s="399"/>
      <c r="E1" s="562"/>
      <c r="F1" s="7"/>
      <c r="G1" s="7"/>
      <c r="H1" s="7"/>
    </row>
    <row r="2" spans="1:41" ht="33" hidden="1" customHeight="1">
      <c r="A2" s="792" t="s">
        <v>1</v>
      </c>
      <c r="B2" s="793"/>
      <c r="C2" s="791"/>
      <c r="D2" s="399"/>
      <c r="E2" s="562"/>
      <c r="F2" s="7"/>
      <c r="G2" s="7"/>
      <c r="H2" s="7"/>
    </row>
    <row r="3" spans="1:41" ht="23.25" hidden="1" customHeight="1">
      <c r="A3" s="794" t="s">
        <v>2</v>
      </c>
      <c r="B3" s="793"/>
      <c r="C3" s="791"/>
      <c r="D3" s="399"/>
      <c r="E3" s="562"/>
      <c r="F3" s="7"/>
      <c r="G3" s="7"/>
      <c r="H3" s="7"/>
    </row>
    <row r="4" spans="1:41" ht="39.75" customHeight="1">
      <c r="A4" s="803" t="s">
        <v>1537</v>
      </c>
      <c r="B4" s="793"/>
      <c r="C4" s="793"/>
      <c r="D4" s="793"/>
      <c r="E4" s="791"/>
      <c r="F4" s="7"/>
      <c r="G4" s="7"/>
      <c r="H4" s="7"/>
    </row>
    <row r="5" spans="1:41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  <c r="G5" s="7"/>
      <c r="H5" s="7"/>
    </row>
    <row r="6" spans="1:41" ht="21" hidden="1" customHeight="1">
      <c r="A6" s="804" t="s">
        <v>1338</v>
      </c>
      <c r="B6" s="793"/>
      <c r="C6" s="793"/>
      <c r="D6" s="793"/>
      <c r="E6" s="791"/>
      <c r="F6" s="7"/>
      <c r="G6" s="7"/>
      <c r="H6" s="7"/>
    </row>
    <row r="7" spans="1:41" ht="18.75" hidden="1" customHeight="1">
      <c r="A7" s="244"/>
      <c r="B7" s="401"/>
      <c r="C7" s="564" t="s">
        <v>1339</v>
      </c>
      <c r="D7" s="403"/>
      <c r="E7" s="565"/>
      <c r="F7" s="7"/>
      <c r="G7" s="7"/>
      <c r="H7" s="7"/>
    </row>
    <row r="8" spans="1:41" ht="14.25" hidden="1" customHeight="1">
      <c r="A8" s="244"/>
      <c r="B8" s="404"/>
      <c r="C8" s="564" t="s">
        <v>1340</v>
      </c>
      <c r="D8" s="405"/>
      <c r="E8" s="566"/>
      <c r="F8" s="7"/>
      <c r="G8" s="7"/>
      <c r="H8" s="7"/>
    </row>
    <row r="9" spans="1:41" ht="14.25" hidden="1" customHeight="1">
      <c r="A9" s="244"/>
      <c r="B9" s="404"/>
      <c r="C9" s="798" t="s">
        <v>1341</v>
      </c>
      <c r="D9" s="791"/>
      <c r="E9" s="567"/>
      <c r="F9" s="7"/>
      <c r="G9" s="7"/>
      <c r="H9" s="7"/>
    </row>
    <row r="10" spans="1:41" ht="25.5" customHeight="1">
      <c r="A10" s="568"/>
      <c r="B10" s="569"/>
      <c r="C10" s="570"/>
      <c r="D10" s="571"/>
      <c r="E10" s="572"/>
      <c r="F10" s="7"/>
      <c r="G10" s="7"/>
      <c r="H10" s="7"/>
    </row>
    <row r="11" spans="1:41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89" t="s">
        <v>17</v>
      </c>
      <c r="F11" s="22" t="s">
        <v>17</v>
      </c>
      <c r="G11" s="22" t="s">
        <v>17</v>
      </c>
      <c r="H11" s="22" t="s">
        <v>17</v>
      </c>
      <c r="I11" s="22" t="s">
        <v>17</v>
      </c>
      <c r="J11" s="414" t="s">
        <v>17</v>
      </c>
      <c r="K11" s="414" t="s">
        <v>17</v>
      </c>
      <c r="L11" s="414" t="s">
        <v>17</v>
      </c>
      <c r="M11" s="22" t="s">
        <v>17</v>
      </c>
      <c r="N11" s="22" t="s">
        <v>17</v>
      </c>
      <c r="O11" s="22" t="s">
        <v>17</v>
      </c>
      <c r="P11" s="22" t="s">
        <v>17</v>
      </c>
      <c r="Q11" s="289" t="s">
        <v>17</v>
      </c>
      <c r="R11" s="22" t="s">
        <v>17</v>
      </c>
      <c r="S11" s="289" t="s">
        <v>17</v>
      </c>
      <c r="T11" s="22" t="s">
        <v>17</v>
      </c>
      <c r="U11" s="22" t="s">
        <v>17</v>
      </c>
      <c r="V11" s="22" t="s">
        <v>17</v>
      </c>
      <c r="W11" s="22" t="s">
        <v>17</v>
      </c>
      <c r="X11" s="22" t="s">
        <v>17</v>
      </c>
      <c r="Y11" s="22" t="s">
        <v>17</v>
      </c>
      <c r="Z11" s="574" t="s">
        <v>17</v>
      </c>
      <c r="AA11" s="201"/>
      <c r="AB11" s="576" t="s">
        <v>38</v>
      </c>
      <c r="AC11" s="577"/>
      <c r="AD11" s="535"/>
      <c r="AE11" s="535"/>
      <c r="AF11" s="7"/>
      <c r="AG11" s="7"/>
      <c r="AH11" s="7"/>
      <c r="AI11" s="7"/>
      <c r="AJ11" s="7"/>
      <c r="AK11" s="7"/>
      <c r="AL11" s="7"/>
      <c r="AM11" s="7"/>
      <c r="AN11" s="7"/>
      <c r="AO11" s="7"/>
    </row>
    <row r="12" spans="1:41" ht="29.25" customHeight="1">
      <c r="A12" s="578"/>
      <c r="B12" s="430"/>
      <c r="C12" s="579" t="s">
        <v>39</v>
      </c>
      <c r="D12" s="186"/>
      <c r="E12" s="187">
        <v>1</v>
      </c>
      <c r="F12" s="29">
        <v>1</v>
      </c>
      <c r="G12" s="29">
        <v>1</v>
      </c>
      <c r="H12" s="29">
        <v>1</v>
      </c>
      <c r="I12" s="29">
        <v>1</v>
      </c>
      <c r="J12" s="185">
        <v>1</v>
      </c>
      <c r="K12" s="185">
        <v>1</v>
      </c>
      <c r="L12" s="185">
        <v>1</v>
      </c>
      <c r="M12" s="30">
        <v>1</v>
      </c>
      <c r="N12" s="29">
        <v>1</v>
      </c>
      <c r="O12" s="29">
        <v>1</v>
      </c>
      <c r="P12" s="29">
        <v>1</v>
      </c>
      <c r="Q12" s="187">
        <v>1</v>
      </c>
      <c r="R12" s="29">
        <v>1</v>
      </c>
      <c r="S12" s="190">
        <v>1</v>
      </c>
      <c r="T12" s="29">
        <v>1</v>
      </c>
      <c r="U12" s="29">
        <v>1</v>
      </c>
      <c r="V12" s="29">
        <v>1</v>
      </c>
      <c r="W12" s="29">
        <v>1</v>
      </c>
      <c r="X12" s="29">
        <v>1</v>
      </c>
      <c r="Y12" s="247"/>
      <c r="Z12" s="185">
        <v>1</v>
      </c>
      <c r="AA12" s="352"/>
      <c r="AB12" s="581">
        <f>SUM(E12:AA12)</f>
        <v>21</v>
      </c>
      <c r="AC12" s="582"/>
      <c r="AD12" s="582"/>
      <c r="AE12" s="582"/>
      <c r="AF12" s="7"/>
      <c r="AG12" s="7"/>
      <c r="AH12" s="7"/>
      <c r="AI12" s="7">
        <v>6</v>
      </c>
      <c r="AJ12" s="7"/>
      <c r="AK12" s="7"/>
      <c r="AL12" s="7"/>
      <c r="AM12" s="7"/>
      <c r="AN12" s="7"/>
      <c r="AO12" s="7"/>
    </row>
    <row r="13" spans="1:41" ht="37.5" customHeight="1">
      <c r="A13" s="583"/>
      <c r="B13" s="584"/>
      <c r="C13" s="585" t="s">
        <v>40</v>
      </c>
      <c r="D13" s="584"/>
      <c r="E13" s="32" t="s">
        <v>2007</v>
      </c>
      <c r="F13" s="32" t="s">
        <v>2138</v>
      </c>
      <c r="G13" s="32" t="s">
        <v>2139</v>
      </c>
      <c r="H13" s="32" t="s">
        <v>2140</v>
      </c>
      <c r="I13" s="32" t="s">
        <v>2101</v>
      </c>
      <c r="J13" s="32" t="s">
        <v>2141</v>
      </c>
      <c r="K13" s="40" t="s">
        <v>2142</v>
      </c>
      <c r="L13" s="40" t="s">
        <v>2142</v>
      </c>
      <c r="M13" s="32" t="s">
        <v>2143</v>
      </c>
      <c r="N13" s="189" t="s">
        <v>2144</v>
      </c>
      <c r="O13" s="189">
        <v>44627</v>
      </c>
      <c r="P13" s="189">
        <v>44719</v>
      </c>
      <c r="Q13" s="587" t="s">
        <v>2145</v>
      </c>
      <c r="R13" s="32" t="s">
        <v>2091</v>
      </c>
      <c r="S13" s="190"/>
      <c r="T13" s="189" t="s">
        <v>2146</v>
      </c>
      <c r="U13" s="189" t="s">
        <v>2146</v>
      </c>
      <c r="V13" s="189">
        <v>44810</v>
      </c>
      <c r="W13" s="189" t="s">
        <v>2147</v>
      </c>
      <c r="X13" s="189" t="s">
        <v>1785</v>
      </c>
      <c r="Y13" s="250">
        <v>44799</v>
      </c>
      <c r="Z13" s="191" t="s">
        <v>1542</v>
      </c>
      <c r="AA13" s="32"/>
      <c r="AB13" s="581"/>
      <c r="AC13" s="591"/>
      <c r="AD13" s="582"/>
      <c r="AE13" s="591"/>
      <c r="AF13" s="7"/>
      <c r="AG13" s="7"/>
      <c r="AH13" s="7"/>
      <c r="AI13" s="7"/>
      <c r="AJ13" s="7"/>
      <c r="AK13" s="7"/>
      <c r="AL13" s="7"/>
      <c r="AM13" s="7"/>
      <c r="AN13" s="7"/>
      <c r="AO13" s="7"/>
    </row>
    <row r="14" spans="1:41" ht="53.25" customHeight="1">
      <c r="A14" s="578"/>
      <c r="B14" s="430"/>
      <c r="C14" s="579" t="s">
        <v>41</v>
      </c>
      <c r="D14" s="430"/>
      <c r="E14" s="714"/>
      <c r="F14" s="30"/>
      <c r="G14" s="30" t="s">
        <v>2148</v>
      </c>
      <c r="H14" s="30" t="s">
        <v>2149</v>
      </c>
      <c r="I14" s="30" t="s">
        <v>2150</v>
      </c>
      <c r="J14" s="185" t="s">
        <v>2151</v>
      </c>
      <c r="K14" s="185" t="s">
        <v>2151</v>
      </c>
      <c r="L14" s="185" t="s">
        <v>2149</v>
      </c>
      <c r="M14" s="30" t="s">
        <v>2152</v>
      </c>
      <c r="N14" s="30"/>
      <c r="O14" s="30"/>
      <c r="P14" s="30"/>
      <c r="Q14" s="190"/>
      <c r="R14" s="30" t="s">
        <v>2153</v>
      </c>
      <c r="S14" s="714"/>
      <c r="T14" s="30"/>
      <c r="U14" s="30"/>
      <c r="V14" s="30"/>
      <c r="W14" s="30"/>
      <c r="X14" s="30"/>
      <c r="Y14" s="247"/>
      <c r="Z14" s="592"/>
      <c r="AA14" s="593"/>
      <c r="AB14" s="581"/>
      <c r="AC14" s="582"/>
      <c r="AD14" s="582"/>
      <c r="AE14" s="582"/>
      <c r="AF14" s="7"/>
      <c r="AG14" s="7"/>
      <c r="AH14" s="7"/>
      <c r="AI14" s="7"/>
      <c r="AJ14" s="7"/>
      <c r="AK14" s="7"/>
      <c r="AL14" s="7"/>
      <c r="AM14" s="7"/>
      <c r="AN14" s="7"/>
      <c r="AO14" s="7"/>
    </row>
    <row r="15" spans="1:41" ht="51" customHeight="1">
      <c r="A15" s="578"/>
      <c r="B15" s="430"/>
      <c r="C15" s="579" t="s">
        <v>42</v>
      </c>
      <c r="D15" s="430"/>
      <c r="E15" s="190" t="s">
        <v>2154</v>
      </c>
      <c r="F15" s="30" t="s">
        <v>2155</v>
      </c>
      <c r="G15" s="30" t="s">
        <v>2156</v>
      </c>
      <c r="H15" s="30" t="s">
        <v>2157</v>
      </c>
      <c r="I15" s="30" t="s">
        <v>2156</v>
      </c>
      <c r="J15" s="191" t="s">
        <v>2158</v>
      </c>
      <c r="K15" s="191" t="s">
        <v>2156</v>
      </c>
      <c r="L15" s="191" t="s">
        <v>2156</v>
      </c>
      <c r="M15" s="30" t="s">
        <v>2159</v>
      </c>
      <c r="N15" s="30" t="s">
        <v>1394</v>
      </c>
      <c r="O15" s="30" t="s">
        <v>2160</v>
      </c>
      <c r="P15" s="30" t="s">
        <v>2161</v>
      </c>
      <c r="Q15" s="190" t="s">
        <v>1394</v>
      </c>
      <c r="R15" s="30" t="s">
        <v>1394</v>
      </c>
      <c r="S15" s="190" t="s">
        <v>2162</v>
      </c>
      <c r="T15" s="30" t="s">
        <v>2162</v>
      </c>
      <c r="U15" s="30" t="s">
        <v>2162</v>
      </c>
      <c r="V15" s="30" t="s">
        <v>2162</v>
      </c>
      <c r="W15" s="30" t="s">
        <v>2162</v>
      </c>
      <c r="X15" s="30" t="s">
        <v>2162</v>
      </c>
      <c r="Y15" s="247" t="s">
        <v>2163</v>
      </c>
      <c r="Z15" s="185" t="s">
        <v>1556</v>
      </c>
      <c r="AA15" s="353"/>
      <c r="AB15" s="576"/>
      <c r="AC15" s="582"/>
      <c r="AD15" s="582"/>
      <c r="AE15" s="582"/>
      <c r="AF15" s="7"/>
      <c r="AG15" s="7"/>
      <c r="AH15" s="7"/>
      <c r="AI15" s="7"/>
      <c r="AJ15" s="7"/>
      <c r="AK15" s="7"/>
      <c r="AL15" s="7"/>
      <c r="AM15" s="7"/>
      <c r="AN15" s="7"/>
      <c r="AO15" s="7"/>
    </row>
    <row r="16" spans="1:41" ht="30.75" customHeight="1">
      <c r="A16" s="579"/>
      <c r="B16" s="186"/>
      <c r="C16" s="579" t="s">
        <v>43</v>
      </c>
      <c r="D16" s="186"/>
      <c r="E16" s="730" t="s">
        <v>2164</v>
      </c>
      <c r="F16" s="34"/>
      <c r="G16" s="32"/>
      <c r="H16" s="32"/>
      <c r="I16" s="34" t="s">
        <v>2165</v>
      </c>
      <c r="J16" s="193" t="s">
        <v>2166</v>
      </c>
      <c r="K16" s="193" t="s">
        <v>2167</v>
      </c>
      <c r="L16" s="193" t="s">
        <v>2168</v>
      </c>
      <c r="M16" s="34" t="s">
        <v>2169</v>
      </c>
      <c r="N16" s="34" t="s">
        <v>2170</v>
      </c>
      <c r="O16" s="34" t="s">
        <v>2171</v>
      </c>
      <c r="P16" s="34" t="s">
        <v>2172</v>
      </c>
      <c r="Q16" s="194" t="s">
        <v>2173</v>
      </c>
      <c r="R16" s="34" t="s">
        <v>2174</v>
      </c>
      <c r="S16" s="190" t="s">
        <v>2175</v>
      </c>
      <c r="T16" s="34" t="s">
        <v>1402</v>
      </c>
      <c r="U16" s="34" t="s">
        <v>2176</v>
      </c>
      <c r="V16" s="34" t="s">
        <v>2177</v>
      </c>
      <c r="W16" s="34" t="s">
        <v>2178</v>
      </c>
      <c r="X16" s="34" t="s">
        <v>2179</v>
      </c>
      <c r="Y16" s="247" t="s">
        <v>2180</v>
      </c>
      <c r="Z16" s="185"/>
      <c r="AA16" s="597"/>
      <c r="AB16" s="598"/>
      <c r="AC16" s="599"/>
      <c r="AD16" s="599"/>
      <c r="AE16" s="599"/>
      <c r="AF16" s="7"/>
      <c r="AG16" s="7"/>
      <c r="AH16" s="7"/>
      <c r="AI16" s="7"/>
      <c r="AJ16" s="7"/>
      <c r="AK16" s="7"/>
      <c r="AL16" s="7"/>
      <c r="AM16" s="7"/>
      <c r="AN16" s="7"/>
      <c r="AO16" s="7"/>
    </row>
    <row r="17" spans="1:41" ht="33.75" customHeight="1">
      <c r="A17" s="583"/>
      <c r="B17" s="584"/>
      <c r="C17" s="585" t="s">
        <v>70</v>
      </c>
      <c r="D17" s="584"/>
      <c r="E17" s="32" t="s">
        <v>2007</v>
      </c>
      <c r="F17" s="32" t="s">
        <v>2181</v>
      </c>
      <c r="G17" s="32" t="s">
        <v>2182</v>
      </c>
      <c r="H17" s="32" t="s">
        <v>2140</v>
      </c>
      <c r="I17" s="32" t="s">
        <v>1663</v>
      </c>
      <c r="J17" s="32" t="s">
        <v>2183</v>
      </c>
      <c r="K17" s="40" t="s">
        <v>1783</v>
      </c>
      <c r="L17" s="40" t="s">
        <v>2184</v>
      </c>
      <c r="M17" s="32" t="s">
        <v>2185</v>
      </c>
      <c r="N17" s="189" t="s">
        <v>2144</v>
      </c>
      <c r="O17" s="189">
        <v>44627</v>
      </c>
      <c r="P17" s="189">
        <v>44719</v>
      </c>
      <c r="Q17" s="587" t="s">
        <v>2145</v>
      </c>
      <c r="R17" s="601" t="s">
        <v>1672</v>
      </c>
      <c r="S17" s="32" t="s">
        <v>2186</v>
      </c>
      <c r="T17" s="189" t="s">
        <v>1904</v>
      </c>
      <c r="U17" s="189" t="s">
        <v>2187</v>
      </c>
      <c r="V17" s="189">
        <v>44810</v>
      </c>
      <c r="W17" s="189" t="s">
        <v>2147</v>
      </c>
      <c r="X17" s="189" t="s">
        <v>1785</v>
      </c>
      <c r="Y17" s="40" t="s">
        <v>1574</v>
      </c>
      <c r="Z17" s="185" t="s">
        <v>1660</v>
      </c>
      <c r="AA17" s="32"/>
      <c r="AB17" s="581"/>
      <c r="AC17" s="591"/>
      <c r="AD17" s="591"/>
      <c r="AE17" s="591"/>
      <c r="AF17" s="7"/>
      <c r="AG17" s="7"/>
      <c r="AH17" s="7"/>
      <c r="AI17" s="7"/>
      <c r="AJ17" s="7"/>
      <c r="AK17" s="7"/>
      <c r="AL17" s="7"/>
      <c r="AM17" s="7"/>
      <c r="AN17" s="7"/>
      <c r="AO17" s="7"/>
    </row>
    <row r="18" spans="1:41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605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198"/>
      <c r="R18" s="43"/>
      <c r="S18" s="605"/>
      <c r="T18" s="196"/>
      <c r="U18" s="302"/>
      <c r="V18" s="302"/>
      <c r="W18" s="302"/>
      <c r="X18" s="302"/>
      <c r="Y18" s="462"/>
      <c r="Z18" s="197"/>
      <c r="AA18" s="606"/>
      <c r="AB18" s="607"/>
      <c r="AC18" s="608"/>
      <c r="AD18" s="609"/>
      <c r="AE18" s="609"/>
      <c r="AF18" s="7"/>
      <c r="AG18" s="7"/>
      <c r="AH18" s="7"/>
      <c r="AI18" s="7"/>
      <c r="AJ18" s="7"/>
      <c r="AK18" s="7"/>
      <c r="AL18" s="7"/>
      <c r="AM18" s="7"/>
      <c r="AN18" s="7"/>
      <c r="AO18" s="7"/>
    </row>
    <row r="19" spans="1:41" ht="27" customHeight="1">
      <c r="A19" s="466">
        <v>1</v>
      </c>
      <c r="B19" s="467" t="s">
        <v>87</v>
      </c>
      <c r="C19" s="610" t="s">
        <v>88</v>
      </c>
      <c r="D19" s="466"/>
      <c r="E19" s="614"/>
      <c r="F19" s="20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4"/>
      <c r="R19" s="201"/>
      <c r="S19" s="614"/>
      <c r="T19" s="202"/>
      <c r="U19" s="21"/>
      <c r="V19" s="21"/>
      <c r="W19" s="21"/>
      <c r="X19" s="21"/>
      <c r="Y19" s="363"/>
      <c r="Z19" s="611"/>
      <c r="AA19" s="615"/>
      <c r="AB19" s="616"/>
      <c r="AC19" s="617"/>
      <c r="AD19" s="577"/>
      <c r="AE19" s="577"/>
      <c r="AF19" s="7"/>
      <c r="AG19" s="363"/>
      <c r="AH19" s="7"/>
      <c r="AI19" s="618">
        <f>AG19-AB19</f>
        <v>0</v>
      </c>
      <c r="AJ19" s="7"/>
      <c r="AK19" s="7"/>
      <c r="AL19" s="7"/>
      <c r="AM19" s="7"/>
      <c r="AN19" s="7"/>
      <c r="AO19" s="7"/>
    </row>
    <row r="20" spans="1:41" ht="20.25" customHeight="1">
      <c r="A20" s="474"/>
      <c r="B20" s="475" t="s">
        <v>89</v>
      </c>
      <c r="C20" s="619" t="s">
        <v>90</v>
      </c>
      <c r="D20" s="416" t="s">
        <v>91</v>
      </c>
      <c r="E20" s="623"/>
      <c r="F20" s="209"/>
      <c r="G20" s="715">
        <v>1</v>
      </c>
      <c r="H20" s="715">
        <v>1</v>
      </c>
      <c r="I20" s="715">
        <v>2</v>
      </c>
      <c r="J20" s="209"/>
      <c r="K20" s="209">
        <v>1</v>
      </c>
      <c r="L20" s="209"/>
      <c r="M20" s="209"/>
      <c r="N20" s="209">
        <v>1</v>
      </c>
      <c r="O20" s="209">
        <v>1</v>
      </c>
      <c r="P20" s="209"/>
      <c r="Q20" s="211"/>
      <c r="R20" s="731">
        <v>1</v>
      </c>
      <c r="S20" s="718">
        <v>1</v>
      </c>
      <c r="T20" s="210"/>
      <c r="U20" s="211"/>
      <c r="V20" s="211"/>
      <c r="W20" s="211"/>
      <c r="X20" s="211"/>
      <c r="Y20" s="282">
        <v>1</v>
      </c>
      <c r="Z20" s="620"/>
      <c r="AA20" s="624"/>
      <c r="AB20" s="625">
        <f t="shared" ref="AB20:AB274" si="0">+SUM(E20:AA20)</f>
        <v>10</v>
      </c>
      <c r="AC20" s="626"/>
      <c r="AD20" s="627"/>
      <c r="AE20" s="627"/>
      <c r="AF20" s="7"/>
      <c r="AG20" s="732">
        <v>9</v>
      </c>
      <c r="AH20" s="7"/>
      <c r="AI20" s="618"/>
      <c r="AJ20" s="7"/>
      <c r="AK20" s="7"/>
      <c r="AL20" s="7"/>
      <c r="AM20" s="7"/>
      <c r="AN20" s="7"/>
      <c r="AO20" s="7"/>
    </row>
    <row r="21" spans="1:41" ht="20.25" customHeight="1">
      <c r="A21" s="482"/>
      <c r="B21" s="483" t="s">
        <v>94</v>
      </c>
      <c r="C21" s="629" t="s">
        <v>95</v>
      </c>
      <c r="D21" s="485" t="s">
        <v>91</v>
      </c>
      <c r="E21" s="632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5"/>
      <c r="R21" s="213"/>
      <c r="S21" s="632"/>
      <c r="T21" s="214"/>
      <c r="U21" s="215"/>
      <c r="V21" s="215"/>
      <c r="W21" s="215"/>
      <c r="X21" s="215"/>
      <c r="Y21" s="370"/>
      <c r="Z21" s="620"/>
      <c r="AA21" s="615"/>
      <c r="AB21" s="616">
        <f t="shared" si="0"/>
        <v>0</v>
      </c>
      <c r="AC21" s="633"/>
      <c r="AD21" s="634"/>
      <c r="AE21" s="634"/>
      <c r="AF21" s="7"/>
      <c r="AG21" s="628"/>
      <c r="AH21" s="7"/>
      <c r="AI21" s="618">
        <f t="shared" ref="AI21:AI29" si="1">AG21-AB21</f>
        <v>0</v>
      </c>
      <c r="AJ21" s="7"/>
      <c r="AK21" s="7"/>
      <c r="AL21" s="7"/>
      <c r="AM21" s="7"/>
      <c r="AN21" s="7"/>
      <c r="AO21" s="7"/>
    </row>
    <row r="22" spans="1:41" ht="20.25" customHeight="1">
      <c r="A22" s="482"/>
      <c r="B22" s="483" t="s">
        <v>96</v>
      </c>
      <c r="C22" s="629" t="s">
        <v>97</v>
      </c>
      <c r="D22" s="485" t="s">
        <v>91</v>
      </c>
      <c r="E22" s="632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5"/>
      <c r="R22" s="213"/>
      <c r="S22" s="632"/>
      <c r="T22" s="214"/>
      <c r="U22" s="215"/>
      <c r="V22" s="215"/>
      <c r="W22" s="215"/>
      <c r="X22" s="215"/>
      <c r="Y22" s="370"/>
      <c r="Z22" s="620"/>
      <c r="AA22" s="615"/>
      <c r="AB22" s="616">
        <f t="shared" si="0"/>
        <v>0</v>
      </c>
      <c r="AC22" s="633"/>
      <c r="AD22" s="634"/>
      <c r="AE22" s="634"/>
      <c r="AF22" s="7"/>
      <c r="AG22" s="628"/>
      <c r="AH22" s="7"/>
      <c r="AI22" s="618">
        <f t="shared" si="1"/>
        <v>0</v>
      </c>
      <c r="AJ22" s="7"/>
      <c r="AK22" s="7"/>
      <c r="AL22" s="7"/>
      <c r="AM22" s="7"/>
      <c r="AN22" s="7"/>
      <c r="AO22" s="7"/>
    </row>
    <row r="23" spans="1:41" ht="20.25" customHeight="1">
      <c r="A23" s="482"/>
      <c r="B23" s="483" t="s">
        <v>98</v>
      </c>
      <c r="C23" s="629" t="s">
        <v>99</v>
      </c>
      <c r="D23" s="485" t="s">
        <v>91</v>
      </c>
      <c r="E23" s="632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5"/>
      <c r="R23" s="213"/>
      <c r="S23" s="632"/>
      <c r="T23" s="214"/>
      <c r="U23" s="215"/>
      <c r="V23" s="215"/>
      <c r="W23" s="215"/>
      <c r="X23" s="215"/>
      <c r="Y23" s="370"/>
      <c r="Z23" s="620"/>
      <c r="AA23" s="615"/>
      <c r="AB23" s="616">
        <f t="shared" si="0"/>
        <v>0</v>
      </c>
      <c r="AC23" s="633"/>
      <c r="AD23" s="634"/>
      <c r="AE23" s="634"/>
      <c r="AF23" s="7"/>
      <c r="AG23" s="628"/>
      <c r="AH23" s="7"/>
      <c r="AI23" s="618">
        <f t="shared" si="1"/>
        <v>0</v>
      </c>
      <c r="AJ23" s="7"/>
      <c r="AK23" s="7"/>
      <c r="AL23" s="7"/>
      <c r="AM23" s="7"/>
      <c r="AN23" s="7"/>
      <c r="AO23" s="7"/>
    </row>
    <row r="24" spans="1:41" ht="20.25" customHeight="1">
      <c r="A24" s="482"/>
      <c r="B24" s="483" t="s">
        <v>100</v>
      </c>
      <c r="C24" s="629" t="s">
        <v>101</v>
      </c>
      <c r="D24" s="485" t="s">
        <v>91</v>
      </c>
      <c r="E24" s="632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5"/>
      <c r="R24" s="213"/>
      <c r="S24" s="632"/>
      <c r="T24" s="214"/>
      <c r="U24" s="215"/>
      <c r="V24" s="215"/>
      <c r="W24" s="215"/>
      <c r="X24" s="215"/>
      <c r="Y24" s="370"/>
      <c r="Z24" s="620"/>
      <c r="AA24" s="615"/>
      <c r="AB24" s="616">
        <f t="shared" si="0"/>
        <v>0</v>
      </c>
      <c r="AC24" s="633"/>
      <c r="AD24" s="634"/>
      <c r="AE24" s="634"/>
      <c r="AF24" s="7"/>
      <c r="AG24" s="628"/>
      <c r="AH24" s="7"/>
      <c r="AI24" s="618">
        <f t="shared" si="1"/>
        <v>0</v>
      </c>
      <c r="AJ24" s="7"/>
      <c r="AK24" s="7"/>
      <c r="AL24" s="7"/>
      <c r="AM24" s="7"/>
      <c r="AN24" s="7"/>
      <c r="AO24" s="7"/>
    </row>
    <row r="25" spans="1:41" ht="20.25" customHeight="1">
      <c r="A25" s="474"/>
      <c r="B25" s="475" t="s">
        <v>102</v>
      </c>
      <c r="C25" s="619" t="s">
        <v>103</v>
      </c>
      <c r="D25" s="416" t="s">
        <v>91</v>
      </c>
      <c r="E25" s="623"/>
      <c r="F25" s="209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11"/>
      <c r="R25" s="209"/>
      <c r="S25" s="623"/>
      <c r="T25" s="210"/>
      <c r="U25" s="211"/>
      <c r="V25" s="211"/>
      <c r="W25" s="211"/>
      <c r="X25" s="211"/>
      <c r="Y25" s="370"/>
      <c r="Z25" s="620"/>
      <c r="AA25" s="624"/>
      <c r="AB25" s="625">
        <f t="shared" si="0"/>
        <v>0</v>
      </c>
      <c r="AC25" s="626"/>
      <c r="AD25" s="627"/>
      <c r="AE25" s="627"/>
      <c r="AF25" s="7"/>
      <c r="AG25" s="628"/>
      <c r="AH25" s="7"/>
      <c r="AI25" s="618">
        <f t="shared" si="1"/>
        <v>0</v>
      </c>
      <c r="AJ25" s="7"/>
      <c r="AK25" s="7"/>
      <c r="AL25" s="7"/>
      <c r="AM25" s="7"/>
      <c r="AN25" s="7"/>
      <c r="AO25" s="7"/>
    </row>
    <row r="26" spans="1:41" ht="20.25" customHeight="1">
      <c r="A26" s="482"/>
      <c r="B26" s="483" t="s">
        <v>105</v>
      </c>
      <c r="C26" s="629" t="s">
        <v>95</v>
      </c>
      <c r="D26" s="485" t="s">
        <v>91</v>
      </c>
      <c r="E26" s="632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5"/>
      <c r="R26" s="213"/>
      <c r="S26" s="632"/>
      <c r="T26" s="214"/>
      <c r="U26" s="215"/>
      <c r="V26" s="215"/>
      <c r="W26" s="215"/>
      <c r="X26" s="215"/>
      <c r="Y26" s="370"/>
      <c r="Z26" s="620"/>
      <c r="AA26" s="615"/>
      <c r="AB26" s="616">
        <f t="shared" si="0"/>
        <v>0</v>
      </c>
      <c r="AC26" s="633"/>
      <c r="AD26" s="634"/>
      <c r="AE26" s="634"/>
      <c r="AF26" s="7"/>
      <c r="AG26" s="628"/>
      <c r="AH26" s="7"/>
      <c r="AI26" s="618">
        <f t="shared" si="1"/>
        <v>0</v>
      </c>
      <c r="AJ26" s="7"/>
      <c r="AK26" s="7"/>
      <c r="AL26" s="7"/>
      <c r="AM26" s="7"/>
      <c r="AN26" s="7"/>
      <c r="AO26" s="7"/>
    </row>
    <row r="27" spans="1:41" ht="20.25" customHeight="1">
      <c r="A27" s="482"/>
      <c r="B27" s="483" t="s">
        <v>106</v>
      </c>
      <c r="C27" s="629" t="s">
        <v>97</v>
      </c>
      <c r="D27" s="485" t="s">
        <v>91</v>
      </c>
      <c r="E27" s="632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5"/>
      <c r="R27" s="213"/>
      <c r="S27" s="632"/>
      <c r="T27" s="214"/>
      <c r="U27" s="215"/>
      <c r="V27" s="215"/>
      <c r="W27" s="215"/>
      <c r="X27" s="215"/>
      <c r="Y27" s="370"/>
      <c r="Z27" s="620"/>
      <c r="AA27" s="615"/>
      <c r="AB27" s="616">
        <f t="shared" si="0"/>
        <v>0</v>
      </c>
      <c r="AC27" s="633"/>
      <c r="AD27" s="634"/>
      <c r="AE27" s="634"/>
      <c r="AF27" s="7"/>
      <c r="AG27" s="628"/>
      <c r="AH27" s="7"/>
      <c r="AI27" s="618">
        <f t="shared" si="1"/>
        <v>0</v>
      </c>
      <c r="AJ27" s="7"/>
      <c r="AK27" s="7"/>
      <c r="AL27" s="7"/>
      <c r="AM27" s="7"/>
      <c r="AN27" s="7"/>
      <c r="AO27" s="7"/>
    </row>
    <row r="28" spans="1:41" ht="20.25" customHeight="1">
      <c r="A28" s="482"/>
      <c r="B28" s="483" t="s">
        <v>107</v>
      </c>
      <c r="C28" s="629" t="s">
        <v>99</v>
      </c>
      <c r="D28" s="485" t="s">
        <v>91</v>
      </c>
      <c r="E28" s="632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5"/>
      <c r="R28" s="213"/>
      <c r="S28" s="632"/>
      <c r="T28" s="214"/>
      <c r="U28" s="215"/>
      <c r="V28" s="215"/>
      <c r="W28" s="215"/>
      <c r="X28" s="215"/>
      <c r="Y28" s="370"/>
      <c r="Z28" s="620"/>
      <c r="AA28" s="615"/>
      <c r="AB28" s="616">
        <f t="shared" si="0"/>
        <v>0</v>
      </c>
      <c r="AC28" s="633"/>
      <c r="AD28" s="634"/>
      <c r="AE28" s="634"/>
      <c r="AF28" s="7"/>
      <c r="AG28" s="628"/>
      <c r="AH28" s="7"/>
      <c r="AI28" s="618">
        <f t="shared" si="1"/>
        <v>0</v>
      </c>
      <c r="AJ28" s="7"/>
      <c r="AK28" s="7"/>
      <c r="AL28" s="7"/>
      <c r="AM28" s="7"/>
      <c r="AN28" s="7"/>
      <c r="AO28" s="7"/>
    </row>
    <row r="29" spans="1:41" ht="20.25" customHeight="1">
      <c r="A29" s="482"/>
      <c r="B29" s="483" t="s">
        <v>108</v>
      </c>
      <c r="C29" s="629" t="s">
        <v>101</v>
      </c>
      <c r="D29" s="485" t="s">
        <v>91</v>
      </c>
      <c r="E29" s="632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5"/>
      <c r="R29" s="213"/>
      <c r="S29" s="632"/>
      <c r="T29" s="214"/>
      <c r="U29" s="215"/>
      <c r="V29" s="215"/>
      <c r="W29" s="215"/>
      <c r="X29" s="215"/>
      <c r="Y29" s="370"/>
      <c r="Z29" s="620"/>
      <c r="AA29" s="615"/>
      <c r="AB29" s="616">
        <f t="shared" si="0"/>
        <v>0</v>
      </c>
      <c r="AC29" s="633"/>
      <c r="AD29" s="634"/>
      <c r="AE29" s="634"/>
      <c r="AF29" s="7"/>
      <c r="AG29" s="628"/>
      <c r="AH29" s="7"/>
      <c r="AI29" s="618">
        <f t="shared" si="1"/>
        <v>0</v>
      </c>
      <c r="AJ29" s="7"/>
      <c r="AK29" s="7"/>
      <c r="AL29" s="7"/>
      <c r="AM29" s="7"/>
      <c r="AN29" s="7"/>
      <c r="AO29" s="7"/>
    </row>
    <row r="30" spans="1:41" ht="20.25" customHeight="1">
      <c r="A30" s="474"/>
      <c r="B30" s="475" t="s">
        <v>109</v>
      </c>
      <c r="C30" s="619" t="s">
        <v>110</v>
      </c>
      <c r="D30" s="416" t="s">
        <v>91</v>
      </c>
      <c r="E30" s="623"/>
      <c r="F30" s="209"/>
      <c r="G30" s="209"/>
      <c r="H30" s="209">
        <v>1</v>
      </c>
      <c r="I30" s="209"/>
      <c r="J30" s="209"/>
      <c r="K30" s="209"/>
      <c r="L30" s="209"/>
      <c r="M30" s="209"/>
      <c r="N30" s="209"/>
      <c r="O30" s="209">
        <v>3</v>
      </c>
      <c r="P30" s="209"/>
      <c r="Q30" s="211"/>
      <c r="R30" s="209">
        <v>1</v>
      </c>
      <c r="S30" s="623">
        <v>1</v>
      </c>
      <c r="T30" s="210"/>
      <c r="U30" s="211"/>
      <c r="V30" s="211"/>
      <c r="W30" s="211"/>
      <c r="X30" s="211"/>
      <c r="Y30" s="370"/>
      <c r="Z30" s="620"/>
      <c r="AA30" s="624"/>
      <c r="AB30" s="625">
        <f t="shared" si="0"/>
        <v>6</v>
      </c>
      <c r="AC30" s="626"/>
      <c r="AD30" s="627"/>
      <c r="AE30" s="627"/>
      <c r="AF30" s="7"/>
      <c r="AG30" s="628">
        <v>4</v>
      </c>
      <c r="AH30" s="7"/>
      <c r="AI30" s="618"/>
      <c r="AJ30" s="7"/>
      <c r="AK30" s="7"/>
      <c r="AL30" s="7"/>
      <c r="AM30" s="7"/>
      <c r="AN30" s="7"/>
      <c r="AO30" s="7"/>
    </row>
    <row r="31" spans="1:41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632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5"/>
      <c r="R31" s="213"/>
      <c r="S31" s="632"/>
      <c r="T31" s="214"/>
      <c r="U31" s="215"/>
      <c r="V31" s="215"/>
      <c r="W31" s="215"/>
      <c r="X31" s="215"/>
      <c r="Y31" s="370"/>
      <c r="Z31" s="620"/>
      <c r="AA31" s="615"/>
      <c r="AB31" s="616">
        <f t="shared" si="0"/>
        <v>0</v>
      </c>
      <c r="AC31" s="633"/>
      <c r="AD31" s="634"/>
      <c r="AE31" s="634"/>
      <c r="AF31" s="7"/>
      <c r="AG31" s="628"/>
      <c r="AH31" s="7"/>
      <c r="AI31" s="618">
        <f t="shared" ref="AI31:AI36" si="2">AG31-AB31</f>
        <v>0</v>
      </c>
      <c r="AJ31" s="7"/>
      <c r="AK31" s="7"/>
      <c r="AL31" s="7"/>
      <c r="AM31" s="7"/>
      <c r="AN31" s="7"/>
      <c r="AO31" s="7"/>
    </row>
    <row r="32" spans="1:41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632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5"/>
      <c r="R32" s="213"/>
      <c r="S32" s="632"/>
      <c r="T32" s="214"/>
      <c r="U32" s="215"/>
      <c r="V32" s="215"/>
      <c r="W32" s="215"/>
      <c r="X32" s="215"/>
      <c r="Y32" s="370"/>
      <c r="Z32" s="620"/>
      <c r="AA32" s="615"/>
      <c r="AB32" s="616">
        <f t="shared" si="0"/>
        <v>0</v>
      </c>
      <c r="AC32" s="633"/>
      <c r="AD32" s="634"/>
      <c r="AE32" s="634"/>
      <c r="AF32" s="7"/>
      <c r="AG32" s="628"/>
      <c r="AH32" s="7"/>
      <c r="AI32" s="618">
        <f t="shared" si="2"/>
        <v>0</v>
      </c>
      <c r="AJ32" s="7"/>
      <c r="AK32" s="7"/>
      <c r="AL32" s="7"/>
      <c r="AM32" s="7"/>
      <c r="AN32" s="7"/>
      <c r="AO32" s="7"/>
    </row>
    <row r="33" spans="1:41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632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5"/>
      <c r="R33" s="213"/>
      <c r="S33" s="632"/>
      <c r="T33" s="214"/>
      <c r="U33" s="215"/>
      <c r="V33" s="215"/>
      <c r="W33" s="215"/>
      <c r="X33" s="215"/>
      <c r="Y33" s="370"/>
      <c r="Z33" s="620"/>
      <c r="AA33" s="615"/>
      <c r="AB33" s="616">
        <f t="shared" si="0"/>
        <v>0</v>
      </c>
      <c r="AC33" s="633"/>
      <c r="AD33" s="634"/>
      <c r="AE33" s="634"/>
      <c r="AF33" s="7"/>
      <c r="AG33" s="628"/>
      <c r="AH33" s="7"/>
      <c r="AI33" s="618">
        <f t="shared" si="2"/>
        <v>0</v>
      </c>
      <c r="AJ33" s="7"/>
      <c r="AK33" s="7"/>
      <c r="AL33" s="7"/>
      <c r="AM33" s="7"/>
      <c r="AN33" s="7"/>
      <c r="AO33" s="7"/>
    </row>
    <row r="34" spans="1:41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632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5"/>
      <c r="R34" s="213"/>
      <c r="S34" s="632"/>
      <c r="T34" s="214"/>
      <c r="U34" s="215"/>
      <c r="V34" s="215"/>
      <c r="W34" s="215"/>
      <c r="X34" s="215"/>
      <c r="Y34" s="370"/>
      <c r="Z34" s="620"/>
      <c r="AA34" s="615"/>
      <c r="AB34" s="616">
        <f t="shared" si="0"/>
        <v>0</v>
      </c>
      <c r="AC34" s="633"/>
      <c r="AD34" s="634"/>
      <c r="AE34" s="634"/>
      <c r="AF34" s="7"/>
      <c r="AG34" s="628"/>
      <c r="AH34" s="7"/>
      <c r="AI34" s="618">
        <f t="shared" si="2"/>
        <v>0</v>
      </c>
      <c r="AJ34" s="7"/>
      <c r="AK34" s="7"/>
      <c r="AL34" s="7"/>
      <c r="AM34" s="7"/>
      <c r="AN34" s="7"/>
      <c r="AO34" s="7"/>
    </row>
    <row r="35" spans="1:41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632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5"/>
      <c r="R35" s="213"/>
      <c r="S35" s="632"/>
      <c r="T35" s="214"/>
      <c r="U35" s="215"/>
      <c r="V35" s="215"/>
      <c r="W35" s="215"/>
      <c r="X35" s="215"/>
      <c r="Y35" s="370"/>
      <c r="Z35" s="620"/>
      <c r="AA35" s="615"/>
      <c r="AB35" s="616">
        <f t="shared" si="0"/>
        <v>0</v>
      </c>
      <c r="AC35" s="633"/>
      <c r="AD35" s="636"/>
      <c r="AE35" s="636"/>
      <c r="AF35" s="7"/>
      <c r="AG35" s="628"/>
      <c r="AH35" s="7"/>
      <c r="AI35" s="618">
        <f t="shared" si="2"/>
        <v>0</v>
      </c>
      <c r="AJ35" s="7"/>
      <c r="AK35" s="7"/>
      <c r="AL35" s="7"/>
      <c r="AM35" s="7"/>
      <c r="AN35" s="7"/>
      <c r="AO35" s="7"/>
    </row>
    <row r="36" spans="1:41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632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5"/>
      <c r="R36" s="213"/>
      <c r="S36" s="632"/>
      <c r="T36" s="214"/>
      <c r="U36" s="215"/>
      <c r="V36" s="215"/>
      <c r="W36" s="215"/>
      <c r="X36" s="215"/>
      <c r="Y36" s="370"/>
      <c r="Z36" s="620"/>
      <c r="AA36" s="615"/>
      <c r="AB36" s="616">
        <f t="shared" si="0"/>
        <v>0</v>
      </c>
      <c r="AC36" s="633"/>
      <c r="AD36" s="547" t="s">
        <v>1576</v>
      </c>
      <c r="AE36" s="636"/>
      <c r="AF36" s="7"/>
      <c r="AG36" s="628"/>
      <c r="AH36" s="7"/>
      <c r="AI36" s="618">
        <f t="shared" si="2"/>
        <v>0</v>
      </c>
      <c r="AJ36" s="7"/>
      <c r="AK36" s="7"/>
      <c r="AL36" s="7"/>
      <c r="AM36" s="7"/>
      <c r="AN36" s="7"/>
      <c r="AO36" s="7"/>
    </row>
    <row r="37" spans="1:41" ht="19.5" customHeight="1">
      <c r="A37" s="489">
        <v>2</v>
      </c>
      <c r="B37" s="490" t="s">
        <v>128</v>
      </c>
      <c r="C37" s="637" t="s">
        <v>129</v>
      </c>
      <c r="D37" s="491"/>
      <c r="E37" s="632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5"/>
      <c r="R37" s="213"/>
      <c r="S37" s="677">
        <f>SUM(S38:S53)+S62</f>
        <v>24</v>
      </c>
      <c r="T37" s="214"/>
      <c r="U37" s="215"/>
      <c r="V37" s="215"/>
      <c r="W37" s="215"/>
      <c r="X37" s="215"/>
      <c r="Y37" s="372"/>
      <c r="Z37" s="638"/>
      <c r="AA37" s="639"/>
      <c r="AB37" s="616">
        <f t="shared" si="0"/>
        <v>24</v>
      </c>
      <c r="AC37" s="633"/>
      <c r="AD37" s="640"/>
      <c r="AE37" s="640"/>
      <c r="AF37" s="7"/>
      <c r="AG37" s="628"/>
      <c r="AH37" s="7"/>
      <c r="AI37" s="618"/>
      <c r="AJ37" s="7"/>
      <c r="AK37" s="7"/>
      <c r="AL37" s="7"/>
      <c r="AM37" s="7"/>
      <c r="AN37" s="7"/>
      <c r="AO37" s="7"/>
    </row>
    <row r="38" spans="1:41" ht="20.25" customHeight="1">
      <c r="A38" s="492"/>
      <c r="B38" s="493" t="s">
        <v>130</v>
      </c>
      <c r="C38" s="641" t="s">
        <v>131</v>
      </c>
      <c r="D38" s="495" t="s">
        <v>132</v>
      </c>
      <c r="E38" s="623">
        <v>2</v>
      </c>
      <c r="F38" s="209"/>
      <c r="G38" s="209"/>
      <c r="H38" s="209"/>
      <c r="I38" s="209"/>
      <c r="J38" s="209"/>
      <c r="K38" s="209"/>
      <c r="L38" s="209"/>
      <c r="M38" s="209"/>
      <c r="N38" s="209"/>
      <c r="O38" s="209"/>
      <c r="P38" s="209">
        <v>1</v>
      </c>
      <c r="Q38" s="211"/>
      <c r="R38" s="209"/>
      <c r="S38" s="623">
        <v>1</v>
      </c>
      <c r="T38" s="210"/>
      <c r="U38" s="211">
        <v>1</v>
      </c>
      <c r="V38" s="211"/>
      <c r="W38" s="211"/>
      <c r="X38" s="211"/>
      <c r="Y38" s="372"/>
      <c r="Z38" s="620"/>
      <c r="AA38" s="624"/>
      <c r="AB38" s="625">
        <f t="shared" si="0"/>
        <v>5</v>
      </c>
      <c r="AC38" s="626"/>
      <c r="AD38" s="627" t="s">
        <v>1577</v>
      </c>
      <c r="AE38" s="642">
        <f>AB38</f>
        <v>5</v>
      </c>
      <c r="AF38" s="7"/>
      <c r="AG38" s="628">
        <v>23</v>
      </c>
      <c r="AH38" s="7"/>
      <c r="AI38" s="618">
        <f t="shared" ref="AI38:AI57" si="3">AG38-AB38</f>
        <v>18</v>
      </c>
      <c r="AJ38" s="7"/>
      <c r="AK38" s="7"/>
      <c r="AL38" s="7"/>
      <c r="AM38" s="7"/>
      <c r="AN38" s="7"/>
      <c r="AO38" s="7"/>
    </row>
    <row r="39" spans="1:41" ht="20.25" hidden="1" customHeight="1">
      <c r="A39" s="482"/>
      <c r="B39" s="483" t="s">
        <v>135</v>
      </c>
      <c r="C39" s="629" t="s">
        <v>136</v>
      </c>
      <c r="D39" s="485" t="s">
        <v>132</v>
      </c>
      <c r="E39" s="632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5"/>
      <c r="R39" s="213"/>
      <c r="S39" s="632"/>
      <c r="T39" s="214"/>
      <c r="U39" s="215"/>
      <c r="V39" s="215"/>
      <c r="W39" s="215"/>
      <c r="X39" s="215"/>
      <c r="Y39" s="370"/>
      <c r="Z39" s="620"/>
      <c r="AA39" s="643"/>
      <c r="AB39" s="616">
        <f t="shared" si="0"/>
        <v>0</v>
      </c>
      <c r="AC39" s="633"/>
      <c r="AD39" s="644" t="s">
        <v>1578</v>
      </c>
      <c r="AE39" s="645">
        <f>AC43</f>
        <v>122</v>
      </c>
      <c r="AF39" s="7"/>
      <c r="AG39" s="628"/>
      <c r="AH39" s="7"/>
      <c r="AI39" s="618">
        <f t="shared" si="3"/>
        <v>0</v>
      </c>
      <c r="AJ39" s="7"/>
      <c r="AK39" s="7"/>
      <c r="AL39" s="7"/>
      <c r="AM39" s="7"/>
      <c r="AN39" s="7"/>
      <c r="AO39" s="7"/>
    </row>
    <row r="40" spans="1:41" ht="20.25" hidden="1" customHeight="1">
      <c r="A40" s="482"/>
      <c r="B40" s="483" t="s">
        <v>137</v>
      </c>
      <c r="C40" s="629" t="s">
        <v>138</v>
      </c>
      <c r="D40" s="485" t="s">
        <v>132</v>
      </c>
      <c r="E40" s="632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5"/>
      <c r="R40" s="213"/>
      <c r="S40" s="632"/>
      <c r="T40" s="214"/>
      <c r="U40" s="215"/>
      <c r="V40" s="215"/>
      <c r="W40" s="215"/>
      <c r="X40" s="215"/>
      <c r="Y40" s="370"/>
      <c r="Z40" s="620"/>
      <c r="AA40" s="643"/>
      <c r="AB40" s="616">
        <f t="shared" si="0"/>
        <v>0</v>
      </c>
      <c r="AC40" s="633"/>
      <c r="AD40" s="636"/>
      <c r="AE40" s="636"/>
      <c r="AF40" s="7"/>
      <c r="AG40" s="628"/>
      <c r="AH40" s="7"/>
      <c r="AI40" s="618">
        <f t="shared" si="3"/>
        <v>0</v>
      </c>
      <c r="AJ40" s="7"/>
      <c r="AK40" s="7"/>
      <c r="AL40" s="7"/>
      <c r="AM40" s="7"/>
      <c r="AN40" s="7"/>
      <c r="AO40" s="7"/>
    </row>
    <row r="41" spans="1:41" ht="20.25" hidden="1" customHeight="1">
      <c r="A41" s="482"/>
      <c r="B41" s="483" t="s">
        <v>139</v>
      </c>
      <c r="C41" s="629" t="s">
        <v>140</v>
      </c>
      <c r="D41" s="485" t="s">
        <v>132</v>
      </c>
      <c r="E41" s="632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5"/>
      <c r="R41" s="213"/>
      <c r="S41" s="632"/>
      <c r="T41" s="214"/>
      <c r="U41" s="215"/>
      <c r="V41" s="215"/>
      <c r="W41" s="215"/>
      <c r="X41" s="215"/>
      <c r="Y41" s="370"/>
      <c r="Z41" s="620"/>
      <c r="AA41" s="643"/>
      <c r="AB41" s="616">
        <f t="shared" si="0"/>
        <v>0</v>
      </c>
      <c r="AC41" s="633"/>
      <c r="AD41" s="636"/>
      <c r="AE41" s="636"/>
      <c r="AF41" s="7"/>
      <c r="AG41" s="628"/>
      <c r="AH41" s="7"/>
      <c r="AI41" s="618">
        <f t="shared" si="3"/>
        <v>0</v>
      </c>
      <c r="AJ41" s="7"/>
      <c r="AK41" s="7"/>
      <c r="AL41" s="7"/>
      <c r="AM41" s="7"/>
      <c r="AN41" s="7"/>
      <c r="AO41" s="7"/>
    </row>
    <row r="42" spans="1:41" ht="20.25" hidden="1" customHeight="1">
      <c r="A42" s="482"/>
      <c r="B42" s="483" t="s">
        <v>141</v>
      </c>
      <c r="C42" s="629" t="s">
        <v>142</v>
      </c>
      <c r="D42" s="485" t="s">
        <v>132</v>
      </c>
      <c r="E42" s="632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5"/>
      <c r="R42" s="213"/>
      <c r="S42" s="632"/>
      <c r="T42" s="214"/>
      <c r="U42" s="215"/>
      <c r="V42" s="215"/>
      <c r="W42" s="215"/>
      <c r="X42" s="215"/>
      <c r="Y42" s="370"/>
      <c r="Z42" s="620"/>
      <c r="AA42" s="643"/>
      <c r="AB42" s="616">
        <f t="shared" si="0"/>
        <v>0</v>
      </c>
      <c r="AC42" s="633"/>
      <c r="AD42" s="636"/>
      <c r="AE42" s="636"/>
      <c r="AF42" s="7"/>
      <c r="AG42" s="628"/>
      <c r="AH42" s="7"/>
      <c r="AI42" s="618">
        <f t="shared" si="3"/>
        <v>0</v>
      </c>
      <c r="AJ42" s="7"/>
      <c r="AK42" s="7"/>
      <c r="AL42" s="7"/>
      <c r="AM42" s="7"/>
      <c r="AN42" s="7"/>
      <c r="AO42" s="7"/>
    </row>
    <row r="43" spans="1:41" ht="20.25" customHeight="1">
      <c r="A43" s="482"/>
      <c r="B43" s="496" t="s">
        <v>143</v>
      </c>
      <c r="C43" s="555" t="s">
        <v>144</v>
      </c>
      <c r="D43" s="485" t="s">
        <v>132</v>
      </c>
      <c r="E43" s="632"/>
      <c r="F43" s="213"/>
      <c r="G43" s="213"/>
      <c r="H43" s="213"/>
      <c r="I43" s="213"/>
      <c r="J43" s="213"/>
      <c r="K43" s="213"/>
      <c r="L43" s="213"/>
      <c r="M43" s="213"/>
      <c r="N43" s="213">
        <v>1</v>
      </c>
      <c r="O43" s="213"/>
      <c r="P43" s="213"/>
      <c r="Q43" s="215"/>
      <c r="R43" s="213"/>
      <c r="S43" s="632">
        <v>8</v>
      </c>
      <c r="T43" s="214"/>
      <c r="U43" s="215"/>
      <c r="V43" s="215"/>
      <c r="W43" s="215">
        <v>1</v>
      </c>
      <c r="X43" s="215"/>
      <c r="Y43" s="372"/>
      <c r="Z43" s="620"/>
      <c r="AA43" s="643"/>
      <c r="AB43" s="616">
        <f t="shared" si="0"/>
        <v>10</v>
      </c>
      <c r="AC43" s="633">
        <f>AB43+AB48+AB53+AB62</f>
        <v>122</v>
      </c>
      <c r="AD43" s="634"/>
      <c r="AE43" s="634"/>
      <c r="AF43" s="7"/>
      <c r="AG43" s="628">
        <v>50</v>
      </c>
      <c r="AH43" s="7"/>
      <c r="AI43" s="618">
        <f t="shared" si="3"/>
        <v>40</v>
      </c>
      <c r="AJ43" s="7"/>
      <c r="AK43" s="618">
        <f>SUM(AI43:AI53)</f>
        <v>235</v>
      </c>
      <c r="AL43" s="7"/>
      <c r="AM43" s="7"/>
      <c r="AN43" s="7"/>
      <c r="AO43" s="7"/>
    </row>
    <row r="44" spans="1:41" ht="20.25" hidden="1" customHeight="1">
      <c r="A44" s="482"/>
      <c r="B44" s="483" t="s">
        <v>147</v>
      </c>
      <c r="C44" s="629" t="s">
        <v>136</v>
      </c>
      <c r="D44" s="485" t="s">
        <v>132</v>
      </c>
      <c r="E44" s="632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5"/>
      <c r="R44" s="213"/>
      <c r="S44" s="632"/>
      <c r="T44" s="214"/>
      <c r="U44" s="215"/>
      <c r="V44" s="215"/>
      <c r="W44" s="215"/>
      <c r="X44" s="215"/>
      <c r="Y44" s="370"/>
      <c r="Z44" s="620"/>
      <c r="AA44" s="643"/>
      <c r="AB44" s="616">
        <f t="shared" si="0"/>
        <v>0</v>
      </c>
      <c r="AC44" s="633"/>
      <c r="AD44" s="634"/>
      <c r="AE44" s="634"/>
      <c r="AF44" s="7"/>
      <c r="AG44" s="628"/>
      <c r="AH44" s="7"/>
      <c r="AI44" s="618">
        <f t="shared" si="3"/>
        <v>0</v>
      </c>
      <c r="AJ44" s="7"/>
      <c r="AK44" s="7"/>
      <c r="AL44" s="7"/>
      <c r="AM44" s="7"/>
      <c r="AN44" s="7"/>
      <c r="AO44" s="7"/>
    </row>
    <row r="45" spans="1:41" ht="20.25" hidden="1" customHeight="1">
      <c r="A45" s="482"/>
      <c r="B45" s="483" t="s">
        <v>148</v>
      </c>
      <c r="C45" s="629" t="s">
        <v>138</v>
      </c>
      <c r="D45" s="485" t="s">
        <v>132</v>
      </c>
      <c r="E45" s="632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5"/>
      <c r="R45" s="213"/>
      <c r="S45" s="632"/>
      <c r="T45" s="214"/>
      <c r="U45" s="215"/>
      <c r="V45" s="215"/>
      <c r="W45" s="215"/>
      <c r="X45" s="215"/>
      <c r="Y45" s="370"/>
      <c r="Z45" s="620"/>
      <c r="AA45" s="643"/>
      <c r="AB45" s="616">
        <f t="shared" si="0"/>
        <v>0</v>
      </c>
      <c r="AC45" s="633"/>
      <c r="AD45" s="634"/>
      <c r="AE45" s="634"/>
      <c r="AF45" s="7"/>
      <c r="AG45" s="628"/>
      <c r="AH45" s="7"/>
      <c r="AI45" s="618">
        <f t="shared" si="3"/>
        <v>0</v>
      </c>
      <c r="AJ45" s="7"/>
      <c r="AK45" s="7"/>
      <c r="AL45" s="7"/>
      <c r="AM45" s="7"/>
      <c r="AN45" s="7"/>
      <c r="AO45" s="7"/>
    </row>
    <row r="46" spans="1:41" ht="20.25" hidden="1" customHeight="1">
      <c r="A46" s="482"/>
      <c r="B46" s="483" t="s">
        <v>149</v>
      </c>
      <c r="C46" s="629" t="s">
        <v>140</v>
      </c>
      <c r="D46" s="485" t="s">
        <v>132</v>
      </c>
      <c r="E46" s="632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5"/>
      <c r="R46" s="213"/>
      <c r="S46" s="632"/>
      <c r="T46" s="214"/>
      <c r="U46" s="215"/>
      <c r="V46" s="215"/>
      <c r="W46" s="215"/>
      <c r="X46" s="215"/>
      <c r="Y46" s="370"/>
      <c r="Z46" s="620"/>
      <c r="AA46" s="643"/>
      <c r="AB46" s="616">
        <f t="shared" si="0"/>
        <v>0</v>
      </c>
      <c r="AC46" s="633"/>
      <c r="AD46" s="634"/>
      <c r="AE46" s="634"/>
      <c r="AF46" s="7"/>
      <c r="AG46" s="628"/>
      <c r="AH46" s="7"/>
      <c r="AI46" s="618">
        <f t="shared" si="3"/>
        <v>0</v>
      </c>
      <c r="AJ46" s="7"/>
      <c r="AK46" s="7"/>
      <c r="AL46" s="7"/>
      <c r="AM46" s="7"/>
      <c r="AN46" s="7"/>
      <c r="AO46" s="7"/>
    </row>
    <row r="47" spans="1:41" ht="20.25" hidden="1" customHeight="1">
      <c r="A47" s="482"/>
      <c r="B47" s="483" t="s">
        <v>150</v>
      </c>
      <c r="C47" s="629" t="s">
        <v>142</v>
      </c>
      <c r="D47" s="485" t="s">
        <v>132</v>
      </c>
      <c r="E47" s="632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5"/>
      <c r="R47" s="213"/>
      <c r="S47" s="632"/>
      <c r="T47" s="214"/>
      <c r="U47" s="215"/>
      <c r="V47" s="215"/>
      <c r="W47" s="215"/>
      <c r="X47" s="215"/>
      <c r="Y47" s="370"/>
      <c r="Z47" s="620"/>
      <c r="AA47" s="643"/>
      <c r="AB47" s="616">
        <f t="shared" si="0"/>
        <v>0</v>
      </c>
      <c r="AC47" s="633"/>
      <c r="AD47" s="634"/>
      <c r="AE47" s="634"/>
      <c r="AF47" s="7"/>
      <c r="AG47" s="628"/>
      <c r="AH47" s="7"/>
      <c r="AI47" s="618">
        <f t="shared" si="3"/>
        <v>0</v>
      </c>
      <c r="AJ47" s="7"/>
      <c r="AK47" s="7"/>
      <c r="AL47" s="7"/>
      <c r="AM47" s="7"/>
      <c r="AN47" s="7"/>
      <c r="AO47" s="7"/>
    </row>
    <row r="48" spans="1:41" ht="20.25" customHeight="1">
      <c r="A48" s="482"/>
      <c r="B48" s="496" t="s">
        <v>151</v>
      </c>
      <c r="C48" s="555" t="s">
        <v>152</v>
      </c>
      <c r="D48" s="485" t="s">
        <v>132</v>
      </c>
      <c r="E48" s="632">
        <v>5</v>
      </c>
      <c r="F48" s="213"/>
      <c r="G48" s="213"/>
      <c r="H48" s="213"/>
      <c r="I48" s="213"/>
      <c r="J48" s="213">
        <v>1</v>
      </c>
      <c r="K48" s="213"/>
      <c r="L48" s="213"/>
      <c r="M48" s="213">
        <v>3</v>
      </c>
      <c r="N48" s="213">
        <v>1</v>
      </c>
      <c r="O48" s="213">
        <v>7</v>
      </c>
      <c r="P48" s="213"/>
      <c r="Q48" s="215"/>
      <c r="R48" s="213">
        <v>3</v>
      </c>
      <c r="S48" s="632">
        <v>8</v>
      </c>
      <c r="T48" s="214">
        <v>2</v>
      </c>
      <c r="U48" s="215">
        <v>10</v>
      </c>
      <c r="V48" s="215"/>
      <c r="W48" s="215"/>
      <c r="X48" s="215">
        <v>3</v>
      </c>
      <c r="Y48" s="372"/>
      <c r="Z48" s="620"/>
      <c r="AA48" s="643"/>
      <c r="AB48" s="616">
        <f t="shared" si="0"/>
        <v>43</v>
      </c>
      <c r="AC48" s="633"/>
      <c r="AD48" s="634"/>
      <c r="AE48" s="634"/>
      <c r="AF48" s="7"/>
      <c r="AG48" s="628">
        <v>33</v>
      </c>
      <c r="AH48" s="7"/>
      <c r="AI48" s="618">
        <f t="shared" si="3"/>
        <v>-10</v>
      </c>
      <c r="AJ48" s="7"/>
      <c r="AK48" s="7"/>
      <c r="AL48" s="7"/>
      <c r="AM48" s="7"/>
      <c r="AN48" s="7"/>
      <c r="AO48" s="7"/>
    </row>
    <row r="49" spans="1:41" ht="20.25" hidden="1" customHeight="1">
      <c r="A49" s="482"/>
      <c r="B49" s="483" t="s">
        <v>154</v>
      </c>
      <c r="C49" s="629" t="s">
        <v>136</v>
      </c>
      <c r="D49" s="485" t="s">
        <v>132</v>
      </c>
      <c r="E49" s="632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5"/>
      <c r="R49" s="213"/>
      <c r="S49" s="632"/>
      <c r="T49" s="214"/>
      <c r="U49" s="215"/>
      <c r="V49" s="215"/>
      <c r="W49" s="215"/>
      <c r="X49" s="215"/>
      <c r="Y49" s="370"/>
      <c r="Z49" s="620"/>
      <c r="AA49" s="643"/>
      <c r="AB49" s="616">
        <f t="shared" si="0"/>
        <v>0</v>
      </c>
      <c r="AC49" s="633"/>
      <c r="AD49" s="634"/>
      <c r="AE49" s="634"/>
      <c r="AF49" s="7"/>
      <c r="AG49" s="628"/>
      <c r="AH49" s="7"/>
      <c r="AI49" s="618">
        <f t="shared" si="3"/>
        <v>0</v>
      </c>
      <c r="AJ49" s="7"/>
      <c r="AK49" s="7"/>
      <c r="AL49" s="7"/>
      <c r="AM49" s="7"/>
      <c r="AN49" s="7"/>
      <c r="AO49" s="7"/>
    </row>
    <row r="50" spans="1:41" ht="20.25" hidden="1" customHeight="1">
      <c r="A50" s="482"/>
      <c r="B50" s="483" t="s">
        <v>155</v>
      </c>
      <c r="C50" s="629" t="s">
        <v>138</v>
      </c>
      <c r="D50" s="485" t="s">
        <v>132</v>
      </c>
      <c r="E50" s="632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5"/>
      <c r="R50" s="213"/>
      <c r="S50" s="632"/>
      <c r="T50" s="214"/>
      <c r="U50" s="215"/>
      <c r="V50" s="215"/>
      <c r="W50" s="215"/>
      <c r="X50" s="215"/>
      <c r="Y50" s="370"/>
      <c r="Z50" s="620"/>
      <c r="AA50" s="643"/>
      <c r="AB50" s="616">
        <f t="shared" si="0"/>
        <v>0</v>
      </c>
      <c r="AC50" s="633"/>
      <c r="AD50" s="634"/>
      <c r="AE50" s="634"/>
      <c r="AF50" s="7"/>
      <c r="AG50" s="628"/>
      <c r="AH50" s="7"/>
      <c r="AI50" s="618">
        <f t="shared" si="3"/>
        <v>0</v>
      </c>
      <c r="AJ50" s="7"/>
      <c r="AK50" s="7"/>
      <c r="AL50" s="7"/>
      <c r="AM50" s="7"/>
      <c r="AN50" s="7"/>
      <c r="AO50" s="7"/>
    </row>
    <row r="51" spans="1:41" ht="20.25" hidden="1" customHeight="1">
      <c r="A51" s="482"/>
      <c r="B51" s="483" t="s">
        <v>156</v>
      </c>
      <c r="C51" s="629" t="s">
        <v>140</v>
      </c>
      <c r="D51" s="485" t="s">
        <v>132</v>
      </c>
      <c r="E51" s="632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5"/>
      <c r="R51" s="213"/>
      <c r="S51" s="632"/>
      <c r="T51" s="214"/>
      <c r="U51" s="215"/>
      <c r="V51" s="215"/>
      <c r="W51" s="215"/>
      <c r="X51" s="215"/>
      <c r="Y51" s="370"/>
      <c r="Z51" s="620"/>
      <c r="AA51" s="643"/>
      <c r="AB51" s="616">
        <f t="shared" si="0"/>
        <v>0</v>
      </c>
      <c r="AC51" s="633"/>
      <c r="AD51" s="634"/>
      <c r="AE51" s="634"/>
      <c r="AF51" s="7"/>
      <c r="AG51" s="628"/>
      <c r="AH51" s="7"/>
      <c r="AI51" s="618">
        <f t="shared" si="3"/>
        <v>0</v>
      </c>
      <c r="AJ51" s="7"/>
      <c r="AK51" s="7"/>
      <c r="AL51" s="7"/>
      <c r="AM51" s="7"/>
      <c r="AN51" s="7"/>
      <c r="AO51" s="7"/>
    </row>
    <row r="52" spans="1:41" ht="20.25" hidden="1" customHeight="1">
      <c r="A52" s="482"/>
      <c r="B52" s="483" t="s">
        <v>157</v>
      </c>
      <c r="C52" s="629" t="s">
        <v>142</v>
      </c>
      <c r="D52" s="485" t="s">
        <v>132</v>
      </c>
      <c r="E52" s="632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5"/>
      <c r="R52" s="213"/>
      <c r="S52" s="632"/>
      <c r="T52" s="214"/>
      <c r="U52" s="215"/>
      <c r="V52" s="215"/>
      <c r="W52" s="215"/>
      <c r="X52" s="215"/>
      <c r="Y52" s="370"/>
      <c r="Z52" s="620"/>
      <c r="AA52" s="643"/>
      <c r="AB52" s="616">
        <f t="shared" si="0"/>
        <v>0</v>
      </c>
      <c r="AC52" s="633"/>
      <c r="AD52" s="634"/>
      <c r="AE52" s="634"/>
      <c r="AF52" s="7"/>
      <c r="AG52" s="628"/>
      <c r="AH52" s="7"/>
      <c r="AI52" s="618">
        <f t="shared" si="3"/>
        <v>0</v>
      </c>
      <c r="AJ52" s="7"/>
      <c r="AK52" s="7"/>
      <c r="AL52" s="7"/>
      <c r="AM52" s="7"/>
      <c r="AN52" s="7"/>
      <c r="AO52" s="7"/>
    </row>
    <row r="53" spans="1:41" ht="20.25" customHeight="1">
      <c r="A53" s="482"/>
      <c r="B53" s="483" t="s">
        <v>158</v>
      </c>
      <c r="C53" s="555" t="s">
        <v>159</v>
      </c>
      <c r="D53" s="485" t="s">
        <v>132</v>
      </c>
      <c r="E53" s="632"/>
      <c r="F53" s="213"/>
      <c r="G53" s="213"/>
      <c r="H53" s="213"/>
      <c r="I53" s="213"/>
      <c r="J53" s="213">
        <v>4</v>
      </c>
      <c r="K53" s="213"/>
      <c r="L53" s="213"/>
      <c r="M53" s="213">
        <v>2</v>
      </c>
      <c r="N53" s="213">
        <v>1</v>
      </c>
      <c r="O53" s="213">
        <v>1</v>
      </c>
      <c r="P53" s="213">
        <v>1</v>
      </c>
      <c r="Q53" s="215">
        <v>9</v>
      </c>
      <c r="R53" s="213">
        <v>4</v>
      </c>
      <c r="S53" s="632">
        <v>2</v>
      </c>
      <c r="T53" s="214">
        <f>1+5</f>
        <v>6</v>
      </c>
      <c r="U53" s="215"/>
      <c r="V53" s="215">
        <v>1</v>
      </c>
      <c r="W53" s="215">
        <v>9</v>
      </c>
      <c r="X53" s="215">
        <v>4</v>
      </c>
      <c r="Y53" s="499">
        <v>2</v>
      </c>
      <c r="Z53" s="620">
        <v>1</v>
      </c>
      <c r="AA53" s="643"/>
      <c r="AB53" s="616">
        <f t="shared" si="0"/>
        <v>47</v>
      </c>
      <c r="AC53" s="633"/>
      <c r="AD53" s="634"/>
      <c r="AE53" s="634"/>
      <c r="AF53" s="7"/>
      <c r="AG53" s="628">
        <v>252</v>
      </c>
      <c r="AH53" s="7"/>
      <c r="AI53" s="618">
        <f t="shared" si="3"/>
        <v>205</v>
      </c>
      <c r="AJ53" s="7"/>
      <c r="AK53" s="7"/>
      <c r="AL53" s="7"/>
      <c r="AM53" s="7"/>
      <c r="AN53" s="7"/>
      <c r="AO53" s="7"/>
    </row>
    <row r="54" spans="1:41" ht="20.25" hidden="1" customHeight="1">
      <c r="A54" s="482"/>
      <c r="B54" s="483" t="s">
        <v>161</v>
      </c>
      <c r="C54" s="629" t="s">
        <v>136</v>
      </c>
      <c r="D54" s="485" t="s">
        <v>132</v>
      </c>
      <c r="E54" s="632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5"/>
      <c r="R54" s="213"/>
      <c r="S54" s="632"/>
      <c r="T54" s="214"/>
      <c r="U54" s="215"/>
      <c r="V54" s="215"/>
      <c r="W54" s="215"/>
      <c r="X54" s="215"/>
      <c r="Y54" s="370"/>
      <c r="Z54" s="620"/>
      <c r="AA54" s="643"/>
      <c r="AB54" s="616">
        <f t="shared" si="0"/>
        <v>0</v>
      </c>
      <c r="AC54" s="633"/>
      <c r="AD54" s="634"/>
      <c r="AE54" s="634"/>
      <c r="AF54" s="7"/>
      <c r="AG54" s="628"/>
      <c r="AH54" s="7"/>
      <c r="AI54" s="618">
        <f t="shared" si="3"/>
        <v>0</v>
      </c>
      <c r="AJ54" s="7"/>
      <c r="AK54" s="7"/>
      <c r="AL54" s="7"/>
      <c r="AM54" s="7"/>
      <c r="AN54" s="7"/>
      <c r="AO54" s="7"/>
    </row>
    <row r="55" spans="1:41" ht="20.25" hidden="1" customHeight="1">
      <c r="A55" s="482"/>
      <c r="B55" s="483" t="s">
        <v>162</v>
      </c>
      <c r="C55" s="629" t="s">
        <v>138</v>
      </c>
      <c r="D55" s="485" t="s">
        <v>132</v>
      </c>
      <c r="E55" s="632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5"/>
      <c r="R55" s="213"/>
      <c r="S55" s="632"/>
      <c r="T55" s="214"/>
      <c r="U55" s="215"/>
      <c r="V55" s="215"/>
      <c r="W55" s="215"/>
      <c r="X55" s="215"/>
      <c r="Y55" s="370"/>
      <c r="Z55" s="620"/>
      <c r="AA55" s="643"/>
      <c r="AB55" s="616">
        <f t="shared" si="0"/>
        <v>0</v>
      </c>
      <c r="AC55" s="633"/>
      <c r="AD55" s="634"/>
      <c r="AE55" s="634"/>
      <c r="AF55" s="7"/>
      <c r="AG55" s="628"/>
      <c r="AH55" s="7"/>
      <c r="AI55" s="618">
        <f t="shared" si="3"/>
        <v>0</v>
      </c>
      <c r="AJ55" s="7"/>
      <c r="AK55" s="7"/>
      <c r="AL55" s="7"/>
      <c r="AM55" s="7"/>
      <c r="AN55" s="7"/>
      <c r="AO55" s="7"/>
    </row>
    <row r="56" spans="1:41" ht="20.25" hidden="1" customHeight="1">
      <c r="A56" s="482"/>
      <c r="B56" s="483" t="s">
        <v>163</v>
      </c>
      <c r="C56" s="629" t="s">
        <v>140</v>
      </c>
      <c r="D56" s="485" t="s">
        <v>132</v>
      </c>
      <c r="E56" s="632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5"/>
      <c r="R56" s="213"/>
      <c r="S56" s="632"/>
      <c r="T56" s="214"/>
      <c r="U56" s="215"/>
      <c r="V56" s="215"/>
      <c r="W56" s="215"/>
      <c r="X56" s="215"/>
      <c r="Y56" s="370"/>
      <c r="Z56" s="620"/>
      <c r="AA56" s="643"/>
      <c r="AB56" s="616">
        <f t="shared" si="0"/>
        <v>0</v>
      </c>
      <c r="AC56" s="633"/>
      <c r="AD56" s="634"/>
      <c r="AE56" s="634"/>
      <c r="AF56" s="7"/>
      <c r="AG56" s="628"/>
      <c r="AH56" s="7"/>
      <c r="AI56" s="618">
        <f t="shared" si="3"/>
        <v>0</v>
      </c>
      <c r="AJ56" s="7"/>
      <c r="AK56" s="7"/>
      <c r="AL56" s="7"/>
      <c r="AM56" s="7"/>
      <c r="AN56" s="7"/>
      <c r="AO56" s="7"/>
    </row>
    <row r="57" spans="1:41" ht="20.25" hidden="1" customHeight="1">
      <c r="A57" s="482"/>
      <c r="B57" s="483" t="s">
        <v>164</v>
      </c>
      <c r="C57" s="629" t="s">
        <v>142</v>
      </c>
      <c r="D57" s="485" t="s">
        <v>132</v>
      </c>
      <c r="E57" s="632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5"/>
      <c r="R57" s="213"/>
      <c r="S57" s="632"/>
      <c r="T57" s="214"/>
      <c r="U57" s="215"/>
      <c r="V57" s="215"/>
      <c r="W57" s="215"/>
      <c r="X57" s="215"/>
      <c r="Y57" s="370"/>
      <c r="Z57" s="620"/>
      <c r="AA57" s="643"/>
      <c r="AB57" s="616">
        <f t="shared" si="0"/>
        <v>0</v>
      </c>
      <c r="AC57" s="633"/>
      <c r="AD57" s="634"/>
      <c r="AE57" s="634"/>
      <c r="AF57" s="7"/>
      <c r="AG57" s="628"/>
      <c r="AH57" s="7"/>
      <c r="AI57" s="618">
        <f t="shared" si="3"/>
        <v>0</v>
      </c>
      <c r="AJ57" s="7"/>
      <c r="AK57" s="7"/>
      <c r="AL57" s="7"/>
      <c r="AM57" s="7"/>
      <c r="AN57" s="7"/>
      <c r="AO57" s="7"/>
    </row>
    <row r="58" spans="1:41" ht="20.25" customHeight="1">
      <c r="A58" s="482"/>
      <c r="B58" s="496" t="s">
        <v>165</v>
      </c>
      <c r="C58" s="555" t="s">
        <v>166</v>
      </c>
      <c r="D58" s="485" t="s">
        <v>132</v>
      </c>
      <c r="E58" s="632"/>
      <c r="F58" s="219"/>
      <c r="G58" s="219"/>
      <c r="H58" s="219"/>
      <c r="I58" s="219"/>
      <c r="J58" s="219"/>
      <c r="K58" s="219"/>
      <c r="L58" s="219"/>
      <c r="M58" s="219"/>
      <c r="N58" s="219"/>
      <c r="O58" s="219"/>
      <c r="P58" s="219"/>
      <c r="Q58" s="215"/>
      <c r="R58" s="219"/>
      <c r="S58" s="623"/>
      <c r="T58" s="374">
        <v>3</v>
      </c>
      <c r="U58" s="215"/>
      <c r="V58" s="215"/>
      <c r="W58" s="215"/>
      <c r="X58" s="215"/>
      <c r="Y58" s="372"/>
      <c r="Z58" s="620"/>
      <c r="AA58" s="643"/>
      <c r="AB58" s="616">
        <f t="shared" si="0"/>
        <v>3</v>
      </c>
      <c r="AC58" s="633"/>
      <c r="AD58" s="634"/>
      <c r="AE58" s="634"/>
      <c r="AF58" s="7"/>
      <c r="AG58" s="628"/>
      <c r="AH58" s="7"/>
      <c r="AI58" s="618"/>
      <c r="AJ58" s="7"/>
      <c r="AK58" s="7"/>
      <c r="AL58" s="7"/>
      <c r="AM58" s="7"/>
      <c r="AN58" s="7"/>
      <c r="AO58" s="7"/>
    </row>
    <row r="59" spans="1:41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632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5"/>
      <c r="R59" s="213"/>
      <c r="S59" s="632"/>
      <c r="T59" s="214"/>
      <c r="U59" s="215"/>
      <c r="V59" s="215"/>
      <c r="W59" s="215"/>
      <c r="X59" s="215"/>
      <c r="Y59" s="370"/>
      <c r="Z59" s="647"/>
      <c r="AA59" s="643"/>
      <c r="AB59" s="616">
        <f t="shared" si="0"/>
        <v>0</v>
      </c>
      <c r="AC59" s="633"/>
      <c r="AD59" s="648"/>
      <c r="AE59" s="648"/>
      <c r="AF59" s="7"/>
      <c r="AG59" s="628"/>
      <c r="AH59" s="7"/>
      <c r="AI59" s="618">
        <f t="shared" ref="AI59:AI104" si="4">AG59-AB59</f>
        <v>0</v>
      </c>
      <c r="AJ59" s="7"/>
      <c r="AK59" s="7"/>
      <c r="AL59" s="7"/>
      <c r="AM59" s="7"/>
      <c r="AN59" s="7"/>
      <c r="AO59" s="7"/>
    </row>
    <row r="60" spans="1:41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632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5"/>
      <c r="R60" s="213"/>
      <c r="S60" s="632"/>
      <c r="T60" s="214"/>
      <c r="U60" s="215"/>
      <c r="V60" s="215"/>
      <c r="W60" s="215"/>
      <c r="X60" s="215"/>
      <c r="Y60" s="370"/>
      <c r="Z60" s="647"/>
      <c r="AA60" s="643"/>
      <c r="AB60" s="616">
        <f t="shared" si="0"/>
        <v>0</v>
      </c>
      <c r="AC60" s="633"/>
      <c r="AD60" s="648"/>
      <c r="AE60" s="648"/>
      <c r="AF60" s="7"/>
      <c r="AG60" s="628"/>
      <c r="AH60" s="7"/>
      <c r="AI60" s="618">
        <f t="shared" si="4"/>
        <v>0</v>
      </c>
      <c r="AJ60" s="7"/>
      <c r="AK60" s="7"/>
      <c r="AL60" s="7"/>
      <c r="AM60" s="7"/>
      <c r="AN60" s="7"/>
      <c r="AO60" s="7"/>
    </row>
    <row r="61" spans="1:41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632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5"/>
      <c r="R61" s="213"/>
      <c r="S61" s="632"/>
      <c r="T61" s="214"/>
      <c r="U61" s="215"/>
      <c r="V61" s="215"/>
      <c r="W61" s="215"/>
      <c r="X61" s="215"/>
      <c r="Y61" s="370"/>
      <c r="Z61" s="647"/>
      <c r="AA61" s="643"/>
      <c r="AB61" s="616">
        <f t="shared" si="0"/>
        <v>0</v>
      </c>
      <c r="AC61" s="633"/>
      <c r="AD61" s="648"/>
      <c r="AE61" s="648"/>
      <c r="AF61" s="7"/>
      <c r="AG61" s="628"/>
      <c r="AH61" s="7"/>
      <c r="AI61" s="618">
        <f t="shared" si="4"/>
        <v>0</v>
      </c>
      <c r="AJ61" s="7"/>
      <c r="AK61" s="7"/>
      <c r="AL61" s="7"/>
      <c r="AM61" s="7"/>
      <c r="AN61" s="7"/>
      <c r="AO61" s="7"/>
    </row>
    <row r="62" spans="1:41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632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5"/>
      <c r="R62" s="213"/>
      <c r="S62" s="632">
        <v>5</v>
      </c>
      <c r="T62" s="214"/>
      <c r="U62" s="215"/>
      <c r="V62" s="215">
        <v>12</v>
      </c>
      <c r="W62" s="215">
        <v>5</v>
      </c>
      <c r="X62" s="215"/>
      <c r="Y62" s="372"/>
      <c r="Z62" s="620"/>
      <c r="AA62" s="643"/>
      <c r="AB62" s="616">
        <f t="shared" si="0"/>
        <v>22</v>
      </c>
      <c r="AC62" s="633"/>
      <c r="AD62" s="636"/>
      <c r="AE62" s="636"/>
      <c r="AF62" s="7"/>
      <c r="AG62" s="628">
        <v>177</v>
      </c>
      <c r="AH62" s="7"/>
      <c r="AI62" s="618">
        <f t="shared" si="4"/>
        <v>155</v>
      </c>
      <c r="AJ62" s="7"/>
      <c r="AK62" s="7"/>
      <c r="AL62" s="7"/>
      <c r="AM62" s="7"/>
      <c r="AN62" s="7"/>
      <c r="AO62" s="7"/>
    </row>
    <row r="63" spans="1:41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632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5"/>
      <c r="R63" s="213"/>
      <c r="S63" s="632"/>
      <c r="T63" s="214"/>
      <c r="U63" s="215"/>
      <c r="V63" s="215"/>
      <c r="W63" s="215"/>
      <c r="X63" s="215"/>
      <c r="Y63" s="372"/>
      <c r="Z63" s="638"/>
      <c r="AA63" s="643"/>
      <c r="AB63" s="616">
        <f t="shared" si="0"/>
        <v>0</v>
      </c>
      <c r="AC63" s="633"/>
      <c r="AD63" s="636"/>
      <c r="AE63" s="636"/>
      <c r="AF63" s="7"/>
      <c r="AG63" s="628"/>
      <c r="AH63" s="7"/>
      <c r="AI63" s="618">
        <f t="shared" si="4"/>
        <v>0</v>
      </c>
      <c r="AJ63" s="7"/>
      <c r="AK63" s="7"/>
      <c r="AL63" s="7"/>
      <c r="AM63" s="7"/>
      <c r="AN63" s="7"/>
      <c r="AO63" s="7"/>
    </row>
    <row r="64" spans="1:41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632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5"/>
      <c r="R64" s="213"/>
      <c r="S64" s="632"/>
      <c r="T64" s="214"/>
      <c r="U64" s="215"/>
      <c r="V64" s="215"/>
      <c r="W64" s="215"/>
      <c r="X64" s="215"/>
      <c r="Y64" s="372"/>
      <c r="Z64" s="638"/>
      <c r="AA64" s="643"/>
      <c r="AB64" s="616">
        <f t="shared" si="0"/>
        <v>0</v>
      </c>
      <c r="AC64" s="633"/>
      <c r="AD64" s="640"/>
      <c r="AE64" s="640"/>
      <c r="AF64" s="7"/>
      <c r="AG64" s="628"/>
      <c r="AH64" s="7"/>
      <c r="AI64" s="618">
        <f t="shared" si="4"/>
        <v>0</v>
      </c>
      <c r="AJ64" s="7"/>
      <c r="AK64" s="7"/>
      <c r="AL64" s="7"/>
      <c r="AM64" s="7"/>
      <c r="AN64" s="7"/>
      <c r="AO64" s="7"/>
    </row>
    <row r="65" spans="1:41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632"/>
      <c r="F65" s="213">
        <v>1</v>
      </c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5">
        <v>1</v>
      </c>
      <c r="R65" s="213">
        <v>1</v>
      </c>
      <c r="S65" s="632">
        <v>1</v>
      </c>
      <c r="T65" s="214">
        <v>2</v>
      </c>
      <c r="U65" s="215"/>
      <c r="V65" s="215">
        <v>1</v>
      </c>
      <c r="W65" s="215"/>
      <c r="X65" s="215"/>
      <c r="Y65" s="372"/>
      <c r="Z65" s="620">
        <v>1</v>
      </c>
      <c r="AA65" s="643"/>
      <c r="AB65" s="616">
        <f t="shared" si="0"/>
        <v>8</v>
      </c>
      <c r="AC65" s="633"/>
      <c r="AD65" s="636"/>
      <c r="AE65" s="636"/>
      <c r="AF65" s="7"/>
      <c r="AG65" s="628">
        <v>19</v>
      </c>
      <c r="AH65" s="7"/>
      <c r="AI65" s="618">
        <f t="shared" si="4"/>
        <v>11</v>
      </c>
      <c r="AJ65" s="7"/>
      <c r="AK65" s="7"/>
      <c r="AL65" s="7"/>
      <c r="AM65" s="7"/>
      <c r="AN65" s="7"/>
      <c r="AO65" s="7"/>
    </row>
    <row r="66" spans="1:41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632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5"/>
      <c r="R66" s="213"/>
      <c r="S66" s="632"/>
      <c r="T66" s="214"/>
      <c r="U66" s="215"/>
      <c r="V66" s="215"/>
      <c r="W66" s="215"/>
      <c r="X66" s="215"/>
      <c r="Y66" s="372"/>
      <c r="Z66" s="620"/>
      <c r="AA66" s="643"/>
      <c r="AB66" s="616">
        <f t="shared" si="0"/>
        <v>0</v>
      </c>
      <c r="AC66" s="633"/>
      <c r="AD66" s="636"/>
      <c r="AE66" s="636"/>
      <c r="AF66" s="7"/>
      <c r="AG66" s="628"/>
      <c r="AH66" s="7"/>
      <c r="AI66" s="618">
        <f t="shared" si="4"/>
        <v>0</v>
      </c>
      <c r="AJ66" s="7"/>
      <c r="AK66" s="7"/>
      <c r="AL66" s="7"/>
      <c r="AM66" s="7"/>
      <c r="AN66" s="7"/>
      <c r="AO66" s="7"/>
    </row>
    <row r="67" spans="1:41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632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5"/>
      <c r="R67" s="213"/>
      <c r="S67" s="632"/>
      <c r="T67" s="214"/>
      <c r="U67" s="215"/>
      <c r="V67" s="215"/>
      <c r="W67" s="215"/>
      <c r="X67" s="215"/>
      <c r="Y67" s="370"/>
      <c r="Z67" s="620"/>
      <c r="AA67" s="643"/>
      <c r="AB67" s="616">
        <f t="shared" si="0"/>
        <v>0</v>
      </c>
      <c r="AC67" s="633"/>
      <c r="AD67" s="634"/>
      <c r="AE67" s="634"/>
      <c r="AF67" s="7"/>
      <c r="AG67" s="628"/>
      <c r="AH67" s="7"/>
      <c r="AI67" s="618">
        <f t="shared" si="4"/>
        <v>0</v>
      </c>
      <c r="AJ67" s="7"/>
      <c r="AK67" s="7"/>
      <c r="AL67" s="7"/>
      <c r="AM67" s="7"/>
      <c r="AN67" s="7"/>
      <c r="AO67" s="7"/>
    </row>
    <row r="68" spans="1:41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632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5"/>
      <c r="R68" s="213"/>
      <c r="S68" s="632"/>
      <c r="T68" s="214"/>
      <c r="U68" s="215"/>
      <c r="V68" s="215"/>
      <c r="W68" s="215"/>
      <c r="X68" s="215"/>
      <c r="Y68" s="370"/>
      <c r="Z68" s="620"/>
      <c r="AA68" s="643"/>
      <c r="AB68" s="616">
        <f t="shared" si="0"/>
        <v>0</v>
      </c>
      <c r="AC68" s="633"/>
      <c r="AD68" s="634"/>
      <c r="AE68" s="634"/>
      <c r="AF68" s="7"/>
      <c r="AG68" s="628"/>
      <c r="AH68" s="7"/>
      <c r="AI68" s="618">
        <f t="shared" si="4"/>
        <v>0</v>
      </c>
      <c r="AJ68" s="7"/>
      <c r="AK68" s="7"/>
      <c r="AL68" s="7"/>
      <c r="AM68" s="7"/>
      <c r="AN68" s="7"/>
      <c r="AO68" s="7"/>
    </row>
    <row r="69" spans="1:41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632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5"/>
      <c r="R69" s="213"/>
      <c r="S69" s="632"/>
      <c r="T69" s="214"/>
      <c r="U69" s="215"/>
      <c r="V69" s="215"/>
      <c r="W69" s="215"/>
      <c r="X69" s="215"/>
      <c r="Y69" s="370"/>
      <c r="Z69" s="620"/>
      <c r="AA69" s="643"/>
      <c r="AB69" s="616">
        <f t="shared" si="0"/>
        <v>0</v>
      </c>
      <c r="AC69" s="633"/>
      <c r="AD69" s="634"/>
      <c r="AE69" s="634"/>
      <c r="AF69" s="7"/>
      <c r="AG69" s="628"/>
      <c r="AH69" s="7"/>
      <c r="AI69" s="618">
        <f t="shared" si="4"/>
        <v>0</v>
      </c>
      <c r="AJ69" s="7"/>
      <c r="AK69" s="7"/>
      <c r="AL69" s="7"/>
      <c r="AM69" s="7"/>
      <c r="AN69" s="7"/>
      <c r="AO69" s="7"/>
    </row>
    <row r="70" spans="1:41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632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5"/>
      <c r="R70" s="213"/>
      <c r="S70" s="632"/>
      <c r="T70" s="214"/>
      <c r="U70" s="215"/>
      <c r="V70" s="215"/>
      <c r="W70" s="215"/>
      <c r="X70" s="215"/>
      <c r="Y70" s="370"/>
      <c r="Z70" s="620"/>
      <c r="AA70" s="643"/>
      <c r="AB70" s="616">
        <f t="shared" si="0"/>
        <v>0</v>
      </c>
      <c r="AC70" s="633"/>
      <c r="AD70" s="634"/>
      <c r="AE70" s="634"/>
      <c r="AF70" s="7"/>
      <c r="AG70" s="628"/>
      <c r="AH70" s="7"/>
      <c r="AI70" s="618">
        <f t="shared" si="4"/>
        <v>0</v>
      </c>
      <c r="AJ70" s="7"/>
      <c r="AK70" s="7"/>
      <c r="AL70" s="7"/>
      <c r="AM70" s="7"/>
      <c r="AN70" s="7"/>
      <c r="AO70" s="7"/>
    </row>
    <row r="71" spans="1:41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632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5"/>
      <c r="R71" s="213"/>
      <c r="S71" s="632"/>
      <c r="T71" s="214"/>
      <c r="U71" s="215"/>
      <c r="V71" s="215"/>
      <c r="W71" s="215"/>
      <c r="X71" s="215"/>
      <c r="Y71" s="370"/>
      <c r="Z71" s="620"/>
      <c r="AA71" s="643"/>
      <c r="AB71" s="616">
        <f t="shared" si="0"/>
        <v>0</v>
      </c>
      <c r="AC71" s="633"/>
      <c r="AD71" s="636"/>
      <c r="AE71" s="636"/>
      <c r="AF71" s="7"/>
      <c r="AG71" s="628"/>
      <c r="AH71" s="7"/>
      <c r="AI71" s="618">
        <f t="shared" si="4"/>
        <v>0</v>
      </c>
      <c r="AJ71" s="7"/>
      <c r="AK71" s="7"/>
      <c r="AL71" s="7"/>
      <c r="AM71" s="7"/>
      <c r="AN71" s="7"/>
      <c r="AO71" s="7"/>
    </row>
    <row r="72" spans="1:41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632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5"/>
      <c r="R72" s="213"/>
      <c r="S72" s="632"/>
      <c r="T72" s="214"/>
      <c r="U72" s="215"/>
      <c r="V72" s="215"/>
      <c r="W72" s="215"/>
      <c r="X72" s="215"/>
      <c r="Y72" s="370"/>
      <c r="Z72" s="647"/>
      <c r="AA72" s="643"/>
      <c r="AB72" s="616">
        <f t="shared" si="0"/>
        <v>0</v>
      </c>
      <c r="AC72" s="633"/>
      <c r="AD72" s="648"/>
      <c r="AE72" s="648"/>
      <c r="AF72" s="7"/>
      <c r="AG72" s="628"/>
      <c r="AH72" s="7"/>
      <c r="AI72" s="618">
        <f t="shared" si="4"/>
        <v>0</v>
      </c>
      <c r="AJ72" s="7"/>
      <c r="AK72" s="7"/>
      <c r="AL72" s="7"/>
      <c r="AM72" s="7"/>
      <c r="AN72" s="7"/>
      <c r="AO72" s="7"/>
    </row>
    <row r="73" spans="1:41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632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5"/>
      <c r="R73" s="213"/>
      <c r="S73" s="632"/>
      <c r="T73" s="214"/>
      <c r="U73" s="215"/>
      <c r="V73" s="215"/>
      <c r="W73" s="215"/>
      <c r="X73" s="215"/>
      <c r="Y73" s="370"/>
      <c r="Z73" s="647"/>
      <c r="AA73" s="643"/>
      <c r="AB73" s="616">
        <f t="shared" si="0"/>
        <v>0</v>
      </c>
      <c r="AC73" s="633"/>
      <c r="AD73" s="648"/>
      <c r="AE73" s="648"/>
      <c r="AF73" s="7"/>
      <c r="AG73" s="628"/>
      <c r="AH73" s="7"/>
      <c r="AI73" s="618">
        <f t="shared" si="4"/>
        <v>0</v>
      </c>
      <c r="AJ73" s="7"/>
      <c r="AK73" s="7"/>
      <c r="AL73" s="7"/>
      <c r="AM73" s="7"/>
      <c r="AN73" s="7"/>
      <c r="AO73" s="7"/>
    </row>
    <row r="74" spans="1:41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632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5"/>
      <c r="R74" s="213"/>
      <c r="S74" s="632"/>
      <c r="T74" s="214"/>
      <c r="U74" s="215"/>
      <c r="V74" s="215"/>
      <c r="W74" s="215"/>
      <c r="X74" s="215"/>
      <c r="Y74" s="370"/>
      <c r="Z74" s="647"/>
      <c r="AA74" s="643"/>
      <c r="AB74" s="616">
        <f t="shared" si="0"/>
        <v>0</v>
      </c>
      <c r="AC74" s="633"/>
      <c r="AD74" s="648"/>
      <c r="AE74" s="648"/>
      <c r="AF74" s="7"/>
      <c r="AG74" s="628"/>
      <c r="AH74" s="7"/>
      <c r="AI74" s="618">
        <f t="shared" si="4"/>
        <v>0</v>
      </c>
      <c r="AJ74" s="7"/>
      <c r="AK74" s="7"/>
      <c r="AL74" s="7"/>
      <c r="AM74" s="7"/>
      <c r="AN74" s="7"/>
      <c r="AO74" s="7"/>
    </row>
    <row r="75" spans="1:41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632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5"/>
      <c r="R75" s="213"/>
      <c r="S75" s="632"/>
      <c r="T75" s="214"/>
      <c r="U75" s="215"/>
      <c r="V75" s="215"/>
      <c r="W75" s="215"/>
      <c r="X75" s="215"/>
      <c r="Y75" s="370"/>
      <c r="Z75" s="638"/>
      <c r="AA75" s="643"/>
      <c r="AB75" s="616">
        <f t="shared" si="0"/>
        <v>0</v>
      </c>
      <c r="AC75" s="633"/>
      <c r="AD75" s="636"/>
      <c r="AE75" s="636"/>
      <c r="AF75" s="7"/>
      <c r="AG75" s="628"/>
      <c r="AH75" s="7"/>
      <c r="AI75" s="618">
        <f t="shared" si="4"/>
        <v>0</v>
      </c>
      <c r="AJ75" s="7"/>
      <c r="AK75" s="7"/>
      <c r="AL75" s="7"/>
      <c r="AM75" s="7"/>
      <c r="AN75" s="7"/>
      <c r="AO75" s="7"/>
    </row>
    <row r="76" spans="1:41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632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5"/>
      <c r="R76" s="213"/>
      <c r="S76" s="632"/>
      <c r="T76" s="214"/>
      <c r="U76" s="215"/>
      <c r="V76" s="215"/>
      <c r="W76" s="215"/>
      <c r="X76" s="215"/>
      <c r="Y76" s="372"/>
      <c r="Z76" s="638"/>
      <c r="AA76" s="643"/>
      <c r="AB76" s="616">
        <f t="shared" si="0"/>
        <v>0</v>
      </c>
      <c r="AC76" s="633"/>
      <c r="AD76" s="636"/>
      <c r="AE76" s="636"/>
      <c r="AF76" s="7"/>
      <c r="AG76" s="628"/>
      <c r="AH76" s="7"/>
      <c r="AI76" s="618">
        <f t="shared" si="4"/>
        <v>0</v>
      </c>
      <c r="AJ76" s="7"/>
      <c r="AK76" s="7"/>
      <c r="AL76" s="7"/>
      <c r="AM76" s="7"/>
      <c r="AN76" s="7"/>
      <c r="AO76" s="7"/>
    </row>
    <row r="77" spans="1:41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632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5"/>
      <c r="R77" s="213"/>
      <c r="S77" s="632"/>
      <c r="T77" s="214"/>
      <c r="U77" s="215"/>
      <c r="V77" s="215"/>
      <c r="W77" s="215"/>
      <c r="X77" s="215"/>
      <c r="Y77" s="372"/>
      <c r="Z77" s="638"/>
      <c r="AA77" s="643"/>
      <c r="AB77" s="616">
        <f t="shared" si="0"/>
        <v>0</v>
      </c>
      <c r="AC77" s="633"/>
      <c r="AD77" s="640"/>
      <c r="AE77" s="640"/>
      <c r="AF77" s="7"/>
      <c r="AG77" s="628"/>
      <c r="AH77" s="7"/>
      <c r="AI77" s="618">
        <f t="shared" si="4"/>
        <v>0</v>
      </c>
      <c r="AJ77" s="7"/>
      <c r="AK77" s="7"/>
      <c r="AL77" s="7"/>
      <c r="AM77" s="7"/>
      <c r="AN77" s="7"/>
      <c r="AO77" s="7"/>
    </row>
    <row r="78" spans="1:41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632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5"/>
      <c r="R78" s="213">
        <v>1</v>
      </c>
      <c r="S78" s="632"/>
      <c r="T78" s="214"/>
      <c r="U78" s="215"/>
      <c r="V78" s="215"/>
      <c r="W78" s="215"/>
      <c r="X78" s="215"/>
      <c r="Y78" s="372"/>
      <c r="Z78" s="649"/>
      <c r="AA78" s="643"/>
      <c r="AB78" s="616">
        <f t="shared" si="0"/>
        <v>1</v>
      </c>
      <c r="AC78" s="633"/>
      <c r="AD78" s="636"/>
      <c r="AE78" s="636"/>
      <c r="AF78" s="7"/>
      <c r="AG78" s="628">
        <v>3</v>
      </c>
      <c r="AH78" s="7"/>
      <c r="AI78" s="618">
        <f t="shared" si="4"/>
        <v>2</v>
      </c>
      <c r="AJ78" s="7"/>
      <c r="AK78" s="7"/>
      <c r="AL78" s="7"/>
      <c r="AM78" s="7"/>
      <c r="AN78" s="7"/>
      <c r="AO78" s="7"/>
    </row>
    <row r="79" spans="1:41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632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5"/>
      <c r="R79" s="213"/>
      <c r="S79" s="632"/>
      <c r="T79" s="214"/>
      <c r="U79" s="215"/>
      <c r="V79" s="215"/>
      <c r="W79" s="215"/>
      <c r="X79" s="215"/>
      <c r="Y79" s="372"/>
      <c r="Z79" s="620"/>
      <c r="AA79" s="643"/>
      <c r="AB79" s="616">
        <f t="shared" si="0"/>
        <v>0</v>
      </c>
      <c r="AC79" s="633"/>
      <c r="AD79" s="634"/>
      <c r="AE79" s="634"/>
      <c r="AF79" s="7"/>
      <c r="AG79" s="628"/>
      <c r="AH79" s="7"/>
      <c r="AI79" s="618">
        <f t="shared" si="4"/>
        <v>0</v>
      </c>
      <c r="AJ79" s="7"/>
      <c r="AK79" s="7"/>
      <c r="AL79" s="7"/>
      <c r="AM79" s="7"/>
      <c r="AN79" s="7"/>
      <c r="AO79" s="7"/>
    </row>
    <row r="80" spans="1:41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632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5"/>
      <c r="R80" s="213"/>
      <c r="S80" s="632"/>
      <c r="T80" s="214"/>
      <c r="U80" s="215"/>
      <c r="V80" s="215"/>
      <c r="W80" s="215"/>
      <c r="X80" s="215"/>
      <c r="Y80" s="372"/>
      <c r="Z80" s="620"/>
      <c r="AA80" s="643"/>
      <c r="AB80" s="616">
        <f t="shared" si="0"/>
        <v>0</v>
      </c>
      <c r="AC80" s="633"/>
      <c r="AD80" s="634"/>
      <c r="AE80" s="634"/>
      <c r="AF80" s="7"/>
      <c r="AG80" s="628"/>
      <c r="AH80" s="7"/>
      <c r="AI80" s="618">
        <f t="shared" si="4"/>
        <v>0</v>
      </c>
      <c r="AJ80" s="7"/>
      <c r="AK80" s="7"/>
      <c r="AL80" s="7"/>
      <c r="AM80" s="7"/>
      <c r="AN80" s="7"/>
      <c r="AO80" s="7"/>
    </row>
    <row r="81" spans="1:41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632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5"/>
      <c r="R81" s="213"/>
      <c r="S81" s="632"/>
      <c r="T81" s="214"/>
      <c r="U81" s="215"/>
      <c r="V81" s="215"/>
      <c r="W81" s="215"/>
      <c r="X81" s="215"/>
      <c r="Y81" s="372"/>
      <c r="Z81" s="620"/>
      <c r="AA81" s="643"/>
      <c r="AB81" s="616">
        <f t="shared" si="0"/>
        <v>0</v>
      </c>
      <c r="AC81" s="633"/>
      <c r="AD81" s="634"/>
      <c r="AE81" s="634"/>
      <c r="AF81" s="7"/>
      <c r="AG81" s="628"/>
      <c r="AH81" s="7"/>
      <c r="AI81" s="618">
        <f t="shared" si="4"/>
        <v>0</v>
      </c>
      <c r="AJ81" s="7"/>
      <c r="AK81" s="7"/>
      <c r="AL81" s="7"/>
      <c r="AM81" s="7"/>
      <c r="AN81" s="7"/>
      <c r="AO81" s="7"/>
    </row>
    <row r="82" spans="1:41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632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5"/>
      <c r="R82" s="213"/>
      <c r="S82" s="632"/>
      <c r="T82" s="214"/>
      <c r="U82" s="215"/>
      <c r="V82" s="215"/>
      <c r="W82" s="215"/>
      <c r="X82" s="215"/>
      <c r="Y82" s="372"/>
      <c r="Z82" s="620"/>
      <c r="AA82" s="643"/>
      <c r="AB82" s="616">
        <f t="shared" si="0"/>
        <v>0</v>
      </c>
      <c r="AC82" s="633"/>
      <c r="AD82" s="634"/>
      <c r="AE82" s="634"/>
      <c r="AF82" s="7"/>
      <c r="AG82" s="628"/>
      <c r="AH82" s="7"/>
      <c r="AI82" s="618">
        <f t="shared" si="4"/>
        <v>0</v>
      </c>
      <c r="AJ82" s="7"/>
      <c r="AK82" s="7"/>
      <c r="AL82" s="7"/>
      <c r="AM82" s="7"/>
      <c r="AN82" s="7"/>
      <c r="AO82" s="7"/>
    </row>
    <row r="83" spans="1:41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632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5"/>
      <c r="R83" s="213"/>
      <c r="S83" s="632"/>
      <c r="T83" s="214"/>
      <c r="U83" s="215"/>
      <c r="V83" s="215"/>
      <c r="W83" s="215"/>
      <c r="X83" s="215"/>
      <c r="Y83" s="372"/>
      <c r="Z83" s="649"/>
      <c r="AA83" s="643"/>
      <c r="AB83" s="616">
        <f t="shared" si="0"/>
        <v>0</v>
      </c>
      <c r="AC83" s="633"/>
      <c r="AD83" s="636"/>
      <c r="AE83" s="636"/>
      <c r="AF83" s="7"/>
      <c r="AG83" s="628"/>
      <c r="AH83" s="7"/>
      <c r="AI83" s="618">
        <f t="shared" si="4"/>
        <v>0</v>
      </c>
      <c r="AJ83" s="7"/>
      <c r="AK83" s="7"/>
      <c r="AL83" s="7"/>
      <c r="AM83" s="7"/>
      <c r="AN83" s="7"/>
      <c r="AO83" s="7"/>
    </row>
    <row r="84" spans="1:41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632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5"/>
      <c r="R84" s="213"/>
      <c r="S84" s="632"/>
      <c r="T84" s="214"/>
      <c r="U84" s="215"/>
      <c r="V84" s="215"/>
      <c r="W84" s="215"/>
      <c r="X84" s="215"/>
      <c r="Y84" s="372"/>
      <c r="Z84" s="647"/>
      <c r="AA84" s="643"/>
      <c r="AB84" s="616">
        <f t="shared" si="0"/>
        <v>0</v>
      </c>
      <c r="AC84" s="633"/>
      <c r="AD84" s="648"/>
      <c r="AE84" s="648"/>
      <c r="AF84" s="7"/>
      <c r="AG84" s="628"/>
      <c r="AH84" s="7"/>
      <c r="AI84" s="618">
        <f t="shared" si="4"/>
        <v>0</v>
      </c>
      <c r="AJ84" s="7"/>
      <c r="AK84" s="7"/>
      <c r="AL84" s="7"/>
      <c r="AM84" s="7"/>
      <c r="AN84" s="7"/>
      <c r="AO84" s="7"/>
    </row>
    <row r="85" spans="1:41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632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5"/>
      <c r="R85" s="213"/>
      <c r="S85" s="632"/>
      <c r="T85" s="214"/>
      <c r="U85" s="215"/>
      <c r="V85" s="215"/>
      <c r="W85" s="215"/>
      <c r="X85" s="215"/>
      <c r="Y85" s="372"/>
      <c r="Z85" s="647"/>
      <c r="AA85" s="643"/>
      <c r="AB85" s="616">
        <f t="shared" si="0"/>
        <v>0</v>
      </c>
      <c r="AC85" s="633"/>
      <c r="AD85" s="648"/>
      <c r="AE85" s="648"/>
      <c r="AF85" s="7"/>
      <c r="AG85" s="628"/>
      <c r="AH85" s="7"/>
      <c r="AI85" s="618">
        <f t="shared" si="4"/>
        <v>0</v>
      </c>
      <c r="AJ85" s="7"/>
      <c r="AK85" s="7"/>
      <c r="AL85" s="7"/>
      <c r="AM85" s="7"/>
      <c r="AN85" s="7"/>
      <c r="AO85" s="7"/>
    </row>
    <row r="86" spans="1:41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632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5"/>
      <c r="R86" s="213"/>
      <c r="S86" s="632"/>
      <c r="T86" s="214"/>
      <c r="U86" s="215"/>
      <c r="V86" s="215"/>
      <c r="W86" s="215"/>
      <c r="X86" s="215"/>
      <c r="Y86" s="372"/>
      <c r="Z86" s="647"/>
      <c r="AA86" s="643"/>
      <c r="AB86" s="616">
        <f t="shared" si="0"/>
        <v>0</v>
      </c>
      <c r="AC86" s="633"/>
      <c r="AD86" s="648"/>
      <c r="AE86" s="648"/>
      <c r="AF86" s="7"/>
      <c r="AG86" s="628"/>
      <c r="AH86" s="7"/>
      <c r="AI86" s="618">
        <f t="shared" si="4"/>
        <v>0</v>
      </c>
      <c r="AJ86" s="7"/>
      <c r="AK86" s="7"/>
      <c r="AL86" s="7"/>
      <c r="AM86" s="7"/>
      <c r="AN86" s="7"/>
      <c r="AO86" s="7"/>
    </row>
    <row r="87" spans="1:41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632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5"/>
      <c r="R87" s="213"/>
      <c r="S87" s="632"/>
      <c r="T87" s="214"/>
      <c r="U87" s="215"/>
      <c r="V87" s="215"/>
      <c r="W87" s="215"/>
      <c r="X87" s="215"/>
      <c r="Y87" s="370"/>
      <c r="Z87" s="638"/>
      <c r="AA87" s="643"/>
      <c r="AB87" s="616">
        <f t="shared" si="0"/>
        <v>0</v>
      </c>
      <c r="AC87" s="633"/>
      <c r="AD87" s="636"/>
      <c r="AE87" s="636"/>
      <c r="AF87" s="7"/>
      <c r="AG87" s="628"/>
      <c r="AH87" s="7"/>
      <c r="AI87" s="618">
        <f t="shared" si="4"/>
        <v>0</v>
      </c>
      <c r="AJ87" s="7"/>
      <c r="AK87" s="7"/>
      <c r="AL87" s="7"/>
      <c r="AM87" s="7"/>
      <c r="AN87" s="7"/>
      <c r="AO87" s="7"/>
    </row>
    <row r="88" spans="1:41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632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5"/>
      <c r="R88" s="213"/>
      <c r="S88" s="632"/>
      <c r="T88" s="214"/>
      <c r="U88" s="215"/>
      <c r="V88" s="215"/>
      <c r="W88" s="215"/>
      <c r="X88" s="215"/>
      <c r="Y88" s="370"/>
      <c r="Z88" s="638"/>
      <c r="AA88" s="643"/>
      <c r="AB88" s="616">
        <f t="shared" si="0"/>
        <v>0</v>
      </c>
      <c r="AC88" s="633"/>
      <c r="AD88" s="636"/>
      <c r="AE88" s="636"/>
      <c r="AF88" s="7"/>
      <c r="AG88" s="628"/>
      <c r="AH88" s="7"/>
      <c r="AI88" s="618">
        <f t="shared" si="4"/>
        <v>0</v>
      </c>
      <c r="AJ88" s="7"/>
      <c r="AK88" s="7"/>
      <c r="AL88" s="7"/>
      <c r="AM88" s="7"/>
      <c r="AN88" s="7"/>
      <c r="AO88" s="7"/>
    </row>
    <row r="89" spans="1:41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632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5"/>
      <c r="R89" s="213"/>
      <c r="S89" s="632"/>
      <c r="T89" s="214"/>
      <c r="U89" s="215"/>
      <c r="V89" s="215"/>
      <c r="W89" s="215"/>
      <c r="X89" s="215"/>
      <c r="Y89" s="372"/>
      <c r="Z89" s="638"/>
      <c r="AA89" s="643"/>
      <c r="AB89" s="616">
        <f t="shared" si="0"/>
        <v>0</v>
      </c>
      <c r="AC89" s="633"/>
      <c r="AD89" s="636"/>
      <c r="AE89" s="636"/>
      <c r="AF89" s="7"/>
      <c r="AG89" s="628"/>
      <c r="AH89" s="7"/>
      <c r="AI89" s="618">
        <f t="shared" si="4"/>
        <v>0</v>
      </c>
      <c r="AJ89" s="7"/>
      <c r="AK89" s="7"/>
      <c r="AL89" s="7"/>
      <c r="AM89" s="7"/>
      <c r="AN89" s="7"/>
      <c r="AO89" s="7"/>
    </row>
    <row r="90" spans="1:41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632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5"/>
      <c r="R90" s="213"/>
      <c r="S90" s="632"/>
      <c r="T90" s="214"/>
      <c r="U90" s="215"/>
      <c r="V90" s="215"/>
      <c r="W90" s="215"/>
      <c r="X90" s="215"/>
      <c r="Y90" s="372"/>
      <c r="Z90" s="638"/>
      <c r="AA90" s="643"/>
      <c r="AB90" s="616">
        <f t="shared" si="0"/>
        <v>0</v>
      </c>
      <c r="AC90" s="633"/>
      <c r="AD90" s="640"/>
      <c r="AE90" s="640"/>
      <c r="AF90" s="7"/>
      <c r="AG90" s="628"/>
      <c r="AH90" s="7"/>
      <c r="AI90" s="618">
        <f t="shared" si="4"/>
        <v>0</v>
      </c>
      <c r="AJ90" s="7"/>
      <c r="AK90" s="7"/>
      <c r="AL90" s="7"/>
      <c r="AM90" s="7"/>
      <c r="AN90" s="7"/>
      <c r="AO90" s="7"/>
    </row>
    <row r="91" spans="1:41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632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5"/>
      <c r="R91" s="213"/>
      <c r="S91" s="632"/>
      <c r="T91" s="214"/>
      <c r="U91" s="215"/>
      <c r="V91" s="215"/>
      <c r="W91" s="215"/>
      <c r="X91" s="215"/>
      <c r="Y91" s="372"/>
      <c r="Z91" s="620"/>
      <c r="AA91" s="643"/>
      <c r="AB91" s="616">
        <f t="shared" si="0"/>
        <v>0</v>
      </c>
      <c r="AC91" s="633"/>
      <c r="AD91" s="636"/>
      <c r="AE91" s="636"/>
      <c r="AF91" s="7"/>
      <c r="AG91" s="628"/>
      <c r="AH91" s="7"/>
      <c r="AI91" s="618">
        <f t="shared" si="4"/>
        <v>0</v>
      </c>
      <c r="AJ91" s="7"/>
      <c r="AK91" s="7"/>
      <c r="AL91" s="7"/>
      <c r="AM91" s="7"/>
      <c r="AN91" s="7"/>
      <c r="AO91" s="7"/>
    </row>
    <row r="92" spans="1:41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632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5"/>
      <c r="R92" s="213"/>
      <c r="S92" s="632"/>
      <c r="T92" s="214"/>
      <c r="U92" s="215"/>
      <c r="V92" s="215"/>
      <c r="W92" s="215"/>
      <c r="X92" s="215"/>
      <c r="Y92" s="372"/>
      <c r="Z92" s="620"/>
      <c r="AA92" s="643"/>
      <c r="AB92" s="616">
        <f t="shared" si="0"/>
        <v>0</v>
      </c>
      <c r="AC92" s="633"/>
      <c r="AD92" s="636"/>
      <c r="AE92" s="636"/>
      <c r="AF92" s="7"/>
      <c r="AG92" s="628"/>
      <c r="AH92" s="7"/>
      <c r="AI92" s="618">
        <f t="shared" si="4"/>
        <v>0</v>
      </c>
      <c r="AJ92" s="7"/>
      <c r="AK92" s="7"/>
      <c r="AL92" s="7"/>
      <c r="AM92" s="7"/>
      <c r="AN92" s="7"/>
      <c r="AO92" s="7"/>
    </row>
    <row r="93" spans="1:41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632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5"/>
      <c r="R93" s="213"/>
      <c r="S93" s="632"/>
      <c r="T93" s="214"/>
      <c r="U93" s="215"/>
      <c r="V93" s="215"/>
      <c r="W93" s="215"/>
      <c r="X93" s="215"/>
      <c r="Y93" s="372"/>
      <c r="Z93" s="620"/>
      <c r="AA93" s="643"/>
      <c r="AB93" s="616">
        <f t="shared" si="0"/>
        <v>0</v>
      </c>
      <c r="AC93" s="633"/>
      <c r="AD93" s="636"/>
      <c r="AE93" s="636"/>
      <c r="AF93" s="7"/>
      <c r="AG93" s="628"/>
      <c r="AH93" s="7"/>
      <c r="AI93" s="618">
        <f t="shared" si="4"/>
        <v>0</v>
      </c>
      <c r="AJ93" s="7"/>
      <c r="AK93" s="7"/>
      <c r="AL93" s="7"/>
      <c r="AM93" s="7"/>
      <c r="AN93" s="7"/>
      <c r="AO93" s="7"/>
    </row>
    <row r="94" spans="1:41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632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5"/>
      <c r="R94" s="213"/>
      <c r="S94" s="632"/>
      <c r="T94" s="214"/>
      <c r="U94" s="215"/>
      <c r="V94" s="215"/>
      <c r="W94" s="215"/>
      <c r="X94" s="215"/>
      <c r="Y94" s="372"/>
      <c r="Z94" s="620"/>
      <c r="AA94" s="643"/>
      <c r="AB94" s="616">
        <f t="shared" si="0"/>
        <v>0</v>
      </c>
      <c r="AC94" s="633"/>
      <c r="AD94" s="636"/>
      <c r="AE94" s="636"/>
      <c r="AF94" s="7"/>
      <c r="AG94" s="628"/>
      <c r="AH94" s="7"/>
      <c r="AI94" s="618">
        <f t="shared" si="4"/>
        <v>0</v>
      </c>
      <c r="AJ94" s="7"/>
      <c r="AK94" s="7"/>
      <c r="AL94" s="7"/>
      <c r="AM94" s="7"/>
      <c r="AN94" s="7"/>
      <c r="AO94" s="7"/>
    </row>
    <row r="95" spans="1:41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632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5"/>
      <c r="R95" s="213"/>
      <c r="S95" s="632"/>
      <c r="T95" s="214"/>
      <c r="U95" s="215"/>
      <c r="V95" s="215"/>
      <c r="W95" s="215"/>
      <c r="X95" s="215"/>
      <c r="Y95" s="372"/>
      <c r="Z95" s="620"/>
      <c r="AA95" s="643"/>
      <c r="AB95" s="616">
        <f t="shared" si="0"/>
        <v>0</v>
      </c>
      <c r="AC95" s="633"/>
      <c r="AD95" s="636"/>
      <c r="AE95" s="636"/>
      <c r="AF95" s="7"/>
      <c r="AG95" s="628"/>
      <c r="AH95" s="7"/>
      <c r="AI95" s="618">
        <f t="shared" si="4"/>
        <v>0</v>
      </c>
      <c r="AJ95" s="7"/>
      <c r="AK95" s="7"/>
      <c r="AL95" s="7"/>
      <c r="AM95" s="7"/>
      <c r="AN95" s="7"/>
      <c r="AO95" s="7"/>
    </row>
    <row r="96" spans="1:41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632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5"/>
      <c r="R96" s="213"/>
      <c r="S96" s="632"/>
      <c r="T96" s="214"/>
      <c r="U96" s="215"/>
      <c r="V96" s="215"/>
      <c r="W96" s="215"/>
      <c r="X96" s="215"/>
      <c r="Y96" s="372"/>
      <c r="Z96" s="620"/>
      <c r="AA96" s="643"/>
      <c r="AB96" s="616">
        <f t="shared" si="0"/>
        <v>0</v>
      </c>
      <c r="AC96" s="633"/>
      <c r="AD96" s="636"/>
      <c r="AE96" s="636"/>
      <c r="AF96" s="7"/>
      <c r="AG96" s="628"/>
      <c r="AH96" s="7"/>
      <c r="AI96" s="618">
        <f t="shared" si="4"/>
        <v>0</v>
      </c>
      <c r="AJ96" s="7"/>
      <c r="AK96" s="7"/>
      <c r="AL96" s="7"/>
      <c r="AM96" s="7"/>
      <c r="AN96" s="7"/>
      <c r="AO96" s="7"/>
    </row>
    <row r="97" spans="1:41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632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5"/>
      <c r="R97" s="213"/>
      <c r="S97" s="632"/>
      <c r="T97" s="214"/>
      <c r="U97" s="215"/>
      <c r="V97" s="215"/>
      <c r="W97" s="215"/>
      <c r="X97" s="215"/>
      <c r="Y97" s="372"/>
      <c r="Z97" s="620"/>
      <c r="AA97" s="643"/>
      <c r="AB97" s="616">
        <f t="shared" si="0"/>
        <v>0</v>
      </c>
      <c r="AC97" s="633"/>
      <c r="AD97" s="636"/>
      <c r="AE97" s="636"/>
      <c r="AF97" s="7"/>
      <c r="AG97" s="628"/>
      <c r="AH97" s="7"/>
      <c r="AI97" s="618">
        <f t="shared" si="4"/>
        <v>0</v>
      </c>
      <c r="AJ97" s="7"/>
      <c r="AK97" s="7"/>
      <c r="AL97" s="7"/>
      <c r="AM97" s="7"/>
      <c r="AN97" s="7"/>
      <c r="AO97" s="7"/>
    </row>
    <row r="98" spans="1:41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632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5"/>
      <c r="R98" s="213"/>
      <c r="S98" s="632"/>
      <c r="T98" s="214"/>
      <c r="U98" s="215"/>
      <c r="V98" s="215"/>
      <c r="W98" s="215"/>
      <c r="X98" s="215"/>
      <c r="Y98" s="372"/>
      <c r="Z98" s="620"/>
      <c r="AA98" s="643"/>
      <c r="AB98" s="616">
        <f t="shared" si="0"/>
        <v>0</v>
      </c>
      <c r="AC98" s="633"/>
      <c r="AD98" s="636"/>
      <c r="AE98" s="636"/>
      <c r="AF98" s="7"/>
      <c r="AG98" s="628"/>
      <c r="AH98" s="7"/>
      <c r="AI98" s="618">
        <f t="shared" si="4"/>
        <v>0</v>
      </c>
      <c r="AJ98" s="7"/>
      <c r="AK98" s="7"/>
      <c r="AL98" s="7"/>
      <c r="AM98" s="7"/>
      <c r="AN98" s="7"/>
      <c r="AO98" s="7"/>
    </row>
    <row r="99" spans="1:41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632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5"/>
      <c r="R99" s="213"/>
      <c r="S99" s="632"/>
      <c r="T99" s="214"/>
      <c r="U99" s="215"/>
      <c r="V99" s="215"/>
      <c r="W99" s="215"/>
      <c r="X99" s="215"/>
      <c r="Y99" s="372"/>
      <c r="Z99" s="620"/>
      <c r="AA99" s="643"/>
      <c r="AB99" s="616">
        <f t="shared" si="0"/>
        <v>0</v>
      </c>
      <c r="AC99" s="633"/>
      <c r="AD99" s="636"/>
      <c r="AE99" s="636"/>
      <c r="AF99" s="7"/>
      <c r="AG99" s="628"/>
      <c r="AH99" s="7"/>
      <c r="AI99" s="618">
        <f t="shared" si="4"/>
        <v>0</v>
      </c>
      <c r="AJ99" s="7"/>
      <c r="AK99" s="7"/>
      <c r="AL99" s="7"/>
      <c r="AM99" s="7"/>
      <c r="AN99" s="7"/>
      <c r="AO99" s="7"/>
    </row>
    <row r="100" spans="1:41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632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5"/>
      <c r="R100" s="213"/>
      <c r="S100" s="632"/>
      <c r="T100" s="214"/>
      <c r="U100" s="215"/>
      <c r="V100" s="215"/>
      <c r="W100" s="215"/>
      <c r="X100" s="215"/>
      <c r="Y100" s="372"/>
      <c r="Z100" s="620"/>
      <c r="AA100" s="643"/>
      <c r="AB100" s="616">
        <f t="shared" si="0"/>
        <v>0</v>
      </c>
      <c r="AC100" s="633"/>
      <c r="AD100" s="636"/>
      <c r="AE100" s="636"/>
      <c r="AF100" s="7"/>
      <c r="AG100" s="628"/>
      <c r="AH100" s="7"/>
      <c r="AI100" s="618">
        <f t="shared" si="4"/>
        <v>0</v>
      </c>
      <c r="AJ100" s="7"/>
      <c r="AK100" s="7"/>
      <c r="AL100" s="7"/>
      <c r="AM100" s="7"/>
      <c r="AN100" s="7"/>
      <c r="AO100" s="7"/>
    </row>
    <row r="101" spans="1:41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632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5"/>
      <c r="R101" s="213"/>
      <c r="S101" s="632"/>
      <c r="T101" s="214"/>
      <c r="U101" s="215"/>
      <c r="V101" s="215"/>
      <c r="W101" s="215"/>
      <c r="X101" s="215"/>
      <c r="Y101" s="372"/>
      <c r="Z101" s="638"/>
      <c r="AA101" s="643"/>
      <c r="AB101" s="616">
        <f t="shared" si="0"/>
        <v>0</v>
      </c>
      <c r="AC101" s="633"/>
      <c r="AD101" s="636"/>
      <c r="AE101" s="636"/>
      <c r="AF101" s="7"/>
      <c r="AG101" s="628"/>
      <c r="AH101" s="7"/>
      <c r="AI101" s="618">
        <f t="shared" si="4"/>
        <v>0</v>
      </c>
      <c r="AJ101" s="7"/>
      <c r="AK101" s="7"/>
      <c r="AL101" s="7"/>
      <c r="AM101" s="7"/>
      <c r="AN101" s="7"/>
      <c r="AO101" s="7"/>
    </row>
    <row r="102" spans="1:41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632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5"/>
      <c r="R102" s="213"/>
      <c r="S102" s="632"/>
      <c r="T102" s="214"/>
      <c r="U102" s="215"/>
      <c r="V102" s="215"/>
      <c r="W102" s="215"/>
      <c r="X102" s="215"/>
      <c r="Y102" s="372"/>
      <c r="Z102" s="638"/>
      <c r="AA102" s="643"/>
      <c r="AB102" s="616">
        <f t="shared" si="0"/>
        <v>0</v>
      </c>
      <c r="AC102" s="633"/>
      <c r="AD102" s="636"/>
      <c r="AE102" s="636"/>
      <c r="AF102" s="7"/>
      <c r="AG102" s="628"/>
      <c r="AH102" s="7"/>
      <c r="AI102" s="618">
        <f t="shared" si="4"/>
        <v>0</v>
      </c>
      <c r="AJ102" s="7"/>
      <c r="AK102" s="7"/>
      <c r="AL102" s="7"/>
      <c r="AM102" s="7"/>
      <c r="AN102" s="7"/>
      <c r="AO102" s="7"/>
    </row>
    <row r="103" spans="1:41" ht="18.75" customHeight="1">
      <c r="A103" s="489">
        <v>3</v>
      </c>
      <c r="B103" s="490" t="s">
        <v>266</v>
      </c>
      <c r="C103" s="637" t="s">
        <v>267</v>
      </c>
      <c r="D103" s="491"/>
      <c r="E103" s="632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5"/>
      <c r="R103" s="213"/>
      <c r="S103" s="632"/>
      <c r="T103" s="214"/>
      <c r="U103" s="215"/>
      <c r="V103" s="215"/>
      <c r="W103" s="215"/>
      <c r="X103" s="215"/>
      <c r="Y103" s="372"/>
      <c r="Z103" s="638"/>
      <c r="AA103" s="643"/>
      <c r="AB103" s="616">
        <f t="shared" si="0"/>
        <v>0</v>
      </c>
      <c r="AC103" s="650" t="s">
        <v>1579</v>
      </c>
      <c r="AD103" s="640"/>
      <c r="AE103" s="640"/>
      <c r="AF103" s="7"/>
      <c r="AG103" s="628"/>
      <c r="AH103" s="7"/>
      <c r="AI103" s="618">
        <f t="shared" si="4"/>
        <v>0</v>
      </c>
      <c r="AJ103" s="7"/>
      <c r="AK103" s="7"/>
      <c r="AL103" s="7"/>
      <c r="AM103" s="7"/>
      <c r="AN103" s="7"/>
      <c r="AO103" s="7"/>
    </row>
    <row r="104" spans="1:41" ht="20.25" customHeight="1">
      <c r="A104" s="486"/>
      <c r="B104" s="487" t="s">
        <v>269</v>
      </c>
      <c r="C104" s="635" t="s">
        <v>270</v>
      </c>
      <c r="D104" s="412" t="s">
        <v>271</v>
      </c>
      <c r="E104" s="632"/>
      <c r="F104" s="213">
        <v>11</v>
      </c>
      <c r="G104" s="213"/>
      <c r="H104" s="213"/>
      <c r="I104" s="213"/>
      <c r="J104" s="213"/>
      <c r="K104" s="213"/>
      <c r="L104" s="213"/>
      <c r="M104" s="213">
        <v>1.006</v>
      </c>
      <c r="N104" s="213">
        <v>61.225000000000001</v>
      </c>
      <c r="O104" s="213">
        <f>185.7+0.9+20.6</f>
        <v>207.2</v>
      </c>
      <c r="P104" s="213"/>
      <c r="Q104" s="215">
        <v>0.5</v>
      </c>
      <c r="R104" s="213">
        <v>2</v>
      </c>
      <c r="S104" s="632">
        <v>11.4</v>
      </c>
      <c r="T104" s="214">
        <f>1.4+15+57.01+2</f>
        <v>75.41</v>
      </c>
      <c r="U104" s="215">
        <v>1.2</v>
      </c>
      <c r="V104" s="215">
        <v>0.25</v>
      </c>
      <c r="W104" s="215">
        <v>11.570600000000001</v>
      </c>
      <c r="X104" s="215">
        <v>42.6</v>
      </c>
      <c r="Y104" s="372"/>
      <c r="Z104" s="620"/>
      <c r="AA104" s="643"/>
      <c r="AB104" s="616">
        <f t="shared" si="0"/>
        <v>425.36160000000001</v>
      </c>
      <c r="AC104" s="633">
        <f>AB104+AB126+AB115</f>
        <v>468.38010000000003</v>
      </c>
      <c r="AD104" s="636"/>
      <c r="AE104" s="636"/>
      <c r="AF104" s="7"/>
      <c r="AG104" s="628">
        <v>978.44</v>
      </c>
      <c r="AH104" s="7"/>
      <c r="AI104" s="618">
        <f t="shared" si="4"/>
        <v>553.0784000000001</v>
      </c>
      <c r="AJ104" s="7"/>
      <c r="AK104" s="7"/>
      <c r="AL104" s="7"/>
      <c r="AM104" s="7"/>
      <c r="AN104" s="7"/>
      <c r="AO104" s="7"/>
    </row>
    <row r="105" spans="1:41" ht="20.25" customHeight="1">
      <c r="A105" s="510"/>
      <c r="B105" s="505" t="s">
        <v>273</v>
      </c>
      <c r="C105" s="653" t="s">
        <v>274</v>
      </c>
      <c r="D105" s="512" t="s">
        <v>271</v>
      </c>
      <c r="E105" s="632"/>
      <c r="F105" s="213">
        <v>11</v>
      </c>
      <c r="G105" s="213"/>
      <c r="H105" s="213"/>
      <c r="I105" s="213"/>
      <c r="J105" s="213"/>
      <c r="K105" s="213"/>
      <c r="L105" s="213"/>
      <c r="M105" s="213">
        <v>1.006</v>
      </c>
      <c r="N105" s="213">
        <v>61.225000000000001</v>
      </c>
      <c r="O105" s="213"/>
      <c r="P105" s="213"/>
      <c r="Q105" s="215"/>
      <c r="R105" s="213"/>
      <c r="S105" s="632"/>
      <c r="T105" s="214"/>
      <c r="U105" s="215"/>
      <c r="V105" s="215"/>
      <c r="W105" s="215"/>
      <c r="X105" s="215"/>
      <c r="Y105" s="370"/>
      <c r="Z105" s="647"/>
      <c r="AA105" s="643"/>
      <c r="AB105" s="616">
        <f t="shared" si="0"/>
        <v>73.230999999999995</v>
      </c>
      <c r="AC105" s="633"/>
      <c r="AD105" s="654"/>
      <c r="AE105" s="654"/>
      <c r="AF105" s="7"/>
      <c r="AG105" s="628">
        <v>731.81</v>
      </c>
      <c r="AH105" s="7"/>
      <c r="AI105" s="618"/>
      <c r="AJ105" s="7"/>
      <c r="AK105" s="7"/>
      <c r="AL105" s="7"/>
      <c r="AM105" s="7"/>
      <c r="AN105" s="7"/>
      <c r="AO105" s="7"/>
    </row>
    <row r="106" spans="1:41" ht="20.25" customHeight="1">
      <c r="A106" s="503"/>
      <c r="B106" s="483" t="s">
        <v>275</v>
      </c>
      <c r="C106" s="629" t="s">
        <v>131</v>
      </c>
      <c r="D106" s="504" t="s">
        <v>271</v>
      </c>
      <c r="E106" s="632"/>
      <c r="F106" s="213"/>
      <c r="G106" s="213"/>
      <c r="H106" s="213"/>
      <c r="I106" s="213"/>
      <c r="J106" s="213"/>
      <c r="K106" s="213"/>
      <c r="L106" s="213"/>
      <c r="M106" s="213">
        <v>1.006</v>
      </c>
      <c r="N106" s="213">
        <v>31.625</v>
      </c>
      <c r="O106" s="213"/>
      <c r="P106" s="213"/>
      <c r="Q106" s="215"/>
      <c r="R106" s="213"/>
      <c r="S106" s="632"/>
      <c r="T106" s="214"/>
      <c r="U106" s="215"/>
      <c r="V106" s="215"/>
      <c r="W106" s="215"/>
      <c r="X106" s="215"/>
      <c r="Y106" s="370"/>
      <c r="Z106" s="647"/>
      <c r="AA106" s="643"/>
      <c r="AB106" s="616">
        <f t="shared" si="0"/>
        <v>32.631</v>
      </c>
      <c r="AC106" s="633"/>
      <c r="AD106" s="648"/>
      <c r="AE106" s="648"/>
      <c r="AF106" s="7"/>
      <c r="AG106" s="628">
        <v>356.26</v>
      </c>
      <c r="AH106" s="7"/>
      <c r="AI106" s="618"/>
      <c r="AJ106" s="7"/>
      <c r="AK106" s="7"/>
      <c r="AL106" s="7"/>
      <c r="AM106" s="7"/>
      <c r="AN106" s="7"/>
      <c r="AO106" s="7"/>
    </row>
    <row r="107" spans="1:41" ht="20.25" customHeight="1">
      <c r="A107" s="503"/>
      <c r="B107" s="483" t="s">
        <v>276</v>
      </c>
      <c r="C107" s="629" t="s">
        <v>200</v>
      </c>
      <c r="D107" s="504" t="s">
        <v>271</v>
      </c>
      <c r="E107" s="632"/>
      <c r="F107" s="213"/>
      <c r="G107" s="213"/>
      <c r="H107" s="213"/>
      <c r="I107" s="213"/>
      <c r="J107" s="213"/>
      <c r="K107" s="213"/>
      <c r="L107" s="213"/>
      <c r="M107" s="213"/>
      <c r="N107" s="213">
        <v>5.7</v>
      </c>
      <c r="O107" s="213"/>
      <c r="P107" s="213"/>
      <c r="Q107" s="215"/>
      <c r="R107" s="213"/>
      <c r="S107" s="632"/>
      <c r="T107" s="214"/>
      <c r="U107" s="215"/>
      <c r="V107" s="215"/>
      <c r="W107" s="215"/>
      <c r="X107" s="215"/>
      <c r="Y107" s="370"/>
      <c r="Z107" s="647"/>
      <c r="AA107" s="643"/>
      <c r="AB107" s="616">
        <f t="shared" si="0"/>
        <v>5.7</v>
      </c>
      <c r="AC107" s="633"/>
      <c r="AD107" s="648"/>
      <c r="AE107" s="648"/>
      <c r="AF107" s="7"/>
      <c r="AG107" s="628">
        <v>70.95</v>
      </c>
      <c r="AH107" s="7"/>
      <c r="AI107" s="618"/>
      <c r="AJ107" s="7"/>
      <c r="AK107" s="7"/>
      <c r="AL107" s="7"/>
      <c r="AM107" s="7"/>
      <c r="AN107" s="7"/>
      <c r="AO107" s="7"/>
    </row>
    <row r="108" spans="1:41" ht="20.25" customHeight="1">
      <c r="A108" s="503"/>
      <c r="B108" s="483" t="s">
        <v>277</v>
      </c>
      <c r="C108" s="629" t="s">
        <v>203</v>
      </c>
      <c r="D108" s="504" t="s">
        <v>271</v>
      </c>
      <c r="E108" s="632"/>
      <c r="F108" s="213"/>
      <c r="G108" s="213"/>
      <c r="H108" s="213"/>
      <c r="I108" s="213"/>
      <c r="J108" s="213"/>
      <c r="K108" s="213"/>
      <c r="L108" s="213"/>
      <c r="M108" s="213"/>
      <c r="N108" s="213">
        <v>9.9</v>
      </c>
      <c r="O108" s="213"/>
      <c r="P108" s="213"/>
      <c r="Q108" s="215"/>
      <c r="R108" s="213"/>
      <c r="S108" s="632"/>
      <c r="T108" s="214"/>
      <c r="U108" s="215"/>
      <c r="V108" s="215"/>
      <c r="W108" s="215"/>
      <c r="X108" s="215"/>
      <c r="Y108" s="370"/>
      <c r="Z108" s="647"/>
      <c r="AA108" s="643"/>
      <c r="AB108" s="616">
        <f t="shared" si="0"/>
        <v>9.9</v>
      </c>
      <c r="AC108" s="633"/>
      <c r="AD108" s="648"/>
      <c r="AE108" s="648"/>
      <c r="AF108" s="7"/>
      <c r="AG108" s="628">
        <v>262.11</v>
      </c>
      <c r="AH108" s="7"/>
      <c r="AI108" s="618"/>
      <c r="AJ108" s="7"/>
      <c r="AK108" s="7"/>
      <c r="AL108" s="7"/>
      <c r="AM108" s="7"/>
      <c r="AN108" s="7"/>
      <c r="AO108" s="7"/>
    </row>
    <row r="109" spans="1:41" ht="20.25" customHeight="1">
      <c r="A109" s="503"/>
      <c r="B109" s="483" t="s">
        <v>278</v>
      </c>
      <c r="C109" s="629" t="s">
        <v>159</v>
      </c>
      <c r="D109" s="504" t="s">
        <v>271</v>
      </c>
      <c r="E109" s="632"/>
      <c r="F109" s="213">
        <v>11</v>
      </c>
      <c r="G109" s="213"/>
      <c r="H109" s="213"/>
      <c r="I109" s="213"/>
      <c r="J109" s="213"/>
      <c r="K109" s="213"/>
      <c r="L109" s="213"/>
      <c r="M109" s="213"/>
      <c r="N109" s="213">
        <v>14</v>
      </c>
      <c r="O109" s="213"/>
      <c r="P109" s="213"/>
      <c r="Q109" s="215"/>
      <c r="R109" s="213"/>
      <c r="S109" s="632"/>
      <c r="T109" s="214"/>
      <c r="U109" s="215"/>
      <c r="V109" s="215"/>
      <c r="W109" s="215"/>
      <c r="X109" s="215"/>
      <c r="Y109" s="370"/>
      <c r="Z109" s="647"/>
      <c r="AA109" s="643"/>
      <c r="AB109" s="616">
        <f t="shared" si="0"/>
        <v>25</v>
      </c>
      <c r="AC109" s="633"/>
      <c r="AD109" s="648"/>
      <c r="AE109" s="648"/>
      <c r="AF109" s="7"/>
      <c r="AG109" s="628">
        <v>42.5</v>
      </c>
      <c r="AH109" s="7"/>
      <c r="AI109" s="618"/>
      <c r="AJ109" s="7"/>
      <c r="AK109" s="7"/>
      <c r="AL109" s="7"/>
      <c r="AM109" s="7"/>
      <c r="AN109" s="7"/>
      <c r="AO109" s="7"/>
    </row>
    <row r="110" spans="1:41" ht="20.25" customHeight="1">
      <c r="A110" s="510"/>
      <c r="B110" s="505" t="s">
        <v>279</v>
      </c>
      <c r="C110" s="655" t="s">
        <v>280</v>
      </c>
      <c r="D110" s="512" t="s">
        <v>271</v>
      </c>
      <c r="E110" s="632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5"/>
      <c r="R110" s="213"/>
      <c r="S110" s="632"/>
      <c r="T110" s="214"/>
      <c r="U110" s="215"/>
      <c r="V110" s="215"/>
      <c r="W110" s="215"/>
      <c r="X110" s="215"/>
      <c r="Y110" s="370"/>
      <c r="Z110" s="647"/>
      <c r="AA110" s="643"/>
      <c r="AB110" s="616">
        <f t="shared" si="0"/>
        <v>0</v>
      </c>
      <c r="AC110" s="633"/>
      <c r="AD110" s="654"/>
      <c r="AE110" s="654"/>
      <c r="AF110" s="7"/>
      <c r="AG110" s="628">
        <v>25.1</v>
      </c>
      <c r="AH110" s="7"/>
      <c r="AI110" s="618"/>
      <c r="AJ110" s="7"/>
      <c r="AK110" s="7"/>
      <c r="AL110" s="7"/>
      <c r="AM110" s="7"/>
      <c r="AN110" s="7"/>
      <c r="AO110" s="7"/>
    </row>
    <row r="111" spans="1:41" ht="20.25" customHeight="1">
      <c r="A111" s="482"/>
      <c r="B111" s="483" t="s">
        <v>281</v>
      </c>
      <c r="C111" s="629" t="s">
        <v>131</v>
      </c>
      <c r="D111" s="504" t="s">
        <v>271</v>
      </c>
      <c r="E111" s="632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5"/>
      <c r="R111" s="213"/>
      <c r="S111" s="632"/>
      <c r="T111" s="214"/>
      <c r="U111" s="215"/>
      <c r="V111" s="215"/>
      <c r="W111" s="215"/>
      <c r="X111" s="215"/>
      <c r="Y111" s="370"/>
      <c r="Z111" s="647"/>
      <c r="AA111" s="643"/>
      <c r="AB111" s="616">
        <f t="shared" si="0"/>
        <v>0</v>
      </c>
      <c r="AC111" s="633"/>
      <c r="AD111" s="634"/>
      <c r="AE111" s="634"/>
      <c r="AF111" s="7"/>
      <c r="AG111" s="628">
        <v>0.1</v>
      </c>
      <c r="AH111" s="7"/>
      <c r="AI111" s="618"/>
      <c r="AJ111" s="7"/>
      <c r="AK111" s="7"/>
      <c r="AL111" s="7"/>
      <c r="AM111" s="7"/>
      <c r="AN111" s="7"/>
      <c r="AO111" s="7"/>
    </row>
    <row r="112" spans="1:41" ht="20.25" customHeight="1">
      <c r="A112" s="482"/>
      <c r="B112" s="483" t="s">
        <v>282</v>
      </c>
      <c r="C112" s="629" t="s">
        <v>200</v>
      </c>
      <c r="D112" s="504" t="s">
        <v>271</v>
      </c>
      <c r="E112" s="632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5"/>
      <c r="R112" s="213"/>
      <c r="S112" s="632"/>
      <c r="T112" s="214"/>
      <c r="U112" s="215"/>
      <c r="V112" s="215"/>
      <c r="W112" s="215"/>
      <c r="X112" s="215"/>
      <c r="Y112" s="370"/>
      <c r="Z112" s="647"/>
      <c r="AA112" s="643"/>
      <c r="AB112" s="616">
        <f t="shared" si="0"/>
        <v>0</v>
      </c>
      <c r="AC112" s="633"/>
      <c r="AD112" s="634"/>
      <c r="AE112" s="634"/>
      <c r="AF112" s="7"/>
      <c r="AG112" s="628">
        <v>15</v>
      </c>
      <c r="AH112" s="7"/>
      <c r="AI112" s="618"/>
      <c r="AJ112" s="7"/>
      <c r="AK112" s="7"/>
      <c r="AL112" s="7"/>
      <c r="AM112" s="7"/>
      <c r="AN112" s="7"/>
      <c r="AO112" s="7"/>
    </row>
    <row r="113" spans="1:41" ht="20.25" customHeight="1">
      <c r="A113" s="482"/>
      <c r="B113" s="483" t="s">
        <v>283</v>
      </c>
      <c r="C113" s="629" t="s">
        <v>203</v>
      </c>
      <c r="D113" s="504" t="s">
        <v>271</v>
      </c>
      <c r="E113" s="632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5"/>
      <c r="R113" s="213"/>
      <c r="S113" s="632"/>
      <c r="T113" s="214"/>
      <c r="U113" s="215"/>
      <c r="V113" s="215"/>
      <c r="W113" s="215"/>
      <c r="X113" s="215"/>
      <c r="Y113" s="370"/>
      <c r="Z113" s="647"/>
      <c r="AA113" s="643"/>
      <c r="AB113" s="616">
        <f t="shared" si="0"/>
        <v>0</v>
      </c>
      <c r="AC113" s="633"/>
      <c r="AD113" s="634"/>
      <c r="AE113" s="634"/>
      <c r="AF113" s="7"/>
      <c r="AG113" s="628">
        <v>10</v>
      </c>
      <c r="AH113" s="7"/>
      <c r="AI113" s="618"/>
      <c r="AJ113" s="7"/>
      <c r="AK113" s="7"/>
      <c r="AL113" s="7"/>
      <c r="AM113" s="7"/>
      <c r="AN113" s="7"/>
      <c r="AO113" s="7"/>
    </row>
    <row r="114" spans="1:41" ht="20.25" customHeight="1">
      <c r="A114" s="482"/>
      <c r="B114" s="483" t="s">
        <v>284</v>
      </c>
      <c r="C114" s="629" t="s">
        <v>159</v>
      </c>
      <c r="D114" s="504" t="s">
        <v>271</v>
      </c>
      <c r="E114" s="632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5"/>
      <c r="R114" s="213"/>
      <c r="S114" s="632"/>
      <c r="T114" s="214"/>
      <c r="U114" s="215"/>
      <c r="V114" s="215"/>
      <c r="W114" s="215"/>
      <c r="X114" s="215"/>
      <c r="Y114" s="370"/>
      <c r="Z114" s="647"/>
      <c r="AA114" s="643"/>
      <c r="AB114" s="616">
        <f t="shared" si="0"/>
        <v>0</v>
      </c>
      <c r="AC114" s="633"/>
      <c r="AD114" s="634"/>
      <c r="AE114" s="634"/>
      <c r="AF114" s="7"/>
      <c r="AG114" s="628"/>
      <c r="AH114" s="7"/>
      <c r="AI114" s="618"/>
      <c r="AJ114" s="7"/>
      <c r="AK114" s="7"/>
      <c r="AL114" s="7"/>
      <c r="AM114" s="7"/>
      <c r="AN114" s="7"/>
      <c r="AO114" s="7"/>
    </row>
    <row r="115" spans="1:41" ht="20.25" customHeight="1">
      <c r="A115" s="486"/>
      <c r="B115" s="487" t="s">
        <v>285</v>
      </c>
      <c r="C115" s="635" t="s">
        <v>286</v>
      </c>
      <c r="D115" s="512" t="s">
        <v>271</v>
      </c>
      <c r="E115" s="632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5"/>
      <c r="R115" s="213"/>
      <c r="S115" s="632"/>
      <c r="T115" s="214"/>
      <c r="U115" s="215"/>
      <c r="V115" s="215"/>
      <c r="W115" s="215"/>
      <c r="X115" s="215"/>
      <c r="Y115" s="370"/>
      <c r="Z115" s="647"/>
      <c r="AA115" s="643"/>
      <c r="AB115" s="616">
        <f t="shared" si="0"/>
        <v>0</v>
      </c>
      <c r="AC115" s="633"/>
      <c r="AD115" s="636"/>
      <c r="AE115" s="636"/>
      <c r="AF115" s="7"/>
      <c r="AG115" s="628">
        <v>221.53</v>
      </c>
      <c r="AH115" s="7"/>
      <c r="AI115" s="618">
        <f t="shared" ref="AI115:AI126" si="5">AG115-AB115</f>
        <v>221.53</v>
      </c>
      <c r="AJ115" s="7"/>
      <c r="AK115" s="7"/>
      <c r="AL115" s="7"/>
      <c r="AM115" s="7"/>
      <c r="AN115" s="7"/>
      <c r="AO115" s="7"/>
    </row>
    <row r="116" spans="1:41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632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5"/>
      <c r="R116" s="213"/>
      <c r="S116" s="632"/>
      <c r="T116" s="214"/>
      <c r="U116" s="215"/>
      <c r="V116" s="215"/>
      <c r="W116" s="215"/>
      <c r="X116" s="215"/>
      <c r="Y116" s="370"/>
      <c r="Z116" s="647"/>
      <c r="AA116" s="643"/>
      <c r="AB116" s="616">
        <f t="shared" si="0"/>
        <v>0</v>
      </c>
      <c r="AC116" s="633"/>
      <c r="AD116" s="654"/>
      <c r="AE116" s="654"/>
      <c r="AF116" s="7"/>
      <c r="AG116" s="628">
        <v>221.53</v>
      </c>
      <c r="AH116" s="7"/>
      <c r="AI116" s="618">
        <f t="shared" si="5"/>
        <v>221.53</v>
      </c>
      <c r="AJ116" s="7"/>
      <c r="AK116" s="7"/>
      <c r="AL116" s="7"/>
      <c r="AM116" s="7"/>
      <c r="AN116" s="7"/>
      <c r="AO116" s="7"/>
    </row>
    <row r="117" spans="1:41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632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5"/>
      <c r="R117" s="213"/>
      <c r="S117" s="632"/>
      <c r="T117" s="214"/>
      <c r="U117" s="215"/>
      <c r="V117" s="215"/>
      <c r="W117" s="215"/>
      <c r="X117" s="215"/>
      <c r="Y117" s="370"/>
      <c r="Z117" s="647"/>
      <c r="AA117" s="643"/>
      <c r="AB117" s="616">
        <f t="shared" si="0"/>
        <v>0</v>
      </c>
      <c r="AC117" s="633"/>
      <c r="AD117" s="648"/>
      <c r="AE117" s="648"/>
      <c r="AF117" s="7"/>
      <c r="AG117" s="628">
        <v>189.88</v>
      </c>
      <c r="AH117" s="7"/>
      <c r="AI117" s="618">
        <f t="shared" si="5"/>
        <v>189.88</v>
      </c>
      <c r="AJ117" s="7"/>
      <c r="AK117" s="7"/>
      <c r="AL117" s="7"/>
      <c r="AM117" s="7"/>
      <c r="AN117" s="7"/>
      <c r="AO117" s="7"/>
    </row>
    <row r="118" spans="1:41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632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5"/>
      <c r="R118" s="213"/>
      <c r="S118" s="632"/>
      <c r="T118" s="214"/>
      <c r="U118" s="215"/>
      <c r="V118" s="215"/>
      <c r="W118" s="215"/>
      <c r="X118" s="215"/>
      <c r="Y118" s="370"/>
      <c r="Z118" s="647"/>
      <c r="AA118" s="643"/>
      <c r="AB118" s="616">
        <f t="shared" si="0"/>
        <v>0</v>
      </c>
      <c r="AC118" s="633"/>
      <c r="AD118" s="648"/>
      <c r="AE118" s="648"/>
      <c r="AF118" s="7"/>
      <c r="AG118" s="628">
        <v>24.49</v>
      </c>
      <c r="AH118" s="7"/>
      <c r="AI118" s="618">
        <f t="shared" si="5"/>
        <v>24.49</v>
      </c>
      <c r="AJ118" s="7"/>
      <c r="AK118" s="7"/>
      <c r="AL118" s="7"/>
      <c r="AM118" s="7"/>
      <c r="AN118" s="7"/>
      <c r="AO118" s="7"/>
    </row>
    <row r="119" spans="1:41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632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5"/>
      <c r="R119" s="213"/>
      <c r="S119" s="632"/>
      <c r="T119" s="214"/>
      <c r="U119" s="215"/>
      <c r="V119" s="215"/>
      <c r="W119" s="215"/>
      <c r="X119" s="215"/>
      <c r="Y119" s="370"/>
      <c r="Z119" s="647"/>
      <c r="AA119" s="643"/>
      <c r="AB119" s="616">
        <f t="shared" si="0"/>
        <v>0</v>
      </c>
      <c r="AC119" s="633"/>
      <c r="AD119" s="648"/>
      <c r="AE119" s="648"/>
      <c r="AF119" s="7"/>
      <c r="AG119" s="628">
        <v>19.91</v>
      </c>
      <c r="AH119" s="7"/>
      <c r="AI119" s="618">
        <f t="shared" si="5"/>
        <v>19.91</v>
      </c>
      <c r="AJ119" s="7"/>
      <c r="AK119" s="7"/>
      <c r="AL119" s="7"/>
      <c r="AM119" s="7"/>
      <c r="AN119" s="7"/>
      <c r="AO119" s="7"/>
    </row>
    <row r="120" spans="1:41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632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5"/>
      <c r="R120" s="213"/>
      <c r="S120" s="632"/>
      <c r="T120" s="214"/>
      <c r="U120" s="215"/>
      <c r="V120" s="215"/>
      <c r="W120" s="215"/>
      <c r="X120" s="215"/>
      <c r="Y120" s="370"/>
      <c r="Z120" s="647"/>
      <c r="AA120" s="643"/>
      <c r="AB120" s="616">
        <f t="shared" si="0"/>
        <v>0</v>
      </c>
      <c r="AC120" s="633"/>
      <c r="AD120" s="648"/>
      <c r="AE120" s="648"/>
      <c r="AF120" s="7"/>
      <c r="AG120" s="628">
        <v>13.45</v>
      </c>
      <c r="AH120" s="7"/>
      <c r="AI120" s="618">
        <f t="shared" si="5"/>
        <v>13.45</v>
      </c>
      <c r="AJ120" s="7"/>
      <c r="AK120" s="7"/>
      <c r="AL120" s="7"/>
      <c r="AM120" s="7"/>
      <c r="AN120" s="7"/>
      <c r="AO120" s="7"/>
    </row>
    <row r="121" spans="1:41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632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5"/>
      <c r="R121" s="213"/>
      <c r="S121" s="632"/>
      <c r="T121" s="214"/>
      <c r="U121" s="215"/>
      <c r="V121" s="215"/>
      <c r="W121" s="215"/>
      <c r="X121" s="215"/>
      <c r="Y121" s="370"/>
      <c r="Z121" s="647"/>
      <c r="AA121" s="643"/>
      <c r="AB121" s="616">
        <f t="shared" si="0"/>
        <v>0</v>
      </c>
      <c r="AC121" s="633"/>
      <c r="AD121" s="654"/>
      <c r="AE121" s="654"/>
      <c r="AF121" s="7"/>
      <c r="AG121" s="628"/>
      <c r="AH121" s="7"/>
      <c r="AI121" s="618">
        <f t="shared" si="5"/>
        <v>0</v>
      </c>
      <c r="AJ121" s="7"/>
      <c r="AK121" s="7"/>
      <c r="AL121" s="7"/>
      <c r="AM121" s="7"/>
      <c r="AN121" s="7"/>
      <c r="AO121" s="7"/>
    </row>
    <row r="122" spans="1:41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632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5"/>
      <c r="R122" s="213"/>
      <c r="S122" s="632"/>
      <c r="T122" s="214"/>
      <c r="U122" s="215"/>
      <c r="V122" s="215"/>
      <c r="W122" s="215"/>
      <c r="X122" s="215"/>
      <c r="Y122" s="370"/>
      <c r="Z122" s="647"/>
      <c r="AA122" s="643"/>
      <c r="AB122" s="616">
        <f t="shared" si="0"/>
        <v>0</v>
      </c>
      <c r="AC122" s="633"/>
      <c r="AD122" s="648"/>
      <c r="AE122" s="648"/>
      <c r="AF122" s="7"/>
      <c r="AG122" s="628"/>
      <c r="AH122" s="7"/>
      <c r="AI122" s="618">
        <f t="shared" si="5"/>
        <v>0</v>
      </c>
      <c r="AJ122" s="7"/>
      <c r="AK122" s="7"/>
      <c r="AL122" s="7"/>
      <c r="AM122" s="7"/>
      <c r="AN122" s="7"/>
      <c r="AO122" s="7"/>
    </row>
    <row r="123" spans="1:41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632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5"/>
      <c r="R123" s="213"/>
      <c r="S123" s="632"/>
      <c r="T123" s="214"/>
      <c r="U123" s="215"/>
      <c r="V123" s="215"/>
      <c r="W123" s="215"/>
      <c r="X123" s="215"/>
      <c r="Y123" s="370"/>
      <c r="Z123" s="647"/>
      <c r="AA123" s="643"/>
      <c r="AB123" s="616">
        <f t="shared" si="0"/>
        <v>0</v>
      </c>
      <c r="AC123" s="633"/>
      <c r="AD123" s="648"/>
      <c r="AE123" s="648"/>
      <c r="AF123" s="7"/>
      <c r="AG123" s="628"/>
      <c r="AH123" s="7"/>
      <c r="AI123" s="618">
        <f t="shared" si="5"/>
        <v>0</v>
      </c>
      <c r="AJ123" s="7"/>
      <c r="AK123" s="7"/>
      <c r="AL123" s="7"/>
      <c r="AM123" s="7"/>
      <c r="AN123" s="7"/>
      <c r="AO123" s="7"/>
    </row>
    <row r="124" spans="1:41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632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5"/>
      <c r="R124" s="213"/>
      <c r="S124" s="632"/>
      <c r="T124" s="214"/>
      <c r="U124" s="215"/>
      <c r="V124" s="215"/>
      <c r="W124" s="215"/>
      <c r="X124" s="215"/>
      <c r="Y124" s="370"/>
      <c r="Z124" s="647"/>
      <c r="AA124" s="643"/>
      <c r="AB124" s="616">
        <f t="shared" si="0"/>
        <v>0</v>
      </c>
      <c r="AC124" s="633"/>
      <c r="AD124" s="648"/>
      <c r="AE124" s="648"/>
      <c r="AF124" s="7"/>
      <c r="AG124" s="628"/>
      <c r="AH124" s="7"/>
      <c r="AI124" s="618">
        <f t="shared" si="5"/>
        <v>0</v>
      </c>
      <c r="AJ124" s="7"/>
      <c r="AK124" s="7"/>
      <c r="AL124" s="7"/>
      <c r="AM124" s="7"/>
      <c r="AN124" s="7"/>
      <c r="AO124" s="7"/>
    </row>
    <row r="125" spans="1:41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632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5"/>
      <c r="R125" s="213"/>
      <c r="S125" s="632"/>
      <c r="T125" s="214"/>
      <c r="U125" s="215"/>
      <c r="V125" s="215"/>
      <c r="W125" s="215"/>
      <c r="X125" s="215"/>
      <c r="Y125" s="370"/>
      <c r="Z125" s="647"/>
      <c r="AA125" s="643"/>
      <c r="AB125" s="616">
        <f t="shared" si="0"/>
        <v>0</v>
      </c>
      <c r="AC125" s="633"/>
      <c r="AD125" s="648"/>
      <c r="AE125" s="648"/>
      <c r="AF125" s="7"/>
      <c r="AG125" s="628"/>
      <c r="AH125" s="7"/>
      <c r="AI125" s="618">
        <f t="shared" si="5"/>
        <v>0</v>
      </c>
      <c r="AJ125" s="7"/>
      <c r="AK125" s="7"/>
      <c r="AL125" s="7"/>
      <c r="AM125" s="7"/>
      <c r="AN125" s="7"/>
      <c r="AO125" s="7"/>
    </row>
    <row r="126" spans="1:41" ht="20.25" customHeight="1">
      <c r="A126" s="486"/>
      <c r="B126" s="487" t="s">
        <v>299</v>
      </c>
      <c r="C126" s="635" t="s">
        <v>300</v>
      </c>
      <c r="D126" s="412" t="s">
        <v>271</v>
      </c>
      <c r="E126" s="632"/>
      <c r="F126" s="213">
        <v>2</v>
      </c>
      <c r="G126" s="213"/>
      <c r="H126" s="213"/>
      <c r="I126" s="213"/>
      <c r="J126" s="213">
        <v>1.2</v>
      </c>
      <c r="K126" s="213"/>
      <c r="L126" s="213"/>
      <c r="M126" s="213"/>
      <c r="N126" s="213"/>
      <c r="O126" s="213">
        <v>2</v>
      </c>
      <c r="P126" s="213">
        <v>0.2</v>
      </c>
      <c r="Q126" s="215"/>
      <c r="R126" s="213"/>
      <c r="S126" s="632">
        <v>4</v>
      </c>
      <c r="T126" s="214">
        <f>1.8+5+3+0.09+0.55</f>
        <v>10.440000000000001</v>
      </c>
      <c r="U126" s="215"/>
      <c r="V126" s="215"/>
      <c r="W126" s="215">
        <v>6.2084999999999999</v>
      </c>
      <c r="X126" s="215">
        <v>16.97</v>
      </c>
      <c r="Y126" s="372"/>
      <c r="Z126" s="620"/>
      <c r="AA126" s="643"/>
      <c r="AB126" s="616">
        <f t="shared" si="0"/>
        <v>43.018500000000003</v>
      </c>
      <c r="AC126" s="633"/>
      <c r="AD126" s="636"/>
      <c r="AE126" s="636"/>
      <c r="AF126" s="7"/>
      <c r="AG126" s="628">
        <v>89.08</v>
      </c>
      <c r="AH126" s="7"/>
      <c r="AI126" s="618">
        <f t="shared" si="5"/>
        <v>46.061499999999995</v>
      </c>
      <c r="AJ126" s="7"/>
      <c r="AK126" s="7"/>
      <c r="AL126" s="7"/>
      <c r="AM126" s="7"/>
      <c r="AN126" s="7"/>
      <c r="AO126" s="7"/>
    </row>
    <row r="127" spans="1:41" ht="19.5" customHeight="1">
      <c r="A127" s="482"/>
      <c r="B127" s="483" t="s">
        <v>302</v>
      </c>
      <c r="C127" s="629" t="s">
        <v>131</v>
      </c>
      <c r="D127" s="504" t="s">
        <v>271</v>
      </c>
      <c r="E127" s="632"/>
      <c r="F127" s="213"/>
      <c r="G127" s="213"/>
      <c r="H127" s="213"/>
      <c r="I127" s="213"/>
      <c r="J127" s="213">
        <v>1.2</v>
      </c>
      <c r="K127" s="213"/>
      <c r="L127" s="213"/>
      <c r="M127" s="213"/>
      <c r="N127" s="213"/>
      <c r="O127" s="213"/>
      <c r="P127" s="213"/>
      <c r="Q127" s="215"/>
      <c r="R127" s="213"/>
      <c r="S127" s="632"/>
      <c r="T127" s="214"/>
      <c r="U127" s="215"/>
      <c r="V127" s="215"/>
      <c r="W127" s="215">
        <v>6.2084999999999999</v>
      </c>
      <c r="X127" s="215"/>
      <c r="Y127" s="370"/>
      <c r="Z127" s="647"/>
      <c r="AA127" s="643"/>
      <c r="AB127" s="616">
        <f t="shared" si="0"/>
        <v>7.4085000000000001</v>
      </c>
      <c r="AC127" s="633"/>
      <c r="AD127" s="634"/>
      <c r="AE127" s="634"/>
      <c r="AF127" s="7"/>
      <c r="AG127" s="628">
        <v>37.130000000000003</v>
      </c>
      <c r="AH127" s="7"/>
      <c r="AI127" s="618"/>
      <c r="AJ127" s="7"/>
      <c r="AK127" s="7"/>
      <c r="AL127" s="7"/>
      <c r="AM127" s="7"/>
      <c r="AN127" s="7"/>
      <c r="AO127" s="7"/>
    </row>
    <row r="128" spans="1:41" ht="20.25" customHeight="1">
      <c r="A128" s="482"/>
      <c r="B128" s="483" t="s">
        <v>303</v>
      </c>
      <c r="C128" s="629" t="s">
        <v>200</v>
      </c>
      <c r="D128" s="504" t="s">
        <v>271</v>
      </c>
      <c r="E128" s="632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5"/>
      <c r="R128" s="213"/>
      <c r="S128" s="632"/>
      <c r="T128" s="214"/>
      <c r="U128" s="215"/>
      <c r="V128" s="215"/>
      <c r="W128" s="215"/>
      <c r="X128" s="215"/>
      <c r="Y128" s="370"/>
      <c r="Z128" s="647"/>
      <c r="AA128" s="643"/>
      <c r="AB128" s="616">
        <f t="shared" si="0"/>
        <v>0</v>
      </c>
      <c r="AC128" s="633"/>
      <c r="AD128" s="634"/>
      <c r="AE128" s="634"/>
      <c r="AF128" s="7"/>
      <c r="AG128" s="628">
        <v>10.76</v>
      </c>
      <c r="AH128" s="7"/>
      <c r="AI128" s="618"/>
      <c r="AJ128" s="7"/>
      <c r="AK128" s="7"/>
      <c r="AL128" s="7"/>
      <c r="AM128" s="7"/>
      <c r="AN128" s="7"/>
      <c r="AO128" s="7"/>
    </row>
    <row r="129" spans="1:41" ht="20.25" customHeight="1">
      <c r="A129" s="482"/>
      <c r="B129" s="483" t="s">
        <v>304</v>
      </c>
      <c r="C129" s="629" t="s">
        <v>203</v>
      </c>
      <c r="D129" s="504" t="s">
        <v>271</v>
      </c>
      <c r="E129" s="632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5"/>
      <c r="R129" s="213"/>
      <c r="S129" s="632"/>
      <c r="T129" s="214"/>
      <c r="U129" s="215"/>
      <c r="V129" s="215"/>
      <c r="W129" s="215"/>
      <c r="X129" s="215"/>
      <c r="Y129" s="370"/>
      <c r="Z129" s="647"/>
      <c r="AA129" s="643"/>
      <c r="AB129" s="616">
        <f t="shared" si="0"/>
        <v>0</v>
      </c>
      <c r="AC129" s="633"/>
      <c r="AD129" s="634"/>
      <c r="AE129" s="634"/>
      <c r="AF129" s="7"/>
      <c r="AG129" s="628">
        <v>6.68</v>
      </c>
      <c r="AH129" s="7"/>
      <c r="AI129" s="618"/>
      <c r="AJ129" s="7"/>
      <c r="AK129" s="7"/>
      <c r="AL129" s="7"/>
      <c r="AM129" s="7"/>
      <c r="AN129" s="7"/>
      <c r="AO129" s="7"/>
    </row>
    <row r="130" spans="1:41" ht="20.25" customHeight="1">
      <c r="A130" s="482"/>
      <c r="B130" s="483" t="s">
        <v>305</v>
      </c>
      <c r="C130" s="629" t="s">
        <v>159</v>
      </c>
      <c r="D130" s="504" t="s">
        <v>271</v>
      </c>
      <c r="E130" s="632"/>
      <c r="F130" s="213">
        <v>2</v>
      </c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5"/>
      <c r="R130" s="213"/>
      <c r="S130" s="632"/>
      <c r="T130" s="214"/>
      <c r="U130" s="215"/>
      <c r="V130" s="215"/>
      <c r="W130" s="215"/>
      <c r="X130" s="215"/>
      <c r="Y130" s="370"/>
      <c r="Z130" s="647"/>
      <c r="AA130" s="643"/>
      <c r="AB130" s="616">
        <f t="shared" si="0"/>
        <v>2</v>
      </c>
      <c r="AC130" s="633"/>
      <c r="AD130" s="634"/>
      <c r="AE130" s="634"/>
      <c r="AF130" s="7"/>
      <c r="AG130" s="628">
        <v>34.51</v>
      </c>
      <c r="AH130" s="7"/>
      <c r="AI130" s="618"/>
      <c r="AJ130" s="7"/>
      <c r="AK130" s="7"/>
      <c r="AL130" s="7"/>
      <c r="AM130" s="7"/>
      <c r="AN130" s="7"/>
      <c r="AO130" s="7"/>
    </row>
    <row r="131" spans="1:41" ht="20.25" customHeight="1">
      <c r="A131" s="486"/>
      <c r="B131" s="505" t="s">
        <v>306</v>
      </c>
      <c r="C131" s="635" t="s">
        <v>307</v>
      </c>
      <c r="D131" s="412" t="s">
        <v>308</v>
      </c>
      <c r="E131" s="632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5"/>
      <c r="R131" s="213"/>
      <c r="S131" s="632"/>
      <c r="T131" s="214"/>
      <c r="U131" s="215"/>
      <c r="V131" s="215"/>
      <c r="W131" s="215"/>
      <c r="X131" s="215"/>
      <c r="Y131" s="370"/>
      <c r="Z131" s="620"/>
      <c r="AA131" s="643"/>
      <c r="AB131" s="616">
        <f t="shared" si="0"/>
        <v>0</v>
      </c>
      <c r="AC131" s="633"/>
      <c r="AD131" s="636"/>
      <c r="AE131" s="636"/>
      <c r="AF131" s="7"/>
      <c r="AG131" s="628"/>
      <c r="AH131" s="7"/>
      <c r="AI131" s="618">
        <f t="shared" ref="AI131:AI173" si="6">AG131-AB131</f>
        <v>0</v>
      </c>
      <c r="AJ131" s="7"/>
      <c r="AK131" s="7"/>
      <c r="AL131" s="7"/>
      <c r="AM131" s="7"/>
      <c r="AN131" s="7"/>
      <c r="AO131" s="7"/>
    </row>
    <row r="132" spans="1:41" ht="20.25" customHeight="1">
      <c r="A132" s="482"/>
      <c r="B132" s="483" t="s">
        <v>310</v>
      </c>
      <c r="C132" s="629" t="s">
        <v>131</v>
      </c>
      <c r="D132" s="504" t="s">
        <v>308</v>
      </c>
      <c r="E132" s="632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5"/>
      <c r="R132" s="213"/>
      <c r="S132" s="632"/>
      <c r="T132" s="214"/>
      <c r="U132" s="215"/>
      <c r="V132" s="215"/>
      <c r="W132" s="215"/>
      <c r="X132" s="215"/>
      <c r="Y132" s="370"/>
      <c r="Z132" s="647"/>
      <c r="AA132" s="643"/>
      <c r="AB132" s="616">
        <f t="shared" si="0"/>
        <v>0</v>
      </c>
      <c r="AC132" s="633"/>
      <c r="AD132" s="634"/>
      <c r="AE132" s="634"/>
      <c r="AF132" s="7"/>
      <c r="AG132" s="628"/>
      <c r="AH132" s="7"/>
      <c r="AI132" s="618">
        <f t="shared" si="6"/>
        <v>0</v>
      </c>
      <c r="AJ132" s="7"/>
      <c r="AK132" s="7"/>
      <c r="AL132" s="7"/>
      <c r="AM132" s="7"/>
      <c r="AN132" s="7"/>
      <c r="AO132" s="7"/>
    </row>
    <row r="133" spans="1:41" ht="20.25" customHeight="1">
      <c r="A133" s="482"/>
      <c r="B133" s="483" t="s">
        <v>311</v>
      </c>
      <c r="C133" s="629" t="s">
        <v>200</v>
      </c>
      <c r="D133" s="504" t="s">
        <v>308</v>
      </c>
      <c r="E133" s="632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5"/>
      <c r="R133" s="213"/>
      <c r="S133" s="632"/>
      <c r="T133" s="214"/>
      <c r="U133" s="215"/>
      <c r="V133" s="215"/>
      <c r="W133" s="215"/>
      <c r="X133" s="215"/>
      <c r="Y133" s="370"/>
      <c r="Z133" s="647"/>
      <c r="AA133" s="643"/>
      <c r="AB133" s="616">
        <f t="shared" si="0"/>
        <v>0</v>
      </c>
      <c r="AC133" s="633"/>
      <c r="AD133" s="634"/>
      <c r="AE133" s="634"/>
      <c r="AF133" s="7"/>
      <c r="AG133" s="628"/>
      <c r="AH133" s="7"/>
      <c r="AI133" s="618">
        <f t="shared" si="6"/>
        <v>0</v>
      </c>
      <c r="AJ133" s="7"/>
      <c r="AK133" s="7"/>
      <c r="AL133" s="7"/>
      <c r="AM133" s="7"/>
      <c r="AN133" s="7"/>
      <c r="AO133" s="7"/>
    </row>
    <row r="134" spans="1:41" ht="20.25" customHeight="1">
      <c r="A134" s="482"/>
      <c r="B134" s="483" t="s">
        <v>312</v>
      </c>
      <c r="C134" s="629" t="s">
        <v>203</v>
      </c>
      <c r="D134" s="504" t="s">
        <v>308</v>
      </c>
      <c r="E134" s="632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5"/>
      <c r="R134" s="213"/>
      <c r="S134" s="632"/>
      <c r="T134" s="214"/>
      <c r="U134" s="215"/>
      <c r="V134" s="215"/>
      <c r="W134" s="215"/>
      <c r="X134" s="215"/>
      <c r="Y134" s="370"/>
      <c r="Z134" s="647"/>
      <c r="AA134" s="643"/>
      <c r="AB134" s="616">
        <f t="shared" si="0"/>
        <v>0</v>
      </c>
      <c r="AC134" s="633"/>
      <c r="AD134" s="634"/>
      <c r="AE134" s="634"/>
      <c r="AF134" s="7"/>
      <c r="AG134" s="628"/>
      <c r="AH134" s="7"/>
      <c r="AI134" s="618">
        <f t="shared" si="6"/>
        <v>0</v>
      </c>
      <c r="AJ134" s="7"/>
      <c r="AK134" s="7"/>
      <c r="AL134" s="7"/>
      <c r="AM134" s="7"/>
      <c r="AN134" s="7"/>
      <c r="AO134" s="7"/>
    </row>
    <row r="135" spans="1:41" ht="20.25" customHeight="1">
      <c r="A135" s="482"/>
      <c r="B135" s="483" t="s">
        <v>313</v>
      </c>
      <c r="C135" s="629" t="s">
        <v>159</v>
      </c>
      <c r="D135" s="504" t="s">
        <v>308</v>
      </c>
      <c r="E135" s="632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5"/>
      <c r="R135" s="213"/>
      <c r="S135" s="632"/>
      <c r="T135" s="214"/>
      <c r="U135" s="215"/>
      <c r="V135" s="215"/>
      <c r="W135" s="215"/>
      <c r="X135" s="215"/>
      <c r="Y135" s="370"/>
      <c r="Z135" s="647"/>
      <c r="AA135" s="643"/>
      <c r="AB135" s="616">
        <f t="shared" si="0"/>
        <v>0</v>
      </c>
      <c r="AC135" s="633"/>
      <c r="AD135" s="634"/>
      <c r="AE135" s="634"/>
      <c r="AF135" s="7"/>
      <c r="AG135" s="628"/>
      <c r="AH135" s="7"/>
      <c r="AI135" s="618">
        <f t="shared" si="6"/>
        <v>0</v>
      </c>
      <c r="AJ135" s="7"/>
      <c r="AK135" s="7"/>
      <c r="AL135" s="7"/>
      <c r="AM135" s="7"/>
      <c r="AN135" s="7"/>
      <c r="AO135" s="7"/>
    </row>
    <row r="136" spans="1:41" ht="20.25" customHeight="1">
      <c r="A136" s="486"/>
      <c r="B136" s="487" t="s">
        <v>314</v>
      </c>
      <c r="C136" s="656" t="s">
        <v>315</v>
      </c>
      <c r="D136" s="412" t="s">
        <v>271</v>
      </c>
      <c r="E136" s="632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5"/>
      <c r="R136" s="213"/>
      <c r="S136" s="632"/>
      <c r="T136" s="214"/>
      <c r="U136" s="215"/>
      <c r="V136" s="215"/>
      <c r="W136" s="215"/>
      <c r="X136" s="215"/>
      <c r="Y136" s="372"/>
      <c r="Z136" s="620"/>
      <c r="AA136" s="643"/>
      <c r="AB136" s="616">
        <f t="shared" si="0"/>
        <v>0</v>
      </c>
      <c r="AC136" s="633"/>
      <c r="AD136" s="636"/>
      <c r="AE136" s="636"/>
      <c r="AF136" s="7"/>
      <c r="AG136" s="628">
        <v>0.1</v>
      </c>
      <c r="AH136" s="7"/>
      <c r="AI136" s="618">
        <f t="shared" si="6"/>
        <v>0.1</v>
      </c>
      <c r="AJ136" s="7"/>
      <c r="AK136" s="7"/>
      <c r="AL136" s="7"/>
      <c r="AM136" s="7"/>
      <c r="AN136" s="7"/>
      <c r="AO136" s="7"/>
    </row>
    <row r="137" spans="1:41" ht="20.25" customHeight="1">
      <c r="A137" s="503"/>
      <c r="B137" s="483" t="s">
        <v>317</v>
      </c>
      <c r="C137" s="629" t="s">
        <v>131</v>
      </c>
      <c r="D137" s="504" t="s">
        <v>271</v>
      </c>
      <c r="E137" s="632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5"/>
      <c r="R137" s="213"/>
      <c r="S137" s="632"/>
      <c r="T137" s="214"/>
      <c r="U137" s="215"/>
      <c r="V137" s="215"/>
      <c r="W137" s="215"/>
      <c r="X137" s="215"/>
      <c r="Y137" s="370"/>
      <c r="Z137" s="647"/>
      <c r="AA137" s="643"/>
      <c r="AB137" s="616">
        <f t="shared" si="0"/>
        <v>0</v>
      </c>
      <c r="AC137" s="633"/>
      <c r="AD137" s="648"/>
      <c r="AE137" s="648"/>
      <c r="AF137" s="7"/>
      <c r="AG137" s="628"/>
      <c r="AH137" s="7"/>
      <c r="AI137" s="618">
        <f t="shared" si="6"/>
        <v>0</v>
      </c>
      <c r="AJ137" s="7"/>
      <c r="AK137" s="7"/>
      <c r="AL137" s="7"/>
      <c r="AM137" s="7"/>
      <c r="AN137" s="7"/>
      <c r="AO137" s="7"/>
    </row>
    <row r="138" spans="1:41" ht="20.25" customHeight="1">
      <c r="A138" s="503"/>
      <c r="B138" s="483" t="s">
        <v>318</v>
      </c>
      <c r="C138" s="629" t="s">
        <v>200</v>
      </c>
      <c r="D138" s="504" t="s">
        <v>271</v>
      </c>
      <c r="E138" s="632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5"/>
      <c r="R138" s="213"/>
      <c r="S138" s="632"/>
      <c r="T138" s="214"/>
      <c r="U138" s="215"/>
      <c r="V138" s="215"/>
      <c r="W138" s="215"/>
      <c r="X138" s="215"/>
      <c r="Y138" s="370"/>
      <c r="Z138" s="647"/>
      <c r="AA138" s="643"/>
      <c r="AB138" s="616">
        <f t="shared" si="0"/>
        <v>0</v>
      </c>
      <c r="AC138" s="633"/>
      <c r="AD138" s="648"/>
      <c r="AE138" s="648"/>
      <c r="AF138" s="7"/>
      <c r="AG138" s="628"/>
      <c r="AH138" s="7"/>
      <c r="AI138" s="618">
        <f t="shared" si="6"/>
        <v>0</v>
      </c>
      <c r="AJ138" s="7"/>
      <c r="AK138" s="7"/>
      <c r="AL138" s="7"/>
      <c r="AM138" s="7"/>
      <c r="AN138" s="7"/>
      <c r="AO138" s="7"/>
    </row>
    <row r="139" spans="1:41" ht="20.25" customHeight="1">
      <c r="A139" s="503"/>
      <c r="B139" s="483" t="s">
        <v>319</v>
      </c>
      <c r="C139" s="629" t="s">
        <v>203</v>
      </c>
      <c r="D139" s="504" t="s">
        <v>271</v>
      </c>
      <c r="E139" s="632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5"/>
      <c r="R139" s="213"/>
      <c r="S139" s="632"/>
      <c r="T139" s="214"/>
      <c r="U139" s="215"/>
      <c r="V139" s="215"/>
      <c r="W139" s="215"/>
      <c r="X139" s="215"/>
      <c r="Y139" s="370"/>
      <c r="Z139" s="647"/>
      <c r="AA139" s="643"/>
      <c r="AB139" s="616">
        <f t="shared" si="0"/>
        <v>0</v>
      </c>
      <c r="AC139" s="633"/>
      <c r="AD139" s="648"/>
      <c r="AE139" s="648"/>
      <c r="AF139" s="7"/>
      <c r="AG139" s="628"/>
      <c r="AH139" s="7"/>
      <c r="AI139" s="618">
        <f t="shared" si="6"/>
        <v>0</v>
      </c>
      <c r="AJ139" s="7"/>
      <c r="AK139" s="7"/>
      <c r="AL139" s="7"/>
      <c r="AM139" s="7"/>
      <c r="AN139" s="7"/>
      <c r="AO139" s="7"/>
    </row>
    <row r="140" spans="1:41" ht="20.25" customHeight="1">
      <c r="A140" s="503"/>
      <c r="B140" s="483" t="s">
        <v>320</v>
      </c>
      <c r="C140" s="629" t="s">
        <v>159</v>
      </c>
      <c r="D140" s="504" t="s">
        <v>271</v>
      </c>
      <c r="E140" s="632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5"/>
      <c r="R140" s="213"/>
      <c r="S140" s="632"/>
      <c r="T140" s="214"/>
      <c r="U140" s="215"/>
      <c r="V140" s="215"/>
      <c r="W140" s="215"/>
      <c r="X140" s="215"/>
      <c r="Y140" s="370"/>
      <c r="Z140" s="647"/>
      <c r="AA140" s="643"/>
      <c r="AB140" s="616">
        <f t="shared" si="0"/>
        <v>0</v>
      </c>
      <c r="AC140" s="633"/>
      <c r="AD140" s="648"/>
      <c r="AE140" s="648"/>
      <c r="AF140" s="7"/>
      <c r="AG140" s="628"/>
      <c r="AH140" s="7"/>
      <c r="AI140" s="618">
        <f t="shared" si="6"/>
        <v>0</v>
      </c>
      <c r="AJ140" s="7"/>
      <c r="AK140" s="7"/>
      <c r="AL140" s="7"/>
      <c r="AM140" s="7"/>
      <c r="AN140" s="7"/>
      <c r="AO140" s="7"/>
    </row>
    <row r="141" spans="1:41" ht="20.25" customHeight="1">
      <c r="A141" s="486"/>
      <c r="B141" s="487" t="s">
        <v>321</v>
      </c>
      <c r="C141" s="656" t="s">
        <v>322</v>
      </c>
      <c r="D141" s="412" t="s">
        <v>271</v>
      </c>
      <c r="E141" s="632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5"/>
      <c r="R141" s="213"/>
      <c r="S141" s="632"/>
      <c r="T141" s="214"/>
      <c r="U141" s="215"/>
      <c r="V141" s="215"/>
      <c r="W141" s="215"/>
      <c r="X141" s="215"/>
      <c r="Y141" s="372"/>
      <c r="Z141" s="620"/>
      <c r="AA141" s="643"/>
      <c r="AB141" s="616">
        <f t="shared" si="0"/>
        <v>0</v>
      </c>
      <c r="AC141" s="633"/>
      <c r="AD141" s="636"/>
      <c r="AE141" s="636"/>
      <c r="AF141" s="7"/>
      <c r="AG141" s="628">
        <v>0.1</v>
      </c>
      <c r="AH141" s="7"/>
      <c r="AI141" s="618">
        <f t="shared" si="6"/>
        <v>0.1</v>
      </c>
      <c r="AJ141" s="7"/>
      <c r="AK141" s="7"/>
      <c r="AL141" s="7"/>
      <c r="AM141" s="7"/>
      <c r="AN141" s="7"/>
      <c r="AO141" s="7"/>
    </row>
    <row r="142" spans="1:41" ht="20.25" customHeight="1">
      <c r="A142" s="503"/>
      <c r="B142" s="483" t="s">
        <v>324</v>
      </c>
      <c r="C142" s="629" t="s">
        <v>131</v>
      </c>
      <c r="D142" s="504" t="s">
        <v>271</v>
      </c>
      <c r="E142" s="632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5"/>
      <c r="R142" s="213"/>
      <c r="S142" s="632"/>
      <c r="T142" s="214"/>
      <c r="U142" s="215"/>
      <c r="V142" s="215"/>
      <c r="W142" s="215"/>
      <c r="X142" s="215"/>
      <c r="Y142" s="370"/>
      <c r="Z142" s="647"/>
      <c r="AA142" s="643"/>
      <c r="AB142" s="616">
        <f t="shared" si="0"/>
        <v>0</v>
      </c>
      <c r="AC142" s="633"/>
      <c r="AD142" s="648"/>
      <c r="AE142" s="648"/>
      <c r="AF142" s="7"/>
      <c r="AG142" s="628"/>
      <c r="AH142" s="7"/>
      <c r="AI142" s="618">
        <f t="shared" si="6"/>
        <v>0</v>
      </c>
      <c r="AJ142" s="7"/>
      <c r="AK142" s="7"/>
      <c r="AL142" s="7"/>
      <c r="AM142" s="7"/>
      <c r="AN142" s="7"/>
      <c r="AO142" s="7"/>
    </row>
    <row r="143" spans="1:41" ht="20.25" customHeight="1">
      <c r="A143" s="503"/>
      <c r="B143" s="483" t="s">
        <v>325</v>
      </c>
      <c r="C143" s="629" t="s">
        <v>200</v>
      </c>
      <c r="D143" s="504" t="s">
        <v>271</v>
      </c>
      <c r="E143" s="632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5"/>
      <c r="R143" s="213"/>
      <c r="S143" s="632"/>
      <c r="T143" s="214"/>
      <c r="U143" s="215"/>
      <c r="V143" s="215"/>
      <c r="W143" s="215"/>
      <c r="X143" s="215"/>
      <c r="Y143" s="370"/>
      <c r="Z143" s="647"/>
      <c r="AA143" s="643"/>
      <c r="AB143" s="616">
        <f t="shared" si="0"/>
        <v>0</v>
      </c>
      <c r="AC143" s="633"/>
      <c r="AD143" s="648"/>
      <c r="AE143" s="648"/>
      <c r="AF143" s="7"/>
      <c r="AG143" s="628"/>
      <c r="AH143" s="7"/>
      <c r="AI143" s="618">
        <f t="shared" si="6"/>
        <v>0</v>
      </c>
      <c r="AJ143" s="7"/>
      <c r="AK143" s="7"/>
      <c r="AL143" s="7"/>
      <c r="AM143" s="7"/>
      <c r="AN143" s="7"/>
      <c r="AO143" s="7"/>
    </row>
    <row r="144" spans="1:41" ht="20.25" customHeight="1">
      <c r="A144" s="503"/>
      <c r="B144" s="483" t="s">
        <v>326</v>
      </c>
      <c r="C144" s="629" t="s">
        <v>203</v>
      </c>
      <c r="D144" s="504" t="s">
        <v>271</v>
      </c>
      <c r="E144" s="632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5"/>
      <c r="R144" s="213"/>
      <c r="S144" s="632"/>
      <c r="T144" s="214"/>
      <c r="U144" s="215"/>
      <c r="V144" s="215"/>
      <c r="W144" s="215"/>
      <c r="X144" s="215"/>
      <c r="Y144" s="370"/>
      <c r="Z144" s="647"/>
      <c r="AA144" s="643"/>
      <c r="AB144" s="616">
        <f t="shared" si="0"/>
        <v>0</v>
      </c>
      <c r="AC144" s="633"/>
      <c r="AD144" s="648"/>
      <c r="AE144" s="648"/>
      <c r="AF144" s="7"/>
      <c r="AG144" s="628"/>
      <c r="AH144" s="7"/>
      <c r="AI144" s="618">
        <f t="shared" si="6"/>
        <v>0</v>
      </c>
      <c r="AJ144" s="7"/>
      <c r="AK144" s="7"/>
      <c r="AL144" s="7"/>
      <c r="AM144" s="7"/>
      <c r="AN144" s="7"/>
      <c r="AO144" s="7"/>
    </row>
    <row r="145" spans="1:41" ht="20.25" customHeight="1">
      <c r="A145" s="503"/>
      <c r="B145" s="483" t="s">
        <v>327</v>
      </c>
      <c r="C145" s="629" t="s">
        <v>159</v>
      </c>
      <c r="D145" s="504" t="s">
        <v>271</v>
      </c>
      <c r="E145" s="632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5"/>
      <c r="R145" s="213"/>
      <c r="S145" s="632"/>
      <c r="T145" s="214"/>
      <c r="U145" s="215"/>
      <c r="V145" s="215"/>
      <c r="W145" s="215"/>
      <c r="X145" s="215"/>
      <c r="Y145" s="370"/>
      <c r="Z145" s="647"/>
      <c r="AA145" s="643"/>
      <c r="AB145" s="616">
        <f t="shared" si="0"/>
        <v>0</v>
      </c>
      <c r="AC145" s="633"/>
      <c r="AD145" s="648"/>
      <c r="AE145" s="648"/>
      <c r="AF145" s="7"/>
      <c r="AG145" s="628"/>
      <c r="AH145" s="7"/>
      <c r="AI145" s="618">
        <f t="shared" si="6"/>
        <v>0</v>
      </c>
      <c r="AJ145" s="7"/>
      <c r="AK145" s="7"/>
      <c r="AL145" s="7"/>
      <c r="AM145" s="7"/>
      <c r="AN145" s="7"/>
      <c r="AO145" s="7"/>
    </row>
    <row r="146" spans="1:41" ht="20.25" customHeight="1">
      <c r="A146" s="486"/>
      <c r="B146" s="487" t="s">
        <v>328</v>
      </c>
      <c r="C146" s="635" t="s">
        <v>329</v>
      </c>
      <c r="D146" s="412" t="s">
        <v>271</v>
      </c>
      <c r="E146" s="632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5"/>
      <c r="R146" s="213"/>
      <c r="S146" s="632"/>
      <c r="T146" s="214"/>
      <c r="U146" s="215">
        <v>0.36</v>
      </c>
      <c r="V146" s="215"/>
      <c r="W146" s="215"/>
      <c r="X146" s="215"/>
      <c r="Y146" s="372"/>
      <c r="Z146" s="620"/>
      <c r="AA146" s="643"/>
      <c r="AB146" s="616">
        <f t="shared" si="0"/>
        <v>0.36</v>
      </c>
      <c r="AC146" s="633"/>
      <c r="AD146" s="636"/>
      <c r="AE146" s="636"/>
      <c r="AF146" s="7"/>
      <c r="AG146" s="628">
        <v>4.99</v>
      </c>
      <c r="AH146" s="7"/>
      <c r="AI146" s="618">
        <f t="shared" si="6"/>
        <v>4.63</v>
      </c>
      <c r="AJ146" s="7"/>
      <c r="AK146" s="7"/>
      <c r="AL146" s="7"/>
      <c r="AM146" s="7"/>
      <c r="AN146" s="7"/>
      <c r="AO146" s="7"/>
    </row>
    <row r="147" spans="1:41" ht="20.25" customHeight="1">
      <c r="A147" s="482"/>
      <c r="B147" s="483" t="s">
        <v>331</v>
      </c>
      <c r="C147" s="629" t="s">
        <v>131</v>
      </c>
      <c r="D147" s="504" t="s">
        <v>271</v>
      </c>
      <c r="E147" s="632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5"/>
      <c r="R147" s="213"/>
      <c r="S147" s="632"/>
      <c r="T147" s="214"/>
      <c r="U147" s="215"/>
      <c r="V147" s="215"/>
      <c r="W147" s="215"/>
      <c r="X147" s="215"/>
      <c r="Y147" s="372"/>
      <c r="Z147" s="647"/>
      <c r="AA147" s="643"/>
      <c r="AB147" s="616">
        <f t="shared" si="0"/>
        <v>0</v>
      </c>
      <c r="AC147" s="633"/>
      <c r="AD147" s="634"/>
      <c r="AE147" s="634"/>
      <c r="AF147" s="7"/>
      <c r="AG147" s="628"/>
      <c r="AH147" s="7"/>
      <c r="AI147" s="618">
        <f t="shared" si="6"/>
        <v>0</v>
      </c>
      <c r="AJ147" s="7"/>
      <c r="AK147" s="7"/>
      <c r="AL147" s="7"/>
      <c r="AM147" s="7"/>
      <c r="AN147" s="7"/>
      <c r="AO147" s="7"/>
    </row>
    <row r="148" spans="1:41" ht="20.25" customHeight="1">
      <c r="A148" s="482"/>
      <c r="B148" s="483" t="s">
        <v>332</v>
      </c>
      <c r="C148" s="629" t="s">
        <v>200</v>
      </c>
      <c r="D148" s="504" t="s">
        <v>271</v>
      </c>
      <c r="E148" s="632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5"/>
      <c r="R148" s="213"/>
      <c r="S148" s="632"/>
      <c r="T148" s="214"/>
      <c r="U148" s="215"/>
      <c r="V148" s="215"/>
      <c r="W148" s="215"/>
      <c r="X148" s="215"/>
      <c r="Y148" s="372"/>
      <c r="Z148" s="647"/>
      <c r="AA148" s="643"/>
      <c r="AB148" s="616">
        <f t="shared" si="0"/>
        <v>0</v>
      </c>
      <c r="AC148" s="633"/>
      <c r="AD148" s="634"/>
      <c r="AE148" s="634"/>
      <c r="AF148" s="7"/>
      <c r="AG148" s="628"/>
      <c r="AH148" s="7"/>
      <c r="AI148" s="618">
        <f t="shared" si="6"/>
        <v>0</v>
      </c>
      <c r="AJ148" s="7"/>
      <c r="AK148" s="7"/>
      <c r="AL148" s="7"/>
      <c r="AM148" s="7"/>
      <c r="AN148" s="7"/>
      <c r="AO148" s="7"/>
    </row>
    <row r="149" spans="1:41" ht="20.25" customHeight="1">
      <c r="A149" s="482"/>
      <c r="B149" s="483" t="s">
        <v>333</v>
      </c>
      <c r="C149" s="629" t="s">
        <v>203</v>
      </c>
      <c r="D149" s="504" t="s">
        <v>271</v>
      </c>
      <c r="E149" s="632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5"/>
      <c r="R149" s="213"/>
      <c r="S149" s="632"/>
      <c r="T149" s="214"/>
      <c r="U149" s="215"/>
      <c r="V149" s="215"/>
      <c r="W149" s="215"/>
      <c r="X149" s="215"/>
      <c r="Y149" s="372"/>
      <c r="Z149" s="647"/>
      <c r="AA149" s="643"/>
      <c r="AB149" s="616">
        <f t="shared" si="0"/>
        <v>0</v>
      </c>
      <c r="AC149" s="633"/>
      <c r="AD149" s="634"/>
      <c r="AE149" s="634"/>
      <c r="AF149" s="7"/>
      <c r="AG149" s="628">
        <v>4.99</v>
      </c>
      <c r="AH149" s="7"/>
      <c r="AI149" s="618">
        <f t="shared" si="6"/>
        <v>4.99</v>
      </c>
      <c r="AJ149" s="7"/>
      <c r="AK149" s="7"/>
      <c r="AL149" s="7"/>
      <c r="AM149" s="7"/>
      <c r="AN149" s="7"/>
      <c r="AO149" s="7"/>
    </row>
    <row r="150" spans="1:41" ht="20.25" customHeight="1">
      <c r="A150" s="482"/>
      <c r="B150" s="483" t="s">
        <v>334</v>
      </c>
      <c r="C150" s="629" t="s">
        <v>159</v>
      </c>
      <c r="D150" s="504" t="s">
        <v>271</v>
      </c>
      <c r="E150" s="632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5"/>
      <c r="R150" s="213"/>
      <c r="S150" s="632"/>
      <c r="T150" s="214"/>
      <c r="U150" s="215"/>
      <c r="V150" s="215"/>
      <c r="W150" s="215"/>
      <c r="X150" s="215"/>
      <c r="Y150" s="372"/>
      <c r="Z150" s="647"/>
      <c r="AA150" s="643"/>
      <c r="AB150" s="616">
        <f t="shared" si="0"/>
        <v>0</v>
      </c>
      <c r="AC150" s="633"/>
      <c r="AD150" s="634"/>
      <c r="AE150" s="634"/>
      <c r="AF150" s="7"/>
      <c r="AG150" s="628"/>
      <c r="AH150" s="7"/>
      <c r="AI150" s="618">
        <f t="shared" si="6"/>
        <v>0</v>
      </c>
      <c r="AJ150" s="7"/>
      <c r="AK150" s="7"/>
      <c r="AL150" s="7"/>
      <c r="AM150" s="7"/>
      <c r="AN150" s="7"/>
      <c r="AO150" s="7"/>
    </row>
    <row r="151" spans="1:41" ht="20.25" customHeight="1">
      <c r="A151" s="486"/>
      <c r="B151" s="487" t="s">
        <v>335</v>
      </c>
      <c r="C151" s="635" t="s">
        <v>336</v>
      </c>
      <c r="D151" s="412" t="s">
        <v>271</v>
      </c>
      <c r="E151" s="632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5"/>
      <c r="R151" s="213"/>
      <c r="S151" s="632"/>
      <c r="T151" s="214"/>
      <c r="U151" s="215"/>
      <c r="V151" s="215"/>
      <c r="W151" s="215"/>
      <c r="X151" s="215"/>
      <c r="Y151" s="372"/>
      <c r="Z151" s="620"/>
      <c r="AA151" s="643"/>
      <c r="AB151" s="616">
        <f t="shared" si="0"/>
        <v>0</v>
      </c>
      <c r="AC151" s="633"/>
      <c r="AD151" s="636"/>
      <c r="AE151" s="636"/>
      <c r="AF151" s="7"/>
      <c r="AG151" s="628"/>
      <c r="AH151" s="7"/>
      <c r="AI151" s="618">
        <f t="shared" si="6"/>
        <v>0</v>
      </c>
      <c r="AJ151" s="7"/>
      <c r="AK151" s="7"/>
      <c r="AL151" s="7"/>
      <c r="AM151" s="7"/>
      <c r="AN151" s="7"/>
      <c r="AO151" s="7"/>
    </row>
    <row r="152" spans="1:41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632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5"/>
      <c r="R152" s="213"/>
      <c r="S152" s="632"/>
      <c r="T152" s="214"/>
      <c r="U152" s="215"/>
      <c r="V152" s="215"/>
      <c r="W152" s="215"/>
      <c r="X152" s="215"/>
      <c r="Y152" s="372"/>
      <c r="Z152" s="647"/>
      <c r="AA152" s="643"/>
      <c r="AB152" s="616">
        <f t="shared" si="0"/>
        <v>0</v>
      </c>
      <c r="AC152" s="633"/>
      <c r="AD152" s="634"/>
      <c r="AE152" s="634"/>
      <c r="AF152" s="7"/>
      <c r="AG152" s="628"/>
      <c r="AH152" s="7"/>
      <c r="AI152" s="618">
        <f t="shared" si="6"/>
        <v>0</v>
      </c>
      <c r="AJ152" s="7"/>
      <c r="AK152" s="7"/>
      <c r="AL152" s="7"/>
      <c r="AM152" s="7"/>
      <c r="AN152" s="7"/>
      <c r="AO152" s="7"/>
    </row>
    <row r="153" spans="1:41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632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5"/>
      <c r="R153" s="213"/>
      <c r="S153" s="632"/>
      <c r="T153" s="214"/>
      <c r="U153" s="215"/>
      <c r="V153" s="215"/>
      <c r="W153" s="215"/>
      <c r="X153" s="215"/>
      <c r="Y153" s="372"/>
      <c r="Z153" s="647"/>
      <c r="AA153" s="643"/>
      <c r="AB153" s="616">
        <f t="shared" si="0"/>
        <v>0</v>
      </c>
      <c r="AC153" s="633"/>
      <c r="AD153" s="634"/>
      <c r="AE153" s="634"/>
      <c r="AF153" s="7"/>
      <c r="AG153" s="628"/>
      <c r="AH153" s="7"/>
      <c r="AI153" s="618">
        <f t="shared" si="6"/>
        <v>0</v>
      </c>
      <c r="AJ153" s="7"/>
      <c r="AK153" s="7"/>
      <c r="AL153" s="7"/>
      <c r="AM153" s="7"/>
      <c r="AN153" s="7"/>
      <c r="AO153" s="7"/>
    </row>
    <row r="154" spans="1:41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632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5"/>
      <c r="R154" s="213"/>
      <c r="S154" s="632"/>
      <c r="T154" s="214"/>
      <c r="U154" s="215"/>
      <c r="V154" s="215"/>
      <c r="W154" s="215"/>
      <c r="X154" s="215"/>
      <c r="Y154" s="372"/>
      <c r="Z154" s="647"/>
      <c r="AA154" s="643"/>
      <c r="AB154" s="616">
        <f t="shared" si="0"/>
        <v>0</v>
      </c>
      <c r="AC154" s="633"/>
      <c r="AD154" s="634"/>
      <c r="AE154" s="634"/>
      <c r="AF154" s="7"/>
      <c r="AG154" s="628"/>
      <c r="AH154" s="7"/>
      <c r="AI154" s="618">
        <f t="shared" si="6"/>
        <v>0</v>
      </c>
      <c r="AJ154" s="7"/>
      <c r="AK154" s="7"/>
      <c r="AL154" s="7"/>
      <c r="AM154" s="7"/>
      <c r="AN154" s="7"/>
      <c r="AO154" s="7"/>
    </row>
    <row r="155" spans="1:41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632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5"/>
      <c r="R155" s="213"/>
      <c r="S155" s="632"/>
      <c r="T155" s="214"/>
      <c r="U155" s="215"/>
      <c r="V155" s="215"/>
      <c r="W155" s="215"/>
      <c r="X155" s="215"/>
      <c r="Y155" s="372"/>
      <c r="Z155" s="647"/>
      <c r="AA155" s="643"/>
      <c r="AB155" s="616">
        <f t="shared" si="0"/>
        <v>0</v>
      </c>
      <c r="AC155" s="633"/>
      <c r="AD155" s="634"/>
      <c r="AE155" s="634"/>
      <c r="AF155" s="7"/>
      <c r="AG155" s="628"/>
      <c r="AH155" s="7"/>
      <c r="AI155" s="618">
        <f t="shared" si="6"/>
        <v>0</v>
      </c>
      <c r="AJ155" s="7"/>
      <c r="AK155" s="7"/>
      <c r="AL155" s="7"/>
      <c r="AM155" s="7"/>
      <c r="AN155" s="7"/>
      <c r="AO155" s="7"/>
    </row>
    <row r="156" spans="1:41" ht="20.25" customHeight="1">
      <c r="A156" s="486"/>
      <c r="B156" s="487" t="s">
        <v>342</v>
      </c>
      <c r="C156" s="635" t="s">
        <v>343</v>
      </c>
      <c r="D156" s="412" t="s">
        <v>271</v>
      </c>
      <c r="E156" s="632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5"/>
      <c r="R156" s="213"/>
      <c r="S156" s="632"/>
      <c r="T156" s="214"/>
      <c r="U156" s="215"/>
      <c r="V156" s="215"/>
      <c r="W156" s="215"/>
      <c r="X156" s="215"/>
      <c r="Y156" s="372"/>
      <c r="Z156" s="620"/>
      <c r="AA156" s="643"/>
      <c r="AB156" s="616">
        <f t="shared" si="0"/>
        <v>0</v>
      </c>
      <c r="AC156" s="633"/>
      <c r="AD156" s="636"/>
      <c r="AE156" s="636"/>
      <c r="AF156" s="7"/>
      <c r="AG156" s="628"/>
      <c r="AH156" s="7"/>
      <c r="AI156" s="618">
        <f t="shared" si="6"/>
        <v>0</v>
      </c>
      <c r="AJ156" s="7"/>
      <c r="AK156" s="7"/>
      <c r="AL156" s="7"/>
      <c r="AM156" s="7"/>
      <c r="AN156" s="7"/>
      <c r="AO156" s="7"/>
    </row>
    <row r="157" spans="1:41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632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5"/>
      <c r="R157" s="213"/>
      <c r="S157" s="632"/>
      <c r="T157" s="214"/>
      <c r="U157" s="215"/>
      <c r="V157" s="215"/>
      <c r="W157" s="215"/>
      <c r="X157" s="215"/>
      <c r="Y157" s="372"/>
      <c r="Z157" s="647"/>
      <c r="AA157" s="643"/>
      <c r="AB157" s="616">
        <f t="shared" si="0"/>
        <v>0</v>
      </c>
      <c r="AC157" s="633"/>
      <c r="AD157" s="648"/>
      <c r="AE157" s="648"/>
      <c r="AF157" s="7"/>
      <c r="AG157" s="628"/>
      <c r="AH157" s="7"/>
      <c r="AI157" s="618">
        <f t="shared" si="6"/>
        <v>0</v>
      </c>
      <c r="AJ157" s="7"/>
      <c r="AK157" s="7"/>
      <c r="AL157" s="7"/>
      <c r="AM157" s="7"/>
      <c r="AN157" s="7"/>
      <c r="AO157" s="7"/>
    </row>
    <row r="158" spans="1:41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632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5"/>
      <c r="R158" s="213"/>
      <c r="S158" s="632"/>
      <c r="T158" s="214"/>
      <c r="U158" s="215"/>
      <c r="V158" s="215"/>
      <c r="W158" s="215"/>
      <c r="X158" s="215"/>
      <c r="Y158" s="372"/>
      <c r="Z158" s="647"/>
      <c r="AA158" s="643"/>
      <c r="AB158" s="616">
        <f t="shared" si="0"/>
        <v>0</v>
      </c>
      <c r="AC158" s="633"/>
      <c r="AD158" s="648"/>
      <c r="AE158" s="648"/>
      <c r="AF158" s="7"/>
      <c r="AG158" s="628"/>
      <c r="AH158" s="7"/>
      <c r="AI158" s="618">
        <f t="shared" si="6"/>
        <v>0</v>
      </c>
      <c r="AJ158" s="7"/>
      <c r="AK158" s="7"/>
      <c r="AL158" s="7"/>
      <c r="AM158" s="7"/>
      <c r="AN158" s="7"/>
      <c r="AO158" s="7"/>
    </row>
    <row r="159" spans="1:41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632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5"/>
      <c r="R159" s="213"/>
      <c r="S159" s="632"/>
      <c r="T159" s="214"/>
      <c r="U159" s="215"/>
      <c r="V159" s="215"/>
      <c r="W159" s="215"/>
      <c r="X159" s="215"/>
      <c r="Y159" s="372"/>
      <c r="Z159" s="647"/>
      <c r="AA159" s="643"/>
      <c r="AB159" s="616">
        <f t="shared" si="0"/>
        <v>0</v>
      </c>
      <c r="AC159" s="633"/>
      <c r="AD159" s="648"/>
      <c r="AE159" s="648"/>
      <c r="AF159" s="7"/>
      <c r="AG159" s="628"/>
      <c r="AH159" s="7"/>
      <c r="AI159" s="618">
        <f t="shared" si="6"/>
        <v>0</v>
      </c>
      <c r="AJ159" s="7"/>
      <c r="AK159" s="7"/>
      <c r="AL159" s="7"/>
      <c r="AM159" s="7"/>
      <c r="AN159" s="7"/>
      <c r="AO159" s="7"/>
    </row>
    <row r="160" spans="1:41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632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5"/>
      <c r="R160" s="213"/>
      <c r="S160" s="632"/>
      <c r="T160" s="214"/>
      <c r="U160" s="215"/>
      <c r="V160" s="215"/>
      <c r="W160" s="215"/>
      <c r="X160" s="215"/>
      <c r="Y160" s="372"/>
      <c r="Z160" s="647"/>
      <c r="AA160" s="643"/>
      <c r="AB160" s="616">
        <f t="shared" si="0"/>
        <v>0</v>
      </c>
      <c r="AC160" s="633"/>
      <c r="AD160" s="648"/>
      <c r="AE160" s="648"/>
      <c r="AF160" s="7"/>
      <c r="AG160" s="628"/>
      <c r="AH160" s="7"/>
      <c r="AI160" s="618">
        <f t="shared" si="6"/>
        <v>0</v>
      </c>
      <c r="AJ160" s="7"/>
      <c r="AK160" s="7"/>
      <c r="AL160" s="7"/>
      <c r="AM160" s="7"/>
      <c r="AN160" s="7"/>
      <c r="AO160" s="7"/>
    </row>
    <row r="161" spans="1:41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632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5"/>
      <c r="R161" s="213"/>
      <c r="S161" s="632"/>
      <c r="T161" s="214"/>
      <c r="U161" s="215"/>
      <c r="V161" s="215"/>
      <c r="W161" s="215"/>
      <c r="X161" s="215"/>
      <c r="Y161" s="372"/>
      <c r="Z161" s="620"/>
      <c r="AA161" s="643"/>
      <c r="AB161" s="616">
        <f t="shared" si="0"/>
        <v>0</v>
      </c>
      <c r="AC161" s="633"/>
      <c r="AD161" s="636"/>
      <c r="AE161" s="636"/>
      <c r="AF161" s="7"/>
      <c r="AG161" s="628"/>
      <c r="AH161" s="7"/>
      <c r="AI161" s="618">
        <f t="shared" si="6"/>
        <v>0</v>
      </c>
      <c r="AJ161" s="7"/>
      <c r="AK161" s="7"/>
      <c r="AL161" s="7"/>
      <c r="AM161" s="7"/>
      <c r="AN161" s="7"/>
      <c r="AO161" s="7"/>
    </row>
    <row r="162" spans="1:41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632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5"/>
      <c r="R162" s="213"/>
      <c r="S162" s="632"/>
      <c r="T162" s="214"/>
      <c r="U162" s="215"/>
      <c r="V162" s="215"/>
      <c r="W162" s="215"/>
      <c r="X162" s="215"/>
      <c r="Y162" s="370"/>
      <c r="Z162" s="620"/>
      <c r="AA162" s="643"/>
      <c r="AB162" s="616">
        <f t="shared" si="0"/>
        <v>0</v>
      </c>
      <c r="AC162" s="633"/>
      <c r="AD162" s="636"/>
      <c r="AE162" s="636"/>
      <c r="AF162" s="7"/>
      <c r="AG162" s="628"/>
      <c r="AH162" s="7"/>
      <c r="AI162" s="618">
        <f t="shared" si="6"/>
        <v>0</v>
      </c>
      <c r="AJ162" s="7"/>
      <c r="AK162" s="7"/>
      <c r="AL162" s="7"/>
      <c r="AM162" s="7"/>
      <c r="AN162" s="7"/>
      <c r="AO162" s="7"/>
    </row>
    <row r="163" spans="1:41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632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5"/>
      <c r="R163" s="213"/>
      <c r="S163" s="632"/>
      <c r="T163" s="214"/>
      <c r="U163" s="215"/>
      <c r="V163" s="215"/>
      <c r="W163" s="215"/>
      <c r="X163" s="215"/>
      <c r="Y163" s="370"/>
      <c r="Z163" s="620"/>
      <c r="AA163" s="643"/>
      <c r="AB163" s="616">
        <f t="shared" si="0"/>
        <v>0</v>
      </c>
      <c r="AC163" s="633"/>
      <c r="AD163" s="636"/>
      <c r="AE163" s="636"/>
      <c r="AF163" s="7"/>
      <c r="AG163" s="628"/>
      <c r="AH163" s="7"/>
      <c r="AI163" s="618">
        <f t="shared" si="6"/>
        <v>0</v>
      </c>
      <c r="AJ163" s="7"/>
      <c r="AK163" s="7"/>
      <c r="AL163" s="7"/>
      <c r="AM163" s="7"/>
      <c r="AN163" s="7"/>
      <c r="AO163" s="7"/>
    </row>
    <row r="164" spans="1:41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632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5"/>
      <c r="R164" s="213"/>
      <c r="S164" s="632"/>
      <c r="T164" s="214"/>
      <c r="U164" s="215"/>
      <c r="V164" s="215"/>
      <c r="W164" s="215"/>
      <c r="X164" s="215"/>
      <c r="Y164" s="370"/>
      <c r="Z164" s="620"/>
      <c r="AA164" s="643"/>
      <c r="AB164" s="616">
        <f t="shared" si="0"/>
        <v>0</v>
      </c>
      <c r="AC164" s="633"/>
      <c r="AD164" s="636"/>
      <c r="AE164" s="636"/>
      <c r="AF164" s="7"/>
      <c r="AG164" s="628"/>
      <c r="AH164" s="7"/>
      <c r="AI164" s="618">
        <f t="shared" si="6"/>
        <v>0</v>
      </c>
      <c r="AJ164" s="7"/>
      <c r="AK164" s="7"/>
      <c r="AL164" s="7"/>
      <c r="AM164" s="7"/>
      <c r="AN164" s="7"/>
      <c r="AO164" s="7"/>
    </row>
    <row r="165" spans="1:41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632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5"/>
      <c r="R165" s="213"/>
      <c r="S165" s="632"/>
      <c r="T165" s="214"/>
      <c r="U165" s="215"/>
      <c r="V165" s="215"/>
      <c r="W165" s="215">
        <v>46.002000000000002</v>
      </c>
      <c r="X165" s="215"/>
      <c r="Y165" s="370"/>
      <c r="Z165" s="620"/>
      <c r="AA165" s="643"/>
      <c r="AB165" s="616">
        <f t="shared" si="0"/>
        <v>46.002000000000002</v>
      </c>
      <c r="AC165" s="633"/>
      <c r="AD165" s="636"/>
      <c r="AE165" s="636"/>
      <c r="AF165" s="7"/>
      <c r="AG165" s="628">
        <v>106.3</v>
      </c>
      <c r="AH165" s="7"/>
      <c r="AI165" s="618">
        <f t="shared" si="6"/>
        <v>60.297999999999995</v>
      </c>
      <c r="AJ165" s="7"/>
      <c r="AK165" s="7"/>
      <c r="AL165" s="7"/>
      <c r="AM165" s="7"/>
      <c r="AN165" s="7"/>
      <c r="AO165" s="7"/>
    </row>
    <row r="166" spans="1:41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632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5"/>
      <c r="R166" s="213"/>
      <c r="S166" s="632"/>
      <c r="T166" s="214"/>
      <c r="U166" s="215"/>
      <c r="V166" s="215"/>
      <c r="W166" s="215"/>
      <c r="X166" s="215"/>
      <c r="Y166" s="370"/>
      <c r="Z166" s="620"/>
      <c r="AA166" s="643"/>
      <c r="AB166" s="616">
        <f t="shared" si="0"/>
        <v>0</v>
      </c>
      <c r="AC166" s="633"/>
      <c r="AD166" s="636"/>
      <c r="AE166" s="636"/>
      <c r="AF166" s="7"/>
      <c r="AG166" s="628"/>
      <c r="AH166" s="7"/>
      <c r="AI166" s="618">
        <f t="shared" si="6"/>
        <v>0</v>
      </c>
      <c r="AJ166" s="7"/>
      <c r="AK166" s="7"/>
      <c r="AL166" s="7"/>
      <c r="AM166" s="7"/>
      <c r="AN166" s="7"/>
      <c r="AO166" s="7"/>
    </row>
    <row r="167" spans="1:41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632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5"/>
      <c r="R167" s="213"/>
      <c r="S167" s="632"/>
      <c r="T167" s="214"/>
      <c r="U167" s="215"/>
      <c r="V167" s="215"/>
      <c r="W167" s="215"/>
      <c r="X167" s="215"/>
      <c r="Y167" s="370"/>
      <c r="Z167" s="620"/>
      <c r="AA167" s="643"/>
      <c r="AB167" s="616">
        <f t="shared" si="0"/>
        <v>0</v>
      </c>
      <c r="AC167" s="633"/>
      <c r="AD167" s="636"/>
      <c r="AE167" s="636"/>
      <c r="AF167" s="7"/>
      <c r="AG167" s="628"/>
      <c r="AH167" s="7"/>
      <c r="AI167" s="618">
        <f t="shared" si="6"/>
        <v>0</v>
      </c>
      <c r="AJ167" s="7"/>
      <c r="AK167" s="7"/>
      <c r="AL167" s="7"/>
      <c r="AM167" s="7"/>
      <c r="AN167" s="7"/>
      <c r="AO167" s="7"/>
    </row>
    <row r="168" spans="1:41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632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5"/>
      <c r="R168" s="213"/>
      <c r="S168" s="632"/>
      <c r="T168" s="214"/>
      <c r="U168" s="215"/>
      <c r="V168" s="215"/>
      <c r="W168" s="215"/>
      <c r="X168" s="215"/>
      <c r="Y168" s="370"/>
      <c r="Z168" s="620"/>
      <c r="AA168" s="643"/>
      <c r="AB168" s="616">
        <f t="shared" si="0"/>
        <v>0</v>
      </c>
      <c r="AC168" s="633"/>
      <c r="AD168" s="636"/>
      <c r="AE168" s="636"/>
      <c r="AF168" s="7"/>
      <c r="AG168" s="628"/>
      <c r="AH168" s="7"/>
      <c r="AI168" s="618">
        <f t="shared" si="6"/>
        <v>0</v>
      </c>
      <c r="AJ168" s="7"/>
      <c r="AK168" s="7"/>
      <c r="AL168" s="7"/>
      <c r="AM168" s="7"/>
      <c r="AN168" s="7"/>
      <c r="AO168" s="7"/>
    </row>
    <row r="169" spans="1:41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632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5"/>
      <c r="R169" s="213"/>
      <c r="S169" s="632"/>
      <c r="T169" s="214"/>
      <c r="U169" s="215"/>
      <c r="V169" s="215"/>
      <c r="W169" s="215"/>
      <c r="X169" s="215"/>
      <c r="Y169" s="370"/>
      <c r="Z169" s="620"/>
      <c r="AA169" s="643"/>
      <c r="AB169" s="616">
        <f t="shared" si="0"/>
        <v>0</v>
      </c>
      <c r="AC169" s="633"/>
      <c r="AD169" s="636"/>
      <c r="AE169" s="636"/>
      <c r="AF169" s="7"/>
      <c r="AG169" s="628"/>
      <c r="AH169" s="7"/>
      <c r="AI169" s="618">
        <f t="shared" si="6"/>
        <v>0</v>
      </c>
      <c r="AJ169" s="7"/>
      <c r="AK169" s="7"/>
      <c r="AL169" s="7"/>
      <c r="AM169" s="7"/>
      <c r="AN169" s="7"/>
      <c r="AO169" s="7"/>
    </row>
    <row r="170" spans="1:41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632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5"/>
      <c r="R170" s="213"/>
      <c r="S170" s="632"/>
      <c r="T170" s="214"/>
      <c r="U170" s="215"/>
      <c r="V170" s="215"/>
      <c r="W170" s="215"/>
      <c r="X170" s="215"/>
      <c r="Y170" s="370"/>
      <c r="Z170" s="620"/>
      <c r="AA170" s="643"/>
      <c r="AB170" s="616">
        <f t="shared" si="0"/>
        <v>0</v>
      </c>
      <c r="AC170" s="633"/>
      <c r="AD170" s="636"/>
      <c r="AE170" s="636"/>
      <c r="AF170" s="7"/>
      <c r="AG170" s="628"/>
      <c r="AH170" s="7"/>
      <c r="AI170" s="618">
        <f t="shared" si="6"/>
        <v>0</v>
      </c>
      <c r="AJ170" s="7"/>
      <c r="AK170" s="7"/>
      <c r="AL170" s="7"/>
      <c r="AM170" s="7"/>
      <c r="AN170" s="7"/>
      <c r="AO170" s="7"/>
    </row>
    <row r="171" spans="1:41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632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5"/>
      <c r="R171" s="213"/>
      <c r="S171" s="632"/>
      <c r="T171" s="214"/>
      <c r="U171" s="215"/>
      <c r="V171" s="215"/>
      <c r="W171" s="215"/>
      <c r="X171" s="215"/>
      <c r="Y171" s="370"/>
      <c r="Z171" s="638"/>
      <c r="AA171" s="643"/>
      <c r="AB171" s="616">
        <f t="shared" si="0"/>
        <v>0</v>
      </c>
      <c r="AC171" s="633"/>
      <c r="AD171" s="636"/>
      <c r="AE171" s="636"/>
      <c r="AF171" s="7"/>
      <c r="AG171" s="628"/>
      <c r="AH171" s="7"/>
      <c r="AI171" s="618">
        <f t="shared" si="6"/>
        <v>0</v>
      </c>
      <c r="AJ171" s="7"/>
      <c r="AK171" s="7"/>
      <c r="AL171" s="7"/>
      <c r="AM171" s="7"/>
      <c r="AN171" s="7"/>
      <c r="AO171" s="7"/>
    </row>
    <row r="172" spans="1:41" ht="21" customHeight="1">
      <c r="A172" s="489">
        <v>4</v>
      </c>
      <c r="B172" s="490" t="s">
        <v>378</v>
      </c>
      <c r="C172" s="637" t="s">
        <v>379</v>
      </c>
      <c r="D172" s="491"/>
      <c r="E172" s="632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5"/>
      <c r="R172" s="213"/>
      <c r="S172" s="632"/>
      <c r="T172" s="214"/>
      <c r="U172" s="215"/>
      <c r="V172" s="215"/>
      <c r="W172" s="215"/>
      <c r="X172" s="215"/>
      <c r="Y172" s="372"/>
      <c r="Z172" s="638"/>
      <c r="AA172" s="643"/>
      <c r="AB172" s="616">
        <f t="shared" si="0"/>
        <v>0</v>
      </c>
      <c r="AC172" s="633"/>
      <c r="AD172" s="640"/>
      <c r="AE172" s="640"/>
      <c r="AF172" s="7"/>
      <c r="AG172" s="628"/>
      <c r="AH172" s="7"/>
      <c r="AI172" s="618">
        <f t="shared" si="6"/>
        <v>0</v>
      </c>
      <c r="AJ172" s="7"/>
      <c r="AK172" s="7"/>
      <c r="AL172" s="7"/>
      <c r="AM172" s="7"/>
      <c r="AN172" s="7"/>
      <c r="AO172" s="7"/>
    </row>
    <row r="173" spans="1:41" ht="20.25" customHeight="1">
      <c r="A173" s="486"/>
      <c r="B173" s="487" t="s">
        <v>381</v>
      </c>
      <c r="C173" s="635" t="s">
        <v>382</v>
      </c>
      <c r="D173" s="412" t="s">
        <v>383</v>
      </c>
      <c r="E173" s="632"/>
      <c r="F173" s="213">
        <v>1</v>
      </c>
      <c r="G173" s="213"/>
      <c r="H173" s="213"/>
      <c r="I173" s="213"/>
      <c r="J173" s="213"/>
      <c r="K173" s="213"/>
      <c r="L173" s="213">
        <v>2</v>
      </c>
      <c r="M173" s="213"/>
      <c r="N173" s="213"/>
      <c r="O173" s="213">
        <v>2</v>
      </c>
      <c r="P173" s="213">
        <v>2</v>
      </c>
      <c r="Q173" s="215"/>
      <c r="R173" s="213">
        <v>3</v>
      </c>
      <c r="S173" s="632"/>
      <c r="T173" s="214">
        <v>5</v>
      </c>
      <c r="U173" s="215"/>
      <c r="V173" s="215"/>
      <c r="W173" s="215">
        <v>5</v>
      </c>
      <c r="X173" s="215"/>
      <c r="Y173" s="372">
        <v>1</v>
      </c>
      <c r="Z173" s="620">
        <v>462</v>
      </c>
      <c r="AA173" s="643"/>
      <c r="AB173" s="616">
        <f t="shared" si="0"/>
        <v>483</v>
      </c>
      <c r="AC173" s="633"/>
      <c r="AD173" s="636"/>
      <c r="AE173" s="636"/>
      <c r="AF173" s="7"/>
      <c r="AG173" s="628">
        <v>768</v>
      </c>
      <c r="AH173" s="7"/>
      <c r="AI173" s="618">
        <f t="shared" si="6"/>
        <v>285</v>
      </c>
      <c r="AJ173" s="7"/>
      <c r="AK173" s="7"/>
      <c r="AL173" s="7"/>
      <c r="AM173" s="7"/>
      <c r="AN173" s="7"/>
      <c r="AO173" s="7"/>
    </row>
    <row r="174" spans="1:41" ht="20.25" customHeight="1">
      <c r="A174" s="503"/>
      <c r="B174" s="483" t="s">
        <v>386</v>
      </c>
      <c r="C174" s="629" t="s">
        <v>387</v>
      </c>
      <c r="D174" s="504" t="s">
        <v>383</v>
      </c>
      <c r="E174" s="632"/>
      <c r="F174" s="213">
        <v>1</v>
      </c>
      <c r="G174" s="213"/>
      <c r="H174" s="213"/>
      <c r="I174" s="213"/>
      <c r="J174" s="213"/>
      <c r="K174" s="213"/>
      <c r="L174" s="213">
        <v>2</v>
      </c>
      <c r="M174" s="213"/>
      <c r="N174" s="213"/>
      <c r="O174" s="213"/>
      <c r="P174" s="213"/>
      <c r="Q174" s="215"/>
      <c r="R174" s="213"/>
      <c r="S174" s="632"/>
      <c r="T174" s="214"/>
      <c r="U174" s="215"/>
      <c r="V174" s="215"/>
      <c r="W174" s="215"/>
      <c r="X174" s="215"/>
      <c r="Y174" s="372">
        <v>1</v>
      </c>
      <c r="Z174" s="647">
        <f>339+120</f>
        <v>459</v>
      </c>
      <c r="AA174" s="643"/>
      <c r="AB174" s="616">
        <f t="shared" si="0"/>
        <v>463</v>
      </c>
      <c r="AC174" s="633"/>
      <c r="AD174" s="648"/>
      <c r="AE174" s="648"/>
      <c r="AF174" s="7"/>
      <c r="AG174" s="628">
        <v>746</v>
      </c>
      <c r="AH174" s="7"/>
      <c r="AI174" s="618"/>
      <c r="AJ174" s="7"/>
      <c r="AK174" s="7"/>
      <c r="AL174" s="7"/>
      <c r="AM174" s="7"/>
      <c r="AN174" s="7"/>
      <c r="AO174" s="7"/>
    </row>
    <row r="175" spans="1:41" ht="20.25" customHeight="1">
      <c r="A175" s="503"/>
      <c r="B175" s="483" t="s">
        <v>388</v>
      </c>
      <c r="C175" s="629" t="s">
        <v>389</v>
      </c>
      <c r="D175" s="504" t="s">
        <v>383</v>
      </c>
      <c r="E175" s="632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5"/>
      <c r="R175" s="213"/>
      <c r="S175" s="632"/>
      <c r="T175" s="214"/>
      <c r="U175" s="215"/>
      <c r="V175" s="215"/>
      <c r="W175" s="215"/>
      <c r="X175" s="215"/>
      <c r="Y175" s="372"/>
      <c r="Z175" s="647">
        <v>3</v>
      </c>
      <c r="AA175" s="643"/>
      <c r="AB175" s="616">
        <f t="shared" si="0"/>
        <v>3</v>
      </c>
      <c r="AC175" s="633"/>
      <c r="AD175" s="648"/>
      <c r="AE175" s="648"/>
      <c r="AF175" s="7"/>
      <c r="AG175" s="628">
        <v>5</v>
      </c>
      <c r="AH175" s="7"/>
      <c r="AI175" s="618"/>
      <c r="AJ175" s="7"/>
      <c r="AK175" s="7"/>
      <c r="AL175" s="7"/>
      <c r="AM175" s="7"/>
      <c r="AN175" s="7"/>
      <c r="AO175" s="7"/>
    </row>
    <row r="176" spans="1:41" ht="20.25" customHeight="1">
      <c r="A176" s="503"/>
      <c r="B176" s="483" t="s">
        <v>390</v>
      </c>
      <c r="C176" s="629" t="s">
        <v>391</v>
      </c>
      <c r="D176" s="504" t="s">
        <v>383</v>
      </c>
      <c r="E176" s="632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5"/>
      <c r="R176" s="213"/>
      <c r="S176" s="632"/>
      <c r="T176" s="214"/>
      <c r="U176" s="215"/>
      <c r="V176" s="215"/>
      <c r="W176" s="215"/>
      <c r="X176" s="215"/>
      <c r="Y176" s="372"/>
      <c r="Z176" s="647"/>
      <c r="AA176" s="643"/>
      <c r="AB176" s="616">
        <f t="shared" si="0"/>
        <v>0</v>
      </c>
      <c r="AC176" s="633"/>
      <c r="AD176" s="648"/>
      <c r="AE176" s="648"/>
      <c r="AF176" s="7"/>
      <c r="AG176" s="628">
        <v>17</v>
      </c>
      <c r="AH176" s="7"/>
      <c r="AI176" s="618"/>
      <c r="AJ176" s="7"/>
      <c r="AK176" s="7"/>
      <c r="AL176" s="7"/>
      <c r="AM176" s="7"/>
      <c r="AN176" s="7"/>
      <c r="AO176" s="7"/>
    </row>
    <row r="177" spans="1:41" ht="20.25" customHeight="1">
      <c r="A177" s="503"/>
      <c r="B177" s="483" t="s">
        <v>392</v>
      </c>
      <c r="C177" s="629" t="s">
        <v>393</v>
      </c>
      <c r="D177" s="504" t="s">
        <v>383</v>
      </c>
      <c r="E177" s="632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5"/>
      <c r="R177" s="213"/>
      <c r="S177" s="632"/>
      <c r="T177" s="214"/>
      <c r="U177" s="215"/>
      <c r="V177" s="215"/>
      <c r="W177" s="215"/>
      <c r="X177" s="215"/>
      <c r="Y177" s="372"/>
      <c r="Z177" s="647"/>
      <c r="AA177" s="643"/>
      <c r="AB177" s="616">
        <f t="shared" si="0"/>
        <v>0</v>
      </c>
      <c r="AC177" s="633"/>
      <c r="AD177" s="648"/>
      <c r="AE177" s="648"/>
      <c r="AF177" s="7"/>
      <c r="AG177" s="628"/>
      <c r="AH177" s="7"/>
      <c r="AI177" s="618">
        <f t="shared" ref="AI177:AI178" si="7">AG177-AB177</f>
        <v>0</v>
      </c>
      <c r="AJ177" s="7"/>
      <c r="AK177" s="7"/>
      <c r="AL177" s="7"/>
      <c r="AM177" s="7"/>
      <c r="AN177" s="7"/>
      <c r="AO177" s="7"/>
    </row>
    <row r="178" spans="1:41" ht="20.25" customHeight="1">
      <c r="A178" s="486"/>
      <c r="B178" s="487" t="s">
        <v>388</v>
      </c>
      <c r="C178" s="635" t="s">
        <v>394</v>
      </c>
      <c r="D178" s="412" t="s">
        <v>383</v>
      </c>
      <c r="E178" s="632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>
        <v>500</v>
      </c>
      <c r="P178" s="213"/>
      <c r="Q178" s="215"/>
      <c r="R178" s="213"/>
      <c r="S178" s="632"/>
      <c r="T178" s="214">
        <f>20+10</f>
        <v>30</v>
      </c>
      <c r="U178" s="215"/>
      <c r="V178" s="215"/>
      <c r="W178" s="215">
        <v>35</v>
      </c>
      <c r="X178" s="215"/>
      <c r="Y178" s="372"/>
      <c r="Z178" s="620"/>
      <c r="AA178" s="657"/>
      <c r="AB178" s="616">
        <f t="shared" si="0"/>
        <v>565</v>
      </c>
      <c r="AC178" s="633"/>
      <c r="AD178" s="636"/>
      <c r="AE178" s="636"/>
      <c r="AF178" s="7"/>
      <c r="AG178" s="628">
        <v>625</v>
      </c>
      <c r="AH178" s="7"/>
      <c r="AI178" s="618">
        <f t="shared" si="7"/>
        <v>60</v>
      </c>
      <c r="AJ178" s="7"/>
      <c r="AK178" s="7"/>
      <c r="AL178" s="7"/>
      <c r="AM178" s="7"/>
      <c r="AN178" s="7"/>
      <c r="AO178" s="7"/>
    </row>
    <row r="179" spans="1:41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632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5"/>
      <c r="R179" s="213"/>
      <c r="S179" s="632"/>
      <c r="T179" s="214"/>
      <c r="U179" s="215"/>
      <c r="V179" s="215"/>
      <c r="W179" s="215"/>
      <c r="X179" s="215"/>
      <c r="Y179" s="372"/>
      <c r="Z179" s="647"/>
      <c r="AA179" s="643"/>
      <c r="AB179" s="616">
        <f t="shared" si="0"/>
        <v>0</v>
      </c>
      <c r="AC179" s="633"/>
      <c r="AD179" s="648"/>
      <c r="AE179" s="648"/>
      <c r="AF179" s="7"/>
      <c r="AG179" s="628"/>
      <c r="AH179" s="7"/>
      <c r="AI179" s="618"/>
      <c r="AJ179" s="7"/>
      <c r="AK179" s="7"/>
      <c r="AL179" s="7"/>
      <c r="AM179" s="7"/>
      <c r="AN179" s="7"/>
      <c r="AO179" s="7"/>
    </row>
    <row r="180" spans="1:41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632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5"/>
      <c r="R180" s="213"/>
      <c r="S180" s="632"/>
      <c r="T180" s="214"/>
      <c r="U180" s="215"/>
      <c r="V180" s="215"/>
      <c r="W180" s="215"/>
      <c r="X180" s="215"/>
      <c r="Y180" s="372"/>
      <c r="Z180" s="647"/>
      <c r="AA180" s="643"/>
      <c r="AB180" s="616">
        <f t="shared" si="0"/>
        <v>0</v>
      </c>
      <c r="AC180" s="633"/>
      <c r="AD180" s="648"/>
      <c r="AE180" s="648"/>
      <c r="AF180" s="7"/>
      <c r="AG180" s="628"/>
      <c r="AH180" s="7"/>
      <c r="AI180" s="618"/>
      <c r="AJ180" s="7"/>
      <c r="AK180" s="7"/>
      <c r="AL180" s="7"/>
      <c r="AM180" s="7"/>
      <c r="AN180" s="7"/>
      <c r="AO180" s="7"/>
    </row>
    <row r="181" spans="1:41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632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5"/>
      <c r="R181" s="213"/>
      <c r="S181" s="632"/>
      <c r="T181" s="214"/>
      <c r="U181" s="215"/>
      <c r="V181" s="215"/>
      <c r="W181" s="215"/>
      <c r="X181" s="215"/>
      <c r="Y181" s="372"/>
      <c r="Z181" s="647"/>
      <c r="AA181" s="643"/>
      <c r="AB181" s="616">
        <f t="shared" si="0"/>
        <v>0</v>
      </c>
      <c r="AC181" s="633"/>
      <c r="AD181" s="636"/>
      <c r="AE181" s="636"/>
      <c r="AF181" s="7"/>
      <c r="AG181" s="628"/>
      <c r="AH181" s="7"/>
      <c r="AI181" s="618">
        <f t="shared" ref="AI181:AI206" si="8">AG181-AB181</f>
        <v>0</v>
      </c>
      <c r="AJ181" s="7"/>
      <c r="AK181" s="7"/>
      <c r="AL181" s="7"/>
      <c r="AM181" s="7"/>
      <c r="AN181" s="7"/>
      <c r="AO181" s="7"/>
    </row>
    <row r="182" spans="1:41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632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5"/>
      <c r="R182" s="213"/>
      <c r="S182" s="632"/>
      <c r="T182" s="214"/>
      <c r="U182" s="215"/>
      <c r="V182" s="215"/>
      <c r="W182" s="215"/>
      <c r="X182" s="215"/>
      <c r="Y182" s="372"/>
      <c r="Z182" s="620"/>
      <c r="AA182" s="643"/>
      <c r="AB182" s="616">
        <f t="shared" si="0"/>
        <v>0</v>
      </c>
      <c r="AC182" s="633"/>
      <c r="AD182" s="636"/>
      <c r="AE182" s="636"/>
      <c r="AF182" s="7"/>
      <c r="AG182" s="628"/>
      <c r="AH182" s="7"/>
      <c r="AI182" s="618">
        <f t="shared" si="8"/>
        <v>0</v>
      </c>
      <c r="AJ182" s="7"/>
      <c r="AK182" s="7"/>
      <c r="AL182" s="7"/>
      <c r="AM182" s="7"/>
      <c r="AN182" s="7"/>
      <c r="AO182" s="7"/>
    </row>
    <row r="183" spans="1:41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632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5"/>
      <c r="R183" s="213"/>
      <c r="S183" s="632"/>
      <c r="T183" s="214"/>
      <c r="U183" s="215"/>
      <c r="V183" s="215"/>
      <c r="W183" s="215"/>
      <c r="X183" s="215"/>
      <c r="Y183" s="372"/>
      <c r="Z183" s="638"/>
      <c r="AA183" s="643"/>
      <c r="AB183" s="616">
        <f t="shared" si="0"/>
        <v>0</v>
      </c>
      <c r="AC183" s="633"/>
      <c r="AD183" s="636"/>
      <c r="AE183" s="636"/>
      <c r="AF183" s="7"/>
      <c r="AG183" s="628"/>
      <c r="AH183" s="7"/>
      <c r="AI183" s="618">
        <f t="shared" si="8"/>
        <v>0</v>
      </c>
      <c r="AJ183" s="7"/>
      <c r="AK183" s="7"/>
      <c r="AL183" s="7"/>
      <c r="AM183" s="7"/>
      <c r="AN183" s="7"/>
      <c r="AO183" s="7"/>
    </row>
    <row r="184" spans="1:41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632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5"/>
      <c r="R184" s="213"/>
      <c r="S184" s="632"/>
      <c r="T184" s="214"/>
      <c r="U184" s="215"/>
      <c r="V184" s="215"/>
      <c r="W184" s="215"/>
      <c r="X184" s="215"/>
      <c r="Y184" s="372"/>
      <c r="Z184" s="638"/>
      <c r="AA184" s="643"/>
      <c r="AB184" s="616">
        <f t="shared" si="0"/>
        <v>0</v>
      </c>
      <c r="AC184" s="633"/>
      <c r="AD184" s="636"/>
      <c r="AE184" s="636"/>
      <c r="AF184" s="7"/>
      <c r="AG184" s="628"/>
      <c r="AH184" s="7"/>
      <c r="AI184" s="618">
        <f t="shared" si="8"/>
        <v>0</v>
      </c>
      <c r="AJ184" s="7"/>
      <c r="AK184" s="7"/>
      <c r="AL184" s="7"/>
      <c r="AM184" s="7"/>
      <c r="AN184" s="7"/>
      <c r="AO184" s="7"/>
    </row>
    <row r="185" spans="1:41" ht="18.75" customHeight="1">
      <c r="A185" s="486">
        <v>7.7</v>
      </c>
      <c r="B185" s="487" t="s">
        <v>412</v>
      </c>
      <c r="C185" s="635" t="s">
        <v>413</v>
      </c>
      <c r="D185" s="412" t="s">
        <v>2188</v>
      </c>
      <c r="E185" s="632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5"/>
      <c r="R185" s="213"/>
      <c r="S185" s="632"/>
      <c r="T185" s="214"/>
      <c r="U185" s="215"/>
      <c r="V185" s="215"/>
      <c r="W185" s="215"/>
      <c r="X185" s="215"/>
      <c r="Y185" s="372"/>
      <c r="Z185" s="620"/>
      <c r="AA185" s="643"/>
      <c r="AB185" s="616">
        <f t="shared" si="0"/>
        <v>0</v>
      </c>
      <c r="AC185" s="633"/>
      <c r="AD185" s="636"/>
      <c r="AE185" s="636"/>
      <c r="AF185" s="7"/>
      <c r="AG185" s="628"/>
      <c r="AH185" s="7"/>
      <c r="AI185" s="618">
        <f t="shared" si="8"/>
        <v>0</v>
      </c>
      <c r="AJ185" s="7"/>
      <c r="AK185" s="7"/>
      <c r="AL185" s="7"/>
      <c r="AM185" s="7"/>
      <c r="AN185" s="7"/>
      <c r="AO185" s="7"/>
    </row>
    <row r="186" spans="1:41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632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5"/>
      <c r="R186" s="213"/>
      <c r="S186" s="632"/>
      <c r="T186" s="214"/>
      <c r="U186" s="215"/>
      <c r="V186" s="215"/>
      <c r="W186" s="215"/>
      <c r="X186" s="215"/>
      <c r="Y186" s="372"/>
      <c r="Z186" s="638"/>
      <c r="AA186" s="643"/>
      <c r="AB186" s="616">
        <f t="shared" si="0"/>
        <v>0</v>
      </c>
      <c r="AC186" s="633"/>
      <c r="AD186" s="636"/>
      <c r="AE186" s="636"/>
      <c r="AF186" s="7"/>
      <c r="AG186" s="628"/>
      <c r="AH186" s="7"/>
      <c r="AI186" s="618">
        <f t="shared" si="8"/>
        <v>0</v>
      </c>
      <c r="AJ186" s="7"/>
      <c r="AK186" s="7"/>
      <c r="AL186" s="7"/>
      <c r="AM186" s="7"/>
      <c r="AN186" s="7"/>
      <c r="AO186" s="7"/>
    </row>
    <row r="187" spans="1:41" ht="29.25" customHeight="1">
      <c r="A187" s="489">
        <v>5</v>
      </c>
      <c r="B187" s="490" t="s">
        <v>416</v>
      </c>
      <c r="C187" s="637" t="s">
        <v>417</v>
      </c>
      <c r="D187" s="491"/>
      <c r="E187" s="632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5"/>
      <c r="R187" s="213"/>
      <c r="S187" s="632"/>
      <c r="T187" s="214"/>
      <c r="U187" s="215"/>
      <c r="V187" s="215"/>
      <c r="W187" s="215"/>
      <c r="X187" s="215"/>
      <c r="Y187" s="372"/>
      <c r="Z187" s="638"/>
      <c r="AA187" s="643"/>
      <c r="AB187" s="616">
        <f t="shared" si="0"/>
        <v>0</v>
      </c>
      <c r="AC187" s="633"/>
      <c r="AD187" s="640"/>
      <c r="AE187" s="640"/>
      <c r="AF187" s="7"/>
      <c r="AG187" s="628"/>
      <c r="AH187" s="7"/>
      <c r="AI187" s="618">
        <f t="shared" si="8"/>
        <v>0</v>
      </c>
      <c r="AJ187" s="7"/>
      <c r="AK187" s="7"/>
      <c r="AL187" s="7"/>
      <c r="AM187" s="7"/>
      <c r="AN187" s="7"/>
      <c r="AO187" s="7"/>
    </row>
    <row r="188" spans="1:41" ht="20.25" customHeight="1">
      <c r="A188" s="486"/>
      <c r="B188" s="487" t="s">
        <v>419</v>
      </c>
      <c r="C188" s="635" t="s">
        <v>420</v>
      </c>
      <c r="D188" s="512"/>
      <c r="E188" s="632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5"/>
      <c r="R188" s="213"/>
      <c r="S188" s="632"/>
      <c r="T188" s="214"/>
      <c r="U188" s="215"/>
      <c r="V188" s="215"/>
      <c r="W188" s="215"/>
      <c r="X188" s="215"/>
      <c r="Y188" s="372"/>
      <c r="Z188" s="647"/>
      <c r="AA188" s="643"/>
      <c r="AB188" s="616">
        <f t="shared" si="0"/>
        <v>0</v>
      </c>
      <c r="AC188" s="633"/>
      <c r="AD188" s="636"/>
      <c r="AE188" s="636"/>
      <c r="AF188" s="7"/>
      <c r="AG188" s="628"/>
      <c r="AH188" s="7"/>
      <c r="AI188" s="618">
        <f t="shared" si="8"/>
        <v>0</v>
      </c>
      <c r="AJ188" s="7"/>
      <c r="AK188" s="7"/>
      <c r="AL188" s="7"/>
      <c r="AM188" s="7"/>
      <c r="AN188" s="7"/>
      <c r="AO188" s="7"/>
    </row>
    <row r="189" spans="1:41" ht="35.25" customHeight="1">
      <c r="A189" s="503"/>
      <c r="B189" s="483" t="s">
        <v>422</v>
      </c>
      <c r="C189" s="658" t="s">
        <v>423</v>
      </c>
      <c r="D189" s="504" t="s">
        <v>424</v>
      </c>
      <c r="E189" s="632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5"/>
      <c r="R189" s="213"/>
      <c r="S189" s="632"/>
      <c r="T189" s="214"/>
      <c r="U189" s="215"/>
      <c r="V189" s="215"/>
      <c r="W189" s="215"/>
      <c r="X189" s="215"/>
      <c r="Y189" s="372"/>
      <c r="Z189" s="647"/>
      <c r="AA189" s="643"/>
      <c r="AB189" s="616">
        <f t="shared" si="0"/>
        <v>0</v>
      </c>
      <c r="AC189" s="633"/>
      <c r="AD189" s="648"/>
      <c r="AE189" s="648"/>
      <c r="AF189" s="7"/>
      <c r="AG189" s="628"/>
      <c r="AH189" s="7"/>
      <c r="AI189" s="618">
        <f t="shared" si="8"/>
        <v>0</v>
      </c>
      <c r="AJ189" s="7"/>
      <c r="AK189" s="7"/>
      <c r="AL189" s="7"/>
      <c r="AM189" s="7"/>
      <c r="AN189" s="7"/>
      <c r="AO189" s="7"/>
    </row>
    <row r="190" spans="1:41" ht="20.25" customHeight="1">
      <c r="A190" s="503"/>
      <c r="B190" s="483" t="s">
        <v>426</v>
      </c>
      <c r="C190" s="658" t="s">
        <v>427</v>
      </c>
      <c r="D190" s="504" t="s">
        <v>132</v>
      </c>
      <c r="E190" s="632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5"/>
      <c r="R190" s="213"/>
      <c r="S190" s="632"/>
      <c r="T190" s="214"/>
      <c r="U190" s="215"/>
      <c r="V190" s="215"/>
      <c r="W190" s="215"/>
      <c r="X190" s="215"/>
      <c r="Y190" s="372"/>
      <c r="Z190" s="647"/>
      <c r="AA190" s="643"/>
      <c r="AB190" s="616">
        <f t="shared" si="0"/>
        <v>0</v>
      </c>
      <c r="AC190" s="633"/>
      <c r="AD190" s="648"/>
      <c r="AE190" s="648"/>
      <c r="AF190" s="7"/>
      <c r="AG190" s="628"/>
      <c r="AH190" s="7"/>
      <c r="AI190" s="618">
        <f t="shared" si="8"/>
        <v>0</v>
      </c>
      <c r="AJ190" s="7"/>
      <c r="AK190" s="7"/>
      <c r="AL190" s="7"/>
      <c r="AM190" s="7"/>
      <c r="AN190" s="7"/>
      <c r="AO190" s="7"/>
    </row>
    <row r="191" spans="1:41" ht="20.25" customHeight="1">
      <c r="A191" s="503"/>
      <c r="B191" s="483" t="s">
        <v>428</v>
      </c>
      <c r="C191" s="658" t="s">
        <v>429</v>
      </c>
      <c r="D191" s="504" t="s">
        <v>2189</v>
      </c>
      <c r="E191" s="632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5"/>
      <c r="R191" s="213"/>
      <c r="S191" s="632"/>
      <c r="T191" s="214"/>
      <c r="U191" s="215"/>
      <c r="V191" s="215"/>
      <c r="W191" s="215"/>
      <c r="X191" s="215"/>
      <c r="Y191" s="372"/>
      <c r="Z191" s="647"/>
      <c r="AA191" s="643"/>
      <c r="AB191" s="616">
        <f t="shared" si="0"/>
        <v>0</v>
      </c>
      <c r="AC191" s="633"/>
      <c r="AD191" s="648"/>
      <c r="AE191" s="648"/>
      <c r="AF191" s="7"/>
      <c r="AG191" s="628"/>
      <c r="AH191" s="7"/>
      <c r="AI191" s="618">
        <f t="shared" si="8"/>
        <v>0</v>
      </c>
      <c r="AJ191" s="7"/>
      <c r="AK191" s="7"/>
      <c r="AL191" s="7"/>
      <c r="AM191" s="7"/>
      <c r="AN191" s="7"/>
      <c r="AO191" s="7"/>
    </row>
    <row r="192" spans="1:41" ht="20.25" customHeight="1">
      <c r="A192" s="503"/>
      <c r="B192" s="483" t="s">
        <v>426</v>
      </c>
      <c r="C192" s="658" t="s">
        <v>431</v>
      </c>
      <c r="D192" s="504" t="s">
        <v>2190</v>
      </c>
      <c r="E192" s="632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5"/>
      <c r="R192" s="213"/>
      <c r="S192" s="632"/>
      <c r="T192" s="214"/>
      <c r="U192" s="215"/>
      <c r="V192" s="215"/>
      <c r="W192" s="215"/>
      <c r="X192" s="215"/>
      <c r="Y192" s="372"/>
      <c r="Z192" s="647"/>
      <c r="AA192" s="643"/>
      <c r="AB192" s="616">
        <f t="shared" si="0"/>
        <v>0</v>
      </c>
      <c r="AC192" s="633"/>
      <c r="AD192" s="636"/>
      <c r="AE192" s="636"/>
      <c r="AF192" s="7"/>
      <c r="AG192" s="628"/>
      <c r="AH192" s="7"/>
      <c r="AI192" s="618">
        <f t="shared" si="8"/>
        <v>0</v>
      </c>
      <c r="AJ192" s="7"/>
      <c r="AK192" s="7"/>
      <c r="AL192" s="7"/>
      <c r="AM192" s="7"/>
      <c r="AN192" s="7"/>
      <c r="AO192" s="7"/>
    </row>
    <row r="193" spans="1:41" ht="20.25" customHeight="1">
      <c r="A193" s="503"/>
      <c r="B193" s="483" t="s">
        <v>428</v>
      </c>
      <c r="C193" s="658" t="s">
        <v>433</v>
      </c>
      <c r="D193" s="504" t="s">
        <v>2191</v>
      </c>
      <c r="E193" s="632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5"/>
      <c r="R193" s="213"/>
      <c r="S193" s="632"/>
      <c r="T193" s="214"/>
      <c r="U193" s="215"/>
      <c r="V193" s="215"/>
      <c r="W193" s="215"/>
      <c r="X193" s="215"/>
      <c r="Y193" s="372"/>
      <c r="Z193" s="647"/>
      <c r="AA193" s="643"/>
      <c r="AB193" s="616">
        <f t="shared" si="0"/>
        <v>0</v>
      </c>
      <c r="AC193" s="633"/>
      <c r="AD193" s="648"/>
      <c r="AE193" s="648"/>
      <c r="AF193" s="7"/>
      <c r="AG193" s="628"/>
      <c r="AH193" s="7"/>
      <c r="AI193" s="618">
        <f t="shared" si="8"/>
        <v>0</v>
      </c>
      <c r="AJ193" s="7"/>
      <c r="AK193" s="7"/>
      <c r="AL193" s="7"/>
      <c r="AM193" s="7"/>
      <c r="AN193" s="7"/>
      <c r="AO193" s="7"/>
    </row>
    <row r="194" spans="1:41" ht="15.75" customHeight="1">
      <c r="A194" s="486"/>
      <c r="B194" s="487" t="s">
        <v>435</v>
      </c>
      <c r="C194" s="656" t="s">
        <v>436</v>
      </c>
      <c r="D194" s="412"/>
      <c r="E194" s="632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5"/>
      <c r="R194" s="213"/>
      <c r="S194" s="632"/>
      <c r="T194" s="214"/>
      <c r="U194" s="215"/>
      <c r="V194" s="215"/>
      <c r="W194" s="215"/>
      <c r="X194" s="215"/>
      <c r="Y194" s="372"/>
      <c r="Z194" s="620"/>
      <c r="AA194" s="643"/>
      <c r="AB194" s="616">
        <f t="shared" si="0"/>
        <v>0</v>
      </c>
      <c r="AC194" s="633"/>
      <c r="AD194" s="654"/>
      <c r="AE194" s="654"/>
      <c r="AF194" s="7"/>
      <c r="AG194" s="628"/>
      <c r="AH194" s="7"/>
      <c r="AI194" s="618">
        <f t="shared" si="8"/>
        <v>0</v>
      </c>
      <c r="AJ194" s="7"/>
      <c r="AK194" s="7"/>
      <c r="AL194" s="7"/>
      <c r="AM194" s="7"/>
      <c r="AN194" s="7"/>
      <c r="AO194" s="7"/>
    </row>
    <row r="195" spans="1:41" ht="33.75" customHeight="1">
      <c r="A195" s="503"/>
      <c r="B195" s="483" t="s">
        <v>438</v>
      </c>
      <c r="C195" s="658" t="s">
        <v>423</v>
      </c>
      <c r="D195" s="504" t="s">
        <v>424</v>
      </c>
      <c r="E195" s="632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5"/>
      <c r="R195" s="213"/>
      <c r="S195" s="632"/>
      <c r="T195" s="214"/>
      <c r="U195" s="215"/>
      <c r="V195" s="215"/>
      <c r="W195" s="215"/>
      <c r="X195" s="215"/>
      <c r="Y195" s="372"/>
      <c r="Z195" s="647"/>
      <c r="AA195" s="643"/>
      <c r="AB195" s="616">
        <f t="shared" si="0"/>
        <v>0</v>
      </c>
      <c r="AC195" s="633"/>
      <c r="AD195" s="648"/>
      <c r="AE195" s="648"/>
      <c r="AF195" s="7"/>
      <c r="AG195" s="628"/>
      <c r="AH195" s="7"/>
      <c r="AI195" s="618">
        <f t="shared" si="8"/>
        <v>0</v>
      </c>
      <c r="AJ195" s="7"/>
      <c r="AK195" s="7"/>
      <c r="AL195" s="7"/>
      <c r="AM195" s="7"/>
      <c r="AN195" s="7"/>
      <c r="AO195" s="7"/>
    </row>
    <row r="196" spans="1:41" ht="20.25" customHeight="1">
      <c r="A196" s="503"/>
      <c r="B196" s="483" t="s">
        <v>439</v>
      </c>
      <c r="C196" s="658" t="s">
        <v>427</v>
      </c>
      <c r="D196" s="504" t="s">
        <v>132</v>
      </c>
      <c r="E196" s="632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5"/>
      <c r="R196" s="213"/>
      <c r="S196" s="632"/>
      <c r="T196" s="214"/>
      <c r="U196" s="215"/>
      <c r="V196" s="215"/>
      <c r="W196" s="215"/>
      <c r="X196" s="215"/>
      <c r="Y196" s="372"/>
      <c r="Z196" s="647"/>
      <c r="AA196" s="643"/>
      <c r="AB196" s="616">
        <f t="shared" si="0"/>
        <v>0</v>
      </c>
      <c r="AC196" s="633"/>
      <c r="AD196" s="636"/>
      <c r="AE196" s="636"/>
      <c r="AF196" s="7"/>
      <c r="AG196" s="628"/>
      <c r="AH196" s="7"/>
      <c r="AI196" s="618">
        <f t="shared" si="8"/>
        <v>0</v>
      </c>
      <c r="AJ196" s="7"/>
      <c r="AK196" s="7"/>
      <c r="AL196" s="7"/>
      <c r="AM196" s="7"/>
      <c r="AN196" s="7"/>
      <c r="AO196" s="7"/>
    </row>
    <row r="197" spans="1:41" ht="20.25" customHeight="1">
      <c r="A197" s="503"/>
      <c r="B197" s="483" t="s">
        <v>440</v>
      </c>
      <c r="C197" s="658" t="s">
        <v>429</v>
      </c>
      <c r="D197" s="504" t="s">
        <v>2192</v>
      </c>
      <c r="E197" s="632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5"/>
      <c r="R197" s="213"/>
      <c r="S197" s="632"/>
      <c r="T197" s="214"/>
      <c r="U197" s="215"/>
      <c r="V197" s="215"/>
      <c r="W197" s="215"/>
      <c r="X197" s="215"/>
      <c r="Y197" s="372"/>
      <c r="Z197" s="647"/>
      <c r="AA197" s="643"/>
      <c r="AB197" s="616">
        <f t="shared" si="0"/>
        <v>0</v>
      </c>
      <c r="AC197" s="633"/>
      <c r="AD197" s="648"/>
      <c r="AE197" s="648"/>
      <c r="AF197" s="7"/>
      <c r="AG197" s="628"/>
      <c r="AH197" s="7"/>
      <c r="AI197" s="618">
        <f t="shared" si="8"/>
        <v>0</v>
      </c>
      <c r="AJ197" s="7"/>
      <c r="AK197" s="7"/>
      <c r="AL197" s="7"/>
      <c r="AM197" s="7"/>
      <c r="AN197" s="7"/>
      <c r="AO197" s="7"/>
    </row>
    <row r="198" spans="1:41" ht="20.25" customHeight="1">
      <c r="A198" s="503"/>
      <c r="B198" s="483" t="s">
        <v>439</v>
      </c>
      <c r="C198" s="658" t="s">
        <v>431</v>
      </c>
      <c r="D198" s="504" t="s">
        <v>2193</v>
      </c>
      <c r="E198" s="632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5"/>
      <c r="R198" s="213"/>
      <c r="S198" s="632"/>
      <c r="T198" s="214"/>
      <c r="U198" s="215"/>
      <c r="V198" s="215"/>
      <c r="W198" s="215"/>
      <c r="X198" s="215"/>
      <c r="Y198" s="372"/>
      <c r="Z198" s="647"/>
      <c r="AA198" s="643"/>
      <c r="AB198" s="616">
        <f t="shared" si="0"/>
        <v>0</v>
      </c>
      <c r="AC198" s="633"/>
      <c r="AD198" s="648"/>
      <c r="AE198" s="648"/>
      <c r="AF198" s="7"/>
      <c r="AG198" s="628"/>
      <c r="AH198" s="7"/>
      <c r="AI198" s="618">
        <f t="shared" si="8"/>
        <v>0</v>
      </c>
      <c r="AJ198" s="7"/>
      <c r="AK198" s="7"/>
      <c r="AL198" s="7"/>
      <c r="AM198" s="7"/>
      <c r="AN198" s="7"/>
      <c r="AO198" s="7"/>
    </row>
    <row r="199" spans="1:41" ht="20.25" customHeight="1">
      <c r="A199" s="503"/>
      <c r="B199" s="483" t="s">
        <v>440</v>
      </c>
      <c r="C199" s="658" t="s">
        <v>433</v>
      </c>
      <c r="D199" s="504" t="s">
        <v>2194</v>
      </c>
      <c r="E199" s="632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5"/>
      <c r="R199" s="213"/>
      <c r="S199" s="632"/>
      <c r="T199" s="214"/>
      <c r="U199" s="215"/>
      <c r="V199" s="215"/>
      <c r="W199" s="215"/>
      <c r="X199" s="215"/>
      <c r="Y199" s="372"/>
      <c r="Z199" s="647"/>
      <c r="AA199" s="643"/>
      <c r="AB199" s="616">
        <f t="shared" si="0"/>
        <v>0</v>
      </c>
      <c r="AC199" s="633"/>
      <c r="AD199" s="648"/>
      <c r="AE199" s="648"/>
      <c r="AF199" s="7"/>
      <c r="AG199" s="628"/>
      <c r="AH199" s="7"/>
      <c r="AI199" s="618">
        <f t="shared" si="8"/>
        <v>0</v>
      </c>
      <c r="AJ199" s="7"/>
      <c r="AK199" s="7"/>
      <c r="AL199" s="7"/>
      <c r="AM199" s="7"/>
      <c r="AN199" s="7"/>
      <c r="AO199" s="7"/>
    </row>
    <row r="200" spans="1:41" ht="20.25" customHeight="1">
      <c r="A200" s="486"/>
      <c r="B200" s="487" t="s">
        <v>444</v>
      </c>
      <c r="C200" s="656" t="s">
        <v>445</v>
      </c>
      <c r="D200" s="412"/>
      <c r="E200" s="632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5"/>
      <c r="R200" s="213"/>
      <c r="S200" s="632"/>
      <c r="T200" s="214"/>
      <c r="U200" s="215"/>
      <c r="V200" s="215"/>
      <c r="W200" s="215"/>
      <c r="X200" s="215"/>
      <c r="Y200" s="372"/>
      <c r="Z200" s="620"/>
      <c r="AA200" s="643"/>
      <c r="AB200" s="616">
        <f t="shared" si="0"/>
        <v>0</v>
      </c>
      <c r="AC200" s="633"/>
      <c r="AD200" s="636"/>
      <c r="AE200" s="636"/>
      <c r="AF200" s="7"/>
      <c r="AG200" s="628"/>
      <c r="AH200" s="7"/>
      <c r="AI200" s="618">
        <f t="shared" si="8"/>
        <v>0</v>
      </c>
      <c r="AJ200" s="7"/>
      <c r="AK200" s="7"/>
      <c r="AL200" s="7"/>
      <c r="AM200" s="7"/>
      <c r="AN200" s="7"/>
      <c r="AO200" s="7"/>
    </row>
    <row r="201" spans="1:41" ht="20.25" customHeight="1">
      <c r="A201" s="503"/>
      <c r="B201" s="483" t="s">
        <v>446</v>
      </c>
      <c r="C201" s="658" t="s">
        <v>447</v>
      </c>
      <c r="D201" s="504" t="s">
        <v>424</v>
      </c>
      <c r="E201" s="632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5"/>
      <c r="R201" s="213"/>
      <c r="S201" s="632"/>
      <c r="T201" s="214">
        <v>200</v>
      </c>
      <c r="U201" s="215"/>
      <c r="V201" s="215"/>
      <c r="W201" s="215">
        <v>664</v>
      </c>
      <c r="X201" s="215"/>
      <c r="Y201" s="372"/>
      <c r="Z201" s="647"/>
      <c r="AA201" s="643"/>
      <c r="AB201" s="616">
        <f t="shared" si="0"/>
        <v>864</v>
      </c>
      <c r="AC201" s="633"/>
      <c r="AD201" s="648"/>
      <c r="AE201" s="648"/>
      <c r="AF201" s="7"/>
      <c r="AG201" s="628">
        <v>1162</v>
      </c>
      <c r="AH201" s="7"/>
      <c r="AI201" s="618">
        <f t="shared" si="8"/>
        <v>298</v>
      </c>
      <c r="AJ201" s="7"/>
      <c r="AK201" s="7"/>
      <c r="AL201" s="7"/>
      <c r="AM201" s="7"/>
      <c r="AN201" s="7"/>
      <c r="AO201" s="7"/>
    </row>
    <row r="202" spans="1:41" ht="20.25" customHeight="1">
      <c r="A202" s="503"/>
      <c r="B202" s="483" t="s">
        <v>449</v>
      </c>
      <c r="C202" s="658" t="s">
        <v>450</v>
      </c>
      <c r="D202" s="504" t="s">
        <v>2195</v>
      </c>
      <c r="E202" s="632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5"/>
      <c r="R202" s="213"/>
      <c r="S202" s="632"/>
      <c r="T202" s="214"/>
      <c r="U202" s="215"/>
      <c r="V202" s="215"/>
      <c r="W202" s="215"/>
      <c r="X202" s="215"/>
      <c r="Y202" s="372"/>
      <c r="Z202" s="647"/>
      <c r="AA202" s="643"/>
      <c r="AB202" s="616">
        <f t="shared" si="0"/>
        <v>0</v>
      </c>
      <c r="AC202" s="633"/>
      <c r="AD202" s="648"/>
      <c r="AE202" s="648"/>
      <c r="AF202" s="7"/>
      <c r="AG202" s="628"/>
      <c r="AH202" s="7"/>
      <c r="AI202" s="618">
        <f t="shared" si="8"/>
        <v>0</v>
      </c>
      <c r="AJ202" s="7"/>
      <c r="AK202" s="7"/>
      <c r="AL202" s="7"/>
      <c r="AM202" s="7"/>
      <c r="AN202" s="7"/>
      <c r="AO202" s="7"/>
    </row>
    <row r="203" spans="1:41" ht="20.25" customHeight="1">
      <c r="A203" s="503"/>
      <c r="B203" s="483" t="s">
        <v>449</v>
      </c>
      <c r="C203" s="658" t="s">
        <v>431</v>
      </c>
      <c r="D203" s="504" t="s">
        <v>2196</v>
      </c>
      <c r="E203" s="632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5"/>
      <c r="R203" s="213"/>
      <c r="S203" s="632"/>
      <c r="T203" s="214"/>
      <c r="U203" s="215"/>
      <c r="V203" s="215"/>
      <c r="W203" s="215"/>
      <c r="X203" s="215"/>
      <c r="Y203" s="372"/>
      <c r="Z203" s="647"/>
      <c r="AA203" s="643"/>
      <c r="AB203" s="616">
        <f t="shared" si="0"/>
        <v>0</v>
      </c>
      <c r="AC203" s="633"/>
      <c r="AD203" s="648"/>
      <c r="AE203" s="648"/>
      <c r="AF203" s="7"/>
      <c r="AG203" s="628"/>
      <c r="AH203" s="7"/>
      <c r="AI203" s="618">
        <f t="shared" si="8"/>
        <v>0</v>
      </c>
      <c r="AJ203" s="7"/>
      <c r="AK203" s="7"/>
      <c r="AL203" s="7"/>
      <c r="AM203" s="7"/>
      <c r="AN203" s="7"/>
      <c r="AO203" s="7"/>
    </row>
    <row r="204" spans="1:41" ht="20.25" customHeight="1">
      <c r="A204" s="503"/>
      <c r="B204" s="483" t="s">
        <v>453</v>
      </c>
      <c r="C204" s="658" t="s">
        <v>433</v>
      </c>
      <c r="D204" s="504" t="s">
        <v>2197</v>
      </c>
      <c r="E204" s="632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5"/>
      <c r="R204" s="213"/>
      <c r="S204" s="632"/>
      <c r="T204" s="214"/>
      <c r="U204" s="215"/>
      <c r="V204" s="215"/>
      <c r="W204" s="215"/>
      <c r="X204" s="215"/>
      <c r="Y204" s="372"/>
      <c r="Z204" s="647"/>
      <c r="AA204" s="643"/>
      <c r="AB204" s="616">
        <f t="shared" si="0"/>
        <v>0</v>
      </c>
      <c r="AC204" s="633"/>
      <c r="AD204" s="636"/>
      <c r="AE204" s="636"/>
      <c r="AF204" s="7"/>
      <c r="AG204" s="628"/>
      <c r="AH204" s="7"/>
      <c r="AI204" s="618">
        <f t="shared" si="8"/>
        <v>0</v>
      </c>
      <c r="AJ204" s="7"/>
      <c r="AK204" s="7"/>
      <c r="AL204" s="7"/>
      <c r="AM204" s="7"/>
      <c r="AN204" s="7"/>
      <c r="AO204" s="7"/>
    </row>
    <row r="205" spans="1:41" ht="21" customHeight="1">
      <c r="A205" s="486"/>
      <c r="B205" s="487" t="s">
        <v>455</v>
      </c>
      <c r="C205" s="656" t="s">
        <v>456</v>
      </c>
      <c r="D205" s="512"/>
      <c r="E205" s="632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5"/>
      <c r="R205" s="213"/>
      <c r="S205" s="632"/>
      <c r="T205" s="214"/>
      <c r="U205" s="215"/>
      <c r="V205" s="215"/>
      <c r="W205" s="215"/>
      <c r="X205" s="215"/>
      <c r="Y205" s="372"/>
      <c r="Z205" s="647"/>
      <c r="AA205" s="643"/>
      <c r="AB205" s="616">
        <f t="shared" si="0"/>
        <v>0</v>
      </c>
      <c r="AC205" s="633"/>
      <c r="AD205" s="636"/>
      <c r="AE205" s="636"/>
      <c r="AF205" s="7"/>
      <c r="AG205" s="628"/>
      <c r="AH205" s="7"/>
      <c r="AI205" s="618">
        <f t="shared" si="8"/>
        <v>0</v>
      </c>
      <c r="AJ205" s="7"/>
      <c r="AK205" s="7"/>
      <c r="AL205" s="7"/>
      <c r="AM205" s="7"/>
      <c r="AN205" s="7"/>
      <c r="AO205" s="7"/>
    </row>
    <row r="206" spans="1:41" ht="20.25" customHeight="1">
      <c r="A206" s="503"/>
      <c r="B206" s="483" t="s">
        <v>458</v>
      </c>
      <c r="C206" s="658" t="s">
        <v>459</v>
      </c>
      <c r="D206" s="504" t="s">
        <v>424</v>
      </c>
      <c r="E206" s="632"/>
      <c r="F206" s="213"/>
      <c r="G206" s="213"/>
      <c r="H206" s="213"/>
      <c r="I206" s="213"/>
      <c r="J206" s="213"/>
      <c r="K206" s="213"/>
      <c r="L206" s="213"/>
      <c r="M206" s="213"/>
      <c r="N206" s="213">
        <v>20</v>
      </c>
      <c r="O206" s="213"/>
      <c r="P206" s="213"/>
      <c r="Q206" s="215"/>
      <c r="R206" s="213"/>
      <c r="S206" s="632">
        <v>11</v>
      </c>
      <c r="T206" s="214">
        <v>20</v>
      </c>
      <c r="U206" s="215"/>
      <c r="V206" s="215"/>
      <c r="W206" s="215">
        <v>73</v>
      </c>
      <c r="X206" s="215">
        <v>310</v>
      </c>
      <c r="Y206" s="372"/>
      <c r="Z206" s="647"/>
      <c r="AA206" s="643"/>
      <c r="AB206" s="616">
        <f t="shared" si="0"/>
        <v>434</v>
      </c>
      <c r="AC206" s="633"/>
      <c r="AD206" s="648"/>
      <c r="AE206" s="648"/>
      <c r="AF206" s="7"/>
      <c r="AG206" s="628">
        <v>3326</v>
      </c>
      <c r="AH206" s="7"/>
      <c r="AI206" s="618">
        <f t="shared" si="8"/>
        <v>2892</v>
      </c>
      <c r="AJ206" s="7"/>
      <c r="AK206" s="7"/>
      <c r="AL206" s="7"/>
      <c r="AM206" s="7"/>
      <c r="AN206" s="7"/>
      <c r="AO206" s="7"/>
    </row>
    <row r="207" spans="1:41" ht="20.25" customHeight="1">
      <c r="A207" s="503"/>
      <c r="B207" s="483" t="s">
        <v>461</v>
      </c>
      <c r="C207" s="658" t="s">
        <v>431</v>
      </c>
      <c r="D207" s="504" t="s">
        <v>2198</v>
      </c>
      <c r="E207" s="632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5"/>
      <c r="R207" s="213"/>
      <c r="S207" s="632"/>
      <c r="T207" s="214"/>
      <c r="U207" s="215"/>
      <c r="V207" s="215"/>
      <c r="W207" s="215"/>
      <c r="X207" s="215"/>
      <c r="Y207" s="372"/>
      <c r="Z207" s="647"/>
      <c r="AA207" s="643"/>
      <c r="AB207" s="616">
        <f t="shared" si="0"/>
        <v>0</v>
      </c>
      <c r="AC207" s="633"/>
      <c r="AD207" s="648"/>
      <c r="AE207" s="648"/>
      <c r="AF207" s="7"/>
      <c r="AG207" s="628">
        <v>2329.4</v>
      </c>
      <c r="AH207" s="7"/>
      <c r="AI207" s="618"/>
      <c r="AJ207" s="7"/>
      <c r="AK207" s="7"/>
      <c r="AL207" s="7"/>
      <c r="AM207" s="7"/>
      <c r="AN207" s="7"/>
      <c r="AO207" s="7"/>
    </row>
    <row r="208" spans="1:41" ht="20.25" customHeight="1">
      <c r="A208" s="503"/>
      <c r="B208" s="483" t="s">
        <v>464</v>
      </c>
      <c r="C208" s="658" t="s">
        <v>433</v>
      </c>
      <c r="D208" s="504" t="s">
        <v>2199</v>
      </c>
      <c r="E208" s="632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5"/>
      <c r="R208" s="213"/>
      <c r="S208" s="632"/>
      <c r="T208" s="214"/>
      <c r="U208" s="215"/>
      <c r="V208" s="215"/>
      <c r="W208" s="215"/>
      <c r="X208" s="215"/>
      <c r="Y208" s="372"/>
      <c r="Z208" s="647"/>
      <c r="AA208" s="643"/>
      <c r="AB208" s="616">
        <f t="shared" si="0"/>
        <v>0</v>
      </c>
      <c r="AC208" s="633"/>
      <c r="AD208" s="636"/>
      <c r="AE208" s="636"/>
      <c r="AF208" s="7"/>
      <c r="AG208" s="628"/>
      <c r="AH208" s="7"/>
      <c r="AI208" s="618">
        <f t="shared" ref="AI208:AI242" si="9">AG208-AB208</f>
        <v>0</v>
      </c>
      <c r="AJ208" s="7"/>
      <c r="AK208" s="7"/>
      <c r="AL208" s="7"/>
      <c r="AM208" s="7"/>
      <c r="AN208" s="7"/>
      <c r="AO208" s="7"/>
    </row>
    <row r="209" spans="1:41" ht="20.25" customHeight="1">
      <c r="A209" s="486"/>
      <c r="B209" s="487" t="s">
        <v>455</v>
      </c>
      <c r="C209" s="635" t="s">
        <v>467</v>
      </c>
      <c r="D209" s="412"/>
      <c r="E209" s="632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5"/>
      <c r="R209" s="213"/>
      <c r="S209" s="632"/>
      <c r="T209" s="214"/>
      <c r="U209" s="215"/>
      <c r="V209" s="215"/>
      <c r="W209" s="215"/>
      <c r="X209" s="215"/>
      <c r="Y209" s="372"/>
      <c r="Z209" s="620"/>
      <c r="AA209" s="643"/>
      <c r="AB209" s="616">
        <f t="shared" si="0"/>
        <v>0</v>
      </c>
      <c r="AC209" s="633"/>
      <c r="AD209" s="648"/>
      <c r="AE209" s="648"/>
      <c r="AF209" s="7"/>
      <c r="AG209" s="628"/>
      <c r="AH209" s="7"/>
      <c r="AI209" s="618">
        <f t="shared" si="9"/>
        <v>0</v>
      </c>
      <c r="AJ209" s="7"/>
      <c r="AK209" s="7"/>
      <c r="AL209" s="7"/>
      <c r="AM209" s="7"/>
      <c r="AN209" s="7"/>
      <c r="AO209" s="7"/>
    </row>
    <row r="210" spans="1:41" ht="20.25" customHeight="1">
      <c r="A210" s="503"/>
      <c r="B210" s="483" t="s">
        <v>458</v>
      </c>
      <c r="C210" s="658" t="s">
        <v>469</v>
      </c>
      <c r="D210" s="504" t="s">
        <v>132</v>
      </c>
      <c r="E210" s="632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5"/>
      <c r="R210" s="213"/>
      <c r="S210" s="632"/>
      <c r="T210" s="214"/>
      <c r="U210" s="215"/>
      <c r="V210" s="215"/>
      <c r="W210" s="215"/>
      <c r="X210" s="215"/>
      <c r="Y210" s="372"/>
      <c r="Z210" s="647"/>
      <c r="AA210" s="643"/>
      <c r="AB210" s="616">
        <f t="shared" si="0"/>
        <v>0</v>
      </c>
      <c r="AC210" s="633"/>
      <c r="AD210" s="648"/>
      <c r="AE210" s="648"/>
      <c r="AF210" s="7"/>
      <c r="AG210" s="628"/>
      <c r="AH210" s="7"/>
      <c r="AI210" s="618">
        <f t="shared" si="9"/>
        <v>0</v>
      </c>
      <c r="AJ210" s="7"/>
      <c r="AK210" s="7"/>
      <c r="AL210" s="7"/>
      <c r="AM210" s="7"/>
      <c r="AN210" s="7"/>
      <c r="AO210" s="7"/>
    </row>
    <row r="211" spans="1:41" ht="20.25" customHeight="1">
      <c r="A211" s="503"/>
      <c r="B211" s="483" t="s">
        <v>461</v>
      </c>
      <c r="C211" s="658" t="s">
        <v>471</v>
      </c>
      <c r="D211" s="504" t="s">
        <v>132</v>
      </c>
      <c r="E211" s="632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5"/>
      <c r="R211" s="213"/>
      <c r="S211" s="632"/>
      <c r="T211" s="214"/>
      <c r="U211" s="215"/>
      <c r="V211" s="215"/>
      <c r="W211" s="215"/>
      <c r="X211" s="215"/>
      <c r="Y211" s="372"/>
      <c r="Z211" s="647"/>
      <c r="AA211" s="643"/>
      <c r="AB211" s="616">
        <f t="shared" si="0"/>
        <v>0</v>
      </c>
      <c r="AC211" s="633"/>
      <c r="AD211" s="636"/>
      <c r="AE211" s="636"/>
      <c r="AF211" s="7"/>
      <c r="AG211" s="628"/>
      <c r="AH211" s="7"/>
      <c r="AI211" s="618">
        <f t="shared" si="9"/>
        <v>0</v>
      </c>
      <c r="AJ211" s="7"/>
      <c r="AK211" s="7"/>
      <c r="AL211" s="7"/>
      <c r="AM211" s="7"/>
      <c r="AN211" s="7"/>
      <c r="AO211" s="7"/>
    </row>
    <row r="212" spans="1:41" ht="20.25" customHeight="1">
      <c r="A212" s="503"/>
      <c r="B212" s="483" t="s">
        <v>464</v>
      </c>
      <c r="C212" s="658" t="s">
        <v>473</v>
      </c>
      <c r="D212" s="504" t="s">
        <v>132</v>
      </c>
      <c r="E212" s="632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5"/>
      <c r="R212" s="213"/>
      <c r="S212" s="632"/>
      <c r="T212" s="214"/>
      <c r="U212" s="215"/>
      <c r="V212" s="215"/>
      <c r="W212" s="215"/>
      <c r="X212" s="215"/>
      <c r="Y212" s="372"/>
      <c r="Z212" s="647"/>
      <c r="AA212" s="643"/>
      <c r="AB212" s="616">
        <f t="shared" si="0"/>
        <v>0</v>
      </c>
      <c r="AC212" s="633"/>
      <c r="AD212" s="636"/>
      <c r="AE212" s="636"/>
      <c r="AF212" s="7"/>
      <c r="AG212" s="628"/>
      <c r="AH212" s="7"/>
      <c r="AI212" s="618">
        <f t="shared" si="9"/>
        <v>0</v>
      </c>
      <c r="AJ212" s="7"/>
      <c r="AK212" s="7"/>
      <c r="AL212" s="7"/>
      <c r="AM212" s="7"/>
      <c r="AN212" s="7"/>
      <c r="AO212" s="7"/>
    </row>
    <row r="213" spans="1:41" ht="20.25" customHeight="1">
      <c r="A213" s="486"/>
      <c r="B213" s="487" t="s">
        <v>475</v>
      </c>
      <c r="C213" s="635" t="s">
        <v>476</v>
      </c>
      <c r="D213" s="412"/>
      <c r="E213" s="632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5"/>
      <c r="R213" s="213"/>
      <c r="S213" s="632"/>
      <c r="T213" s="214"/>
      <c r="U213" s="215"/>
      <c r="V213" s="215"/>
      <c r="W213" s="215"/>
      <c r="X213" s="215"/>
      <c r="Y213" s="372"/>
      <c r="Z213" s="620"/>
      <c r="AA213" s="643"/>
      <c r="AB213" s="616">
        <f t="shared" si="0"/>
        <v>0</v>
      </c>
      <c r="AC213" s="633"/>
      <c r="AD213" s="636"/>
      <c r="AE213" s="636"/>
      <c r="AF213" s="7"/>
      <c r="AG213" s="659"/>
      <c r="AH213" s="7"/>
      <c r="AI213" s="618">
        <f t="shared" si="9"/>
        <v>0</v>
      </c>
      <c r="AJ213" s="7"/>
      <c r="AK213" s="7"/>
      <c r="AL213" s="7"/>
      <c r="AM213" s="7"/>
      <c r="AN213" s="7"/>
      <c r="AO213" s="7"/>
    </row>
    <row r="214" spans="1:41" ht="20.25" customHeight="1">
      <c r="A214" s="503"/>
      <c r="B214" s="483" t="s">
        <v>478</v>
      </c>
      <c r="C214" s="658" t="s">
        <v>479</v>
      </c>
      <c r="D214" s="504" t="s">
        <v>132</v>
      </c>
      <c r="E214" s="632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5"/>
      <c r="R214" s="213"/>
      <c r="S214" s="632"/>
      <c r="T214" s="214"/>
      <c r="U214" s="215"/>
      <c r="V214" s="215"/>
      <c r="W214" s="215"/>
      <c r="X214" s="215"/>
      <c r="Y214" s="372"/>
      <c r="Z214" s="647"/>
      <c r="AA214" s="643"/>
      <c r="AB214" s="616">
        <f t="shared" si="0"/>
        <v>0</v>
      </c>
      <c r="AC214" s="633"/>
      <c r="AD214" s="636"/>
      <c r="AE214" s="636"/>
      <c r="AF214" s="7"/>
      <c r="AG214" s="628">
        <v>5</v>
      </c>
      <c r="AH214" s="7"/>
      <c r="AI214" s="618">
        <f t="shared" si="9"/>
        <v>5</v>
      </c>
      <c r="AJ214" s="7"/>
      <c r="AK214" s="7"/>
      <c r="AL214" s="7"/>
      <c r="AM214" s="7"/>
      <c r="AN214" s="7"/>
      <c r="AO214" s="7"/>
    </row>
    <row r="215" spans="1:41" ht="20.25" customHeight="1">
      <c r="A215" s="503"/>
      <c r="B215" s="483" t="s">
        <v>481</v>
      </c>
      <c r="C215" s="658" t="s">
        <v>482</v>
      </c>
      <c r="D215" s="504" t="s">
        <v>132</v>
      </c>
      <c r="E215" s="632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5"/>
      <c r="R215" s="213"/>
      <c r="S215" s="632"/>
      <c r="T215" s="214"/>
      <c r="U215" s="215"/>
      <c r="V215" s="215"/>
      <c r="W215" s="215"/>
      <c r="X215" s="215"/>
      <c r="Y215" s="372"/>
      <c r="Z215" s="647"/>
      <c r="AA215" s="643"/>
      <c r="AB215" s="616">
        <f t="shared" si="0"/>
        <v>0</v>
      </c>
      <c r="AC215" s="633"/>
      <c r="AD215" s="636"/>
      <c r="AE215" s="636"/>
      <c r="AF215" s="7"/>
      <c r="AG215" s="628"/>
      <c r="AH215" s="7"/>
      <c r="AI215" s="618">
        <f t="shared" si="9"/>
        <v>0</v>
      </c>
      <c r="AJ215" s="7"/>
      <c r="AK215" s="7"/>
      <c r="AL215" s="7"/>
      <c r="AM215" s="7"/>
      <c r="AN215" s="7"/>
      <c r="AO215" s="7"/>
    </row>
    <row r="216" spans="1:41" ht="20.25" customHeight="1">
      <c r="A216" s="486"/>
      <c r="B216" s="487" t="s">
        <v>484</v>
      </c>
      <c r="C216" s="656" t="s">
        <v>485</v>
      </c>
      <c r="D216" s="512" t="s">
        <v>132</v>
      </c>
      <c r="E216" s="632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5"/>
      <c r="R216" s="213"/>
      <c r="S216" s="632"/>
      <c r="T216" s="214"/>
      <c r="U216" s="215"/>
      <c r="V216" s="215"/>
      <c r="W216" s="215"/>
      <c r="X216" s="215"/>
      <c r="Y216" s="372"/>
      <c r="Z216" s="647"/>
      <c r="AA216" s="643"/>
      <c r="AB216" s="616">
        <f t="shared" si="0"/>
        <v>0</v>
      </c>
      <c r="AC216" s="633"/>
      <c r="AD216" s="636"/>
      <c r="AE216" s="636"/>
      <c r="AF216" s="7"/>
      <c r="AG216" s="628"/>
      <c r="AH216" s="7"/>
      <c r="AI216" s="618">
        <f t="shared" si="9"/>
        <v>0</v>
      </c>
      <c r="AJ216" s="7"/>
      <c r="AK216" s="7"/>
      <c r="AL216" s="7"/>
      <c r="AM216" s="7"/>
      <c r="AN216" s="7"/>
      <c r="AO216" s="7"/>
    </row>
    <row r="217" spans="1:41" ht="20.25" customHeight="1">
      <c r="A217" s="503"/>
      <c r="B217" s="483" t="s">
        <v>487</v>
      </c>
      <c r="C217" s="658" t="s">
        <v>488</v>
      </c>
      <c r="D217" s="504" t="s">
        <v>132</v>
      </c>
      <c r="E217" s="632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5"/>
      <c r="R217" s="213"/>
      <c r="S217" s="632"/>
      <c r="T217" s="214"/>
      <c r="U217" s="215"/>
      <c r="V217" s="215"/>
      <c r="W217" s="215"/>
      <c r="X217" s="215"/>
      <c r="Y217" s="372"/>
      <c r="Z217" s="647"/>
      <c r="AA217" s="643"/>
      <c r="AB217" s="616">
        <f t="shared" si="0"/>
        <v>0</v>
      </c>
      <c r="AC217" s="633"/>
      <c r="AD217" s="636"/>
      <c r="AE217" s="636"/>
      <c r="AF217" s="7"/>
      <c r="AG217" s="628"/>
      <c r="AH217" s="7"/>
      <c r="AI217" s="618">
        <f t="shared" si="9"/>
        <v>0</v>
      </c>
      <c r="AJ217" s="7"/>
      <c r="AK217" s="7"/>
      <c r="AL217" s="7"/>
      <c r="AM217" s="7"/>
      <c r="AN217" s="7"/>
      <c r="AO217" s="7"/>
    </row>
    <row r="218" spans="1:41" ht="20.25" customHeight="1">
      <c r="A218" s="503"/>
      <c r="B218" s="483" t="s">
        <v>490</v>
      </c>
      <c r="C218" s="658" t="s">
        <v>491</v>
      </c>
      <c r="D218" s="504" t="s">
        <v>132</v>
      </c>
      <c r="E218" s="632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5"/>
      <c r="R218" s="213"/>
      <c r="S218" s="632"/>
      <c r="T218" s="214"/>
      <c r="U218" s="215"/>
      <c r="V218" s="215"/>
      <c r="W218" s="215"/>
      <c r="X218" s="215"/>
      <c r="Y218" s="372"/>
      <c r="Z218" s="647"/>
      <c r="AA218" s="643"/>
      <c r="AB218" s="616">
        <f t="shared" si="0"/>
        <v>0</v>
      </c>
      <c r="AC218" s="633"/>
      <c r="AD218" s="636"/>
      <c r="AE218" s="636"/>
      <c r="AF218" s="7"/>
      <c r="AG218" s="628"/>
      <c r="AH218" s="7"/>
      <c r="AI218" s="618">
        <f t="shared" si="9"/>
        <v>0</v>
      </c>
      <c r="AJ218" s="7"/>
      <c r="AK218" s="7"/>
      <c r="AL218" s="7"/>
      <c r="AM218" s="7"/>
      <c r="AN218" s="7"/>
      <c r="AO218" s="7"/>
    </row>
    <row r="219" spans="1:41" ht="15.75" customHeight="1">
      <c r="A219" s="486"/>
      <c r="B219" s="487" t="s">
        <v>493</v>
      </c>
      <c r="C219" s="656" t="s">
        <v>494</v>
      </c>
      <c r="D219" s="512" t="s">
        <v>132</v>
      </c>
      <c r="E219" s="632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5"/>
      <c r="R219" s="213">
        <v>1</v>
      </c>
      <c r="S219" s="632"/>
      <c r="T219" s="214"/>
      <c r="U219" s="215"/>
      <c r="V219" s="215"/>
      <c r="W219" s="215"/>
      <c r="X219" s="215"/>
      <c r="Y219" s="372"/>
      <c r="Z219" s="647"/>
      <c r="AA219" s="643"/>
      <c r="AB219" s="616">
        <f t="shared" si="0"/>
        <v>1</v>
      </c>
      <c r="AC219" s="633"/>
      <c r="AD219" s="636"/>
      <c r="AE219" s="636"/>
      <c r="AF219" s="7"/>
      <c r="AG219" s="628">
        <v>38</v>
      </c>
      <c r="AH219" s="7"/>
      <c r="AI219" s="618">
        <f t="shared" si="9"/>
        <v>37</v>
      </c>
      <c r="AJ219" s="7"/>
      <c r="AK219" s="7"/>
      <c r="AL219" s="7"/>
      <c r="AM219" s="7"/>
      <c r="AN219" s="7"/>
      <c r="AO219" s="7"/>
    </row>
    <row r="220" spans="1:41" ht="20.25" customHeight="1">
      <c r="A220" s="486"/>
      <c r="B220" s="487" t="s">
        <v>496</v>
      </c>
      <c r="C220" s="635" t="s">
        <v>497</v>
      </c>
      <c r="D220" s="512"/>
      <c r="E220" s="632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5"/>
      <c r="R220" s="213"/>
      <c r="S220" s="632"/>
      <c r="T220" s="214"/>
      <c r="U220" s="215"/>
      <c r="V220" s="215"/>
      <c r="W220" s="215"/>
      <c r="X220" s="215"/>
      <c r="Y220" s="372"/>
      <c r="Z220" s="647"/>
      <c r="AA220" s="643"/>
      <c r="AB220" s="616">
        <f t="shared" si="0"/>
        <v>0</v>
      </c>
      <c r="AC220" s="633"/>
      <c r="AD220" s="636"/>
      <c r="AE220" s="636"/>
      <c r="AF220" s="7"/>
      <c r="AG220" s="628"/>
      <c r="AH220" s="7"/>
      <c r="AI220" s="618">
        <f t="shared" si="9"/>
        <v>0</v>
      </c>
      <c r="AJ220" s="7"/>
      <c r="AK220" s="7"/>
      <c r="AL220" s="7"/>
      <c r="AM220" s="7"/>
      <c r="AN220" s="7"/>
      <c r="AO220" s="7"/>
    </row>
    <row r="221" spans="1:41" ht="20.25" customHeight="1">
      <c r="A221" s="482"/>
      <c r="B221" s="483" t="s">
        <v>499</v>
      </c>
      <c r="C221" s="629" t="s">
        <v>500</v>
      </c>
      <c r="D221" s="485" t="s">
        <v>424</v>
      </c>
      <c r="E221" s="632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5"/>
      <c r="R221" s="213"/>
      <c r="S221" s="632"/>
      <c r="T221" s="214">
        <v>500</v>
      </c>
      <c r="U221" s="215"/>
      <c r="V221" s="215"/>
      <c r="W221" s="215"/>
      <c r="X221" s="215"/>
      <c r="Y221" s="372"/>
      <c r="Z221" s="620"/>
      <c r="AA221" s="643"/>
      <c r="AB221" s="616">
        <f t="shared" si="0"/>
        <v>500</v>
      </c>
      <c r="AC221" s="633"/>
      <c r="AD221" s="634"/>
      <c r="AE221" s="634"/>
      <c r="AF221" s="7"/>
      <c r="AG221" s="628">
        <v>600</v>
      </c>
      <c r="AH221" s="7"/>
      <c r="AI221" s="618">
        <f t="shared" si="9"/>
        <v>100</v>
      </c>
      <c r="AJ221" s="7"/>
      <c r="AK221" s="7"/>
      <c r="AL221" s="7"/>
      <c r="AM221" s="7"/>
      <c r="AN221" s="7"/>
      <c r="AO221" s="7"/>
    </row>
    <row r="222" spans="1:41" ht="20.25" customHeight="1">
      <c r="A222" s="482" t="s">
        <v>1007</v>
      </c>
      <c r="B222" s="483" t="s">
        <v>502</v>
      </c>
      <c r="C222" s="629" t="s">
        <v>503</v>
      </c>
      <c r="D222" s="504" t="s">
        <v>2200</v>
      </c>
      <c r="E222" s="632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5"/>
      <c r="R222" s="213"/>
      <c r="S222" s="632"/>
      <c r="T222" s="214"/>
      <c r="U222" s="215"/>
      <c r="V222" s="215"/>
      <c r="W222" s="215"/>
      <c r="X222" s="215"/>
      <c r="Y222" s="372"/>
      <c r="Z222" s="647"/>
      <c r="AA222" s="643"/>
      <c r="AB222" s="616">
        <f t="shared" si="0"/>
        <v>0</v>
      </c>
      <c r="AC222" s="633"/>
      <c r="AD222" s="634"/>
      <c r="AE222" s="634"/>
      <c r="AF222" s="7"/>
      <c r="AG222" s="628"/>
      <c r="AH222" s="7"/>
      <c r="AI222" s="618">
        <f t="shared" si="9"/>
        <v>0</v>
      </c>
      <c r="AJ222" s="7"/>
      <c r="AK222" s="7"/>
      <c r="AL222" s="7"/>
      <c r="AM222" s="7"/>
      <c r="AN222" s="7"/>
      <c r="AO222" s="7"/>
    </row>
    <row r="223" spans="1:41" ht="20.25" customHeight="1">
      <c r="A223" s="482"/>
      <c r="B223" s="483" t="s">
        <v>506</v>
      </c>
      <c r="C223" s="629" t="s">
        <v>507</v>
      </c>
      <c r="D223" s="485" t="s">
        <v>2201</v>
      </c>
      <c r="E223" s="632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5"/>
      <c r="R223" s="213"/>
      <c r="S223" s="632"/>
      <c r="T223" s="214"/>
      <c r="U223" s="215"/>
      <c r="V223" s="215"/>
      <c r="W223" s="215"/>
      <c r="X223" s="215"/>
      <c r="Y223" s="372"/>
      <c r="Z223" s="620"/>
      <c r="AA223" s="643"/>
      <c r="AB223" s="616">
        <f t="shared" si="0"/>
        <v>0</v>
      </c>
      <c r="AC223" s="633"/>
      <c r="AD223" s="634"/>
      <c r="AE223" s="634"/>
      <c r="AF223" s="7"/>
      <c r="AG223" s="628"/>
      <c r="AH223" s="7"/>
      <c r="AI223" s="618">
        <f t="shared" si="9"/>
        <v>0</v>
      </c>
      <c r="AJ223" s="7"/>
      <c r="AK223" s="7"/>
      <c r="AL223" s="7"/>
      <c r="AM223" s="7"/>
      <c r="AN223" s="7"/>
      <c r="AO223" s="7"/>
    </row>
    <row r="224" spans="1:41" ht="20.25" customHeight="1">
      <c r="A224" s="486"/>
      <c r="B224" s="487" t="s">
        <v>509</v>
      </c>
      <c r="C224" s="635" t="s">
        <v>510</v>
      </c>
      <c r="D224" s="491" t="s">
        <v>183</v>
      </c>
      <c r="E224" s="632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5"/>
      <c r="R224" s="213"/>
      <c r="S224" s="632"/>
      <c r="T224" s="214"/>
      <c r="U224" s="215"/>
      <c r="V224" s="215"/>
      <c r="W224" s="215"/>
      <c r="X224" s="215"/>
      <c r="Y224" s="372"/>
      <c r="Z224" s="638"/>
      <c r="AA224" s="643"/>
      <c r="AB224" s="616">
        <f t="shared" si="0"/>
        <v>0</v>
      </c>
      <c r="AC224" s="633"/>
      <c r="AD224" s="636"/>
      <c r="AE224" s="636"/>
      <c r="AF224" s="7"/>
      <c r="AG224" s="628"/>
      <c r="AH224" s="7"/>
      <c r="AI224" s="618">
        <f t="shared" si="9"/>
        <v>0</v>
      </c>
      <c r="AJ224" s="7"/>
      <c r="AK224" s="7"/>
      <c r="AL224" s="7"/>
      <c r="AM224" s="7"/>
      <c r="AN224" s="7"/>
      <c r="AO224" s="7"/>
    </row>
    <row r="225" spans="1:41" ht="18.75" customHeight="1">
      <c r="A225" s="489">
        <v>6</v>
      </c>
      <c r="B225" s="490" t="s">
        <v>512</v>
      </c>
      <c r="C225" s="637" t="s">
        <v>513</v>
      </c>
      <c r="D225" s="491"/>
      <c r="E225" s="632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5"/>
      <c r="R225" s="213"/>
      <c r="S225" s="632"/>
      <c r="T225" s="214"/>
      <c r="U225" s="215"/>
      <c r="V225" s="215"/>
      <c r="W225" s="215"/>
      <c r="X225" s="215"/>
      <c r="Y225" s="372"/>
      <c r="Z225" s="638"/>
      <c r="AA225" s="643"/>
      <c r="AB225" s="616">
        <f t="shared" si="0"/>
        <v>0</v>
      </c>
      <c r="AC225" s="660" t="s">
        <v>1594</v>
      </c>
      <c r="AD225" s="640"/>
      <c r="AE225" s="640"/>
      <c r="AF225" s="7"/>
      <c r="AG225" s="628"/>
      <c r="AH225" s="7"/>
      <c r="AI225" s="618">
        <f t="shared" si="9"/>
        <v>0</v>
      </c>
      <c r="AJ225" s="7"/>
      <c r="AK225" s="7"/>
      <c r="AL225" s="7"/>
      <c r="AM225" s="7"/>
      <c r="AN225" s="7"/>
      <c r="AO225" s="7"/>
    </row>
    <row r="226" spans="1:41" ht="15.75" customHeight="1">
      <c r="A226" s="486"/>
      <c r="B226" s="487" t="s">
        <v>515</v>
      </c>
      <c r="C226" s="635" t="s">
        <v>516</v>
      </c>
      <c r="D226" s="512"/>
      <c r="E226" s="632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 t="s">
        <v>2202</v>
      </c>
      <c r="P226" s="213"/>
      <c r="Q226" s="215"/>
      <c r="R226" s="213"/>
      <c r="S226" s="632"/>
      <c r="T226" s="214"/>
      <c r="U226" s="215"/>
      <c r="V226" s="215"/>
      <c r="W226" s="215"/>
      <c r="X226" s="215"/>
      <c r="Y226" s="372"/>
      <c r="Z226" s="647"/>
      <c r="AA226" s="643"/>
      <c r="AB226" s="616">
        <f t="shared" si="0"/>
        <v>0</v>
      </c>
      <c r="AC226" s="642">
        <f>AB227+AB237</f>
        <v>904.6</v>
      </c>
      <c r="AD226" s="636"/>
      <c r="AE226" s="636"/>
      <c r="AF226" s="7"/>
      <c r="AG226" s="628"/>
      <c r="AH226" s="7"/>
      <c r="AI226" s="618">
        <f t="shared" si="9"/>
        <v>0</v>
      </c>
      <c r="AJ226" s="7"/>
      <c r="AK226" s="7"/>
      <c r="AL226" s="7"/>
      <c r="AM226" s="7"/>
      <c r="AN226" s="7"/>
      <c r="AO226" s="7"/>
    </row>
    <row r="227" spans="1:41" ht="20.25" customHeight="1">
      <c r="A227" s="503"/>
      <c r="B227" s="483" t="s">
        <v>518</v>
      </c>
      <c r="C227" s="629" t="s">
        <v>447</v>
      </c>
      <c r="D227" s="504" t="s">
        <v>424</v>
      </c>
      <c r="E227" s="632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5"/>
      <c r="R227" s="213"/>
      <c r="S227" s="632"/>
      <c r="T227" s="214">
        <v>45</v>
      </c>
      <c r="U227" s="215"/>
      <c r="V227" s="215"/>
      <c r="W227" s="215"/>
      <c r="X227" s="215"/>
      <c r="Y227" s="372"/>
      <c r="Z227" s="647"/>
      <c r="AA227" s="643"/>
      <c r="AB227" s="616">
        <f t="shared" si="0"/>
        <v>45</v>
      </c>
      <c r="AC227" s="648"/>
      <c r="AD227" s="648"/>
      <c r="AE227" s="648"/>
      <c r="AF227" s="7"/>
      <c r="AG227" s="628">
        <v>484</v>
      </c>
      <c r="AH227" s="7"/>
      <c r="AI227" s="618">
        <f t="shared" si="9"/>
        <v>439</v>
      </c>
      <c r="AJ227" s="7"/>
      <c r="AK227" s="7"/>
      <c r="AL227" s="7"/>
      <c r="AM227" s="7"/>
      <c r="AN227" s="7"/>
      <c r="AO227" s="7"/>
    </row>
    <row r="228" spans="1:41" ht="20.25" customHeight="1">
      <c r="A228" s="503"/>
      <c r="B228" s="483" t="s">
        <v>520</v>
      </c>
      <c r="C228" s="629" t="s">
        <v>521</v>
      </c>
      <c r="D228" s="504" t="s">
        <v>424</v>
      </c>
      <c r="E228" s="632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5"/>
      <c r="R228" s="213"/>
      <c r="S228" s="632"/>
      <c r="T228" s="214"/>
      <c r="U228" s="215"/>
      <c r="V228" s="215"/>
      <c r="W228" s="215"/>
      <c r="X228" s="215"/>
      <c r="Y228" s="372"/>
      <c r="Z228" s="647"/>
      <c r="AA228" s="643"/>
      <c r="AB228" s="616">
        <f t="shared" si="0"/>
        <v>0</v>
      </c>
      <c r="AC228" s="661" t="s">
        <v>1595</v>
      </c>
      <c r="AD228" s="648"/>
      <c r="AE228" s="648"/>
      <c r="AF228" s="7"/>
      <c r="AG228" s="628"/>
      <c r="AH228" s="7"/>
      <c r="AI228" s="618">
        <f t="shared" si="9"/>
        <v>0</v>
      </c>
      <c r="AJ228" s="7"/>
      <c r="AK228" s="7"/>
      <c r="AL228" s="7"/>
      <c r="AM228" s="7"/>
      <c r="AN228" s="7"/>
      <c r="AO228" s="7"/>
    </row>
    <row r="229" spans="1:41" ht="19.5" customHeight="1">
      <c r="A229" s="503"/>
      <c r="B229" s="483" t="s">
        <v>523</v>
      </c>
      <c r="C229" s="629" t="s">
        <v>524</v>
      </c>
      <c r="D229" s="504" t="s">
        <v>2203</v>
      </c>
      <c r="E229" s="632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5"/>
      <c r="R229" s="213"/>
      <c r="S229" s="632"/>
      <c r="T229" s="214"/>
      <c r="U229" s="215"/>
      <c r="V229" s="215"/>
      <c r="W229" s="215"/>
      <c r="X229" s="215"/>
      <c r="Y229" s="372"/>
      <c r="Z229" s="647"/>
      <c r="AA229" s="643"/>
      <c r="AB229" s="616">
        <f t="shared" si="0"/>
        <v>0</v>
      </c>
      <c r="AC229" s="642">
        <f>AB229+AB230+AB239+AB240</f>
        <v>14734</v>
      </c>
      <c r="AD229" s="648"/>
      <c r="AE229" s="648"/>
      <c r="AF229" s="7"/>
      <c r="AG229" s="628">
        <f>48316.51+7536.97</f>
        <v>55853.48</v>
      </c>
      <c r="AH229" s="7"/>
      <c r="AI229" s="618">
        <f t="shared" si="9"/>
        <v>55853.48</v>
      </c>
      <c r="AJ229" s="7"/>
      <c r="AK229" s="7"/>
      <c r="AL229" s="7"/>
      <c r="AM229" s="7"/>
      <c r="AN229" s="7"/>
      <c r="AO229" s="7"/>
    </row>
    <row r="230" spans="1:41" ht="20.25" customHeight="1">
      <c r="A230" s="503"/>
      <c r="B230" s="483" t="s">
        <v>526</v>
      </c>
      <c r="C230" s="629" t="s">
        <v>527</v>
      </c>
      <c r="D230" s="504" t="s">
        <v>2204</v>
      </c>
      <c r="E230" s="632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5"/>
      <c r="R230" s="213"/>
      <c r="S230" s="632"/>
      <c r="T230" s="214"/>
      <c r="U230" s="215"/>
      <c r="V230" s="215"/>
      <c r="W230" s="215"/>
      <c r="X230" s="215"/>
      <c r="Y230" s="372"/>
      <c r="Z230" s="647"/>
      <c r="AA230" s="643"/>
      <c r="AB230" s="616">
        <f t="shared" si="0"/>
        <v>0</v>
      </c>
      <c r="AC230" s="633"/>
      <c r="AD230" s="648"/>
      <c r="AE230" s="648"/>
      <c r="AF230" s="7"/>
      <c r="AG230" s="628"/>
      <c r="AH230" s="7"/>
      <c r="AI230" s="618">
        <f t="shared" si="9"/>
        <v>0</v>
      </c>
      <c r="AJ230" s="7"/>
      <c r="AK230" s="7"/>
      <c r="AL230" s="7"/>
      <c r="AM230" s="7"/>
      <c r="AN230" s="7"/>
      <c r="AO230" s="7"/>
    </row>
    <row r="231" spans="1:41" ht="24.75" customHeight="1">
      <c r="A231" s="503"/>
      <c r="B231" s="483" t="s">
        <v>530</v>
      </c>
      <c r="C231" s="629" t="s">
        <v>531</v>
      </c>
      <c r="D231" s="504" t="s">
        <v>132</v>
      </c>
      <c r="E231" s="632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5"/>
      <c r="R231" s="213"/>
      <c r="S231" s="632"/>
      <c r="T231" s="214"/>
      <c r="U231" s="215"/>
      <c r="V231" s="215"/>
      <c r="W231" s="215"/>
      <c r="X231" s="215"/>
      <c r="Y231" s="372"/>
      <c r="Z231" s="647"/>
      <c r="AA231" s="643"/>
      <c r="AB231" s="616">
        <f t="shared" si="0"/>
        <v>0</v>
      </c>
      <c r="AC231" s="633"/>
      <c r="AD231" s="648"/>
      <c r="AE231" s="648"/>
      <c r="AF231" s="7"/>
      <c r="AG231" s="628"/>
      <c r="AH231" s="7"/>
      <c r="AI231" s="618">
        <f t="shared" si="9"/>
        <v>0</v>
      </c>
      <c r="AJ231" s="7"/>
      <c r="AK231" s="7"/>
      <c r="AL231" s="7"/>
      <c r="AM231" s="7"/>
      <c r="AN231" s="7"/>
      <c r="AO231" s="7"/>
    </row>
    <row r="232" spans="1:41" ht="24" customHeight="1">
      <c r="A232" s="503"/>
      <c r="B232" s="483" t="s">
        <v>533</v>
      </c>
      <c r="C232" s="629" t="s">
        <v>534</v>
      </c>
      <c r="D232" s="504" t="s">
        <v>132</v>
      </c>
      <c r="E232" s="632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5"/>
      <c r="R232" s="213"/>
      <c r="S232" s="632"/>
      <c r="T232" s="214"/>
      <c r="U232" s="215"/>
      <c r="V232" s="215"/>
      <c r="W232" s="215"/>
      <c r="X232" s="215"/>
      <c r="Y232" s="372"/>
      <c r="Z232" s="647"/>
      <c r="AA232" s="643"/>
      <c r="AB232" s="616">
        <f t="shared" si="0"/>
        <v>0</v>
      </c>
      <c r="AC232" s="633"/>
      <c r="AD232" s="648"/>
      <c r="AE232" s="648"/>
      <c r="AF232" s="7"/>
      <c r="AG232" s="628"/>
      <c r="AH232" s="7"/>
      <c r="AI232" s="618">
        <f t="shared" si="9"/>
        <v>0</v>
      </c>
      <c r="AJ232" s="7"/>
      <c r="AK232" s="7"/>
      <c r="AL232" s="7"/>
      <c r="AM232" s="7"/>
      <c r="AN232" s="7"/>
      <c r="AO232" s="7"/>
    </row>
    <row r="233" spans="1:41" ht="28.5" customHeight="1">
      <c r="A233" s="503"/>
      <c r="B233" s="483" t="s">
        <v>536</v>
      </c>
      <c r="C233" s="629" t="s">
        <v>537</v>
      </c>
      <c r="D233" s="504" t="s">
        <v>194</v>
      </c>
      <c r="E233" s="632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5"/>
      <c r="R233" s="213"/>
      <c r="S233" s="632"/>
      <c r="T233" s="214"/>
      <c r="U233" s="215"/>
      <c r="V233" s="215"/>
      <c r="W233" s="215"/>
      <c r="X233" s="215"/>
      <c r="Y233" s="372"/>
      <c r="Z233" s="647"/>
      <c r="AA233" s="643"/>
      <c r="AB233" s="616">
        <f t="shared" si="0"/>
        <v>0</v>
      </c>
      <c r="AC233" s="633"/>
      <c r="AD233" s="648"/>
      <c r="AE233" s="648"/>
      <c r="AF233" s="7"/>
      <c r="AG233" s="628"/>
      <c r="AH233" s="7"/>
      <c r="AI233" s="618">
        <f t="shared" si="9"/>
        <v>0</v>
      </c>
      <c r="AJ233" s="7"/>
      <c r="AK233" s="7"/>
      <c r="AL233" s="7"/>
      <c r="AM233" s="7"/>
      <c r="AN233" s="7"/>
      <c r="AO233" s="7"/>
    </row>
    <row r="234" spans="1:41" ht="20.25" customHeight="1">
      <c r="A234" s="503"/>
      <c r="B234" s="483" t="s">
        <v>539</v>
      </c>
      <c r="C234" s="629" t="s">
        <v>540</v>
      </c>
      <c r="D234" s="515" t="s">
        <v>183</v>
      </c>
      <c r="E234" s="632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5"/>
      <c r="R234" s="213"/>
      <c r="S234" s="632"/>
      <c r="T234" s="214"/>
      <c r="U234" s="215"/>
      <c r="V234" s="215"/>
      <c r="W234" s="215"/>
      <c r="X234" s="215"/>
      <c r="Y234" s="372"/>
      <c r="Z234" s="662"/>
      <c r="AA234" s="643"/>
      <c r="AB234" s="616">
        <f t="shared" si="0"/>
        <v>0</v>
      </c>
      <c r="AC234" s="633"/>
      <c r="AD234" s="648"/>
      <c r="AE234" s="648"/>
      <c r="AF234" s="7"/>
      <c r="AG234" s="628"/>
      <c r="AH234" s="7"/>
      <c r="AI234" s="618">
        <f t="shared" si="9"/>
        <v>0</v>
      </c>
      <c r="AJ234" s="7"/>
      <c r="AK234" s="7"/>
      <c r="AL234" s="7"/>
      <c r="AM234" s="7"/>
      <c r="AN234" s="7"/>
      <c r="AO234" s="7"/>
    </row>
    <row r="235" spans="1:41" ht="20.25" customHeight="1">
      <c r="A235" s="503"/>
      <c r="B235" s="483" t="s">
        <v>542</v>
      </c>
      <c r="C235" s="629" t="s">
        <v>543</v>
      </c>
      <c r="D235" s="504" t="s">
        <v>132</v>
      </c>
      <c r="E235" s="632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5"/>
      <c r="R235" s="213"/>
      <c r="S235" s="632"/>
      <c r="T235" s="214"/>
      <c r="U235" s="215"/>
      <c r="V235" s="215"/>
      <c r="W235" s="215"/>
      <c r="X235" s="215"/>
      <c r="Y235" s="372"/>
      <c r="Z235" s="647"/>
      <c r="AA235" s="643"/>
      <c r="AB235" s="616">
        <f t="shared" si="0"/>
        <v>0</v>
      </c>
      <c r="AC235" s="633"/>
      <c r="AD235" s="648"/>
      <c r="AE235" s="648"/>
      <c r="AF235" s="7"/>
      <c r="AG235" s="628"/>
      <c r="AH235" s="7"/>
      <c r="AI235" s="618">
        <f t="shared" si="9"/>
        <v>0</v>
      </c>
      <c r="AJ235" s="7"/>
      <c r="AK235" s="7"/>
      <c r="AL235" s="7"/>
      <c r="AM235" s="7"/>
      <c r="AN235" s="7"/>
      <c r="AO235" s="7"/>
    </row>
    <row r="236" spans="1:41" ht="15.75" customHeight="1">
      <c r="A236" s="486"/>
      <c r="B236" s="487" t="s">
        <v>545</v>
      </c>
      <c r="C236" s="635" t="s">
        <v>546</v>
      </c>
      <c r="D236" s="512"/>
      <c r="E236" s="632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5"/>
      <c r="R236" s="213"/>
      <c r="S236" s="632"/>
      <c r="T236" s="214"/>
      <c r="U236" s="215"/>
      <c r="V236" s="215"/>
      <c r="W236" s="215"/>
      <c r="X236" s="215"/>
      <c r="Y236" s="372"/>
      <c r="Z236" s="647"/>
      <c r="AA236" s="643"/>
      <c r="AB236" s="616">
        <f t="shared" si="0"/>
        <v>0</v>
      </c>
      <c r="AC236" s="633"/>
      <c r="AD236" s="636"/>
      <c r="AE236" s="636"/>
      <c r="AF236" s="7"/>
      <c r="AG236" s="628"/>
      <c r="AH236" s="7"/>
      <c r="AI236" s="618">
        <f t="shared" si="9"/>
        <v>0</v>
      </c>
      <c r="AJ236" s="7"/>
      <c r="AK236" s="7"/>
      <c r="AL236" s="7"/>
      <c r="AM236" s="7"/>
      <c r="AN236" s="7"/>
      <c r="AO236" s="7"/>
    </row>
    <row r="237" spans="1:41" ht="20.25" customHeight="1">
      <c r="A237" s="503"/>
      <c r="B237" s="483" t="s">
        <v>548</v>
      </c>
      <c r="C237" s="629" t="s">
        <v>447</v>
      </c>
      <c r="D237" s="504" t="s">
        <v>424</v>
      </c>
      <c r="E237" s="632"/>
      <c r="F237" s="213"/>
      <c r="G237" s="213"/>
      <c r="H237" s="213"/>
      <c r="I237" s="213"/>
      <c r="J237" s="213"/>
      <c r="K237" s="213"/>
      <c r="L237" s="213"/>
      <c r="M237" s="213">
        <f>6+5</f>
        <v>11</v>
      </c>
      <c r="N237" s="213"/>
      <c r="O237" s="213"/>
      <c r="P237" s="213"/>
      <c r="Q237" s="215"/>
      <c r="R237" s="213"/>
      <c r="S237" s="632">
        <v>15.6</v>
      </c>
      <c r="T237" s="214">
        <f>300+45+60+35+30</f>
        <v>470</v>
      </c>
      <c r="U237" s="215">
        <v>140</v>
      </c>
      <c r="V237" s="215"/>
      <c r="W237" s="215">
        <v>183</v>
      </c>
      <c r="X237" s="215">
        <v>40</v>
      </c>
      <c r="Y237" s="372"/>
      <c r="Z237" s="647"/>
      <c r="AA237" s="643"/>
      <c r="AB237" s="616">
        <f t="shared" si="0"/>
        <v>859.6</v>
      </c>
      <c r="AC237" s="633"/>
      <c r="AD237" s="648"/>
      <c r="AE237" s="648"/>
      <c r="AF237" s="7"/>
      <c r="AG237" s="628">
        <f>6559.6+366</f>
        <v>6925.6</v>
      </c>
      <c r="AH237" s="7"/>
      <c r="AI237" s="618">
        <f t="shared" si="9"/>
        <v>6066</v>
      </c>
      <c r="AJ237" s="7"/>
      <c r="AK237" s="7"/>
      <c r="AL237" s="7"/>
      <c r="AM237" s="7"/>
      <c r="AN237" s="7"/>
      <c r="AO237" s="7"/>
    </row>
    <row r="238" spans="1:41" ht="20.25" customHeight="1">
      <c r="A238" s="503"/>
      <c r="B238" s="483" t="s">
        <v>550</v>
      </c>
      <c r="C238" s="629" t="s">
        <v>521</v>
      </c>
      <c r="D238" s="504" t="s">
        <v>424</v>
      </c>
      <c r="E238" s="632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5"/>
      <c r="R238" s="213"/>
      <c r="S238" s="632"/>
      <c r="T238" s="214"/>
      <c r="U238" s="215"/>
      <c r="V238" s="215"/>
      <c r="W238" s="215"/>
      <c r="X238" s="215"/>
      <c r="Y238" s="372"/>
      <c r="Z238" s="647"/>
      <c r="AA238" s="643"/>
      <c r="AB238" s="616">
        <f t="shared" si="0"/>
        <v>0</v>
      </c>
      <c r="AC238" s="633"/>
      <c r="AD238" s="648"/>
      <c r="AE238" s="648"/>
      <c r="AF238" s="7"/>
      <c r="AG238" s="628"/>
      <c r="AH238" s="7"/>
      <c r="AI238" s="618">
        <f t="shared" si="9"/>
        <v>0</v>
      </c>
      <c r="AJ238" s="7"/>
      <c r="AK238" s="7"/>
      <c r="AL238" s="7"/>
      <c r="AM238" s="7"/>
      <c r="AN238" s="7"/>
      <c r="AO238" s="7"/>
    </row>
    <row r="239" spans="1:41" ht="20.25" customHeight="1">
      <c r="A239" s="503"/>
      <c r="B239" s="483" t="s">
        <v>551</v>
      </c>
      <c r="C239" s="629" t="s">
        <v>524</v>
      </c>
      <c r="D239" s="504" t="s">
        <v>2205</v>
      </c>
      <c r="E239" s="632"/>
      <c r="F239" s="213"/>
      <c r="G239" s="213"/>
      <c r="H239" s="213"/>
      <c r="I239" s="213"/>
      <c r="J239" s="213"/>
      <c r="K239" s="213"/>
      <c r="L239" s="213"/>
      <c r="M239" s="213">
        <f>50+7500</f>
        <v>7550</v>
      </c>
      <c r="N239" s="213">
        <v>200</v>
      </c>
      <c r="O239" s="213">
        <f>400+40</f>
        <v>440</v>
      </c>
      <c r="P239" s="213"/>
      <c r="Q239" s="215"/>
      <c r="R239" s="213">
        <v>350</v>
      </c>
      <c r="S239" s="632">
        <v>55</v>
      </c>
      <c r="T239" s="214">
        <f>1575+2000</f>
        <v>3575</v>
      </c>
      <c r="U239" s="215"/>
      <c r="V239" s="215">
        <v>520</v>
      </c>
      <c r="W239" s="215">
        <v>840</v>
      </c>
      <c r="X239" s="215">
        <f>802+402</f>
        <v>1204</v>
      </c>
      <c r="Y239" s="372"/>
      <c r="Z239" s="647"/>
      <c r="AA239" s="643"/>
      <c r="AB239" s="616">
        <f t="shared" si="0"/>
        <v>14734</v>
      </c>
      <c r="AC239" s="633"/>
      <c r="AD239" s="648"/>
      <c r="AE239" s="648"/>
      <c r="AF239" s="7"/>
      <c r="AG239" s="628">
        <v>307305.46999999997</v>
      </c>
      <c r="AH239" s="7"/>
      <c r="AI239" s="618">
        <f t="shared" si="9"/>
        <v>292571.46999999997</v>
      </c>
      <c r="AJ239" s="7"/>
      <c r="AK239" s="7"/>
      <c r="AL239" s="7"/>
      <c r="AM239" s="7"/>
      <c r="AN239" s="7"/>
      <c r="AO239" s="7"/>
    </row>
    <row r="240" spans="1:41" ht="20.25" customHeight="1">
      <c r="A240" s="503"/>
      <c r="B240" s="483" t="s">
        <v>553</v>
      </c>
      <c r="C240" s="629" t="s">
        <v>527</v>
      </c>
      <c r="D240" s="504" t="s">
        <v>2206</v>
      </c>
      <c r="E240" s="632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5"/>
      <c r="R240" s="213"/>
      <c r="S240" s="632"/>
      <c r="T240" s="214"/>
      <c r="U240" s="215"/>
      <c r="V240" s="215"/>
      <c r="W240" s="215"/>
      <c r="X240" s="215"/>
      <c r="Y240" s="372"/>
      <c r="Z240" s="647"/>
      <c r="AA240" s="643"/>
      <c r="AB240" s="616">
        <f t="shared" si="0"/>
        <v>0</v>
      </c>
      <c r="AC240" s="633"/>
      <c r="AD240" s="648"/>
      <c r="AE240" s="648"/>
      <c r="AF240" s="7"/>
      <c r="AG240" s="628"/>
      <c r="AH240" s="7"/>
      <c r="AI240" s="618">
        <f t="shared" si="9"/>
        <v>0</v>
      </c>
      <c r="AJ240" s="7"/>
      <c r="AK240" s="7"/>
      <c r="AL240" s="7"/>
      <c r="AM240" s="7"/>
      <c r="AN240" s="7"/>
      <c r="AO240" s="7"/>
    </row>
    <row r="241" spans="1:41" ht="20.25" customHeight="1">
      <c r="A241" s="503"/>
      <c r="B241" s="483" t="s">
        <v>555</v>
      </c>
      <c r="C241" s="629" t="s">
        <v>531</v>
      </c>
      <c r="D241" s="504" t="s">
        <v>132</v>
      </c>
      <c r="E241" s="632"/>
      <c r="F241" s="213"/>
      <c r="G241" s="213"/>
      <c r="H241" s="213"/>
      <c r="I241" s="213"/>
      <c r="J241" s="213"/>
      <c r="K241" s="213"/>
      <c r="L241" s="213"/>
      <c r="M241" s="213"/>
      <c r="N241" s="213">
        <v>1</v>
      </c>
      <c r="O241" s="213"/>
      <c r="P241" s="213"/>
      <c r="Q241" s="215"/>
      <c r="R241" s="213"/>
      <c r="S241" s="632"/>
      <c r="T241" s="214"/>
      <c r="U241" s="215"/>
      <c r="V241" s="215"/>
      <c r="W241" s="215"/>
      <c r="X241" s="215"/>
      <c r="Y241" s="372"/>
      <c r="Z241" s="647"/>
      <c r="AA241" s="643"/>
      <c r="AB241" s="616">
        <f t="shared" si="0"/>
        <v>1</v>
      </c>
      <c r="AC241" s="633"/>
      <c r="AD241" s="648"/>
      <c r="AE241" s="648"/>
      <c r="AF241" s="7"/>
      <c r="AG241" s="628">
        <v>14</v>
      </c>
      <c r="AH241" s="7"/>
      <c r="AI241" s="618">
        <f t="shared" si="9"/>
        <v>13</v>
      </c>
      <c r="AJ241" s="7"/>
      <c r="AK241" s="7"/>
      <c r="AL241" s="7"/>
      <c r="AM241" s="7"/>
      <c r="AN241" s="7"/>
      <c r="AO241" s="7"/>
    </row>
    <row r="242" spans="1:41" ht="20.25" customHeight="1">
      <c r="A242" s="503"/>
      <c r="B242" s="483" t="s">
        <v>556</v>
      </c>
      <c r="C242" s="629" t="s">
        <v>534</v>
      </c>
      <c r="D242" s="504" t="s">
        <v>132</v>
      </c>
      <c r="E242" s="632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5"/>
      <c r="R242" s="213"/>
      <c r="S242" s="632"/>
      <c r="T242" s="214"/>
      <c r="U242" s="215"/>
      <c r="V242" s="215"/>
      <c r="W242" s="215"/>
      <c r="X242" s="215"/>
      <c r="Y242" s="372"/>
      <c r="Z242" s="647"/>
      <c r="AA242" s="643"/>
      <c r="AB242" s="616">
        <f t="shared" si="0"/>
        <v>0</v>
      </c>
      <c r="AC242" s="633"/>
      <c r="AD242" s="648"/>
      <c r="AE242" s="648"/>
      <c r="AF242" s="7"/>
      <c r="AG242" s="628">
        <v>28</v>
      </c>
      <c r="AH242" s="7"/>
      <c r="AI242" s="618">
        <f t="shared" si="9"/>
        <v>28</v>
      </c>
      <c r="AJ242" s="7"/>
      <c r="AK242" s="7"/>
      <c r="AL242" s="7"/>
      <c r="AM242" s="7"/>
      <c r="AN242" s="7"/>
      <c r="AO242" s="7"/>
    </row>
    <row r="243" spans="1:41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632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5"/>
      <c r="R243" s="213">
        <v>3</v>
      </c>
      <c r="S243" s="632"/>
      <c r="T243" s="214"/>
      <c r="U243" s="215"/>
      <c r="V243" s="215">
        <v>3</v>
      </c>
      <c r="W243" s="215"/>
      <c r="X243" s="215"/>
      <c r="Y243" s="372"/>
      <c r="Z243" s="647"/>
      <c r="AA243" s="643"/>
      <c r="AB243" s="616">
        <f t="shared" si="0"/>
        <v>6</v>
      </c>
      <c r="AC243" s="633"/>
      <c r="AD243" s="648"/>
      <c r="AE243" s="648"/>
      <c r="AF243" s="7"/>
      <c r="AG243" s="628"/>
      <c r="AH243" s="7"/>
      <c r="AI243" s="618"/>
      <c r="AJ243" s="7"/>
      <c r="AK243" s="7"/>
      <c r="AL243" s="7"/>
      <c r="AM243" s="7"/>
      <c r="AN243" s="7"/>
      <c r="AO243" s="7"/>
    </row>
    <row r="244" spans="1:41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632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5"/>
      <c r="R244" s="213"/>
      <c r="S244" s="632"/>
      <c r="T244" s="214"/>
      <c r="U244" s="215"/>
      <c r="V244" s="215"/>
      <c r="W244" s="215"/>
      <c r="X244" s="215"/>
      <c r="Y244" s="372"/>
      <c r="Z244" s="662"/>
      <c r="AA244" s="643"/>
      <c r="AB244" s="616">
        <f t="shared" si="0"/>
        <v>0</v>
      </c>
      <c r="AC244" s="633"/>
      <c r="AD244" s="648"/>
      <c r="AE244" s="648"/>
      <c r="AF244" s="7"/>
      <c r="AG244" s="628"/>
      <c r="AH244" s="7"/>
      <c r="AI244" s="618">
        <f t="shared" ref="AI244:AI283" si="10">AG244-AB244</f>
        <v>0</v>
      </c>
      <c r="AJ244" s="7"/>
      <c r="AK244" s="7"/>
      <c r="AL244" s="7"/>
      <c r="AM244" s="7"/>
      <c r="AN244" s="7"/>
      <c r="AO244" s="7"/>
    </row>
    <row r="245" spans="1:41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632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5"/>
      <c r="R245" s="213"/>
      <c r="S245" s="632"/>
      <c r="T245" s="214"/>
      <c r="U245" s="215"/>
      <c r="V245" s="215"/>
      <c r="W245" s="215"/>
      <c r="X245" s="215"/>
      <c r="Y245" s="372"/>
      <c r="Z245" s="647"/>
      <c r="AA245" s="643"/>
      <c r="AB245" s="616">
        <f t="shared" si="0"/>
        <v>0</v>
      </c>
      <c r="AC245" s="633"/>
      <c r="AD245" s="648"/>
      <c r="AE245" s="648"/>
      <c r="AF245" s="7"/>
      <c r="AG245" s="628">
        <v>3</v>
      </c>
      <c r="AH245" s="7"/>
      <c r="AI245" s="618">
        <f t="shared" si="10"/>
        <v>3</v>
      </c>
      <c r="AJ245" s="7"/>
      <c r="AK245" s="7"/>
      <c r="AL245" s="7"/>
      <c r="AM245" s="7"/>
      <c r="AN245" s="7"/>
      <c r="AO245" s="7"/>
    </row>
    <row r="246" spans="1:41" ht="19.5" customHeight="1">
      <c r="A246" s="486">
        <v>9.3000000000000007</v>
      </c>
      <c r="B246" s="487" t="s">
        <v>560</v>
      </c>
      <c r="C246" s="635" t="s">
        <v>561</v>
      </c>
      <c r="D246" s="412"/>
      <c r="E246" s="632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5"/>
      <c r="R246" s="213"/>
      <c r="S246" s="632"/>
      <c r="T246" s="214"/>
      <c r="U246" s="215"/>
      <c r="V246" s="215"/>
      <c r="W246" s="215"/>
      <c r="X246" s="215"/>
      <c r="Y246" s="372"/>
      <c r="Z246" s="620"/>
      <c r="AA246" s="643"/>
      <c r="AB246" s="616">
        <f t="shared" si="0"/>
        <v>0</v>
      </c>
      <c r="AC246" s="633"/>
      <c r="AD246" s="636"/>
      <c r="AE246" s="636"/>
      <c r="AF246" s="7"/>
      <c r="AG246" s="628"/>
      <c r="AH246" s="7"/>
      <c r="AI246" s="618">
        <f t="shared" si="10"/>
        <v>0</v>
      </c>
      <c r="AJ246" s="7"/>
      <c r="AK246" s="7"/>
      <c r="AL246" s="7"/>
      <c r="AM246" s="7"/>
      <c r="AN246" s="7"/>
      <c r="AO246" s="7"/>
    </row>
    <row r="247" spans="1:41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632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5"/>
      <c r="R247" s="213"/>
      <c r="S247" s="632"/>
      <c r="T247" s="214"/>
      <c r="U247" s="215"/>
      <c r="V247" s="215"/>
      <c r="W247" s="215"/>
      <c r="X247" s="215"/>
      <c r="Y247" s="372"/>
      <c r="Z247" s="620"/>
      <c r="AA247" s="643"/>
      <c r="AB247" s="616">
        <f t="shared" si="0"/>
        <v>0</v>
      </c>
      <c r="AC247" s="633"/>
      <c r="AD247" s="636"/>
      <c r="AE247" s="636"/>
      <c r="AF247" s="7"/>
      <c r="AG247" s="628"/>
      <c r="AH247" s="7"/>
      <c r="AI247" s="618">
        <f t="shared" si="10"/>
        <v>0</v>
      </c>
      <c r="AJ247" s="7"/>
      <c r="AK247" s="7"/>
      <c r="AL247" s="7"/>
      <c r="AM247" s="7"/>
      <c r="AN247" s="7"/>
      <c r="AO247" s="7"/>
    </row>
    <row r="248" spans="1:41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632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5"/>
      <c r="R248" s="213"/>
      <c r="S248" s="632"/>
      <c r="T248" s="214"/>
      <c r="U248" s="215"/>
      <c r="V248" s="215"/>
      <c r="W248" s="215"/>
      <c r="X248" s="215"/>
      <c r="Y248" s="372"/>
      <c r="Z248" s="620"/>
      <c r="AA248" s="643"/>
      <c r="AB248" s="616">
        <f t="shared" si="0"/>
        <v>0</v>
      </c>
      <c r="AC248" s="633"/>
      <c r="AD248" s="636"/>
      <c r="AE248" s="636"/>
      <c r="AF248" s="7"/>
      <c r="AG248" s="628"/>
      <c r="AH248" s="7"/>
      <c r="AI248" s="618">
        <f t="shared" si="10"/>
        <v>0</v>
      </c>
      <c r="AJ248" s="7"/>
      <c r="AK248" s="7"/>
      <c r="AL248" s="7"/>
      <c r="AM248" s="7"/>
      <c r="AN248" s="7"/>
      <c r="AO248" s="7"/>
    </row>
    <row r="249" spans="1:41" ht="20.25" customHeight="1">
      <c r="A249" s="503" t="s">
        <v>1020</v>
      </c>
      <c r="B249" s="483" t="s">
        <v>566</v>
      </c>
      <c r="C249" s="629" t="s">
        <v>567</v>
      </c>
      <c r="D249" s="485" t="s">
        <v>2207</v>
      </c>
      <c r="E249" s="632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5"/>
      <c r="R249" s="213"/>
      <c r="S249" s="632"/>
      <c r="T249" s="214"/>
      <c r="U249" s="215"/>
      <c r="V249" s="215"/>
      <c r="W249" s="215"/>
      <c r="X249" s="215"/>
      <c r="Y249" s="372"/>
      <c r="Z249" s="620"/>
      <c r="AA249" s="643"/>
      <c r="AB249" s="616">
        <f t="shared" si="0"/>
        <v>0</v>
      </c>
      <c r="AC249" s="633"/>
      <c r="AD249" s="636"/>
      <c r="AE249" s="636"/>
      <c r="AF249" s="7"/>
      <c r="AG249" s="628"/>
      <c r="AH249" s="7"/>
      <c r="AI249" s="618">
        <f t="shared" si="10"/>
        <v>0</v>
      </c>
      <c r="AJ249" s="7"/>
      <c r="AK249" s="7"/>
      <c r="AL249" s="7"/>
      <c r="AM249" s="7"/>
      <c r="AN249" s="7"/>
      <c r="AO249" s="7"/>
    </row>
    <row r="250" spans="1:41" ht="20.25" customHeight="1">
      <c r="A250" s="503" t="s">
        <v>1022</v>
      </c>
      <c r="B250" s="483" t="s">
        <v>569</v>
      </c>
      <c r="C250" s="629" t="s">
        <v>570</v>
      </c>
      <c r="D250" s="485" t="s">
        <v>2208</v>
      </c>
      <c r="E250" s="632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5"/>
      <c r="R250" s="213"/>
      <c r="S250" s="632"/>
      <c r="T250" s="214"/>
      <c r="U250" s="215"/>
      <c r="V250" s="215"/>
      <c r="W250" s="215"/>
      <c r="X250" s="215"/>
      <c r="Y250" s="372"/>
      <c r="Z250" s="620"/>
      <c r="AA250" s="643"/>
      <c r="AB250" s="616">
        <f t="shared" si="0"/>
        <v>0</v>
      </c>
      <c r="AC250" s="633"/>
      <c r="AD250" s="636"/>
      <c r="AE250" s="636"/>
      <c r="AF250" s="7"/>
      <c r="AG250" s="628"/>
      <c r="AH250" s="7"/>
      <c r="AI250" s="618">
        <f t="shared" si="10"/>
        <v>0</v>
      </c>
      <c r="AJ250" s="7"/>
      <c r="AK250" s="7"/>
      <c r="AL250" s="7"/>
      <c r="AM250" s="7"/>
      <c r="AN250" s="7"/>
      <c r="AO250" s="7"/>
    </row>
    <row r="251" spans="1:41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632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5"/>
      <c r="R251" s="213"/>
      <c r="S251" s="632"/>
      <c r="T251" s="214"/>
      <c r="U251" s="215"/>
      <c r="V251" s="215"/>
      <c r="W251" s="215"/>
      <c r="X251" s="215"/>
      <c r="Y251" s="372"/>
      <c r="Z251" s="647"/>
      <c r="AA251" s="643"/>
      <c r="AB251" s="616">
        <f t="shared" si="0"/>
        <v>0</v>
      </c>
      <c r="AC251" s="633"/>
      <c r="AD251" s="636"/>
      <c r="AE251" s="636"/>
      <c r="AF251" s="7"/>
      <c r="AG251" s="628"/>
      <c r="AH251" s="7"/>
      <c r="AI251" s="618">
        <f t="shared" si="10"/>
        <v>0</v>
      </c>
      <c r="AJ251" s="7"/>
      <c r="AK251" s="7"/>
      <c r="AL251" s="7"/>
      <c r="AM251" s="7"/>
      <c r="AN251" s="7"/>
      <c r="AO251" s="7"/>
    </row>
    <row r="252" spans="1:41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632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5"/>
      <c r="R252" s="213"/>
      <c r="S252" s="632"/>
      <c r="T252" s="214"/>
      <c r="U252" s="215"/>
      <c r="V252" s="215"/>
      <c r="W252" s="215"/>
      <c r="X252" s="215"/>
      <c r="Y252" s="372"/>
      <c r="Z252" s="647"/>
      <c r="AA252" s="643"/>
      <c r="AB252" s="616">
        <f t="shared" si="0"/>
        <v>0</v>
      </c>
      <c r="AC252" s="633"/>
      <c r="AD252" s="636"/>
      <c r="AE252" s="636"/>
      <c r="AF252" s="7"/>
      <c r="AG252" s="628"/>
      <c r="AH252" s="7"/>
      <c r="AI252" s="618">
        <f t="shared" si="10"/>
        <v>0</v>
      </c>
      <c r="AJ252" s="7"/>
      <c r="AK252" s="7"/>
      <c r="AL252" s="7"/>
      <c r="AM252" s="7"/>
      <c r="AN252" s="7"/>
      <c r="AO252" s="7"/>
    </row>
    <row r="253" spans="1:41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632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5"/>
      <c r="R253" s="213"/>
      <c r="S253" s="632"/>
      <c r="T253" s="214"/>
      <c r="U253" s="215"/>
      <c r="V253" s="215"/>
      <c r="W253" s="215"/>
      <c r="X253" s="215"/>
      <c r="Y253" s="372"/>
      <c r="Z253" s="662"/>
      <c r="AA253" s="643"/>
      <c r="AB253" s="616">
        <f t="shared" si="0"/>
        <v>0</v>
      </c>
      <c r="AC253" s="633"/>
      <c r="AD253" s="636"/>
      <c r="AE253" s="636"/>
      <c r="AF253" s="7"/>
      <c r="AG253" s="628"/>
      <c r="AH253" s="7"/>
      <c r="AI253" s="618">
        <f t="shared" si="10"/>
        <v>0</v>
      </c>
      <c r="AJ253" s="7"/>
      <c r="AK253" s="7"/>
      <c r="AL253" s="7"/>
      <c r="AM253" s="7"/>
      <c r="AN253" s="7"/>
      <c r="AO253" s="7"/>
    </row>
    <row r="254" spans="1:41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632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5"/>
      <c r="R254" s="213"/>
      <c r="S254" s="632"/>
      <c r="T254" s="214"/>
      <c r="U254" s="215"/>
      <c r="V254" s="215"/>
      <c r="W254" s="215"/>
      <c r="X254" s="215"/>
      <c r="Y254" s="372"/>
      <c r="Z254" s="620"/>
      <c r="AA254" s="643"/>
      <c r="AB254" s="616">
        <f t="shared" si="0"/>
        <v>0</v>
      </c>
      <c r="AC254" s="633"/>
      <c r="AD254" s="636"/>
      <c r="AE254" s="636"/>
      <c r="AF254" s="7"/>
      <c r="AG254" s="628"/>
      <c r="AH254" s="7"/>
      <c r="AI254" s="618">
        <f t="shared" si="10"/>
        <v>0</v>
      </c>
      <c r="AJ254" s="7"/>
      <c r="AK254" s="7"/>
      <c r="AL254" s="7"/>
      <c r="AM254" s="7"/>
      <c r="AN254" s="7"/>
      <c r="AO254" s="7"/>
    </row>
    <row r="255" spans="1:41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632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5"/>
      <c r="R255" s="213"/>
      <c r="S255" s="632"/>
      <c r="T255" s="214"/>
      <c r="U255" s="215"/>
      <c r="V255" s="215"/>
      <c r="W255" s="215"/>
      <c r="X255" s="215"/>
      <c r="Y255" s="372"/>
      <c r="Z255" s="647"/>
      <c r="AA255" s="643"/>
      <c r="AB255" s="616">
        <f t="shared" si="0"/>
        <v>0</v>
      </c>
      <c r="AC255" s="633"/>
      <c r="AD255" s="636"/>
      <c r="AE255" s="636"/>
      <c r="AF255" s="7"/>
      <c r="AG255" s="628"/>
      <c r="AH255" s="7"/>
      <c r="AI255" s="618">
        <f t="shared" si="10"/>
        <v>0</v>
      </c>
      <c r="AJ255" s="7"/>
      <c r="AK255" s="7"/>
      <c r="AL255" s="7"/>
      <c r="AM255" s="7"/>
      <c r="AN255" s="7"/>
      <c r="AO255" s="7"/>
    </row>
    <row r="256" spans="1:41" ht="20.25" customHeight="1">
      <c r="A256" s="486">
        <v>9.4</v>
      </c>
      <c r="B256" s="487" t="s">
        <v>581</v>
      </c>
      <c r="C256" s="635" t="s">
        <v>582</v>
      </c>
      <c r="D256" s="512"/>
      <c r="E256" s="632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5"/>
      <c r="R256" s="213"/>
      <c r="S256" s="632"/>
      <c r="T256" s="214"/>
      <c r="U256" s="215"/>
      <c r="V256" s="215"/>
      <c r="W256" s="215"/>
      <c r="X256" s="215"/>
      <c r="Y256" s="372"/>
      <c r="Z256" s="647"/>
      <c r="AA256" s="643"/>
      <c r="AB256" s="616">
        <f t="shared" si="0"/>
        <v>0</v>
      </c>
      <c r="AC256" s="633"/>
      <c r="AD256" s="636"/>
      <c r="AE256" s="636"/>
      <c r="AF256" s="7"/>
      <c r="AG256" s="628"/>
      <c r="AH256" s="7"/>
      <c r="AI256" s="618">
        <f t="shared" si="10"/>
        <v>0</v>
      </c>
      <c r="AJ256" s="7"/>
      <c r="AK256" s="7"/>
      <c r="AL256" s="7"/>
      <c r="AM256" s="7"/>
      <c r="AN256" s="7"/>
      <c r="AO256" s="7"/>
    </row>
    <row r="257" spans="1:41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632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5"/>
      <c r="R257" s="213"/>
      <c r="S257" s="632"/>
      <c r="T257" s="214"/>
      <c r="U257" s="215"/>
      <c r="V257" s="215"/>
      <c r="W257" s="215"/>
      <c r="X257" s="215"/>
      <c r="Y257" s="372"/>
      <c r="Z257" s="647"/>
      <c r="AA257" s="643"/>
      <c r="AB257" s="616">
        <f t="shared" si="0"/>
        <v>0</v>
      </c>
      <c r="AC257" s="633"/>
      <c r="AD257" s="648"/>
      <c r="AE257" s="648"/>
      <c r="AF257" s="7"/>
      <c r="AG257" s="628"/>
      <c r="AH257" s="7"/>
      <c r="AI257" s="618">
        <f t="shared" si="10"/>
        <v>0</v>
      </c>
      <c r="AJ257" s="7"/>
      <c r="AK257" s="7"/>
      <c r="AL257" s="7"/>
      <c r="AM257" s="7"/>
      <c r="AN257" s="7"/>
      <c r="AO257" s="7"/>
    </row>
    <row r="258" spans="1:41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632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5"/>
      <c r="R258" s="213"/>
      <c r="S258" s="632"/>
      <c r="T258" s="214"/>
      <c r="U258" s="215"/>
      <c r="V258" s="215"/>
      <c r="W258" s="215"/>
      <c r="X258" s="215"/>
      <c r="Y258" s="372"/>
      <c r="Z258" s="647"/>
      <c r="AA258" s="643"/>
      <c r="AB258" s="616">
        <f t="shared" si="0"/>
        <v>0</v>
      </c>
      <c r="AC258" s="633"/>
      <c r="AD258" s="648"/>
      <c r="AE258" s="648"/>
      <c r="AF258" s="7"/>
      <c r="AG258" s="628"/>
      <c r="AH258" s="7"/>
      <c r="AI258" s="618">
        <f t="shared" si="10"/>
        <v>0</v>
      </c>
      <c r="AJ258" s="7"/>
      <c r="AK258" s="7"/>
      <c r="AL258" s="7"/>
      <c r="AM258" s="7"/>
      <c r="AN258" s="7"/>
      <c r="AO258" s="7"/>
    </row>
    <row r="259" spans="1:41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632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5"/>
      <c r="R259" s="213"/>
      <c r="S259" s="632"/>
      <c r="T259" s="214"/>
      <c r="U259" s="215"/>
      <c r="V259" s="215"/>
      <c r="W259" s="215"/>
      <c r="X259" s="215"/>
      <c r="Y259" s="372"/>
      <c r="Z259" s="662"/>
      <c r="AA259" s="643"/>
      <c r="AB259" s="616">
        <f t="shared" si="0"/>
        <v>0</v>
      </c>
      <c r="AC259" s="633"/>
      <c r="AD259" s="648"/>
      <c r="AE259" s="648"/>
      <c r="AF259" s="7"/>
      <c r="AG259" s="628"/>
      <c r="AH259" s="7"/>
      <c r="AI259" s="618">
        <f t="shared" si="10"/>
        <v>0</v>
      </c>
      <c r="AJ259" s="7"/>
      <c r="AK259" s="7"/>
      <c r="AL259" s="7"/>
      <c r="AM259" s="7"/>
      <c r="AN259" s="7"/>
      <c r="AO259" s="7"/>
    </row>
    <row r="260" spans="1:41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632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5"/>
      <c r="R260" s="213"/>
      <c r="S260" s="632"/>
      <c r="T260" s="214"/>
      <c r="U260" s="215"/>
      <c r="V260" s="215"/>
      <c r="W260" s="215"/>
      <c r="X260" s="215"/>
      <c r="Y260" s="372"/>
      <c r="Z260" s="647"/>
      <c r="AA260" s="643"/>
      <c r="AB260" s="616">
        <f t="shared" si="0"/>
        <v>0</v>
      </c>
      <c r="AC260" s="633"/>
      <c r="AD260" s="648"/>
      <c r="AE260" s="648"/>
      <c r="AF260" s="7"/>
      <c r="AG260" s="628"/>
      <c r="AH260" s="7"/>
      <c r="AI260" s="618">
        <f t="shared" si="10"/>
        <v>0</v>
      </c>
      <c r="AJ260" s="7"/>
      <c r="AK260" s="7"/>
      <c r="AL260" s="7"/>
      <c r="AM260" s="7"/>
      <c r="AN260" s="7"/>
      <c r="AO260" s="7"/>
    </row>
    <row r="261" spans="1:41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632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5"/>
      <c r="R261" s="213"/>
      <c r="S261" s="632"/>
      <c r="T261" s="214"/>
      <c r="U261" s="215"/>
      <c r="V261" s="215"/>
      <c r="W261" s="215"/>
      <c r="X261" s="215"/>
      <c r="Y261" s="372"/>
      <c r="Z261" s="647"/>
      <c r="AA261" s="643"/>
      <c r="AB261" s="616">
        <f t="shared" si="0"/>
        <v>0</v>
      </c>
      <c r="AC261" s="633"/>
      <c r="AD261" s="648"/>
      <c r="AE261" s="648"/>
      <c r="AF261" s="7"/>
      <c r="AG261" s="628"/>
      <c r="AH261" s="7"/>
      <c r="AI261" s="618">
        <f t="shared" si="10"/>
        <v>0</v>
      </c>
      <c r="AJ261" s="7"/>
      <c r="AK261" s="7"/>
      <c r="AL261" s="7"/>
      <c r="AM261" s="7"/>
      <c r="AN261" s="7"/>
      <c r="AO261" s="7"/>
    </row>
    <row r="262" spans="1:41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632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5"/>
      <c r="R262" s="213"/>
      <c r="S262" s="632"/>
      <c r="T262" s="214"/>
      <c r="U262" s="215"/>
      <c r="V262" s="215"/>
      <c r="W262" s="215"/>
      <c r="X262" s="215"/>
      <c r="Y262" s="372"/>
      <c r="Z262" s="647"/>
      <c r="AA262" s="643"/>
      <c r="AB262" s="616">
        <f t="shared" si="0"/>
        <v>0</v>
      </c>
      <c r="AC262" s="633"/>
      <c r="AD262" s="648"/>
      <c r="AE262" s="648"/>
      <c r="AF262" s="7"/>
      <c r="AG262" s="628"/>
      <c r="AH262" s="7"/>
      <c r="AI262" s="618">
        <f t="shared" si="10"/>
        <v>0</v>
      </c>
      <c r="AJ262" s="7"/>
      <c r="AK262" s="7"/>
      <c r="AL262" s="7"/>
      <c r="AM262" s="7"/>
      <c r="AN262" s="7"/>
      <c r="AO262" s="7"/>
    </row>
    <row r="263" spans="1:41" ht="20.25" customHeight="1">
      <c r="A263" s="486">
        <v>9.5</v>
      </c>
      <c r="B263" s="487" t="s">
        <v>596</v>
      </c>
      <c r="C263" s="635" t="s">
        <v>597</v>
      </c>
      <c r="D263" s="504"/>
      <c r="E263" s="632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5"/>
      <c r="R263" s="213"/>
      <c r="S263" s="632"/>
      <c r="T263" s="214"/>
      <c r="U263" s="215"/>
      <c r="V263" s="215"/>
      <c r="W263" s="215"/>
      <c r="X263" s="215"/>
      <c r="Y263" s="372"/>
      <c r="Z263" s="647"/>
      <c r="AA263" s="643"/>
      <c r="AB263" s="616">
        <f t="shared" si="0"/>
        <v>0</v>
      </c>
      <c r="AC263" s="633"/>
      <c r="AD263" s="636"/>
      <c r="AE263" s="636"/>
      <c r="AF263" s="7"/>
      <c r="AG263" s="628"/>
      <c r="AH263" s="7"/>
      <c r="AI263" s="618">
        <f t="shared" si="10"/>
        <v>0</v>
      </c>
      <c r="AJ263" s="7"/>
      <c r="AK263" s="7"/>
      <c r="AL263" s="7"/>
      <c r="AM263" s="7"/>
      <c r="AN263" s="7"/>
      <c r="AO263" s="7"/>
    </row>
    <row r="264" spans="1:41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632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5"/>
      <c r="R264" s="213"/>
      <c r="S264" s="632"/>
      <c r="T264" s="214"/>
      <c r="U264" s="215"/>
      <c r="V264" s="215"/>
      <c r="W264" s="215"/>
      <c r="X264" s="215"/>
      <c r="Y264" s="372"/>
      <c r="Z264" s="647"/>
      <c r="AA264" s="643"/>
      <c r="AB264" s="616">
        <f t="shared" si="0"/>
        <v>0</v>
      </c>
      <c r="AC264" s="633"/>
      <c r="AD264" s="648"/>
      <c r="AE264" s="648"/>
      <c r="AF264" s="7"/>
      <c r="AG264" s="628"/>
      <c r="AH264" s="7"/>
      <c r="AI264" s="618">
        <f t="shared" si="10"/>
        <v>0</v>
      </c>
      <c r="AJ264" s="7"/>
      <c r="AK264" s="7"/>
      <c r="AL264" s="7"/>
      <c r="AM264" s="7"/>
      <c r="AN264" s="7"/>
      <c r="AO264" s="7"/>
    </row>
    <row r="265" spans="1:41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632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5"/>
      <c r="R265" s="213"/>
      <c r="S265" s="632"/>
      <c r="T265" s="214"/>
      <c r="U265" s="215"/>
      <c r="V265" s="215"/>
      <c r="W265" s="215"/>
      <c r="X265" s="215"/>
      <c r="Y265" s="372"/>
      <c r="Z265" s="662"/>
      <c r="AA265" s="643"/>
      <c r="AB265" s="616">
        <f t="shared" si="0"/>
        <v>0</v>
      </c>
      <c r="AC265" s="633"/>
      <c r="AD265" s="648"/>
      <c r="AE265" s="648"/>
      <c r="AF265" s="7"/>
      <c r="AG265" s="628"/>
      <c r="AH265" s="7"/>
      <c r="AI265" s="618">
        <f t="shared" si="10"/>
        <v>0</v>
      </c>
      <c r="AJ265" s="7"/>
      <c r="AK265" s="7"/>
      <c r="AL265" s="7"/>
      <c r="AM265" s="7"/>
      <c r="AN265" s="7"/>
      <c r="AO265" s="7"/>
    </row>
    <row r="266" spans="1:41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632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5"/>
      <c r="R266" s="213"/>
      <c r="S266" s="632"/>
      <c r="T266" s="214"/>
      <c r="U266" s="215"/>
      <c r="V266" s="215"/>
      <c r="W266" s="215"/>
      <c r="X266" s="215"/>
      <c r="Y266" s="372"/>
      <c r="Z266" s="647"/>
      <c r="AA266" s="643"/>
      <c r="AB266" s="616">
        <f t="shared" si="0"/>
        <v>0</v>
      </c>
      <c r="AC266" s="633"/>
      <c r="AD266" s="648"/>
      <c r="AE266" s="648"/>
      <c r="AF266" s="7"/>
      <c r="AG266" s="628"/>
      <c r="AH266" s="7"/>
      <c r="AI266" s="618">
        <f t="shared" si="10"/>
        <v>0</v>
      </c>
      <c r="AJ266" s="7"/>
      <c r="AK266" s="7"/>
      <c r="AL266" s="7"/>
      <c r="AM266" s="7"/>
      <c r="AN266" s="7"/>
      <c r="AO266" s="7"/>
    </row>
    <row r="267" spans="1:41" ht="20.25" customHeight="1">
      <c r="A267" s="503" t="s">
        <v>605</v>
      </c>
      <c r="B267" s="483" t="s">
        <v>606</v>
      </c>
      <c r="C267" s="629" t="s">
        <v>593</v>
      </c>
      <c r="D267" s="485" t="s">
        <v>2209</v>
      </c>
      <c r="E267" s="632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5"/>
      <c r="R267" s="213"/>
      <c r="S267" s="632"/>
      <c r="T267" s="214"/>
      <c r="U267" s="215"/>
      <c r="V267" s="215"/>
      <c r="W267" s="215"/>
      <c r="X267" s="215"/>
      <c r="Y267" s="372"/>
      <c r="Z267" s="620"/>
      <c r="AA267" s="643"/>
      <c r="AB267" s="616">
        <f t="shared" si="0"/>
        <v>0</v>
      </c>
      <c r="AC267" s="633"/>
      <c r="AD267" s="648"/>
      <c r="AE267" s="648"/>
      <c r="AF267" s="7"/>
      <c r="AG267" s="628"/>
      <c r="AH267" s="7"/>
      <c r="AI267" s="618">
        <f t="shared" si="10"/>
        <v>0</v>
      </c>
      <c r="AJ267" s="7"/>
      <c r="AK267" s="7"/>
      <c r="AL267" s="7"/>
      <c r="AM267" s="7"/>
      <c r="AN267" s="7"/>
      <c r="AO267" s="7"/>
    </row>
    <row r="268" spans="1:41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632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5"/>
      <c r="R268" s="213"/>
      <c r="S268" s="632"/>
      <c r="T268" s="214"/>
      <c r="U268" s="215"/>
      <c r="V268" s="215"/>
      <c r="W268" s="215"/>
      <c r="X268" s="215"/>
      <c r="Y268" s="372"/>
      <c r="Z268" s="647"/>
      <c r="AA268" s="643"/>
      <c r="AB268" s="616">
        <f t="shared" si="0"/>
        <v>0</v>
      </c>
      <c r="AC268" s="633"/>
      <c r="AD268" s="648"/>
      <c r="AE268" s="648"/>
      <c r="AF268" s="7"/>
      <c r="AG268" s="628"/>
      <c r="AH268" s="7"/>
      <c r="AI268" s="618">
        <f t="shared" si="10"/>
        <v>0</v>
      </c>
      <c r="AJ268" s="7"/>
      <c r="AK268" s="7"/>
      <c r="AL268" s="7"/>
      <c r="AM268" s="7"/>
      <c r="AN268" s="7"/>
      <c r="AO268" s="7"/>
    </row>
    <row r="269" spans="1:41" ht="20.25" customHeight="1">
      <c r="A269" s="486">
        <v>9.6</v>
      </c>
      <c r="B269" s="487" t="s">
        <v>610</v>
      </c>
      <c r="C269" s="635" t="s">
        <v>611</v>
      </c>
      <c r="D269" s="504"/>
      <c r="E269" s="632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5"/>
      <c r="R269" s="213"/>
      <c r="S269" s="632"/>
      <c r="T269" s="214"/>
      <c r="U269" s="215"/>
      <c r="V269" s="215"/>
      <c r="W269" s="215"/>
      <c r="X269" s="215"/>
      <c r="Y269" s="372"/>
      <c r="Z269" s="647"/>
      <c r="AA269" s="643"/>
      <c r="AB269" s="616">
        <f t="shared" si="0"/>
        <v>0</v>
      </c>
      <c r="AC269" s="633"/>
      <c r="AD269" s="636"/>
      <c r="AE269" s="636"/>
      <c r="AF269" s="7"/>
      <c r="AG269" s="628"/>
      <c r="AH269" s="7"/>
      <c r="AI269" s="618">
        <f t="shared" si="10"/>
        <v>0</v>
      </c>
      <c r="AJ269" s="7"/>
      <c r="AK269" s="7"/>
      <c r="AL269" s="7"/>
      <c r="AM269" s="7"/>
      <c r="AN269" s="7"/>
      <c r="AO269" s="7"/>
    </row>
    <row r="270" spans="1:41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632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5"/>
      <c r="R270" s="213"/>
      <c r="S270" s="632"/>
      <c r="T270" s="214"/>
      <c r="U270" s="215"/>
      <c r="V270" s="215"/>
      <c r="W270" s="215"/>
      <c r="X270" s="215"/>
      <c r="Y270" s="372"/>
      <c r="Z270" s="647"/>
      <c r="AA270" s="643"/>
      <c r="AB270" s="616">
        <f t="shared" si="0"/>
        <v>0</v>
      </c>
      <c r="AC270" s="633"/>
      <c r="AD270" s="648"/>
      <c r="AE270" s="648"/>
      <c r="AF270" s="7"/>
      <c r="AG270" s="628"/>
      <c r="AH270" s="7"/>
      <c r="AI270" s="618">
        <f t="shared" si="10"/>
        <v>0</v>
      </c>
      <c r="AJ270" s="7"/>
      <c r="AK270" s="7"/>
      <c r="AL270" s="7"/>
      <c r="AM270" s="7"/>
      <c r="AN270" s="7"/>
      <c r="AO270" s="7"/>
    </row>
    <row r="271" spans="1:41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632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5"/>
      <c r="R271" s="213"/>
      <c r="S271" s="632"/>
      <c r="T271" s="214"/>
      <c r="U271" s="215"/>
      <c r="V271" s="215"/>
      <c r="W271" s="215"/>
      <c r="X271" s="215"/>
      <c r="Y271" s="372"/>
      <c r="Z271" s="647"/>
      <c r="AA271" s="643"/>
      <c r="AB271" s="616">
        <f t="shared" si="0"/>
        <v>0</v>
      </c>
      <c r="AC271" s="633"/>
      <c r="AD271" s="648"/>
      <c r="AE271" s="648"/>
      <c r="AF271" s="7"/>
      <c r="AG271" s="628"/>
      <c r="AH271" s="7"/>
      <c r="AI271" s="618">
        <f t="shared" si="10"/>
        <v>0</v>
      </c>
      <c r="AJ271" s="7"/>
      <c r="AK271" s="7"/>
      <c r="AL271" s="7"/>
      <c r="AM271" s="7"/>
      <c r="AN271" s="7"/>
      <c r="AO271" s="7"/>
    </row>
    <row r="272" spans="1:41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632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5"/>
      <c r="R272" s="213"/>
      <c r="S272" s="632"/>
      <c r="T272" s="214"/>
      <c r="U272" s="215"/>
      <c r="V272" s="215"/>
      <c r="W272" s="215"/>
      <c r="X272" s="215"/>
      <c r="Y272" s="372"/>
      <c r="Z272" s="662"/>
      <c r="AA272" s="643"/>
      <c r="AB272" s="616">
        <f t="shared" si="0"/>
        <v>0</v>
      </c>
      <c r="AC272" s="633"/>
      <c r="AD272" s="648"/>
      <c r="AE272" s="648"/>
      <c r="AF272" s="7"/>
      <c r="AG272" s="628"/>
      <c r="AH272" s="7"/>
      <c r="AI272" s="618">
        <f t="shared" si="10"/>
        <v>0</v>
      </c>
      <c r="AJ272" s="7"/>
      <c r="AK272" s="7"/>
      <c r="AL272" s="7"/>
      <c r="AM272" s="7"/>
      <c r="AN272" s="7"/>
      <c r="AO272" s="7"/>
    </row>
    <row r="273" spans="1:41" ht="20.25" customHeight="1">
      <c r="A273" s="503" t="s">
        <v>620</v>
      </c>
      <c r="B273" s="483" t="s">
        <v>621</v>
      </c>
      <c r="C273" s="629" t="s">
        <v>622</v>
      </c>
      <c r="D273" s="485" t="s">
        <v>2210</v>
      </c>
      <c r="E273" s="632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5"/>
      <c r="R273" s="213"/>
      <c r="S273" s="632"/>
      <c r="T273" s="214"/>
      <c r="U273" s="215"/>
      <c r="V273" s="215"/>
      <c r="W273" s="215"/>
      <c r="X273" s="215"/>
      <c r="Y273" s="372"/>
      <c r="Z273" s="620"/>
      <c r="AA273" s="643"/>
      <c r="AB273" s="616">
        <f t="shared" si="0"/>
        <v>0</v>
      </c>
      <c r="AC273" s="633"/>
      <c r="AD273" s="648"/>
      <c r="AE273" s="648"/>
      <c r="AF273" s="7"/>
      <c r="AG273" s="628"/>
      <c r="AH273" s="7"/>
      <c r="AI273" s="618">
        <f t="shared" si="10"/>
        <v>0</v>
      </c>
      <c r="AJ273" s="7"/>
      <c r="AK273" s="7"/>
      <c r="AL273" s="7"/>
      <c r="AM273" s="7"/>
      <c r="AN273" s="7"/>
      <c r="AO273" s="7"/>
    </row>
    <row r="274" spans="1:41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632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5"/>
      <c r="R274" s="213"/>
      <c r="S274" s="632"/>
      <c r="T274" s="214"/>
      <c r="U274" s="215"/>
      <c r="V274" s="215"/>
      <c r="W274" s="215"/>
      <c r="X274" s="215"/>
      <c r="Y274" s="372"/>
      <c r="Z274" s="647"/>
      <c r="AA274" s="643"/>
      <c r="AB274" s="616">
        <f t="shared" si="0"/>
        <v>0</v>
      </c>
      <c r="AC274" s="633"/>
      <c r="AD274" s="648"/>
      <c r="AE274" s="648"/>
      <c r="AF274" s="7"/>
      <c r="AG274" s="628"/>
      <c r="AH274" s="7"/>
      <c r="AI274" s="618">
        <f t="shared" si="10"/>
        <v>0</v>
      </c>
      <c r="AJ274" s="7"/>
      <c r="AK274" s="7"/>
      <c r="AL274" s="7"/>
      <c r="AM274" s="7"/>
      <c r="AN274" s="7"/>
      <c r="AO274" s="7"/>
    </row>
    <row r="275" spans="1:41" ht="18" customHeight="1">
      <c r="A275" s="486">
        <v>9.6999999999999993</v>
      </c>
      <c r="B275" s="487" t="s">
        <v>626</v>
      </c>
      <c r="C275" s="635" t="s">
        <v>627</v>
      </c>
      <c r="D275" s="412"/>
      <c r="E275" s="632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5"/>
      <c r="R275" s="213"/>
      <c r="S275" s="632"/>
      <c r="T275" s="214"/>
      <c r="U275" s="215"/>
      <c r="V275" s="215"/>
      <c r="W275" s="215"/>
      <c r="X275" s="215"/>
      <c r="Y275" s="372"/>
      <c r="Z275" s="620"/>
      <c r="AA275" s="643"/>
      <c r="AB275" s="616">
        <f t="shared" ref="AB275:AB447" si="11">+SUM(E275:AA275)</f>
        <v>0</v>
      </c>
      <c r="AC275" s="633"/>
      <c r="AD275" s="636"/>
      <c r="AE275" s="636"/>
      <c r="AF275" s="7"/>
      <c r="AG275" s="628"/>
      <c r="AH275" s="7"/>
      <c r="AI275" s="618">
        <f t="shared" si="10"/>
        <v>0</v>
      </c>
      <c r="AJ275" s="7"/>
      <c r="AK275" s="7"/>
      <c r="AL275" s="7"/>
      <c r="AM275" s="7"/>
      <c r="AN275" s="7"/>
      <c r="AO275" s="7"/>
    </row>
    <row r="276" spans="1:41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632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5"/>
      <c r="R276" s="213"/>
      <c r="S276" s="632"/>
      <c r="T276" s="214"/>
      <c r="U276" s="215"/>
      <c r="V276" s="215"/>
      <c r="W276" s="215"/>
      <c r="X276" s="215"/>
      <c r="Y276" s="372"/>
      <c r="Z276" s="647"/>
      <c r="AA276" s="643"/>
      <c r="AB276" s="616">
        <f t="shared" si="11"/>
        <v>0</v>
      </c>
      <c r="AC276" s="633"/>
      <c r="AD276" s="648"/>
      <c r="AE276" s="648"/>
      <c r="AF276" s="7"/>
      <c r="AG276" s="628"/>
      <c r="AH276" s="7"/>
      <c r="AI276" s="618">
        <f t="shared" si="10"/>
        <v>0</v>
      </c>
      <c r="AJ276" s="7"/>
      <c r="AK276" s="7"/>
      <c r="AL276" s="7"/>
      <c r="AM276" s="7"/>
      <c r="AN276" s="7"/>
      <c r="AO276" s="7"/>
    </row>
    <row r="277" spans="1:41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632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5"/>
      <c r="R277" s="213"/>
      <c r="S277" s="632"/>
      <c r="T277" s="214"/>
      <c r="U277" s="215"/>
      <c r="V277" s="215"/>
      <c r="W277" s="215"/>
      <c r="X277" s="215"/>
      <c r="Y277" s="372"/>
      <c r="Z277" s="662"/>
      <c r="AA277" s="643"/>
      <c r="AB277" s="616">
        <f t="shared" si="11"/>
        <v>0</v>
      </c>
      <c r="AC277" s="633"/>
      <c r="AD277" s="648"/>
      <c r="AE277" s="648"/>
      <c r="AF277" s="7"/>
      <c r="AG277" s="628"/>
      <c r="AH277" s="7"/>
      <c r="AI277" s="618">
        <f t="shared" si="10"/>
        <v>0</v>
      </c>
      <c r="AJ277" s="7"/>
      <c r="AK277" s="7"/>
      <c r="AL277" s="7"/>
      <c r="AM277" s="7"/>
      <c r="AN277" s="7"/>
      <c r="AO277" s="7"/>
    </row>
    <row r="278" spans="1:41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632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5"/>
      <c r="R278" s="213"/>
      <c r="S278" s="632"/>
      <c r="T278" s="214"/>
      <c r="U278" s="215"/>
      <c r="V278" s="215"/>
      <c r="W278" s="215"/>
      <c r="X278" s="215"/>
      <c r="Y278" s="372"/>
      <c r="Z278" s="647"/>
      <c r="AA278" s="643"/>
      <c r="AB278" s="616">
        <f t="shared" si="11"/>
        <v>0</v>
      </c>
      <c r="AC278" s="633"/>
      <c r="AD278" s="648"/>
      <c r="AE278" s="648"/>
      <c r="AF278" s="7"/>
      <c r="AG278" s="628"/>
      <c r="AH278" s="7"/>
      <c r="AI278" s="618">
        <f t="shared" si="10"/>
        <v>0</v>
      </c>
      <c r="AJ278" s="7"/>
      <c r="AK278" s="7"/>
      <c r="AL278" s="7"/>
      <c r="AM278" s="7"/>
      <c r="AN278" s="7"/>
      <c r="AO278" s="7"/>
    </row>
    <row r="279" spans="1:41" ht="20.25" customHeight="1">
      <c r="A279" s="503" t="s">
        <v>636</v>
      </c>
      <c r="B279" s="483" t="s">
        <v>637</v>
      </c>
      <c r="C279" s="629" t="s">
        <v>638</v>
      </c>
      <c r="D279" s="485" t="s">
        <v>2211</v>
      </c>
      <c r="E279" s="632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5"/>
      <c r="R279" s="213"/>
      <c r="S279" s="632"/>
      <c r="T279" s="214"/>
      <c r="U279" s="215"/>
      <c r="V279" s="215"/>
      <c r="W279" s="215"/>
      <c r="X279" s="215"/>
      <c r="Y279" s="372"/>
      <c r="Z279" s="620"/>
      <c r="AA279" s="643"/>
      <c r="AB279" s="616">
        <f t="shared" si="11"/>
        <v>0</v>
      </c>
      <c r="AC279" s="633"/>
      <c r="AD279" s="648"/>
      <c r="AE279" s="648"/>
      <c r="AF279" s="7"/>
      <c r="AG279" s="628"/>
      <c r="AH279" s="7"/>
      <c r="AI279" s="618">
        <f t="shared" si="10"/>
        <v>0</v>
      </c>
      <c r="AJ279" s="7"/>
      <c r="AK279" s="7"/>
      <c r="AL279" s="7"/>
      <c r="AM279" s="7"/>
      <c r="AN279" s="7"/>
      <c r="AO279" s="7"/>
    </row>
    <row r="280" spans="1:41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632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5"/>
      <c r="R280" s="213"/>
      <c r="S280" s="632"/>
      <c r="T280" s="214"/>
      <c r="U280" s="215"/>
      <c r="V280" s="215"/>
      <c r="W280" s="215"/>
      <c r="X280" s="215"/>
      <c r="Y280" s="372"/>
      <c r="Z280" s="647"/>
      <c r="AA280" s="643"/>
      <c r="AB280" s="616">
        <f t="shared" si="11"/>
        <v>0</v>
      </c>
      <c r="AC280" s="633"/>
      <c r="AD280" s="648"/>
      <c r="AE280" s="648"/>
      <c r="AF280" s="7"/>
      <c r="AG280" s="628"/>
      <c r="AH280" s="7"/>
      <c r="AI280" s="618">
        <f t="shared" si="10"/>
        <v>0</v>
      </c>
      <c r="AJ280" s="7"/>
      <c r="AK280" s="7"/>
      <c r="AL280" s="7"/>
      <c r="AM280" s="7"/>
      <c r="AN280" s="7"/>
      <c r="AO280" s="7"/>
    </row>
    <row r="281" spans="1:41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632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5"/>
      <c r="R281" s="213"/>
      <c r="S281" s="632"/>
      <c r="T281" s="214"/>
      <c r="U281" s="215"/>
      <c r="V281" s="215"/>
      <c r="W281" s="215"/>
      <c r="X281" s="215"/>
      <c r="Y281" s="372"/>
      <c r="Z281" s="662"/>
      <c r="AA281" s="643"/>
      <c r="AB281" s="616">
        <f t="shared" si="11"/>
        <v>0</v>
      </c>
      <c r="AC281" s="633"/>
      <c r="AD281" s="648"/>
      <c r="AE281" s="648"/>
      <c r="AF281" s="7"/>
      <c r="AG281" s="628"/>
      <c r="AH281" s="7"/>
      <c r="AI281" s="618">
        <f t="shared" si="10"/>
        <v>0</v>
      </c>
      <c r="AJ281" s="7"/>
      <c r="AK281" s="7"/>
      <c r="AL281" s="7"/>
      <c r="AM281" s="7"/>
      <c r="AN281" s="7"/>
      <c r="AO281" s="7"/>
    </row>
    <row r="282" spans="1:41" ht="21" customHeight="1">
      <c r="A282" s="489">
        <v>7</v>
      </c>
      <c r="B282" s="490" t="s">
        <v>643</v>
      </c>
      <c r="C282" s="637" t="s">
        <v>644</v>
      </c>
      <c r="D282" s="516"/>
      <c r="E282" s="632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5"/>
      <c r="R282" s="213"/>
      <c r="S282" s="632"/>
      <c r="T282" s="214"/>
      <c r="U282" s="215"/>
      <c r="V282" s="215"/>
      <c r="W282" s="215"/>
      <c r="X282" s="215"/>
      <c r="Y282" s="372"/>
      <c r="Z282" s="662"/>
      <c r="AA282" s="643"/>
      <c r="AB282" s="616">
        <f t="shared" si="11"/>
        <v>0</v>
      </c>
      <c r="AC282" s="633"/>
      <c r="AD282" s="640"/>
      <c r="AE282" s="640"/>
      <c r="AF282" s="7"/>
      <c r="AG282" s="628"/>
      <c r="AH282" s="7"/>
      <c r="AI282" s="618">
        <f t="shared" si="10"/>
        <v>0</v>
      </c>
      <c r="AJ282" s="7"/>
      <c r="AK282" s="7"/>
      <c r="AL282" s="7"/>
      <c r="AM282" s="7"/>
      <c r="AN282" s="7"/>
      <c r="AO282" s="7"/>
    </row>
    <row r="283" spans="1:41" ht="21" customHeight="1">
      <c r="A283" s="486"/>
      <c r="B283" s="487" t="s">
        <v>646</v>
      </c>
      <c r="C283" s="635" t="s">
        <v>647</v>
      </c>
      <c r="D283" s="412" t="s">
        <v>271</v>
      </c>
      <c r="E283" s="632"/>
      <c r="F283" s="213"/>
      <c r="G283" s="213"/>
      <c r="H283" s="213"/>
      <c r="I283" s="213"/>
      <c r="J283" s="213"/>
      <c r="K283" s="213"/>
      <c r="L283" s="213"/>
      <c r="M283" s="213"/>
      <c r="N283" s="213">
        <v>0.17</v>
      </c>
      <c r="O283" s="213">
        <v>11.3</v>
      </c>
      <c r="P283" s="213"/>
      <c r="Q283" s="215">
        <v>0.3</v>
      </c>
      <c r="R283" s="213"/>
      <c r="S283" s="632"/>
      <c r="T283" s="214"/>
      <c r="U283" s="215">
        <v>0.34</v>
      </c>
      <c r="V283" s="215"/>
      <c r="W283" s="215"/>
      <c r="X283" s="215">
        <v>4.8600000000000003</v>
      </c>
      <c r="Y283" s="372"/>
      <c r="Z283" s="620"/>
      <c r="AA283" s="643"/>
      <c r="AB283" s="616">
        <f t="shared" si="11"/>
        <v>16.970000000000002</v>
      </c>
      <c r="AC283" s="633"/>
      <c r="AD283" s="636"/>
      <c r="AE283" s="636"/>
      <c r="AF283" s="7"/>
      <c r="AG283" s="628">
        <v>36.57</v>
      </c>
      <c r="AH283" s="7"/>
      <c r="AI283" s="618">
        <f t="shared" si="10"/>
        <v>19.599999999999998</v>
      </c>
      <c r="AJ283" s="7"/>
      <c r="AK283" s="7"/>
      <c r="AL283" s="7"/>
      <c r="AM283" s="7"/>
      <c r="AN283" s="7"/>
      <c r="AO283" s="7"/>
    </row>
    <row r="284" spans="1:41" ht="21" customHeight="1">
      <c r="A284" s="510"/>
      <c r="B284" s="505" t="s">
        <v>649</v>
      </c>
      <c r="C284" s="655" t="s">
        <v>650</v>
      </c>
      <c r="D284" s="512" t="s">
        <v>271</v>
      </c>
      <c r="E284" s="632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5"/>
      <c r="R284" s="213"/>
      <c r="S284" s="632"/>
      <c r="T284" s="214"/>
      <c r="U284" s="215"/>
      <c r="V284" s="215"/>
      <c r="W284" s="215"/>
      <c r="X284" s="215"/>
      <c r="Y284" s="372"/>
      <c r="Z284" s="647"/>
      <c r="AA284" s="643"/>
      <c r="AB284" s="616">
        <f t="shared" si="11"/>
        <v>0</v>
      </c>
      <c r="AC284" s="633"/>
      <c r="AD284" s="654"/>
      <c r="AE284" s="654"/>
      <c r="AF284" s="7"/>
      <c r="AG284" s="628">
        <v>36.57</v>
      </c>
      <c r="AH284" s="7"/>
      <c r="AI284" s="618"/>
      <c r="AJ284" s="7"/>
      <c r="AK284" s="7"/>
      <c r="AL284" s="7"/>
      <c r="AM284" s="7"/>
      <c r="AN284" s="7"/>
      <c r="AO284" s="7"/>
    </row>
    <row r="285" spans="1:41" ht="21" customHeight="1">
      <c r="A285" s="503"/>
      <c r="B285" s="483" t="s">
        <v>651</v>
      </c>
      <c r="C285" s="629" t="s">
        <v>131</v>
      </c>
      <c r="D285" s="504" t="s">
        <v>271</v>
      </c>
      <c r="E285" s="632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5"/>
      <c r="R285" s="213"/>
      <c r="S285" s="632"/>
      <c r="T285" s="214"/>
      <c r="U285" s="215"/>
      <c r="V285" s="215"/>
      <c r="W285" s="215"/>
      <c r="X285" s="215"/>
      <c r="Y285" s="372"/>
      <c r="Z285" s="647"/>
      <c r="AA285" s="643"/>
      <c r="AB285" s="616">
        <f t="shared" si="11"/>
        <v>0</v>
      </c>
      <c r="AC285" s="633"/>
      <c r="AD285" s="654"/>
      <c r="AE285" s="654"/>
      <c r="AF285" s="7"/>
      <c r="AG285" s="628">
        <v>29.9</v>
      </c>
      <c r="AH285" s="7"/>
      <c r="AI285" s="618"/>
      <c r="AJ285" s="7"/>
      <c r="AK285" s="7"/>
      <c r="AL285" s="7"/>
      <c r="AM285" s="7"/>
      <c r="AN285" s="7"/>
      <c r="AO285" s="7"/>
    </row>
    <row r="286" spans="1:41" ht="21" customHeight="1">
      <c r="A286" s="503"/>
      <c r="B286" s="483" t="s">
        <v>652</v>
      </c>
      <c r="C286" s="629" t="s">
        <v>200</v>
      </c>
      <c r="D286" s="504" t="s">
        <v>271</v>
      </c>
      <c r="E286" s="632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5"/>
      <c r="R286" s="213"/>
      <c r="S286" s="632"/>
      <c r="T286" s="214"/>
      <c r="U286" s="215"/>
      <c r="V286" s="215"/>
      <c r="W286" s="215"/>
      <c r="X286" s="215"/>
      <c r="Y286" s="372"/>
      <c r="Z286" s="647"/>
      <c r="AA286" s="643"/>
      <c r="AB286" s="616">
        <f t="shared" si="11"/>
        <v>0</v>
      </c>
      <c r="AC286" s="633"/>
      <c r="AD286" s="654"/>
      <c r="AE286" s="654"/>
      <c r="AF286" s="7"/>
      <c r="AG286" s="628">
        <v>0.2</v>
      </c>
      <c r="AH286" s="7"/>
      <c r="AI286" s="618"/>
      <c r="AJ286" s="7"/>
      <c r="AK286" s="7"/>
      <c r="AL286" s="7"/>
      <c r="AM286" s="7"/>
      <c r="AN286" s="7"/>
      <c r="AO286" s="7"/>
    </row>
    <row r="287" spans="1:41" ht="21" customHeight="1">
      <c r="A287" s="503"/>
      <c r="B287" s="483" t="s">
        <v>653</v>
      </c>
      <c r="C287" s="629" t="s">
        <v>203</v>
      </c>
      <c r="D287" s="504" t="s">
        <v>271</v>
      </c>
      <c r="E287" s="632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5"/>
      <c r="R287" s="213"/>
      <c r="S287" s="632"/>
      <c r="T287" s="214"/>
      <c r="U287" s="215"/>
      <c r="V287" s="215"/>
      <c r="W287" s="215"/>
      <c r="X287" s="215"/>
      <c r="Y287" s="372"/>
      <c r="Z287" s="647"/>
      <c r="AA287" s="643"/>
      <c r="AB287" s="616">
        <f t="shared" si="11"/>
        <v>0</v>
      </c>
      <c r="AC287" s="633"/>
      <c r="AD287" s="654"/>
      <c r="AE287" s="654"/>
      <c r="AF287" s="7"/>
      <c r="AG287" s="628">
        <v>6.47</v>
      </c>
      <c r="AH287" s="7"/>
      <c r="AI287" s="618"/>
      <c r="AJ287" s="7"/>
      <c r="AK287" s="7"/>
      <c r="AL287" s="7"/>
      <c r="AM287" s="7"/>
      <c r="AN287" s="7"/>
      <c r="AO287" s="7"/>
    </row>
    <row r="288" spans="1:41" ht="21" customHeight="1">
      <c r="A288" s="503"/>
      <c r="B288" s="483" t="s">
        <v>654</v>
      </c>
      <c r="C288" s="629" t="s">
        <v>159</v>
      </c>
      <c r="D288" s="504" t="s">
        <v>271</v>
      </c>
      <c r="E288" s="632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5"/>
      <c r="R288" s="213"/>
      <c r="S288" s="632"/>
      <c r="T288" s="214"/>
      <c r="U288" s="215"/>
      <c r="V288" s="215"/>
      <c r="W288" s="215"/>
      <c r="X288" s="215"/>
      <c r="Y288" s="372"/>
      <c r="Z288" s="647"/>
      <c r="AA288" s="643"/>
      <c r="AB288" s="616">
        <f t="shared" si="11"/>
        <v>0</v>
      </c>
      <c r="AC288" s="633"/>
      <c r="AD288" s="654"/>
      <c r="AE288" s="654"/>
      <c r="AF288" s="7"/>
      <c r="AG288" s="628"/>
      <c r="AH288" s="7"/>
      <c r="AI288" s="618">
        <f t="shared" ref="AI288:AI368" si="12">AG288-AB288</f>
        <v>0</v>
      </c>
      <c r="AJ288" s="7"/>
      <c r="AK288" s="7"/>
      <c r="AL288" s="7"/>
      <c r="AM288" s="7"/>
      <c r="AN288" s="7"/>
      <c r="AO288" s="7"/>
    </row>
    <row r="289" spans="1:41" ht="15.75" customHeight="1">
      <c r="A289" s="510"/>
      <c r="B289" s="505" t="s">
        <v>655</v>
      </c>
      <c r="C289" s="655" t="s">
        <v>656</v>
      </c>
      <c r="D289" s="512" t="s">
        <v>271</v>
      </c>
      <c r="E289" s="632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5"/>
      <c r="R289" s="213"/>
      <c r="S289" s="632"/>
      <c r="T289" s="214"/>
      <c r="U289" s="215"/>
      <c r="V289" s="215"/>
      <c r="W289" s="215"/>
      <c r="X289" s="215"/>
      <c r="Y289" s="372"/>
      <c r="Z289" s="647"/>
      <c r="AA289" s="643"/>
      <c r="AB289" s="616">
        <f t="shared" si="11"/>
        <v>0</v>
      </c>
      <c r="AC289" s="633"/>
      <c r="AD289" s="654"/>
      <c r="AE289" s="654"/>
      <c r="AF289" s="7"/>
      <c r="AG289" s="628"/>
      <c r="AH289" s="7"/>
      <c r="AI289" s="618">
        <f t="shared" si="12"/>
        <v>0</v>
      </c>
      <c r="AJ289" s="7"/>
      <c r="AK289" s="7"/>
      <c r="AL289" s="7"/>
      <c r="AM289" s="7"/>
      <c r="AN289" s="7"/>
      <c r="AO289" s="7"/>
    </row>
    <row r="290" spans="1:41" ht="21" customHeight="1">
      <c r="A290" s="503"/>
      <c r="B290" s="483" t="s">
        <v>657</v>
      </c>
      <c r="C290" s="629" t="s">
        <v>131</v>
      </c>
      <c r="D290" s="504" t="s">
        <v>271</v>
      </c>
      <c r="E290" s="632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5"/>
      <c r="R290" s="213"/>
      <c r="S290" s="632"/>
      <c r="T290" s="214"/>
      <c r="U290" s="215"/>
      <c r="V290" s="215"/>
      <c r="W290" s="215"/>
      <c r="X290" s="215"/>
      <c r="Y290" s="372"/>
      <c r="Z290" s="647"/>
      <c r="AA290" s="643"/>
      <c r="AB290" s="616">
        <f t="shared" si="11"/>
        <v>0</v>
      </c>
      <c r="AC290" s="633"/>
      <c r="AD290" s="648"/>
      <c r="AE290" s="648"/>
      <c r="AF290" s="7"/>
      <c r="AG290" s="628"/>
      <c r="AH290" s="7"/>
      <c r="AI290" s="618">
        <f t="shared" si="12"/>
        <v>0</v>
      </c>
      <c r="AJ290" s="7"/>
      <c r="AK290" s="7"/>
      <c r="AL290" s="7"/>
      <c r="AM290" s="7"/>
      <c r="AN290" s="7"/>
      <c r="AO290" s="7"/>
    </row>
    <row r="291" spans="1:41" ht="21" customHeight="1">
      <c r="A291" s="503"/>
      <c r="B291" s="483" t="s">
        <v>658</v>
      </c>
      <c r="C291" s="629" t="s">
        <v>200</v>
      </c>
      <c r="D291" s="504" t="s">
        <v>271</v>
      </c>
      <c r="E291" s="632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5"/>
      <c r="R291" s="213"/>
      <c r="S291" s="632"/>
      <c r="T291" s="214"/>
      <c r="U291" s="215"/>
      <c r="V291" s="215"/>
      <c r="W291" s="215"/>
      <c r="X291" s="215"/>
      <c r="Y291" s="372"/>
      <c r="Z291" s="647"/>
      <c r="AA291" s="643"/>
      <c r="AB291" s="616">
        <f t="shared" si="11"/>
        <v>0</v>
      </c>
      <c r="AC291" s="633"/>
      <c r="AD291" s="648"/>
      <c r="AE291" s="648"/>
      <c r="AF291" s="7"/>
      <c r="AG291" s="628"/>
      <c r="AH291" s="7"/>
      <c r="AI291" s="618">
        <f t="shared" si="12"/>
        <v>0</v>
      </c>
      <c r="AJ291" s="7"/>
      <c r="AK291" s="7"/>
      <c r="AL291" s="7"/>
      <c r="AM291" s="7"/>
      <c r="AN291" s="7"/>
      <c r="AO291" s="7"/>
    </row>
    <row r="292" spans="1:41" ht="21" customHeight="1">
      <c r="A292" s="503"/>
      <c r="B292" s="483" t="s">
        <v>659</v>
      </c>
      <c r="C292" s="629" t="s">
        <v>203</v>
      </c>
      <c r="D292" s="504" t="s">
        <v>271</v>
      </c>
      <c r="E292" s="632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5"/>
      <c r="R292" s="213"/>
      <c r="S292" s="632"/>
      <c r="T292" s="214"/>
      <c r="U292" s="215"/>
      <c r="V292" s="215"/>
      <c r="W292" s="215"/>
      <c r="X292" s="215"/>
      <c r="Y292" s="372"/>
      <c r="Z292" s="647"/>
      <c r="AA292" s="643"/>
      <c r="AB292" s="616">
        <f t="shared" si="11"/>
        <v>0</v>
      </c>
      <c r="AC292" s="633"/>
      <c r="AD292" s="648"/>
      <c r="AE292" s="648"/>
      <c r="AF292" s="7"/>
      <c r="AG292" s="628"/>
      <c r="AH292" s="7"/>
      <c r="AI292" s="618">
        <f t="shared" si="12"/>
        <v>0</v>
      </c>
      <c r="AJ292" s="7"/>
      <c r="AK292" s="7"/>
      <c r="AL292" s="7"/>
      <c r="AM292" s="7"/>
      <c r="AN292" s="7"/>
      <c r="AO292" s="7"/>
    </row>
    <row r="293" spans="1:41" ht="21" customHeight="1">
      <c r="A293" s="503"/>
      <c r="B293" s="483" t="s">
        <v>660</v>
      </c>
      <c r="C293" s="629" t="s">
        <v>159</v>
      </c>
      <c r="D293" s="504" t="s">
        <v>271</v>
      </c>
      <c r="E293" s="632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5"/>
      <c r="R293" s="213"/>
      <c r="S293" s="632"/>
      <c r="T293" s="214"/>
      <c r="U293" s="215"/>
      <c r="V293" s="215"/>
      <c r="W293" s="215"/>
      <c r="X293" s="215"/>
      <c r="Y293" s="372"/>
      <c r="Z293" s="647"/>
      <c r="AA293" s="643"/>
      <c r="AB293" s="616">
        <f t="shared" si="11"/>
        <v>0</v>
      </c>
      <c r="AC293" s="633"/>
      <c r="AD293" s="648"/>
      <c r="AE293" s="648"/>
      <c r="AF293" s="7"/>
      <c r="AG293" s="628"/>
      <c r="AH293" s="7"/>
      <c r="AI293" s="618">
        <f t="shared" si="12"/>
        <v>0</v>
      </c>
      <c r="AJ293" s="7"/>
      <c r="AK293" s="7"/>
      <c r="AL293" s="7"/>
      <c r="AM293" s="7"/>
      <c r="AN293" s="7"/>
      <c r="AO293" s="7"/>
    </row>
    <row r="294" spans="1:41" ht="21" customHeight="1">
      <c r="A294" s="510"/>
      <c r="B294" s="487" t="s">
        <v>661</v>
      </c>
      <c r="C294" s="635" t="s">
        <v>662</v>
      </c>
      <c r="D294" s="412" t="s">
        <v>271</v>
      </c>
      <c r="E294" s="632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5"/>
      <c r="R294" s="213"/>
      <c r="S294" s="632"/>
      <c r="T294" s="214"/>
      <c r="U294" s="215"/>
      <c r="V294" s="215"/>
      <c r="W294" s="215"/>
      <c r="X294" s="215"/>
      <c r="Y294" s="372"/>
      <c r="Z294" s="620"/>
      <c r="AA294" s="643"/>
      <c r="AB294" s="616">
        <f t="shared" si="11"/>
        <v>0</v>
      </c>
      <c r="AC294" s="633"/>
      <c r="AD294" s="654"/>
      <c r="AE294" s="654"/>
      <c r="AF294" s="7"/>
      <c r="AG294" s="628"/>
      <c r="AH294" s="7"/>
      <c r="AI294" s="618">
        <f t="shared" si="12"/>
        <v>0</v>
      </c>
      <c r="AJ294" s="7"/>
      <c r="AK294" s="7"/>
      <c r="AL294" s="7"/>
      <c r="AM294" s="7"/>
      <c r="AN294" s="7"/>
      <c r="AO294" s="7"/>
    </row>
    <row r="295" spans="1:41" ht="21" customHeight="1">
      <c r="A295" s="503"/>
      <c r="B295" s="483" t="s">
        <v>664</v>
      </c>
      <c r="C295" s="629" t="s">
        <v>131</v>
      </c>
      <c r="D295" s="504" t="s">
        <v>271</v>
      </c>
      <c r="E295" s="632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5"/>
      <c r="R295" s="213"/>
      <c r="S295" s="632"/>
      <c r="T295" s="214"/>
      <c r="U295" s="215"/>
      <c r="V295" s="215"/>
      <c r="W295" s="215"/>
      <c r="X295" s="215"/>
      <c r="Y295" s="372"/>
      <c r="Z295" s="647"/>
      <c r="AA295" s="643"/>
      <c r="AB295" s="616">
        <f t="shared" si="11"/>
        <v>0</v>
      </c>
      <c r="AC295" s="633"/>
      <c r="AD295" s="648"/>
      <c r="AE295" s="648"/>
      <c r="AF295" s="7"/>
      <c r="AG295" s="628"/>
      <c r="AH295" s="7"/>
      <c r="AI295" s="618">
        <f t="shared" si="12"/>
        <v>0</v>
      </c>
      <c r="AJ295" s="7"/>
      <c r="AK295" s="7"/>
      <c r="AL295" s="7"/>
      <c r="AM295" s="7"/>
      <c r="AN295" s="7"/>
      <c r="AO295" s="7"/>
    </row>
    <row r="296" spans="1:41" ht="21" customHeight="1">
      <c r="A296" s="503"/>
      <c r="B296" s="483" t="s">
        <v>665</v>
      </c>
      <c r="C296" s="629" t="s">
        <v>200</v>
      </c>
      <c r="D296" s="504" t="s">
        <v>271</v>
      </c>
      <c r="E296" s="632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5"/>
      <c r="R296" s="213"/>
      <c r="S296" s="632"/>
      <c r="T296" s="214"/>
      <c r="U296" s="215"/>
      <c r="V296" s="215"/>
      <c r="W296" s="215"/>
      <c r="X296" s="215"/>
      <c r="Y296" s="372"/>
      <c r="Z296" s="647"/>
      <c r="AA296" s="643"/>
      <c r="AB296" s="616">
        <f t="shared" si="11"/>
        <v>0</v>
      </c>
      <c r="AC296" s="633"/>
      <c r="AD296" s="648"/>
      <c r="AE296" s="648"/>
      <c r="AF296" s="7"/>
      <c r="AG296" s="628"/>
      <c r="AH296" s="7"/>
      <c r="AI296" s="618">
        <f t="shared" si="12"/>
        <v>0</v>
      </c>
      <c r="AJ296" s="7"/>
      <c r="AK296" s="7"/>
      <c r="AL296" s="7"/>
      <c r="AM296" s="7"/>
      <c r="AN296" s="7"/>
      <c r="AO296" s="7"/>
    </row>
    <row r="297" spans="1:41" ht="21" customHeight="1">
      <c r="A297" s="503"/>
      <c r="B297" s="483" t="s">
        <v>666</v>
      </c>
      <c r="C297" s="629" t="s">
        <v>203</v>
      </c>
      <c r="D297" s="504" t="s">
        <v>271</v>
      </c>
      <c r="E297" s="632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5"/>
      <c r="R297" s="213"/>
      <c r="S297" s="632"/>
      <c r="T297" s="214"/>
      <c r="U297" s="215"/>
      <c r="V297" s="215"/>
      <c r="W297" s="215"/>
      <c r="X297" s="215"/>
      <c r="Y297" s="372"/>
      <c r="Z297" s="647"/>
      <c r="AA297" s="643"/>
      <c r="AB297" s="616">
        <f t="shared" si="11"/>
        <v>0</v>
      </c>
      <c r="AC297" s="633"/>
      <c r="AD297" s="648"/>
      <c r="AE297" s="648"/>
      <c r="AF297" s="7"/>
      <c r="AG297" s="628"/>
      <c r="AH297" s="7"/>
      <c r="AI297" s="618">
        <f t="shared" si="12"/>
        <v>0</v>
      </c>
      <c r="AJ297" s="7"/>
      <c r="AK297" s="7"/>
      <c r="AL297" s="7"/>
      <c r="AM297" s="7"/>
      <c r="AN297" s="7"/>
      <c r="AO297" s="7"/>
    </row>
    <row r="298" spans="1:41" ht="21" customHeight="1">
      <c r="A298" s="503"/>
      <c r="B298" s="483" t="s">
        <v>667</v>
      </c>
      <c r="C298" s="629" t="s">
        <v>159</v>
      </c>
      <c r="D298" s="504" t="s">
        <v>271</v>
      </c>
      <c r="E298" s="632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5"/>
      <c r="R298" s="213"/>
      <c r="S298" s="632"/>
      <c r="T298" s="214"/>
      <c r="U298" s="215"/>
      <c r="V298" s="215"/>
      <c r="W298" s="215"/>
      <c r="X298" s="215"/>
      <c r="Y298" s="372"/>
      <c r="Z298" s="647"/>
      <c r="AA298" s="643"/>
      <c r="AB298" s="616">
        <f t="shared" si="11"/>
        <v>0</v>
      </c>
      <c r="AC298" s="633"/>
      <c r="AD298" s="648"/>
      <c r="AE298" s="648"/>
      <c r="AF298" s="7"/>
      <c r="AG298" s="628"/>
      <c r="AH298" s="7"/>
      <c r="AI298" s="618">
        <f t="shared" si="12"/>
        <v>0</v>
      </c>
      <c r="AJ298" s="7"/>
      <c r="AK298" s="7"/>
      <c r="AL298" s="7"/>
      <c r="AM298" s="7"/>
      <c r="AN298" s="7"/>
      <c r="AO298" s="7"/>
    </row>
    <row r="299" spans="1:41" ht="21" customHeight="1">
      <c r="A299" s="486"/>
      <c r="B299" s="487" t="s">
        <v>668</v>
      </c>
      <c r="C299" s="635" t="s">
        <v>669</v>
      </c>
      <c r="D299" s="412" t="s">
        <v>271</v>
      </c>
      <c r="E299" s="632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5"/>
      <c r="R299" s="213"/>
      <c r="S299" s="632"/>
      <c r="T299" s="214"/>
      <c r="U299" s="215"/>
      <c r="V299" s="215"/>
      <c r="W299" s="215"/>
      <c r="X299" s="215"/>
      <c r="Y299" s="372"/>
      <c r="Z299" s="620"/>
      <c r="AA299" s="643"/>
      <c r="AB299" s="616">
        <f t="shared" si="11"/>
        <v>0</v>
      </c>
      <c r="AC299" s="633"/>
      <c r="AD299" s="636"/>
      <c r="AE299" s="636"/>
      <c r="AF299" s="7"/>
      <c r="AG299" s="628"/>
      <c r="AH299" s="7"/>
      <c r="AI299" s="618">
        <f t="shared" si="12"/>
        <v>0</v>
      </c>
      <c r="AJ299" s="7"/>
      <c r="AK299" s="7"/>
      <c r="AL299" s="7"/>
      <c r="AM299" s="7"/>
      <c r="AN299" s="7"/>
      <c r="AO299" s="7"/>
    </row>
    <row r="300" spans="1:41" ht="18" customHeight="1">
      <c r="A300" s="486"/>
      <c r="B300" s="487" t="s">
        <v>671</v>
      </c>
      <c r="C300" s="655" t="s">
        <v>672</v>
      </c>
      <c r="D300" s="485" t="s">
        <v>271</v>
      </c>
      <c r="E300" s="632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5"/>
      <c r="R300" s="213"/>
      <c r="S300" s="632"/>
      <c r="T300" s="214"/>
      <c r="U300" s="215"/>
      <c r="V300" s="215"/>
      <c r="W300" s="215"/>
      <c r="X300" s="215"/>
      <c r="Y300" s="372"/>
      <c r="Z300" s="620"/>
      <c r="AA300" s="643"/>
      <c r="AB300" s="616">
        <f t="shared" si="11"/>
        <v>0</v>
      </c>
      <c r="AC300" s="633"/>
      <c r="AD300" s="636"/>
      <c r="AE300" s="636"/>
      <c r="AF300" s="7"/>
      <c r="AG300" s="628"/>
      <c r="AH300" s="7"/>
      <c r="AI300" s="618">
        <f t="shared" si="12"/>
        <v>0</v>
      </c>
      <c r="AJ300" s="7"/>
      <c r="AK300" s="7"/>
      <c r="AL300" s="7"/>
      <c r="AM300" s="7"/>
      <c r="AN300" s="7"/>
      <c r="AO300" s="7"/>
    </row>
    <row r="301" spans="1:41" ht="26.25" customHeight="1">
      <c r="A301" s="503"/>
      <c r="B301" s="483" t="s">
        <v>673</v>
      </c>
      <c r="C301" s="629" t="s">
        <v>131</v>
      </c>
      <c r="D301" s="504" t="s">
        <v>271</v>
      </c>
      <c r="E301" s="632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5"/>
      <c r="R301" s="213"/>
      <c r="S301" s="632"/>
      <c r="T301" s="214"/>
      <c r="U301" s="215"/>
      <c r="V301" s="215"/>
      <c r="W301" s="215"/>
      <c r="X301" s="215"/>
      <c r="Y301" s="372"/>
      <c r="Z301" s="647"/>
      <c r="AA301" s="643"/>
      <c r="AB301" s="616">
        <f t="shared" si="11"/>
        <v>0</v>
      </c>
      <c r="AC301" s="633"/>
      <c r="AD301" s="648"/>
      <c r="AE301" s="648"/>
      <c r="AF301" s="7"/>
      <c r="AG301" s="628"/>
      <c r="AH301" s="7"/>
      <c r="AI301" s="618">
        <f t="shared" si="12"/>
        <v>0</v>
      </c>
      <c r="AJ301" s="7"/>
      <c r="AK301" s="7"/>
      <c r="AL301" s="7"/>
      <c r="AM301" s="7"/>
      <c r="AN301" s="7"/>
      <c r="AO301" s="7"/>
    </row>
    <row r="302" spans="1:41" ht="21" customHeight="1">
      <c r="A302" s="503"/>
      <c r="B302" s="483" t="s">
        <v>674</v>
      </c>
      <c r="C302" s="629" t="s">
        <v>200</v>
      </c>
      <c r="D302" s="504" t="s">
        <v>271</v>
      </c>
      <c r="E302" s="632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5"/>
      <c r="R302" s="213"/>
      <c r="S302" s="632"/>
      <c r="T302" s="214"/>
      <c r="U302" s="215"/>
      <c r="V302" s="215"/>
      <c r="W302" s="215"/>
      <c r="X302" s="215"/>
      <c r="Y302" s="372"/>
      <c r="Z302" s="647"/>
      <c r="AA302" s="643"/>
      <c r="AB302" s="616">
        <f t="shared" si="11"/>
        <v>0</v>
      </c>
      <c r="AC302" s="633"/>
      <c r="AD302" s="648"/>
      <c r="AE302" s="648"/>
      <c r="AF302" s="7"/>
      <c r="AG302" s="628"/>
      <c r="AH302" s="7"/>
      <c r="AI302" s="618">
        <f t="shared" si="12"/>
        <v>0</v>
      </c>
      <c r="AJ302" s="7"/>
      <c r="AK302" s="7"/>
      <c r="AL302" s="7"/>
      <c r="AM302" s="7"/>
      <c r="AN302" s="7"/>
      <c r="AO302" s="7"/>
    </row>
    <row r="303" spans="1:41" ht="21" customHeight="1">
      <c r="A303" s="503"/>
      <c r="B303" s="483" t="s">
        <v>675</v>
      </c>
      <c r="C303" s="629" t="s">
        <v>203</v>
      </c>
      <c r="D303" s="504" t="s">
        <v>271</v>
      </c>
      <c r="E303" s="632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5"/>
      <c r="R303" s="213"/>
      <c r="S303" s="632"/>
      <c r="T303" s="214"/>
      <c r="U303" s="215"/>
      <c r="V303" s="215"/>
      <c r="W303" s="215"/>
      <c r="X303" s="215"/>
      <c r="Y303" s="372"/>
      <c r="Z303" s="647"/>
      <c r="AA303" s="643"/>
      <c r="AB303" s="616">
        <f t="shared" si="11"/>
        <v>0</v>
      </c>
      <c r="AC303" s="633"/>
      <c r="AD303" s="648"/>
      <c r="AE303" s="648"/>
      <c r="AF303" s="7"/>
      <c r="AG303" s="628"/>
      <c r="AH303" s="7"/>
      <c r="AI303" s="618">
        <f t="shared" si="12"/>
        <v>0</v>
      </c>
      <c r="AJ303" s="7"/>
      <c r="AK303" s="7"/>
      <c r="AL303" s="7"/>
      <c r="AM303" s="7"/>
      <c r="AN303" s="7"/>
      <c r="AO303" s="7"/>
    </row>
    <row r="304" spans="1:41" ht="21" customHeight="1">
      <c r="A304" s="503"/>
      <c r="B304" s="483" t="s">
        <v>676</v>
      </c>
      <c r="C304" s="629" t="s">
        <v>159</v>
      </c>
      <c r="D304" s="504" t="s">
        <v>271</v>
      </c>
      <c r="E304" s="632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5"/>
      <c r="R304" s="213"/>
      <c r="S304" s="632"/>
      <c r="T304" s="214"/>
      <c r="U304" s="215"/>
      <c r="V304" s="215"/>
      <c r="W304" s="215"/>
      <c r="X304" s="215"/>
      <c r="Y304" s="372"/>
      <c r="Z304" s="647"/>
      <c r="AA304" s="643"/>
      <c r="AB304" s="616">
        <f t="shared" si="11"/>
        <v>0</v>
      </c>
      <c r="AC304" s="633"/>
      <c r="AD304" s="648"/>
      <c r="AE304" s="648"/>
      <c r="AF304" s="7"/>
      <c r="AG304" s="628"/>
      <c r="AH304" s="7"/>
      <c r="AI304" s="618">
        <f t="shared" si="12"/>
        <v>0</v>
      </c>
      <c r="AJ304" s="7"/>
      <c r="AK304" s="7"/>
      <c r="AL304" s="7"/>
      <c r="AM304" s="7"/>
      <c r="AN304" s="7"/>
      <c r="AO304" s="7"/>
    </row>
    <row r="305" spans="1:41" ht="21" customHeight="1">
      <c r="A305" s="486"/>
      <c r="B305" s="487" t="s">
        <v>677</v>
      </c>
      <c r="C305" s="655" t="s">
        <v>678</v>
      </c>
      <c r="D305" s="485" t="s">
        <v>271</v>
      </c>
      <c r="E305" s="632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5"/>
      <c r="R305" s="213"/>
      <c r="S305" s="632"/>
      <c r="T305" s="214"/>
      <c r="U305" s="215"/>
      <c r="V305" s="215"/>
      <c r="W305" s="215"/>
      <c r="X305" s="215"/>
      <c r="Y305" s="372"/>
      <c r="Z305" s="620"/>
      <c r="AA305" s="643"/>
      <c r="AB305" s="616">
        <f t="shared" si="11"/>
        <v>0</v>
      </c>
      <c r="AC305" s="633"/>
      <c r="AD305" s="636"/>
      <c r="AE305" s="636"/>
      <c r="AF305" s="7"/>
      <c r="AG305" s="628"/>
      <c r="AH305" s="7"/>
      <c r="AI305" s="618">
        <f t="shared" si="12"/>
        <v>0</v>
      </c>
      <c r="AJ305" s="7"/>
      <c r="AK305" s="7"/>
      <c r="AL305" s="7"/>
      <c r="AM305" s="7"/>
      <c r="AN305" s="7"/>
      <c r="AO305" s="7"/>
    </row>
    <row r="306" spans="1:41" ht="21" customHeight="1">
      <c r="A306" s="503"/>
      <c r="B306" s="483" t="s">
        <v>679</v>
      </c>
      <c r="C306" s="629" t="s">
        <v>131</v>
      </c>
      <c r="D306" s="504" t="s">
        <v>271</v>
      </c>
      <c r="E306" s="632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5"/>
      <c r="R306" s="213"/>
      <c r="S306" s="632"/>
      <c r="T306" s="214"/>
      <c r="U306" s="215"/>
      <c r="V306" s="215"/>
      <c r="W306" s="215"/>
      <c r="X306" s="215"/>
      <c r="Y306" s="372"/>
      <c r="Z306" s="647"/>
      <c r="AA306" s="643"/>
      <c r="AB306" s="616">
        <f t="shared" si="11"/>
        <v>0</v>
      </c>
      <c r="AC306" s="633"/>
      <c r="AD306" s="648"/>
      <c r="AE306" s="648"/>
      <c r="AF306" s="7"/>
      <c r="AG306" s="628"/>
      <c r="AH306" s="7"/>
      <c r="AI306" s="618">
        <f t="shared" si="12"/>
        <v>0</v>
      </c>
      <c r="AJ306" s="7"/>
      <c r="AK306" s="7"/>
      <c r="AL306" s="7"/>
      <c r="AM306" s="7"/>
      <c r="AN306" s="7"/>
      <c r="AO306" s="7"/>
    </row>
    <row r="307" spans="1:41" ht="21" customHeight="1">
      <c r="A307" s="503"/>
      <c r="B307" s="483" t="s">
        <v>680</v>
      </c>
      <c r="C307" s="629" t="s">
        <v>200</v>
      </c>
      <c r="D307" s="504" t="s">
        <v>271</v>
      </c>
      <c r="E307" s="632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5"/>
      <c r="R307" s="213"/>
      <c r="S307" s="632"/>
      <c r="T307" s="214"/>
      <c r="U307" s="215"/>
      <c r="V307" s="215"/>
      <c r="W307" s="215"/>
      <c r="X307" s="215"/>
      <c r="Y307" s="372"/>
      <c r="Z307" s="647"/>
      <c r="AA307" s="643"/>
      <c r="AB307" s="616">
        <f t="shared" si="11"/>
        <v>0</v>
      </c>
      <c r="AC307" s="633"/>
      <c r="AD307" s="648"/>
      <c r="AE307" s="648"/>
      <c r="AF307" s="7"/>
      <c r="AG307" s="628"/>
      <c r="AH307" s="7"/>
      <c r="AI307" s="618">
        <f t="shared" si="12"/>
        <v>0</v>
      </c>
      <c r="AJ307" s="7"/>
      <c r="AK307" s="7"/>
      <c r="AL307" s="7"/>
      <c r="AM307" s="7"/>
      <c r="AN307" s="7"/>
      <c r="AO307" s="7"/>
    </row>
    <row r="308" spans="1:41" ht="21" customHeight="1">
      <c r="A308" s="503"/>
      <c r="B308" s="483" t="s">
        <v>681</v>
      </c>
      <c r="C308" s="629" t="s">
        <v>203</v>
      </c>
      <c r="D308" s="504" t="s">
        <v>271</v>
      </c>
      <c r="E308" s="632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5"/>
      <c r="R308" s="213"/>
      <c r="S308" s="632"/>
      <c r="T308" s="214"/>
      <c r="U308" s="215"/>
      <c r="V308" s="215"/>
      <c r="W308" s="215"/>
      <c r="X308" s="215"/>
      <c r="Y308" s="372"/>
      <c r="Z308" s="647"/>
      <c r="AA308" s="643"/>
      <c r="AB308" s="616">
        <f t="shared" si="11"/>
        <v>0</v>
      </c>
      <c r="AC308" s="633"/>
      <c r="AD308" s="648"/>
      <c r="AE308" s="648"/>
      <c r="AF308" s="7"/>
      <c r="AG308" s="628"/>
      <c r="AH308" s="7"/>
      <c r="AI308" s="618">
        <f t="shared" si="12"/>
        <v>0</v>
      </c>
      <c r="AJ308" s="7"/>
      <c r="AK308" s="7"/>
      <c r="AL308" s="7"/>
      <c r="AM308" s="7"/>
      <c r="AN308" s="7"/>
      <c r="AO308" s="7"/>
    </row>
    <row r="309" spans="1:41" ht="21" customHeight="1">
      <c r="A309" s="503"/>
      <c r="B309" s="483" t="s">
        <v>682</v>
      </c>
      <c r="C309" s="629" t="s">
        <v>159</v>
      </c>
      <c r="D309" s="504" t="s">
        <v>271</v>
      </c>
      <c r="E309" s="632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5"/>
      <c r="R309" s="213"/>
      <c r="S309" s="632"/>
      <c r="T309" s="214"/>
      <c r="U309" s="215"/>
      <c r="V309" s="215"/>
      <c r="W309" s="215"/>
      <c r="X309" s="215"/>
      <c r="Y309" s="372"/>
      <c r="Z309" s="647"/>
      <c r="AA309" s="643"/>
      <c r="AB309" s="616">
        <f t="shared" si="11"/>
        <v>0</v>
      </c>
      <c r="AC309" s="633"/>
      <c r="AD309" s="648"/>
      <c r="AE309" s="648"/>
      <c r="AF309" s="7"/>
      <c r="AG309" s="628"/>
      <c r="AH309" s="7"/>
      <c r="AI309" s="618">
        <f t="shared" si="12"/>
        <v>0</v>
      </c>
      <c r="AJ309" s="7"/>
      <c r="AK309" s="7"/>
      <c r="AL309" s="7"/>
      <c r="AM309" s="7"/>
      <c r="AN309" s="7"/>
      <c r="AO309" s="7"/>
    </row>
    <row r="310" spans="1:41" ht="21" customHeight="1">
      <c r="A310" s="486"/>
      <c r="B310" s="487" t="s">
        <v>683</v>
      </c>
      <c r="C310" s="655" t="s">
        <v>684</v>
      </c>
      <c r="D310" s="485" t="s">
        <v>271</v>
      </c>
      <c r="E310" s="632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5"/>
      <c r="R310" s="213"/>
      <c r="S310" s="632"/>
      <c r="T310" s="214"/>
      <c r="U310" s="215"/>
      <c r="V310" s="215"/>
      <c r="W310" s="215"/>
      <c r="X310" s="215"/>
      <c r="Y310" s="372"/>
      <c r="Z310" s="620"/>
      <c r="AA310" s="643"/>
      <c r="AB310" s="616">
        <f t="shared" si="11"/>
        <v>0</v>
      </c>
      <c r="AC310" s="633"/>
      <c r="AD310" s="636"/>
      <c r="AE310" s="636"/>
      <c r="AF310" s="7"/>
      <c r="AG310" s="628"/>
      <c r="AH310" s="7"/>
      <c r="AI310" s="618">
        <f t="shared" si="12"/>
        <v>0</v>
      </c>
      <c r="AJ310" s="7"/>
      <c r="AK310" s="7"/>
      <c r="AL310" s="7"/>
      <c r="AM310" s="7"/>
      <c r="AN310" s="7"/>
      <c r="AO310" s="7"/>
    </row>
    <row r="311" spans="1:41" ht="21" customHeight="1">
      <c r="A311" s="503"/>
      <c r="B311" s="483" t="s">
        <v>685</v>
      </c>
      <c r="C311" s="629" t="s">
        <v>131</v>
      </c>
      <c r="D311" s="504" t="s">
        <v>271</v>
      </c>
      <c r="E311" s="632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5"/>
      <c r="R311" s="213"/>
      <c r="S311" s="632"/>
      <c r="T311" s="214"/>
      <c r="U311" s="215"/>
      <c r="V311" s="215"/>
      <c r="W311" s="215"/>
      <c r="X311" s="215"/>
      <c r="Y311" s="372"/>
      <c r="Z311" s="647"/>
      <c r="AA311" s="643"/>
      <c r="AB311" s="616">
        <f t="shared" si="11"/>
        <v>0</v>
      </c>
      <c r="AC311" s="633"/>
      <c r="AD311" s="648"/>
      <c r="AE311" s="648"/>
      <c r="AF311" s="7"/>
      <c r="AG311" s="628"/>
      <c r="AH311" s="7"/>
      <c r="AI311" s="618">
        <f t="shared" si="12"/>
        <v>0</v>
      </c>
      <c r="AJ311" s="7"/>
      <c r="AK311" s="7"/>
      <c r="AL311" s="7"/>
      <c r="AM311" s="7"/>
      <c r="AN311" s="7"/>
      <c r="AO311" s="7"/>
    </row>
    <row r="312" spans="1:41" ht="21" customHeight="1">
      <c r="A312" s="503"/>
      <c r="B312" s="483" t="s">
        <v>686</v>
      </c>
      <c r="C312" s="629" t="s">
        <v>200</v>
      </c>
      <c r="D312" s="504" t="s">
        <v>271</v>
      </c>
      <c r="E312" s="632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5"/>
      <c r="R312" s="213"/>
      <c r="S312" s="632"/>
      <c r="T312" s="214"/>
      <c r="U312" s="215"/>
      <c r="V312" s="215"/>
      <c r="W312" s="215"/>
      <c r="X312" s="215"/>
      <c r="Y312" s="372"/>
      <c r="Z312" s="647"/>
      <c r="AA312" s="643"/>
      <c r="AB312" s="616">
        <f t="shared" si="11"/>
        <v>0</v>
      </c>
      <c r="AC312" s="633"/>
      <c r="AD312" s="648"/>
      <c r="AE312" s="648"/>
      <c r="AF312" s="7"/>
      <c r="AG312" s="628"/>
      <c r="AH312" s="7"/>
      <c r="AI312" s="618">
        <f t="shared" si="12"/>
        <v>0</v>
      </c>
      <c r="AJ312" s="7"/>
      <c r="AK312" s="7"/>
      <c r="AL312" s="7"/>
      <c r="AM312" s="7"/>
      <c r="AN312" s="7"/>
      <c r="AO312" s="7"/>
    </row>
    <row r="313" spans="1:41" ht="21" customHeight="1">
      <c r="A313" s="503"/>
      <c r="B313" s="483" t="s">
        <v>687</v>
      </c>
      <c r="C313" s="629" t="s">
        <v>203</v>
      </c>
      <c r="D313" s="504" t="s">
        <v>271</v>
      </c>
      <c r="E313" s="632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5"/>
      <c r="R313" s="213"/>
      <c r="S313" s="632"/>
      <c r="T313" s="214"/>
      <c r="U313" s="215"/>
      <c r="V313" s="215"/>
      <c r="W313" s="215"/>
      <c r="X313" s="215"/>
      <c r="Y313" s="372"/>
      <c r="Z313" s="647"/>
      <c r="AA313" s="643"/>
      <c r="AB313" s="616">
        <f t="shared" si="11"/>
        <v>0</v>
      </c>
      <c r="AC313" s="633"/>
      <c r="AD313" s="648"/>
      <c r="AE313" s="648"/>
      <c r="AF313" s="7"/>
      <c r="AG313" s="628"/>
      <c r="AH313" s="7"/>
      <c r="AI313" s="618">
        <f t="shared" si="12"/>
        <v>0</v>
      </c>
      <c r="AJ313" s="7"/>
      <c r="AK313" s="7"/>
      <c r="AL313" s="7"/>
      <c r="AM313" s="7"/>
      <c r="AN313" s="7"/>
      <c r="AO313" s="7"/>
    </row>
    <row r="314" spans="1:41" ht="21" customHeight="1">
      <c r="A314" s="503"/>
      <c r="B314" s="483" t="s">
        <v>688</v>
      </c>
      <c r="C314" s="629" t="s">
        <v>159</v>
      </c>
      <c r="D314" s="504" t="s">
        <v>271</v>
      </c>
      <c r="E314" s="632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5"/>
      <c r="R314" s="213"/>
      <c r="S314" s="632"/>
      <c r="T314" s="214"/>
      <c r="U314" s="215"/>
      <c r="V314" s="215"/>
      <c r="W314" s="215"/>
      <c r="X314" s="215"/>
      <c r="Y314" s="372"/>
      <c r="Z314" s="647"/>
      <c r="AA314" s="643"/>
      <c r="AB314" s="616">
        <f t="shared" si="11"/>
        <v>0</v>
      </c>
      <c r="AC314" s="633"/>
      <c r="AD314" s="648"/>
      <c r="AE314" s="648"/>
      <c r="AF314" s="7"/>
      <c r="AG314" s="628"/>
      <c r="AH314" s="7"/>
      <c r="AI314" s="618">
        <f t="shared" si="12"/>
        <v>0</v>
      </c>
      <c r="AJ314" s="7"/>
      <c r="AK314" s="7"/>
      <c r="AL314" s="7"/>
      <c r="AM314" s="7"/>
      <c r="AN314" s="7"/>
      <c r="AO314" s="7"/>
    </row>
    <row r="315" spans="1:41" ht="21" customHeight="1">
      <c r="A315" s="486"/>
      <c r="B315" s="487" t="s">
        <v>689</v>
      </c>
      <c r="C315" s="635" t="s">
        <v>690</v>
      </c>
      <c r="D315" s="512" t="s">
        <v>271</v>
      </c>
      <c r="E315" s="632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5"/>
      <c r="R315" s="213"/>
      <c r="S315" s="632"/>
      <c r="T315" s="214"/>
      <c r="U315" s="215"/>
      <c r="V315" s="215"/>
      <c r="W315" s="215"/>
      <c r="X315" s="215"/>
      <c r="Y315" s="372"/>
      <c r="Z315" s="647"/>
      <c r="AA315" s="643"/>
      <c r="AB315" s="616">
        <f t="shared" si="11"/>
        <v>0</v>
      </c>
      <c r="AC315" s="633"/>
      <c r="AD315" s="636"/>
      <c r="AE315" s="636"/>
      <c r="AF315" s="7"/>
      <c r="AG315" s="628"/>
      <c r="AH315" s="7"/>
      <c r="AI315" s="618">
        <f t="shared" si="12"/>
        <v>0</v>
      </c>
      <c r="AJ315" s="7"/>
      <c r="AK315" s="7"/>
      <c r="AL315" s="7"/>
      <c r="AM315" s="7"/>
      <c r="AN315" s="7"/>
      <c r="AO315" s="7"/>
    </row>
    <row r="316" spans="1:41" ht="21" customHeight="1">
      <c r="A316" s="503"/>
      <c r="B316" s="483" t="s">
        <v>692</v>
      </c>
      <c r="C316" s="629" t="s">
        <v>131</v>
      </c>
      <c r="D316" s="504" t="s">
        <v>271</v>
      </c>
      <c r="E316" s="632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5"/>
      <c r="R316" s="213"/>
      <c r="S316" s="632"/>
      <c r="T316" s="214"/>
      <c r="U316" s="215"/>
      <c r="V316" s="215"/>
      <c r="W316" s="215"/>
      <c r="X316" s="215"/>
      <c r="Y316" s="372"/>
      <c r="Z316" s="647"/>
      <c r="AA316" s="643"/>
      <c r="AB316" s="616">
        <f t="shared" si="11"/>
        <v>0</v>
      </c>
      <c r="AC316" s="633"/>
      <c r="AD316" s="648"/>
      <c r="AE316" s="648"/>
      <c r="AF316" s="7"/>
      <c r="AG316" s="628"/>
      <c r="AH316" s="7"/>
      <c r="AI316" s="618">
        <f t="shared" si="12"/>
        <v>0</v>
      </c>
      <c r="AJ316" s="7"/>
      <c r="AK316" s="7"/>
      <c r="AL316" s="7"/>
      <c r="AM316" s="7"/>
      <c r="AN316" s="7"/>
      <c r="AO316" s="7"/>
    </row>
    <row r="317" spans="1:41" ht="21" customHeight="1">
      <c r="A317" s="503"/>
      <c r="B317" s="483" t="s">
        <v>693</v>
      </c>
      <c r="C317" s="629" t="s">
        <v>200</v>
      </c>
      <c r="D317" s="504" t="s">
        <v>271</v>
      </c>
      <c r="E317" s="632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5"/>
      <c r="R317" s="213"/>
      <c r="S317" s="632"/>
      <c r="T317" s="214"/>
      <c r="U317" s="215"/>
      <c r="V317" s="215"/>
      <c r="W317" s="215"/>
      <c r="X317" s="215"/>
      <c r="Y317" s="372"/>
      <c r="Z317" s="647"/>
      <c r="AA317" s="643"/>
      <c r="AB317" s="616">
        <f t="shared" si="11"/>
        <v>0</v>
      </c>
      <c r="AC317" s="633"/>
      <c r="AD317" s="648"/>
      <c r="AE317" s="648"/>
      <c r="AF317" s="7"/>
      <c r="AG317" s="628"/>
      <c r="AH317" s="7"/>
      <c r="AI317" s="618">
        <f t="shared" si="12"/>
        <v>0</v>
      </c>
      <c r="AJ317" s="7"/>
      <c r="AK317" s="7"/>
      <c r="AL317" s="7"/>
      <c r="AM317" s="7"/>
      <c r="AN317" s="7"/>
      <c r="AO317" s="7"/>
    </row>
    <row r="318" spans="1:41" ht="21" customHeight="1">
      <c r="A318" s="503"/>
      <c r="B318" s="483" t="s">
        <v>694</v>
      </c>
      <c r="C318" s="629" t="s">
        <v>203</v>
      </c>
      <c r="D318" s="504" t="s">
        <v>271</v>
      </c>
      <c r="E318" s="632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5"/>
      <c r="R318" s="213"/>
      <c r="S318" s="632"/>
      <c r="T318" s="214"/>
      <c r="U318" s="215"/>
      <c r="V318" s="215"/>
      <c r="W318" s="215"/>
      <c r="X318" s="215"/>
      <c r="Y318" s="372"/>
      <c r="Z318" s="647"/>
      <c r="AA318" s="643"/>
      <c r="AB318" s="616">
        <f t="shared" si="11"/>
        <v>0</v>
      </c>
      <c r="AC318" s="633"/>
      <c r="AD318" s="648"/>
      <c r="AE318" s="648"/>
      <c r="AF318" s="7"/>
      <c r="AG318" s="628"/>
      <c r="AH318" s="7"/>
      <c r="AI318" s="618">
        <f t="shared" si="12"/>
        <v>0</v>
      </c>
      <c r="AJ318" s="7"/>
      <c r="AK318" s="7"/>
      <c r="AL318" s="7"/>
      <c r="AM318" s="7"/>
      <c r="AN318" s="7"/>
      <c r="AO318" s="7"/>
    </row>
    <row r="319" spans="1:41" ht="21" customHeight="1">
      <c r="A319" s="503"/>
      <c r="B319" s="483" t="s">
        <v>695</v>
      </c>
      <c r="C319" s="629" t="s">
        <v>159</v>
      </c>
      <c r="D319" s="504" t="s">
        <v>271</v>
      </c>
      <c r="E319" s="632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5"/>
      <c r="R319" s="213"/>
      <c r="S319" s="632"/>
      <c r="T319" s="214"/>
      <c r="U319" s="215"/>
      <c r="V319" s="215"/>
      <c r="W319" s="215"/>
      <c r="X319" s="215"/>
      <c r="Y319" s="372"/>
      <c r="Z319" s="647"/>
      <c r="AA319" s="643"/>
      <c r="AB319" s="616">
        <f t="shared" si="11"/>
        <v>0</v>
      </c>
      <c r="AC319" s="633"/>
      <c r="AD319" s="648"/>
      <c r="AE319" s="648"/>
      <c r="AF319" s="7"/>
      <c r="AG319" s="628"/>
      <c r="AH319" s="7"/>
      <c r="AI319" s="618">
        <f t="shared" si="12"/>
        <v>0</v>
      </c>
      <c r="AJ319" s="7"/>
      <c r="AK319" s="7"/>
      <c r="AL319" s="7"/>
      <c r="AM319" s="7"/>
      <c r="AN319" s="7"/>
      <c r="AO319" s="7"/>
    </row>
    <row r="320" spans="1:41" ht="21" customHeight="1">
      <c r="A320" s="486"/>
      <c r="B320" s="487" t="s">
        <v>696</v>
      </c>
      <c r="C320" s="635" t="s">
        <v>697</v>
      </c>
      <c r="D320" s="412" t="s">
        <v>271</v>
      </c>
      <c r="E320" s="632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5"/>
      <c r="R320" s="213"/>
      <c r="S320" s="632"/>
      <c r="T320" s="214"/>
      <c r="U320" s="215"/>
      <c r="V320" s="215"/>
      <c r="W320" s="215"/>
      <c r="X320" s="215"/>
      <c r="Y320" s="372"/>
      <c r="Z320" s="620"/>
      <c r="AA320" s="643"/>
      <c r="AB320" s="616">
        <f t="shared" si="11"/>
        <v>0</v>
      </c>
      <c r="AC320" s="633"/>
      <c r="AD320" s="636"/>
      <c r="AE320" s="636"/>
      <c r="AF320" s="7"/>
      <c r="AG320" s="628"/>
      <c r="AH320" s="7"/>
      <c r="AI320" s="618">
        <f t="shared" si="12"/>
        <v>0</v>
      </c>
      <c r="AJ320" s="7"/>
      <c r="AK320" s="7"/>
      <c r="AL320" s="7"/>
      <c r="AM320" s="7"/>
      <c r="AN320" s="7"/>
      <c r="AO320" s="7"/>
    </row>
    <row r="321" spans="1:41" ht="21" customHeight="1">
      <c r="A321" s="503"/>
      <c r="B321" s="483" t="s">
        <v>699</v>
      </c>
      <c r="C321" s="629" t="s">
        <v>131</v>
      </c>
      <c r="D321" s="504" t="s">
        <v>271</v>
      </c>
      <c r="E321" s="632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5"/>
      <c r="R321" s="213"/>
      <c r="S321" s="632"/>
      <c r="T321" s="214"/>
      <c r="U321" s="215"/>
      <c r="V321" s="215"/>
      <c r="W321" s="215"/>
      <c r="X321" s="215"/>
      <c r="Y321" s="372"/>
      <c r="Z321" s="647"/>
      <c r="AA321" s="643"/>
      <c r="AB321" s="616">
        <f t="shared" si="11"/>
        <v>0</v>
      </c>
      <c r="AC321" s="633"/>
      <c r="AD321" s="636"/>
      <c r="AE321" s="636"/>
      <c r="AF321" s="7"/>
      <c r="AG321" s="628"/>
      <c r="AH321" s="7"/>
      <c r="AI321" s="618">
        <f t="shared" si="12"/>
        <v>0</v>
      </c>
      <c r="AJ321" s="7"/>
      <c r="AK321" s="7"/>
      <c r="AL321" s="7"/>
      <c r="AM321" s="7"/>
      <c r="AN321" s="7"/>
      <c r="AO321" s="7"/>
    </row>
    <row r="322" spans="1:41" ht="21" customHeight="1">
      <c r="A322" s="503"/>
      <c r="B322" s="483" t="s">
        <v>700</v>
      </c>
      <c r="C322" s="629" t="s">
        <v>200</v>
      </c>
      <c r="D322" s="504" t="s">
        <v>271</v>
      </c>
      <c r="E322" s="632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5"/>
      <c r="R322" s="213"/>
      <c r="S322" s="632"/>
      <c r="T322" s="214"/>
      <c r="U322" s="215"/>
      <c r="V322" s="215"/>
      <c r="W322" s="215"/>
      <c r="X322" s="215"/>
      <c r="Y322" s="372"/>
      <c r="Z322" s="647"/>
      <c r="AA322" s="643"/>
      <c r="AB322" s="616">
        <f t="shared" si="11"/>
        <v>0</v>
      </c>
      <c r="AC322" s="633"/>
      <c r="AD322" s="636"/>
      <c r="AE322" s="636"/>
      <c r="AF322" s="7"/>
      <c r="AG322" s="628"/>
      <c r="AH322" s="7"/>
      <c r="AI322" s="618">
        <f t="shared" si="12"/>
        <v>0</v>
      </c>
      <c r="AJ322" s="7"/>
      <c r="AK322" s="7"/>
      <c r="AL322" s="7"/>
      <c r="AM322" s="7"/>
      <c r="AN322" s="7"/>
      <c r="AO322" s="7"/>
    </row>
    <row r="323" spans="1:41" ht="21" customHeight="1">
      <c r="A323" s="503"/>
      <c r="B323" s="483" t="s">
        <v>701</v>
      </c>
      <c r="C323" s="629" t="s">
        <v>203</v>
      </c>
      <c r="D323" s="504" t="s">
        <v>271</v>
      </c>
      <c r="E323" s="632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5"/>
      <c r="R323" s="213"/>
      <c r="S323" s="632"/>
      <c r="T323" s="214"/>
      <c r="U323" s="215"/>
      <c r="V323" s="215"/>
      <c r="W323" s="215"/>
      <c r="X323" s="215"/>
      <c r="Y323" s="372"/>
      <c r="Z323" s="647"/>
      <c r="AA323" s="643"/>
      <c r="AB323" s="616">
        <f t="shared" si="11"/>
        <v>0</v>
      </c>
      <c r="AC323" s="633"/>
      <c r="AD323" s="636"/>
      <c r="AE323" s="636"/>
      <c r="AF323" s="7"/>
      <c r="AG323" s="628"/>
      <c r="AH323" s="7"/>
      <c r="AI323" s="618">
        <f t="shared" si="12"/>
        <v>0</v>
      </c>
      <c r="AJ323" s="7"/>
      <c r="AK323" s="7"/>
      <c r="AL323" s="7"/>
      <c r="AM323" s="7"/>
      <c r="AN323" s="7"/>
      <c r="AO323" s="7"/>
    </row>
    <row r="324" spans="1:41" ht="21" customHeight="1">
      <c r="A324" s="503"/>
      <c r="B324" s="483" t="s">
        <v>702</v>
      </c>
      <c r="C324" s="629" t="s">
        <v>159</v>
      </c>
      <c r="D324" s="504" t="s">
        <v>271</v>
      </c>
      <c r="E324" s="632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5"/>
      <c r="R324" s="213"/>
      <c r="S324" s="632"/>
      <c r="T324" s="214"/>
      <c r="U324" s="215"/>
      <c r="V324" s="215"/>
      <c r="W324" s="215"/>
      <c r="X324" s="215"/>
      <c r="Y324" s="372"/>
      <c r="Z324" s="647"/>
      <c r="AA324" s="643"/>
      <c r="AB324" s="616">
        <f t="shared" si="11"/>
        <v>0</v>
      </c>
      <c r="AC324" s="633"/>
      <c r="AD324" s="636"/>
      <c r="AE324" s="636"/>
      <c r="AF324" s="7"/>
      <c r="AG324" s="628"/>
      <c r="AH324" s="7"/>
      <c r="AI324" s="618">
        <f t="shared" si="12"/>
        <v>0</v>
      </c>
      <c r="AJ324" s="7"/>
      <c r="AK324" s="7"/>
      <c r="AL324" s="7"/>
      <c r="AM324" s="7"/>
      <c r="AN324" s="7"/>
      <c r="AO324" s="7"/>
    </row>
    <row r="325" spans="1:41" ht="33.75" customHeight="1">
      <c r="A325" s="486"/>
      <c r="B325" s="487" t="s">
        <v>703</v>
      </c>
      <c r="C325" s="656" t="s">
        <v>704</v>
      </c>
      <c r="D325" s="519" t="s">
        <v>2212</v>
      </c>
      <c r="E325" s="632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5"/>
      <c r="R325" s="213"/>
      <c r="S325" s="632"/>
      <c r="T325" s="214"/>
      <c r="U325" s="215"/>
      <c r="V325" s="215"/>
      <c r="W325" s="215"/>
      <c r="X325" s="215"/>
      <c r="Y325" s="372"/>
      <c r="Z325" s="193"/>
      <c r="AA325" s="643"/>
      <c r="AB325" s="616">
        <f t="shared" si="11"/>
        <v>0</v>
      </c>
      <c r="AC325" s="633"/>
      <c r="AD325" s="636"/>
      <c r="AE325" s="636"/>
      <c r="AF325" s="7"/>
      <c r="AG325" s="628"/>
      <c r="AH325" s="7"/>
      <c r="AI325" s="618">
        <f t="shared" si="12"/>
        <v>0</v>
      </c>
      <c r="AJ325" s="7"/>
      <c r="AK325" s="7"/>
      <c r="AL325" s="7"/>
      <c r="AM325" s="7"/>
      <c r="AN325" s="7"/>
      <c r="AO325" s="7"/>
    </row>
    <row r="326" spans="1:41" ht="25.5" customHeight="1">
      <c r="A326" s="503"/>
      <c r="B326" s="483" t="s">
        <v>707</v>
      </c>
      <c r="C326" s="629" t="s">
        <v>131</v>
      </c>
      <c r="D326" s="354" t="s">
        <v>2213</v>
      </c>
      <c r="E326" s="632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5"/>
      <c r="R326" s="213"/>
      <c r="S326" s="632"/>
      <c r="T326" s="214"/>
      <c r="U326" s="215"/>
      <c r="V326" s="215"/>
      <c r="W326" s="215"/>
      <c r="X326" s="215"/>
      <c r="Y326" s="372"/>
      <c r="Z326" s="193"/>
      <c r="AA326" s="643"/>
      <c r="AB326" s="616">
        <f t="shared" si="11"/>
        <v>0</v>
      </c>
      <c r="AC326" s="633"/>
      <c r="AD326" s="634"/>
      <c r="AE326" s="634"/>
      <c r="AF326" s="7"/>
      <c r="AG326" s="628"/>
      <c r="AH326" s="7"/>
      <c r="AI326" s="618">
        <f t="shared" si="12"/>
        <v>0</v>
      </c>
      <c r="AJ326" s="7"/>
      <c r="AK326" s="7"/>
      <c r="AL326" s="7"/>
      <c r="AM326" s="7"/>
      <c r="AN326" s="7"/>
      <c r="AO326" s="7"/>
    </row>
    <row r="327" spans="1:41" ht="21" customHeight="1">
      <c r="A327" s="503"/>
      <c r="B327" s="483" t="s">
        <v>709</v>
      </c>
      <c r="C327" s="629" t="s">
        <v>200</v>
      </c>
      <c r="D327" s="354" t="s">
        <v>2214</v>
      </c>
      <c r="E327" s="632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5"/>
      <c r="R327" s="213"/>
      <c r="S327" s="632"/>
      <c r="T327" s="214"/>
      <c r="U327" s="215"/>
      <c r="V327" s="215"/>
      <c r="W327" s="215"/>
      <c r="X327" s="215"/>
      <c r="Y327" s="372"/>
      <c r="Z327" s="193"/>
      <c r="AA327" s="643"/>
      <c r="AB327" s="616">
        <f t="shared" si="11"/>
        <v>0</v>
      </c>
      <c r="AC327" s="633"/>
      <c r="AD327" s="636"/>
      <c r="AE327" s="636"/>
      <c r="AF327" s="7"/>
      <c r="AG327" s="628"/>
      <c r="AH327" s="7"/>
      <c r="AI327" s="618">
        <f t="shared" si="12"/>
        <v>0</v>
      </c>
      <c r="AJ327" s="7"/>
      <c r="AK327" s="7"/>
      <c r="AL327" s="7"/>
      <c r="AM327" s="7"/>
      <c r="AN327" s="7"/>
      <c r="AO327" s="7"/>
    </row>
    <row r="328" spans="1:41" ht="21" customHeight="1">
      <c r="A328" s="503"/>
      <c r="B328" s="483" t="s">
        <v>711</v>
      </c>
      <c r="C328" s="629" t="s">
        <v>203</v>
      </c>
      <c r="D328" s="354" t="s">
        <v>2215</v>
      </c>
      <c r="E328" s="632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5"/>
      <c r="R328" s="213"/>
      <c r="S328" s="632"/>
      <c r="T328" s="214"/>
      <c r="U328" s="215"/>
      <c r="V328" s="215"/>
      <c r="W328" s="215"/>
      <c r="X328" s="215"/>
      <c r="Y328" s="372"/>
      <c r="Z328" s="193"/>
      <c r="AA328" s="643"/>
      <c r="AB328" s="616">
        <f t="shared" si="11"/>
        <v>0</v>
      </c>
      <c r="AC328" s="633"/>
      <c r="AD328" s="636"/>
      <c r="AE328" s="636"/>
      <c r="AF328" s="7"/>
      <c r="AG328" s="628"/>
      <c r="AH328" s="7"/>
      <c r="AI328" s="618">
        <f t="shared" si="12"/>
        <v>0</v>
      </c>
      <c r="AJ328" s="7"/>
      <c r="AK328" s="7"/>
      <c r="AL328" s="7"/>
      <c r="AM328" s="7"/>
      <c r="AN328" s="7"/>
      <c r="AO328" s="7"/>
    </row>
    <row r="329" spans="1:41" ht="21" customHeight="1">
      <c r="A329" s="503"/>
      <c r="B329" s="483" t="s">
        <v>713</v>
      </c>
      <c r="C329" s="629" t="s">
        <v>159</v>
      </c>
      <c r="D329" s="354" t="s">
        <v>2216</v>
      </c>
      <c r="E329" s="632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5"/>
      <c r="R329" s="213"/>
      <c r="S329" s="632"/>
      <c r="T329" s="214"/>
      <c r="U329" s="215"/>
      <c r="V329" s="215"/>
      <c r="W329" s="215"/>
      <c r="X329" s="215"/>
      <c r="Y329" s="372"/>
      <c r="Z329" s="193"/>
      <c r="AA329" s="643"/>
      <c r="AB329" s="616">
        <f t="shared" si="11"/>
        <v>0</v>
      </c>
      <c r="AC329" s="633"/>
      <c r="AD329" s="636"/>
      <c r="AE329" s="636"/>
      <c r="AF329" s="7"/>
      <c r="AG329" s="628"/>
      <c r="AH329" s="7"/>
      <c r="AI329" s="618">
        <f t="shared" si="12"/>
        <v>0</v>
      </c>
      <c r="AJ329" s="7"/>
      <c r="AK329" s="7"/>
      <c r="AL329" s="7"/>
      <c r="AM329" s="7"/>
      <c r="AN329" s="7"/>
      <c r="AO329" s="7"/>
    </row>
    <row r="330" spans="1:41" ht="30.75" customHeight="1">
      <c r="A330" s="486"/>
      <c r="B330" s="487" t="s">
        <v>715</v>
      </c>
      <c r="C330" s="656" t="s">
        <v>716</v>
      </c>
      <c r="D330" s="412" t="s">
        <v>717</v>
      </c>
      <c r="E330" s="632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5"/>
      <c r="R330" s="213"/>
      <c r="S330" s="632"/>
      <c r="T330" s="214"/>
      <c r="U330" s="215"/>
      <c r="V330" s="215"/>
      <c r="W330" s="215"/>
      <c r="X330" s="215"/>
      <c r="Y330" s="372"/>
      <c r="Z330" s="620"/>
      <c r="AA330" s="643"/>
      <c r="AB330" s="616">
        <f t="shared" si="11"/>
        <v>0</v>
      </c>
      <c r="AC330" s="633"/>
      <c r="AD330" s="636"/>
      <c r="AE330" s="636"/>
      <c r="AF330" s="7"/>
      <c r="AG330" s="628"/>
      <c r="AH330" s="7"/>
      <c r="AI330" s="618">
        <f t="shared" si="12"/>
        <v>0</v>
      </c>
      <c r="AJ330" s="7"/>
      <c r="AK330" s="7"/>
      <c r="AL330" s="7"/>
      <c r="AM330" s="7"/>
      <c r="AN330" s="7"/>
      <c r="AO330" s="7"/>
    </row>
    <row r="331" spans="1:41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632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5"/>
      <c r="R331" s="213"/>
      <c r="S331" s="632"/>
      <c r="T331" s="214"/>
      <c r="U331" s="215"/>
      <c r="V331" s="215"/>
      <c r="W331" s="215"/>
      <c r="X331" s="215"/>
      <c r="Y331" s="372"/>
      <c r="Z331" s="647"/>
      <c r="AA331" s="643"/>
      <c r="AB331" s="616">
        <f t="shared" si="11"/>
        <v>0</v>
      </c>
      <c r="AC331" s="633"/>
      <c r="AD331" s="654"/>
      <c r="AE331" s="654"/>
      <c r="AF331" s="7"/>
      <c r="AG331" s="628"/>
      <c r="AH331" s="7"/>
      <c r="AI331" s="618">
        <f t="shared" si="12"/>
        <v>0</v>
      </c>
      <c r="AJ331" s="7"/>
      <c r="AK331" s="7"/>
      <c r="AL331" s="7"/>
      <c r="AM331" s="7"/>
      <c r="AN331" s="7"/>
      <c r="AO331" s="7"/>
    </row>
    <row r="332" spans="1:41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632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5"/>
      <c r="R332" s="213"/>
      <c r="S332" s="632"/>
      <c r="T332" s="214"/>
      <c r="U332" s="215"/>
      <c r="V332" s="215"/>
      <c r="W332" s="215"/>
      <c r="X332" s="215"/>
      <c r="Y332" s="372"/>
      <c r="Z332" s="647"/>
      <c r="AA332" s="643"/>
      <c r="AB332" s="616">
        <f t="shared" si="11"/>
        <v>0</v>
      </c>
      <c r="AC332" s="633"/>
      <c r="AD332" s="648"/>
      <c r="AE332" s="648"/>
      <c r="AF332" s="7"/>
      <c r="AG332" s="628"/>
      <c r="AH332" s="7"/>
      <c r="AI332" s="618">
        <f t="shared" si="12"/>
        <v>0</v>
      </c>
      <c r="AJ332" s="7"/>
      <c r="AK332" s="7"/>
      <c r="AL332" s="7"/>
      <c r="AM332" s="7"/>
      <c r="AN332" s="7"/>
      <c r="AO332" s="7"/>
    </row>
    <row r="333" spans="1:41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632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5"/>
      <c r="R333" s="213"/>
      <c r="S333" s="632"/>
      <c r="T333" s="214"/>
      <c r="U333" s="215"/>
      <c r="V333" s="215"/>
      <c r="W333" s="215"/>
      <c r="X333" s="215"/>
      <c r="Y333" s="372"/>
      <c r="Z333" s="647"/>
      <c r="AA333" s="643"/>
      <c r="AB333" s="616">
        <f t="shared" si="11"/>
        <v>0</v>
      </c>
      <c r="AC333" s="633"/>
      <c r="AD333" s="648"/>
      <c r="AE333" s="648"/>
      <c r="AF333" s="7"/>
      <c r="AG333" s="628"/>
      <c r="AH333" s="7"/>
      <c r="AI333" s="618">
        <f t="shared" si="12"/>
        <v>0</v>
      </c>
      <c r="AJ333" s="7"/>
      <c r="AK333" s="7"/>
      <c r="AL333" s="7"/>
      <c r="AM333" s="7"/>
      <c r="AN333" s="7"/>
      <c r="AO333" s="7"/>
    </row>
    <row r="334" spans="1:41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632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5"/>
      <c r="R334" s="213"/>
      <c r="S334" s="632"/>
      <c r="T334" s="214"/>
      <c r="U334" s="215"/>
      <c r="V334" s="215"/>
      <c r="W334" s="215"/>
      <c r="X334" s="215"/>
      <c r="Y334" s="372"/>
      <c r="Z334" s="647"/>
      <c r="AA334" s="643"/>
      <c r="AB334" s="616">
        <f t="shared" si="11"/>
        <v>0</v>
      </c>
      <c r="AC334" s="633"/>
      <c r="AD334" s="648"/>
      <c r="AE334" s="648"/>
      <c r="AF334" s="7"/>
      <c r="AG334" s="628"/>
      <c r="AH334" s="7"/>
      <c r="AI334" s="618">
        <f t="shared" si="12"/>
        <v>0</v>
      </c>
      <c r="AJ334" s="7"/>
      <c r="AK334" s="7"/>
      <c r="AL334" s="7"/>
      <c r="AM334" s="7"/>
      <c r="AN334" s="7"/>
      <c r="AO334" s="7"/>
    </row>
    <row r="335" spans="1:41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632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5"/>
      <c r="R335" s="213"/>
      <c r="S335" s="632"/>
      <c r="T335" s="214"/>
      <c r="U335" s="215"/>
      <c r="V335" s="215"/>
      <c r="W335" s="215"/>
      <c r="X335" s="215"/>
      <c r="Y335" s="372"/>
      <c r="Z335" s="647"/>
      <c r="AA335" s="643"/>
      <c r="AB335" s="616">
        <f t="shared" si="11"/>
        <v>0</v>
      </c>
      <c r="AC335" s="633"/>
      <c r="AD335" s="648"/>
      <c r="AE335" s="648"/>
      <c r="AF335" s="7"/>
      <c r="AG335" s="628"/>
      <c r="AH335" s="7"/>
      <c r="AI335" s="618">
        <f t="shared" si="12"/>
        <v>0</v>
      </c>
      <c r="AJ335" s="7"/>
      <c r="AK335" s="7"/>
      <c r="AL335" s="7"/>
      <c r="AM335" s="7"/>
      <c r="AN335" s="7"/>
      <c r="AO335" s="7"/>
    </row>
    <row r="336" spans="1:41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632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5"/>
      <c r="R336" s="213"/>
      <c r="S336" s="632"/>
      <c r="T336" s="214"/>
      <c r="U336" s="215"/>
      <c r="V336" s="215"/>
      <c r="W336" s="215"/>
      <c r="X336" s="215"/>
      <c r="Y336" s="372"/>
      <c r="Z336" s="647"/>
      <c r="AA336" s="643"/>
      <c r="AB336" s="616">
        <f t="shared" si="11"/>
        <v>0</v>
      </c>
      <c r="AC336" s="633"/>
      <c r="AD336" s="654"/>
      <c r="AE336" s="654"/>
      <c r="AF336" s="7"/>
      <c r="AG336" s="628"/>
      <c r="AH336" s="7"/>
      <c r="AI336" s="618">
        <f t="shared" si="12"/>
        <v>0</v>
      </c>
      <c r="AJ336" s="7"/>
      <c r="AK336" s="7"/>
      <c r="AL336" s="7"/>
      <c r="AM336" s="7"/>
      <c r="AN336" s="7"/>
      <c r="AO336" s="7"/>
    </row>
    <row r="337" spans="1:41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632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5"/>
      <c r="R337" s="213"/>
      <c r="S337" s="632"/>
      <c r="T337" s="214"/>
      <c r="U337" s="215"/>
      <c r="V337" s="215"/>
      <c r="W337" s="215"/>
      <c r="X337" s="215"/>
      <c r="Y337" s="372"/>
      <c r="Z337" s="647"/>
      <c r="AA337" s="643"/>
      <c r="AB337" s="616">
        <f t="shared" si="11"/>
        <v>0</v>
      </c>
      <c r="AC337" s="633"/>
      <c r="AD337" s="654"/>
      <c r="AE337" s="654"/>
      <c r="AF337" s="7"/>
      <c r="AG337" s="628"/>
      <c r="AH337" s="7"/>
      <c r="AI337" s="618">
        <f t="shared" si="12"/>
        <v>0</v>
      </c>
      <c r="AJ337" s="7"/>
      <c r="AK337" s="7"/>
      <c r="AL337" s="7"/>
      <c r="AM337" s="7"/>
      <c r="AN337" s="7"/>
      <c r="AO337" s="7"/>
    </row>
    <row r="338" spans="1:41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632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5"/>
      <c r="R338" s="213"/>
      <c r="S338" s="632"/>
      <c r="T338" s="214"/>
      <c r="U338" s="215"/>
      <c r="V338" s="215"/>
      <c r="W338" s="215"/>
      <c r="X338" s="215"/>
      <c r="Y338" s="372"/>
      <c r="Z338" s="647"/>
      <c r="AA338" s="643"/>
      <c r="AB338" s="616">
        <f t="shared" si="11"/>
        <v>0</v>
      </c>
      <c r="AC338" s="633"/>
      <c r="AD338" s="654"/>
      <c r="AE338" s="654"/>
      <c r="AF338" s="7"/>
      <c r="AG338" s="628"/>
      <c r="AH338" s="7"/>
      <c r="AI338" s="618">
        <f t="shared" si="12"/>
        <v>0</v>
      </c>
      <c r="AJ338" s="7"/>
      <c r="AK338" s="7"/>
      <c r="AL338" s="7"/>
      <c r="AM338" s="7"/>
      <c r="AN338" s="7"/>
      <c r="AO338" s="7"/>
    </row>
    <row r="339" spans="1:41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632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5"/>
      <c r="R339" s="213"/>
      <c r="S339" s="632"/>
      <c r="T339" s="214"/>
      <c r="U339" s="215"/>
      <c r="V339" s="215"/>
      <c r="W339" s="215"/>
      <c r="X339" s="215"/>
      <c r="Y339" s="372"/>
      <c r="Z339" s="647"/>
      <c r="AA339" s="643"/>
      <c r="AB339" s="616">
        <f t="shared" si="11"/>
        <v>0</v>
      </c>
      <c r="AC339" s="633"/>
      <c r="AD339" s="654"/>
      <c r="AE339" s="654"/>
      <c r="AF339" s="7"/>
      <c r="AG339" s="628"/>
      <c r="AH339" s="7"/>
      <c r="AI339" s="618">
        <f t="shared" si="12"/>
        <v>0</v>
      </c>
      <c r="AJ339" s="7"/>
      <c r="AK339" s="7"/>
      <c r="AL339" s="7"/>
      <c r="AM339" s="7"/>
      <c r="AN339" s="7"/>
      <c r="AO339" s="7"/>
    </row>
    <row r="340" spans="1:41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632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5"/>
      <c r="R340" s="213"/>
      <c r="S340" s="632"/>
      <c r="T340" s="214"/>
      <c r="U340" s="215"/>
      <c r="V340" s="215"/>
      <c r="W340" s="215"/>
      <c r="X340" s="215"/>
      <c r="Y340" s="372"/>
      <c r="Z340" s="647"/>
      <c r="AA340" s="643"/>
      <c r="AB340" s="616">
        <f t="shared" si="11"/>
        <v>0</v>
      </c>
      <c r="AC340" s="633"/>
      <c r="AD340" s="648"/>
      <c r="AE340" s="648"/>
      <c r="AF340" s="7"/>
      <c r="AG340" s="628"/>
      <c r="AH340" s="7"/>
      <c r="AI340" s="618">
        <f t="shared" si="12"/>
        <v>0</v>
      </c>
      <c r="AJ340" s="7"/>
      <c r="AK340" s="7"/>
      <c r="AL340" s="7"/>
      <c r="AM340" s="7"/>
      <c r="AN340" s="7"/>
      <c r="AO340" s="7"/>
    </row>
    <row r="341" spans="1:41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632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5"/>
      <c r="R341" s="213"/>
      <c r="S341" s="632"/>
      <c r="T341" s="214"/>
      <c r="U341" s="215"/>
      <c r="V341" s="215"/>
      <c r="W341" s="215"/>
      <c r="X341" s="215"/>
      <c r="Y341" s="372"/>
      <c r="Z341" s="647"/>
      <c r="AA341" s="643"/>
      <c r="AB341" s="616">
        <f t="shared" si="11"/>
        <v>0</v>
      </c>
      <c r="AC341" s="633"/>
      <c r="AD341" s="654"/>
      <c r="AE341" s="654"/>
      <c r="AF341" s="7"/>
      <c r="AG341" s="628"/>
      <c r="AH341" s="7"/>
      <c r="AI341" s="618">
        <f t="shared" si="12"/>
        <v>0</v>
      </c>
      <c r="AJ341" s="7"/>
      <c r="AK341" s="7"/>
      <c r="AL341" s="7"/>
      <c r="AM341" s="7"/>
      <c r="AN341" s="7"/>
      <c r="AO341" s="7"/>
    </row>
    <row r="342" spans="1:41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632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5"/>
      <c r="R342" s="213"/>
      <c r="S342" s="632"/>
      <c r="T342" s="214"/>
      <c r="U342" s="215"/>
      <c r="V342" s="215"/>
      <c r="W342" s="215"/>
      <c r="X342" s="215"/>
      <c r="Y342" s="372"/>
      <c r="Z342" s="647"/>
      <c r="AA342" s="643"/>
      <c r="AB342" s="616">
        <f t="shared" si="11"/>
        <v>0</v>
      </c>
      <c r="AC342" s="633"/>
      <c r="AD342" s="654"/>
      <c r="AE342" s="654"/>
      <c r="AF342" s="7"/>
      <c r="AG342" s="628"/>
      <c r="AH342" s="7"/>
      <c r="AI342" s="618">
        <f t="shared" si="12"/>
        <v>0</v>
      </c>
      <c r="AJ342" s="7"/>
      <c r="AK342" s="7"/>
      <c r="AL342" s="7"/>
      <c r="AM342" s="7"/>
      <c r="AN342" s="7"/>
      <c r="AO342" s="7"/>
    </row>
    <row r="343" spans="1:41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632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5"/>
      <c r="R343" s="213"/>
      <c r="S343" s="632"/>
      <c r="T343" s="214"/>
      <c r="U343" s="215"/>
      <c r="V343" s="215"/>
      <c r="W343" s="215"/>
      <c r="X343" s="215"/>
      <c r="Y343" s="372"/>
      <c r="Z343" s="647"/>
      <c r="AA343" s="643"/>
      <c r="AB343" s="616">
        <f t="shared" si="11"/>
        <v>0</v>
      </c>
      <c r="AC343" s="633"/>
      <c r="AD343" s="654"/>
      <c r="AE343" s="654"/>
      <c r="AF343" s="7"/>
      <c r="AG343" s="628"/>
      <c r="AH343" s="7"/>
      <c r="AI343" s="618">
        <f t="shared" si="12"/>
        <v>0</v>
      </c>
      <c r="AJ343" s="7"/>
      <c r="AK343" s="7"/>
      <c r="AL343" s="7"/>
      <c r="AM343" s="7"/>
      <c r="AN343" s="7"/>
      <c r="AO343" s="7"/>
    </row>
    <row r="344" spans="1:41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632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5"/>
      <c r="R344" s="213"/>
      <c r="S344" s="632"/>
      <c r="T344" s="214"/>
      <c r="U344" s="215"/>
      <c r="V344" s="215"/>
      <c r="W344" s="215"/>
      <c r="X344" s="215"/>
      <c r="Y344" s="372"/>
      <c r="Z344" s="647"/>
      <c r="AA344" s="643"/>
      <c r="AB344" s="616">
        <f t="shared" si="11"/>
        <v>0</v>
      </c>
      <c r="AC344" s="633"/>
      <c r="AD344" s="654"/>
      <c r="AE344" s="654"/>
      <c r="AF344" s="7"/>
      <c r="AG344" s="628"/>
      <c r="AH344" s="7"/>
      <c r="AI344" s="618">
        <f t="shared" si="12"/>
        <v>0</v>
      </c>
      <c r="AJ344" s="7"/>
      <c r="AK344" s="7"/>
      <c r="AL344" s="7"/>
      <c r="AM344" s="7"/>
      <c r="AN344" s="7"/>
      <c r="AO344" s="7"/>
    </row>
    <row r="345" spans="1:41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632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5"/>
      <c r="R345" s="213"/>
      <c r="S345" s="632"/>
      <c r="T345" s="214"/>
      <c r="U345" s="215"/>
      <c r="V345" s="215"/>
      <c r="W345" s="215"/>
      <c r="X345" s="215"/>
      <c r="Y345" s="372"/>
      <c r="Z345" s="647"/>
      <c r="AA345" s="643"/>
      <c r="AB345" s="616">
        <f t="shared" si="11"/>
        <v>0</v>
      </c>
      <c r="AC345" s="633"/>
      <c r="AD345" s="654"/>
      <c r="AE345" s="654"/>
      <c r="AF345" s="7"/>
      <c r="AG345" s="628"/>
      <c r="AH345" s="7"/>
      <c r="AI345" s="618">
        <f t="shared" si="12"/>
        <v>0</v>
      </c>
      <c r="AJ345" s="7"/>
      <c r="AK345" s="7"/>
      <c r="AL345" s="7"/>
      <c r="AM345" s="7"/>
      <c r="AN345" s="7"/>
      <c r="AO345" s="7"/>
    </row>
    <row r="346" spans="1:41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632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5"/>
      <c r="R346" s="213"/>
      <c r="S346" s="632"/>
      <c r="T346" s="214"/>
      <c r="U346" s="215"/>
      <c r="V346" s="215"/>
      <c r="W346" s="215"/>
      <c r="X346" s="215"/>
      <c r="Y346" s="372"/>
      <c r="Z346" s="662"/>
      <c r="AA346" s="643"/>
      <c r="AB346" s="616">
        <f t="shared" si="11"/>
        <v>0</v>
      </c>
      <c r="AC346" s="633"/>
      <c r="AD346" s="636"/>
      <c r="AE346" s="636"/>
      <c r="AF346" s="7"/>
      <c r="AG346" s="628"/>
      <c r="AH346" s="7"/>
      <c r="AI346" s="618">
        <f t="shared" si="12"/>
        <v>0</v>
      </c>
      <c r="AJ346" s="7"/>
      <c r="AK346" s="7"/>
      <c r="AL346" s="7"/>
      <c r="AM346" s="7"/>
      <c r="AN346" s="7"/>
      <c r="AO346" s="7"/>
    </row>
    <row r="347" spans="1:41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632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5"/>
      <c r="R347" s="213"/>
      <c r="S347" s="632"/>
      <c r="T347" s="214"/>
      <c r="U347" s="215"/>
      <c r="V347" s="215"/>
      <c r="W347" s="215"/>
      <c r="X347" s="215"/>
      <c r="Y347" s="372"/>
      <c r="Z347" s="662"/>
      <c r="AA347" s="643"/>
      <c r="AB347" s="616">
        <f t="shared" si="11"/>
        <v>0</v>
      </c>
      <c r="AC347" s="633"/>
      <c r="AD347" s="636"/>
      <c r="AE347" s="636"/>
      <c r="AF347" s="7"/>
      <c r="AG347" s="628"/>
      <c r="AH347" s="7"/>
      <c r="AI347" s="618">
        <f t="shared" si="12"/>
        <v>0</v>
      </c>
      <c r="AJ347" s="7"/>
      <c r="AK347" s="7"/>
      <c r="AL347" s="7"/>
      <c r="AM347" s="7"/>
      <c r="AN347" s="7"/>
      <c r="AO347" s="7"/>
    </row>
    <row r="348" spans="1:41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632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5"/>
      <c r="R348" s="213"/>
      <c r="S348" s="632"/>
      <c r="T348" s="214"/>
      <c r="U348" s="215"/>
      <c r="V348" s="215"/>
      <c r="W348" s="215"/>
      <c r="X348" s="215"/>
      <c r="Y348" s="372"/>
      <c r="Z348" s="662"/>
      <c r="AA348" s="643"/>
      <c r="AB348" s="616">
        <f t="shared" si="11"/>
        <v>0</v>
      </c>
      <c r="AC348" s="633"/>
      <c r="AD348" s="636"/>
      <c r="AE348" s="636"/>
      <c r="AF348" s="7"/>
      <c r="AG348" s="628"/>
      <c r="AH348" s="7"/>
      <c r="AI348" s="618">
        <f t="shared" si="12"/>
        <v>0</v>
      </c>
      <c r="AJ348" s="7"/>
      <c r="AK348" s="7"/>
      <c r="AL348" s="7"/>
      <c r="AM348" s="7"/>
      <c r="AN348" s="7"/>
      <c r="AO348" s="7"/>
    </row>
    <row r="349" spans="1:41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632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5"/>
      <c r="R349" s="213"/>
      <c r="S349" s="632"/>
      <c r="T349" s="214"/>
      <c r="U349" s="215"/>
      <c r="V349" s="215"/>
      <c r="W349" s="215"/>
      <c r="X349" s="215"/>
      <c r="Y349" s="372"/>
      <c r="Z349" s="662"/>
      <c r="AA349" s="643"/>
      <c r="AB349" s="616">
        <f t="shared" si="11"/>
        <v>0</v>
      </c>
      <c r="AC349" s="633"/>
      <c r="AD349" s="636"/>
      <c r="AE349" s="636"/>
      <c r="AF349" s="7"/>
      <c r="AG349" s="628"/>
      <c r="AH349" s="7"/>
      <c r="AI349" s="618">
        <f t="shared" si="12"/>
        <v>0</v>
      </c>
      <c r="AJ349" s="7"/>
      <c r="AK349" s="7"/>
      <c r="AL349" s="7"/>
      <c r="AM349" s="7"/>
      <c r="AN349" s="7"/>
      <c r="AO349" s="7"/>
    </row>
    <row r="350" spans="1:41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632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5"/>
      <c r="R350" s="213"/>
      <c r="S350" s="632"/>
      <c r="T350" s="214"/>
      <c r="U350" s="215"/>
      <c r="V350" s="215"/>
      <c r="W350" s="215"/>
      <c r="X350" s="215"/>
      <c r="Y350" s="372"/>
      <c r="Z350" s="662"/>
      <c r="AA350" s="643"/>
      <c r="AB350" s="616">
        <f t="shared" si="11"/>
        <v>0</v>
      </c>
      <c r="AC350" s="633"/>
      <c r="AD350" s="636"/>
      <c r="AE350" s="636"/>
      <c r="AF350" s="7"/>
      <c r="AG350" s="628"/>
      <c r="AH350" s="7"/>
      <c r="AI350" s="618">
        <f t="shared" si="12"/>
        <v>0</v>
      </c>
      <c r="AJ350" s="7"/>
      <c r="AK350" s="7"/>
      <c r="AL350" s="7"/>
      <c r="AM350" s="7"/>
      <c r="AN350" s="7"/>
      <c r="AO350" s="7"/>
    </row>
    <row r="351" spans="1:41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632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5"/>
      <c r="R351" s="213"/>
      <c r="S351" s="632"/>
      <c r="T351" s="214"/>
      <c r="U351" s="215"/>
      <c r="V351" s="215"/>
      <c r="W351" s="215"/>
      <c r="X351" s="215"/>
      <c r="Y351" s="372"/>
      <c r="Z351" s="665"/>
      <c r="AA351" s="643"/>
      <c r="AB351" s="616">
        <f t="shared" si="11"/>
        <v>0</v>
      </c>
      <c r="AC351" s="633"/>
      <c r="AD351" s="636"/>
      <c r="AE351" s="636"/>
      <c r="AF351" s="7"/>
      <c r="AG351" s="628"/>
      <c r="AH351" s="7"/>
      <c r="AI351" s="618">
        <f t="shared" si="12"/>
        <v>0</v>
      </c>
      <c r="AJ351" s="7"/>
      <c r="AK351" s="7"/>
      <c r="AL351" s="7"/>
      <c r="AM351" s="7"/>
      <c r="AN351" s="7"/>
      <c r="AO351" s="7"/>
    </row>
    <row r="352" spans="1:41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632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5"/>
      <c r="R352" s="213"/>
      <c r="S352" s="632"/>
      <c r="T352" s="214"/>
      <c r="U352" s="215"/>
      <c r="V352" s="215"/>
      <c r="W352" s="215"/>
      <c r="X352" s="215"/>
      <c r="Y352" s="372"/>
      <c r="Z352" s="662"/>
      <c r="AA352" s="643"/>
      <c r="AB352" s="616">
        <f t="shared" si="11"/>
        <v>0</v>
      </c>
      <c r="AC352" s="633"/>
      <c r="AD352" s="636"/>
      <c r="AE352" s="636"/>
      <c r="AF352" s="7"/>
      <c r="AG352" s="628"/>
      <c r="AH352" s="7"/>
      <c r="AI352" s="618">
        <f t="shared" si="12"/>
        <v>0</v>
      </c>
      <c r="AJ352" s="7"/>
      <c r="AK352" s="7"/>
      <c r="AL352" s="7"/>
      <c r="AM352" s="7"/>
      <c r="AN352" s="7"/>
      <c r="AO352" s="7"/>
    </row>
    <row r="353" spans="1:41" ht="18.75" customHeight="1">
      <c r="A353" s="489">
        <v>8</v>
      </c>
      <c r="B353" s="490" t="s">
        <v>5</v>
      </c>
      <c r="C353" s="637" t="s">
        <v>764</v>
      </c>
      <c r="D353" s="516"/>
      <c r="E353" s="632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5"/>
      <c r="R353" s="213"/>
      <c r="S353" s="632"/>
      <c r="T353" s="214"/>
      <c r="U353" s="215"/>
      <c r="V353" s="215"/>
      <c r="W353" s="215"/>
      <c r="X353" s="215"/>
      <c r="Y353" s="372"/>
      <c r="Z353" s="662"/>
      <c r="AA353" s="643"/>
      <c r="AB353" s="616">
        <f t="shared" si="11"/>
        <v>0</v>
      </c>
      <c r="AC353" s="633"/>
      <c r="AD353" s="640"/>
      <c r="AE353" s="640"/>
      <c r="AF353" s="7"/>
      <c r="AG353" s="628"/>
      <c r="AH353" s="7"/>
      <c r="AI353" s="618">
        <f t="shared" si="12"/>
        <v>0</v>
      </c>
      <c r="AJ353" s="7"/>
      <c r="AK353" s="7"/>
      <c r="AL353" s="7"/>
      <c r="AM353" s="7"/>
      <c r="AN353" s="7"/>
      <c r="AO353" s="7"/>
    </row>
    <row r="354" spans="1:41" ht="21.75" customHeight="1">
      <c r="A354" s="522"/>
      <c r="B354" s="488" t="s">
        <v>766</v>
      </c>
      <c r="C354" s="635" t="s">
        <v>1082</v>
      </c>
      <c r="D354" s="507" t="s">
        <v>132</v>
      </c>
      <c r="E354" s="632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5"/>
      <c r="R354" s="213"/>
      <c r="S354" s="632"/>
      <c r="T354" s="214"/>
      <c r="U354" s="215"/>
      <c r="V354" s="215"/>
      <c r="W354" s="215"/>
      <c r="X354" s="215"/>
      <c r="Y354" s="372"/>
      <c r="Z354" s="649"/>
      <c r="AA354" s="643"/>
      <c r="AB354" s="616">
        <f t="shared" si="11"/>
        <v>0</v>
      </c>
      <c r="AC354" s="633"/>
      <c r="AD354" s="547"/>
      <c r="AE354" s="547"/>
      <c r="AF354" s="7"/>
      <c r="AG354" s="628"/>
      <c r="AH354" s="7"/>
      <c r="AI354" s="618">
        <f t="shared" si="12"/>
        <v>0</v>
      </c>
      <c r="AJ354" s="7"/>
      <c r="AK354" s="7"/>
      <c r="AL354" s="7"/>
      <c r="AM354" s="7"/>
      <c r="AN354" s="7"/>
      <c r="AO354" s="7"/>
    </row>
    <row r="355" spans="1:41" ht="21.75" customHeight="1">
      <c r="A355" s="523"/>
      <c r="B355" s="488" t="s">
        <v>769</v>
      </c>
      <c r="C355" s="635" t="s">
        <v>770</v>
      </c>
      <c r="D355" s="507" t="s">
        <v>132</v>
      </c>
      <c r="E355" s="632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5"/>
      <c r="R355" s="213"/>
      <c r="S355" s="632"/>
      <c r="T355" s="214"/>
      <c r="U355" s="215"/>
      <c r="V355" s="215"/>
      <c r="W355" s="215"/>
      <c r="X355" s="215"/>
      <c r="Y355" s="372"/>
      <c r="Z355" s="649"/>
      <c r="AA355" s="643"/>
      <c r="AB355" s="616">
        <f t="shared" si="11"/>
        <v>0</v>
      </c>
      <c r="AC355" s="633"/>
      <c r="AD355" s="666"/>
      <c r="AE355" s="666"/>
      <c r="AF355" s="7"/>
      <c r="AG355" s="628"/>
      <c r="AH355" s="7"/>
      <c r="AI355" s="618">
        <f t="shared" si="12"/>
        <v>0</v>
      </c>
      <c r="AJ355" s="7"/>
      <c r="AK355" s="7"/>
      <c r="AL355" s="7"/>
      <c r="AM355" s="7"/>
      <c r="AN355" s="7"/>
      <c r="AO355" s="7"/>
    </row>
    <row r="356" spans="1:41" ht="21.75" customHeight="1">
      <c r="A356" s="522"/>
      <c r="B356" s="488" t="s">
        <v>772</v>
      </c>
      <c r="C356" s="635" t="s">
        <v>773</v>
      </c>
      <c r="D356" s="507" t="s">
        <v>132</v>
      </c>
      <c r="E356" s="632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5"/>
      <c r="R356" s="213"/>
      <c r="S356" s="632"/>
      <c r="T356" s="214"/>
      <c r="U356" s="215"/>
      <c r="V356" s="215"/>
      <c r="W356" s="215"/>
      <c r="X356" s="215"/>
      <c r="Y356" s="372"/>
      <c r="Z356" s="649"/>
      <c r="AA356" s="643"/>
      <c r="AB356" s="616">
        <f t="shared" si="11"/>
        <v>0</v>
      </c>
      <c r="AC356" s="633"/>
      <c r="AD356" s="666"/>
      <c r="AE356" s="666"/>
      <c r="AF356" s="7"/>
      <c r="AG356" s="628"/>
      <c r="AH356" s="7"/>
      <c r="AI356" s="618">
        <f t="shared" si="12"/>
        <v>0</v>
      </c>
      <c r="AJ356" s="7"/>
      <c r="AK356" s="7"/>
      <c r="AL356" s="7"/>
      <c r="AM356" s="7"/>
      <c r="AN356" s="7"/>
      <c r="AO356" s="7"/>
    </row>
    <row r="357" spans="1:41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632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5"/>
      <c r="R357" s="213"/>
      <c r="S357" s="632"/>
      <c r="T357" s="214"/>
      <c r="U357" s="215"/>
      <c r="V357" s="215"/>
      <c r="W357" s="215"/>
      <c r="X357" s="215"/>
      <c r="Y357" s="372"/>
      <c r="Z357" s="649"/>
      <c r="AA357" s="643"/>
      <c r="AB357" s="616">
        <f t="shared" si="11"/>
        <v>0</v>
      </c>
      <c r="AC357" s="633"/>
      <c r="AD357" s="542"/>
      <c r="AE357" s="542"/>
      <c r="AF357" s="7"/>
      <c r="AG357" s="628"/>
      <c r="AH357" s="7"/>
      <c r="AI357" s="618">
        <f t="shared" si="12"/>
        <v>0</v>
      </c>
      <c r="AJ357" s="7"/>
      <c r="AK357" s="7"/>
      <c r="AL357" s="7"/>
      <c r="AM357" s="7"/>
      <c r="AN357" s="7"/>
      <c r="AO357" s="7"/>
    </row>
    <row r="358" spans="1:41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632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5"/>
      <c r="R358" s="213"/>
      <c r="S358" s="632"/>
      <c r="T358" s="214"/>
      <c r="U358" s="215"/>
      <c r="V358" s="215"/>
      <c r="W358" s="215"/>
      <c r="X358" s="215"/>
      <c r="Y358" s="372"/>
      <c r="Z358" s="649"/>
      <c r="AA358" s="643"/>
      <c r="AB358" s="616">
        <f t="shared" si="11"/>
        <v>0</v>
      </c>
      <c r="AC358" s="633"/>
      <c r="AD358" s="542"/>
      <c r="AE358" s="542"/>
      <c r="AF358" s="7"/>
      <c r="AG358" s="628"/>
      <c r="AH358" s="7"/>
      <c r="AI358" s="618">
        <f t="shared" si="12"/>
        <v>0</v>
      </c>
      <c r="AJ358" s="7"/>
      <c r="AK358" s="7"/>
      <c r="AL358" s="7"/>
      <c r="AM358" s="7"/>
      <c r="AN358" s="7"/>
      <c r="AO358" s="7"/>
    </row>
    <row r="359" spans="1:41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632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5"/>
      <c r="R359" s="213"/>
      <c r="S359" s="632"/>
      <c r="T359" s="214"/>
      <c r="U359" s="215"/>
      <c r="V359" s="215"/>
      <c r="W359" s="215"/>
      <c r="X359" s="215"/>
      <c r="Y359" s="372"/>
      <c r="Z359" s="649"/>
      <c r="AA359" s="643"/>
      <c r="AB359" s="616">
        <f t="shared" si="11"/>
        <v>0</v>
      </c>
      <c r="AC359" s="633"/>
      <c r="AD359" s="542"/>
      <c r="AE359" s="542"/>
      <c r="AF359" s="7"/>
      <c r="AG359" s="628"/>
      <c r="AH359" s="7"/>
      <c r="AI359" s="618">
        <f t="shared" si="12"/>
        <v>0</v>
      </c>
      <c r="AJ359" s="7"/>
      <c r="AK359" s="7"/>
      <c r="AL359" s="7"/>
      <c r="AM359" s="7"/>
      <c r="AN359" s="7"/>
      <c r="AO359" s="7"/>
    </row>
    <row r="360" spans="1:41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632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5"/>
      <c r="R360" s="213"/>
      <c r="S360" s="632"/>
      <c r="T360" s="214"/>
      <c r="U360" s="215"/>
      <c r="V360" s="215"/>
      <c r="W360" s="215"/>
      <c r="X360" s="215"/>
      <c r="Y360" s="372"/>
      <c r="Z360" s="649"/>
      <c r="AA360" s="643"/>
      <c r="AB360" s="616">
        <f t="shared" si="11"/>
        <v>0</v>
      </c>
      <c r="AC360" s="633"/>
      <c r="AD360" s="542"/>
      <c r="AE360" s="542"/>
      <c r="AF360" s="7"/>
      <c r="AG360" s="628"/>
      <c r="AH360" s="7"/>
      <c r="AI360" s="618">
        <f t="shared" si="12"/>
        <v>0</v>
      </c>
      <c r="AJ360" s="7"/>
      <c r="AK360" s="7"/>
      <c r="AL360" s="7"/>
      <c r="AM360" s="7"/>
      <c r="AN360" s="7"/>
      <c r="AO360" s="7"/>
    </row>
    <row r="361" spans="1:41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632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5"/>
      <c r="R361" s="213"/>
      <c r="S361" s="632"/>
      <c r="T361" s="214"/>
      <c r="U361" s="215"/>
      <c r="V361" s="215"/>
      <c r="W361" s="215"/>
      <c r="X361" s="215"/>
      <c r="Y361" s="372"/>
      <c r="Z361" s="662"/>
      <c r="AA361" s="643"/>
      <c r="AB361" s="616">
        <f t="shared" si="11"/>
        <v>0</v>
      </c>
      <c r="AC361" s="633"/>
      <c r="AD361" s="547"/>
      <c r="AE361" s="547"/>
      <c r="AF361" s="7"/>
      <c r="AG361" s="628"/>
      <c r="AH361" s="7"/>
      <c r="AI361" s="618">
        <f t="shared" si="12"/>
        <v>0</v>
      </c>
      <c r="AJ361" s="7"/>
      <c r="AK361" s="7"/>
      <c r="AL361" s="7"/>
      <c r="AM361" s="7"/>
      <c r="AN361" s="7"/>
      <c r="AO361" s="7"/>
    </row>
    <row r="362" spans="1:41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632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5"/>
      <c r="R362" s="213"/>
      <c r="S362" s="632"/>
      <c r="T362" s="214"/>
      <c r="U362" s="215"/>
      <c r="V362" s="215"/>
      <c r="W362" s="215"/>
      <c r="X362" s="215"/>
      <c r="Y362" s="372"/>
      <c r="Z362" s="662"/>
      <c r="AA362" s="643"/>
      <c r="AB362" s="616">
        <f t="shared" si="11"/>
        <v>0</v>
      </c>
      <c r="AC362" s="633"/>
      <c r="AD362" s="241"/>
      <c r="AE362" s="241"/>
      <c r="AF362" s="7"/>
      <c r="AG362" s="628"/>
      <c r="AH362" s="7"/>
      <c r="AI362" s="618">
        <f t="shared" si="12"/>
        <v>0</v>
      </c>
      <c r="AJ362" s="7"/>
      <c r="AK362" s="7"/>
      <c r="AL362" s="7"/>
      <c r="AM362" s="7"/>
      <c r="AN362" s="7"/>
      <c r="AO362" s="7"/>
    </row>
    <row r="363" spans="1:41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632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5"/>
      <c r="R363" s="213"/>
      <c r="S363" s="632"/>
      <c r="T363" s="214"/>
      <c r="U363" s="215"/>
      <c r="V363" s="215"/>
      <c r="W363" s="215"/>
      <c r="X363" s="215"/>
      <c r="Y363" s="372"/>
      <c r="Z363" s="662"/>
      <c r="AA363" s="643"/>
      <c r="AB363" s="616">
        <f t="shared" si="11"/>
        <v>0</v>
      </c>
      <c r="AC363" s="633"/>
      <c r="AD363" s="241"/>
      <c r="AE363" s="241"/>
      <c r="AF363" s="7"/>
      <c r="AG363" s="628"/>
      <c r="AH363" s="7"/>
      <c r="AI363" s="618">
        <f t="shared" si="12"/>
        <v>0</v>
      </c>
      <c r="AJ363" s="7"/>
      <c r="AK363" s="7"/>
      <c r="AL363" s="7"/>
      <c r="AM363" s="7"/>
      <c r="AN363" s="7"/>
      <c r="AO363" s="7"/>
    </row>
    <row r="364" spans="1:41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632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5"/>
      <c r="R364" s="213"/>
      <c r="S364" s="632"/>
      <c r="T364" s="214"/>
      <c r="U364" s="215"/>
      <c r="V364" s="215"/>
      <c r="W364" s="215"/>
      <c r="X364" s="215"/>
      <c r="Y364" s="372"/>
      <c r="Z364" s="662"/>
      <c r="AA364" s="643"/>
      <c r="AB364" s="616">
        <f t="shared" si="11"/>
        <v>0</v>
      </c>
      <c r="AC364" s="633"/>
      <c r="AD364" s="241"/>
      <c r="AE364" s="241"/>
      <c r="AF364" s="7"/>
      <c r="AG364" s="628"/>
      <c r="AH364" s="7"/>
      <c r="AI364" s="618">
        <f t="shared" si="12"/>
        <v>0</v>
      </c>
      <c r="AJ364" s="7"/>
      <c r="AK364" s="7"/>
      <c r="AL364" s="7"/>
      <c r="AM364" s="7"/>
      <c r="AN364" s="7"/>
      <c r="AO364" s="7"/>
    </row>
    <row r="365" spans="1:41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632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5"/>
      <c r="R365" s="213"/>
      <c r="S365" s="632"/>
      <c r="T365" s="214"/>
      <c r="U365" s="215"/>
      <c r="V365" s="215"/>
      <c r="W365" s="215"/>
      <c r="X365" s="215"/>
      <c r="Y365" s="372"/>
      <c r="Z365" s="662"/>
      <c r="AA365" s="643"/>
      <c r="AB365" s="616">
        <f t="shared" si="11"/>
        <v>0</v>
      </c>
      <c r="AC365" s="633"/>
      <c r="AD365" s="241"/>
      <c r="AE365" s="241"/>
      <c r="AF365" s="7"/>
      <c r="AG365" s="628"/>
      <c r="AH365" s="7"/>
      <c r="AI365" s="618">
        <f t="shared" si="12"/>
        <v>0</v>
      </c>
      <c r="AJ365" s="7"/>
      <c r="AK365" s="7"/>
      <c r="AL365" s="7"/>
      <c r="AM365" s="7"/>
      <c r="AN365" s="7"/>
      <c r="AO365" s="7"/>
    </row>
    <row r="366" spans="1:41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632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5"/>
      <c r="R366" s="213"/>
      <c r="S366" s="632"/>
      <c r="T366" s="214"/>
      <c r="U366" s="215"/>
      <c r="V366" s="215"/>
      <c r="W366" s="215"/>
      <c r="X366" s="215"/>
      <c r="Y366" s="372"/>
      <c r="Z366" s="662"/>
      <c r="AA366" s="643"/>
      <c r="AB366" s="616">
        <f t="shared" si="11"/>
        <v>0</v>
      </c>
      <c r="AC366" s="633"/>
      <c r="AD366" s="547"/>
      <c r="AE366" s="547"/>
      <c r="AF366" s="7"/>
      <c r="AG366" s="628"/>
      <c r="AH366" s="7"/>
      <c r="AI366" s="618">
        <f t="shared" si="12"/>
        <v>0</v>
      </c>
      <c r="AJ366" s="7"/>
      <c r="AK366" s="7"/>
      <c r="AL366" s="7"/>
      <c r="AM366" s="7"/>
      <c r="AN366" s="7"/>
      <c r="AO366" s="7"/>
    </row>
    <row r="367" spans="1:41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632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5"/>
      <c r="R367" s="213"/>
      <c r="S367" s="632"/>
      <c r="T367" s="214"/>
      <c r="U367" s="215"/>
      <c r="V367" s="215"/>
      <c r="W367" s="215"/>
      <c r="X367" s="215"/>
      <c r="Y367" s="372"/>
      <c r="Z367" s="662"/>
      <c r="AA367" s="643"/>
      <c r="AB367" s="616">
        <f t="shared" si="11"/>
        <v>0</v>
      </c>
      <c r="AC367" s="633"/>
      <c r="AD367" s="547"/>
      <c r="AE367" s="547"/>
      <c r="AF367" s="7"/>
      <c r="AG367" s="628"/>
      <c r="AH367" s="7"/>
      <c r="AI367" s="618">
        <f t="shared" si="12"/>
        <v>0</v>
      </c>
      <c r="AJ367" s="7"/>
      <c r="AK367" s="7"/>
      <c r="AL367" s="7"/>
      <c r="AM367" s="7"/>
      <c r="AN367" s="7"/>
      <c r="AO367" s="7"/>
    </row>
    <row r="368" spans="1:41" ht="18.75" customHeight="1">
      <c r="A368" s="489">
        <v>9</v>
      </c>
      <c r="B368" s="490" t="s">
        <v>800</v>
      </c>
      <c r="C368" s="637" t="s">
        <v>801</v>
      </c>
      <c r="D368" s="516"/>
      <c r="E368" s="632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5"/>
      <c r="R368" s="213"/>
      <c r="S368" s="632"/>
      <c r="T368" s="214"/>
      <c r="U368" s="215"/>
      <c r="V368" s="215"/>
      <c r="W368" s="215"/>
      <c r="X368" s="215"/>
      <c r="Y368" s="372"/>
      <c r="Z368" s="662"/>
      <c r="AA368" s="643"/>
      <c r="AB368" s="616">
        <f t="shared" si="11"/>
        <v>0</v>
      </c>
      <c r="AC368" s="633"/>
      <c r="AD368" s="640"/>
      <c r="AE368" s="640"/>
      <c r="AF368" s="7"/>
      <c r="AG368" s="628"/>
      <c r="AH368" s="7"/>
      <c r="AI368" s="618">
        <f t="shared" si="12"/>
        <v>0</v>
      </c>
      <c r="AJ368" s="7"/>
      <c r="AK368" s="7"/>
      <c r="AL368" s="7"/>
      <c r="AM368" s="7"/>
      <c r="AN368" s="7"/>
      <c r="AO368" s="7"/>
    </row>
    <row r="369" spans="1:41" ht="21.75" customHeight="1">
      <c r="A369" s="486"/>
      <c r="B369" s="487" t="s">
        <v>803</v>
      </c>
      <c r="C369" s="635" t="s">
        <v>1083</v>
      </c>
      <c r="D369" s="412" t="s">
        <v>805</v>
      </c>
      <c r="E369" s="632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5"/>
      <c r="R369" s="213">
        <v>1</v>
      </c>
      <c r="S369" s="632"/>
      <c r="T369" s="214"/>
      <c r="U369" s="215"/>
      <c r="V369" s="215"/>
      <c r="W369" s="215">
        <v>1</v>
      </c>
      <c r="X369" s="215"/>
      <c r="Y369" s="372"/>
      <c r="Z369" s="620"/>
      <c r="AA369" s="657"/>
      <c r="AB369" s="616">
        <f t="shared" si="11"/>
        <v>2</v>
      </c>
      <c r="AC369" s="633"/>
      <c r="AD369" s="636"/>
      <c r="AE369" s="636"/>
      <c r="AF369" s="7"/>
      <c r="AG369" s="628"/>
      <c r="AH369" s="7"/>
      <c r="AI369" s="618"/>
      <c r="AJ369" s="7"/>
      <c r="AK369" s="7"/>
      <c r="AL369" s="7"/>
      <c r="AM369" s="7"/>
      <c r="AN369" s="7"/>
      <c r="AO369" s="7"/>
    </row>
    <row r="370" spans="1:41" ht="21.75" customHeight="1">
      <c r="A370" s="503"/>
      <c r="B370" s="483" t="s">
        <v>807</v>
      </c>
      <c r="C370" s="629" t="s">
        <v>808</v>
      </c>
      <c r="D370" s="504" t="s">
        <v>132</v>
      </c>
      <c r="E370" s="668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5"/>
      <c r="R370" s="213"/>
      <c r="S370" s="668"/>
      <c r="T370" s="214"/>
      <c r="U370" s="315"/>
      <c r="V370" s="315"/>
      <c r="W370" s="315"/>
      <c r="X370" s="315"/>
      <c r="Y370" s="372"/>
      <c r="Z370" s="647"/>
      <c r="AA370" s="643"/>
      <c r="AB370" s="616">
        <f t="shared" si="11"/>
        <v>0</v>
      </c>
      <c r="AC370" s="633"/>
      <c r="AD370" s="648"/>
      <c r="AE370" s="648"/>
      <c r="AF370" s="7"/>
      <c r="AG370" s="628"/>
      <c r="AH370" s="7"/>
      <c r="AI370" s="618">
        <f t="shared" ref="AI370:AI447" si="13">AG370-AB370</f>
        <v>0</v>
      </c>
      <c r="AJ370" s="7"/>
      <c r="AK370" s="7"/>
      <c r="AL370" s="7"/>
      <c r="AM370" s="7"/>
      <c r="AN370" s="7"/>
      <c r="AO370" s="7"/>
    </row>
    <row r="371" spans="1:41" ht="21.75" customHeight="1">
      <c r="A371" s="503"/>
      <c r="B371" s="483" t="s">
        <v>810</v>
      </c>
      <c r="C371" s="629" t="s">
        <v>811</v>
      </c>
      <c r="D371" s="504" t="s">
        <v>132</v>
      </c>
      <c r="E371" s="668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5"/>
      <c r="R371" s="213"/>
      <c r="S371" s="668"/>
      <c r="T371" s="214"/>
      <c r="U371" s="315"/>
      <c r="V371" s="315"/>
      <c r="W371" s="315"/>
      <c r="X371" s="315"/>
      <c r="Y371" s="372"/>
      <c r="Z371" s="647"/>
      <c r="AA371" s="643"/>
      <c r="AB371" s="616">
        <f t="shared" si="11"/>
        <v>0</v>
      </c>
      <c r="AC371" s="633"/>
      <c r="AD371" s="648"/>
      <c r="AE371" s="648"/>
      <c r="AF371" s="7"/>
      <c r="AG371" s="628"/>
      <c r="AH371" s="7"/>
      <c r="AI371" s="618">
        <f t="shared" si="13"/>
        <v>0</v>
      </c>
      <c r="AJ371" s="7"/>
      <c r="AK371" s="7"/>
      <c r="AL371" s="7"/>
      <c r="AM371" s="7"/>
      <c r="AN371" s="7"/>
      <c r="AO371" s="7"/>
    </row>
    <row r="372" spans="1:41" ht="21.75" customHeight="1">
      <c r="A372" s="486"/>
      <c r="B372" s="487" t="s">
        <v>813</v>
      </c>
      <c r="C372" s="635" t="s">
        <v>814</v>
      </c>
      <c r="D372" s="412" t="s">
        <v>424</v>
      </c>
      <c r="E372" s="668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5"/>
      <c r="R372" s="213"/>
      <c r="S372" s="668"/>
      <c r="T372" s="214"/>
      <c r="U372" s="315"/>
      <c r="V372" s="315"/>
      <c r="W372" s="315"/>
      <c r="X372" s="315"/>
      <c r="Y372" s="372"/>
      <c r="Z372" s="620"/>
      <c r="AA372" s="657"/>
      <c r="AB372" s="616">
        <f t="shared" si="11"/>
        <v>0</v>
      </c>
      <c r="AC372" s="633"/>
      <c r="AD372" s="636"/>
      <c r="AE372" s="636"/>
      <c r="AF372" s="7"/>
      <c r="AG372" s="628"/>
      <c r="AH372" s="7"/>
      <c r="AI372" s="618">
        <f t="shared" si="13"/>
        <v>0</v>
      </c>
      <c r="AJ372" s="7"/>
      <c r="AK372" s="7"/>
      <c r="AL372" s="7"/>
      <c r="AM372" s="7"/>
      <c r="AN372" s="7"/>
      <c r="AO372" s="7"/>
    </row>
    <row r="373" spans="1:41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668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5"/>
      <c r="R373" s="213"/>
      <c r="S373" s="668"/>
      <c r="T373" s="214"/>
      <c r="U373" s="315"/>
      <c r="V373" s="315"/>
      <c r="W373" s="315"/>
      <c r="X373" s="315"/>
      <c r="Y373" s="372"/>
      <c r="Z373" s="647"/>
      <c r="AA373" s="643"/>
      <c r="AB373" s="616">
        <f t="shared" si="11"/>
        <v>0</v>
      </c>
      <c r="AC373" s="633"/>
      <c r="AD373" s="648"/>
      <c r="AE373" s="648"/>
      <c r="AF373" s="7"/>
      <c r="AG373" s="628"/>
      <c r="AH373" s="7"/>
      <c r="AI373" s="618">
        <f t="shared" si="13"/>
        <v>0</v>
      </c>
      <c r="AJ373" s="7"/>
      <c r="AK373" s="7"/>
      <c r="AL373" s="7"/>
      <c r="AM373" s="7"/>
      <c r="AN373" s="7"/>
      <c r="AO373" s="7"/>
    </row>
    <row r="374" spans="1:41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668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5"/>
      <c r="R374" s="213"/>
      <c r="S374" s="668"/>
      <c r="T374" s="214"/>
      <c r="U374" s="315"/>
      <c r="V374" s="315"/>
      <c r="W374" s="315"/>
      <c r="X374" s="315"/>
      <c r="Y374" s="372"/>
      <c r="Z374" s="647"/>
      <c r="AA374" s="643"/>
      <c r="AB374" s="616">
        <f t="shared" si="11"/>
        <v>0</v>
      </c>
      <c r="AC374" s="633"/>
      <c r="AD374" s="648"/>
      <c r="AE374" s="648"/>
      <c r="AF374" s="7"/>
      <c r="AG374" s="628"/>
      <c r="AH374" s="7"/>
      <c r="AI374" s="618">
        <f t="shared" si="13"/>
        <v>0</v>
      </c>
      <c r="AJ374" s="7"/>
      <c r="AK374" s="7"/>
      <c r="AL374" s="7"/>
      <c r="AM374" s="7"/>
      <c r="AN374" s="7"/>
      <c r="AO374" s="7"/>
    </row>
    <row r="375" spans="1:41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668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5"/>
      <c r="R375" s="213"/>
      <c r="S375" s="668"/>
      <c r="T375" s="214"/>
      <c r="U375" s="315"/>
      <c r="V375" s="315"/>
      <c r="W375" s="315"/>
      <c r="X375" s="315"/>
      <c r="Y375" s="372"/>
      <c r="Z375" s="620"/>
      <c r="AA375" s="643"/>
      <c r="AB375" s="616">
        <f t="shared" si="11"/>
        <v>0</v>
      </c>
      <c r="AC375" s="633"/>
      <c r="AD375" s="636"/>
      <c r="AE375" s="636"/>
      <c r="AF375" s="7"/>
      <c r="AG375" s="669"/>
      <c r="AH375" s="7"/>
      <c r="AI375" s="618">
        <f t="shared" si="13"/>
        <v>0</v>
      </c>
      <c r="AJ375" s="7"/>
      <c r="AK375" s="7"/>
      <c r="AL375" s="7"/>
      <c r="AM375" s="7"/>
      <c r="AN375" s="7"/>
      <c r="AO375" s="7"/>
    </row>
    <row r="376" spans="1:41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668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5"/>
      <c r="R376" s="213"/>
      <c r="S376" s="668"/>
      <c r="T376" s="214"/>
      <c r="U376" s="315"/>
      <c r="V376" s="315"/>
      <c r="W376" s="315"/>
      <c r="X376" s="315"/>
      <c r="Y376" s="372"/>
      <c r="Z376" s="647"/>
      <c r="AA376" s="643"/>
      <c r="AB376" s="616">
        <f t="shared" si="11"/>
        <v>0</v>
      </c>
      <c r="AC376" s="633"/>
      <c r="AD376" s="648"/>
      <c r="AE376" s="648"/>
      <c r="AF376" s="7"/>
      <c r="AG376" s="669"/>
      <c r="AH376" s="7"/>
      <c r="AI376" s="618">
        <f t="shared" si="13"/>
        <v>0</v>
      </c>
      <c r="AJ376" s="7"/>
      <c r="AK376" s="7"/>
      <c r="AL376" s="7"/>
      <c r="AM376" s="7"/>
      <c r="AN376" s="7"/>
      <c r="AO376" s="7"/>
    </row>
    <row r="377" spans="1:41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668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5"/>
      <c r="R377" s="213"/>
      <c r="S377" s="668"/>
      <c r="T377" s="214"/>
      <c r="U377" s="315"/>
      <c r="V377" s="315"/>
      <c r="W377" s="315"/>
      <c r="X377" s="315"/>
      <c r="Y377" s="372"/>
      <c r="Z377" s="647"/>
      <c r="AA377" s="643"/>
      <c r="AB377" s="616">
        <f t="shared" si="11"/>
        <v>0</v>
      </c>
      <c r="AC377" s="633"/>
      <c r="AD377" s="648"/>
      <c r="AE377" s="648"/>
      <c r="AF377" s="7"/>
      <c r="AG377" s="669"/>
      <c r="AH377" s="7"/>
      <c r="AI377" s="618">
        <f t="shared" si="13"/>
        <v>0</v>
      </c>
      <c r="AJ377" s="7"/>
      <c r="AK377" s="7"/>
      <c r="AL377" s="7"/>
      <c r="AM377" s="7"/>
      <c r="AN377" s="7"/>
      <c r="AO377" s="7"/>
    </row>
    <row r="378" spans="1:41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668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5"/>
      <c r="R378" s="213"/>
      <c r="S378" s="668"/>
      <c r="T378" s="214"/>
      <c r="U378" s="315"/>
      <c r="V378" s="315"/>
      <c r="W378" s="315"/>
      <c r="X378" s="315"/>
      <c r="Y378" s="372"/>
      <c r="Z378" s="620"/>
      <c r="AA378" s="643"/>
      <c r="AB378" s="616">
        <f t="shared" si="11"/>
        <v>0</v>
      </c>
      <c r="AC378" s="633"/>
      <c r="AD378" s="636"/>
      <c r="AE378" s="636"/>
      <c r="AF378" s="7"/>
      <c r="AG378" s="669"/>
      <c r="AH378" s="7"/>
      <c r="AI378" s="618">
        <f t="shared" si="13"/>
        <v>0</v>
      </c>
      <c r="AJ378" s="7"/>
      <c r="AK378" s="7"/>
      <c r="AL378" s="7"/>
      <c r="AM378" s="7"/>
      <c r="AN378" s="7"/>
      <c r="AO378" s="7"/>
    </row>
    <row r="379" spans="1:41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668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5"/>
      <c r="R379" s="213"/>
      <c r="S379" s="668"/>
      <c r="T379" s="214"/>
      <c r="U379" s="315"/>
      <c r="V379" s="315"/>
      <c r="W379" s="315"/>
      <c r="X379" s="315"/>
      <c r="Y379" s="372"/>
      <c r="Z379" s="647"/>
      <c r="AA379" s="643"/>
      <c r="AB379" s="616">
        <f t="shared" si="11"/>
        <v>0</v>
      </c>
      <c r="AC379" s="633"/>
      <c r="AD379" s="648"/>
      <c r="AE379" s="648"/>
      <c r="AF379" s="7"/>
      <c r="AG379" s="669"/>
      <c r="AH379" s="7"/>
      <c r="AI379" s="618">
        <f t="shared" si="13"/>
        <v>0</v>
      </c>
      <c r="AJ379" s="7"/>
      <c r="AK379" s="7"/>
      <c r="AL379" s="7"/>
      <c r="AM379" s="7"/>
      <c r="AN379" s="7"/>
      <c r="AO379" s="7"/>
    </row>
    <row r="380" spans="1:41" ht="21.75" customHeight="1">
      <c r="A380" s="503" t="s">
        <v>1499</v>
      </c>
      <c r="B380" s="483" t="s">
        <v>828</v>
      </c>
      <c r="C380" s="658" t="s">
        <v>829</v>
      </c>
      <c r="D380" s="504" t="s">
        <v>2217</v>
      </c>
      <c r="E380" s="668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5"/>
      <c r="R380" s="213"/>
      <c r="S380" s="668"/>
      <c r="T380" s="504"/>
      <c r="U380" s="315"/>
      <c r="V380" s="315"/>
      <c r="W380" s="315"/>
      <c r="X380" s="315"/>
      <c r="Y380" s="372"/>
      <c r="Z380" s="647"/>
      <c r="AA380" s="643"/>
      <c r="AB380" s="616">
        <f t="shared" si="11"/>
        <v>0</v>
      </c>
      <c r="AC380" s="633"/>
      <c r="AD380" s="648"/>
      <c r="AE380" s="648"/>
      <c r="AF380" s="7"/>
      <c r="AG380" s="669"/>
      <c r="AH380" s="7"/>
      <c r="AI380" s="618">
        <f t="shared" si="13"/>
        <v>0</v>
      </c>
      <c r="AJ380" s="7"/>
      <c r="AK380" s="7"/>
      <c r="AL380" s="7"/>
      <c r="AM380" s="7"/>
      <c r="AN380" s="7"/>
      <c r="AO380" s="7"/>
    </row>
    <row r="381" spans="1:41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668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5"/>
      <c r="R381" s="213"/>
      <c r="S381" s="668"/>
      <c r="T381" s="504"/>
      <c r="U381" s="315"/>
      <c r="V381" s="315"/>
      <c r="W381" s="315"/>
      <c r="X381" s="315"/>
      <c r="Y381" s="372"/>
      <c r="Z381" s="647"/>
      <c r="AA381" s="643"/>
      <c r="AB381" s="616">
        <f t="shared" si="11"/>
        <v>0</v>
      </c>
      <c r="AC381" s="633"/>
      <c r="AD381" s="648"/>
      <c r="AE381" s="648"/>
      <c r="AF381" s="7"/>
      <c r="AG381" s="669"/>
      <c r="AH381" s="7"/>
      <c r="AI381" s="618">
        <f t="shared" si="13"/>
        <v>0</v>
      </c>
      <c r="AJ381" s="7"/>
      <c r="AK381" s="7"/>
      <c r="AL381" s="7"/>
      <c r="AM381" s="7"/>
      <c r="AN381" s="7"/>
      <c r="AO381" s="7"/>
    </row>
    <row r="382" spans="1:41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668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5"/>
      <c r="R382" s="213"/>
      <c r="S382" s="668"/>
      <c r="T382" s="412"/>
      <c r="U382" s="315"/>
      <c r="V382" s="315"/>
      <c r="W382" s="315"/>
      <c r="X382" s="315"/>
      <c r="Y382" s="372"/>
      <c r="Z382" s="620"/>
      <c r="AA382" s="643"/>
      <c r="AB382" s="616">
        <f t="shared" si="11"/>
        <v>0</v>
      </c>
      <c r="AC382" s="633"/>
      <c r="AD382" s="636"/>
      <c r="AE382" s="636"/>
      <c r="AF382" s="7"/>
      <c r="AG382" s="669"/>
      <c r="AH382" s="7"/>
      <c r="AI382" s="618">
        <f t="shared" si="13"/>
        <v>0</v>
      </c>
      <c r="AJ382" s="7"/>
      <c r="AK382" s="7"/>
      <c r="AL382" s="7"/>
      <c r="AM382" s="7"/>
      <c r="AN382" s="7"/>
      <c r="AO382" s="7"/>
    </row>
    <row r="383" spans="1:41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668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5"/>
      <c r="R383" s="213"/>
      <c r="S383" s="668"/>
      <c r="T383" s="412"/>
      <c r="U383" s="315"/>
      <c r="V383" s="315"/>
      <c r="W383" s="315"/>
      <c r="X383" s="315"/>
      <c r="Y383" s="372"/>
      <c r="Z383" s="620"/>
      <c r="AA383" s="643"/>
      <c r="AB383" s="616">
        <f t="shared" si="11"/>
        <v>0</v>
      </c>
      <c r="AC383" s="633"/>
      <c r="AD383" s="636"/>
      <c r="AE383" s="636"/>
      <c r="AF383" s="7"/>
      <c r="AG383" s="669"/>
      <c r="AH383" s="7"/>
      <c r="AI383" s="618">
        <f t="shared" si="13"/>
        <v>0</v>
      </c>
      <c r="AJ383" s="7"/>
      <c r="AK383" s="7"/>
      <c r="AL383" s="7"/>
      <c r="AM383" s="7"/>
      <c r="AN383" s="7"/>
      <c r="AO383" s="7"/>
    </row>
    <row r="384" spans="1:41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668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5"/>
      <c r="R384" s="213"/>
      <c r="S384" s="668"/>
      <c r="T384" s="485"/>
      <c r="U384" s="315"/>
      <c r="V384" s="315"/>
      <c r="W384" s="315"/>
      <c r="X384" s="315"/>
      <c r="Y384" s="372"/>
      <c r="Z384" s="620"/>
      <c r="AA384" s="643"/>
      <c r="AB384" s="616">
        <f t="shared" si="11"/>
        <v>0</v>
      </c>
      <c r="AC384" s="633"/>
      <c r="AD384" s="648"/>
      <c r="AE384" s="648"/>
      <c r="AF384" s="7"/>
      <c r="AG384" s="669"/>
      <c r="AH384" s="7"/>
      <c r="AI384" s="618">
        <f t="shared" si="13"/>
        <v>0</v>
      </c>
      <c r="AJ384" s="7"/>
      <c r="AK384" s="7"/>
      <c r="AL384" s="7"/>
      <c r="AM384" s="7"/>
      <c r="AN384" s="7"/>
      <c r="AO384" s="7"/>
    </row>
    <row r="385" spans="1:41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668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5"/>
      <c r="R385" s="213"/>
      <c r="S385" s="668"/>
      <c r="T385" s="485"/>
      <c r="U385" s="315"/>
      <c r="V385" s="315"/>
      <c r="W385" s="315"/>
      <c r="X385" s="315"/>
      <c r="Y385" s="372"/>
      <c r="Z385" s="620"/>
      <c r="AA385" s="643"/>
      <c r="AB385" s="616">
        <f t="shared" si="11"/>
        <v>0</v>
      </c>
      <c r="AC385" s="633"/>
      <c r="AD385" s="648"/>
      <c r="AE385" s="648"/>
      <c r="AF385" s="7"/>
      <c r="AG385" s="669"/>
      <c r="AH385" s="7"/>
      <c r="AI385" s="618">
        <f t="shared" si="13"/>
        <v>0</v>
      </c>
      <c r="AJ385" s="7"/>
      <c r="AK385" s="7"/>
      <c r="AL385" s="7"/>
      <c r="AM385" s="7"/>
      <c r="AN385" s="7"/>
      <c r="AO385" s="7"/>
    </row>
    <row r="386" spans="1:41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668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5"/>
      <c r="R386" s="213"/>
      <c r="S386" s="668"/>
      <c r="T386" s="485"/>
      <c r="U386" s="315"/>
      <c r="V386" s="315"/>
      <c r="W386" s="315"/>
      <c r="X386" s="315"/>
      <c r="Y386" s="372"/>
      <c r="Z386" s="620"/>
      <c r="AA386" s="643"/>
      <c r="AB386" s="616">
        <f t="shared" si="11"/>
        <v>0</v>
      </c>
      <c r="AC386" s="633"/>
      <c r="AD386" s="648"/>
      <c r="AE386" s="648"/>
      <c r="AF386" s="7"/>
      <c r="AG386" s="669"/>
      <c r="AH386" s="7"/>
      <c r="AI386" s="618">
        <f t="shared" si="13"/>
        <v>0</v>
      </c>
      <c r="AJ386" s="7"/>
      <c r="AK386" s="7"/>
      <c r="AL386" s="7"/>
      <c r="AM386" s="7"/>
      <c r="AN386" s="7"/>
      <c r="AO386" s="7"/>
    </row>
    <row r="387" spans="1:41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668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5"/>
      <c r="R387" s="213"/>
      <c r="S387" s="668"/>
      <c r="T387" s="485"/>
      <c r="U387" s="315"/>
      <c r="V387" s="315"/>
      <c r="W387" s="315"/>
      <c r="X387" s="315"/>
      <c r="Y387" s="372"/>
      <c r="Z387" s="620"/>
      <c r="AA387" s="643"/>
      <c r="AB387" s="616">
        <f t="shared" si="11"/>
        <v>0</v>
      </c>
      <c r="AC387" s="633"/>
      <c r="AD387" s="648"/>
      <c r="AE387" s="648"/>
      <c r="AF387" s="7"/>
      <c r="AG387" s="669"/>
      <c r="AH387" s="7"/>
      <c r="AI387" s="618">
        <f t="shared" si="13"/>
        <v>0</v>
      </c>
      <c r="AJ387" s="7"/>
      <c r="AK387" s="7"/>
      <c r="AL387" s="7"/>
      <c r="AM387" s="7"/>
      <c r="AN387" s="7"/>
      <c r="AO387" s="7"/>
    </row>
    <row r="388" spans="1:41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668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5"/>
      <c r="R388" s="213"/>
      <c r="S388" s="668"/>
      <c r="T388" s="412"/>
      <c r="U388" s="315"/>
      <c r="V388" s="315"/>
      <c r="W388" s="315"/>
      <c r="X388" s="315"/>
      <c r="Y388" s="372"/>
      <c r="Z388" s="620"/>
      <c r="AA388" s="643"/>
      <c r="AB388" s="616">
        <f t="shared" si="11"/>
        <v>0</v>
      </c>
      <c r="AC388" s="633"/>
      <c r="AD388" s="636"/>
      <c r="AE388" s="636"/>
      <c r="AF388" s="7"/>
      <c r="AG388" s="669"/>
      <c r="AH388" s="7"/>
      <c r="AI388" s="618">
        <f t="shared" si="13"/>
        <v>0</v>
      </c>
      <c r="AJ388" s="7"/>
      <c r="AK388" s="7"/>
      <c r="AL388" s="7"/>
      <c r="AM388" s="7"/>
      <c r="AN388" s="7"/>
      <c r="AO388" s="7"/>
    </row>
    <row r="389" spans="1:41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668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5"/>
      <c r="R389" s="213"/>
      <c r="S389" s="668"/>
      <c r="T389" s="412"/>
      <c r="U389" s="315"/>
      <c r="V389" s="315"/>
      <c r="W389" s="315"/>
      <c r="X389" s="315"/>
      <c r="Y389" s="372"/>
      <c r="Z389" s="620"/>
      <c r="AA389" s="643"/>
      <c r="AB389" s="616">
        <f t="shared" si="11"/>
        <v>0</v>
      </c>
      <c r="AC389" s="633"/>
      <c r="AD389" s="636"/>
      <c r="AE389" s="636"/>
      <c r="AF389" s="7"/>
      <c r="AG389" s="669"/>
      <c r="AH389" s="7"/>
      <c r="AI389" s="618">
        <f t="shared" si="13"/>
        <v>0</v>
      </c>
      <c r="AJ389" s="7"/>
      <c r="AK389" s="7"/>
      <c r="AL389" s="7"/>
      <c r="AM389" s="7"/>
      <c r="AN389" s="7"/>
      <c r="AO389" s="7"/>
    </row>
    <row r="390" spans="1:41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671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5"/>
      <c r="R390" s="213"/>
      <c r="S390" s="671"/>
      <c r="T390" s="515"/>
      <c r="U390" s="315"/>
      <c r="V390" s="315"/>
      <c r="W390" s="315"/>
      <c r="X390" s="315"/>
      <c r="Y390" s="372"/>
      <c r="Z390" s="662"/>
      <c r="AA390" s="643"/>
      <c r="AB390" s="616">
        <f t="shared" si="11"/>
        <v>0</v>
      </c>
      <c r="AC390" s="633"/>
      <c r="AD390" s="636"/>
      <c r="AE390" s="636"/>
      <c r="AF390" s="7"/>
      <c r="AG390" s="669"/>
      <c r="AH390" s="7"/>
      <c r="AI390" s="618">
        <f t="shared" si="13"/>
        <v>0</v>
      </c>
      <c r="AJ390" s="7"/>
      <c r="AK390" s="7"/>
      <c r="AL390" s="7"/>
      <c r="AM390" s="7"/>
      <c r="AN390" s="7"/>
      <c r="AO390" s="7"/>
    </row>
    <row r="391" spans="1:41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671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5"/>
      <c r="R391" s="213"/>
      <c r="S391" s="671"/>
      <c r="T391" s="515"/>
      <c r="U391" s="315"/>
      <c r="V391" s="315"/>
      <c r="W391" s="315"/>
      <c r="X391" s="315"/>
      <c r="Y391" s="372"/>
      <c r="Z391" s="662"/>
      <c r="AA391" s="643"/>
      <c r="AB391" s="616">
        <f t="shared" si="11"/>
        <v>0</v>
      </c>
      <c r="AC391" s="633"/>
      <c r="AD391" s="636"/>
      <c r="AE391" s="636"/>
      <c r="AF391" s="7"/>
      <c r="AG391" s="669"/>
      <c r="AH391" s="7"/>
      <c r="AI391" s="618">
        <f t="shared" si="13"/>
        <v>0</v>
      </c>
      <c r="AJ391" s="7"/>
      <c r="AK391" s="7"/>
      <c r="AL391" s="7"/>
      <c r="AM391" s="7"/>
      <c r="AN391" s="7"/>
      <c r="AO391" s="7"/>
    </row>
    <row r="392" spans="1:41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671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5"/>
      <c r="R392" s="213"/>
      <c r="S392" s="671"/>
      <c r="T392" s="515"/>
      <c r="U392" s="315"/>
      <c r="V392" s="315"/>
      <c r="W392" s="315"/>
      <c r="X392" s="315"/>
      <c r="Y392" s="372"/>
      <c r="Z392" s="662"/>
      <c r="AA392" s="643"/>
      <c r="AB392" s="616">
        <f t="shared" si="11"/>
        <v>0</v>
      </c>
      <c r="AC392" s="633"/>
      <c r="AD392" s="636"/>
      <c r="AE392" s="636"/>
      <c r="AF392" s="7"/>
      <c r="AG392" s="669"/>
      <c r="AH392" s="7"/>
      <c r="AI392" s="618">
        <f t="shared" si="13"/>
        <v>0</v>
      </c>
      <c r="AJ392" s="7"/>
      <c r="AK392" s="7"/>
      <c r="AL392" s="7"/>
      <c r="AM392" s="7"/>
      <c r="AN392" s="7"/>
      <c r="AO392" s="7"/>
    </row>
    <row r="393" spans="1:41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671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5"/>
      <c r="R393" s="213"/>
      <c r="S393" s="671"/>
      <c r="T393" s="515"/>
      <c r="U393" s="315"/>
      <c r="V393" s="315"/>
      <c r="W393" s="315"/>
      <c r="X393" s="315"/>
      <c r="Y393" s="372"/>
      <c r="Z393" s="662"/>
      <c r="AA393" s="643"/>
      <c r="AB393" s="616">
        <f t="shared" si="11"/>
        <v>0</v>
      </c>
      <c r="AC393" s="633"/>
      <c r="AD393" s="636"/>
      <c r="AE393" s="636"/>
      <c r="AF393" s="7"/>
      <c r="AG393" s="669"/>
      <c r="AH393" s="7"/>
      <c r="AI393" s="618">
        <f t="shared" si="13"/>
        <v>0</v>
      </c>
      <c r="AJ393" s="7"/>
      <c r="AK393" s="7"/>
      <c r="AL393" s="7"/>
      <c r="AM393" s="7"/>
      <c r="AN393" s="7"/>
      <c r="AO393" s="7"/>
    </row>
    <row r="394" spans="1:41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668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5"/>
      <c r="R394" s="213"/>
      <c r="S394" s="668"/>
      <c r="T394" s="485"/>
      <c r="U394" s="315"/>
      <c r="V394" s="315"/>
      <c r="W394" s="315"/>
      <c r="X394" s="315"/>
      <c r="Y394" s="372"/>
      <c r="Z394" s="620"/>
      <c r="AA394" s="643"/>
      <c r="AB394" s="616">
        <f t="shared" si="11"/>
        <v>0</v>
      </c>
      <c r="AC394" s="633"/>
      <c r="AD394" s="634"/>
      <c r="AE394" s="634"/>
      <c r="AF394" s="7"/>
      <c r="AG394" s="669"/>
      <c r="AH394" s="7"/>
      <c r="AI394" s="618">
        <f t="shared" si="13"/>
        <v>0</v>
      </c>
      <c r="AJ394" s="7"/>
      <c r="AK394" s="7"/>
      <c r="AL394" s="7"/>
      <c r="AM394" s="7"/>
      <c r="AN394" s="7"/>
      <c r="AO394" s="7"/>
    </row>
    <row r="395" spans="1:41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668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5"/>
      <c r="R395" s="213"/>
      <c r="S395" s="668"/>
      <c r="T395" s="485"/>
      <c r="U395" s="315"/>
      <c r="V395" s="315"/>
      <c r="W395" s="315"/>
      <c r="X395" s="315"/>
      <c r="Y395" s="372"/>
      <c r="Z395" s="620"/>
      <c r="AA395" s="643"/>
      <c r="AB395" s="616">
        <f t="shared" si="11"/>
        <v>0</v>
      </c>
      <c r="AC395" s="633"/>
      <c r="AD395" s="634"/>
      <c r="AE395" s="634"/>
      <c r="AF395" s="7"/>
      <c r="AG395" s="669"/>
      <c r="AH395" s="7"/>
      <c r="AI395" s="618">
        <f t="shared" si="13"/>
        <v>0</v>
      </c>
      <c r="AJ395" s="7"/>
      <c r="AK395" s="7"/>
      <c r="AL395" s="7"/>
      <c r="AM395" s="7"/>
      <c r="AN395" s="7"/>
      <c r="AO395" s="7"/>
    </row>
    <row r="396" spans="1:41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668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5"/>
      <c r="R396" s="213"/>
      <c r="S396" s="668"/>
      <c r="T396" s="485"/>
      <c r="U396" s="315"/>
      <c r="V396" s="315"/>
      <c r="W396" s="315"/>
      <c r="X396" s="315"/>
      <c r="Y396" s="372"/>
      <c r="Z396" s="620"/>
      <c r="AA396" s="643"/>
      <c r="AB396" s="616">
        <f t="shared" si="11"/>
        <v>0</v>
      </c>
      <c r="AC396" s="633"/>
      <c r="AD396" s="634"/>
      <c r="AE396" s="634"/>
      <c r="AF396" s="7"/>
      <c r="AG396" s="669"/>
      <c r="AH396" s="7"/>
      <c r="AI396" s="618">
        <f t="shared" si="13"/>
        <v>0</v>
      </c>
      <c r="AJ396" s="7"/>
      <c r="AK396" s="7"/>
      <c r="AL396" s="7"/>
      <c r="AM396" s="7"/>
      <c r="AN396" s="7"/>
      <c r="AO396" s="7"/>
    </row>
    <row r="397" spans="1:41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668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5"/>
      <c r="R397" s="213"/>
      <c r="S397" s="668"/>
      <c r="T397" s="412"/>
      <c r="U397" s="315"/>
      <c r="V397" s="315"/>
      <c r="W397" s="315"/>
      <c r="X397" s="315"/>
      <c r="Y397" s="372"/>
      <c r="Z397" s="620"/>
      <c r="AA397" s="643"/>
      <c r="AB397" s="616">
        <f t="shared" si="11"/>
        <v>0</v>
      </c>
      <c r="AC397" s="633"/>
      <c r="AD397" s="636"/>
      <c r="AE397" s="636"/>
      <c r="AF397" s="7"/>
      <c r="AG397" s="669"/>
      <c r="AH397" s="7"/>
      <c r="AI397" s="618">
        <f t="shared" si="13"/>
        <v>0</v>
      </c>
      <c r="AJ397" s="7"/>
      <c r="AK397" s="7"/>
      <c r="AL397" s="7"/>
      <c r="AM397" s="7"/>
      <c r="AN397" s="7"/>
      <c r="AO397" s="7"/>
    </row>
    <row r="398" spans="1:41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668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5"/>
      <c r="R398" s="213"/>
      <c r="S398" s="668"/>
      <c r="T398" s="485"/>
      <c r="U398" s="315"/>
      <c r="V398" s="315"/>
      <c r="W398" s="315"/>
      <c r="X398" s="315"/>
      <c r="Y398" s="372"/>
      <c r="Z398" s="620"/>
      <c r="AA398" s="643"/>
      <c r="AB398" s="616">
        <f t="shared" si="11"/>
        <v>0</v>
      </c>
      <c r="AC398" s="633"/>
      <c r="AD398" s="634"/>
      <c r="AE398" s="634"/>
      <c r="AF398" s="7"/>
      <c r="AG398" s="669"/>
      <c r="AH398" s="7"/>
      <c r="AI398" s="618">
        <f t="shared" si="13"/>
        <v>0</v>
      </c>
      <c r="AJ398" s="7"/>
      <c r="AK398" s="7"/>
      <c r="AL398" s="7"/>
      <c r="AM398" s="7"/>
      <c r="AN398" s="7"/>
      <c r="AO398" s="7"/>
    </row>
    <row r="399" spans="1:41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668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5"/>
      <c r="R399" s="213"/>
      <c r="S399" s="668"/>
      <c r="T399" s="485"/>
      <c r="U399" s="315"/>
      <c r="V399" s="315"/>
      <c r="W399" s="315"/>
      <c r="X399" s="315"/>
      <c r="Y399" s="372"/>
      <c r="Z399" s="620"/>
      <c r="AA399" s="643"/>
      <c r="AB399" s="616">
        <f t="shared" si="11"/>
        <v>0</v>
      </c>
      <c r="AC399" s="633"/>
      <c r="AD399" s="634"/>
      <c r="AE399" s="634"/>
      <c r="AF399" s="7"/>
      <c r="AG399" s="669"/>
      <c r="AH399" s="7"/>
      <c r="AI399" s="618">
        <f t="shared" si="13"/>
        <v>0</v>
      </c>
      <c r="AJ399" s="7"/>
      <c r="AK399" s="7"/>
      <c r="AL399" s="7"/>
      <c r="AM399" s="7"/>
      <c r="AN399" s="7"/>
      <c r="AO399" s="7"/>
    </row>
    <row r="400" spans="1:41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668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5"/>
      <c r="R400" s="213"/>
      <c r="S400" s="668"/>
      <c r="T400" s="412"/>
      <c r="U400" s="315"/>
      <c r="V400" s="315"/>
      <c r="W400" s="315"/>
      <c r="X400" s="315"/>
      <c r="Y400" s="372"/>
      <c r="Z400" s="620"/>
      <c r="AA400" s="643"/>
      <c r="AB400" s="616">
        <f t="shared" si="11"/>
        <v>0</v>
      </c>
      <c r="AC400" s="633"/>
      <c r="AD400" s="636"/>
      <c r="AE400" s="636"/>
      <c r="AF400" s="7"/>
      <c r="AG400" s="669"/>
      <c r="AH400" s="7"/>
      <c r="AI400" s="618">
        <f t="shared" si="13"/>
        <v>0</v>
      </c>
      <c r="AJ400" s="7"/>
      <c r="AK400" s="7"/>
      <c r="AL400" s="7"/>
      <c r="AM400" s="7"/>
      <c r="AN400" s="7"/>
      <c r="AO400" s="7"/>
    </row>
    <row r="401" spans="1:41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668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5"/>
      <c r="R401" s="213"/>
      <c r="S401" s="668"/>
      <c r="T401" s="485"/>
      <c r="U401" s="315"/>
      <c r="V401" s="315"/>
      <c r="W401" s="315"/>
      <c r="X401" s="315"/>
      <c r="Y401" s="372"/>
      <c r="Z401" s="620"/>
      <c r="AA401" s="643"/>
      <c r="AB401" s="616">
        <f t="shared" si="11"/>
        <v>0</v>
      </c>
      <c r="AC401" s="633"/>
      <c r="AD401" s="634"/>
      <c r="AE401" s="634"/>
      <c r="AF401" s="7"/>
      <c r="AG401" s="669"/>
      <c r="AH401" s="7"/>
      <c r="AI401" s="618">
        <f t="shared" si="13"/>
        <v>0</v>
      </c>
      <c r="AJ401" s="7"/>
      <c r="AK401" s="7"/>
      <c r="AL401" s="7"/>
      <c r="AM401" s="7"/>
      <c r="AN401" s="7"/>
      <c r="AO401" s="7"/>
    </row>
    <row r="402" spans="1:41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668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5"/>
      <c r="R402" s="213"/>
      <c r="S402" s="668"/>
      <c r="T402" s="485"/>
      <c r="U402" s="315"/>
      <c r="V402" s="315"/>
      <c r="W402" s="315"/>
      <c r="X402" s="315"/>
      <c r="Y402" s="372"/>
      <c r="Z402" s="620"/>
      <c r="AA402" s="643"/>
      <c r="AB402" s="616">
        <f t="shared" si="11"/>
        <v>0</v>
      </c>
      <c r="AC402" s="633"/>
      <c r="AD402" s="634"/>
      <c r="AE402" s="634"/>
      <c r="AF402" s="7"/>
      <c r="AG402" s="669"/>
      <c r="AH402" s="7"/>
      <c r="AI402" s="618">
        <f t="shared" si="13"/>
        <v>0</v>
      </c>
      <c r="AJ402" s="7"/>
      <c r="AK402" s="7"/>
      <c r="AL402" s="7"/>
      <c r="AM402" s="7"/>
      <c r="AN402" s="7"/>
      <c r="AO402" s="7"/>
    </row>
    <row r="403" spans="1:41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671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5"/>
      <c r="R403" s="213"/>
      <c r="S403" s="671"/>
      <c r="T403" s="515"/>
      <c r="U403" s="315"/>
      <c r="V403" s="315"/>
      <c r="W403" s="315"/>
      <c r="X403" s="315"/>
      <c r="Y403" s="372"/>
      <c r="Z403" s="662"/>
      <c r="AA403" s="643"/>
      <c r="AB403" s="616">
        <f t="shared" si="11"/>
        <v>0</v>
      </c>
      <c r="AC403" s="633"/>
      <c r="AD403" s="634"/>
      <c r="AE403" s="634"/>
      <c r="AF403" s="7"/>
      <c r="AG403" s="669"/>
      <c r="AH403" s="7"/>
      <c r="AI403" s="618">
        <f t="shared" si="13"/>
        <v>0</v>
      </c>
      <c r="AJ403" s="7"/>
      <c r="AK403" s="7"/>
      <c r="AL403" s="7"/>
      <c r="AM403" s="7"/>
      <c r="AN403" s="7"/>
      <c r="AO403" s="7"/>
    </row>
    <row r="404" spans="1:41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671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5"/>
      <c r="R404" s="213"/>
      <c r="S404" s="671"/>
      <c r="T404" s="515"/>
      <c r="U404" s="315"/>
      <c r="V404" s="315"/>
      <c r="W404" s="315"/>
      <c r="X404" s="315"/>
      <c r="Y404" s="372"/>
      <c r="Z404" s="662"/>
      <c r="AA404" s="643"/>
      <c r="AB404" s="616">
        <f t="shared" si="11"/>
        <v>0</v>
      </c>
      <c r="AC404" s="633"/>
      <c r="AD404" s="640"/>
      <c r="AE404" s="640"/>
      <c r="AF404" s="7"/>
      <c r="AG404" s="669"/>
      <c r="AH404" s="7"/>
      <c r="AI404" s="618">
        <f t="shared" si="13"/>
        <v>0</v>
      </c>
      <c r="AJ404" s="7"/>
      <c r="AK404" s="7"/>
      <c r="AL404" s="7"/>
      <c r="AM404" s="7"/>
      <c r="AN404" s="7"/>
      <c r="AO404" s="7"/>
    </row>
    <row r="405" spans="1:41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671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5"/>
      <c r="R405" s="213"/>
      <c r="S405" s="671"/>
      <c r="T405" s="515"/>
      <c r="U405" s="315"/>
      <c r="V405" s="315"/>
      <c r="W405" s="315"/>
      <c r="X405" s="315"/>
      <c r="Y405" s="372"/>
      <c r="Z405" s="662"/>
      <c r="AA405" s="643"/>
      <c r="AB405" s="616">
        <f t="shared" si="11"/>
        <v>0</v>
      </c>
      <c r="AC405" s="633"/>
      <c r="AD405" s="636"/>
      <c r="AE405" s="636"/>
      <c r="AF405" s="7"/>
      <c r="AG405" s="669"/>
      <c r="AH405" s="7"/>
      <c r="AI405" s="618">
        <f t="shared" si="13"/>
        <v>0</v>
      </c>
      <c r="AJ405" s="7"/>
      <c r="AK405" s="7"/>
      <c r="AL405" s="7"/>
      <c r="AM405" s="7"/>
      <c r="AN405" s="7"/>
      <c r="AO405" s="7"/>
    </row>
    <row r="406" spans="1:41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671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5"/>
      <c r="R406" s="213"/>
      <c r="S406" s="671"/>
      <c r="T406" s="515"/>
      <c r="U406" s="315"/>
      <c r="V406" s="315"/>
      <c r="W406" s="315"/>
      <c r="X406" s="315"/>
      <c r="Y406" s="372"/>
      <c r="Z406" s="662"/>
      <c r="AA406" s="643"/>
      <c r="AB406" s="616">
        <f t="shared" si="11"/>
        <v>0</v>
      </c>
      <c r="AC406" s="633"/>
      <c r="AD406" s="636"/>
      <c r="AE406" s="636"/>
      <c r="AF406" s="7"/>
      <c r="AG406" s="669"/>
      <c r="AH406" s="7"/>
      <c r="AI406" s="618">
        <f t="shared" si="13"/>
        <v>0</v>
      </c>
      <c r="AJ406" s="7"/>
      <c r="AK406" s="7"/>
      <c r="AL406" s="7"/>
      <c r="AM406" s="7"/>
      <c r="AN406" s="7"/>
      <c r="AO406" s="7"/>
    </row>
    <row r="407" spans="1:41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671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5"/>
      <c r="R407" s="213"/>
      <c r="S407" s="671"/>
      <c r="T407" s="515"/>
      <c r="U407" s="315"/>
      <c r="V407" s="315"/>
      <c r="W407" s="315"/>
      <c r="X407" s="315"/>
      <c r="Y407" s="372"/>
      <c r="Z407" s="662"/>
      <c r="AA407" s="643"/>
      <c r="AB407" s="616">
        <f t="shared" si="11"/>
        <v>0</v>
      </c>
      <c r="AC407" s="633"/>
      <c r="AD407" s="636"/>
      <c r="AE407" s="636"/>
      <c r="AF407" s="7"/>
      <c r="AG407" s="669"/>
      <c r="AH407" s="7"/>
      <c r="AI407" s="618">
        <f t="shared" si="13"/>
        <v>0</v>
      </c>
      <c r="AJ407" s="7"/>
      <c r="AK407" s="7"/>
      <c r="AL407" s="7"/>
      <c r="AM407" s="7"/>
      <c r="AN407" s="7"/>
      <c r="AO407" s="7"/>
    </row>
    <row r="408" spans="1:41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671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5"/>
      <c r="R408" s="213"/>
      <c r="S408" s="671"/>
      <c r="T408" s="515"/>
      <c r="U408" s="315"/>
      <c r="V408" s="315"/>
      <c r="W408" s="315"/>
      <c r="X408" s="315"/>
      <c r="Y408" s="372"/>
      <c r="Z408" s="662"/>
      <c r="AA408" s="643"/>
      <c r="AB408" s="616">
        <f t="shared" si="11"/>
        <v>0</v>
      </c>
      <c r="AC408" s="633"/>
      <c r="AD408" s="636"/>
      <c r="AE408" s="636"/>
      <c r="AF408" s="7"/>
      <c r="AG408" s="669"/>
      <c r="AH408" s="7"/>
      <c r="AI408" s="618">
        <f t="shared" si="13"/>
        <v>0</v>
      </c>
      <c r="AJ408" s="7"/>
      <c r="AK408" s="7"/>
      <c r="AL408" s="7"/>
      <c r="AM408" s="7"/>
      <c r="AN408" s="7"/>
      <c r="AO408" s="7"/>
    </row>
    <row r="409" spans="1:41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671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5"/>
      <c r="R409" s="213"/>
      <c r="S409" s="671"/>
      <c r="T409" s="515"/>
      <c r="U409" s="315"/>
      <c r="V409" s="315"/>
      <c r="W409" s="315"/>
      <c r="X409" s="315"/>
      <c r="Y409" s="372"/>
      <c r="Z409" s="662"/>
      <c r="AA409" s="643"/>
      <c r="AB409" s="616">
        <f t="shared" si="11"/>
        <v>0</v>
      </c>
      <c r="AC409" s="633"/>
      <c r="AD409" s="636"/>
      <c r="AE409" s="636"/>
      <c r="AF409" s="7"/>
      <c r="AG409" s="669"/>
      <c r="AH409" s="7"/>
      <c r="AI409" s="618">
        <f t="shared" si="13"/>
        <v>0</v>
      </c>
      <c r="AJ409" s="7"/>
      <c r="AK409" s="7"/>
      <c r="AL409" s="7"/>
      <c r="AM409" s="7"/>
      <c r="AN409" s="7"/>
      <c r="AO409" s="7"/>
    </row>
    <row r="410" spans="1:41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671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5"/>
      <c r="R410" s="213"/>
      <c r="S410" s="671"/>
      <c r="T410" s="515"/>
      <c r="U410" s="315"/>
      <c r="V410" s="315"/>
      <c r="W410" s="315"/>
      <c r="X410" s="315"/>
      <c r="Y410" s="372"/>
      <c r="Z410" s="662"/>
      <c r="AA410" s="643"/>
      <c r="AB410" s="616">
        <f t="shared" si="11"/>
        <v>0</v>
      </c>
      <c r="AC410" s="633"/>
      <c r="AD410" s="636"/>
      <c r="AE410" s="636"/>
      <c r="AF410" s="7"/>
      <c r="AG410" s="669"/>
      <c r="AH410" s="7"/>
      <c r="AI410" s="618">
        <f t="shared" si="13"/>
        <v>0</v>
      </c>
      <c r="AJ410" s="7"/>
      <c r="AK410" s="7"/>
      <c r="AL410" s="7"/>
      <c r="AM410" s="7"/>
      <c r="AN410" s="7"/>
      <c r="AO410" s="7"/>
    </row>
    <row r="411" spans="1:41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671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5"/>
      <c r="R411" s="213"/>
      <c r="S411" s="671"/>
      <c r="T411" s="515"/>
      <c r="U411" s="315"/>
      <c r="V411" s="315"/>
      <c r="W411" s="315"/>
      <c r="X411" s="315"/>
      <c r="Y411" s="372"/>
      <c r="Z411" s="662"/>
      <c r="AA411" s="643"/>
      <c r="AB411" s="616">
        <f t="shared" si="11"/>
        <v>0</v>
      </c>
      <c r="AC411" s="633"/>
      <c r="AD411" s="636"/>
      <c r="AE411" s="636"/>
      <c r="AF411" s="7"/>
      <c r="AG411" s="669"/>
      <c r="AH411" s="7"/>
      <c r="AI411" s="618">
        <f t="shared" si="13"/>
        <v>0</v>
      </c>
      <c r="AJ411" s="7"/>
      <c r="AK411" s="7"/>
      <c r="AL411" s="7"/>
      <c r="AM411" s="7"/>
      <c r="AN411" s="7"/>
      <c r="AO411" s="7"/>
    </row>
    <row r="412" spans="1:41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671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5"/>
      <c r="R412" s="213"/>
      <c r="S412" s="671"/>
      <c r="T412" s="515"/>
      <c r="U412" s="315"/>
      <c r="V412" s="315"/>
      <c r="W412" s="315"/>
      <c r="X412" s="315"/>
      <c r="Y412" s="372"/>
      <c r="Z412" s="662"/>
      <c r="AA412" s="643"/>
      <c r="AB412" s="616">
        <f t="shared" si="11"/>
        <v>0</v>
      </c>
      <c r="AC412" s="633"/>
      <c r="AD412" s="636"/>
      <c r="AE412" s="636"/>
      <c r="AF412" s="7"/>
      <c r="AG412" s="669"/>
      <c r="AH412" s="7"/>
      <c r="AI412" s="618">
        <f t="shared" si="13"/>
        <v>0</v>
      </c>
      <c r="AJ412" s="7"/>
      <c r="AK412" s="7"/>
      <c r="AL412" s="7"/>
      <c r="AM412" s="7"/>
      <c r="AN412" s="7"/>
      <c r="AO412" s="7"/>
    </row>
    <row r="413" spans="1:41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671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5"/>
      <c r="R413" s="213"/>
      <c r="S413" s="671"/>
      <c r="T413" s="515"/>
      <c r="U413" s="315"/>
      <c r="V413" s="315"/>
      <c r="W413" s="315"/>
      <c r="X413" s="315"/>
      <c r="Y413" s="372"/>
      <c r="Z413" s="662"/>
      <c r="AA413" s="643"/>
      <c r="AB413" s="616">
        <f t="shared" si="11"/>
        <v>0</v>
      </c>
      <c r="AC413" s="633"/>
      <c r="AD413" s="636"/>
      <c r="AE413" s="636"/>
      <c r="AF413" s="7"/>
      <c r="AG413" s="669"/>
      <c r="AH413" s="7"/>
      <c r="AI413" s="618">
        <f t="shared" si="13"/>
        <v>0</v>
      </c>
      <c r="AJ413" s="7"/>
      <c r="AK413" s="7"/>
      <c r="AL413" s="7"/>
      <c r="AM413" s="7"/>
      <c r="AN413" s="7"/>
      <c r="AO413" s="7"/>
    </row>
    <row r="414" spans="1:41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671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5"/>
      <c r="R414" s="213"/>
      <c r="S414" s="671"/>
      <c r="T414" s="515"/>
      <c r="U414" s="315"/>
      <c r="V414" s="315"/>
      <c r="W414" s="315"/>
      <c r="X414" s="315"/>
      <c r="Y414" s="372"/>
      <c r="Z414" s="662"/>
      <c r="AA414" s="643"/>
      <c r="AB414" s="616">
        <f t="shared" si="11"/>
        <v>0</v>
      </c>
      <c r="AC414" s="633"/>
      <c r="AD414" s="636"/>
      <c r="AE414" s="636"/>
      <c r="AF414" s="7"/>
      <c r="AG414" s="669"/>
      <c r="AH414" s="7"/>
      <c r="AI414" s="618">
        <f t="shared" si="13"/>
        <v>0</v>
      </c>
      <c r="AJ414" s="7"/>
      <c r="AK414" s="7"/>
      <c r="AL414" s="7"/>
      <c r="AM414" s="7"/>
      <c r="AN414" s="7"/>
      <c r="AO414" s="7"/>
    </row>
    <row r="415" spans="1:41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671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5"/>
      <c r="R415" s="213"/>
      <c r="S415" s="671"/>
      <c r="T415" s="515"/>
      <c r="U415" s="315"/>
      <c r="V415" s="315"/>
      <c r="W415" s="315"/>
      <c r="X415" s="315"/>
      <c r="Y415" s="372"/>
      <c r="Z415" s="662"/>
      <c r="AA415" s="643"/>
      <c r="AB415" s="616">
        <f t="shared" si="11"/>
        <v>0</v>
      </c>
      <c r="AC415" s="633"/>
      <c r="AD415" s="636"/>
      <c r="AE415" s="636"/>
      <c r="AF415" s="7"/>
      <c r="AG415" s="669"/>
      <c r="AH415" s="7"/>
      <c r="AI415" s="618">
        <f t="shared" si="13"/>
        <v>0</v>
      </c>
      <c r="AJ415" s="7"/>
      <c r="AK415" s="7"/>
      <c r="AL415" s="7"/>
      <c r="AM415" s="7"/>
      <c r="AN415" s="7"/>
      <c r="AO415" s="7"/>
    </row>
    <row r="416" spans="1:41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671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5"/>
      <c r="R416" s="213"/>
      <c r="S416" s="671"/>
      <c r="T416" s="515"/>
      <c r="U416" s="315"/>
      <c r="V416" s="315"/>
      <c r="W416" s="315"/>
      <c r="X416" s="315"/>
      <c r="Y416" s="372"/>
      <c r="Z416" s="662"/>
      <c r="AA416" s="643"/>
      <c r="AB416" s="616">
        <f t="shared" si="11"/>
        <v>0</v>
      </c>
      <c r="AC416" s="633"/>
      <c r="AD416" s="636"/>
      <c r="AE416" s="636"/>
      <c r="AF416" s="7"/>
      <c r="AG416" s="669"/>
      <c r="AH416" s="7"/>
      <c r="AI416" s="618">
        <f t="shared" si="13"/>
        <v>0</v>
      </c>
      <c r="AJ416" s="7"/>
      <c r="AK416" s="7"/>
      <c r="AL416" s="7"/>
      <c r="AM416" s="7"/>
      <c r="AN416" s="7"/>
      <c r="AO416" s="7"/>
    </row>
    <row r="417" spans="1:41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671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5"/>
      <c r="R417" s="213"/>
      <c r="S417" s="671"/>
      <c r="T417" s="515"/>
      <c r="U417" s="315"/>
      <c r="V417" s="315"/>
      <c r="W417" s="315"/>
      <c r="X417" s="315"/>
      <c r="Y417" s="372"/>
      <c r="Z417" s="662"/>
      <c r="AA417" s="643"/>
      <c r="AB417" s="616">
        <f t="shared" si="11"/>
        <v>0</v>
      </c>
      <c r="AC417" s="633"/>
      <c r="AD417" s="636"/>
      <c r="AE417" s="636"/>
      <c r="AF417" s="7"/>
      <c r="AG417" s="669"/>
      <c r="AH417" s="7"/>
      <c r="AI417" s="618">
        <f t="shared" si="13"/>
        <v>0</v>
      </c>
      <c r="AJ417" s="7"/>
      <c r="AK417" s="7"/>
      <c r="AL417" s="7"/>
      <c r="AM417" s="7"/>
      <c r="AN417" s="7"/>
      <c r="AO417" s="7"/>
    </row>
    <row r="418" spans="1:41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671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5"/>
      <c r="R418" s="213"/>
      <c r="S418" s="671"/>
      <c r="T418" s="515"/>
      <c r="U418" s="315"/>
      <c r="V418" s="315"/>
      <c r="W418" s="315"/>
      <c r="X418" s="315"/>
      <c r="Y418" s="372"/>
      <c r="Z418" s="662"/>
      <c r="AA418" s="643"/>
      <c r="AB418" s="616">
        <f t="shared" si="11"/>
        <v>0</v>
      </c>
      <c r="AC418" s="633"/>
      <c r="AD418" s="636"/>
      <c r="AE418" s="636"/>
      <c r="AF418" s="7"/>
      <c r="AG418" s="669"/>
      <c r="AH418" s="7"/>
      <c r="AI418" s="618">
        <f t="shared" si="13"/>
        <v>0</v>
      </c>
      <c r="AJ418" s="7"/>
      <c r="AK418" s="7"/>
      <c r="AL418" s="7"/>
      <c r="AM418" s="7"/>
      <c r="AN418" s="7"/>
      <c r="AO418" s="7"/>
    </row>
    <row r="419" spans="1:41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671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5"/>
      <c r="R419" s="213"/>
      <c r="S419" s="671"/>
      <c r="T419" s="515"/>
      <c r="U419" s="315"/>
      <c r="V419" s="315"/>
      <c r="W419" s="315"/>
      <c r="X419" s="315"/>
      <c r="Y419" s="372"/>
      <c r="Z419" s="662"/>
      <c r="AA419" s="643"/>
      <c r="AB419" s="616">
        <f t="shared" si="11"/>
        <v>0</v>
      </c>
      <c r="AC419" s="633"/>
      <c r="AD419" s="636"/>
      <c r="AE419" s="636"/>
      <c r="AF419" s="7"/>
      <c r="AG419" s="669"/>
      <c r="AH419" s="7"/>
      <c r="AI419" s="618">
        <f t="shared" si="13"/>
        <v>0</v>
      </c>
      <c r="AJ419" s="7"/>
      <c r="AK419" s="7"/>
      <c r="AL419" s="7"/>
      <c r="AM419" s="7"/>
      <c r="AN419" s="7"/>
      <c r="AO419" s="7"/>
    </row>
    <row r="420" spans="1:41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671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5"/>
      <c r="R420" s="213"/>
      <c r="S420" s="671"/>
      <c r="T420" s="515"/>
      <c r="U420" s="315"/>
      <c r="V420" s="315"/>
      <c r="W420" s="315"/>
      <c r="X420" s="315"/>
      <c r="Y420" s="372"/>
      <c r="Z420" s="662"/>
      <c r="AA420" s="643"/>
      <c r="AB420" s="616">
        <f t="shared" si="11"/>
        <v>0</v>
      </c>
      <c r="AC420" s="633"/>
      <c r="AD420" s="636"/>
      <c r="AE420" s="636"/>
      <c r="AF420" s="7"/>
      <c r="AG420" s="669"/>
      <c r="AH420" s="7"/>
      <c r="AI420" s="618">
        <f t="shared" si="13"/>
        <v>0</v>
      </c>
      <c r="AJ420" s="7"/>
      <c r="AK420" s="7"/>
      <c r="AL420" s="7"/>
      <c r="AM420" s="7"/>
      <c r="AN420" s="7"/>
      <c r="AO420" s="7"/>
    </row>
    <row r="421" spans="1:41" ht="39" customHeight="1">
      <c r="A421" s="489">
        <v>10</v>
      </c>
      <c r="B421" s="490" t="s">
        <v>915</v>
      </c>
      <c r="C421" s="637" t="s">
        <v>916</v>
      </c>
      <c r="D421" s="516"/>
      <c r="E421" s="671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5"/>
      <c r="R421" s="213"/>
      <c r="S421" s="671"/>
      <c r="T421" s="516"/>
      <c r="U421" s="315"/>
      <c r="V421" s="315"/>
      <c r="W421" s="315"/>
      <c r="X421" s="315"/>
      <c r="Y421" s="370"/>
      <c r="Z421" s="662"/>
      <c r="AA421" s="643"/>
      <c r="AB421" s="616">
        <f t="shared" si="11"/>
        <v>0</v>
      </c>
      <c r="AC421" s="633"/>
      <c r="AD421" s="640"/>
      <c r="AE421" s="640"/>
      <c r="AF421" s="7"/>
      <c r="AG421" s="669"/>
      <c r="AH421" s="7"/>
      <c r="AI421" s="618">
        <f t="shared" si="13"/>
        <v>0</v>
      </c>
      <c r="AJ421" s="7"/>
      <c r="AK421" s="7"/>
      <c r="AL421" s="7"/>
      <c r="AM421" s="7"/>
      <c r="AN421" s="7"/>
      <c r="AO421" s="7"/>
    </row>
    <row r="422" spans="1:41" ht="15.75" customHeight="1">
      <c r="A422" s="482"/>
      <c r="B422" s="496" t="s">
        <v>918</v>
      </c>
      <c r="C422" s="555" t="s">
        <v>919</v>
      </c>
      <c r="D422" s="527" t="s">
        <v>271</v>
      </c>
      <c r="E422" s="674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5"/>
      <c r="R422" s="213"/>
      <c r="S422" s="674"/>
      <c r="T422" s="527"/>
      <c r="U422" s="316"/>
      <c r="V422" s="316"/>
      <c r="W422" s="316"/>
      <c r="X422" s="316"/>
      <c r="Y422" s="370"/>
      <c r="Z422" s="672"/>
      <c r="AA422" s="643"/>
      <c r="AB422" s="616">
        <f t="shared" si="11"/>
        <v>0</v>
      </c>
      <c r="AC422" s="633"/>
      <c r="AD422" s="634"/>
      <c r="AE422" s="634"/>
      <c r="AF422" s="7"/>
      <c r="AG422" s="669"/>
      <c r="AH422" s="7"/>
      <c r="AI422" s="618">
        <f t="shared" si="13"/>
        <v>0</v>
      </c>
      <c r="AJ422" s="7"/>
      <c r="AK422" s="7"/>
      <c r="AL422" s="7"/>
      <c r="AM422" s="7"/>
      <c r="AN422" s="7"/>
      <c r="AO422" s="7"/>
    </row>
    <row r="423" spans="1:41" ht="21" customHeight="1">
      <c r="A423" s="482"/>
      <c r="B423" s="496" t="s">
        <v>920</v>
      </c>
      <c r="C423" s="555" t="s">
        <v>921</v>
      </c>
      <c r="D423" s="527" t="s">
        <v>271</v>
      </c>
      <c r="E423" s="674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5"/>
      <c r="R423" s="213"/>
      <c r="S423" s="674"/>
      <c r="T423" s="527"/>
      <c r="U423" s="316"/>
      <c r="V423" s="316"/>
      <c r="W423" s="316"/>
      <c r="X423" s="316"/>
      <c r="Y423" s="370"/>
      <c r="Z423" s="672"/>
      <c r="AA423" s="643"/>
      <c r="AB423" s="616">
        <f t="shared" si="11"/>
        <v>0</v>
      </c>
      <c r="AC423" s="633"/>
      <c r="AD423" s="634"/>
      <c r="AE423" s="634"/>
      <c r="AF423" s="7"/>
      <c r="AG423" s="669"/>
      <c r="AH423" s="7"/>
      <c r="AI423" s="618">
        <f t="shared" si="13"/>
        <v>0</v>
      </c>
      <c r="AJ423" s="7"/>
      <c r="AK423" s="7"/>
      <c r="AL423" s="7"/>
      <c r="AM423" s="7"/>
      <c r="AN423" s="7"/>
      <c r="AO423" s="7"/>
    </row>
    <row r="424" spans="1:41" ht="21" customHeight="1">
      <c r="A424" s="482"/>
      <c r="B424" s="496" t="s">
        <v>922</v>
      </c>
      <c r="C424" s="555" t="s">
        <v>923</v>
      </c>
      <c r="D424" s="527" t="s">
        <v>122</v>
      </c>
      <c r="E424" s="674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5"/>
      <c r="R424" s="213"/>
      <c r="S424" s="674"/>
      <c r="T424" s="527"/>
      <c r="U424" s="316"/>
      <c r="V424" s="316"/>
      <c r="W424" s="316"/>
      <c r="X424" s="316"/>
      <c r="Y424" s="370"/>
      <c r="Z424" s="672"/>
      <c r="AA424" s="643"/>
      <c r="AB424" s="616">
        <f t="shared" si="11"/>
        <v>0</v>
      </c>
      <c r="AC424" s="633"/>
      <c r="AD424" s="634"/>
      <c r="AE424" s="634"/>
      <c r="AF424" s="7"/>
      <c r="AG424" s="669"/>
      <c r="AH424" s="7"/>
      <c r="AI424" s="618">
        <f t="shared" si="13"/>
        <v>0</v>
      </c>
      <c r="AJ424" s="7"/>
      <c r="AK424" s="7"/>
      <c r="AL424" s="7"/>
      <c r="AM424" s="7"/>
      <c r="AN424" s="7"/>
      <c r="AO424" s="7"/>
    </row>
    <row r="425" spans="1:41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674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5"/>
      <c r="R425" s="213"/>
      <c r="S425" s="674"/>
      <c r="T425" s="528"/>
      <c r="U425" s="316"/>
      <c r="V425" s="316"/>
      <c r="W425" s="316"/>
      <c r="X425" s="316"/>
      <c r="Y425" s="370"/>
      <c r="Z425" s="672"/>
      <c r="AA425" s="643"/>
      <c r="AB425" s="616">
        <f t="shared" si="11"/>
        <v>0</v>
      </c>
      <c r="AC425" s="633"/>
      <c r="AD425" s="636"/>
      <c r="AE425" s="636"/>
      <c r="AF425" s="7"/>
      <c r="AG425" s="669"/>
      <c r="AH425" s="7"/>
      <c r="AI425" s="618">
        <f t="shared" si="13"/>
        <v>0</v>
      </c>
      <c r="AJ425" s="7"/>
      <c r="AK425" s="7"/>
      <c r="AL425" s="7"/>
      <c r="AM425" s="7"/>
      <c r="AN425" s="7"/>
      <c r="AO425" s="7"/>
    </row>
    <row r="426" spans="1:41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671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5"/>
      <c r="R426" s="213"/>
      <c r="S426" s="671"/>
      <c r="T426" s="515"/>
      <c r="U426" s="315"/>
      <c r="V426" s="315"/>
      <c r="W426" s="315"/>
      <c r="X426" s="315"/>
      <c r="Y426" s="370"/>
      <c r="Z426" s="662"/>
      <c r="AA426" s="643"/>
      <c r="AB426" s="616">
        <f t="shared" si="11"/>
        <v>0</v>
      </c>
      <c r="AC426" s="633"/>
      <c r="AD426" s="634"/>
      <c r="AE426" s="634"/>
      <c r="AF426" s="7"/>
      <c r="AG426" s="669"/>
      <c r="AH426" s="7"/>
      <c r="AI426" s="618">
        <f t="shared" si="13"/>
        <v>0</v>
      </c>
      <c r="AJ426" s="7"/>
      <c r="AK426" s="7"/>
      <c r="AL426" s="7"/>
      <c r="AM426" s="7"/>
      <c r="AN426" s="7"/>
      <c r="AO426" s="7"/>
    </row>
    <row r="427" spans="1:41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671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5"/>
      <c r="R427" s="213"/>
      <c r="S427" s="671"/>
      <c r="T427" s="515"/>
      <c r="U427" s="315"/>
      <c r="V427" s="315"/>
      <c r="W427" s="315"/>
      <c r="X427" s="315"/>
      <c r="Y427" s="372"/>
      <c r="Z427" s="662"/>
      <c r="AA427" s="643"/>
      <c r="AB427" s="616">
        <f t="shared" si="11"/>
        <v>0</v>
      </c>
      <c r="AC427" s="633"/>
      <c r="AD427" s="640"/>
      <c r="AE427" s="640"/>
      <c r="AF427" s="7"/>
      <c r="AG427" s="669"/>
      <c r="AH427" s="7"/>
      <c r="AI427" s="618">
        <f t="shared" si="13"/>
        <v>0</v>
      </c>
      <c r="AJ427" s="7"/>
      <c r="AK427" s="7"/>
      <c r="AL427" s="7"/>
      <c r="AM427" s="7"/>
      <c r="AN427" s="7"/>
      <c r="AO427" s="7"/>
    </row>
    <row r="428" spans="1:41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668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>
        <v>1</v>
      </c>
      <c r="Q428" s="215"/>
      <c r="R428" s="213"/>
      <c r="S428" s="668"/>
      <c r="T428" s="412"/>
      <c r="U428" s="315"/>
      <c r="V428" s="315"/>
      <c r="W428" s="315"/>
      <c r="X428" s="315"/>
      <c r="Y428" s="372"/>
      <c r="Z428" s="620"/>
      <c r="AA428" s="643"/>
      <c r="AB428" s="616">
        <f t="shared" si="11"/>
        <v>1</v>
      </c>
      <c r="AC428" s="633"/>
      <c r="AD428" s="636"/>
      <c r="AE428" s="636"/>
      <c r="AF428" s="7"/>
      <c r="AG428" s="669">
        <v>1</v>
      </c>
      <c r="AH428" s="7"/>
      <c r="AI428" s="618">
        <f t="shared" si="13"/>
        <v>0</v>
      </c>
      <c r="AJ428" s="7"/>
      <c r="AK428" s="7"/>
      <c r="AL428" s="7"/>
      <c r="AM428" s="7"/>
      <c r="AN428" s="7"/>
      <c r="AO428" s="7"/>
    </row>
    <row r="429" spans="1:41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668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5"/>
      <c r="R429" s="213"/>
      <c r="S429" s="668"/>
      <c r="T429" s="485"/>
      <c r="U429" s="315"/>
      <c r="V429" s="315"/>
      <c r="W429" s="315"/>
      <c r="X429" s="315"/>
      <c r="Y429" s="372"/>
      <c r="Z429" s="620"/>
      <c r="AA429" s="643"/>
      <c r="AB429" s="616">
        <f t="shared" si="11"/>
        <v>0</v>
      </c>
      <c r="AC429" s="633"/>
      <c r="AD429" s="636"/>
      <c r="AE429" s="636"/>
      <c r="AF429" s="7"/>
      <c r="AG429" s="669"/>
      <c r="AH429" s="7"/>
      <c r="AI429" s="618">
        <f t="shared" si="13"/>
        <v>0</v>
      </c>
      <c r="AJ429" s="7"/>
      <c r="AK429" s="7"/>
      <c r="AL429" s="7"/>
      <c r="AM429" s="7"/>
      <c r="AN429" s="7"/>
      <c r="AO429" s="7"/>
    </row>
    <row r="430" spans="1:41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668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5"/>
      <c r="R430" s="213"/>
      <c r="S430" s="668"/>
      <c r="T430" s="485"/>
      <c r="U430" s="315"/>
      <c r="V430" s="315"/>
      <c r="W430" s="315"/>
      <c r="X430" s="315"/>
      <c r="Y430" s="372"/>
      <c r="Z430" s="620"/>
      <c r="AA430" s="643"/>
      <c r="AB430" s="616">
        <f t="shared" si="11"/>
        <v>0</v>
      </c>
      <c r="AC430" s="633"/>
      <c r="AD430" s="636"/>
      <c r="AE430" s="636"/>
      <c r="AF430" s="7"/>
      <c r="AG430" s="669"/>
      <c r="AH430" s="7"/>
      <c r="AI430" s="618">
        <f t="shared" si="13"/>
        <v>0</v>
      </c>
      <c r="AJ430" s="7"/>
      <c r="AK430" s="7"/>
      <c r="AL430" s="7"/>
      <c r="AM430" s="7"/>
      <c r="AN430" s="7"/>
      <c r="AO430" s="7"/>
    </row>
    <row r="431" spans="1:41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668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5"/>
      <c r="R431" s="213"/>
      <c r="S431" s="668"/>
      <c r="T431" s="485"/>
      <c r="U431" s="315"/>
      <c r="V431" s="315"/>
      <c r="W431" s="315"/>
      <c r="X431" s="315"/>
      <c r="Y431" s="372"/>
      <c r="Z431" s="620"/>
      <c r="AA431" s="643"/>
      <c r="AB431" s="616">
        <f t="shared" si="11"/>
        <v>0</v>
      </c>
      <c r="AC431" s="633"/>
      <c r="AD431" s="636"/>
      <c r="AE431" s="636"/>
      <c r="AF431" s="7"/>
      <c r="AG431" s="669"/>
      <c r="AH431" s="7"/>
      <c r="AI431" s="618">
        <f t="shared" si="13"/>
        <v>0</v>
      </c>
      <c r="AJ431" s="7"/>
      <c r="AK431" s="7"/>
      <c r="AL431" s="7"/>
      <c r="AM431" s="7"/>
      <c r="AN431" s="7"/>
      <c r="AO431" s="7"/>
    </row>
    <row r="432" spans="1:41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668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5"/>
      <c r="R432" s="213"/>
      <c r="S432" s="668"/>
      <c r="T432" s="485"/>
      <c r="U432" s="315"/>
      <c r="V432" s="315"/>
      <c r="W432" s="315"/>
      <c r="X432" s="315"/>
      <c r="Y432" s="372"/>
      <c r="Z432" s="620"/>
      <c r="AA432" s="643"/>
      <c r="AB432" s="616">
        <f t="shared" si="11"/>
        <v>0</v>
      </c>
      <c r="AC432" s="633"/>
      <c r="AD432" s="636"/>
      <c r="AE432" s="636"/>
      <c r="AF432" s="7"/>
      <c r="AG432" s="669"/>
      <c r="AH432" s="7"/>
      <c r="AI432" s="618">
        <f t="shared" si="13"/>
        <v>0</v>
      </c>
      <c r="AJ432" s="7"/>
      <c r="AK432" s="7"/>
      <c r="AL432" s="7"/>
      <c r="AM432" s="7"/>
      <c r="AN432" s="7"/>
      <c r="AO432" s="7"/>
    </row>
    <row r="433" spans="1:41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668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5"/>
      <c r="R433" s="213"/>
      <c r="S433" s="668"/>
      <c r="T433" s="412"/>
      <c r="U433" s="315"/>
      <c r="V433" s="315"/>
      <c r="W433" s="315"/>
      <c r="X433" s="315"/>
      <c r="Y433" s="372"/>
      <c r="Z433" s="620"/>
      <c r="AA433" s="643"/>
      <c r="AB433" s="616">
        <f t="shared" si="11"/>
        <v>0</v>
      </c>
      <c r="AC433" s="633"/>
      <c r="AD433" s="636"/>
      <c r="AE433" s="636"/>
      <c r="AF433" s="7"/>
      <c r="AG433" s="669"/>
      <c r="AH433" s="7"/>
      <c r="AI433" s="618">
        <f t="shared" si="13"/>
        <v>0</v>
      </c>
      <c r="AJ433" s="7"/>
      <c r="AK433" s="7"/>
      <c r="AL433" s="7"/>
      <c r="AM433" s="7"/>
      <c r="AN433" s="7"/>
      <c r="AO433" s="7"/>
    </row>
    <row r="434" spans="1:41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668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5"/>
      <c r="R434" s="213"/>
      <c r="S434" s="668"/>
      <c r="T434" s="485"/>
      <c r="U434" s="315"/>
      <c r="V434" s="315"/>
      <c r="W434" s="315"/>
      <c r="X434" s="315"/>
      <c r="Y434" s="372"/>
      <c r="Z434" s="620"/>
      <c r="AA434" s="643"/>
      <c r="AB434" s="616">
        <f t="shared" si="11"/>
        <v>0</v>
      </c>
      <c r="AC434" s="633"/>
      <c r="AD434" s="636"/>
      <c r="AE434" s="636"/>
      <c r="AF434" s="7"/>
      <c r="AG434" s="669"/>
      <c r="AH434" s="7"/>
      <c r="AI434" s="618">
        <f t="shared" si="13"/>
        <v>0</v>
      </c>
      <c r="AJ434" s="7"/>
      <c r="AK434" s="7"/>
      <c r="AL434" s="7"/>
      <c r="AM434" s="7"/>
      <c r="AN434" s="7"/>
      <c r="AO434" s="7"/>
    </row>
    <row r="435" spans="1:41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668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5"/>
      <c r="R435" s="213"/>
      <c r="S435" s="668"/>
      <c r="T435" s="485"/>
      <c r="U435" s="315"/>
      <c r="V435" s="315"/>
      <c r="W435" s="315"/>
      <c r="X435" s="315"/>
      <c r="Y435" s="372"/>
      <c r="Z435" s="620"/>
      <c r="AA435" s="643"/>
      <c r="AB435" s="616">
        <f t="shared" si="11"/>
        <v>0</v>
      </c>
      <c r="AC435" s="633"/>
      <c r="AD435" s="636"/>
      <c r="AE435" s="636"/>
      <c r="AF435" s="7"/>
      <c r="AG435" s="669"/>
      <c r="AH435" s="7"/>
      <c r="AI435" s="618">
        <f t="shared" si="13"/>
        <v>0</v>
      </c>
      <c r="AJ435" s="7"/>
      <c r="AK435" s="7"/>
      <c r="AL435" s="7"/>
      <c r="AM435" s="7"/>
      <c r="AN435" s="7"/>
      <c r="AO435" s="7"/>
    </row>
    <row r="436" spans="1:41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668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5"/>
      <c r="R436" s="213"/>
      <c r="S436" s="668"/>
      <c r="T436" s="485"/>
      <c r="U436" s="315"/>
      <c r="V436" s="315"/>
      <c r="W436" s="315"/>
      <c r="X436" s="315"/>
      <c r="Y436" s="372"/>
      <c r="Z436" s="620"/>
      <c r="AA436" s="643"/>
      <c r="AB436" s="616">
        <f t="shared" si="11"/>
        <v>0</v>
      </c>
      <c r="AC436" s="633"/>
      <c r="AD436" s="636"/>
      <c r="AE436" s="636"/>
      <c r="AF436" s="7"/>
      <c r="AG436" s="669"/>
      <c r="AH436" s="7"/>
      <c r="AI436" s="618">
        <f t="shared" si="13"/>
        <v>0</v>
      </c>
      <c r="AJ436" s="7"/>
      <c r="AK436" s="7"/>
      <c r="AL436" s="7"/>
      <c r="AM436" s="7"/>
      <c r="AN436" s="7"/>
      <c r="AO436" s="7"/>
    </row>
    <row r="437" spans="1:41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668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5"/>
      <c r="R437" s="213"/>
      <c r="S437" s="668"/>
      <c r="T437" s="485"/>
      <c r="U437" s="315"/>
      <c r="V437" s="315"/>
      <c r="W437" s="315"/>
      <c r="X437" s="315"/>
      <c r="Y437" s="372"/>
      <c r="Z437" s="620"/>
      <c r="AA437" s="643"/>
      <c r="AB437" s="616">
        <f t="shared" si="11"/>
        <v>0</v>
      </c>
      <c r="AC437" s="633"/>
      <c r="AD437" s="636"/>
      <c r="AE437" s="636"/>
      <c r="AF437" s="7"/>
      <c r="AG437" s="669"/>
      <c r="AH437" s="7"/>
      <c r="AI437" s="618">
        <f t="shared" si="13"/>
        <v>0</v>
      </c>
      <c r="AJ437" s="7"/>
      <c r="AK437" s="7"/>
      <c r="AL437" s="7"/>
      <c r="AM437" s="7"/>
      <c r="AN437" s="7"/>
      <c r="AO437" s="7"/>
    </row>
    <row r="438" spans="1:41" ht="21.75" customHeight="1">
      <c r="A438" s="486">
        <v>15.3</v>
      </c>
      <c r="B438" s="487" t="s">
        <v>947</v>
      </c>
      <c r="C438" s="635" t="s">
        <v>948</v>
      </c>
      <c r="D438" s="412" t="s">
        <v>2218</v>
      </c>
      <c r="E438" s="668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5"/>
      <c r="R438" s="213"/>
      <c r="S438" s="668"/>
      <c r="T438" s="412"/>
      <c r="U438" s="315"/>
      <c r="V438" s="315"/>
      <c r="W438" s="315"/>
      <c r="X438" s="315"/>
      <c r="Y438" s="372"/>
      <c r="Z438" s="620"/>
      <c r="AA438" s="643"/>
      <c r="AB438" s="616">
        <f t="shared" si="11"/>
        <v>0</v>
      </c>
      <c r="AC438" s="633"/>
      <c r="AD438" s="636"/>
      <c r="AE438" s="636"/>
      <c r="AF438" s="7"/>
      <c r="AG438" s="669"/>
      <c r="AH438" s="7"/>
      <c r="AI438" s="618">
        <f t="shared" si="13"/>
        <v>0</v>
      </c>
      <c r="AJ438" s="7"/>
      <c r="AK438" s="7"/>
      <c r="AL438" s="7"/>
      <c r="AM438" s="7"/>
      <c r="AN438" s="7"/>
      <c r="AO438" s="7"/>
    </row>
    <row r="439" spans="1:41" ht="21.75" customHeight="1">
      <c r="A439" s="503" t="s">
        <v>1515</v>
      </c>
      <c r="B439" s="483" t="s">
        <v>951</v>
      </c>
      <c r="C439" s="629" t="s">
        <v>131</v>
      </c>
      <c r="D439" s="485" t="s">
        <v>2219</v>
      </c>
      <c r="E439" s="668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5"/>
      <c r="R439" s="213"/>
      <c r="S439" s="668"/>
      <c r="T439" s="485"/>
      <c r="U439" s="315"/>
      <c r="V439" s="315"/>
      <c r="W439" s="315"/>
      <c r="X439" s="315"/>
      <c r="Y439" s="372"/>
      <c r="Z439" s="620"/>
      <c r="AA439" s="643"/>
      <c r="AB439" s="616">
        <f t="shared" si="11"/>
        <v>0</v>
      </c>
      <c r="AC439" s="633"/>
      <c r="AD439" s="636"/>
      <c r="AE439" s="636"/>
      <c r="AF439" s="7"/>
      <c r="AG439" s="669"/>
      <c r="AH439" s="7"/>
      <c r="AI439" s="618">
        <f t="shared" si="13"/>
        <v>0</v>
      </c>
      <c r="AJ439" s="7"/>
      <c r="AK439" s="7"/>
      <c r="AL439" s="7"/>
      <c r="AM439" s="7"/>
      <c r="AN439" s="7"/>
      <c r="AO439" s="7"/>
    </row>
    <row r="440" spans="1:41" ht="21.75" customHeight="1">
      <c r="A440" s="503" t="s">
        <v>1517</v>
      </c>
      <c r="B440" s="483" t="s">
        <v>953</v>
      </c>
      <c r="C440" s="629" t="s">
        <v>200</v>
      </c>
      <c r="D440" s="485" t="s">
        <v>2220</v>
      </c>
      <c r="E440" s="668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5"/>
      <c r="R440" s="213"/>
      <c r="S440" s="668"/>
      <c r="T440" s="485"/>
      <c r="U440" s="315"/>
      <c r="V440" s="315"/>
      <c r="W440" s="315"/>
      <c r="X440" s="315"/>
      <c r="Y440" s="372"/>
      <c r="Z440" s="620"/>
      <c r="AA440" s="643"/>
      <c r="AB440" s="616">
        <f t="shared" si="11"/>
        <v>0</v>
      </c>
      <c r="AC440" s="633"/>
      <c r="AD440" s="636"/>
      <c r="AE440" s="636"/>
      <c r="AF440" s="7"/>
      <c r="AG440" s="669"/>
      <c r="AH440" s="7"/>
      <c r="AI440" s="618">
        <f t="shared" si="13"/>
        <v>0</v>
      </c>
      <c r="AJ440" s="7"/>
      <c r="AK440" s="7"/>
      <c r="AL440" s="7"/>
      <c r="AM440" s="7"/>
      <c r="AN440" s="7"/>
      <c r="AO440" s="7"/>
    </row>
    <row r="441" spans="1:41" ht="21.75" customHeight="1">
      <c r="A441" s="503" t="s">
        <v>1519</v>
      </c>
      <c r="B441" s="483" t="s">
        <v>955</v>
      </c>
      <c r="C441" s="629" t="s">
        <v>203</v>
      </c>
      <c r="D441" s="485" t="s">
        <v>2221</v>
      </c>
      <c r="E441" s="668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5"/>
      <c r="R441" s="213"/>
      <c r="S441" s="668"/>
      <c r="T441" s="485"/>
      <c r="U441" s="315"/>
      <c r="V441" s="315"/>
      <c r="W441" s="315"/>
      <c r="X441" s="315"/>
      <c r="Y441" s="372"/>
      <c r="Z441" s="620"/>
      <c r="AA441" s="643"/>
      <c r="AB441" s="616">
        <f t="shared" si="11"/>
        <v>0</v>
      </c>
      <c r="AC441" s="633"/>
      <c r="AD441" s="636"/>
      <c r="AE441" s="636"/>
      <c r="AF441" s="7"/>
      <c r="AG441" s="669"/>
      <c r="AH441" s="7"/>
      <c r="AI441" s="618">
        <f t="shared" si="13"/>
        <v>0</v>
      </c>
      <c r="AJ441" s="7"/>
      <c r="AK441" s="7"/>
      <c r="AL441" s="7"/>
      <c r="AM441" s="7"/>
      <c r="AN441" s="7"/>
      <c r="AO441" s="7"/>
    </row>
    <row r="442" spans="1:41" ht="21.75" customHeight="1">
      <c r="A442" s="503" t="s">
        <v>1521</v>
      </c>
      <c r="B442" s="483" t="s">
        <v>957</v>
      </c>
      <c r="C442" s="629" t="s">
        <v>159</v>
      </c>
      <c r="D442" s="485" t="s">
        <v>2222</v>
      </c>
      <c r="E442" s="668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5"/>
      <c r="R442" s="213"/>
      <c r="S442" s="668"/>
      <c r="T442" s="485"/>
      <c r="U442" s="315"/>
      <c r="V442" s="315"/>
      <c r="W442" s="315"/>
      <c r="X442" s="315"/>
      <c r="Y442" s="372"/>
      <c r="Z442" s="620"/>
      <c r="AA442" s="643"/>
      <c r="AB442" s="616">
        <f t="shared" si="11"/>
        <v>0</v>
      </c>
      <c r="AC442" s="633"/>
      <c r="AD442" s="636"/>
      <c r="AE442" s="636"/>
      <c r="AF442" s="7"/>
      <c r="AG442" s="669"/>
      <c r="AH442" s="7"/>
      <c r="AI442" s="618">
        <f t="shared" si="13"/>
        <v>0</v>
      </c>
      <c r="AJ442" s="7"/>
      <c r="AK442" s="7"/>
      <c r="AL442" s="7"/>
      <c r="AM442" s="7"/>
      <c r="AN442" s="7"/>
      <c r="AO442" s="7"/>
    </row>
    <row r="443" spans="1:41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668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5"/>
      <c r="R443" s="213"/>
      <c r="S443" s="668"/>
      <c r="T443" s="412"/>
      <c r="U443" s="315"/>
      <c r="V443" s="315"/>
      <c r="W443" s="315"/>
      <c r="X443" s="315"/>
      <c r="Y443" s="372"/>
      <c r="Z443" s="620"/>
      <c r="AA443" s="643"/>
      <c r="AB443" s="616">
        <f t="shared" si="11"/>
        <v>0</v>
      </c>
      <c r="AC443" s="633"/>
      <c r="AD443" s="636"/>
      <c r="AE443" s="636"/>
      <c r="AF443" s="7"/>
      <c r="AG443" s="669"/>
      <c r="AH443" s="7"/>
      <c r="AI443" s="618">
        <f t="shared" si="13"/>
        <v>0</v>
      </c>
      <c r="AJ443" s="7"/>
      <c r="AK443" s="7"/>
      <c r="AL443" s="7"/>
      <c r="AM443" s="7"/>
      <c r="AN443" s="7"/>
      <c r="AO443" s="7"/>
    </row>
    <row r="444" spans="1:41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671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5"/>
      <c r="R444" s="213"/>
      <c r="S444" s="671"/>
      <c r="T444" s="515"/>
      <c r="U444" s="315"/>
      <c r="V444" s="315"/>
      <c r="W444" s="315"/>
      <c r="X444" s="315"/>
      <c r="Y444" s="372"/>
      <c r="Z444" s="662"/>
      <c r="AA444" s="643"/>
      <c r="AB444" s="616">
        <f t="shared" si="11"/>
        <v>0</v>
      </c>
      <c r="AC444" s="633"/>
      <c r="AD444" s="636"/>
      <c r="AE444" s="636"/>
      <c r="AF444" s="7"/>
      <c r="AG444" s="669"/>
      <c r="AH444" s="7"/>
      <c r="AI444" s="618">
        <f t="shared" si="13"/>
        <v>0</v>
      </c>
      <c r="AJ444" s="7"/>
      <c r="AK444" s="7"/>
      <c r="AL444" s="7"/>
      <c r="AM444" s="7"/>
      <c r="AN444" s="7"/>
      <c r="AO444" s="7"/>
    </row>
    <row r="445" spans="1:41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671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5"/>
      <c r="R445" s="213"/>
      <c r="S445" s="671"/>
      <c r="T445" s="515"/>
      <c r="U445" s="315"/>
      <c r="V445" s="315"/>
      <c r="W445" s="315"/>
      <c r="X445" s="315"/>
      <c r="Y445" s="372"/>
      <c r="Z445" s="662"/>
      <c r="AA445" s="643"/>
      <c r="AB445" s="616">
        <f t="shared" si="11"/>
        <v>0</v>
      </c>
      <c r="AC445" s="633"/>
      <c r="AD445" s="636"/>
      <c r="AE445" s="636"/>
      <c r="AF445" s="7"/>
      <c r="AG445" s="669"/>
      <c r="AH445" s="7"/>
      <c r="AI445" s="618">
        <f t="shared" si="13"/>
        <v>0</v>
      </c>
      <c r="AJ445" s="7"/>
      <c r="AK445" s="7"/>
      <c r="AL445" s="7"/>
      <c r="AM445" s="7"/>
      <c r="AN445" s="7"/>
      <c r="AO445" s="7"/>
    </row>
    <row r="446" spans="1:41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671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5"/>
      <c r="R446" s="213"/>
      <c r="S446" s="671"/>
      <c r="T446" s="515"/>
      <c r="U446" s="315"/>
      <c r="V446" s="315"/>
      <c r="W446" s="315"/>
      <c r="X446" s="315"/>
      <c r="Y446" s="372"/>
      <c r="Z446" s="662"/>
      <c r="AA446" s="643"/>
      <c r="AB446" s="616">
        <f t="shared" si="11"/>
        <v>0</v>
      </c>
      <c r="AC446" s="633"/>
      <c r="AD446" s="636"/>
      <c r="AE446" s="636"/>
      <c r="AF446" s="7"/>
      <c r="AG446" s="669"/>
      <c r="AH446" s="7"/>
      <c r="AI446" s="618">
        <f t="shared" si="13"/>
        <v>0</v>
      </c>
      <c r="AJ446" s="7"/>
      <c r="AK446" s="7"/>
      <c r="AL446" s="7"/>
      <c r="AM446" s="7"/>
      <c r="AN446" s="7"/>
      <c r="AO446" s="7"/>
    </row>
    <row r="447" spans="1:41" ht="42" customHeight="1">
      <c r="A447" s="519"/>
      <c r="B447" s="801" t="s">
        <v>969</v>
      </c>
      <c r="C447" s="771"/>
      <c r="D447" s="491" t="s">
        <v>970</v>
      </c>
      <c r="E447" s="677">
        <v>185</v>
      </c>
      <c r="F447" s="231">
        <v>632</v>
      </c>
      <c r="G447" s="231"/>
      <c r="H447" s="231"/>
      <c r="I447" s="231"/>
      <c r="J447" s="231">
        <v>99.8</v>
      </c>
      <c r="K447" s="231"/>
      <c r="L447" s="231"/>
      <c r="M447" s="219">
        <v>1537</v>
      </c>
      <c r="N447" s="219">
        <v>1121.7</v>
      </c>
      <c r="O447" s="219">
        <v>6046</v>
      </c>
      <c r="P447" s="219">
        <v>148.91999999999999</v>
      </c>
      <c r="Q447" s="235">
        <v>300</v>
      </c>
      <c r="R447" s="219">
        <v>842</v>
      </c>
      <c r="S447" s="677">
        <v>1219</v>
      </c>
      <c r="T447" s="219">
        <v>6173.3</v>
      </c>
      <c r="U447" s="219">
        <v>635</v>
      </c>
      <c r="V447" s="219">
        <v>152.4</v>
      </c>
      <c r="W447" s="219">
        <v>5671.6</v>
      </c>
      <c r="X447" s="219">
        <v>2601</v>
      </c>
      <c r="Y447" s="385">
        <v>60</v>
      </c>
      <c r="Z447" s="675"/>
      <c r="AA447" s="678"/>
      <c r="AB447" s="616">
        <f t="shared" si="11"/>
        <v>27424.720000000001</v>
      </c>
      <c r="AC447" s="633"/>
      <c r="AD447" s="537"/>
      <c r="AE447" s="537"/>
      <c r="AF447" s="7"/>
      <c r="AG447" s="679">
        <v>169309</v>
      </c>
      <c r="AH447" s="7"/>
      <c r="AI447" s="618">
        <f t="shared" si="13"/>
        <v>141884.28</v>
      </c>
      <c r="AJ447" s="7"/>
      <c r="AK447" s="7"/>
      <c r="AL447" s="7"/>
      <c r="AM447" s="7"/>
      <c r="AN447" s="7"/>
      <c r="AO447" s="7"/>
    </row>
    <row r="448" spans="1:41" ht="21.75" customHeight="1">
      <c r="A448" s="534"/>
      <c r="B448" s="535"/>
      <c r="C448" s="680"/>
      <c r="D448" s="536"/>
      <c r="E448" s="158"/>
      <c r="F448" s="174"/>
      <c r="G448" s="174"/>
      <c r="H448" s="174"/>
      <c r="I448" s="174"/>
      <c r="J448" s="174"/>
      <c r="K448" s="174"/>
      <c r="Z448" s="536"/>
    </row>
    <row r="449" spans="1:26" ht="15.75" customHeight="1">
      <c r="A449" s="541"/>
      <c r="B449" s="542" t="s">
        <v>1523</v>
      </c>
      <c r="C449" s="542"/>
      <c r="D449" s="541"/>
      <c r="E449" s="158"/>
      <c r="F449" s="174"/>
      <c r="G449" s="174"/>
      <c r="H449" s="174"/>
      <c r="I449" s="174"/>
      <c r="J449" s="174"/>
      <c r="K449" s="174"/>
      <c r="Z449" s="541"/>
    </row>
    <row r="450" spans="1:26" ht="15.75" customHeight="1">
      <c r="A450" s="541"/>
      <c r="B450" s="545" t="s">
        <v>1524</v>
      </c>
      <c r="C450" s="542" t="s">
        <v>1525</v>
      </c>
      <c r="D450" s="541"/>
      <c r="E450" s="158"/>
      <c r="F450" s="174"/>
      <c r="G450" s="174"/>
      <c r="H450" s="174"/>
      <c r="I450" s="174"/>
      <c r="J450" s="174"/>
      <c r="K450" s="174"/>
      <c r="Z450" s="541"/>
    </row>
    <row r="451" spans="1:26" ht="15.75" customHeight="1">
      <c r="A451" s="541"/>
      <c r="B451" s="545" t="s">
        <v>1526</v>
      </c>
      <c r="C451" s="542" t="s">
        <v>1527</v>
      </c>
      <c r="D451" s="541"/>
      <c r="E451" s="151"/>
      <c r="F451" s="174"/>
      <c r="G451" s="174"/>
      <c r="H451" s="174"/>
      <c r="I451" s="174"/>
      <c r="J451" s="174"/>
      <c r="K451" s="174"/>
      <c r="Z451" s="541"/>
    </row>
    <row r="452" spans="1:26" ht="15.75" customHeight="1">
      <c r="A452" s="541"/>
      <c r="B452" s="545"/>
      <c r="C452" s="542"/>
      <c r="D452" s="541"/>
      <c r="E452" s="151"/>
      <c r="F452" s="174"/>
      <c r="G452" s="174"/>
      <c r="H452" s="174"/>
      <c r="I452" s="174"/>
      <c r="J452" s="174"/>
      <c r="K452" s="174"/>
      <c r="Z452" s="541"/>
    </row>
    <row r="453" spans="1:26" ht="15.75" customHeight="1">
      <c r="A453" s="541"/>
      <c r="B453" s="802" t="s">
        <v>1528</v>
      </c>
      <c r="C453" s="791"/>
      <c r="D453" s="541"/>
      <c r="E453" s="151"/>
      <c r="F453" s="174"/>
      <c r="G453" s="174"/>
      <c r="H453" s="174"/>
      <c r="I453" s="174"/>
      <c r="J453" s="174"/>
      <c r="K453" s="174"/>
      <c r="Z453" s="541"/>
    </row>
    <row r="454" spans="1:26" ht="15.75" customHeight="1">
      <c r="A454" s="541"/>
      <c r="B454" s="790" t="s">
        <v>1529</v>
      </c>
      <c r="C454" s="791"/>
      <c r="D454" s="541" t="s">
        <v>1530</v>
      </c>
      <c r="E454" s="151"/>
      <c r="F454" s="174"/>
      <c r="G454" s="174"/>
      <c r="H454" s="174"/>
      <c r="I454" s="174"/>
      <c r="J454" s="174"/>
      <c r="K454" s="174"/>
      <c r="Z454" s="541"/>
    </row>
    <row r="455" spans="1:26" ht="15.75" customHeight="1">
      <c r="A455" s="541"/>
      <c r="B455" s="545"/>
      <c r="C455" s="542"/>
      <c r="D455" s="541"/>
      <c r="E455" s="151"/>
      <c r="F455" s="174"/>
      <c r="G455" s="174"/>
      <c r="H455" s="174"/>
      <c r="I455" s="174"/>
      <c r="J455" s="174"/>
      <c r="K455" s="174"/>
      <c r="Z455" s="541"/>
    </row>
    <row r="456" spans="1:26" ht="15.75" customHeight="1">
      <c r="A456" s="546" t="s">
        <v>971</v>
      </c>
      <c r="B456" s="547"/>
      <c r="C456" s="547"/>
      <c r="D456" s="547"/>
      <c r="E456" s="733"/>
      <c r="F456" s="174"/>
      <c r="G456" s="174"/>
      <c r="H456" s="174"/>
      <c r="I456" s="174"/>
      <c r="J456" s="174"/>
      <c r="K456" s="174"/>
      <c r="Z456" s="547"/>
    </row>
    <row r="457" spans="1:26" ht="15.75" customHeight="1">
      <c r="A457" s="549" t="s">
        <v>972</v>
      </c>
      <c r="B457" s="550"/>
      <c r="C457" s="550"/>
      <c r="D457" s="550"/>
      <c r="E457" s="734"/>
      <c r="F457" s="174"/>
      <c r="G457" s="174"/>
      <c r="H457" s="174"/>
      <c r="I457" s="174"/>
      <c r="J457" s="174"/>
      <c r="K457" s="174"/>
      <c r="Z457" s="550"/>
    </row>
    <row r="458" spans="1:26" ht="15.75" customHeight="1">
      <c r="A458" s="546"/>
      <c r="B458" s="547"/>
      <c r="C458" s="241" t="s">
        <v>12</v>
      </c>
      <c r="D458" s="242">
        <f>COUNTIF($D$11:$AB$11,"Hà Giang")</f>
        <v>0</v>
      </c>
      <c r="E458" s="158"/>
      <c r="F458" s="174"/>
      <c r="G458" s="174"/>
      <c r="H458" s="174"/>
      <c r="I458" s="174"/>
      <c r="J458" s="174"/>
      <c r="K458" s="174"/>
      <c r="Z458" s="546"/>
    </row>
    <row r="459" spans="1:26" ht="15.75" customHeight="1">
      <c r="A459" s="546"/>
      <c r="B459" s="547"/>
      <c r="C459" s="241" t="s">
        <v>14</v>
      </c>
      <c r="D459" s="242">
        <f>COUNTIF($D$11:$AB$11,"Lào Cai")</f>
        <v>0</v>
      </c>
      <c r="E459" s="158"/>
      <c r="F459" s="174"/>
      <c r="G459" s="174"/>
      <c r="H459" s="174"/>
      <c r="I459" s="174"/>
      <c r="J459" s="174"/>
      <c r="K459" s="174"/>
      <c r="Z459" s="546"/>
    </row>
    <row r="460" spans="1:26" ht="15.75" customHeight="1">
      <c r="A460" s="546"/>
      <c r="B460" s="552"/>
      <c r="C460" s="241" t="s">
        <v>23</v>
      </c>
      <c r="D460" s="242">
        <f>COUNTIF($D$11:$AB$11,"Lai Châu")</f>
        <v>0</v>
      </c>
      <c r="E460" s="158"/>
      <c r="F460" s="174"/>
      <c r="G460" s="174"/>
      <c r="H460" s="174"/>
      <c r="I460" s="174"/>
      <c r="J460" s="174"/>
      <c r="K460" s="174"/>
      <c r="Z460" s="546"/>
    </row>
    <row r="461" spans="1:26" ht="15.75" customHeight="1">
      <c r="A461" s="686"/>
      <c r="B461" s="687"/>
      <c r="C461" s="243" t="s">
        <v>17</v>
      </c>
      <c r="D461" s="242">
        <f>COUNTIF($D$11:$AB$11,"Điện Biên")</f>
        <v>22</v>
      </c>
      <c r="E461" s="164"/>
      <c r="F461" s="174"/>
      <c r="G461" s="174"/>
      <c r="H461" s="174"/>
      <c r="I461" s="174"/>
      <c r="J461" s="174"/>
      <c r="K461" s="174"/>
      <c r="Z461" s="244"/>
    </row>
    <row r="462" spans="1:26" ht="15.75" customHeight="1">
      <c r="A462" s="686"/>
      <c r="B462" s="687"/>
      <c r="C462" s="243" t="s">
        <v>16</v>
      </c>
      <c r="D462" s="242">
        <f>COUNTIF($D$11:$AB$11,"Lạng Sơn")</f>
        <v>0</v>
      </c>
      <c r="E462" s="164"/>
      <c r="F462" s="174"/>
      <c r="G462" s="174"/>
      <c r="H462" s="174"/>
      <c r="I462" s="174"/>
      <c r="J462" s="174"/>
      <c r="K462" s="174"/>
      <c r="Z462" s="244"/>
    </row>
    <row r="463" spans="1:26" ht="15.75" customHeight="1">
      <c r="A463" s="686"/>
      <c r="B463" s="687"/>
      <c r="C463" s="243" t="s">
        <v>13</v>
      </c>
      <c r="D463" s="242">
        <f>COUNTIF($D$11:$AB$11,"Cao Bằng")</f>
        <v>0</v>
      </c>
      <c r="E463" s="164"/>
      <c r="F463" s="174"/>
      <c r="G463" s="174"/>
      <c r="H463" s="174"/>
      <c r="I463" s="174"/>
      <c r="J463" s="174"/>
      <c r="K463" s="174"/>
      <c r="Z463" s="244"/>
    </row>
    <row r="464" spans="1:26" ht="15.75" customHeight="1">
      <c r="A464" s="686"/>
      <c r="B464" s="687"/>
      <c r="C464" s="243" t="s">
        <v>1090</v>
      </c>
      <c r="D464" s="242">
        <f>COUNTIF($D$11:$AB$11,"Sơn La")</f>
        <v>0</v>
      </c>
      <c r="E464" s="164"/>
      <c r="F464" s="174"/>
      <c r="G464" s="174"/>
      <c r="H464" s="174"/>
      <c r="I464" s="174"/>
      <c r="J464" s="174"/>
      <c r="K464" s="174"/>
      <c r="Z464" s="244"/>
    </row>
    <row r="465" spans="1:26" ht="15.75" customHeight="1">
      <c r="A465" s="686"/>
      <c r="B465" s="687"/>
      <c r="C465" s="243" t="s">
        <v>19</v>
      </c>
      <c r="D465" s="242">
        <f>COUNTIF($D$11:$AB$11,"Yên Bái")</f>
        <v>0</v>
      </c>
      <c r="E465" s="164"/>
      <c r="F465" s="174"/>
      <c r="G465" s="174"/>
      <c r="H465" s="174"/>
      <c r="I465" s="174"/>
      <c r="J465" s="174"/>
      <c r="K465" s="174"/>
      <c r="Z465" s="244"/>
    </row>
    <row r="466" spans="1:26" ht="15.75" customHeight="1">
      <c r="A466" s="686"/>
      <c r="B466" s="687"/>
      <c r="C466" s="243" t="s">
        <v>18</v>
      </c>
      <c r="D466" s="242">
        <f>COUNTIF($D$11:$AB$11,"Tuyên Quang")</f>
        <v>0</v>
      </c>
      <c r="E466" s="164"/>
      <c r="F466" s="174"/>
      <c r="G466" s="174"/>
      <c r="H466" s="174"/>
      <c r="I466" s="174"/>
      <c r="J466" s="174"/>
      <c r="K466" s="174"/>
      <c r="Z466" s="244"/>
    </row>
    <row r="467" spans="1:26" ht="15.75" customHeight="1">
      <c r="A467" s="686"/>
      <c r="B467" s="687"/>
      <c r="C467" s="243" t="s">
        <v>1091</v>
      </c>
      <c r="D467" s="242">
        <f>COUNTIF($D$11:$AB$11,"Thái Nguyên")</f>
        <v>0</v>
      </c>
      <c r="E467" s="164"/>
      <c r="F467" s="174"/>
      <c r="G467" s="174"/>
      <c r="H467" s="174"/>
      <c r="I467" s="174"/>
      <c r="J467" s="174"/>
      <c r="K467" s="174"/>
      <c r="Z467" s="244"/>
    </row>
    <row r="468" spans="1:26" ht="15.75" customHeight="1">
      <c r="A468" s="686"/>
      <c r="B468" s="687"/>
      <c r="C468" s="243" t="s">
        <v>15</v>
      </c>
      <c r="D468" s="242">
        <f>COUNTIF($D$11:$AB$11,"Bắc Kạn")</f>
        <v>0</v>
      </c>
      <c r="E468" s="164"/>
      <c r="F468" s="174"/>
      <c r="G468" s="174"/>
      <c r="H468" s="174"/>
      <c r="I468" s="174"/>
      <c r="J468" s="174"/>
      <c r="K468" s="174"/>
      <c r="Z468" s="244"/>
    </row>
    <row r="469" spans="1:26" ht="15.75" customHeight="1">
      <c r="A469" s="686"/>
      <c r="B469" s="687"/>
      <c r="C469" s="243" t="s">
        <v>25</v>
      </c>
      <c r="D469" s="242">
        <f>COUNTIF($D$11:$AB$11,"Hoà Bình")</f>
        <v>0</v>
      </c>
      <c r="E469" s="164"/>
      <c r="F469" s="174"/>
      <c r="G469" s="174"/>
      <c r="H469" s="174"/>
      <c r="I469" s="174"/>
      <c r="J469" s="174"/>
      <c r="K469" s="174"/>
      <c r="Z469" s="244"/>
    </row>
    <row r="470" spans="1:26" ht="15.75" customHeight="1">
      <c r="A470" s="686"/>
      <c r="B470" s="687"/>
      <c r="C470" s="243" t="s">
        <v>1092</v>
      </c>
      <c r="D470" s="242">
        <f>COUNTIF($D$11:$AB$11,"Bắc Giang")</f>
        <v>0</v>
      </c>
      <c r="E470" s="164"/>
      <c r="F470" s="174"/>
      <c r="G470" s="174"/>
      <c r="H470" s="174"/>
      <c r="I470" s="174"/>
      <c r="J470" s="174"/>
      <c r="K470" s="174"/>
      <c r="Z470" s="244"/>
    </row>
    <row r="471" spans="1:26" ht="15.75" customHeight="1">
      <c r="A471" s="686"/>
      <c r="B471" s="687"/>
      <c r="C471" s="243" t="s">
        <v>28</v>
      </c>
      <c r="D471" s="242">
        <f>COUNTIF($D$11:$AB$11,"Quảng Ninh")</f>
        <v>0</v>
      </c>
      <c r="E471" s="164"/>
      <c r="F471" s="174"/>
      <c r="G471" s="174"/>
      <c r="H471" s="174"/>
      <c r="I471" s="174"/>
      <c r="J471" s="174"/>
      <c r="K471" s="174"/>
      <c r="Z471" s="244"/>
    </row>
    <row r="472" spans="1:26" ht="15.75" customHeight="1">
      <c r="A472" s="686"/>
      <c r="B472" s="687"/>
      <c r="C472" s="243" t="s">
        <v>26</v>
      </c>
      <c r="D472" s="242">
        <f>COUNTIF($D$11:$AB$11,"Hà Nội")</f>
        <v>0</v>
      </c>
      <c r="E472" s="164"/>
      <c r="F472" s="174"/>
      <c r="G472" s="174"/>
      <c r="H472" s="174"/>
      <c r="I472" s="174"/>
      <c r="J472" s="174"/>
      <c r="K472" s="174"/>
      <c r="Z472" s="244"/>
    </row>
    <row r="473" spans="1:26" ht="15.75" customHeight="1">
      <c r="A473" s="686"/>
      <c r="B473" s="687"/>
      <c r="C473" s="243" t="s">
        <v>21</v>
      </c>
      <c r="D473" s="242">
        <f>COUNTIF($D$11:$AB$11,"Phú Thọ")</f>
        <v>0</v>
      </c>
      <c r="E473" s="164"/>
      <c r="F473" s="174"/>
      <c r="G473" s="174"/>
      <c r="H473" s="174"/>
      <c r="I473" s="174"/>
      <c r="J473" s="174"/>
      <c r="K473" s="174"/>
      <c r="Z473" s="244"/>
    </row>
    <row r="474" spans="1:26" ht="15.75" customHeight="1">
      <c r="A474" s="686"/>
      <c r="B474" s="687"/>
      <c r="C474" s="243" t="s">
        <v>1093</v>
      </c>
      <c r="D474" s="242">
        <f>COUNTIF($D$11:$AB$11,"Vĩnh Phúc")</f>
        <v>0</v>
      </c>
      <c r="E474" s="164"/>
      <c r="F474" s="174"/>
      <c r="G474" s="174"/>
      <c r="H474" s="174"/>
      <c r="I474" s="174"/>
      <c r="J474" s="174"/>
      <c r="K474" s="174"/>
      <c r="Z474" s="244"/>
    </row>
    <row r="475" spans="1:26" ht="15.75" customHeight="1">
      <c r="A475" s="686"/>
      <c r="B475" s="687"/>
      <c r="C475" s="243" t="s">
        <v>32</v>
      </c>
      <c r="D475" s="242">
        <f>COUNTIF($D$11:$AB$11,"Bắc Ninh")</f>
        <v>0</v>
      </c>
      <c r="E475" s="164"/>
      <c r="F475" s="174"/>
      <c r="G475" s="174"/>
      <c r="H475" s="174"/>
      <c r="I475" s="174"/>
      <c r="J475" s="174"/>
      <c r="K475" s="174"/>
      <c r="Z475" s="244"/>
    </row>
    <row r="476" spans="1:26" ht="15.75" customHeight="1">
      <c r="A476" s="686"/>
      <c r="B476" s="687"/>
      <c r="C476" s="243" t="s">
        <v>29</v>
      </c>
      <c r="D476" s="242">
        <f>COUNTIF($D$11:$AB$11,"Hải Dương")</f>
        <v>0</v>
      </c>
      <c r="E476" s="164"/>
      <c r="F476" s="174"/>
      <c r="G476" s="174"/>
      <c r="H476" s="174"/>
      <c r="I476" s="174"/>
      <c r="J476" s="174"/>
      <c r="K476" s="174"/>
      <c r="Z476" s="244"/>
    </row>
    <row r="477" spans="1:26" ht="15.75" customHeight="1">
      <c r="A477" s="686"/>
      <c r="B477" s="687"/>
      <c r="C477" s="243" t="s">
        <v>30</v>
      </c>
      <c r="D477" s="242">
        <f>COUNTIF($D$11:$AB$11,"Hưng Yên")</f>
        <v>0</v>
      </c>
      <c r="E477" s="164"/>
      <c r="F477" s="174"/>
      <c r="G477" s="174"/>
      <c r="H477" s="174"/>
      <c r="I477" s="174"/>
      <c r="J477" s="174"/>
      <c r="K477" s="174"/>
      <c r="Z477" s="244"/>
    </row>
    <row r="478" spans="1:26" ht="15.75" customHeight="1">
      <c r="A478" s="686"/>
      <c r="B478" s="687"/>
      <c r="C478" s="243" t="s">
        <v>27</v>
      </c>
      <c r="D478" s="242">
        <f>COUNTIF($D$11:$AB$11,"Hải Phòng")</f>
        <v>0</v>
      </c>
      <c r="E478" s="164"/>
      <c r="F478" s="174"/>
      <c r="G478" s="174"/>
      <c r="H478" s="174"/>
      <c r="I478" s="174"/>
      <c r="J478" s="174"/>
      <c r="K478" s="174"/>
      <c r="Z478" s="244"/>
    </row>
    <row r="479" spans="1:26" ht="15.75" customHeight="1">
      <c r="A479" s="686"/>
      <c r="B479" s="687"/>
      <c r="C479" s="243" t="s">
        <v>33</v>
      </c>
      <c r="D479" s="242">
        <f>COUNTIF($D$11:$AB$11,"Hà Nam")</f>
        <v>0</v>
      </c>
      <c r="E479" s="164"/>
      <c r="F479" s="174"/>
      <c r="G479" s="174"/>
      <c r="H479" s="174"/>
      <c r="I479" s="174"/>
      <c r="J479" s="174"/>
      <c r="K479" s="174"/>
      <c r="Z479" s="244"/>
    </row>
    <row r="480" spans="1:26" ht="15.75" customHeight="1">
      <c r="A480" s="686"/>
      <c r="B480" s="687"/>
      <c r="C480" s="243" t="s">
        <v>36</v>
      </c>
      <c r="D480" s="242">
        <f>COUNTIF($D$11:$AB$11,"Nam Định")</f>
        <v>0</v>
      </c>
      <c r="E480" s="164"/>
      <c r="F480" s="174"/>
      <c r="G480" s="174"/>
      <c r="H480" s="174"/>
      <c r="I480" s="174"/>
      <c r="J480" s="174"/>
      <c r="K480" s="174"/>
      <c r="Z480" s="244"/>
    </row>
    <row r="481" spans="1:26" ht="15.75" customHeight="1">
      <c r="A481" s="686"/>
      <c r="B481" s="687"/>
      <c r="C481" s="243" t="s">
        <v>1094</v>
      </c>
      <c r="D481" s="242">
        <f>COUNTIF($D$11:$AB$11,"Thái Bình")</f>
        <v>0</v>
      </c>
      <c r="E481" s="164"/>
      <c r="F481" s="174"/>
      <c r="G481" s="174"/>
      <c r="H481" s="174"/>
      <c r="I481" s="174"/>
      <c r="J481" s="174"/>
      <c r="K481" s="174"/>
      <c r="Z481" s="244"/>
    </row>
    <row r="482" spans="1:26" ht="15.75" customHeight="1">
      <c r="A482" s="686"/>
      <c r="B482" s="687"/>
      <c r="C482" s="243" t="s">
        <v>34</v>
      </c>
      <c r="D482" s="242">
        <f>COUNTIF($D$11:$AB$11,"Ninh Bình")</f>
        <v>0</v>
      </c>
      <c r="E482" s="164"/>
      <c r="F482" s="174"/>
      <c r="G482" s="174"/>
      <c r="H482" s="174"/>
      <c r="I482" s="174"/>
      <c r="J482" s="174"/>
      <c r="K482" s="174"/>
      <c r="Z482" s="244"/>
    </row>
    <row r="483" spans="1:26" ht="15.75" customHeight="1">
      <c r="A483" s="686"/>
      <c r="B483" s="687"/>
      <c r="C483" s="243" t="s">
        <v>37</v>
      </c>
      <c r="D483" s="242">
        <f>COUNTIF($D$11:$AB$11,"Thanh Hoá")</f>
        <v>0</v>
      </c>
      <c r="E483" s="164"/>
      <c r="F483" s="174"/>
      <c r="G483" s="174"/>
      <c r="H483" s="174"/>
      <c r="I483" s="174"/>
      <c r="J483" s="174"/>
      <c r="K483" s="174"/>
      <c r="Z483" s="244"/>
    </row>
    <row r="484" spans="1:26" ht="15.75" customHeight="1">
      <c r="A484" s="686"/>
      <c r="B484" s="687"/>
      <c r="C484" s="243" t="s">
        <v>1095</v>
      </c>
      <c r="D484" s="242">
        <f>COUNTIF($D$11:$AB$11,"Nghệ An")</f>
        <v>0</v>
      </c>
      <c r="E484" s="164"/>
      <c r="F484" s="174"/>
      <c r="G484" s="174"/>
      <c r="H484" s="174"/>
      <c r="I484" s="174"/>
      <c r="J484" s="174"/>
      <c r="K484" s="174"/>
      <c r="Z484" s="244"/>
    </row>
    <row r="485" spans="1:26" ht="15.75" customHeight="1">
      <c r="A485" s="686"/>
      <c r="B485" s="687"/>
      <c r="C485" s="243" t="s">
        <v>1096</v>
      </c>
      <c r="D485" s="242">
        <f>COUNTIF($D$11:$AB$11,"Hà Tĩnh")</f>
        <v>0</v>
      </c>
      <c r="E485" s="164"/>
      <c r="F485" s="174"/>
      <c r="G485" s="174"/>
      <c r="H485" s="174"/>
      <c r="I485" s="174"/>
      <c r="J485" s="174"/>
      <c r="K485" s="174"/>
      <c r="Z485" s="244"/>
    </row>
    <row r="486" spans="1:26" ht="15.75" customHeight="1">
      <c r="A486" s="686"/>
      <c r="B486" s="687"/>
      <c r="C486" s="243" t="s">
        <v>1097</v>
      </c>
      <c r="D486" s="242">
        <f>COUNTIF($D$11:$AB$11,"Quảng Bình")</f>
        <v>0</v>
      </c>
      <c r="E486" s="164"/>
      <c r="F486" s="174"/>
      <c r="G486" s="174"/>
      <c r="H486" s="174"/>
      <c r="I486" s="174"/>
      <c r="J486" s="174"/>
      <c r="K486" s="174"/>
      <c r="Z486" s="244"/>
    </row>
    <row r="487" spans="1:26" ht="15.75" customHeight="1">
      <c r="A487" s="686"/>
      <c r="B487" s="687"/>
      <c r="C487" s="243" t="s">
        <v>1098</v>
      </c>
      <c r="D487" s="242">
        <f>COUNTIF($D$11:$AB$11,"Quảng Trị")</f>
        <v>0</v>
      </c>
      <c r="E487" s="164"/>
      <c r="F487" s="174"/>
      <c r="G487" s="174"/>
      <c r="H487" s="174"/>
      <c r="I487" s="174"/>
      <c r="J487" s="174"/>
      <c r="K487" s="174"/>
      <c r="Z487" s="244"/>
    </row>
    <row r="488" spans="1:26" ht="15.75" customHeight="1">
      <c r="A488" s="686"/>
      <c r="B488" s="687"/>
      <c r="C488" s="243" t="s">
        <v>1099</v>
      </c>
      <c r="D488" s="242">
        <f>COUNTIF($D$11:$AB$11,"Thừa Thiên Huế")</f>
        <v>0</v>
      </c>
      <c r="E488" s="164"/>
      <c r="F488" s="174"/>
      <c r="G488" s="174"/>
      <c r="H488" s="174"/>
      <c r="I488" s="174"/>
      <c r="J488" s="174"/>
      <c r="K488" s="174"/>
      <c r="Z488" s="244"/>
    </row>
    <row r="489" spans="1:26" ht="15.75" customHeight="1">
      <c r="A489" s="686"/>
      <c r="B489" s="687"/>
      <c r="C489" s="243" t="s">
        <v>1100</v>
      </c>
      <c r="D489" s="242">
        <f>COUNTIF($D$11:$AB$11,"Đà Nẵng")</f>
        <v>0</v>
      </c>
      <c r="E489" s="164"/>
      <c r="F489" s="174"/>
      <c r="G489" s="174"/>
      <c r="H489" s="174"/>
      <c r="I489" s="174"/>
      <c r="J489" s="174"/>
      <c r="K489" s="174"/>
      <c r="Z489" s="244"/>
    </row>
    <row r="490" spans="1:26" ht="15.75" customHeight="1">
      <c r="A490" s="686"/>
      <c r="B490" s="687"/>
      <c r="C490" s="243" t="s">
        <v>1101</v>
      </c>
      <c r="D490" s="242">
        <f>COUNTIF($D$11:$AB$11,"Quảng Nam")</f>
        <v>0</v>
      </c>
      <c r="E490" s="164"/>
      <c r="F490" s="174"/>
      <c r="G490" s="174"/>
      <c r="H490" s="174"/>
      <c r="I490" s="174"/>
      <c r="J490" s="174"/>
      <c r="K490" s="174"/>
      <c r="Z490" s="244"/>
    </row>
    <row r="491" spans="1:26" ht="15.75" customHeight="1">
      <c r="A491" s="686"/>
      <c r="B491" s="687"/>
      <c r="C491" s="243" t="s">
        <v>1102</v>
      </c>
      <c r="D491" s="242">
        <f>COUNTIF($D$11:$AB$11,"Quảng Ngãi")</f>
        <v>0</v>
      </c>
      <c r="E491" s="164"/>
      <c r="F491" s="174"/>
      <c r="G491" s="174"/>
      <c r="H491" s="174"/>
      <c r="I491" s="174"/>
      <c r="J491" s="174"/>
      <c r="K491" s="174"/>
      <c r="Z491" s="244"/>
    </row>
    <row r="492" spans="1:26" ht="15.75" customHeight="1">
      <c r="A492" s="686"/>
      <c r="B492" s="687"/>
      <c r="C492" s="243" t="s">
        <v>1103</v>
      </c>
      <c r="D492" s="242">
        <f>COUNTIF($D$11:$AB$11,"Bình Định")</f>
        <v>0</v>
      </c>
      <c r="E492" s="164"/>
      <c r="F492" s="174"/>
      <c r="G492" s="174"/>
      <c r="H492" s="174"/>
      <c r="I492" s="174"/>
      <c r="J492" s="174"/>
      <c r="K492" s="174"/>
      <c r="Z492" s="244"/>
    </row>
    <row r="493" spans="1:26" ht="15.75" customHeight="1">
      <c r="A493" s="686"/>
      <c r="B493" s="687"/>
      <c r="C493" s="243" t="s">
        <v>1104</v>
      </c>
      <c r="D493" s="242">
        <f>COUNTIF($D$11:$AB$11,"Phú Yên")</f>
        <v>0</v>
      </c>
      <c r="E493" s="164"/>
      <c r="F493" s="174"/>
      <c r="G493" s="174"/>
      <c r="H493" s="174"/>
      <c r="I493" s="174"/>
      <c r="J493" s="174"/>
      <c r="K493" s="174"/>
      <c r="Z493" s="244"/>
    </row>
    <row r="494" spans="1:26" ht="15.75" customHeight="1">
      <c r="A494" s="686"/>
      <c r="B494" s="687"/>
      <c r="C494" s="243" t="s">
        <v>1105</v>
      </c>
      <c r="D494" s="242">
        <f>COUNTIF($D$11:$AB$11,"Khánh Hoà")</f>
        <v>0</v>
      </c>
      <c r="E494" s="164"/>
      <c r="F494" s="174"/>
      <c r="G494" s="174"/>
      <c r="H494" s="174"/>
      <c r="I494" s="174"/>
      <c r="J494" s="174"/>
      <c r="K494" s="174"/>
      <c r="Z494" s="244"/>
    </row>
    <row r="495" spans="1:26" ht="15.75" customHeight="1">
      <c r="A495" s="686"/>
      <c r="B495" s="687"/>
      <c r="C495" s="243" t="s">
        <v>1106</v>
      </c>
      <c r="D495" s="242">
        <f>COUNTIF($D$11:$AB$11,"Ninh Thuận")</f>
        <v>0</v>
      </c>
      <c r="E495" s="164"/>
      <c r="F495" s="174"/>
      <c r="G495" s="174"/>
      <c r="H495" s="174"/>
      <c r="I495" s="174"/>
      <c r="J495" s="174"/>
      <c r="K495" s="174"/>
      <c r="Z495" s="244"/>
    </row>
    <row r="496" spans="1:26" ht="15.75" customHeight="1">
      <c r="A496" s="686"/>
      <c r="B496" s="687"/>
      <c r="C496" s="243" t="s">
        <v>1107</v>
      </c>
      <c r="D496" s="242">
        <f>COUNTIF($D$11:$AB$11,"Bình Thuận")</f>
        <v>0</v>
      </c>
      <c r="E496" s="164"/>
      <c r="F496" s="174"/>
      <c r="G496" s="174"/>
      <c r="H496" s="174"/>
      <c r="I496" s="174"/>
      <c r="J496" s="174"/>
      <c r="K496" s="174"/>
      <c r="Z496" s="244"/>
    </row>
    <row r="497" spans="1:26" ht="15.75" customHeight="1">
      <c r="A497" s="686"/>
      <c r="B497" s="687"/>
      <c r="C497" s="243" t="s">
        <v>1108</v>
      </c>
      <c r="D497" s="242">
        <f>COUNTIF($D$11:$AB$11,"Kon Tum")</f>
        <v>0</v>
      </c>
      <c r="E497" s="164"/>
      <c r="F497" s="174"/>
      <c r="G497" s="174"/>
      <c r="H497" s="174"/>
      <c r="I497" s="174"/>
      <c r="J497" s="174"/>
      <c r="K497" s="174"/>
      <c r="Z497" s="244"/>
    </row>
    <row r="498" spans="1:26" ht="15.75" customHeight="1">
      <c r="A498" s="686"/>
      <c r="B498" s="687"/>
      <c r="C498" s="243" t="s">
        <v>1109</v>
      </c>
      <c r="D498" s="242">
        <f>COUNTIF($D$11:$AB$11,"Gia Lai")</f>
        <v>0</v>
      </c>
      <c r="E498" s="164"/>
      <c r="F498" s="174"/>
      <c r="G498" s="174"/>
      <c r="H498" s="174"/>
      <c r="I498" s="174"/>
      <c r="J498" s="174"/>
      <c r="K498" s="174"/>
      <c r="Z498" s="244"/>
    </row>
    <row r="499" spans="1:26" ht="15.75" customHeight="1">
      <c r="A499" s="686"/>
      <c r="B499" s="687"/>
      <c r="C499" s="243" t="s">
        <v>1110</v>
      </c>
      <c r="D499" s="242">
        <f>COUNTIF($D$11:$AB$11,"Đắk Lắk")</f>
        <v>0</v>
      </c>
      <c r="E499" s="164"/>
      <c r="F499" s="174"/>
      <c r="G499" s="174"/>
      <c r="H499" s="174"/>
      <c r="I499" s="174"/>
      <c r="J499" s="174"/>
      <c r="K499" s="174"/>
      <c r="Z499" s="244"/>
    </row>
    <row r="500" spans="1:26" ht="15.75" customHeight="1">
      <c r="A500" s="686"/>
      <c r="B500" s="687"/>
      <c r="C500" s="243" t="s">
        <v>1111</v>
      </c>
      <c r="D500" s="242">
        <f>COUNTIF($D$11:$AB$11,"Đắk Nông")</f>
        <v>0</v>
      </c>
      <c r="E500" s="164"/>
      <c r="F500" s="174"/>
      <c r="G500" s="174"/>
      <c r="H500" s="174"/>
      <c r="I500" s="174"/>
      <c r="J500" s="174"/>
      <c r="K500" s="174"/>
      <c r="Z500" s="244"/>
    </row>
    <row r="501" spans="1:26" ht="15.75" customHeight="1">
      <c r="A501" s="686"/>
      <c r="B501" s="687"/>
      <c r="C501" s="243" t="s">
        <v>1112</v>
      </c>
      <c r="D501" s="242">
        <f>COUNTIF($D$11:$AB$11,"Lâm Đồng")</f>
        <v>0</v>
      </c>
      <c r="E501" s="164"/>
      <c r="F501" s="174"/>
      <c r="G501" s="174"/>
      <c r="H501" s="174"/>
      <c r="I501" s="174"/>
      <c r="J501" s="174"/>
      <c r="K501" s="174"/>
      <c r="Z501" s="244"/>
    </row>
    <row r="502" spans="1:26" ht="15.75" customHeight="1">
      <c r="A502" s="686"/>
      <c r="B502" s="687"/>
      <c r="C502" s="243" t="s">
        <v>1113</v>
      </c>
      <c r="D502" s="242">
        <f>COUNTIF($D$11:$AB$11,"Tây Ninh")</f>
        <v>0</v>
      </c>
      <c r="E502" s="164"/>
      <c r="F502" s="174"/>
      <c r="G502" s="174"/>
      <c r="H502" s="174"/>
      <c r="I502" s="174"/>
      <c r="J502" s="174"/>
      <c r="K502" s="174"/>
      <c r="Z502" s="244"/>
    </row>
    <row r="503" spans="1:26" ht="15.75" customHeight="1">
      <c r="A503" s="686"/>
      <c r="B503" s="687"/>
      <c r="C503" s="243" t="s">
        <v>1114</v>
      </c>
      <c r="D503" s="242">
        <f>COUNTIF($D$11:$AB$11,"Bình Phước")</f>
        <v>0</v>
      </c>
      <c r="E503" s="164"/>
      <c r="F503" s="174"/>
      <c r="G503" s="174"/>
      <c r="H503" s="174"/>
      <c r="I503" s="174"/>
      <c r="J503" s="174"/>
      <c r="K503" s="174"/>
      <c r="Z503" s="244"/>
    </row>
    <row r="504" spans="1:26" ht="15.75" customHeight="1">
      <c r="A504" s="686"/>
      <c r="B504" s="687"/>
      <c r="C504" s="243" t="s">
        <v>1115</v>
      </c>
      <c r="D504" s="242">
        <f>COUNTIF($D$11:$AB$11,"Bình Dương")</f>
        <v>0</v>
      </c>
      <c r="E504" s="164"/>
      <c r="F504" s="174"/>
      <c r="G504" s="174"/>
      <c r="H504" s="174"/>
      <c r="I504" s="174"/>
      <c r="J504" s="174"/>
      <c r="K504" s="174"/>
      <c r="Z504" s="244"/>
    </row>
    <row r="505" spans="1:26" ht="15.75" customHeight="1">
      <c r="A505" s="686"/>
      <c r="B505" s="687"/>
      <c r="C505" s="243" t="s">
        <v>1116</v>
      </c>
      <c r="D505" s="242">
        <f>COUNTIF($D$11:$AB$11,"Bà Rịa - Vũng Tàu")</f>
        <v>0</v>
      </c>
      <c r="E505" s="164"/>
      <c r="F505" s="174"/>
      <c r="G505" s="174"/>
      <c r="H505" s="174"/>
      <c r="I505" s="174"/>
      <c r="J505" s="174"/>
      <c r="K505" s="174"/>
      <c r="Z505" s="244"/>
    </row>
    <row r="506" spans="1:26" ht="15.75" customHeight="1">
      <c r="A506" s="686"/>
      <c r="B506" s="687"/>
      <c r="C506" s="243" t="s">
        <v>1117</v>
      </c>
      <c r="D506" s="242">
        <f>COUNTIF($D$11:$AB$11,"Bến Tre")</f>
        <v>0</v>
      </c>
      <c r="E506" s="164"/>
      <c r="F506" s="174"/>
      <c r="G506" s="174"/>
      <c r="H506" s="174"/>
      <c r="I506" s="174"/>
      <c r="J506" s="174"/>
      <c r="K506" s="174"/>
      <c r="Z506" s="244"/>
    </row>
    <row r="507" spans="1:26" ht="15.75" customHeight="1">
      <c r="A507" s="686"/>
      <c r="B507" s="687"/>
      <c r="C507" s="243" t="s">
        <v>1118</v>
      </c>
      <c r="D507" s="242">
        <f>COUNTIF($D$11:$AB$11,"An Giang")</f>
        <v>0</v>
      </c>
      <c r="E507" s="164"/>
      <c r="F507" s="174"/>
      <c r="G507" s="174"/>
      <c r="H507" s="174"/>
      <c r="I507" s="174"/>
      <c r="J507" s="174"/>
      <c r="K507" s="174"/>
      <c r="Z507" s="244"/>
    </row>
    <row r="508" spans="1:26" ht="15.75" customHeight="1">
      <c r="A508" s="686"/>
      <c r="B508" s="687"/>
      <c r="C508" s="243" t="s">
        <v>1119</v>
      </c>
      <c r="D508" s="242">
        <f>COUNTIF($D$11:$AB$11,"Vĩnh Long")</f>
        <v>0</v>
      </c>
      <c r="E508" s="164"/>
      <c r="F508" s="174"/>
      <c r="G508" s="174"/>
      <c r="H508" s="174"/>
      <c r="I508" s="174"/>
      <c r="J508" s="174"/>
      <c r="K508" s="174"/>
      <c r="Z508" s="244"/>
    </row>
    <row r="509" spans="1:26" ht="15.75" customHeight="1">
      <c r="A509" s="686"/>
      <c r="B509" s="687"/>
      <c r="C509" s="243" t="s">
        <v>1120</v>
      </c>
      <c r="D509" s="242">
        <f>COUNTIF($D$11:$AB$11,"Cần Thơ")</f>
        <v>0</v>
      </c>
      <c r="E509" s="164"/>
      <c r="F509" s="174"/>
      <c r="G509" s="174"/>
      <c r="H509" s="174"/>
      <c r="I509" s="174"/>
      <c r="J509" s="174"/>
      <c r="K509" s="174"/>
      <c r="Z509" s="244"/>
    </row>
    <row r="510" spans="1:26" ht="15.75" customHeight="1">
      <c r="A510" s="686"/>
      <c r="B510" s="687"/>
      <c r="C510" s="243" t="s">
        <v>1121</v>
      </c>
      <c r="D510" s="242">
        <f>COUNTIF($D$11:$AB$11,"Hậu Giang")</f>
        <v>0</v>
      </c>
      <c r="E510" s="164"/>
      <c r="F510" s="174"/>
      <c r="G510" s="174"/>
      <c r="H510" s="174"/>
      <c r="I510" s="174"/>
      <c r="J510" s="174"/>
      <c r="K510" s="174"/>
      <c r="Z510" s="244"/>
    </row>
    <row r="511" spans="1:26" ht="15.75" customHeight="1">
      <c r="A511" s="686"/>
      <c r="B511" s="687"/>
      <c r="C511" s="243" t="s">
        <v>1122</v>
      </c>
      <c r="D511" s="242">
        <f>COUNTIF($D$11:$AB$11,"Sóc Trăng")</f>
        <v>0</v>
      </c>
      <c r="E511" s="164"/>
      <c r="F511" s="174"/>
      <c r="G511" s="174"/>
      <c r="H511" s="174"/>
      <c r="I511" s="174"/>
      <c r="J511" s="174"/>
      <c r="K511" s="174"/>
      <c r="Z511" s="244"/>
    </row>
    <row r="512" spans="1:26" ht="15.75" customHeight="1">
      <c r="A512" s="686"/>
      <c r="B512" s="687"/>
      <c r="C512" s="243" t="s">
        <v>1123</v>
      </c>
      <c r="D512" s="242">
        <f>COUNTIF($D$11:$AB$11,"Bạc Liêu")</f>
        <v>0</v>
      </c>
      <c r="E512" s="164"/>
      <c r="F512" s="174"/>
      <c r="G512" s="174"/>
      <c r="H512" s="174"/>
      <c r="I512" s="174"/>
      <c r="J512" s="174"/>
      <c r="K512" s="174"/>
      <c r="Z512" s="244"/>
    </row>
    <row r="513" spans="1:26" ht="15.75" customHeight="1">
      <c r="A513" s="686"/>
      <c r="B513" s="687"/>
      <c r="C513" s="243" t="s">
        <v>1124</v>
      </c>
      <c r="D513" s="242">
        <f>COUNTIF($D$11:$AB$11,"Cà Mau")</f>
        <v>0</v>
      </c>
      <c r="E513" s="164"/>
      <c r="F513" s="174"/>
      <c r="G513" s="174"/>
      <c r="H513" s="174"/>
      <c r="I513" s="174"/>
      <c r="J513" s="174"/>
      <c r="K513" s="174"/>
      <c r="Z513" s="244"/>
    </row>
    <row r="514" spans="1:26" ht="15.75" customHeight="1">
      <c r="A514" s="686"/>
      <c r="B514" s="687"/>
      <c r="C514" s="243" t="s">
        <v>1125</v>
      </c>
      <c r="D514" s="242">
        <f>COUNTIF($D$11:$AB$11,"Kiên Giang")</f>
        <v>0</v>
      </c>
      <c r="E514" s="164"/>
      <c r="F514" s="174"/>
      <c r="G514" s="174"/>
      <c r="H514" s="174"/>
      <c r="I514" s="174"/>
      <c r="J514" s="174"/>
      <c r="K514" s="174"/>
      <c r="Z514" s="244"/>
    </row>
    <row r="515" spans="1:26" ht="15.75" customHeight="1">
      <c r="A515" s="686"/>
      <c r="B515" s="687"/>
      <c r="C515" s="243" t="s">
        <v>1126</v>
      </c>
      <c r="D515" s="242">
        <f>COUNTIF($D$11:$AB$11,"Đồng Tháp")</f>
        <v>0</v>
      </c>
      <c r="E515" s="164"/>
      <c r="F515" s="174"/>
      <c r="G515" s="174"/>
      <c r="H515" s="174"/>
      <c r="I515" s="174"/>
      <c r="J515" s="174"/>
      <c r="K515" s="174"/>
      <c r="Z515" s="244"/>
    </row>
    <row r="516" spans="1:26" ht="15.75" customHeight="1">
      <c r="A516" s="686"/>
      <c r="B516" s="687"/>
      <c r="C516" s="243" t="s">
        <v>1127</v>
      </c>
      <c r="D516" s="242">
        <f>COUNTIF($D$11:$AB$11,"Trà Vinh")</f>
        <v>0</v>
      </c>
      <c r="E516" s="164"/>
      <c r="F516" s="174"/>
      <c r="G516" s="174"/>
      <c r="H516" s="174"/>
      <c r="I516" s="174"/>
      <c r="J516" s="174"/>
      <c r="K516" s="174"/>
      <c r="Z516" s="244"/>
    </row>
    <row r="517" spans="1:26" ht="15.75" customHeight="1">
      <c r="A517" s="686"/>
      <c r="B517" s="687"/>
      <c r="C517" s="243" t="s">
        <v>1128</v>
      </c>
      <c r="D517" s="242">
        <f>COUNTIF($D$11:$AB$11,"Tiền Giang")</f>
        <v>0</v>
      </c>
      <c r="E517" s="164"/>
      <c r="F517" s="174"/>
      <c r="G517" s="174"/>
      <c r="H517" s="174"/>
      <c r="I517" s="174"/>
      <c r="J517" s="174"/>
      <c r="K517" s="174"/>
      <c r="Z517" s="244"/>
    </row>
    <row r="518" spans="1:26" ht="15.75" customHeight="1">
      <c r="A518" s="686"/>
      <c r="B518" s="687"/>
      <c r="C518" s="243" t="s">
        <v>1129</v>
      </c>
      <c r="D518" s="242">
        <f>COUNTIF($D$11:$AB$11,"Long An")</f>
        <v>0</v>
      </c>
      <c r="E518" s="164"/>
      <c r="F518" s="174"/>
      <c r="G518" s="174"/>
      <c r="H518" s="174"/>
      <c r="I518" s="174"/>
      <c r="J518" s="174"/>
      <c r="K518" s="174"/>
      <c r="Z518" s="244"/>
    </row>
    <row r="519" spans="1:26" ht="15.75" customHeight="1">
      <c r="A519" s="686"/>
      <c r="B519" s="687"/>
      <c r="C519" s="243" t="s">
        <v>1130</v>
      </c>
      <c r="D519" s="242">
        <f>COUNTIF($D$11:$AB$11,"Đồng Nai")</f>
        <v>0</v>
      </c>
      <c r="E519" s="164"/>
      <c r="F519" s="174"/>
      <c r="G519" s="174"/>
      <c r="H519" s="174"/>
      <c r="I519" s="174"/>
      <c r="J519" s="174"/>
      <c r="K519" s="174"/>
      <c r="Z519" s="244"/>
    </row>
    <row r="520" spans="1:26" ht="15.75" customHeight="1">
      <c r="A520" s="686"/>
      <c r="B520" s="687"/>
      <c r="C520" s="243" t="s">
        <v>1131</v>
      </c>
      <c r="D520" s="242">
        <f>COUNTIF($D$11:$AB$11,"TP Hồ Chí Minh")</f>
        <v>0</v>
      </c>
      <c r="E520" s="164"/>
      <c r="F520" s="174"/>
      <c r="G520" s="174"/>
      <c r="H520" s="174"/>
      <c r="I520" s="174"/>
      <c r="J520" s="174"/>
      <c r="K520" s="174"/>
      <c r="Z520" s="244"/>
    </row>
    <row r="521" spans="1:26" ht="15.75" customHeight="1">
      <c r="A521" s="686"/>
      <c r="B521" s="687"/>
      <c r="C521" s="243"/>
      <c r="D521" s="244"/>
      <c r="E521" s="164"/>
      <c r="F521" s="174"/>
      <c r="G521" s="174"/>
      <c r="H521" s="174"/>
      <c r="I521" s="174"/>
      <c r="J521" s="174"/>
      <c r="K521" s="174"/>
      <c r="Z521" s="244"/>
    </row>
    <row r="522" spans="1:26" ht="15.75" customHeight="1">
      <c r="A522" s="686"/>
      <c r="B522" s="687"/>
      <c r="C522" s="243"/>
      <c r="D522" s="245">
        <f>SUM(D458:D520)</f>
        <v>22</v>
      </c>
      <c r="E522" s="164"/>
      <c r="F522" s="174"/>
      <c r="G522" s="174"/>
      <c r="H522" s="174"/>
      <c r="I522" s="174"/>
      <c r="J522" s="174"/>
      <c r="K522" s="174"/>
      <c r="Z522" s="244"/>
    </row>
    <row r="523" spans="1:26" ht="15.75" customHeight="1">
      <c r="A523" s="686"/>
      <c r="B523" s="687"/>
      <c r="C523" s="243"/>
      <c r="D523" s="244"/>
      <c r="E523" s="164"/>
      <c r="F523" s="174"/>
      <c r="G523" s="174"/>
      <c r="H523" s="174"/>
      <c r="I523" s="174"/>
      <c r="J523" s="174"/>
      <c r="K523" s="174"/>
      <c r="Z523" s="244"/>
    </row>
    <row r="524" spans="1:26" ht="15.75" customHeight="1">
      <c r="A524" s="686"/>
      <c r="B524" s="687"/>
      <c r="C524" s="243"/>
      <c r="D524" s="244"/>
      <c r="E524" s="164"/>
      <c r="F524" s="174"/>
      <c r="G524" s="174"/>
      <c r="H524" s="174"/>
      <c r="I524" s="174"/>
      <c r="J524" s="174"/>
      <c r="K524" s="174"/>
      <c r="Z524" s="244"/>
    </row>
    <row r="525" spans="1:26" ht="15.75" customHeight="1">
      <c r="A525" s="686"/>
      <c r="B525" s="687"/>
      <c r="C525" s="243"/>
      <c r="D525" s="244"/>
      <c r="E525" s="164"/>
      <c r="F525" s="174"/>
      <c r="G525" s="174"/>
      <c r="H525" s="174"/>
      <c r="I525" s="174"/>
      <c r="J525" s="174"/>
      <c r="K525" s="174"/>
      <c r="Z525" s="244"/>
    </row>
    <row r="526" spans="1:26" ht="15.75" customHeight="1">
      <c r="A526" s="686"/>
      <c r="B526" s="687"/>
      <c r="C526" s="243"/>
      <c r="D526" s="244"/>
      <c r="E526" s="164"/>
      <c r="F526" s="174"/>
      <c r="G526" s="174"/>
      <c r="H526" s="174"/>
      <c r="I526" s="174"/>
      <c r="J526" s="174"/>
      <c r="K526" s="174"/>
      <c r="Z526" s="244"/>
    </row>
    <row r="527" spans="1:26" ht="15.75" customHeight="1">
      <c r="A527" s="686"/>
      <c r="B527" s="687"/>
      <c r="C527" s="243"/>
      <c r="D527" s="244"/>
      <c r="E527" s="164"/>
      <c r="F527" s="174"/>
      <c r="G527" s="174"/>
      <c r="H527" s="174"/>
      <c r="I527" s="174"/>
      <c r="J527" s="174"/>
      <c r="K527" s="174"/>
      <c r="Z527" s="244"/>
    </row>
    <row r="528" spans="1:26" ht="15.75" customHeight="1">
      <c r="A528" s="686"/>
      <c r="B528" s="687"/>
      <c r="C528" s="243"/>
      <c r="D528" s="244"/>
      <c r="E528" s="164"/>
      <c r="F528" s="174"/>
      <c r="G528" s="174"/>
      <c r="H528" s="174"/>
      <c r="I528" s="174"/>
      <c r="J528" s="174"/>
      <c r="K528" s="174"/>
      <c r="Z528" s="244"/>
    </row>
    <row r="529" spans="1:26" ht="15.75" customHeight="1">
      <c r="A529" s="686"/>
      <c r="B529" s="687"/>
      <c r="C529" s="243"/>
      <c r="D529" s="244"/>
      <c r="E529" s="164"/>
      <c r="F529" s="174"/>
      <c r="G529" s="174"/>
      <c r="H529" s="174"/>
      <c r="I529" s="174"/>
      <c r="J529" s="174"/>
      <c r="K529" s="174"/>
      <c r="Z529" s="244"/>
    </row>
    <row r="530" spans="1:26" ht="15.75" customHeight="1">
      <c r="A530" s="686"/>
      <c r="B530" s="687"/>
      <c r="C530" s="243"/>
      <c r="D530" s="244"/>
      <c r="E530" s="164"/>
      <c r="F530" s="174"/>
      <c r="G530" s="174"/>
      <c r="H530" s="174"/>
      <c r="I530" s="174"/>
      <c r="J530" s="174"/>
      <c r="K530" s="174"/>
      <c r="Z530" s="244"/>
    </row>
    <row r="531" spans="1:26" ht="15.75" customHeight="1">
      <c r="A531" s="686"/>
      <c r="B531" s="687"/>
      <c r="C531" s="243"/>
      <c r="D531" s="244"/>
      <c r="E531" s="164"/>
      <c r="F531" s="174"/>
      <c r="G531" s="174"/>
      <c r="H531" s="174"/>
      <c r="I531" s="174"/>
      <c r="J531" s="174"/>
      <c r="K531" s="174"/>
      <c r="Z531" s="244"/>
    </row>
    <row r="532" spans="1:26" ht="15.75" customHeight="1">
      <c r="A532" s="686"/>
      <c r="B532" s="687"/>
      <c r="C532" s="243"/>
      <c r="D532" s="244"/>
      <c r="E532" s="164"/>
      <c r="F532" s="174"/>
      <c r="G532" s="174"/>
      <c r="H532" s="174"/>
      <c r="I532" s="174"/>
      <c r="J532" s="174"/>
      <c r="K532" s="174"/>
      <c r="Z532" s="244"/>
    </row>
    <row r="533" spans="1:26" ht="15.75" customHeight="1">
      <c r="A533" s="686"/>
      <c r="B533" s="687"/>
      <c r="C533" s="243"/>
      <c r="D533" s="244"/>
      <c r="E533" s="164"/>
      <c r="F533" s="174"/>
      <c r="G533" s="174"/>
      <c r="H533" s="174"/>
      <c r="I533" s="174"/>
      <c r="J533" s="174"/>
      <c r="K533" s="174"/>
      <c r="Z533" s="244"/>
    </row>
    <row r="534" spans="1:26" ht="15.75" customHeight="1">
      <c r="A534" s="686"/>
      <c r="B534" s="687"/>
      <c r="C534" s="243"/>
      <c r="D534" s="244"/>
      <c r="E534" s="164"/>
      <c r="F534" s="174"/>
      <c r="G534" s="174"/>
      <c r="H534" s="174"/>
      <c r="I534" s="174"/>
      <c r="J534" s="174"/>
      <c r="K534" s="174"/>
      <c r="Z534" s="244"/>
    </row>
    <row r="535" spans="1:26" ht="15.75" customHeight="1">
      <c r="A535" s="686"/>
      <c r="B535" s="687"/>
      <c r="C535" s="243"/>
      <c r="D535" s="244"/>
      <c r="E535" s="164"/>
      <c r="F535" s="174"/>
      <c r="G535" s="174"/>
      <c r="H535" s="174"/>
      <c r="I535" s="174"/>
      <c r="J535" s="174"/>
      <c r="K535" s="174"/>
      <c r="Z535" s="244"/>
    </row>
    <row r="536" spans="1:26" ht="15.75" customHeight="1">
      <c r="A536" s="686"/>
      <c r="B536" s="687"/>
      <c r="C536" s="243"/>
      <c r="D536" s="244"/>
      <c r="E536" s="164"/>
      <c r="F536" s="174"/>
      <c r="G536" s="174"/>
      <c r="H536" s="174"/>
      <c r="I536" s="174"/>
      <c r="J536" s="174"/>
      <c r="K536" s="174"/>
      <c r="Z536" s="244"/>
    </row>
    <row r="537" spans="1:26" ht="15.75" customHeight="1">
      <c r="A537" s="686"/>
      <c r="B537" s="687"/>
      <c r="C537" s="243"/>
      <c r="D537" s="244"/>
      <c r="E537" s="164"/>
      <c r="F537" s="174"/>
      <c r="G537" s="174"/>
      <c r="H537" s="174"/>
      <c r="I537" s="174"/>
      <c r="J537" s="174"/>
      <c r="K537" s="174"/>
      <c r="Z537" s="244"/>
    </row>
    <row r="538" spans="1:26" ht="15.75" customHeight="1">
      <c r="A538" s="686"/>
      <c r="B538" s="687"/>
      <c r="C538" s="243"/>
      <c r="D538" s="244"/>
      <c r="E538" s="164"/>
      <c r="F538" s="174"/>
      <c r="G538" s="174"/>
      <c r="H538" s="174"/>
      <c r="I538" s="174"/>
      <c r="J538" s="174"/>
      <c r="K538" s="174"/>
      <c r="Z538" s="244"/>
    </row>
    <row r="539" spans="1:26" ht="15.75" customHeight="1">
      <c r="A539" s="686"/>
      <c r="B539" s="687"/>
      <c r="C539" s="243"/>
      <c r="D539" s="244"/>
      <c r="E539" s="164"/>
      <c r="F539" s="174"/>
      <c r="G539" s="174"/>
      <c r="H539" s="174"/>
      <c r="I539" s="174"/>
      <c r="J539" s="174"/>
      <c r="K539" s="174"/>
      <c r="Z539" s="244"/>
    </row>
    <row r="540" spans="1:26" ht="15.75" customHeight="1">
      <c r="A540" s="686"/>
      <c r="B540" s="687"/>
      <c r="C540" s="243"/>
      <c r="D540" s="244"/>
      <c r="E540" s="164"/>
      <c r="F540" s="174"/>
      <c r="G540" s="174"/>
      <c r="H540" s="174"/>
      <c r="I540" s="174"/>
      <c r="J540" s="174"/>
      <c r="K540" s="174"/>
      <c r="Z540" s="244"/>
    </row>
    <row r="541" spans="1:26" ht="15.75" customHeight="1">
      <c r="A541" s="686"/>
      <c r="B541" s="687"/>
      <c r="C541" s="243"/>
      <c r="D541" s="244"/>
      <c r="E541" s="164"/>
      <c r="F541" s="174"/>
      <c r="G541" s="174"/>
      <c r="H541" s="174"/>
      <c r="I541" s="174"/>
      <c r="J541" s="174"/>
      <c r="K541" s="174"/>
      <c r="Z541" s="244"/>
    </row>
    <row r="542" spans="1:26" ht="15.75" customHeight="1">
      <c r="A542" s="686"/>
      <c r="B542" s="687"/>
      <c r="C542" s="243"/>
      <c r="D542" s="244"/>
      <c r="E542" s="164"/>
      <c r="F542" s="174"/>
      <c r="G542" s="174"/>
      <c r="H542" s="174"/>
      <c r="I542" s="174"/>
      <c r="J542" s="174"/>
      <c r="K542" s="174"/>
      <c r="Z542" s="244"/>
    </row>
    <row r="543" spans="1:26" ht="15.75" customHeight="1">
      <c r="A543" s="686"/>
      <c r="B543" s="687"/>
      <c r="C543" s="243"/>
      <c r="D543" s="244"/>
      <c r="E543" s="164"/>
      <c r="F543" s="174"/>
      <c r="G543" s="174"/>
      <c r="H543" s="174"/>
      <c r="I543" s="174"/>
      <c r="J543" s="174"/>
      <c r="K543" s="174"/>
      <c r="Z543" s="244"/>
    </row>
    <row r="544" spans="1:26" ht="15.75" customHeight="1">
      <c r="A544" s="686"/>
      <c r="B544" s="687"/>
      <c r="C544" s="243"/>
      <c r="D544" s="244"/>
      <c r="E544" s="164"/>
      <c r="F544" s="174"/>
      <c r="G544" s="174"/>
      <c r="H544" s="174"/>
      <c r="I544" s="174"/>
      <c r="J544" s="174"/>
      <c r="K544" s="174"/>
      <c r="Z544" s="244"/>
    </row>
    <row r="545" spans="1:26" ht="15.75" customHeight="1">
      <c r="A545" s="686"/>
      <c r="B545" s="687"/>
      <c r="C545" s="243"/>
      <c r="D545" s="244"/>
      <c r="E545" s="164"/>
      <c r="F545" s="174"/>
      <c r="G545" s="174"/>
      <c r="H545" s="174"/>
      <c r="I545" s="174"/>
      <c r="J545" s="174"/>
      <c r="K545" s="174"/>
      <c r="Z545" s="244"/>
    </row>
    <row r="546" spans="1:26" ht="15.75" customHeight="1">
      <c r="A546" s="686"/>
      <c r="B546" s="687"/>
      <c r="C546" s="243"/>
      <c r="D546" s="244"/>
      <c r="E546" s="164"/>
      <c r="F546" s="174"/>
      <c r="G546" s="174"/>
      <c r="H546" s="174"/>
      <c r="I546" s="174"/>
      <c r="J546" s="174"/>
      <c r="K546" s="174"/>
      <c r="Z546" s="244"/>
    </row>
    <row r="547" spans="1:26" ht="15.75" customHeight="1">
      <c r="A547" s="686"/>
      <c r="B547" s="687"/>
      <c r="C547" s="243"/>
      <c r="D547" s="244"/>
      <c r="E547" s="164"/>
      <c r="F547" s="174"/>
      <c r="G547" s="174"/>
      <c r="H547" s="174"/>
      <c r="I547" s="174"/>
      <c r="J547" s="174"/>
      <c r="K547" s="174"/>
      <c r="Z547" s="244"/>
    </row>
    <row r="548" spans="1:26" ht="15.75" customHeight="1">
      <c r="A548" s="686"/>
      <c r="B548" s="687"/>
      <c r="C548" s="243"/>
      <c r="D548" s="244"/>
      <c r="E548" s="164"/>
      <c r="F548" s="174"/>
      <c r="G548" s="174"/>
      <c r="H548" s="174"/>
      <c r="I548" s="174"/>
      <c r="J548" s="174"/>
      <c r="K548" s="174"/>
      <c r="Z548" s="244"/>
    </row>
    <row r="549" spans="1:26" ht="15.75" customHeight="1">
      <c r="A549" s="686"/>
      <c r="B549" s="687"/>
      <c r="C549" s="243"/>
      <c r="D549" s="244"/>
      <c r="E549" s="164"/>
      <c r="F549" s="174"/>
      <c r="G549" s="174"/>
      <c r="H549" s="174"/>
      <c r="I549" s="174"/>
      <c r="J549" s="174"/>
      <c r="K549" s="174"/>
      <c r="Z549" s="244"/>
    </row>
    <row r="550" spans="1:26" ht="15.75" customHeight="1">
      <c r="A550" s="686"/>
      <c r="B550" s="687"/>
      <c r="C550" s="243"/>
      <c r="D550" s="244"/>
      <c r="E550" s="164"/>
      <c r="F550" s="174"/>
      <c r="G550" s="174"/>
      <c r="H550" s="174"/>
      <c r="I550" s="174"/>
      <c r="J550" s="174"/>
      <c r="K550" s="174"/>
      <c r="Z550" s="244"/>
    </row>
    <row r="551" spans="1:26" ht="15.75" customHeight="1">
      <c r="A551" s="686"/>
      <c r="B551" s="687"/>
      <c r="C551" s="243"/>
      <c r="D551" s="244"/>
      <c r="E551" s="164"/>
      <c r="F551" s="174"/>
      <c r="G551" s="174"/>
      <c r="H551" s="174"/>
      <c r="I551" s="174"/>
      <c r="J551" s="174"/>
      <c r="K551" s="174"/>
      <c r="Z551" s="244"/>
    </row>
    <row r="552" spans="1:26" ht="15.75" customHeight="1">
      <c r="A552" s="686"/>
      <c r="B552" s="687"/>
      <c r="C552" s="243"/>
      <c r="D552" s="244"/>
      <c r="E552" s="164"/>
      <c r="F552" s="174"/>
      <c r="G552" s="174"/>
      <c r="H552" s="174"/>
      <c r="I552" s="174"/>
      <c r="J552" s="174"/>
      <c r="K552" s="174"/>
      <c r="Z552" s="244"/>
    </row>
    <row r="553" spans="1:26" ht="15.75" customHeight="1">
      <c r="A553" s="686"/>
      <c r="B553" s="687"/>
      <c r="C553" s="243"/>
      <c r="D553" s="244"/>
      <c r="E553" s="164"/>
      <c r="F553" s="174"/>
      <c r="G553" s="174"/>
      <c r="H553" s="174"/>
      <c r="I553" s="174"/>
      <c r="J553" s="174"/>
      <c r="K553" s="174"/>
      <c r="Z553" s="244"/>
    </row>
    <row r="554" spans="1:26" ht="15.75" customHeight="1">
      <c r="A554" s="686"/>
      <c r="B554" s="687"/>
      <c r="C554" s="243"/>
      <c r="D554" s="244"/>
      <c r="E554" s="164"/>
      <c r="F554" s="174"/>
      <c r="G554" s="174"/>
      <c r="H554" s="174"/>
      <c r="I554" s="174"/>
      <c r="J554" s="174"/>
      <c r="K554" s="174"/>
      <c r="Z554" s="244"/>
    </row>
    <row r="555" spans="1:26" ht="15.75" customHeight="1">
      <c r="A555" s="686"/>
      <c r="B555" s="687"/>
      <c r="C555" s="243"/>
      <c r="D555" s="244"/>
      <c r="E555" s="164"/>
      <c r="F555" s="174"/>
      <c r="G555" s="174"/>
      <c r="H555" s="174"/>
      <c r="I555" s="174"/>
      <c r="J555" s="174"/>
      <c r="K555" s="174"/>
      <c r="Z555" s="244"/>
    </row>
    <row r="556" spans="1:26" ht="15.75" customHeight="1">
      <c r="A556" s="686"/>
      <c r="B556" s="687"/>
      <c r="C556" s="243"/>
      <c r="D556" s="244"/>
      <c r="E556" s="164"/>
      <c r="F556" s="174"/>
      <c r="G556" s="174"/>
      <c r="H556" s="174"/>
      <c r="I556" s="174"/>
      <c r="J556" s="174"/>
      <c r="K556" s="174"/>
      <c r="Z556" s="244"/>
    </row>
    <row r="557" spans="1:26" ht="15.75" customHeight="1">
      <c r="A557" s="686"/>
      <c r="B557" s="687"/>
      <c r="C557" s="243"/>
      <c r="D557" s="244"/>
      <c r="E557" s="164"/>
      <c r="F557" s="174"/>
      <c r="G557" s="174"/>
      <c r="H557" s="174"/>
      <c r="I557" s="174"/>
      <c r="J557" s="174"/>
      <c r="K557" s="174"/>
      <c r="Z557" s="244"/>
    </row>
    <row r="558" spans="1:26" ht="15.75" customHeight="1">
      <c r="A558" s="686"/>
      <c r="B558" s="687"/>
      <c r="C558" s="243"/>
      <c r="D558" s="244"/>
      <c r="E558" s="164"/>
      <c r="F558" s="174"/>
      <c r="G558" s="174"/>
      <c r="H558" s="174"/>
      <c r="I558" s="174"/>
      <c r="J558" s="174"/>
      <c r="K558" s="174"/>
      <c r="Z558" s="244"/>
    </row>
    <row r="559" spans="1:26" ht="15.75" customHeight="1">
      <c r="A559" s="686"/>
      <c r="B559" s="687"/>
      <c r="C559" s="243"/>
      <c r="D559" s="244"/>
      <c r="E559" s="164"/>
      <c r="F559" s="174"/>
      <c r="G559" s="174"/>
      <c r="H559" s="174"/>
      <c r="I559" s="174"/>
      <c r="J559" s="174"/>
      <c r="K559" s="174"/>
      <c r="Z559" s="244"/>
    </row>
    <row r="560" spans="1:26" ht="15.75" customHeight="1">
      <c r="A560" s="686"/>
      <c r="B560" s="687"/>
      <c r="C560" s="243"/>
      <c r="D560" s="244"/>
      <c r="E560" s="164"/>
      <c r="F560" s="174"/>
      <c r="G560" s="174"/>
      <c r="H560" s="174"/>
      <c r="I560" s="174"/>
      <c r="J560" s="174"/>
      <c r="K560" s="174"/>
      <c r="Z560" s="244"/>
    </row>
    <row r="561" spans="1:26" ht="15.75" customHeight="1">
      <c r="A561" s="686"/>
      <c r="B561" s="687"/>
      <c r="C561" s="243"/>
      <c r="D561" s="244"/>
      <c r="E561" s="164"/>
      <c r="F561" s="174"/>
      <c r="G561" s="174"/>
      <c r="H561" s="174"/>
      <c r="I561" s="174"/>
      <c r="J561" s="174"/>
      <c r="K561" s="174"/>
      <c r="Z561" s="244"/>
    </row>
    <row r="562" spans="1:26" ht="15.75" customHeight="1">
      <c r="A562" s="686"/>
      <c r="B562" s="687"/>
      <c r="C562" s="243"/>
      <c r="D562" s="244"/>
      <c r="E562" s="164"/>
      <c r="F562" s="174"/>
      <c r="G562" s="174"/>
      <c r="H562" s="174"/>
      <c r="I562" s="174"/>
      <c r="J562" s="174"/>
      <c r="K562" s="174"/>
      <c r="Z562" s="244"/>
    </row>
    <row r="563" spans="1:26" ht="15.75" customHeight="1">
      <c r="A563" s="686"/>
      <c r="B563" s="687"/>
      <c r="C563" s="243"/>
      <c r="D563" s="244"/>
      <c r="E563" s="164"/>
      <c r="F563" s="174"/>
      <c r="G563" s="174"/>
      <c r="H563" s="174"/>
      <c r="I563" s="174"/>
      <c r="J563" s="174"/>
      <c r="K563" s="174"/>
      <c r="Z563" s="244"/>
    </row>
    <row r="564" spans="1:26" ht="15.75" customHeight="1">
      <c r="A564" s="686"/>
      <c r="B564" s="687"/>
      <c r="C564" s="243"/>
      <c r="D564" s="244"/>
      <c r="E564" s="164"/>
      <c r="F564" s="174"/>
      <c r="G564" s="174"/>
      <c r="H564" s="174"/>
      <c r="I564" s="174"/>
      <c r="J564" s="174"/>
      <c r="K564" s="174"/>
      <c r="Z564" s="244"/>
    </row>
    <row r="565" spans="1:26" ht="15.75" customHeight="1">
      <c r="A565" s="686"/>
      <c r="B565" s="687"/>
      <c r="C565" s="243"/>
      <c r="D565" s="244"/>
      <c r="E565" s="164"/>
      <c r="F565" s="174"/>
      <c r="G565" s="174"/>
      <c r="H565" s="174"/>
      <c r="I565" s="174"/>
      <c r="J565" s="174"/>
      <c r="K565" s="174"/>
      <c r="Z565" s="244"/>
    </row>
    <row r="566" spans="1:26" ht="15.75" customHeight="1">
      <c r="A566" s="686"/>
      <c r="B566" s="687"/>
      <c r="C566" s="243"/>
      <c r="D566" s="244"/>
      <c r="E566" s="164"/>
      <c r="F566" s="174"/>
      <c r="G566" s="174"/>
      <c r="H566" s="174"/>
      <c r="I566" s="174"/>
      <c r="J566" s="174"/>
      <c r="K566" s="174"/>
      <c r="Z566" s="244"/>
    </row>
    <row r="567" spans="1:26" ht="15.75" customHeight="1">
      <c r="A567" s="686"/>
      <c r="B567" s="687"/>
      <c r="C567" s="243"/>
      <c r="D567" s="244"/>
      <c r="E567" s="164"/>
      <c r="F567" s="174"/>
      <c r="G567" s="174"/>
      <c r="H567" s="174"/>
      <c r="I567" s="174"/>
      <c r="J567" s="174"/>
      <c r="K567" s="174"/>
      <c r="Z567" s="244"/>
    </row>
    <row r="568" spans="1:26" ht="15.75" customHeight="1">
      <c r="A568" s="686"/>
      <c r="B568" s="687"/>
      <c r="C568" s="243"/>
      <c r="D568" s="244"/>
      <c r="E568" s="164"/>
      <c r="F568" s="174"/>
      <c r="G568" s="174"/>
      <c r="H568" s="174"/>
      <c r="I568" s="174"/>
      <c r="J568" s="174"/>
      <c r="K568" s="174"/>
      <c r="Z568" s="244"/>
    </row>
    <row r="569" spans="1:26" ht="15.75" customHeight="1">
      <c r="A569" s="686"/>
      <c r="B569" s="687"/>
      <c r="C569" s="243"/>
      <c r="D569" s="244"/>
      <c r="E569" s="164"/>
      <c r="F569" s="174"/>
      <c r="G569" s="174"/>
      <c r="H569" s="174"/>
      <c r="I569" s="174"/>
      <c r="J569" s="174"/>
      <c r="K569" s="174"/>
      <c r="Z569" s="244"/>
    </row>
    <row r="570" spans="1:26" ht="15.75" customHeight="1">
      <c r="A570" s="686"/>
      <c r="B570" s="687"/>
      <c r="C570" s="243"/>
      <c r="D570" s="244"/>
      <c r="E570" s="164"/>
      <c r="F570" s="174"/>
      <c r="G570" s="174"/>
      <c r="H570" s="174"/>
      <c r="I570" s="174"/>
      <c r="J570" s="174"/>
      <c r="K570" s="174"/>
      <c r="Z570" s="244"/>
    </row>
    <row r="571" spans="1:26" ht="15.75" customHeight="1">
      <c r="A571" s="686"/>
      <c r="B571" s="687"/>
      <c r="C571" s="243"/>
      <c r="D571" s="244"/>
      <c r="E571" s="164"/>
      <c r="F571" s="174"/>
      <c r="G571" s="174"/>
      <c r="H571" s="174"/>
      <c r="I571" s="174"/>
      <c r="J571" s="174"/>
      <c r="K571" s="174"/>
      <c r="Z571" s="244"/>
    </row>
    <row r="572" spans="1:26" ht="15.75" customHeight="1">
      <c r="A572" s="686"/>
      <c r="B572" s="687"/>
      <c r="C572" s="243"/>
      <c r="D572" s="244"/>
      <c r="E572" s="164"/>
      <c r="F572" s="174"/>
      <c r="G572" s="174"/>
      <c r="H572" s="174"/>
      <c r="I572" s="174"/>
      <c r="J572" s="174"/>
      <c r="K572" s="174"/>
      <c r="Z572" s="244"/>
    </row>
    <row r="573" spans="1:26" ht="15.75" customHeight="1">
      <c r="A573" s="686"/>
      <c r="B573" s="687"/>
      <c r="C573" s="243"/>
      <c r="D573" s="244"/>
      <c r="E573" s="164"/>
      <c r="F573" s="174"/>
      <c r="G573" s="174"/>
      <c r="H573" s="174"/>
      <c r="I573" s="174"/>
      <c r="J573" s="174"/>
      <c r="K573" s="174"/>
      <c r="Z573" s="244"/>
    </row>
    <row r="574" spans="1:26" ht="15.75" customHeight="1">
      <c r="A574" s="686"/>
      <c r="B574" s="687"/>
      <c r="C574" s="243"/>
      <c r="D574" s="244"/>
      <c r="E574" s="164"/>
      <c r="F574" s="174"/>
      <c r="G574" s="174"/>
      <c r="H574" s="174"/>
      <c r="I574" s="174"/>
      <c r="J574" s="174"/>
      <c r="K574" s="174"/>
      <c r="Z574" s="244"/>
    </row>
    <row r="575" spans="1:26" ht="15.75" customHeight="1">
      <c r="A575" s="686"/>
      <c r="B575" s="687"/>
      <c r="C575" s="243"/>
      <c r="D575" s="244"/>
      <c r="E575" s="164"/>
      <c r="F575" s="174"/>
      <c r="G575" s="174"/>
      <c r="H575" s="174"/>
      <c r="I575" s="174"/>
      <c r="J575" s="174"/>
      <c r="K575" s="174"/>
      <c r="Z575" s="244"/>
    </row>
    <row r="576" spans="1:26" ht="15.75" customHeight="1">
      <c r="A576" s="686"/>
      <c r="B576" s="687"/>
      <c r="C576" s="243"/>
      <c r="D576" s="244"/>
      <c r="E576" s="164"/>
      <c r="F576" s="174"/>
      <c r="G576" s="174"/>
      <c r="H576" s="174"/>
      <c r="I576" s="174"/>
      <c r="J576" s="174"/>
      <c r="K576" s="174"/>
      <c r="Z576" s="244"/>
    </row>
    <row r="577" spans="1:26" ht="15.75" customHeight="1">
      <c r="A577" s="686"/>
      <c r="B577" s="687"/>
      <c r="C577" s="243"/>
      <c r="D577" s="244"/>
      <c r="E577" s="164"/>
      <c r="F577" s="174"/>
      <c r="G577" s="174"/>
      <c r="H577" s="174"/>
      <c r="I577" s="174"/>
      <c r="J577" s="174"/>
      <c r="K577" s="174"/>
      <c r="Z577" s="244"/>
    </row>
    <row r="578" spans="1:26" ht="15.75" customHeight="1">
      <c r="A578" s="686"/>
      <c r="B578" s="687"/>
      <c r="C578" s="243"/>
      <c r="D578" s="244"/>
      <c r="E578" s="164"/>
      <c r="F578" s="174"/>
      <c r="G578" s="174"/>
      <c r="H578" s="174"/>
      <c r="I578" s="174"/>
      <c r="J578" s="174"/>
      <c r="K578" s="174"/>
      <c r="Z578" s="244"/>
    </row>
    <row r="579" spans="1:26" ht="15.75" customHeight="1">
      <c r="A579" s="686"/>
      <c r="B579" s="687"/>
      <c r="C579" s="243"/>
      <c r="D579" s="244"/>
      <c r="E579" s="164"/>
      <c r="F579" s="174"/>
      <c r="G579" s="174"/>
      <c r="H579" s="174"/>
      <c r="I579" s="174"/>
      <c r="J579" s="174"/>
      <c r="K579" s="174"/>
      <c r="Z579" s="244"/>
    </row>
    <row r="580" spans="1:26" ht="15.75" customHeight="1">
      <c r="A580" s="686"/>
      <c r="B580" s="687"/>
      <c r="C580" s="243"/>
      <c r="D580" s="244"/>
      <c r="E580" s="164"/>
      <c r="F580" s="174"/>
      <c r="G580" s="174"/>
      <c r="H580" s="174"/>
      <c r="I580" s="174"/>
      <c r="J580" s="174"/>
      <c r="K580" s="174"/>
      <c r="Z580" s="244"/>
    </row>
    <row r="581" spans="1:26" ht="15.75" customHeight="1">
      <c r="A581" s="686"/>
      <c r="B581" s="687"/>
      <c r="C581" s="243"/>
      <c r="D581" s="244"/>
      <c r="E581" s="164"/>
      <c r="F581" s="174"/>
      <c r="G581" s="174"/>
      <c r="H581" s="174"/>
      <c r="I581" s="174"/>
      <c r="J581" s="174"/>
      <c r="K581" s="174"/>
      <c r="Z581" s="244"/>
    </row>
    <row r="582" spans="1:26" ht="15.75" customHeight="1">
      <c r="A582" s="686"/>
      <c r="B582" s="687"/>
      <c r="C582" s="243"/>
      <c r="D582" s="244"/>
      <c r="E582" s="164"/>
      <c r="F582" s="174"/>
      <c r="G582" s="174"/>
      <c r="H582" s="174"/>
      <c r="I582" s="174"/>
      <c r="J582" s="174"/>
      <c r="K582" s="174"/>
      <c r="Z582" s="244"/>
    </row>
    <row r="583" spans="1:26" ht="15.75" customHeight="1">
      <c r="A583" s="686"/>
      <c r="B583" s="687"/>
      <c r="C583" s="243"/>
      <c r="D583" s="244"/>
      <c r="E583" s="164"/>
      <c r="F583" s="174"/>
      <c r="G583" s="174"/>
      <c r="H583" s="174"/>
      <c r="I583" s="174"/>
      <c r="J583" s="174"/>
      <c r="K583" s="174"/>
      <c r="Z583" s="244"/>
    </row>
    <row r="584" spans="1:26" ht="15.75" customHeight="1">
      <c r="A584" s="686"/>
      <c r="B584" s="687"/>
      <c r="C584" s="243"/>
      <c r="D584" s="244"/>
      <c r="E584" s="164"/>
      <c r="F584" s="174"/>
      <c r="G584" s="174"/>
      <c r="H584" s="174"/>
      <c r="I584" s="174"/>
      <c r="J584" s="174"/>
      <c r="K584" s="174"/>
      <c r="Z584" s="244"/>
    </row>
    <row r="585" spans="1:26" ht="15.75" customHeight="1">
      <c r="A585" s="686"/>
      <c r="B585" s="687"/>
      <c r="C585" s="243"/>
      <c r="D585" s="244"/>
      <c r="E585" s="164"/>
      <c r="F585" s="174"/>
      <c r="G585" s="174"/>
      <c r="H585" s="174"/>
      <c r="I585" s="174"/>
      <c r="J585" s="174"/>
      <c r="K585" s="174"/>
      <c r="Z585" s="244"/>
    </row>
    <row r="586" spans="1:26" ht="15.75" customHeight="1">
      <c r="A586" s="686"/>
      <c r="B586" s="687"/>
      <c r="C586" s="243"/>
      <c r="D586" s="244"/>
      <c r="E586" s="164"/>
      <c r="F586" s="174"/>
      <c r="G586" s="174"/>
      <c r="H586" s="174"/>
      <c r="I586" s="174"/>
      <c r="J586" s="174"/>
      <c r="K586" s="174"/>
      <c r="Z586" s="244"/>
    </row>
    <row r="587" spans="1:26" ht="15.75" customHeight="1">
      <c r="A587" s="686"/>
      <c r="B587" s="687"/>
      <c r="C587" s="243"/>
      <c r="D587" s="244"/>
      <c r="E587" s="164"/>
      <c r="F587" s="174"/>
      <c r="G587" s="174"/>
      <c r="H587" s="174"/>
      <c r="I587" s="174"/>
      <c r="J587" s="174"/>
      <c r="K587" s="174"/>
      <c r="Z587" s="244"/>
    </row>
    <row r="588" spans="1:26" ht="15.75" customHeight="1">
      <c r="A588" s="686"/>
      <c r="B588" s="687"/>
      <c r="C588" s="243"/>
      <c r="D588" s="244"/>
      <c r="E588" s="164"/>
      <c r="F588" s="174"/>
      <c r="G588" s="174"/>
      <c r="H588" s="174"/>
      <c r="I588" s="174"/>
      <c r="J588" s="174"/>
      <c r="K588" s="174"/>
      <c r="Z588" s="244"/>
    </row>
    <row r="589" spans="1:26" ht="15.75" customHeight="1">
      <c r="A589" s="686"/>
      <c r="B589" s="687"/>
      <c r="C589" s="243"/>
      <c r="D589" s="244"/>
      <c r="E589" s="164"/>
      <c r="F589" s="174"/>
      <c r="G589" s="174"/>
      <c r="H589" s="174"/>
      <c r="I589" s="174"/>
      <c r="J589" s="174"/>
      <c r="K589" s="174"/>
      <c r="Z589" s="244"/>
    </row>
    <row r="590" spans="1:26" ht="15.75" customHeight="1">
      <c r="A590" s="686"/>
      <c r="B590" s="687"/>
      <c r="C590" s="243"/>
      <c r="D590" s="244"/>
      <c r="E590" s="164"/>
      <c r="F590" s="174"/>
      <c r="G590" s="174"/>
      <c r="H590" s="174"/>
      <c r="I590" s="174"/>
      <c r="J590" s="174"/>
      <c r="K590" s="174"/>
      <c r="Z590" s="244"/>
    </row>
    <row r="591" spans="1:26" ht="15.75" customHeight="1">
      <c r="A591" s="686"/>
      <c r="B591" s="687"/>
      <c r="C591" s="243"/>
      <c r="D591" s="244"/>
      <c r="E591" s="164"/>
      <c r="F591" s="174"/>
      <c r="G591" s="174"/>
      <c r="H591" s="174"/>
      <c r="I591" s="174"/>
      <c r="J591" s="174"/>
      <c r="K591" s="174"/>
      <c r="Z591" s="244"/>
    </row>
    <row r="592" spans="1:26" ht="15.75" customHeight="1">
      <c r="A592" s="686"/>
      <c r="B592" s="687"/>
      <c r="C592" s="243"/>
      <c r="D592" s="244"/>
      <c r="E592" s="164"/>
      <c r="F592" s="174"/>
      <c r="G592" s="174"/>
      <c r="H592" s="174"/>
      <c r="I592" s="174"/>
      <c r="J592" s="174"/>
      <c r="K592" s="174"/>
      <c r="Z592" s="244"/>
    </row>
    <row r="593" spans="1:26" ht="15.75" customHeight="1">
      <c r="A593" s="686"/>
      <c r="B593" s="687"/>
      <c r="C593" s="243"/>
      <c r="D593" s="244"/>
      <c r="E593" s="164"/>
      <c r="F593" s="174"/>
      <c r="G593" s="174"/>
      <c r="H593" s="174"/>
      <c r="I593" s="174"/>
      <c r="J593" s="174"/>
      <c r="K593" s="174"/>
      <c r="Z593" s="244"/>
    </row>
    <row r="594" spans="1:26" ht="15.75" customHeight="1">
      <c r="A594" s="686"/>
      <c r="B594" s="687"/>
      <c r="C594" s="243"/>
      <c r="D594" s="244"/>
      <c r="E594" s="164"/>
      <c r="F594" s="174"/>
      <c r="G594" s="174"/>
      <c r="H594" s="174"/>
      <c r="I594" s="174"/>
      <c r="J594" s="174"/>
      <c r="K594" s="174"/>
      <c r="Z594" s="244"/>
    </row>
    <row r="595" spans="1:26" ht="15.75" customHeight="1">
      <c r="A595" s="686"/>
      <c r="B595" s="687"/>
      <c r="C595" s="243"/>
      <c r="D595" s="244"/>
      <c r="E595" s="164"/>
      <c r="F595" s="174"/>
      <c r="G595" s="174"/>
      <c r="H595" s="174"/>
      <c r="I595" s="174"/>
      <c r="J595" s="174"/>
      <c r="K595" s="174"/>
      <c r="Z595" s="244"/>
    </row>
    <row r="596" spans="1:26" ht="15.75" customHeight="1">
      <c r="A596" s="686"/>
      <c r="B596" s="687"/>
      <c r="C596" s="243"/>
      <c r="D596" s="244"/>
      <c r="E596" s="164"/>
      <c r="F596" s="174"/>
      <c r="G596" s="174"/>
      <c r="H596" s="174"/>
      <c r="I596" s="174"/>
      <c r="J596" s="174"/>
      <c r="K596" s="174"/>
      <c r="Z596" s="244"/>
    </row>
    <row r="597" spans="1:26" ht="15.75" customHeight="1">
      <c r="A597" s="686"/>
      <c r="B597" s="687"/>
      <c r="C597" s="243"/>
      <c r="D597" s="244"/>
      <c r="E597" s="164"/>
      <c r="F597" s="174"/>
      <c r="G597" s="174"/>
      <c r="H597" s="174"/>
      <c r="I597" s="174"/>
      <c r="J597" s="174"/>
      <c r="K597" s="174"/>
      <c r="Z597" s="244"/>
    </row>
    <row r="598" spans="1:26" ht="15.75" customHeight="1">
      <c r="A598" s="686"/>
      <c r="B598" s="687"/>
      <c r="C598" s="243"/>
      <c r="D598" s="244"/>
      <c r="E598" s="164"/>
      <c r="F598" s="174"/>
      <c r="G598" s="174"/>
      <c r="H598" s="174"/>
      <c r="I598" s="174"/>
      <c r="J598" s="174"/>
      <c r="K598" s="174"/>
      <c r="Z598" s="244"/>
    </row>
    <row r="599" spans="1:26" ht="15.75" customHeight="1">
      <c r="A599" s="686"/>
      <c r="B599" s="687"/>
      <c r="C599" s="243"/>
      <c r="D599" s="244"/>
      <c r="E599" s="164"/>
      <c r="F599" s="174"/>
      <c r="G599" s="174"/>
      <c r="H599" s="174"/>
      <c r="I599" s="174"/>
      <c r="J599" s="174"/>
      <c r="K599" s="174"/>
      <c r="Z599" s="244"/>
    </row>
    <row r="600" spans="1:26" ht="15.75" customHeight="1">
      <c r="A600" s="686"/>
      <c r="B600" s="687"/>
      <c r="C600" s="243"/>
      <c r="D600" s="244"/>
      <c r="E600" s="164"/>
      <c r="F600" s="174"/>
      <c r="G600" s="174"/>
      <c r="H600" s="174"/>
      <c r="I600" s="174"/>
      <c r="J600" s="174"/>
      <c r="K600" s="174"/>
      <c r="Z600" s="244"/>
    </row>
    <row r="601" spans="1:26" ht="15.75" customHeight="1">
      <c r="A601" s="686"/>
      <c r="B601" s="687"/>
      <c r="C601" s="243"/>
      <c r="D601" s="244"/>
      <c r="E601" s="164"/>
      <c r="F601" s="174"/>
      <c r="G601" s="174"/>
      <c r="H601" s="174"/>
      <c r="I601" s="174"/>
      <c r="J601" s="174"/>
      <c r="K601" s="174"/>
      <c r="Z601" s="244"/>
    </row>
    <row r="602" spans="1:26" ht="15.75" customHeight="1">
      <c r="A602" s="686"/>
      <c r="B602" s="687"/>
      <c r="C602" s="243"/>
      <c r="D602" s="244"/>
      <c r="E602" s="164"/>
      <c r="F602" s="174"/>
      <c r="G602" s="174"/>
      <c r="H602" s="174"/>
      <c r="I602" s="174"/>
      <c r="J602" s="174"/>
      <c r="K602" s="174"/>
      <c r="Z602" s="244"/>
    </row>
    <row r="603" spans="1:26" ht="15.75" customHeight="1">
      <c r="A603" s="686"/>
      <c r="B603" s="687"/>
      <c r="C603" s="243"/>
      <c r="D603" s="244"/>
      <c r="E603" s="164"/>
      <c r="F603" s="174"/>
      <c r="G603" s="174"/>
      <c r="H603" s="174"/>
      <c r="I603" s="174"/>
      <c r="J603" s="174"/>
      <c r="K603" s="174"/>
      <c r="Z603" s="244"/>
    </row>
    <row r="604" spans="1:26" ht="15.75" customHeight="1">
      <c r="A604" s="686"/>
      <c r="B604" s="687"/>
      <c r="C604" s="243"/>
      <c r="D604" s="244"/>
      <c r="E604" s="164"/>
      <c r="F604" s="174"/>
      <c r="G604" s="174"/>
      <c r="H604" s="174"/>
      <c r="I604" s="174"/>
      <c r="J604" s="174"/>
      <c r="K604" s="174"/>
      <c r="Z604" s="244"/>
    </row>
    <row r="605" spans="1:26" ht="15.75" customHeight="1">
      <c r="A605" s="686"/>
      <c r="B605" s="687"/>
      <c r="C605" s="243"/>
      <c r="D605" s="244"/>
      <c r="E605" s="164"/>
      <c r="F605" s="174"/>
      <c r="G605" s="174"/>
      <c r="H605" s="174"/>
      <c r="I605" s="174"/>
      <c r="J605" s="174"/>
      <c r="K605" s="174"/>
      <c r="Z605" s="244"/>
    </row>
    <row r="606" spans="1:26" ht="15.75" customHeight="1">
      <c r="A606" s="686"/>
      <c r="B606" s="687"/>
      <c r="C606" s="243"/>
      <c r="D606" s="244"/>
      <c r="E606" s="164"/>
      <c r="F606" s="174"/>
      <c r="G606" s="174"/>
      <c r="H606" s="174"/>
      <c r="I606" s="174"/>
      <c r="J606" s="174"/>
      <c r="K606" s="174"/>
      <c r="Z606" s="244"/>
    </row>
    <row r="607" spans="1:26" ht="15.75" customHeight="1">
      <c r="A607" s="686"/>
      <c r="B607" s="687"/>
      <c r="C607" s="243"/>
      <c r="D607" s="244"/>
      <c r="E607" s="164"/>
      <c r="F607" s="174"/>
      <c r="G607" s="174"/>
      <c r="H607" s="174"/>
      <c r="I607" s="174"/>
      <c r="J607" s="174"/>
      <c r="K607" s="174"/>
      <c r="Z607" s="244"/>
    </row>
    <row r="608" spans="1:26" ht="15.75" customHeight="1">
      <c r="A608" s="686"/>
      <c r="B608" s="687"/>
      <c r="C608" s="243"/>
      <c r="D608" s="244"/>
      <c r="E608" s="164"/>
      <c r="F608" s="174"/>
      <c r="G608" s="174"/>
      <c r="H608" s="174"/>
      <c r="I608" s="174"/>
      <c r="J608" s="174"/>
      <c r="K608" s="174"/>
      <c r="Z608" s="244"/>
    </row>
    <row r="609" spans="1:26" ht="15.75" customHeight="1">
      <c r="A609" s="686"/>
      <c r="B609" s="687"/>
      <c r="C609" s="243"/>
      <c r="D609" s="244"/>
      <c r="E609" s="164"/>
      <c r="F609" s="174"/>
      <c r="G609" s="174"/>
      <c r="H609" s="174"/>
      <c r="I609" s="174"/>
      <c r="J609" s="174"/>
      <c r="K609" s="174"/>
      <c r="Z609" s="244"/>
    </row>
    <row r="610" spans="1:26" ht="15.75" customHeight="1">
      <c r="A610" s="686"/>
      <c r="B610" s="687"/>
      <c r="C610" s="243"/>
      <c r="D610" s="244"/>
      <c r="E610" s="164"/>
      <c r="F610" s="174"/>
      <c r="G610" s="174"/>
      <c r="H610" s="174"/>
      <c r="I610" s="174"/>
      <c r="J610" s="174"/>
      <c r="K610" s="174"/>
      <c r="Z610" s="244"/>
    </row>
    <row r="611" spans="1:26" ht="15.75" customHeight="1">
      <c r="A611" s="686"/>
      <c r="B611" s="687"/>
      <c r="C611" s="243"/>
      <c r="D611" s="244"/>
      <c r="E611" s="164"/>
      <c r="F611" s="174"/>
      <c r="G611" s="174"/>
      <c r="H611" s="174"/>
      <c r="I611" s="174"/>
      <c r="J611" s="174"/>
      <c r="K611" s="174"/>
      <c r="Z611" s="244"/>
    </row>
    <row r="612" spans="1:26" ht="15.75" customHeight="1">
      <c r="A612" s="686"/>
      <c r="B612" s="687"/>
      <c r="C612" s="243"/>
      <c r="D612" s="244"/>
      <c r="E612" s="164"/>
      <c r="F612" s="174"/>
      <c r="G612" s="174"/>
      <c r="H612" s="174"/>
      <c r="I612" s="174"/>
      <c r="J612" s="174"/>
      <c r="K612" s="174"/>
      <c r="Z612" s="244"/>
    </row>
    <row r="613" spans="1:26" ht="15.75" customHeight="1">
      <c r="A613" s="686"/>
      <c r="B613" s="687"/>
      <c r="C613" s="243"/>
      <c r="D613" s="244"/>
      <c r="E613" s="164"/>
      <c r="F613" s="174"/>
      <c r="G613" s="174"/>
      <c r="H613" s="174"/>
      <c r="I613" s="174"/>
      <c r="J613" s="174"/>
      <c r="K613" s="174"/>
      <c r="Z613" s="244"/>
    </row>
    <row r="614" spans="1:26" ht="15.75" customHeight="1">
      <c r="A614" s="686"/>
      <c r="B614" s="687"/>
      <c r="C614" s="243"/>
      <c r="D614" s="244"/>
      <c r="E614" s="164"/>
      <c r="F614" s="174"/>
      <c r="G614" s="174"/>
      <c r="H614" s="174"/>
      <c r="I614" s="174"/>
      <c r="J614" s="174"/>
      <c r="K614" s="174"/>
      <c r="Z614" s="244"/>
    </row>
    <row r="615" spans="1:26" ht="15.75" customHeight="1">
      <c r="A615" s="686"/>
      <c r="B615" s="687"/>
      <c r="C615" s="243"/>
      <c r="D615" s="244"/>
      <c r="E615" s="164"/>
      <c r="F615" s="174"/>
      <c r="G615" s="174"/>
      <c r="H615" s="174"/>
      <c r="I615" s="174"/>
      <c r="J615" s="174"/>
      <c r="K615" s="174"/>
      <c r="Z615" s="244"/>
    </row>
    <row r="616" spans="1:26" ht="15.75" customHeight="1">
      <c r="A616" s="686"/>
      <c r="B616" s="687"/>
      <c r="C616" s="243"/>
      <c r="D616" s="244"/>
      <c r="E616" s="164"/>
      <c r="F616" s="174"/>
      <c r="G616" s="174"/>
      <c r="H616" s="174"/>
      <c r="I616" s="174"/>
      <c r="J616" s="174"/>
      <c r="K616" s="174"/>
      <c r="Z616" s="244"/>
    </row>
    <row r="617" spans="1:26" ht="15.75" customHeight="1">
      <c r="A617" s="686"/>
      <c r="B617" s="687"/>
      <c r="C617" s="243"/>
      <c r="D617" s="244"/>
      <c r="E617" s="164"/>
      <c r="F617" s="174"/>
      <c r="G617" s="174"/>
      <c r="H617" s="174"/>
      <c r="I617" s="174"/>
      <c r="J617" s="174"/>
      <c r="K617" s="174"/>
      <c r="Z617" s="244"/>
    </row>
    <row r="618" spans="1:26" ht="15.75" customHeight="1">
      <c r="A618" s="686"/>
      <c r="B618" s="687"/>
      <c r="C618" s="243"/>
      <c r="D618" s="244"/>
      <c r="E618" s="164"/>
      <c r="F618" s="174"/>
      <c r="G618" s="174"/>
      <c r="H618" s="174"/>
      <c r="I618" s="174"/>
      <c r="J618" s="174"/>
      <c r="K618" s="174"/>
      <c r="Z618" s="244"/>
    </row>
    <row r="619" spans="1:26" ht="15.75" customHeight="1">
      <c r="A619" s="686"/>
      <c r="B619" s="687"/>
      <c r="C619" s="243"/>
      <c r="D619" s="244"/>
      <c r="E619" s="164"/>
      <c r="F619" s="174"/>
      <c r="G619" s="174"/>
      <c r="H619" s="174"/>
      <c r="I619" s="174"/>
      <c r="J619" s="174"/>
      <c r="K619" s="174"/>
      <c r="Z619" s="244"/>
    </row>
    <row r="620" spans="1:26" ht="15.75" customHeight="1">
      <c r="A620" s="686"/>
      <c r="B620" s="687"/>
      <c r="C620" s="243"/>
      <c r="D620" s="244"/>
      <c r="E620" s="164"/>
      <c r="F620" s="174"/>
      <c r="G620" s="174"/>
      <c r="H620" s="174"/>
      <c r="I620" s="174"/>
      <c r="J620" s="174"/>
      <c r="K620" s="174"/>
      <c r="Z620" s="244"/>
    </row>
    <row r="621" spans="1:26" ht="15.75" customHeight="1">
      <c r="A621" s="686"/>
      <c r="B621" s="687"/>
      <c r="C621" s="243"/>
      <c r="D621" s="244"/>
      <c r="E621" s="164"/>
      <c r="F621" s="174"/>
      <c r="G621" s="174"/>
      <c r="H621" s="174"/>
      <c r="I621" s="174"/>
      <c r="J621" s="174"/>
      <c r="K621" s="174"/>
      <c r="Z621" s="244"/>
    </row>
    <row r="622" spans="1:26" ht="15.75" customHeight="1">
      <c r="A622" s="686"/>
      <c r="B622" s="687"/>
      <c r="C622" s="243"/>
      <c r="D622" s="244"/>
      <c r="E622" s="164"/>
      <c r="F622" s="174"/>
      <c r="G622" s="174"/>
      <c r="H622" s="174"/>
      <c r="I622" s="174"/>
      <c r="J622" s="174"/>
      <c r="K622" s="174"/>
      <c r="Z622" s="244"/>
    </row>
    <row r="623" spans="1:26" ht="15.75" customHeight="1">
      <c r="A623" s="686"/>
      <c r="B623" s="687"/>
      <c r="C623" s="243"/>
      <c r="D623" s="244"/>
      <c r="E623" s="164"/>
      <c r="F623" s="174"/>
      <c r="G623" s="174"/>
      <c r="H623" s="174"/>
      <c r="I623" s="174"/>
      <c r="J623" s="174"/>
      <c r="K623" s="174"/>
      <c r="Z623" s="244"/>
    </row>
    <row r="624" spans="1:26" ht="15.75" customHeight="1">
      <c r="A624" s="686"/>
      <c r="B624" s="687"/>
      <c r="C624" s="243"/>
      <c r="D624" s="244"/>
      <c r="E624" s="164"/>
      <c r="F624" s="174"/>
      <c r="G624" s="174"/>
      <c r="H624" s="174"/>
      <c r="I624" s="174"/>
      <c r="J624" s="174"/>
      <c r="K624" s="174"/>
      <c r="Z624" s="244"/>
    </row>
    <row r="625" spans="1:26" ht="15.75" customHeight="1">
      <c r="A625" s="686"/>
      <c r="B625" s="687"/>
      <c r="C625" s="243"/>
      <c r="D625" s="244"/>
      <c r="E625" s="164"/>
      <c r="F625" s="174"/>
      <c r="G625" s="174"/>
      <c r="H625" s="174"/>
      <c r="I625" s="174"/>
      <c r="J625" s="174"/>
      <c r="K625" s="174"/>
      <c r="Z625" s="244"/>
    </row>
    <row r="626" spans="1:26" ht="15.75" customHeight="1">
      <c r="A626" s="686"/>
      <c r="B626" s="687"/>
      <c r="C626" s="243"/>
      <c r="D626" s="244"/>
      <c r="E626" s="164"/>
      <c r="F626" s="174"/>
      <c r="G626" s="174"/>
      <c r="H626" s="174"/>
      <c r="I626" s="174"/>
      <c r="J626" s="174"/>
      <c r="K626" s="174"/>
      <c r="Z626" s="244"/>
    </row>
    <row r="627" spans="1:26" ht="15.75" customHeight="1">
      <c r="A627" s="686"/>
      <c r="B627" s="687"/>
      <c r="C627" s="243"/>
      <c r="D627" s="244"/>
      <c r="E627" s="164"/>
      <c r="F627" s="174"/>
      <c r="G627" s="174"/>
      <c r="H627" s="174"/>
      <c r="I627" s="174"/>
      <c r="J627" s="174"/>
      <c r="K627" s="174"/>
      <c r="Z627" s="244"/>
    </row>
    <row r="628" spans="1:26" ht="15.75" customHeight="1">
      <c r="A628" s="686"/>
      <c r="B628" s="687"/>
      <c r="C628" s="243"/>
      <c r="D628" s="244"/>
      <c r="E628" s="164"/>
      <c r="F628" s="174"/>
      <c r="G628" s="174"/>
      <c r="H628" s="174"/>
      <c r="I628" s="174"/>
      <c r="J628" s="174"/>
      <c r="K628" s="174"/>
      <c r="Z628" s="244"/>
    </row>
    <row r="629" spans="1:26" ht="15.75" customHeight="1">
      <c r="A629" s="686"/>
      <c r="B629" s="687"/>
      <c r="C629" s="243"/>
      <c r="D629" s="244"/>
      <c r="E629" s="164"/>
      <c r="F629" s="174"/>
      <c r="G629" s="174"/>
      <c r="H629" s="174"/>
      <c r="I629" s="174"/>
      <c r="J629" s="174"/>
      <c r="K629" s="174"/>
      <c r="Z629" s="244"/>
    </row>
    <row r="630" spans="1:26" ht="15.75" customHeight="1">
      <c r="A630" s="686"/>
      <c r="B630" s="687"/>
      <c r="C630" s="243"/>
      <c r="D630" s="244"/>
      <c r="E630" s="164"/>
      <c r="F630" s="174"/>
      <c r="G630" s="174"/>
      <c r="H630" s="174"/>
      <c r="I630" s="174"/>
      <c r="J630" s="174"/>
      <c r="K630" s="174"/>
      <c r="Z630" s="244"/>
    </row>
    <row r="631" spans="1:26" ht="15.75" customHeight="1">
      <c r="A631" s="686"/>
      <c r="B631" s="687"/>
      <c r="C631" s="243"/>
      <c r="D631" s="244"/>
      <c r="E631" s="164"/>
      <c r="F631" s="174"/>
      <c r="G631" s="174"/>
      <c r="H631" s="174"/>
      <c r="I631" s="174"/>
      <c r="J631" s="174"/>
      <c r="K631" s="174"/>
      <c r="Z631" s="244"/>
    </row>
    <row r="632" spans="1:26" ht="15.75" customHeight="1">
      <c r="A632" s="686"/>
      <c r="B632" s="687"/>
      <c r="C632" s="243"/>
      <c r="D632" s="244"/>
      <c r="E632" s="164"/>
      <c r="F632" s="174"/>
      <c r="G632" s="174"/>
      <c r="H632" s="174"/>
      <c r="I632" s="174"/>
      <c r="J632" s="174"/>
      <c r="K632" s="174"/>
      <c r="Z632" s="244"/>
    </row>
    <row r="633" spans="1:26" ht="15.75" customHeight="1">
      <c r="A633" s="686"/>
      <c r="B633" s="687"/>
      <c r="C633" s="243"/>
      <c r="D633" s="244"/>
      <c r="E633" s="164"/>
      <c r="F633" s="174"/>
      <c r="G633" s="174"/>
      <c r="H633" s="174"/>
      <c r="I633" s="174"/>
      <c r="J633" s="174"/>
      <c r="K633" s="174"/>
      <c r="Z633" s="244"/>
    </row>
    <row r="634" spans="1:26" ht="15.75" customHeight="1">
      <c r="A634" s="686"/>
      <c r="B634" s="687"/>
      <c r="C634" s="243"/>
      <c r="D634" s="244"/>
      <c r="E634" s="164"/>
      <c r="F634" s="174"/>
      <c r="G634" s="174"/>
      <c r="H634" s="174"/>
      <c r="I634" s="174"/>
      <c r="J634" s="174"/>
      <c r="K634" s="174"/>
      <c r="Z634" s="244"/>
    </row>
    <row r="635" spans="1:26" ht="15.75" customHeight="1">
      <c r="A635" s="686"/>
      <c r="B635" s="687"/>
      <c r="C635" s="243"/>
      <c r="D635" s="244"/>
      <c r="E635" s="164"/>
      <c r="F635" s="174"/>
      <c r="G635" s="174"/>
      <c r="H635" s="174"/>
      <c r="I635" s="174"/>
      <c r="J635" s="174"/>
      <c r="K635" s="174"/>
      <c r="Z635" s="244"/>
    </row>
    <row r="636" spans="1:26" ht="15.75" customHeight="1">
      <c r="A636" s="686"/>
      <c r="B636" s="687"/>
      <c r="C636" s="243"/>
      <c r="D636" s="244"/>
      <c r="E636" s="164"/>
      <c r="F636" s="174"/>
      <c r="G636" s="174"/>
      <c r="H636" s="174"/>
      <c r="I636" s="174"/>
      <c r="J636" s="174"/>
      <c r="K636" s="174"/>
      <c r="Z636" s="244"/>
    </row>
    <row r="637" spans="1:26" ht="15.75" customHeight="1">
      <c r="A637" s="686"/>
      <c r="B637" s="687"/>
      <c r="C637" s="243"/>
      <c r="D637" s="244"/>
      <c r="E637" s="164"/>
      <c r="F637" s="174"/>
      <c r="G637" s="174"/>
      <c r="H637" s="174"/>
      <c r="I637" s="174"/>
      <c r="J637" s="174"/>
      <c r="K637" s="174"/>
      <c r="Z637" s="244"/>
    </row>
    <row r="638" spans="1:26" ht="15.75" customHeight="1">
      <c r="A638" s="686"/>
      <c r="B638" s="687"/>
      <c r="C638" s="243"/>
      <c r="D638" s="244"/>
      <c r="E638" s="164"/>
      <c r="F638" s="174"/>
      <c r="G638" s="174"/>
      <c r="H638" s="174"/>
      <c r="I638" s="174"/>
      <c r="J638" s="174"/>
      <c r="K638" s="174"/>
      <c r="Z638" s="244"/>
    </row>
    <row r="639" spans="1:26" ht="15.75" customHeight="1">
      <c r="A639" s="686"/>
      <c r="B639" s="687"/>
      <c r="C639" s="243"/>
      <c r="D639" s="244"/>
      <c r="E639" s="164"/>
      <c r="F639" s="174"/>
      <c r="G639" s="174"/>
      <c r="H639" s="174"/>
      <c r="I639" s="174"/>
      <c r="J639" s="174"/>
      <c r="K639" s="174"/>
      <c r="Z639" s="244"/>
    </row>
    <row r="640" spans="1:26" ht="15.75" customHeight="1">
      <c r="A640" s="686"/>
      <c r="B640" s="687"/>
      <c r="C640" s="243"/>
      <c r="D640" s="244"/>
      <c r="E640" s="164"/>
      <c r="F640" s="174"/>
      <c r="G640" s="174"/>
      <c r="H640" s="174"/>
      <c r="I640" s="174"/>
      <c r="J640" s="174"/>
      <c r="K640" s="174"/>
      <c r="Z640" s="244"/>
    </row>
    <row r="641" spans="1:26" ht="15.75" customHeight="1">
      <c r="A641" s="686"/>
      <c r="B641" s="687"/>
      <c r="C641" s="243"/>
      <c r="D641" s="244"/>
      <c r="E641" s="164"/>
      <c r="F641" s="174"/>
      <c r="G641" s="174"/>
      <c r="H641" s="174"/>
      <c r="I641" s="174"/>
      <c r="J641" s="174"/>
      <c r="K641" s="174"/>
      <c r="Z641" s="244"/>
    </row>
    <row r="642" spans="1:26" ht="15.75" customHeight="1">
      <c r="A642" s="686"/>
      <c r="B642" s="687"/>
      <c r="C642" s="243"/>
      <c r="D642" s="244"/>
      <c r="E642" s="164"/>
      <c r="F642" s="174"/>
      <c r="G642" s="174"/>
      <c r="H642" s="174"/>
      <c r="I642" s="174"/>
      <c r="J642" s="174"/>
      <c r="K642" s="174"/>
      <c r="Z642" s="244"/>
    </row>
    <row r="643" spans="1:26" ht="15.75" customHeight="1">
      <c r="A643" s="686"/>
      <c r="B643" s="687"/>
      <c r="C643" s="243"/>
      <c r="D643" s="244"/>
      <c r="E643" s="164"/>
      <c r="F643" s="174"/>
      <c r="G643" s="174"/>
      <c r="H643" s="174"/>
      <c r="I643" s="174"/>
      <c r="J643" s="174"/>
      <c r="K643" s="174"/>
      <c r="Z643" s="244"/>
    </row>
    <row r="644" spans="1:26" ht="15.75" customHeight="1">
      <c r="A644" s="686"/>
      <c r="B644" s="687"/>
      <c r="C644" s="243"/>
      <c r="D644" s="244"/>
      <c r="E644" s="164"/>
      <c r="F644" s="174"/>
      <c r="G644" s="174"/>
      <c r="H644" s="174"/>
      <c r="I644" s="174"/>
      <c r="J644" s="174"/>
      <c r="K644" s="174"/>
      <c r="Z644" s="244"/>
    </row>
    <row r="645" spans="1:26" ht="15.75" customHeight="1">
      <c r="A645" s="686"/>
      <c r="B645" s="687"/>
      <c r="C645" s="243"/>
      <c r="D645" s="244"/>
      <c r="E645" s="164"/>
      <c r="F645" s="174"/>
      <c r="G645" s="174"/>
      <c r="H645" s="174"/>
      <c r="I645" s="174"/>
      <c r="J645" s="174"/>
      <c r="K645" s="174"/>
      <c r="Z645" s="244"/>
    </row>
    <row r="646" spans="1:26" ht="15.75" customHeight="1">
      <c r="A646" s="686"/>
      <c r="B646" s="687"/>
      <c r="C646" s="243"/>
      <c r="D646" s="244"/>
      <c r="E646" s="164"/>
      <c r="F646" s="174"/>
      <c r="G646" s="174"/>
      <c r="H646" s="174"/>
      <c r="I646" s="174"/>
      <c r="J646" s="174"/>
      <c r="K646" s="174"/>
      <c r="Z646" s="244"/>
    </row>
    <row r="647" spans="1:26" ht="15.75" customHeight="1">
      <c r="A647" s="686"/>
      <c r="B647" s="687"/>
      <c r="C647" s="243"/>
      <c r="D647" s="244"/>
      <c r="E647" s="164"/>
      <c r="F647" s="174"/>
      <c r="G647" s="174"/>
      <c r="H647" s="174"/>
      <c r="I647" s="174"/>
      <c r="J647" s="174"/>
      <c r="K647" s="174"/>
      <c r="Z647" s="244"/>
    </row>
    <row r="648" spans="1:26" ht="15.75" customHeight="1">
      <c r="A648" s="686"/>
      <c r="B648" s="687"/>
      <c r="C648" s="243"/>
      <c r="D648" s="244"/>
      <c r="E648" s="164"/>
      <c r="F648" s="174"/>
      <c r="G648" s="174"/>
      <c r="H648" s="174"/>
      <c r="I648" s="174"/>
      <c r="J648" s="174"/>
      <c r="K648" s="174"/>
      <c r="Z648" s="244"/>
    </row>
    <row r="649" spans="1:26" ht="15.75" customHeight="1">
      <c r="A649" s="686"/>
      <c r="B649" s="687"/>
      <c r="C649" s="243"/>
      <c r="D649" s="244"/>
      <c r="E649" s="164"/>
      <c r="F649" s="174"/>
      <c r="G649" s="174"/>
      <c r="H649" s="174"/>
      <c r="I649" s="174"/>
      <c r="J649" s="174"/>
      <c r="K649" s="174"/>
      <c r="Z649" s="244"/>
    </row>
    <row r="650" spans="1:26" ht="15.75" customHeight="1">
      <c r="A650" s="686"/>
      <c r="B650" s="687"/>
      <c r="C650" s="243"/>
      <c r="D650" s="244"/>
      <c r="E650" s="164"/>
      <c r="F650" s="174"/>
      <c r="G650" s="174"/>
      <c r="H650" s="174"/>
      <c r="I650" s="174"/>
      <c r="J650" s="174"/>
      <c r="K650" s="174"/>
      <c r="Z650" s="244"/>
    </row>
    <row r="651" spans="1:26" ht="15.75" customHeight="1">
      <c r="A651" s="686"/>
      <c r="B651" s="687"/>
      <c r="C651" s="243"/>
      <c r="D651" s="244"/>
      <c r="E651" s="164"/>
      <c r="F651" s="174"/>
      <c r="G651" s="174"/>
      <c r="H651" s="174"/>
      <c r="I651" s="174"/>
      <c r="J651" s="174"/>
      <c r="K651" s="174"/>
      <c r="Z651" s="244"/>
    </row>
    <row r="652" spans="1:26" ht="15.75" customHeight="1">
      <c r="A652" s="686"/>
      <c r="B652" s="687"/>
      <c r="C652" s="243"/>
      <c r="D652" s="244"/>
      <c r="E652" s="164"/>
      <c r="F652" s="174"/>
      <c r="G652" s="174"/>
      <c r="H652" s="174"/>
      <c r="I652" s="174"/>
      <c r="J652" s="174"/>
      <c r="K652" s="174"/>
      <c r="Z652" s="244"/>
    </row>
    <row r="653" spans="1:26" ht="15.75" customHeight="1">
      <c r="A653" s="686"/>
      <c r="B653" s="687"/>
      <c r="C653" s="243"/>
      <c r="D653" s="244"/>
      <c r="E653" s="164"/>
      <c r="F653" s="174"/>
      <c r="G653" s="174"/>
      <c r="H653" s="174"/>
      <c r="I653" s="174"/>
      <c r="J653" s="174"/>
      <c r="K653" s="174"/>
      <c r="Z653" s="244"/>
    </row>
    <row r="654" spans="1:26" ht="15.75" customHeight="1">
      <c r="A654" s="686"/>
      <c r="B654" s="687"/>
      <c r="C654" s="243"/>
      <c r="D654" s="244"/>
      <c r="E654" s="164"/>
      <c r="F654" s="174"/>
      <c r="G654" s="174"/>
      <c r="H654" s="174"/>
      <c r="I654" s="174"/>
      <c r="J654" s="174"/>
      <c r="K654" s="174"/>
      <c r="Z654" s="244"/>
    </row>
    <row r="655" spans="1:26" ht="15.75" customHeight="1">
      <c r="A655" s="686"/>
      <c r="B655" s="687"/>
      <c r="C655" s="243"/>
      <c r="D655" s="244"/>
      <c r="E655" s="164"/>
      <c r="F655" s="174"/>
      <c r="G655" s="174"/>
      <c r="H655" s="174"/>
      <c r="I655" s="174"/>
      <c r="J655" s="174"/>
      <c r="K655" s="174"/>
      <c r="Z655" s="244"/>
    </row>
    <row r="656" spans="1:26" ht="15.75" customHeight="1">
      <c r="A656" s="686"/>
      <c r="B656" s="687"/>
      <c r="C656" s="243"/>
      <c r="D656" s="244"/>
      <c r="E656" s="164"/>
      <c r="F656" s="174"/>
      <c r="G656" s="174"/>
      <c r="H656" s="174"/>
      <c r="I656" s="174"/>
      <c r="J656" s="174"/>
      <c r="K656" s="174"/>
      <c r="Z656" s="244"/>
    </row>
    <row r="657" spans="1:26" ht="15.75" customHeight="1">
      <c r="A657" s="686"/>
      <c r="B657" s="687"/>
      <c r="C657" s="243"/>
      <c r="D657" s="244"/>
      <c r="E657" s="164"/>
      <c r="F657" s="174"/>
      <c r="G657" s="174"/>
      <c r="H657" s="174"/>
      <c r="I657" s="174"/>
      <c r="J657" s="174"/>
      <c r="K657" s="174"/>
      <c r="Z657" s="244"/>
    </row>
    <row r="658" spans="1:26" ht="14.25" customHeight="1">
      <c r="A658" s="7"/>
      <c r="B658" s="7"/>
      <c r="C658" s="7"/>
      <c r="D658" s="7"/>
      <c r="E658" s="174"/>
      <c r="F658" s="174"/>
      <c r="G658" s="174"/>
      <c r="H658" s="174"/>
      <c r="I658" s="174"/>
      <c r="J658" s="174"/>
      <c r="K658" s="174"/>
      <c r="Z658" s="244"/>
    </row>
    <row r="659" spans="1:26" ht="14.25" customHeight="1">
      <c r="A659" s="7"/>
      <c r="B659" s="7"/>
      <c r="C659" s="7"/>
      <c r="D659" s="7"/>
      <c r="E659" s="174"/>
      <c r="F659" s="174"/>
      <c r="G659" s="174"/>
      <c r="H659" s="174"/>
      <c r="I659" s="174"/>
      <c r="J659" s="174"/>
      <c r="K659" s="174"/>
      <c r="Z659" s="244"/>
    </row>
    <row r="660" spans="1:26" ht="14.25" customHeight="1">
      <c r="A660" s="7"/>
      <c r="B660" s="7"/>
      <c r="C660" s="7"/>
      <c r="D660" s="7"/>
      <c r="E660" s="174"/>
      <c r="F660" s="174"/>
      <c r="G660" s="174"/>
      <c r="H660" s="174"/>
      <c r="I660" s="174"/>
      <c r="J660" s="174"/>
      <c r="K660" s="174"/>
      <c r="Z660" s="244"/>
    </row>
    <row r="661" spans="1:26" ht="14.25" customHeight="1">
      <c r="A661" s="7"/>
      <c r="B661" s="7"/>
      <c r="C661" s="7"/>
      <c r="D661" s="7"/>
      <c r="E661" s="174"/>
      <c r="F661" s="174"/>
      <c r="G661" s="174"/>
      <c r="H661" s="174"/>
      <c r="I661" s="174"/>
      <c r="J661" s="174"/>
      <c r="K661" s="174"/>
      <c r="Z661" s="244"/>
    </row>
    <row r="662" spans="1:26" ht="14.25" customHeight="1">
      <c r="A662" s="7"/>
      <c r="B662" s="7"/>
      <c r="C662" s="7"/>
      <c r="D662" s="7"/>
      <c r="E662" s="174"/>
      <c r="F662" s="174"/>
      <c r="G662" s="174"/>
      <c r="H662" s="174"/>
      <c r="I662" s="174"/>
      <c r="J662" s="174"/>
      <c r="K662" s="174"/>
      <c r="Z662" s="244"/>
    </row>
    <row r="663" spans="1:26" ht="14.25" customHeight="1">
      <c r="A663" s="7"/>
      <c r="B663" s="7"/>
      <c r="C663" s="7"/>
      <c r="D663" s="7"/>
      <c r="E663" s="174"/>
      <c r="F663" s="174"/>
      <c r="G663" s="174"/>
      <c r="H663" s="174"/>
      <c r="I663" s="174"/>
      <c r="J663" s="174"/>
      <c r="K663" s="174"/>
      <c r="Z663" s="244"/>
    </row>
    <row r="664" spans="1:26" ht="14.25" customHeight="1">
      <c r="A664" s="7"/>
      <c r="B664" s="7"/>
      <c r="C664" s="7"/>
      <c r="D664" s="7"/>
      <c r="E664" s="174"/>
      <c r="F664" s="174"/>
      <c r="G664" s="174"/>
      <c r="H664" s="174"/>
      <c r="I664" s="174"/>
      <c r="J664" s="174"/>
      <c r="K664" s="174"/>
      <c r="Z664" s="244"/>
    </row>
    <row r="665" spans="1:26" ht="14.25" customHeight="1">
      <c r="A665" s="7"/>
      <c r="B665" s="7"/>
      <c r="C665" s="7"/>
      <c r="D665" s="7"/>
      <c r="E665" s="174"/>
      <c r="F665" s="174"/>
      <c r="G665" s="174"/>
      <c r="H665" s="174"/>
      <c r="I665" s="174"/>
      <c r="J665" s="174"/>
      <c r="K665" s="174"/>
      <c r="Z665" s="244"/>
    </row>
    <row r="666" spans="1:26" ht="14.25" customHeight="1">
      <c r="A666" s="7"/>
      <c r="B666" s="7"/>
      <c r="C666" s="7"/>
      <c r="D666" s="7"/>
      <c r="E666" s="174"/>
      <c r="F666" s="174"/>
      <c r="G666" s="174"/>
      <c r="H666" s="174"/>
      <c r="I666" s="174"/>
      <c r="J666" s="174"/>
      <c r="K666" s="174"/>
      <c r="Z666" s="244"/>
    </row>
    <row r="667" spans="1:26" ht="14.25" customHeight="1">
      <c r="A667" s="7"/>
      <c r="B667" s="7"/>
      <c r="C667" s="7"/>
      <c r="D667" s="7"/>
      <c r="E667" s="174"/>
      <c r="F667" s="174"/>
      <c r="G667" s="174"/>
      <c r="H667" s="174"/>
      <c r="I667" s="174"/>
      <c r="J667" s="174"/>
      <c r="K667" s="174"/>
      <c r="Z667" s="244"/>
    </row>
    <row r="668" spans="1:26" ht="14.25" customHeight="1">
      <c r="A668" s="7"/>
      <c r="B668" s="7"/>
      <c r="C668" s="7"/>
      <c r="D668" s="7"/>
      <c r="E668" s="174"/>
      <c r="F668" s="174"/>
      <c r="G668" s="174"/>
      <c r="H668" s="174"/>
      <c r="I668" s="174"/>
      <c r="J668" s="174"/>
      <c r="K668" s="174"/>
      <c r="Z668" s="244"/>
    </row>
    <row r="669" spans="1:26" ht="14.25" customHeight="1">
      <c r="A669" s="7"/>
      <c r="B669" s="7"/>
      <c r="C669" s="7"/>
      <c r="D669" s="7"/>
      <c r="E669" s="174"/>
      <c r="F669" s="174"/>
      <c r="G669" s="174"/>
      <c r="H669" s="174"/>
      <c r="I669" s="174"/>
      <c r="J669" s="174"/>
      <c r="K669" s="174"/>
      <c r="Z669" s="244"/>
    </row>
    <row r="670" spans="1:26" ht="14.25" customHeight="1">
      <c r="A670" s="7"/>
      <c r="B670" s="7"/>
      <c r="C670" s="7"/>
      <c r="D670" s="7"/>
      <c r="E670" s="174"/>
      <c r="F670" s="174"/>
      <c r="G670" s="174"/>
      <c r="H670" s="174"/>
      <c r="I670" s="174"/>
      <c r="J670" s="174"/>
      <c r="K670" s="174"/>
      <c r="Z670" s="244"/>
    </row>
    <row r="671" spans="1:26" ht="14.25" customHeight="1">
      <c r="A671" s="7"/>
      <c r="B671" s="7"/>
      <c r="C671" s="7"/>
      <c r="D671" s="7"/>
      <c r="E671" s="174"/>
      <c r="F671" s="174"/>
      <c r="G671" s="174"/>
      <c r="H671" s="174"/>
      <c r="I671" s="174"/>
      <c r="J671" s="174"/>
      <c r="K671" s="174"/>
      <c r="Z671" s="244"/>
    </row>
    <row r="672" spans="1:26" ht="14.25" customHeight="1">
      <c r="A672" s="7"/>
      <c r="B672" s="7"/>
      <c r="C672" s="7"/>
      <c r="D672" s="7"/>
      <c r="E672" s="174"/>
      <c r="F672" s="174"/>
      <c r="G672" s="174"/>
      <c r="H672" s="174"/>
      <c r="I672" s="174"/>
      <c r="J672" s="174"/>
      <c r="K672" s="174"/>
      <c r="Z672" s="244"/>
    </row>
    <row r="673" spans="1:26" ht="14.25" customHeight="1">
      <c r="A673" s="7"/>
      <c r="B673" s="7"/>
      <c r="C673" s="7"/>
      <c r="D673" s="7"/>
      <c r="E673" s="174"/>
      <c r="F673" s="174"/>
      <c r="G673" s="174"/>
      <c r="H673" s="174"/>
      <c r="I673" s="174"/>
      <c r="J673" s="174"/>
      <c r="K673" s="174"/>
      <c r="Z673" s="244"/>
    </row>
    <row r="674" spans="1:26" ht="14.25" customHeight="1">
      <c r="A674" s="7"/>
      <c r="B674" s="7"/>
      <c r="C674" s="7"/>
      <c r="D674" s="7"/>
      <c r="E674" s="174"/>
      <c r="F674" s="174"/>
      <c r="G674" s="174"/>
      <c r="H674" s="174"/>
      <c r="I674" s="174"/>
      <c r="J674" s="174"/>
      <c r="K674" s="174"/>
      <c r="Z674" s="244"/>
    </row>
    <row r="675" spans="1:26" ht="14.25" customHeight="1">
      <c r="A675" s="7"/>
      <c r="B675" s="7"/>
      <c r="C675" s="7"/>
      <c r="D675" s="7"/>
      <c r="E675" s="174"/>
      <c r="F675" s="174"/>
      <c r="G675" s="174"/>
      <c r="H675" s="174"/>
      <c r="I675" s="174"/>
      <c r="J675" s="174"/>
      <c r="K675" s="174"/>
      <c r="Z675" s="244"/>
    </row>
    <row r="676" spans="1:26" ht="14.25" customHeight="1">
      <c r="A676" s="7"/>
      <c r="B676" s="7"/>
      <c r="C676" s="7"/>
      <c r="D676" s="7"/>
      <c r="E676" s="174"/>
      <c r="F676" s="174"/>
      <c r="G676" s="174"/>
      <c r="H676" s="174"/>
      <c r="I676" s="174"/>
      <c r="J676" s="174"/>
      <c r="K676" s="174"/>
      <c r="Z676" s="244"/>
    </row>
    <row r="677" spans="1:26" ht="14.25" customHeight="1">
      <c r="A677" s="7"/>
      <c r="B677" s="7"/>
      <c r="C677" s="7"/>
      <c r="D677" s="7"/>
      <c r="E677" s="174"/>
      <c r="F677" s="174"/>
      <c r="G677" s="174"/>
      <c r="H677" s="174"/>
      <c r="I677" s="174"/>
      <c r="J677" s="174"/>
      <c r="K677" s="174"/>
      <c r="Z677" s="244"/>
    </row>
    <row r="678" spans="1:26" ht="14.25" customHeight="1">
      <c r="A678" s="7"/>
      <c r="B678" s="7"/>
      <c r="C678" s="7"/>
      <c r="D678" s="7"/>
      <c r="E678" s="174"/>
      <c r="F678" s="174"/>
      <c r="G678" s="174"/>
      <c r="H678" s="174"/>
      <c r="I678" s="174"/>
      <c r="J678" s="174"/>
      <c r="K678" s="174"/>
      <c r="Z678" s="244"/>
    </row>
    <row r="679" spans="1:26" ht="14.25" customHeight="1">
      <c r="A679" s="7"/>
      <c r="B679" s="7"/>
      <c r="C679" s="7"/>
      <c r="D679" s="7"/>
      <c r="E679" s="174"/>
      <c r="F679" s="174"/>
      <c r="G679" s="174"/>
      <c r="H679" s="174"/>
      <c r="I679" s="174"/>
      <c r="J679" s="174"/>
      <c r="K679" s="174"/>
      <c r="Z679" s="244"/>
    </row>
    <row r="680" spans="1:26" ht="14.25" customHeight="1">
      <c r="A680" s="7"/>
      <c r="B680" s="7"/>
      <c r="C680" s="7"/>
      <c r="D680" s="7"/>
      <c r="E680" s="174"/>
      <c r="F680" s="174"/>
      <c r="G680" s="174"/>
      <c r="H680" s="174"/>
      <c r="I680" s="174"/>
      <c r="J680" s="174"/>
      <c r="K680" s="174"/>
      <c r="Z680" s="244"/>
    </row>
    <row r="681" spans="1:26" ht="14.25" customHeight="1">
      <c r="A681" s="7"/>
      <c r="B681" s="7"/>
      <c r="C681" s="7"/>
      <c r="D681" s="7"/>
      <c r="E681" s="174"/>
      <c r="F681" s="174"/>
      <c r="G681" s="174"/>
      <c r="H681" s="174"/>
      <c r="I681" s="174"/>
      <c r="J681" s="174"/>
      <c r="K681" s="174"/>
      <c r="Z681" s="244"/>
    </row>
    <row r="682" spans="1:26" ht="14.25" customHeight="1">
      <c r="A682" s="7"/>
      <c r="B682" s="7"/>
      <c r="C682" s="7"/>
      <c r="D682" s="7"/>
      <c r="E682" s="174"/>
      <c r="F682" s="174"/>
      <c r="G682" s="174"/>
      <c r="H682" s="174"/>
      <c r="I682" s="174"/>
      <c r="J682" s="174"/>
      <c r="K682" s="174"/>
      <c r="Z682" s="244"/>
    </row>
    <row r="683" spans="1:26" ht="14.25" customHeight="1">
      <c r="A683" s="7"/>
      <c r="B683" s="7"/>
      <c r="C683" s="7"/>
      <c r="D683" s="7"/>
      <c r="E683" s="174"/>
      <c r="F683" s="174"/>
      <c r="G683" s="174"/>
      <c r="H683" s="174"/>
      <c r="I683" s="174"/>
      <c r="J683" s="174"/>
      <c r="K683" s="174"/>
      <c r="Z683" s="244"/>
    </row>
    <row r="684" spans="1:26" ht="14.25" customHeight="1">
      <c r="A684" s="7"/>
      <c r="B684" s="7"/>
      <c r="C684" s="7"/>
      <c r="D684" s="7"/>
      <c r="E684" s="174"/>
      <c r="F684" s="174"/>
      <c r="G684" s="174"/>
      <c r="H684" s="174"/>
      <c r="I684" s="174"/>
      <c r="J684" s="174"/>
      <c r="K684" s="174"/>
      <c r="Z684" s="244"/>
    </row>
    <row r="685" spans="1:26" ht="14.25" customHeight="1">
      <c r="A685" s="7"/>
      <c r="B685" s="7"/>
      <c r="C685" s="7"/>
      <c r="D685" s="7"/>
      <c r="E685" s="174"/>
      <c r="F685" s="174"/>
      <c r="G685" s="174"/>
      <c r="H685" s="174"/>
      <c r="I685" s="174"/>
      <c r="J685" s="174"/>
      <c r="K685" s="174"/>
      <c r="Z685" s="244"/>
    </row>
    <row r="686" spans="1:26" ht="14.25" customHeight="1">
      <c r="A686" s="7"/>
      <c r="B686" s="7"/>
      <c r="C686" s="7"/>
      <c r="D686" s="7"/>
      <c r="E686" s="174"/>
      <c r="F686" s="174"/>
      <c r="G686" s="174"/>
      <c r="H686" s="174"/>
      <c r="I686" s="174"/>
      <c r="J686" s="174"/>
      <c r="K686" s="174"/>
      <c r="Z686" s="244"/>
    </row>
    <row r="687" spans="1:26" ht="14.25" customHeight="1">
      <c r="A687" s="7"/>
      <c r="B687" s="7"/>
      <c r="C687" s="7"/>
      <c r="D687" s="7"/>
      <c r="E687" s="174"/>
      <c r="F687" s="174"/>
      <c r="G687" s="174"/>
      <c r="H687" s="174"/>
      <c r="I687" s="174"/>
      <c r="J687" s="174"/>
      <c r="K687" s="174"/>
      <c r="Z687" s="244"/>
    </row>
    <row r="688" spans="1:26" ht="14.25" customHeight="1">
      <c r="A688" s="7"/>
      <c r="B688" s="7"/>
      <c r="C688" s="7"/>
      <c r="D688" s="7"/>
      <c r="E688" s="174"/>
      <c r="F688" s="174"/>
      <c r="G688" s="174"/>
      <c r="H688" s="174"/>
      <c r="I688" s="174"/>
      <c r="J688" s="174"/>
      <c r="K688" s="174"/>
      <c r="Z688" s="244"/>
    </row>
    <row r="689" spans="1:26" ht="14.25" customHeight="1">
      <c r="A689" s="7"/>
      <c r="B689" s="7"/>
      <c r="C689" s="7"/>
      <c r="D689" s="7"/>
      <c r="E689" s="174"/>
      <c r="F689" s="174"/>
      <c r="G689" s="174"/>
      <c r="H689" s="174"/>
      <c r="I689" s="174"/>
      <c r="J689" s="174"/>
      <c r="K689" s="174"/>
      <c r="Z689" s="244"/>
    </row>
    <row r="690" spans="1:26" ht="14.25" customHeight="1">
      <c r="A690" s="7"/>
      <c r="B690" s="7"/>
      <c r="C690" s="7"/>
      <c r="D690" s="7"/>
      <c r="E690" s="174"/>
      <c r="F690" s="174"/>
      <c r="G690" s="174"/>
      <c r="H690" s="174"/>
      <c r="I690" s="174"/>
      <c r="J690" s="174"/>
      <c r="K690" s="174"/>
      <c r="Z690" s="244"/>
    </row>
    <row r="691" spans="1:26" ht="14.25" customHeight="1">
      <c r="A691" s="7"/>
      <c r="B691" s="7"/>
      <c r="C691" s="7"/>
      <c r="D691" s="7"/>
      <c r="E691" s="174"/>
      <c r="F691" s="174"/>
      <c r="G691" s="174"/>
      <c r="H691" s="174"/>
      <c r="I691" s="174"/>
      <c r="J691" s="174"/>
      <c r="K691" s="174"/>
      <c r="Z691" s="244"/>
    </row>
    <row r="692" spans="1:26" ht="14.25" customHeight="1">
      <c r="A692" s="7"/>
      <c r="B692" s="7"/>
      <c r="C692" s="7"/>
      <c r="D692" s="7"/>
      <c r="E692" s="174"/>
      <c r="F692" s="174"/>
      <c r="G692" s="174"/>
      <c r="H692" s="174"/>
      <c r="I692" s="174"/>
      <c r="J692" s="174"/>
      <c r="K692" s="174"/>
      <c r="Z692" s="244"/>
    </row>
    <row r="693" spans="1:26" ht="14.25" customHeight="1">
      <c r="A693" s="7"/>
      <c r="B693" s="7"/>
      <c r="C693" s="7"/>
      <c r="D693" s="7"/>
      <c r="E693" s="174"/>
      <c r="F693" s="174"/>
      <c r="G693" s="174"/>
      <c r="H693" s="174"/>
      <c r="I693" s="174"/>
      <c r="J693" s="174"/>
      <c r="K693" s="174"/>
      <c r="Z693" s="244"/>
    </row>
    <row r="694" spans="1:26" ht="14.25" customHeight="1">
      <c r="A694" s="7"/>
      <c r="B694" s="7"/>
      <c r="C694" s="7"/>
      <c r="D694" s="7"/>
      <c r="E694" s="174"/>
      <c r="F694" s="174"/>
      <c r="G694" s="174"/>
      <c r="H694" s="174"/>
      <c r="I694" s="174"/>
      <c r="J694" s="174"/>
      <c r="K694" s="174"/>
      <c r="Z694" s="244"/>
    </row>
    <row r="695" spans="1:26" ht="14.25" customHeight="1">
      <c r="A695" s="7"/>
      <c r="B695" s="7"/>
      <c r="C695" s="7"/>
      <c r="D695" s="7"/>
      <c r="E695" s="174"/>
      <c r="F695" s="174"/>
      <c r="G695" s="174"/>
      <c r="H695" s="174"/>
      <c r="I695" s="174"/>
      <c r="J695" s="174"/>
      <c r="K695" s="174"/>
      <c r="Z695" s="244"/>
    </row>
    <row r="696" spans="1:26" ht="14.25" customHeight="1">
      <c r="A696" s="7"/>
      <c r="B696" s="7"/>
      <c r="C696" s="7"/>
      <c r="D696" s="7"/>
      <c r="E696" s="174"/>
      <c r="F696" s="174"/>
      <c r="G696" s="174"/>
      <c r="H696" s="174"/>
      <c r="I696" s="174"/>
      <c r="J696" s="174"/>
      <c r="K696" s="174"/>
      <c r="Z696" s="244"/>
    </row>
    <row r="697" spans="1:26" ht="14.25" customHeight="1">
      <c r="A697" s="7"/>
      <c r="B697" s="7"/>
      <c r="C697" s="7"/>
      <c r="D697" s="7"/>
      <c r="E697" s="174"/>
      <c r="F697" s="174"/>
      <c r="G697" s="174"/>
      <c r="H697" s="174"/>
      <c r="I697" s="174"/>
      <c r="J697" s="174"/>
      <c r="K697" s="174"/>
      <c r="Z697" s="244"/>
    </row>
    <row r="698" spans="1:26" ht="14.25" customHeight="1">
      <c r="A698" s="7"/>
      <c r="B698" s="7"/>
      <c r="C698" s="7"/>
      <c r="D698" s="7"/>
      <c r="E698" s="174"/>
      <c r="F698" s="174"/>
      <c r="G698" s="174"/>
      <c r="H698" s="174"/>
      <c r="I698" s="174"/>
      <c r="J698" s="174"/>
      <c r="K698" s="174"/>
      <c r="Z698" s="244"/>
    </row>
    <row r="699" spans="1:26" ht="14.25" customHeight="1">
      <c r="A699" s="7"/>
      <c r="B699" s="7"/>
      <c r="C699" s="7"/>
      <c r="D699" s="7"/>
      <c r="E699" s="174"/>
      <c r="F699" s="174"/>
      <c r="G699" s="174"/>
      <c r="H699" s="174"/>
      <c r="I699" s="174"/>
      <c r="J699" s="174"/>
      <c r="K699" s="174"/>
      <c r="Z699" s="244"/>
    </row>
    <row r="700" spans="1:26" ht="14.25" customHeight="1">
      <c r="A700" s="7"/>
      <c r="B700" s="7"/>
      <c r="C700" s="7"/>
      <c r="D700" s="7"/>
      <c r="E700" s="174"/>
      <c r="F700" s="174"/>
      <c r="G700" s="174"/>
      <c r="H700" s="174"/>
      <c r="I700" s="174"/>
      <c r="J700" s="174"/>
      <c r="K700" s="174"/>
      <c r="Z700" s="244"/>
    </row>
    <row r="701" spans="1:26" ht="14.25" customHeight="1">
      <c r="A701" s="7"/>
      <c r="B701" s="7"/>
      <c r="C701" s="7"/>
      <c r="D701" s="7"/>
      <c r="E701" s="174"/>
      <c r="F701" s="174"/>
      <c r="G701" s="174"/>
      <c r="H701" s="174"/>
      <c r="I701" s="174"/>
      <c r="J701" s="174"/>
      <c r="K701" s="174"/>
      <c r="Z701" s="244"/>
    </row>
    <row r="702" spans="1:26" ht="14.25" customHeight="1">
      <c r="A702" s="7"/>
      <c r="B702" s="7"/>
      <c r="C702" s="7"/>
      <c r="D702" s="7"/>
      <c r="E702" s="174"/>
      <c r="F702" s="174"/>
      <c r="G702" s="174"/>
      <c r="H702" s="174"/>
      <c r="I702" s="174"/>
      <c r="J702" s="174"/>
      <c r="K702" s="174"/>
      <c r="Z702" s="244"/>
    </row>
    <row r="703" spans="1:26" ht="14.25" customHeight="1">
      <c r="A703" s="7"/>
      <c r="B703" s="7"/>
      <c r="C703" s="7"/>
      <c r="D703" s="7"/>
      <c r="E703" s="174"/>
      <c r="F703" s="174"/>
      <c r="G703" s="174"/>
      <c r="H703" s="174"/>
      <c r="I703" s="174"/>
      <c r="J703" s="174"/>
      <c r="K703" s="174"/>
      <c r="Z703" s="244"/>
    </row>
    <row r="704" spans="1:26" ht="14.25" customHeight="1">
      <c r="A704" s="7"/>
      <c r="B704" s="7"/>
      <c r="C704" s="7"/>
      <c r="D704" s="7"/>
      <c r="E704" s="174"/>
      <c r="F704" s="174"/>
      <c r="G704" s="174"/>
      <c r="H704" s="174"/>
      <c r="I704" s="174"/>
      <c r="J704" s="174"/>
      <c r="K704" s="174"/>
      <c r="Z704" s="244"/>
    </row>
    <row r="705" spans="1:26" ht="14.25" customHeight="1">
      <c r="A705" s="7"/>
      <c r="B705" s="7"/>
      <c r="C705" s="7"/>
      <c r="D705" s="7"/>
      <c r="E705" s="174"/>
      <c r="F705" s="174"/>
      <c r="G705" s="174"/>
      <c r="H705" s="174"/>
      <c r="I705" s="174"/>
      <c r="J705" s="174"/>
      <c r="K705" s="174"/>
      <c r="Z705" s="244"/>
    </row>
    <row r="706" spans="1:26" ht="14.25" customHeight="1">
      <c r="A706" s="7"/>
      <c r="B706" s="7"/>
      <c r="C706" s="7"/>
      <c r="D706" s="7"/>
      <c r="E706" s="174"/>
      <c r="F706" s="174"/>
      <c r="G706" s="174"/>
      <c r="H706" s="174"/>
      <c r="I706" s="174"/>
      <c r="J706" s="174"/>
      <c r="K706" s="174"/>
      <c r="Z706" s="244"/>
    </row>
    <row r="707" spans="1:26" ht="14.25" customHeight="1">
      <c r="A707" s="7"/>
      <c r="B707" s="7"/>
      <c r="C707" s="7"/>
      <c r="D707" s="7"/>
      <c r="E707" s="174"/>
      <c r="F707" s="174"/>
      <c r="G707" s="174"/>
      <c r="H707" s="174"/>
      <c r="I707" s="174"/>
      <c r="J707" s="174"/>
      <c r="K707" s="174"/>
      <c r="Z707" s="244"/>
    </row>
    <row r="708" spans="1:26" ht="14.25" customHeight="1">
      <c r="A708" s="7"/>
      <c r="B708" s="7"/>
      <c r="C708" s="7"/>
      <c r="D708" s="7"/>
      <c r="E708" s="174"/>
      <c r="F708" s="174"/>
      <c r="G708" s="174"/>
      <c r="H708" s="174"/>
      <c r="I708" s="174"/>
      <c r="J708" s="174"/>
      <c r="K708" s="174"/>
      <c r="Z708" s="244"/>
    </row>
    <row r="709" spans="1:26" ht="14.25" customHeight="1">
      <c r="A709" s="7"/>
      <c r="B709" s="7"/>
      <c r="C709" s="7"/>
      <c r="D709" s="7"/>
      <c r="E709" s="174"/>
      <c r="F709" s="174"/>
      <c r="G709" s="174"/>
      <c r="H709" s="174"/>
      <c r="I709" s="174"/>
      <c r="J709" s="174"/>
      <c r="K709" s="174"/>
      <c r="Z709" s="244"/>
    </row>
    <row r="710" spans="1:26" ht="14.25" customHeight="1">
      <c r="A710" s="7"/>
      <c r="B710" s="7"/>
      <c r="C710" s="7"/>
      <c r="D710" s="7"/>
      <c r="E710" s="174"/>
      <c r="F710" s="174"/>
      <c r="G710" s="174"/>
      <c r="H710" s="174"/>
      <c r="I710" s="174"/>
      <c r="J710" s="174"/>
      <c r="K710" s="174"/>
      <c r="Z710" s="244"/>
    </row>
    <row r="711" spans="1:26" ht="14.25" customHeight="1">
      <c r="A711" s="7"/>
      <c r="B711" s="7"/>
      <c r="C711" s="7"/>
      <c r="D711" s="7"/>
      <c r="E711" s="174"/>
      <c r="F711" s="174"/>
      <c r="G711" s="174"/>
      <c r="H711" s="174"/>
      <c r="I711" s="174"/>
      <c r="J711" s="174"/>
      <c r="K711" s="174"/>
      <c r="Z711" s="244"/>
    </row>
    <row r="712" spans="1:26" ht="14.25" customHeight="1">
      <c r="A712" s="7"/>
      <c r="B712" s="7"/>
      <c r="C712" s="7"/>
      <c r="D712" s="7"/>
      <c r="E712" s="174"/>
      <c r="F712" s="174"/>
      <c r="G712" s="174"/>
      <c r="H712" s="174"/>
      <c r="I712" s="174"/>
      <c r="J712" s="174"/>
      <c r="K712" s="174"/>
      <c r="Z712" s="244"/>
    </row>
    <row r="713" spans="1:26" ht="14.25" customHeight="1">
      <c r="A713" s="7"/>
      <c r="B713" s="7"/>
      <c r="C713" s="7"/>
      <c r="D713" s="7"/>
      <c r="E713" s="174"/>
      <c r="F713" s="174"/>
      <c r="G713" s="174"/>
      <c r="H713" s="174"/>
      <c r="I713" s="174"/>
      <c r="J713" s="174"/>
      <c r="K713" s="174"/>
      <c r="Z713" s="244"/>
    </row>
    <row r="714" spans="1:26" ht="14.25" customHeight="1">
      <c r="A714" s="7"/>
      <c r="B714" s="7"/>
      <c r="C714" s="7"/>
      <c r="D714" s="7"/>
      <c r="E714" s="174"/>
      <c r="F714" s="174"/>
      <c r="G714" s="174"/>
      <c r="H714" s="174"/>
      <c r="I714" s="174"/>
      <c r="J714" s="174"/>
      <c r="K714" s="174"/>
      <c r="Z714" s="244"/>
    </row>
    <row r="715" spans="1:26" ht="14.25" customHeight="1">
      <c r="A715" s="7"/>
      <c r="B715" s="7"/>
      <c r="C715" s="7"/>
      <c r="D715" s="7"/>
      <c r="E715" s="174"/>
      <c r="F715" s="174"/>
      <c r="G715" s="174"/>
      <c r="H715" s="174"/>
      <c r="I715" s="174"/>
      <c r="J715" s="174"/>
      <c r="K715" s="174"/>
      <c r="Z715" s="244"/>
    </row>
    <row r="716" spans="1:26" ht="14.25" customHeight="1">
      <c r="A716" s="7"/>
      <c r="B716" s="7"/>
      <c r="C716" s="7"/>
      <c r="D716" s="7"/>
      <c r="E716" s="174"/>
      <c r="F716" s="174"/>
      <c r="G716" s="174"/>
      <c r="H716" s="174"/>
      <c r="I716" s="174"/>
      <c r="J716" s="174"/>
      <c r="K716" s="174"/>
      <c r="Z716" s="244"/>
    </row>
    <row r="717" spans="1:26" ht="14.25" customHeight="1">
      <c r="A717" s="7"/>
      <c r="B717" s="7"/>
      <c r="C717" s="7"/>
      <c r="D717" s="7"/>
      <c r="E717" s="174"/>
      <c r="F717" s="174"/>
      <c r="G717" s="174"/>
      <c r="H717" s="174"/>
      <c r="I717" s="174"/>
      <c r="J717" s="174"/>
      <c r="K717" s="174"/>
      <c r="Z717" s="244"/>
    </row>
    <row r="718" spans="1:26" ht="14.25" customHeight="1">
      <c r="A718" s="7"/>
      <c r="B718" s="7"/>
      <c r="C718" s="7"/>
      <c r="D718" s="7"/>
      <c r="E718" s="174"/>
      <c r="F718" s="174"/>
      <c r="G718" s="174"/>
      <c r="H718" s="174"/>
      <c r="I718" s="174"/>
      <c r="J718" s="174"/>
      <c r="K718" s="174"/>
      <c r="Z718" s="244"/>
    </row>
    <row r="719" spans="1:26" ht="14.25" customHeight="1">
      <c r="A719" s="7"/>
      <c r="B719" s="7"/>
      <c r="C719" s="7"/>
      <c r="D719" s="7"/>
      <c r="E719" s="174"/>
      <c r="F719" s="174"/>
      <c r="G719" s="174"/>
      <c r="H719" s="174"/>
      <c r="I719" s="174"/>
      <c r="J719" s="174"/>
      <c r="K719" s="174"/>
      <c r="Z719" s="244"/>
    </row>
    <row r="720" spans="1:26" ht="14.25" customHeight="1">
      <c r="A720" s="7"/>
      <c r="B720" s="7"/>
      <c r="C720" s="7"/>
      <c r="D720" s="7"/>
      <c r="E720" s="174"/>
      <c r="F720" s="174"/>
      <c r="G720" s="174"/>
      <c r="H720" s="174"/>
      <c r="I720" s="174"/>
      <c r="J720" s="174"/>
      <c r="K720" s="174"/>
      <c r="Z720" s="244"/>
    </row>
    <row r="721" spans="1:26" ht="14.25" customHeight="1">
      <c r="A721" s="7"/>
      <c r="B721" s="7"/>
      <c r="C721" s="7"/>
      <c r="D721" s="7"/>
      <c r="E721" s="174"/>
      <c r="F721" s="174"/>
      <c r="G721" s="174"/>
      <c r="H721" s="174"/>
      <c r="I721" s="174"/>
      <c r="J721" s="174"/>
      <c r="K721" s="174"/>
      <c r="Z721" s="244"/>
    </row>
    <row r="722" spans="1:26" ht="14.25" customHeight="1">
      <c r="A722" s="7"/>
      <c r="B722" s="7"/>
      <c r="C722" s="7"/>
      <c r="D722" s="7"/>
      <c r="E722" s="174"/>
      <c r="F722" s="174"/>
      <c r="G722" s="174"/>
      <c r="H722" s="174"/>
      <c r="I722" s="174"/>
      <c r="J722" s="174"/>
      <c r="K722" s="174"/>
      <c r="Z722" s="244"/>
    </row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E11:X11">
    <cfRule type="containsText" dxfId="21" priority="1" operator="containsText" text="điện biên">
      <formula>NOT(ISERROR(SEARCH(("điện biên"),(E11))))</formula>
    </cfRule>
  </conditionalFormatting>
  <conditionalFormatting sqref="Y11:Z11">
    <cfRule type="containsText" dxfId="20" priority="2" operator="containsText" text="&quot;quảng ngãi&quot;">
      <formula>NOT(ISERROR(SEARCH(("""quảng ngãi"""),(Y11))))</formula>
    </cfRule>
  </conditionalFormatting>
  <conditionalFormatting sqref="AI17:AI447">
    <cfRule type="cellIs" dxfId="19" priority="3" operator="lessThan">
      <formula>0</formula>
    </cfRule>
  </conditionalFormatting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6" width="14.453125" customWidth="1"/>
  </cols>
  <sheetData>
    <row r="1" spans="1:31" ht="24.75" hidden="1" customHeight="1">
      <c r="A1" s="397" t="s">
        <v>0</v>
      </c>
      <c r="B1" s="398"/>
      <c r="C1" s="398"/>
      <c r="D1" s="399"/>
    </row>
    <row r="2" spans="1:31" ht="33" hidden="1" customHeight="1">
      <c r="A2" s="792" t="s">
        <v>1</v>
      </c>
      <c r="B2" s="793"/>
      <c r="C2" s="791"/>
      <c r="D2" s="399"/>
    </row>
    <row r="3" spans="1:31" ht="23.25" hidden="1" customHeight="1">
      <c r="A3" s="794" t="s">
        <v>2</v>
      </c>
      <c r="B3" s="793"/>
      <c r="C3" s="791"/>
      <c r="D3" s="399"/>
    </row>
    <row r="4" spans="1:31" ht="39.75" customHeight="1">
      <c r="A4" s="803" t="s">
        <v>1537</v>
      </c>
      <c r="B4" s="793"/>
      <c r="C4" s="793"/>
      <c r="D4" s="791"/>
    </row>
    <row r="5" spans="1:31" ht="33.75" hidden="1" customHeight="1">
      <c r="A5" s="796" t="e">
        <f>+'[1]Phu luc 01- Danh sach bieu mau'!A3:C3</f>
        <v>#REF!</v>
      </c>
      <c r="B5" s="793"/>
      <c r="C5" s="793"/>
      <c r="D5" s="791"/>
    </row>
    <row r="6" spans="1:31" ht="21" hidden="1" customHeight="1">
      <c r="A6" s="804" t="s">
        <v>1338</v>
      </c>
      <c r="B6" s="793"/>
      <c r="C6" s="793"/>
      <c r="D6" s="791"/>
    </row>
    <row r="7" spans="1:31" ht="18.75" hidden="1" customHeight="1">
      <c r="A7" s="244"/>
      <c r="B7" s="401"/>
      <c r="C7" s="564" t="s">
        <v>1339</v>
      </c>
      <c r="D7" s="403"/>
    </row>
    <row r="8" spans="1:31" ht="14.25" hidden="1" customHeight="1">
      <c r="A8" s="244"/>
      <c r="B8" s="404"/>
      <c r="C8" s="564" t="s">
        <v>1340</v>
      </c>
      <c r="D8" s="405"/>
    </row>
    <row r="9" spans="1:31" ht="14.25" hidden="1" customHeight="1">
      <c r="A9" s="244"/>
      <c r="B9" s="404"/>
      <c r="C9" s="798" t="s">
        <v>1341</v>
      </c>
      <c r="D9" s="791"/>
    </row>
    <row r="10" spans="1:31" ht="25.5" customHeight="1">
      <c r="A10" s="568"/>
      <c r="B10" s="569"/>
      <c r="C10" s="570"/>
      <c r="D10" s="571"/>
    </row>
    <row r="11" spans="1:31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13</v>
      </c>
      <c r="F11" s="414" t="s">
        <v>13</v>
      </c>
      <c r="G11" s="414" t="s">
        <v>13</v>
      </c>
      <c r="H11" s="20" t="s">
        <v>13</v>
      </c>
      <c r="I11" s="22" t="s">
        <v>13</v>
      </c>
      <c r="J11" s="289" t="s">
        <v>13</v>
      </c>
      <c r="K11" s="22" t="s">
        <v>13</v>
      </c>
      <c r="L11" s="289" t="s">
        <v>13</v>
      </c>
      <c r="M11" s="22" t="s">
        <v>13</v>
      </c>
      <c r="N11" s="22" t="s">
        <v>13</v>
      </c>
      <c r="O11" s="22" t="s">
        <v>13</v>
      </c>
      <c r="P11" s="289" t="s">
        <v>13</v>
      </c>
      <c r="Q11" s="22"/>
      <c r="R11" s="576" t="s">
        <v>38</v>
      </c>
      <c r="S11" s="577"/>
      <c r="T11" s="535"/>
      <c r="U11" s="535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 ht="29.25" customHeight="1">
      <c r="A12" s="578"/>
      <c r="B12" s="430"/>
      <c r="C12" s="579" t="s">
        <v>39</v>
      </c>
      <c r="D12" s="186"/>
      <c r="E12" s="29">
        <v>1</v>
      </c>
      <c r="F12" s="293">
        <v>1</v>
      </c>
      <c r="G12" s="185">
        <v>1</v>
      </c>
      <c r="H12" s="580">
        <v>1</v>
      </c>
      <c r="I12" s="29">
        <v>1</v>
      </c>
      <c r="J12" s="187">
        <v>1</v>
      </c>
      <c r="K12" s="29">
        <v>1</v>
      </c>
      <c r="L12" s="190">
        <v>1</v>
      </c>
      <c r="M12" s="29">
        <v>1</v>
      </c>
      <c r="N12" s="29">
        <v>1</v>
      </c>
      <c r="O12" s="29">
        <v>1</v>
      </c>
      <c r="P12" s="190">
        <v>1</v>
      </c>
      <c r="Q12" s="29"/>
      <c r="R12" s="581">
        <f>SUM(E12:Q12)</f>
        <v>12</v>
      </c>
      <c r="S12" s="582"/>
      <c r="T12" s="582"/>
      <c r="U12" s="582"/>
      <c r="V12" s="7"/>
      <c r="W12" s="7"/>
      <c r="X12" s="7"/>
      <c r="Y12" s="7">
        <v>6</v>
      </c>
      <c r="Z12" s="7"/>
      <c r="AA12" s="7"/>
      <c r="AB12" s="7"/>
      <c r="AC12" s="7"/>
      <c r="AD12" s="7"/>
      <c r="AE12" s="7"/>
    </row>
    <row r="13" spans="1:31" ht="37.5" customHeight="1">
      <c r="A13" s="583"/>
      <c r="B13" s="584"/>
      <c r="C13" s="585" t="s">
        <v>40</v>
      </c>
      <c r="D13" s="584"/>
      <c r="E13" s="189" t="s">
        <v>2223</v>
      </c>
      <c r="F13" s="189" t="s">
        <v>2100</v>
      </c>
      <c r="G13" s="40" t="s">
        <v>2224</v>
      </c>
      <c r="H13" s="586" t="s">
        <v>2225</v>
      </c>
      <c r="I13" s="189">
        <v>44688</v>
      </c>
      <c r="J13" s="710" t="s">
        <v>1757</v>
      </c>
      <c r="K13" s="32" t="s">
        <v>2226</v>
      </c>
      <c r="L13" s="190"/>
      <c r="M13" s="189" t="s">
        <v>2227</v>
      </c>
      <c r="N13" s="189" t="s">
        <v>1761</v>
      </c>
      <c r="O13" s="189" t="s">
        <v>1904</v>
      </c>
      <c r="P13" s="189" t="s">
        <v>2228</v>
      </c>
      <c r="Q13" s="189"/>
      <c r="R13" s="581"/>
      <c r="S13" s="591"/>
      <c r="T13" s="582"/>
      <c r="U13" s="591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31" ht="53.25" customHeight="1">
      <c r="A14" s="578"/>
      <c r="B14" s="430"/>
      <c r="C14" s="579" t="s">
        <v>41</v>
      </c>
      <c r="D14" s="430"/>
      <c r="E14" s="30" t="s">
        <v>2229</v>
      </c>
      <c r="F14" s="185"/>
      <c r="G14" s="185"/>
      <c r="H14" s="186"/>
      <c r="I14" s="30" t="s">
        <v>2229</v>
      </c>
      <c r="J14" s="190"/>
      <c r="K14" s="30"/>
      <c r="L14" s="714"/>
      <c r="M14" s="30"/>
      <c r="N14" s="30"/>
      <c r="O14" s="30"/>
      <c r="P14" s="190"/>
      <c r="Q14" s="30"/>
      <c r="R14" s="581"/>
      <c r="S14" s="582"/>
      <c r="T14" s="582"/>
      <c r="U14" s="582"/>
      <c r="V14" s="7"/>
      <c r="W14" s="7"/>
      <c r="X14" s="7"/>
      <c r="Y14" s="7"/>
      <c r="Z14" s="7"/>
      <c r="AA14" s="7"/>
      <c r="AB14" s="7"/>
      <c r="AC14" s="7"/>
      <c r="AD14" s="7"/>
      <c r="AE14" s="7"/>
    </row>
    <row r="15" spans="1:31" ht="51" customHeight="1">
      <c r="A15" s="578"/>
      <c r="B15" s="430"/>
      <c r="C15" s="579" t="s">
        <v>42</v>
      </c>
      <c r="D15" s="430"/>
      <c r="E15" s="30" t="s">
        <v>1394</v>
      </c>
      <c r="F15" s="191" t="s">
        <v>2230</v>
      </c>
      <c r="G15" s="191" t="s">
        <v>1973</v>
      </c>
      <c r="H15" s="186" t="s">
        <v>2231</v>
      </c>
      <c r="I15" s="30" t="s">
        <v>2232</v>
      </c>
      <c r="J15" s="190" t="s">
        <v>1885</v>
      </c>
      <c r="K15" s="30" t="s">
        <v>2233</v>
      </c>
      <c r="L15" s="190" t="s">
        <v>2162</v>
      </c>
      <c r="M15" s="30" t="s">
        <v>2162</v>
      </c>
      <c r="N15" s="30" t="s">
        <v>2231</v>
      </c>
      <c r="O15" s="30" t="s">
        <v>2234</v>
      </c>
      <c r="P15" s="30" t="s">
        <v>2162</v>
      </c>
      <c r="Q15" s="30"/>
      <c r="R15" s="576"/>
      <c r="S15" s="582"/>
      <c r="T15" s="582"/>
      <c r="U15" s="582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 ht="30.75" customHeight="1">
      <c r="A16" s="579"/>
      <c r="B16" s="186"/>
      <c r="C16" s="579" t="s">
        <v>43</v>
      </c>
      <c r="D16" s="186"/>
      <c r="E16" s="34"/>
      <c r="F16" s="193"/>
      <c r="G16" s="193"/>
      <c r="H16" s="354" t="s">
        <v>2235</v>
      </c>
      <c r="I16" s="34" t="s">
        <v>2236</v>
      </c>
      <c r="J16" s="194"/>
      <c r="K16" s="34" t="s">
        <v>2237</v>
      </c>
      <c r="L16" s="190" t="s">
        <v>2238</v>
      </c>
      <c r="M16" s="34"/>
      <c r="N16" s="34"/>
      <c r="O16" s="34"/>
      <c r="P16" s="194"/>
      <c r="Q16" s="34"/>
      <c r="R16" s="598"/>
      <c r="S16" s="599"/>
      <c r="T16" s="599"/>
      <c r="U16" s="599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 ht="33.75" customHeight="1">
      <c r="A17" s="583"/>
      <c r="B17" s="584"/>
      <c r="C17" s="585" t="s">
        <v>70</v>
      </c>
      <c r="D17" s="584"/>
      <c r="E17" s="32" t="s">
        <v>2009</v>
      </c>
      <c r="F17" s="189" t="s">
        <v>2100</v>
      </c>
      <c r="G17" s="32" t="s">
        <v>2239</v>
      </c>
      <c r="H17" s="586" t="s">
        <v>1569</v>
      </c>
      <c r="I17" s="189">
        <v>44719</v>
      </c>
      <c r="J17" s="710" t="s">
        <v>1782</v>
      </c>
      <c r="K17" s="32" t="s">
        <v>2240</v>
      </c>
      <c r="L17" s="32" t="s">
        <v>2186</v>
      </c>
      <c r="M17" s="32" t="s">
        <v>2241</v>
      </c>
      <c r="N17" s="189" t="s">
        <v>1761</v>
      </c>
      <c r="O17" s="189" t="s">
        <v>2187</v>
      </c>
      <c r="P17" s="189">
        <v>44901</v>
      </c>
      <c r="Q17" s="189"/>
      <c r="R17" s="581"/>
      <c r="S17" s="591"/>
      <c r="T17" s="591"/>
      <c r="U17" s="591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spans="1:31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196"/>
      <c r="I18" s="196"/>
      <c r="J18" s="198"/>
      <c r="K18" s="43"/>
      <c r="L18" s="605"/>
      <c r="M18" s="43"/>
      <c r="N18" s="43"/>
      <c r="O18" s="43"/>
      <c r="P18" s="198"/>
      <c r="Q18" s="302"/>
      <c r="R18" s="607"/>
      <c r="S18" s="608"/>
      <c r="T18" s="609"/>
      <c r="U18" s="609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spans="1:31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2"/>
      <c r="I19" s="202"/>
      <c r="J19" s="204"/>
      <c r="K19" s="201"/>
      <c r="L19" s="614"/>
      <c r="M19" s="201"/>
      <c r="N19" s="201"/>
      <c r="O19" s="201"/>
      <c r="P19" s="204"/>
      <c r="Q19" s="21"/>
      <c r="R19" s="616"/>
      <c r="S19" s="617"/>
      <c r="T19" s="577"/>
      <c r="U19" s="577"/>
      <c r="V19" s="7"/>
      <c r="W19" s="363"/>
      <c r="X19" s="7"/>
      <c r="Y19" s="618">
        <f t="shared" ref="Y19:Y29" si="0">W19-R19</f>
        <v>0</v>
      </c>
      <c r="Z19" s="7"/>
      <c r="AA19" s="7"/>
      <c r="AB19" s="7"/>
      <c r="AC19" s="7"/>
      <c r="AD19" s="7"/>
      <c r="AE19" s="7"/>
    </row>
    <row r="20" spans="1:31" ht="20.25" customHeight="1">
      <c r="A20" s="474"/>
      <c r="B20" s="475" t="s">
        <v>89</v>
      </c>
      <c r="C20" s="619" t="s">
        <v>90</v>
      </c>
      <c r="D20" s="416" t="s">
        <v>91</v>
      </c>
      <c r="E20" s="715">
        <v>1</v>
      </c>
      <c r="F20" s="209"/>
      <c r="G20" s="209"/>
      <c r="H20" s="210"/>
      <c r="I20" s="210">
        <v>4</v>
      </c>
      <c r="J20" s="211"/>
      <c r="K20" s="209">
        <v>1</v>
      </c>
      <c r="L20" s="623"/>
      <c r="M20" s="731">
        <v>1</v>
      </c>
      <c r="N20" s="209"/>
      <c r="O20" s="209"/>
      <c r="P20" s="365">
        <v>1</v>
      </c>
      <c r="Q20" s="215"/>
      <c r="R20" s="625">
        <f t="shared" ref="R20:R274" si="1">+SUM(E20:Q20)</f>
        <v>8</v>
      </c>
      <c r="S20" s="626"/>
      <c r="T20" s="627"/>
      <c r="U20" s="627"/>
      <c r="V20" s="7"/>
      <c r="W20" s="723">
        <v>8</v>
      </c>
      <c r="X20" s="7"/>
      <c r="Y20" s="618">
        <f t="shared" si="0"/>
        <v>0</v>
      </c>
      <c r="Z20" s="7"/>
      <c r="AA20" s="7"/>
      <c r="AB20" s="7"/>
      <c r="AC20" s="7"/>
      <c r="AD20" s="7"/>
      <c r="AE20" s="7"/>
    </row>
    <row r="21" spans="1:31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4"/>
      <c r="I21" s="214"/>
      <c r="J21" s="215"/>
      <c r="K21" s="213"/>
      <c r="L21" s="632"/>
      <c r="M21" s="213"/>
      <c r="N21" s="213"/>
      <c r="O21" s="213"/>
      <c r="P21" s="215"/>
      <c r="Q21" s="215"/>
      <c r="R21" s="616">
        <f t="shared" si="1"/>
        <v>0</v>
      </c>
      <c r="S21" s="633"/>
      <c r="T21" s="634"/>
      <c r="U21" s="634"/>
      <c r="V21" s="7"/>
      <c r="W21" s="699"/>
      <c r="X21" s="7"/>
      <c r="Y21" s="618">
        <f t="shared" si="0"/>
        <v>0</v>
      </c>
      <c r="Z21" s="7"/>
      <c r="AA21" s="7"/>
      <c r="AB21" s="7"/>
      <c r="AC21" s="7"/>
      <c r="AD21" s="7"/>
      <c r="AE21" s="7"/>
    </row>
    <row r="22" spans="1:31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4"/>
      <c r="I22" s="214"/>
      <c r="J22" s="215"/>
      <c r="K22" s="213"/>
      <c r="L22" s="632"/>
      <c r="M22" s="213"/>
      <c r="N22" s="213"/>
      <c r="O22" s="213"/>
      <c r="P22" s="215"/>
      <c r="Q22" s="215"/>
      <c r="R22" s="616">
        <f t="shared" si="1"/>
        <v>0</v>
      </c>
      <c r="S22" s="633"/>
      <c r="T22" s="634"/>
      <c r="U22" s="634"/>
      <c r="V22" s="7"/>
      <c r="W22" s="699"/>
      <c r="X22" s="7"/>
      <c r="Y22" s="618">
        <f t="shared" si="0"/>
        <v>0</v>
      </c>
      <c r="Z22" s="7"/>
      <c r="AA22" s="7"/>
      <c r="AB22" s="7"/>
      <c r="AC22" s="7"/>
      <c r="AD22" s="7"/>
      <c r="AE22" s="7"/>
    </row>
    <row r="23" spans="1:31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4"/>
      <c r="I23" s="214"/>
      <c r="J23" s="215"/>
      <c r="K23" s="213"/>
      <c r="L23" s="632"/>
      <c r="M23" s="213"/>
      <c r="N23" s="213"/>
      <c r="O23" s="213"/>
      <c r="P23" s="215"/>
      <c r="Q23" s="215"/>
      <c r="R23" s="616">
        <f t="shared" si="1"/>
        <v>0</v>
      </c>
      <c r="S23" s="633"/>
      <c r="T23" s="634"/>
      <c r="U23" s="634"/>
      <c r="V23" s="7"/>
      <c r="W23" s="699"/>
      <c r="X23" s="7"/>
      <c r="Y23" s="618">
        <f t="shared" si="0"/>
        <v>0</v>
      </c>
      <c r="Z23" s="7"/>
      <c r="AA23" s="7"/>
      <c r="AB23" s="7"/>
      <c r="AC23" s="7"/>
      <c r="AD23" s="7"/>
      <c r="AE23" s="7"/>
    </row>
    <row r="24" spans="1:31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4"/>
      <c r="I24" s="214"/>
      <c r="J24" s="215"/>
      <c r="K24" s="213"/>
      <c r="L24" s="632"/>
      <c r="M24" s="213"/>
      <c r="N24" s="213"/>
      <c r="O24" s="213"/>
      <c r="P24" s="215"/>
      <c r="Q24" s="215"/>
      <c r="R24" s="616">
        <f t="shared" si="1"/>
        <v>0</v>
      </c>
      <c r="S24" s="633"/>
      <c r="T24" s="634"/>
      <c r="U24" s="634"/>
      <c r="V24" s="7"/>
      <c r="W24" s="699"/>
      <c r="X24" s="7"/>
      <c r="Y24" s="618">
        <f t="shared" si="0"/>
        <v>0</v>
      </c>
      <c r="Z24" s="7"/>
      <c r="AA24" s="7"/>
      <c r="AB24" s="7"/>
      <c r="AC24" s="7"/>
      <c r="AD24" s="7"/>
      <c r="AE24" s="7"/>
    </row>
    <row r="25" spans="1:31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10"/>
      <c r="I25" s="210"/>
      <c r="J25" s="211"/>
      <c r="K25" s="731"/>
      <c r="L25" s="623"/>
      <c r="M25" s="209"/>
      <c r="N25" s="209"/>
      <c r="O25" s="209"/>
      <c r="P25" s="211"/>
      <c r="Q25" s="215"/>
      <c r="R25" s="625">
        <f t="shared" si="1"/>
        <v>0</v>
      </c>
      <c r="S25" s="626"/>
      <c r="T25" s="627"/>
      <c r="U25" s="627"/>
      <c r="V25" s="7"/>
      <c r="W25" s="699"/>
      <c r="X25" s="7"/>
      <c r="Y25" s="618">
        <f t="shared" si="0"/>
        <v>0</v>
      </c>
      <c r="Z25" s="7"/>
      <c r="AA25" s="7"/>
      <c r="AB25" s="7"/>
      <c r="AC25" s="7"/>
      <c r="AD25" s="7"/>
      <c r="AE25" s="7"/>
    </row>
    <row r="26" spans="1:31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4"/>
      <c r="I26" s="214"/>
      <c r="J26" s="215"/>
      <c r="K26" s="213"/>
      <c r="L26" s="632"/>
      <c r="M26" s="213"/>
      <c r="N26" s="213"/>
      <c r="O26" s="213"/>
      <c r="P26" s="215"/>
      <c r="Q26" s="215"/>
      <c r="R26" s="616">
        <f t="shared" si="1"/>
        <v>0</v>
      </c>
      <c r="S26" s="633"/>
      <c r="T26" s="634"/>
      <c r="U26" s="634"/>
      <c r="V26" s="7"/>
      <c r="W26" s="699"/>
      <c r="X26" s="7"/>
      <c r="Y26" s="618">
        <f t="shared" si="0"/>
        <v>0</v>
      </c>
      <c r="Z26" s="7"/>
      <c r="AA26" s="7"/>
      <c r="AB26" s="7"/>
      <c r="AC26" s="7"/>
      <c r="AD26" s="7"/>
      <c r="AE26" s="7"/>
    </row>
    <row r="27" spans="1:31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4"/>
      <c r="I27" s="214"/>
      <c r="J27" s="215"/>
      <c r="K27" s="213"/>
      <c r="L27" s="632"/>
      <c r="M27" s="213"/>
      <c r="N27" s="213"/>
      <c r="O27" s="213"/>
      <c r="P27" s="215"/>
      <c r="Q27" s="215"/>
      <c r="R27" s="616">
        <f t="shared" si="1"/>
        <v>0</v>
      </c>
      <c r="S27" s="633"/>
      <c r="T27" s="634"/>
      <c r="U27" s="634"/>
      <c r="V27" s="7"/>
      <c r="W27" s="699"/>
      <c r="X27" s="7"/>
      <c r="Y27" s="618">
        <f t="shared" si="0"/>
        <v>0</v>
      </c>
      <c r="Z27" s="7"/>
      <c r="AA27" s="7"/>
      <c r="AB27" s="7"/>
      <c r="AC27" s="7"/>
      <c r="AD27" s="7"/>
      <c r="AE27" s="7"/>
    </row>
    <row r="28" spans="1:31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4"/>
      <c r="I28" s="214"/>
      <c r="J28" s="215"/>
      <c r="K28" s="213"/>
      <c r="L28" s="632"/>
      <c r="M28" s="213"/>
      <c r="N28" s="213"/>
      <c r="O28" s="213"/>
      <c r="P28" s="215"/>
      <c r="Q28" s="215"/>
      <c r="R28" s="616">
        <f t="shared" si="1"/>
        <v>0</v>
      </c>
      <c r="S28" s="633"/>
      <c r="T28" s="634"/>
      <c r="U28" s="634"/>
      <c r="V28" s="7"/>
      <c r="W28" s="699"/>
      <c r="X28" s="7"/>
      <c r="Y28" s="618">
        <f t="shared" si="0"/>
        <v>0</v>
      </c>
      <c r="Z28" s="7"/>
      <c r="AA28" s="7"/>
      <c r="AB28" s="7"/>
      <c r="AC28" s="7"/>
      <c r="AD28" s="7"/>
      <c r="AE28" s="7"/>
    </row>
    <row r="29" spans="1:31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4"/>
      <c r="I29" s="214"/>
      <c r="J29" s="215"/>
      <c r="K29" s="213"/>
      <c r="L29" s="632"/>
      <c r="M29" s="213"/>
      <c r="N29" s="213"/>
      <c r="O29" s="213"/>
      <c r="P29" s="215"/>
      <c r="Q29" s="215"/>
      <c r="R29" s="616">
        <f t="shared" si="1"/>
        <v>0</v>
      </c>
      <c r="S29" s="633"/>
      <c r="T29" s="634"/>
      <c r="U29" s="634"/>
      <c r="V29" s="7"/>
      <c r="W29" s="699"/>
      <c r="X29" s="7"/>
      <c r="Y29" s="618">
        <f t="shared" si="0"/>
        <v>0</v>
      </c>
      <c r="Z29" s="7"/>
      <c r="AA29" s="7"/>
      <c r="AB29" s="7"/>
      <c r="AC29" s="7"/>
      <c r="AD29" s="7"/>
      <c r="AE29" s="7"/>
    </row>
    <row r="30" spans="1:31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10"/>
      <c r="I30" s="210"/>
      <c r="J30" s="211"/>
      <c r="K30" s="209"/>
      <c r="L30" s="623"/>
      <c r="M30" s="209"/>
      <c r="N30" s="209"/>
      <c r="O30" s="209"/>
      <c r="P30" s="211"/>
      <c r="Q30" s="215"/>
      <c r="R30" s="625">
        <f t="shared" si="1"/>
        <v>0</v>
      </c>
      <c r="S30" s="626"/>
      <c r="T30" s="627"/>
      <c r="U30" s="627"/>
      <c r="V30" s="7"/>
      <c r="W30" s="699"/>
      <c r="X30" s="7"/>
      <c r="Y30" s="618"/>
      <c r="Z30" s="7"/>
      <c r="AA30" s="7"/>
      <c r="AB30" s="7"/>
      <c r="AC30" s="7"/>
      <c r="AD30" s="7"/>
      <c r="AE30" s="7"/>
    </row>
    <row r="31" spans="1:31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4"/>
      <c r="I31" s="214"/>
      <c r="J31" s="215"/>
      <c r="K31" s="213"/>
      <c r="L31" s="632"/>
      <c r="M31" s="213"/>
      <c r="N31" s="213"/>
      <c r="O31" s="213"/>
      <c r="P31" s="215"/>
      <c r="Q31" s="215"/>
      <c r="R31" s="616">
        <f t="shared" si="1"/>
        <v>0</v>
      </c>
      <c r="S31" s="633"/>
      <c r="T31" s="634"/>
      <c r="U31" s="634"/>
      <c r="V31" s="7"/>
      <c r="W31" s="699"/>
      <c r="X31" s="7"/>
      <c r="Y31" s="618">
        <f t="shared" ref="Y31:Y36" si="2">W31-R31</f>
        <v>0</v>
      </c>
      <c r="Z31" s="7"/>
      <c r="AA31" s="7"/>
      <c r="AB31" s="7"/>
      <c r="AC31" s="7"/>
      <c r="AD31" s="7"/>
      <c r="AE31" s="7"/>
    </row>
    <row r="32" spans="1:31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4"/>
      <c r="I32" s="214"/>
      <c r="J32" s="215"/>
      <c r="K32" s="213"/>
      <c r="L32" s="632"/>
      <c r="M32" s="213"/>
      <c r="N32" s="213"/>
      <c r="O32" s="213"/>
      <c r="P32" s="215"/>
      <c r="Q32" s="215"/>
      <c r="R32" s="616">
        <f t="shared" si="1"/>
        <v>0</v>
      </c>
      <c r="S32" s="633"/>
      <c r="T32" s="634"/>
      <c r="U32" s="634"/>
      <c r="V32" s="7"/>
      <c r="W32" s="699"/>
      <c r="X32" s="7"/>
      <c r="Y32" s="618">
        <f t="shared" si="2"/>
        <v>0</v>
      </c>
      <c r="Z32" s="7"/>
      <c r="AA32" s="7"/>
      <c r="AB32" s="7"/>
      <c r="AC32" s="7"/>
      <c r="AD32" s="7"/>
      <c r="AE32" s="7"/>
    </row>
    <row r="33" spans="1:31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4"/>
      <c r="I33" s="214"/>
      <c r="J33" s="215"/>
      <c r="K33" s="213"/>
      <c r="L33" s="632"/>
      <c r="M33" s="213"/>
      <c r="N33" s="213"/>
      <c r="O33" s="213"/>
      <c r="P33" s="215"/>
      <c r="Q33" s="215"/>
      <c r="R33" s="616">
        <f t="shared" si="1"/>
        <v>0</v>
      </c>
      <c r="S33" s="633"/>
      <c r="T33" s="634"/>
      <c r="U33" s="634"/>
      <c r="V33" s="7"/>
      <c r="W33" s="699"/>
      <c r="X33" s="7"/>
      <c r="Y33" s="618">
        <f t="shared" si="2"/>
        <v>0</v>
      </c>
      <c r="Z33" s="7"/>
      <c r="AA33" s="7"/>
      <c r="AB33" s="7"/>
      <c r="AC33" s="7"/>
      <c r="AD33" s="7"/>
      <c r="AE33" s="7"/>
    </row>
    <row r="34" spans="1:31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4"/>
      <c r="I34" s="214"/>
      <c r="J34" s="215"/>
      <c r="K34" s="213"/>
      <c r="L34" s="632"/>
      <c r="M34" s="213"/>
      <c r="N34" s="213"/>
      <c r="O34" s="213"/>
      <c r="P34" s="215"/>
      <c r="Q34" s="215"/>
      <c r="R34" s="616">
        <f t="shared" si="1"/>
        <v>0</v>
      </c>
      <c r="S34" s="633"/>
      <c r="T34" s="634"/>
      <c r="U34" s="634"/>
      <c r="V34" s="7"/>
      <c r="W34" s="699"/>
      <c r="X34" s="7"/>
      <c r="Y34" s="618">
        <f t="shared" si="2"/>
        <v>0</v>
      </c>
      <c r="Z34" s="7"/>
      <c r="AA34" s="7"/>
      <c r="AB34" s="7"/>
      <c r="AC34" s="7"/>
      <c r="AD34" s="7"/>
      <c r="AE34" s="7"/>
    </row>
    <row r="35" spans="1:31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4"/>
      <c r="I35" s="214"/>
      <c r="J35" s="215"/>
      <c r="K35" s="213"/>
      <c r="L35" s="632"/>
      <c r="M35" s="213"/>
      <c r="N35" s="213"/>
      <c r="O35" s="213"/>
      <c r="P35" s="215"/>
      <c r="Q35" s="215"/>
      <c r="R35" s="616">
        <f t="shared" si="1"/>
        <v>0</v>
      </c>
      <c r="S35" s="633"/>
      <c r="T35" s="636"/>
      <c r="U35" s="636"/>
      <c r="V35" s="7"/>
      <c r="W35" s="699"/>
      <c r="X35" s="7"/>
      <c r="Y35" s="618">
        <f t="shared" si="2"/>
        <v>0</v>
      </c>
      <c r="Z35" s="7"/>
      <c r="AA35" s="7"/>
      <c r="AB35" s="7"/>
      <c r="AC35" s="7"/>
      <c r="AD35" s="7"/>
      <c r="AE35" s="7"/>
    </row>
    <row r="36" spans="1:31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4"/>
      <c r="I36" s="214"/>
      <c r="J36" s="215"/>
      <c r="K36" s="213"/>
      <c r="L36" s="632"/>
      <c r="M36" s="213"/>
      <c r="N36" s="213"/>
      <c r="O36" s="213"/>
      <c r="P36" s="215"/>
      <c r="Q36" s="215"/>
      <c r="R36" s="616">
        <f t="shared" si="1"/>
        <v>0</v>
      </c>
      <c r="S36" s="633"/>
      <c r="T36" s="547" t="s">
        <v>1576</v>
      </c>
      <c r="U36" s="636"/>
      <c r="V36" s="7"/>
      <c r="W36" s="699"/>
      <c r="X36" s="7"/>
      <c r="Y36" s="618">
        <f t="shared" si="2"/>
        <v>0</v>
      </c>
      <c r="Z36" s="7"/>
      <c r="AA36" s="7"/>
      <c r="AB36" s="7"/>
      <c r="AC36" s="7"/>
      <c r="AD36" s="7"/>
      <c r="AE36" s="7"/>
    </row>
    <row r="37" spans="1:31" ht="19.5" customHeight="1">
      <c r="A37" s="489">
        <v>2</v>
      </c>
      <c r="B37" s="490" t="s">
        <v>128</v>
      </c>
      <c r="C37" s="637" t="s">
        <v>129</v>
      </c>
      <c r="D37" s="491"/>
      <c r="E37" s="677">
        <f>SUM(E38:E53)+E62</f>
        <v>6</v>
      </c>
      <c r="F37" s="213"/>
      <c r="G37" s="213"/>
      <c r="H37" s="214"/>
      <c r="I37" s="214"/>
      <c r="J37" s="215"/>
      <c r="K37" s="213"/>
      <c r="L37" s="677">
        <f t="shared" ref="L37:M37" si="3">SUM(L38:L53)+L62</f>
        <v>44</v>
      </c>
      <c r="M37" s="677">
        <f t="shared" si="3"/>
        <v>2</v>
      </c>
      <c r="N37" s="213"/>
      <c r="O37" s="213"/>
      <c r="P37" s="215"/>
      <c r="Q37" s="215"/>
      <c r="R37" s="616">
        <f t="shared" si="1"/>
        <v>52</v>
      </c>
      <c r="S37" s="633"/>
      <c r="T37" s="640"/>
      <c r="U37" s="640"/>
      <c r="V37" s="7"/>
      <c r="W37" s="699"/>
      <c r="X37" s="7"/>
      <c r="Y37" s="618"/>
      <c r="Z37" s="7"/>
      <c r="AA37" s="7"/>
      <c r="AB37" s="7"/>
      <c r="AC37" s="7"/>
      <c r="AD37" s="7"/>
      <c r="AE37" s="7"/>
    </row>
    <row r="38" spans="1:31" ht="20.25" customHeight="1">
      <c r="A38" s="492"/>
      <c r="B38" s="493" t="s">
        <v>130</v>
      </c>
      <c r="C38" s="641" t="s">
        <v>131</v>
      </c>
      <c r="D38" s="495" t="s">
        <v>132</v>
      </c>
      <c r="E38" s="209"/>
      <c r="F38" s="209"/>
      <c r="G38" s="209"/>
      <c r="H38" s="210"/>
      <c r="I38" s="210">
        <v>4</v>
      </c>
      <c r="J38" s="211"/>
      <c r="K38" s="209"/>
      <c r="L38" s="623"/>
      <c r="M38" s="209"/>
      <c r="N38" s="209"/>
      <c r="O38" s="209"/>
      <c r="P38" s="211"/>
      <c r="Q38" s="215"/>
      <c r="R38" s="625">
        <f t="shared" si="1"/>
        <v>4</v>
      </c>
      <c r="S38" s="626"/>
      <c r="T38" s="627" t="s">
        <v>1577</v>
      </c>
      <c r="U38" s="642">
        <f>R38</f>
        <v>4</v>
      </c>
      <c r="V38" s="7"/>
      <c r="W38" s="699">
        <v>1</v>
      </c>
      <c r="X38" s="7"/>
      <c r="Y38" s="618"/>
      <c r="Z38" s="7"/>
      <c r="AA38" s="7"/>
      <c r="AB38" s="7"/>
      <c r="AC38" s="7"/>
      <c r="AD38" s="7"/>
      <c r="AE38" s="7"/>
    </row>
    <row r="39" spans="1:31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4"/>
      <c r="I39" s="214"/>
      <c r="J39" s="215"/>
      <c r="K39" s="213"/>
      <c r="L39" s="632"/>
      <c r="M39" s="213"/>
      <c r="N39" s="213"/>
      <c r="O39" s="213"/>
      <c r="P39" s="215"/>
      <c r="Q39" s="215"/>
      <c r="R39" s="616">
        <f t="shared" si="1"/>
        <v>0</v>
      </c>
      <c r="S39" s="633"/>
      <c r="T39" s="644" t="s">
        <v>1578</v>
      </c>
      <c r="U39" s="645">
        <f>S43</f>
        <v>114</v>
      </c>
      <c r="V39" s="7"/>
      <c r="W39" s="699"/>
      <c r="X39" s="7"/>
      <c r="Y39" s="618">
        <f t="shared" ref="Y39:Y47" si="4">W39-R39</f>
        <v>0</v>
      </c>
      <c r="Z39" s="7"/>
      <c r="AA39" s="7"/>
      <c r="AB39" s="7"/>
      <c r="AC39" s="7"/>
      <c r="AD39" s="7"/>
      <c r="AE39" s="7"/>
    </row>
    <row r="40" spans="1:31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4"/>
      <c r="I40" s="214"/>
      <c r="J40" s="215"/>
      <c r="K40" s="213"/>
      <c r="L40" s="632"/>
      <c r="M40" s="213"/>
      <c r="N40" s="213"/>
      <c r="O40" s="213"/>
      <c r="P40" s="215"/>
      <c r="Q40" s="215"/>
      <c r="R40" s="616">
        <f t="shared" si="1"/>
        <v>0</v>
      </c>
      <c r="S40" s="633"/>
      <c r="T40" s="636"/>
      <c r="U40" s="636"/>
      <c r="V40" s="7"/>
      <c r="W40" s="699"/>
      <c r="X40" s="7"/>
      <c r="Y40" s="618">
        <f t="shared" si="4"/>
        <v>0</v>
      </c>
      <c r="Z40" s="7"/>
      <c r="AA40" s="7"/>
      <c r="AB40" s="7"/>
      <c r="AC40" s="7"/>
      <c r="AD40" s="7"/>
      <c r="AE40" s="7"/>
    </row>
    <row r="41" spans="1:31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4"/>
      <c r="I41" s="214"/>
      <c r="J41" s="215"/>
      <c r="K41" s="213"/>
      <c r="L41" s="632"/>
      <c r="M41" s="213"/>
      <c r="N41" s="213"/>
      <c r="O41" s="213"/>
      <c r="P41" s="215"/>
      <c r="Q41" s="215"/>
      <c r="R41" s="616">
        <f t="shared" si="1"/>
        <v>0</v>
      </c>
      <c r="S41" s="633"/>
      <c r="T41" s="636"/>
      <c r="U41" s="636"/>
      <c r="V41" s="7"/>
      <c r="W41" s="699"/>
      <c r="X41" s="7"/>
      <c r="Y41" s="618">
        <f t="shared" si="4"/>
        <v>0</v>
      </c>
      <c r="Z41" s="7"/>
      <c r="AA41" s="7"/>
      <c r="AB41" s="7"/>
      <c r="AC41" s="7"/>
      <c r="AD41" s="7"/>
      <c r="AE41" s="7"/>
    </row>
    <row r="42" spans="1:31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4"/>
      <c r="I42" s="214"/>
      <c r="J42" s="215"/>
      <c r="K42" s="213"/>
      <c r="L42" s="632"/>
      <c r="M42" s="213"/>
      <c r="N42" s="213"/>
      <c r="O42" s="213"/>
      <c r="P42" s="215"/>
      <c r="Q42" s="215"/>
      <c r="R42" s="616">
        <f t="shared" si="1"/>
        <v>0</v>
      </c>
      <c r="S42" s="633"/>
      <c r="T42" s="636"/>
      <c r="U42" s="636"/>
      <c r="V42" s="7"/>
      <c r="W42" s="699"/>
      <c r="X42" s="7"/>
      <c r="Y42" s="618">
        <f t="shared" si="4"/>
        <v>0</v>
      </c>
      <c r="Z42" s="7"/>
      <c r="AA42" s="7"/>
      <c r="AB42" s="7"/>
      <c r="AC42" s="7"/>
      <c r="AD42" s="7"/>
      <c r="AE42" s="7"/>
    </row>
    <row r="43" spans="1:31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3"/>
      <c r="H43" s="214"/>
      <c r="I43" s="214"/>
      <c r="J43" s="215"/>
      <c r="K43" s="213"/>
      <c r="L43" s="632"/>
      <c r="M43" s="213"/>
      <c r="N43" s="213"/>
      <c r="O43" s="213"/>
      <c r="P43" s="215"/>
      <c r="Q43" s="215"/>
      <c r="R43" s="616">
        <f t="shared" si="1"/>
        <v>0</v>
      </c>
      <c r="S43" s="633">
        <f>R43+R48+R53+R62</f>
        <v>114</v>
      </c>
      <c r="T43" s="634"/>
      <c r="U43" s="634"/>
      <c r="V43" s="7"/>
      <c r="W43" s="699"/>
      <c r="X43" s="7"/>
      <c r="Y43" s="618">
        <f t="shared" si="4"/>
        <v>0</v>
      </c>
      <c r="Z43" s="7"/>
      <c r="AA43" s="618">
        <f>SUM(Y43:Y53)</f>
        <v>225</v>
      </c>
      <c r="AB43" s="7"/>
      <c r="AC43" s="7"/>
      <c r="AD43" s="7"/>
      <c r="AE43" s="7"/>
    </row>
    <row r="44" spans="1:31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4"/>
      <c r="I44" s="214"/>
      <c r="J44" s="215"/>
      <c r="K44" s="213"/>
      <c r="L44" s="632"/>
      <c r="M44" s="213"/>
      <c r="N44" s="213"/>
      <c r="O44" s="213"/>
      <c r="P44" s="215"/>
      <c r="Q44" s="215"/>
      <c r="R44" s="616">
        <f t="shared" si="1"/>
        <v>0</v>
      </c>
      <c r="S44" s="633"/>
      <c r="T44" s="634"/>
      <c r="U44" s="634"/>
      <c r="V44" s="7"/>
      <c r="W44" s="699"/>
      <c r="X44" s="7"/>
      <c r="Y44" s="618">
        <f t="shared" si="4"/>
        <v>0</v>
      </c>
      <c r="Z44" s="7"/>
      <c r="AA44" s="7"/>
      <c r="AB44" s="7"/>
      <c r="AC44" s="7"/>
      <c r="AD44" s="7"/>
      <c r="AE44" s="7"/>
    </row>
    <row r="45" spans="1:31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4"/>
      <c r="I45" s="214"/>
      <c r="J45" s="215"/>
      <c r="K45" s="213"/>
      <c r="L45" s="632"/>
      <c r="M45" s="213"/>
      <c r="N45" s="213"/>
      <c r="O45" s="213"/>
      <c r="P45" s="215"/>
      <c r="Q45" s="215"/>
      <c r="R45" s="616">
        <f t="shared" si="1"/>
        <v>0</v>
      </c>
      <c r="S45" s="633"/>
      <c r="T45" s="634"/>
      <c r="U45" s="634"/>
      <c r="V45" s="7"/>
      <c r="W45" s="699"/>
      <c r="X45" s="7"/>
      <c r="Y45" s="618">
        <f t="shared" si="4"/>
        <v>0</v>
      </c>
      <c r="Z45" s="7"/>
      <c r="AA45" s="7"/>
      <c r="AB45" s="7"/>
      <c r="AC45" s="7"/>
      <c r="AD45" s="7"/>
      <c r="AE45" s="7"/>
    </row>
    <row r="46" spans="1:31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4"/>
      <c r="I46" s="214"/>
      <c r="J46" s="215"/>
      <c r="K46" s="213"/>
      <c r="L46" s="632"/>
      <c r="M46" s="213"/>
      <c r="N46" s="213"/>
      <c r="O46" s="213"/>
      <c r="P46" s="215"/>
      <c r="Q46" s="215"/>
      <c r="R46" s="616">
        <f t="shared" si="1"/>
        <v>0</v>
      </c>
      <c r="S46" s="633"/>
      <c r="T46" s="634"/>
      <c r="U46" s="634"/>
      <c r="V46" s="7"/>
      <c r="W46" s="699"/>
      <c r="X46" s="7"/>
      <c r="Y46" s="618">
        <f t="shared" si="4"/>
        <v>0</v>
      </c>
      <c r="Z46" s="7"/>
      <c r="AA46" s="7"/>
      <c r="AB46" s="7"/>
      <c r="AC46" s="7"/>
      <c r="AD46" s="7"/>
      <c r="AE46" s="7"/>
    </row>
    <row r="47" spans="1:31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4"/>
      <c r="I47" s="214"/>
      <c r="J47" s="215"/>
      <c r="K47" s="213"/>
      <c r="L47" s="632"/>
      <c r="M47" s="213"/>
      <c r="N47" s="213"/>
      <c r="O47" s="213"/>
      <c r="P47" s="215"/>
      <c r="Q47" s="215"/>
      <c r="R47" s="616">
        <f t="shared" si="1"/>
        <v>0</v>
      </c>
      <c r="S47" s="633"/>
      <c r="T47" s="634"/>
      <c r="U47" s="634"/>
      <c r="V47" s="7"/>
      <c r="W47" s="699"/>
      <c r="X47" s="7"/>
      <c r="Y47" s="618">
        <f t="shared" si="4"/>
        <v>0</v>
      </c>
      <c r="Z47" s="7"/>
      <c r="AA47" s="7"/>
      <c r="AB47" s="7"/>
      <c r="AC47" s="7"/>
      <c r="AD47" s="7"/>
      <c r="AE47" s="7"/>
    </row>
    <row r="48" spans="1:31" ht="20.25" customHeight="1">
      <c r="A48" s="482"/>
      <c r="B48" s="496" t="s">
        <v>151</v>
      </c>
      <c r="C48" s="555" t="s">
        <v>152</v>
      </c>
      <c r="D48" s="485" t="s">
        <v>132</v>
      </c>
      <c r="E48" s="213"/>
      <c r="F48" s="213">
        <v>1</v>
      </c>
      <c r="G48" s="213">
        <v>16</v>
      </c>
      <c r="H48" s="214">
        <v>6</v>
      </c>
      <c r="I48" s="214">
        <v>20</v>
      </c>
      <c r="J48" s="215"/>
      <c r="K48" s="213"/>
      <c r="L48" s="632"/>
      <c r="M48" s="213">
        <v>2</v>
      </c>
      <c r="N48" s="213">
        <v>4</v>
      </c>
      <c r="O48" s="213">
        <v>3</v>
      </c>
      <c r="P48" s="215"/>
      <c r="Q48" s="215"/>
      <c r="R48" s="616">
        <f t="shared" si="1"/>
        <v>52</v>
      </c>
      <c r="S48" s="633"/>
      <c r="T48" s="634"/>
      <c r="U48" s="634"/>
      <c r="V48" s="7"/>
      <c r="W48" s="699">
        <v>5</v>
      </c>
      <c r="X48" s="7"/>
      <c r="Y48" s="618"/>
      <c r="Z48" s="7"/>
      <c r="AA48" s="7"/>
      <c r="AB48" s="7"/>
      <c r="AC48" s="7"/>
      <c r="AD48" s="7"/>
      <c r="AE48" s="7"/>
    </row>
    <row r="49" spans="1:31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4"/>
      <c r="I49" s="214"/>
      <c r="J49" s="215"/>
      <c r="K49" s="213"/>
      <c r="L49" s="632"/>
      <c r="M49" s="213"/>
      <c r="N49" s="213"/>
      <c r="O49" s="213"/>
      <c r="P49" s="215"/>
      <c r="Q49" s="215"/>
      <c r="R49" s="616">
        <f t="shared" si="1"/>
        <v>0</v>
      </c>
      <c r="S49" s="633"/>
      <c r="T49" s="634"/>
      <c r="U49" s="634"/>
      <c r="V49" s="7"/>
      <c r="W49" s="699"/>
      <c r="X49" s="7"/>
      <c r="Y49" s="618">
        <f t="shared" ref="Y49:Y52" si="5">W49-R49</f>
        <v>0</v>
      </c>
      <c r="Z49" s="7"/>
      <c r="AA49" s="7"/>
      <c r="AB49" s="7"/>
      <c r="AC49" s="7"/>
      <c r="AD49" s="7"/>
      <c r="AE49" s="7"/>
    </row>
    <row r="50" spans="1:31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4"/>
      <c r="I50" s="214"/>
      <c r="J50" s="215"/>
      <c r="K50" s="213"/>
      <c r="L50" s="632"/>
      <c r="M50" s="213"/>
      <c r="N50" s="213"/>
      <c r="O50" s="213"/>
      <c r="P50" s="215"/>
      <c r="Q50" s="215"/>
      <c r="R50" s="616">
        <f t="shared" si="1"/>
        <v>0</v>
      </c>
      <c r="S50" s="633"/>
      <c r="T50" s="634"/>
      <c r="U50" s="634"/>
      <c r="V50" s="7"/>
      <c r="W50" s="699"/>
      <c r="X50" s="7"/>
      <c r="Y50" s="618">
        <f t="shared" si="5"/>
        <v>0</v>
      </c>
      <c r="Z50" s="7"/>
      <c r="AA50" s="7"/>
      <c r="AB50" s="7"/>
      <c r="AC50" s="7"/>
      <c r="AD50" s="7"/>
      <c r="AE50" s="7"/>
    </row>
    <row r="51" spans="1:31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4"/>
      <c r="I51" s="214"/>
      <c r="J51" s="215"/>
      <c r="K51" s="213"/>
      <c r="L51" s="632"/>
      <c r="M51" s="213"/>
      <c r="N51" s="213"/>
      <c r="O51" s="213"/>
      <c r="P51" s="215"/>
      <c r="Q51" s="215"/>
      <c r="R51" s="616">
        <f t="shared" si="1"/>
        <v>0</v>
      </c>
      <c r="S51" s="633"/>
      <c r="T51" s="634"/>
      <c r="U51" s="634"/>
      <c r="V51" s="7"/>
      <c r="W51" s="699"/>
      <c r="X51" s="7"/>
      <c r="Y51" s="618">
        <f t="shared" si="5"/>
        <v>0</v>
      </c>
      <c r="Z51" s="7"/>
      <c r="AA51" s="7"/>
      <c r="AB51" s="7"/>
      <c r="AC51" s="7"/>
      <c r="AD51" s="7"/>
      <c r="AE51" s="7"/>
    </row>
    <row r="52" spans="1:31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4"/>
      <c r="I52" s="214"/>
      <c r="J52" s="215"/>
      <c r="K52" s="213"/>
      <c r="L52" s="632"/>
      <c r="M52" s="213"/>
      <c r="N52" s="213"/>
      <c r="O52" s="213"/>
      <c r="P52" s="215"/>
      <c r="Q52" s="215"/>
      <c r="R52" s="616">
        <f t="shared" si="1"/>
        <v>0</v>
      </c>
      <c r="S52" s="633"/>
      <c r="T52" s="634"/>
      <c r="U52" s="634"/>
      <c r="V52" s="7"/>
      <c r="W52" s="699"/>
      <c r="X52" s="7"/>
      <c r="Y52" s="618">
        <f t="shared" si="5"/>
        <v>0</v>
      </c>
      <c r="Z52" s="7"/>
      <c r="AA52" s="7"/>
      <c r="AB52" s="7"/>
      <c r="AC52" s="7"/>
      <c r="AD52" s="7"/>
      <c r="AE52" s="7"/>
    </row>
    <row r="53" spans="1:31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6</v>
      </c>
      <c r="F53" s="213"/>
      <c r="G53" s="213"/>
      <c r="H53" s="214"/>
      <c r="I53" s="214"/>
      <c r="J53" s="215">
        <v>1</v>
      </c>
      <c r="K53" s="213">
        <v>4</v>
      </c>
      <c r="L53" s="632">
        <v>44</v>
      </c>
      <c r="M53" s="213"/>
      <c r="N53" s="213"/>
      <c r="O53" s="213"/>
      <c r="P53" s="215">
        <v>7</v>
      </c>
      <c r="Q53" s="215"/>
      <c r="R53" s="616">
        <f t="shared" si="1"/>
        <v>62</v>
      </c>
      <c r="S53" s="633"/>
      <c r="T53" s="634"/>
      <c r="U53" s="634"/>
      <c r="V53" s="7"/>
      <c r="W53" s="699">
        <v>334</v>
      </c>
      <c r="X53" s="7"/>
      <c r="Y53" s="618">
        <v>225</v>
      </c>
      <c r="Z53" s="7"/>
      <c r="AA53" s="7"/>
      <c r="AB53" s="7"/>
      <c r="AC53" s="7"/>
      <c r="AD53" s="7"/>
      <c r="AE53" s="7"/>
    </row>
    <row r="54" spans="1:31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4"/>
      <c r="I54" s="214"/>
      <c r="J54" s="215"/>
      <c r="K54" s="213"/>
      <c r="L54" s="632"/>
      <c r="M54" s="213"/>
      <c r="N54" s="213"/>
      <c r="O54" s="213"/>
      <c r="P54" s="215"/>
      <c r="Q54" s="215"/>
      <c r="R54" s="616">
        <f t="shared" si="1"/>
        <v>0</v>
      </c>
      <c r="S54" s="633"/>
      <c r="T54" s="634"/>
      <c r="U54" s="634"/>
      <c r="V54" s="7"/>
      <c r="W54" s="699"/>
      <c r="X54" s="7"/>
      <c r="Y54" s="618">
        <f t="shared" ref="Y54:Y57" si="6">W54-R54</f>
        <v>0</v>
      </c>
      <c r="Z54" s="7"/>
      <c r="AA54" s="7"/>
      <c r="AB54" s="7"/>
      <c r="AC54" s="7"/>
      <c r="AD54" s="7"/>
      <c r="AE54" s="7"/>
    </row>
    <row r="55" spans="1:31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4"/>
      <c r="I55" s="214"/>
      <c r="J55" s="215"/>
      <c r="K55" s="213"/>
      <c r="L55" s="632"/>
      <c r="M55" s="213"/>
      <c r="N55" s="213"/>
      <c r="O55" s="213"/>
      <c r="P55" s="215"/>
      <c r="Q55" s="215"/>
      <c r="R55" s="616">
        <f t="shared" si="1"/>
        <v>0</v>
      </c>
      <c r="S55" s="633"/>
      <c r="T55" s="634"/>
      <c r="U55" s="634"/>
      <c r="V55" s="7"/>
      <c r="W55" s="699"/>
      <c r="X55" s="7"/>
      <c r="Y55" s="618">
        <f t="shared" si="6"/>
        <v>0</v>
      </c>
      <c r="Z55" s="7"/>
      <c r="AA55" s="7"/>
      <c r="AB55" s="7"/>
      <c r="AC55" s="7"/>
      <c r="AD55" s="7"/>
      <c r="AE55" s="7"/>
    </row>
    <row r="56" spans="1:31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4"/>
      <c r="I56" s="214"/>
      <c r="J56" s="215"/>
      <c r="K56" s="213"/>
      <c r="L56" s="632"/>
      <c r="M56" s="213"/>
      <c r="N56" s="213"/>
      <c r="O56" s="213"/>
      <c r="P56" s="215"/>
      <c r="Q56" s="215"/>
      <c r="R56" s="616">
        <f t="shared" si="1"/>
        <v>0</v>
      </c>
      <c r="S56" s="633"/>
      <c r="T56" s="634"/>
      <c r="U56" s="634"/>
      <c r="V56" s="7"/>
      <c r="W56" s="699"/>
      <c r="X56" s="7"/>
      <c r="Y56" s="618">
        <f t="shared" si="6"/>
        <v>0</v>
      </c>
      <c r="Z56" s="7"/>
      <c r="AA56" s="7"/>
      <c r="AB56" s="7"/>
      <c r="AC56" s="7"/>
      <c r="AD56" s="7"/>
      <c r="AE56" s="7"/>
    </row>
    <row r="57" spans="1:31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4"/>
      <c r="I57" s="214"/>
      <c r="J57" s="215"/>
      <c r="K57" s="213"/>
      <c r="L57" s="632"/>
      <c r="M57" s="213"/>
      <c r="N57" s="213"/>
      <c r="O57" s="213"/>
      <c r="P57" s="215"/>
      <c r="Q57" s="215"/>
      <c r="R57" s="616">
        <f t="shared" si="1"/>
        <v>0</v>
      </c>
      <c r="S57" s="633"/>
      <c r="T57" s="634"/>
      <c r="U57" s="634"/>
      <c r="V57" s="7"/>
      <c r="W57" s="699"/>
      <c r="X57" s="7"/>
      <c r="Y57" s="618">
        <f t="shared" si="6"/>
        <v>0</v>
      </c>
      <c r="Z57" s="7"/>
      <c r="AA57" s="7"/>
      <c r="AB57" s="7"/>
      <c r="AC57" s="7"/>
      <c r="AD57" s="7"/>
      <c r="AE57" s="7"/>
    </row>
    <row r="58" spans="1:31" ht="20.25" customHeight="1">
      <c r="A58" s="482"/>
      <c r="B58" s="496" t="s">
        <v>165</v>
      </c>
      <c r="C58" s="555" t="s">
        <v>166</v>
      </c>
      <c r="D58" s="485" t="s">
        <v>132</v>
      </c>
      <c r="E58" s="735"/>
      <c r="F58" s="219"/>
      <c r="G58" s="219"/>
      <c r="H58" s="374"/>
      <c r="I58" s="374"/>
      <c r="J58" s="215"/>
      <c r="K58" s="219">
        <v>2</v>
      </c>
      <c r="L58" s="623"/>
      <c r="M58" s="735"/>
      <c r="N58" s="219"/>
      <c r="O58" s="219"/>
      <c r="P58" s="215"/>
      <c r="Q58" s="215"/>
      <c r="R58" s="616">
        <f t="shared" si="1"/>
        <v>2</v>
      </c>
      <c r="S58" s="633"/>
      <c r="T58" s="634"/>
      <c r="U58" s="634"/>
      <c r="V58" s="7"/>
      <c r="W58" s="699">
        <v>3</v>
      </c>
      <c r="X58" s="7"/>
      <c r="Y58" s="618"/>
      <c r="Z58" s="7"/>
      <c r="AA58" s="7"/>
      <c r="AB58" s="7"/>
      <c r="AC58" s="7"/>
      <c r="AD58" s="7"/>
      <c r="AE58" s="7"/>
    </row>
    <row r="59" spans="1:31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4"/>
      <c r="I59" s="214"/>
      <c r="J59" s="215"/>
      <c r="K59" s="213"/>
      <c r="L59" s="632"/>
      <c r="M59" s="213"/>
      <c r="N59" s="213"/>
      <c r="O59" s="213"/>
      <c r="P59" s="215"/>
      <c r="Q59" s="215"/>
      <c r="R59" s="616">
        <f t="shared" si="1"/>
        <v>0</v>
      </c>
      <c r="S59" s="633"/>
      <c r="T59" s="648"/>
      <c r="U59" s="648"/>
      <c r="V59" s="7"/>
      <c r="W59" s="699"/>
      <c r="X59" s="7"/>
      <c r="Y59" s="618">
        <f t="shared" ref="Y59:Y103" si="7">W59-R59</f>
        <v>0</v>
      </c>
      <c r="Z59" s="7"/>
      <c r="AA59" s="7"/>
      <c r="AB59" s="7"/>
      <c r="AC59" s="7"/>
      <c r="AD59" s="7"/>
      <c r="AE59" s="7"/>
    </row>
    <row r="60" spans="1:31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4"/>
      <c r="I60" s="214"/>
      <c r="J60" s="215"/>
      <c r="K60" s="213"/>
      <c r="L60" s="632"/>
      <c r="M60" s="213"/>
      <c r="N60" s="213"/>
      <c r="O60" s="213"/>
      <c r="P60" s="215"/>
      <c r="Q60" s="215"/>
      <c r="R60" s="616">
        <f t="shared" si="1"/>
        <v>0</v>
      </c>
      <c r="S60" s="633"/>
      <c r="T60" s="648"/>
      <c r="U60" s="648"/>
      <c r="V60" s="7"/>
      <c r="W60" s="699"/>
      <c r="X60" s="7"/>
      <c r="Y60" s="618">
        <f t="shared" si="7"/>
        <v>0</v>
      </c>
      <c r="Z60" s="7"/>
      <c r="AA60" s="7"/>
      <c r="AB60" s="7"/>
      <c r="AC60" s="7"/>
      <c r="AD60" s="7"/>
      <c r="AE60" s="7"/>
    </row>
    <row r="61" spans="1:31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4"/>
      <c r="I61" s="214"/>
      <c r="J61" s="215"/>
      <c r="K61" s="213"/>
      <c r="L61" s="632"/>
      <c r="M61" s="213"/>
      <c r="N61" s="213"/>
      <c r="O61" s="213"/>
      <c r="P61" s="215"/>
      <c r="Q61" s="215"/>
      <c r="R61" s="616">
        <f t="shared" si="1"/>
        <v>0</v>
      </c>
      <c r="S61" s="633"/>
      <c r="T61" s="648"/>
      <c r="U61" s="648"/>
      <c r="V61" s="7"/>
      <c r="W61" s="699"/>
      <c r="X61" s="7"/>
      <c r="Y61" s="618">
        <f t="shared" si="7"/>
        <v>0</v>
      </c>
      <c r="Z61" s="7"/>
      <c r="AA61" s="7"/>
      <c r="AB61" s="7"/>
      <c r="AC61" s="7"/>
      <c r="AD61" s="7"/>
      <c r="AE61" s="7"/>
    </row>
    <row r="62" spans="1:31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4"/>
      <c r="I62" s="214"/>
      <c r="J62" s="215"/>
      <c r="K62" s="213"/>
      <c r="L62" s="632"/>
      <c r="M62" s="213"/>
      <c r="N62" s="213"/>
      <c r="O62" s="213"/>
      <c r="P62" s="215"/>
      <c r="Q62" s="215"/>
      <c r="R62" s="616">
        <f t="shared" si="1"/>
        <v>0</v>
      </c>
      <c r="S62" s="633"/>
      <c r="T62" s="636"/>
      <c r="U62" s="636"/>
      <c r="V62" s="7"/>
      <c r="W62" s="699"/>
      <c r="X62" s="7"/>
      <c r="Y62" s="618">
        <f t="shared" si="7"/>
        <v>0</v>
      </c>
      <c r="Z62" s="7"/>
      <c r="AA62" s="7"/>
      <c r="AB62" s="7"/>
      <c r="AC62" s="7"/>
      <c r="AD62" s="7"/>
      <c r="AE62" s="7"/>
    </row>
    <row r="63" spans="1:31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4"/>
      <c r="I63" s="214"/>
      <c r="J63" s="215"/>
      <c r="K63" s="213"/>
      <c r="L63" s="632"/>
      <c r="M63" s="213"/>
      <c r="N63" s="213"/>
      <c r="O63" s="213"/>
      <c r="P63" s="215"/>
      <c r="Q63" s="215"/>
      <c r="R63" s="616">
        <f t="shared" si="1"/>
        <v>0</v>
      </c>
      <c r="S63" s="633"/>
      <c r="T63" s="636"/>
      <c r="U63" s="636"/>
      <c r="V63" s="7"/>
      <c r="W63" s="699"/>
      <c r="X63" s="7"/>
      <c r="Y63" s="618">
        <f t="shared" si="7"/>
        <v>0</v>
      </c>
      <c r="Z63" s="7"/>
      <c r="AA63" s="7"/>
      <c r="AB63" s="7"/>
      <c r="AC63" s="7"/>
      <c r="AD63" s="7"/>
      <c r="AE63" s="7"/>
    </row>
    <row r="64" spans="1:31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4"/>
      <c r="I64" s="214"/>
      <c r="J64" s="215"/>
      <c r="K64" s="213"/>
      <c r="L64" s="632"/>
      <c r="M64" s="213"/>
      <c r="N64" s="213"/>
      <c r="O64" s="213"/>
      <c r="P64" s="215"/>
      <c r="Q64" s="215"/>
      <c r="R64" s="616">
        <f t="shared" si="1"/>
        <v>0</v>
      </c>
      <c r="S64" s="633"/>
      <c r="T64" s="640"/>
      <c r="U64" s="640"/>
      <c r="V64" s="7"/>
      <c r="W64" s="699"/>
      <c r="X64" s="7"/>
      <c r="Y64" s="618">
        <f t="shared" si="7"/>
        <v>0</v>
      </c>
      <c r="Z64" s="7"/>
      <c r="AA64" s="7"/>
      <c r="AB64" s="7"/>
      <c r="AC64" s="7"/>
      <c r="AD64" s="7"/>
      <c r="AE64" s="7"/>
    </row>
    <row r="65" spans="1:31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>
        <v>1</v>
      </c>
      <c r="F65" s="213"/>
      <c r="G65" s="213"/>
      <c r="H65" s="214"/>
      <c r="I65" s="214"/>
      <c r="J65" s="215"/>
      <c r="K65" s="213"/>
      <c r="L65" s="632"/>
      <c r="M65" s="213"/>
      <c r="N65" s="213"/>
      <c r="O65" s="213"/>
      <c r="P65" s="215"/>
      <c r="Q65" s="215"/>
      <c r="R65" s="616">
        <f t="shared" si="1"/>
        <v>1</v>
      </c>
      <c r="S65" s="633"/>
      <c r="T65" s="636"/>
      <c r="U65" s="636"/>
      <c r="V65" s="7"/>
      <c r="W65" s="699">
        <v>6</v>
      </c>
      <c r="X65" s="7"/>
      <c r="Y65" s="618">
        <f t="shared" si="7"/>
        <v>5</v>
      </c>
      <c r="Z65" s="7"/>
      <c r="AA65" s="7"/>
      <c r="AB65" s="7"/>
      <c r="AC65" s="7"/>
      <c r="AD65" s="7"/>
      <c r="AE65" s="7"/>
    </row>
    <row r="66" spans="1:31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4"/>
      <c r="I66" s="214"/>
      <c r="J66" s="215"/>
      <c r="K66" s="213"/>
      <c r="L66" s="632"/>
      <c r="M66" s="213"/>
      <c r="N66" s="213"/>
      <c r="O66" s="213"/>
      <c r="P66" s="215"/>
      <c r="Q66" s="215"/>
      <c r="R66" s="616">
        <f t="shared" si="1"/>
        <v>0</v>
      </c>
      <c r="S66" s="633"/>
      <c r="T66" s="636"/>
      <c r="U66" s="636"/>
      <c r="V66" s="7"/>
      <c r="W66" s="699">
        <v>6</v>
      </c>
      <c r="X66" s="7"/>
      <c r="Y66" s="618">
        <f t="shared" si="7"/>
        <v>6</v>
      </c>
      <c r="Z66" s="7"/>
      <c r="AA66" s="7"/>
      <c r="AB66" s="7"/>
      <c r="AC66" s="7"/>
      <c r="AD66" s="7"/>
      <c r="AE66" s="7"/>
    </row>
    <row r="67" spans="1:31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4"/>
      <c r="I67" s="214"/>
      <c r="J67" s="215"/>
      <c r="K67" s="213"/>
      <c r="L67" s="632"/>
      <c r="M67" s="213"/>
      <c r="N67" s="213"/>
      <c r="O67" s="213"/>
      <c r="P67" s="215"/>
      <c r="Q67" s="215"/>
      <c r="R67" s="616">
        <f t="shared" si="1"/>
        <v>0</v>
      </c>
      <c r="S67" s="633"/>
      <c r="T67" s="634"/>
      <c r="U67" s="634"/>
      <c r="V67" s="7"/>
      <c r="W67" s="699"/>
      <c r="X67" s="7"/>
      <c r="Y67" s="618">
        <f t="shared" si="7"/>
        <v>0</v>
      </c>
      <c r="Z67" s="7"/>
      <c r="AA67" s="7"/>
      <c r="AB67" s="7"/>
      <c r="AC67" s="7"/>
      <c r="AD67" s="7"/>
      <c r="AE67" s="7"/>
    </row>
    <row r="68" spans="1:31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4"/>
      <c r="I68" s="214"/>
      <c r="J68" s="215"/>
      <c r="K68" s="213"/>
      <c r="L68" s="632"/>
      <c r="M68" s="213"/>
      <c r="N68" s="213"/>
      <c r="O68" s="213"/>
      <c r="P68" s="215"/>
      <c r="Q68" s="215"/>
      <c r="R68" s="616">
        <f t="shared" si="1"/>
        <v>0</v>
      </c>
      <c r="S68" s="633"/>
      <c r="T68" s="634"/>
      <c r="U68" s="634"/>
      <c r="V68" s="7"/>
      <c r="W68" s="699"/>
      <c r="X68" s="7"/>
      <c r="Y68" s="618">
        <f t="shared" si="7"/>
        <v>0</v>
      </c>
      <c r="Z68" s="7"/>
      <c r="AA68" s="7"/>
      <c r="AB68" s="7"/>
      <c r="AC68" s="7"/>
      <c r="AD68" s="7"/>
      <c r="AE68" s="7"/>
    </row>
    <row r="69" spans="1:31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4"/>
      <c r="I69" s="214"/>
      <c r="J69" s="215"/>
      <c r="K69" s="213"/>
      <c r="L69" s="632"/>
      <c r="M69" s="213"/>
      <c r="N69" s="213"/>
      <c r="O69" s="213"/>
      <c r="P69" s="215"/>
      <c r="Q69" s="215"/>
      <c r="R69" s="616">
        <f t="shared" si="1"/>
        <v>0</v>
      </c>
      <c r="S69" s="633"/>
      <c r="T69" s="634"/>
      <c r="U69" s="634"/>
      <c r="V69" s="7"/>
      <c r="W69" s="699"/>
      <c r="X69" s="7"/>
      <c r="Y69" s="618">
        <f t="shared" si="7"/>
        <v>0</v>
      </c>
      <c r="Z69" s="7"/>
      <c r="AA69" s="7"/>
      <c r="AB69" s="7"/>
      <c r="AC69" s="7"/>
      <c r="AD69" s="7"/>
      <c r="AE69" s="7"/>
    </row>
    <row r="70" spans="1:31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4"/>
      <c r="I70" s="214"/>
      <c r="J70" s="215"/>
      <c r="K70" s="213"/>
      <c r="L70" s="632"/>
      <c r="M70" s="213"/>
      <c r="N70" s="213"/>
      <c r="O70" s="213"/>
      <c r="P70" s="215"/>
      <c r="Q70" s="215"/>
      <c r="R70" s="616">
        <f t="shared" si="1"/>
        <v>0</v>
      </c>
      <c r="S70" s="633"/>
      <c r="T70" s="634"/>
      <c r="U70" s="634"/>
      <c r="V70" s="7"/>
      <c r="W70" s="699"/>
      <c r="X70" s="7"/>
      <c r="Y70" s="618">
        <f t="shared" si="7"/>
        <v>0</v>
      </c>
      <c r="Z70" s="7"/>
      <c r="AA70" s="7"/>
      <c r="AB70" s="7"/>
      <c r="AC70" s="7"/>
      <c r="AD70" s="7"/>
      <c r="AE70" s="7"/>
    </row>
    <row r="71" spans="1:31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4"/>
      <c r="I71" s="214"/>
      <c r="J71" s="215"/>
      <c r="K71" s="213"/>
      <c r="L71" s="632"/>
      <c r="M71" s="213"/>
      <c r="N71" s="213"/>
      <c r="O71" s="213"/>
      <c r="P71" s="215"/>
      <c r="Q71" s="215"/>
      <c r="R71" s="616">
        <f t="shared" si="1"/>
        <v>0</v>
      </c>
      <c r="S71" s="633"/>
      <c r="T71" s="636"/>
      <c r="U71" s="636"/>
      <c r="V71" s="7"/>
      <c r="W71" s="699"/>
      <c r="X71" s="7"/>
      <c r="Y71" s="618">
        <f t="shared" si="7"/>
        <v>0</v>
      </c>
      <c r="Z71" s="7"/>
      <c r="AA71" s="7"/>
      <c r="AB71" s="7"/>
      <c r="AC71" s="7"/>
      <c r="AD71" s="7"/>
      <c r="AE71" s="7"/>
    </row>
    <row r="72" spans="1:31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4"/>
      <c r="I72" s="214"/>
      <c r="J72" s="215"/>
      <c r="K72" s="213"/>
      <c r="L72" s="632"/>
      <c r="M72" s="213"/>
      <c r="N72" s="213"/>
      <c r="O72" s="213"/>
      <c r="P72" s="215"/>
      <c r="Q72" s="215"/>
      <c r="R72" s="616">
        <f t="shared" si="1"/>
        <v>0</v>
      </c>
      <c r="S72" s="633"/>
      <c r="T72" s="648"/>
      <c r="U72" s="648"/>
      <c r="V72" s="7"/>
      <c r="W72" s="699"/>
      <c r="X72" s="7"/>
      <c r="Y72" s="618">
        <f t="shared" si="7"/>
        <v>0</v>
      </c>
      <c r="Z72" s="7"/>
      <c r="AA72" s="7"/>
      <c r="AB72" s="7"/>
      <c r="AC72" s="7"/>
      <c r="AD72" s="7"/>
      <c r="AE72" s="7"/>
    </row>
    <row r="73" spans="1:31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4"/>
      <c r="I73" s="214"/>
      <c r="J73" s="215"/>
      <c r="K73" s="213"/>
      <c r="L73" s="632"/>
      <c r="M73" s="213"/>
      <c r="N73" s="213"/>
      <c r="O73" s="213"/>
      <c r="P73" s="215"/>
      <c r="Q73" s="215"/>
      <c r="R73" s="616">
        <f t="shared" si="1"/>
        <v>0</v>
      </c>
      <c r="S73" s="633"/>
      <c r="T73" s="648"/>
      <c r="U73" s="648"/>
      <c r="V73" s="7"/>
      <c r="W73" s="699"/>
      <c r="X73" s="7"/>
      <c r="Y73" s="618">
        <f t="shared" si="7"/>
        <v>0</v>
      </c>
      <c r="Z73" s="7"/>
      <c r="AA73" s="7"/>
      <c r="AB73" s="7"/>
      <c r="AC73" s="7"/>
      <c r="AD73" s="7"/>
      <c r="AE73" s="7"/>
    </row>
    <row r="74" spans="1:31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4"/>
      <c r="I74" s="214"/>
      <c r="J74" s="215"/>
      <c r="K74" s="213"/>
      <c r="L74" s="632"/>
      <c r="M74" s="213"/>
      <c r="N74" s="213"/>
      <c r="O74" s="213"/>
      <c r="P74" s="215"/>
      <c r="Q74" s="215"/>
      <c r="R74" s="616">
        <f t="shared" si="1"/>
        <v>0</v>
      </c>
      <c r="S74" s="633"/>
      <c r="T74" s="648"/>
      <c r="U74" s="648"/>
      <c r="V74" s="7"/>
      <c r="W74" s="699"/>
      <c r="X74" s="7"/>
      <c r="Y74" s="618">
        <f t="shared" si="7"/>
        <v>0</v>
      </c>
      <c r="Z74" s="7"/>
      <c r="AA74" s="7"/>
      <c r="AB74" s="7"/>
      <c r="AC74" s="7"/>
      <c r="AD74" s="7"/>
      <c r="AE74" s="7"/>
    </row>
    <row r="75" spans="1:31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4"/>
      <c r="I75" s="214"/>
      <c r="J75" s="215"/>
      <c r="K75" s="213"/>
      <c r="L75" s="632"/>
      <c r="M75" s="213"/>
      <c r="N75" s="213"/>
      <c r="O75" s="213"/>
      <c r="P75" s="215"/>
      <c r="Q75" s="215"/>
      <c r="R75" s="616">
        <f t="shared" si="1"/>
        <v>0</v>
      </c>
      <c r="S75" s="633"/>
      <c r="T75" s="636"/>
      <c r="U75" s="636"/>
      <c r="V75" s="7"/>
      <c r="W75" s="699"/>
      <c r="X75" s="7"/>
      <c r="Y75" s="618">
        <f t="shared" si="7"/>
        <v>0</v>
      </c>
      <c r="Z75" s="7"/>
      <c r="AA75" s="7"/>
      <c r="AB75" s="7"/>
      <c r="AC75" s="7"/>
      <c r="AD75" s="7"/>
      <c r="AE75" s="7"/>
    </row>
    <row r="76" spans="1:31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4"/>
      <c r="I76" s="214"/>
      <c r="J76" s="215"/>
      <c r="K76" s="213"/>
      <c r="L76" s="632"/>
      <c r="M76" s="213"/>
      <c r="N76" s="213"/>
      <c r="O76" s="213"/>
      <c r="P76" s="215"/>
      <c r="Q76" s="215"/>
      <c r="R76" s="616">
        <f t="shared" si="1"/>
        <v>0</v>
      </c>
      <c r="S76" s="633"/>
      <c r="T76" s="636"/>
      <c r="U76" s="636"/>
      <c r="V76" s="7"/>
      <c r="W76" s="699"/>
      <c r="X76" s="7"/>
      <c r="Y76" s="618">
        <f t="shared" si="7"/>
        <v>0</v>
      </c>
      <c r="Z76" s="7"/>
      <c r="AA76" s="7"/>
      <c r="AB76" s="7"/>
      <c r="AC76" s="7"/>
      <c r="AD76" s="7"/>
      <c r="AE76" s="7"/>
    </row>
    <row r="77" spans="1:31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4"/>
      <c r="I77" s="214"/>
      <c r="J77" s="215"/>
      <c r="K77" s="213"/>
      <c r="L77" s="632"/>
      <c r="M77" s="213"/>
      <c r="N77" s="213"/>
      <c r="O77" s="213"/>
      <c r="P77" s="215"/>
      <c r="Q77" s="215"/>
      <c r="R77" s="616">
        <f t="shared" si="1"/>
        <v>0</v>
      </c>
      <c r="S77" s="633"/>
      <c r="T77" s="640"/>
      <c r="U77" s="640"/>
      <c r="V77" s="7"/>
      <c r="W77" s="699"/>
      <c r="X77" s="7"/>
      <c r="Y77" s="618">
        <f t="shared" si="7"/>
        <v>0</v>
      </c>
      <c r="Z77" s="7"/>
      <c r="AA77" s="7"/>
      <c r="AB77" s="7"/>
      <c r="AC77" s="7"/>
      <c r="AD77" s="7"/>
      <c r="AE77" s="7"/>
    </row>
    <row r="78" spans="1:31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4"/>
      <c r="I78" s="214"/>
      <c r="J78" s="215"/>
      <c r="K78" s="213"/>
      <c r="L78" s="632"/>
      <c r="M78" s="213"/>
      <c r="N78" s="213"/>
      <c r="O78" s="213"/>
      <c r="P78" s="215"/>
      <c r="Q78" s="215"/>
      <c r="R78" s="616">
        <f t="shared" si="1"/>
        <v>0</v>
      </c>
      <c r="S78" s="633"/>
      <c r="T78" s="636"/>
      <c r="U78" s="636"/>
      <c r="V78" s="7"/>
      <c r="W78" s="699"/>
      <c r="X78" s="7"/>
      <c r="Y78" s="618">
        <f t="shared" si="7"/>
        <v>0</v>
      </c>
      <c r="Z78" s="7"/>
      <c r="AA78" s="7"/>
      <c r="AB78" s="7"/>
      <c r="AC78" s="7"/>
      <c r="AD78" s="7"/>
      <c r="AE78" s="7"/>
    </row>
    <row r="79" spans="1:31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4"/>
      <c r="I79" s="214"/>
      <c r="J79" s="215"/>
      <c r="K79" s="213"/>
      <c r="L79" s="632"/>
      <c r="M79" s="213"/>
      <c r="N79" s="213"/>
      <c r="O79" s="213"/>
      <c r="P79" s="215"/>
      <c r="Q79" s="215"/>
      <c r="R79" s="616">
        <f t="shared" si="1"/>
        <v>0</v>
      </c>
      <c r="S79" s="633"/>
      <c r="T79" s="634"/>
      <c r="U79" s="634"/>
      <c r="V79" s="7"/>
      <c r="W79" s="699"/>
      <c r="X79" s="7"/>
      <c r="Y79" s="618">
        <f t="shared" si="7"/>
        <v>0</v>
      </c>
      <c r="Z79" s="7"/>
      <c r="AA79" s="7"/>
      <c r="AB79" s="7"/>
      <c r="AC79" s="7"/>
      <c r="AD79" s="7"/>
      <c r="AE79" s="7"/>
    </row>
    <row r="80" spans="1:31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4"/>
      <c r="I80" s="214"/>
      <c r="J80" s="215"/>
      <c r="K80" s="213"/>
      <c r="L80" s="632"/>
      <c r="M80" s="213"/>
      <c r="N80" s="213"/>
      <c r="O80" s="213"/>
      <c r="P80" s="215"/>
      <c r="Q80" s="215"/>
      <c r="R80" s="616">
        <f t="shared" si="1"/>
        <v>0</v>
      </c>
      <c r="S80" s="633"/>
      <c r="T80" s="634"/>
      <c r="U80" s="634"/>
      <c r="V80" s="7"/>
      <c r="W80" s="699"/>
      <c r="X80" s="7"/>
      <c r="Y80" s="618">
        <f t="shared" si="7"/>
        <v>0</v>
      </c>
      <c r="Z80" s="7"/>
      <c r="AA80" s="7"/>
      <c r="AB80" s="7"/>
      <c r="AC80" s="7"/>
      <c r="AD80" s="7"/>
      <c r="AE80" s="7"/>
    </row>
    <row r="81" spans="1:31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4"/>
      <c r="I81" s="214"/>
      <c r="J81" s="215"/>
      <c r="K81" s="213"/>
      <c r="L81" s="632"/>
      <c r="M81" s="213"/>
      <c r="N81" s="213"/>
      <c r="O81" s="213"/>
      <c r="P81" s="215"/>
      <c r="Q81" s="215"/>
      <c r="R81" s="616">
        <f t="shared" si="1"/>
        <v>0</v>
      </c>
      <c r="S81" s="633"/>
      <c r="T81" s="634"/>
      <c r="U81" s="634"/>
      <c r="V81" s="7"/>
      <c r="W81" s="699"/>
      <c r="X81" s="7"/>
      <c r="Y81" s="618">
        <f t="shared" si="7"/>
        <v>0</v>
      </c>
      <c r="Z81" s="7"/>
      <c r="AA81" s="7"/>
      <c r="AB81" s="7"/>
      <c r="AC81" s="7"/>
      <c r="AD81" s="7"/>
      <c r="AE81" s="7"/>
    </row>
    <row r="82" spans="1:31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4"/>
      <c r="I82" s="214"/>
      <c r="J82" s="215"/>
      <c r="K82" s="213"/>
      <c r="L82" s="632"/>
      <c r="M82" s="213"/>
      <c r="N82" s="213"/>
      <c r="O82" s="213"/>
      <c r="P82" s="215"/>
      <c r="Q82" s="215"/>
      <c r="R82" s="616">
        <f t="shared" si="1"/>
        <v>0</v>
      </c>
      <c r="S82" s="633"/>
      <c r="T82" s="634"/>
      <c r="U82" s="634"/>
      <c r="V82" s="7"/>
      <c r="W82" s="699"/>
      <c r="X82" s="7"/>
      <c r="Y82" s="618">
        <f t="shared" si="7"/>
        <v>0</v>
      </c>
      <c r="Z82" s="7"/>
      <c r="AA82" s="7"/>
      <c r="AB82" s="7"/>
      <c r="AC82" s="7"/>
      <c r="AD82" s="7"/>
      <c r="AE82" s="7"/>
    </row>
    <row r="83" spans="1:31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4"/>
      <c r="I83" s="214"/>
      <c r="J83" s="215"/>
      <c r="K83" s="213"/>
      <c r="L83" s="632"/>
      <c r="M83" s="213"/>
      <c r="N83" s="213"/>
      <c r="O83" s="213"/>
      <c r="P83" s="215"/>
      <c r="Q83" s="215"/>
      <c r="R83" s="616">
        <f t="shared" si="1"/>
        <v>0</v>
      </c>
      <c r="S83" s="633"/>
      <c r="T83" s="636"/>
      <c r="U83" s="636"/>
      <c r="V83" s="7"/>
      <c r="W83" s="699"/>
      <c r="X83" s="7"/>
      <c r="Y83" s="618">
        <f t="shared" si="7"/>
        <v>0</v>
      </c>
      <c r="Z83" s="7"/>
      <c r="AA83" s="7"/>
      <c r="AB83" s="7"/>
      <c r="AC83" s="7"/>
      <c r="AD83" s="7"/>
      <c r="AE83" s="7"/>
    </row>
    <row r="84" spans="1:31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4"/>
      <c r="I84" s="214"/>
      <c r="J84" s="215"/>
      <c r="K84" s="213"/>
      <c r="L84" s="632"/>
      <c r="M84" s="213"/>
      <c r="N84" s="213"/>
      <c r="O84" s="213"/>
      <c r="P84" s="215"/>
      <c r="Q84" s="215"/>
      <c r="R84" s="616">
        <f t="shared" si="1"/>
        <v>0</v>
      </c>
      <c r="S84" s="633"/>
      <c r="T84" s="648"/>
      <c r="U84" s="648"/>
      <c r="V84" s="7"/>
      <c r="W84" s="699"/>
      <c r="X84" s="7"/>
      <c r="Y84" s="618">
        <f t="shared" si="7"/>
        <v>0</v>
      </c>
      <c r="Z84" s="7"/>
      <c r="AA84" s="7"/>
      <c r="AB84" s="7"/>
      <c r="AC84" s="7"/>
      <c r="AD84" s="7"/>
      <c r="AE84" s="7"/>
    </row>
    <row r="85" spans="1:31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4"/>
      <c r="I85" s="214"/>
      <c r="J85" s="215"/>
      <c r="K85" s="213"/>
      <c r="L85" s="632"/>
      <c r="M85" s="213"/>
      <c r="N85" s="213"/>
      <c r="O85" s="213"/>
      <c r="P85" s="215"/>
      <c r="Q85" s="215"/>
      <c r="R85" s="616">
        <f t="shared" si="1"/>
        <v>0</v>
      </c>
      <c r="S85" s="633"/>
      <c r="T85" s="648"/>
      <c r="U85" s="648"/>
      <c r="V85" s="7"/>
      <c r="W85" s="699"/>
      <c r="X85" s="7"/>
      <c r="Y85" s="618">
        <f t="shared" si="7"/>
        <v>0</v>
      </c>
      <c r="Z85" s="7"/>
      <c r="AA85" s="7"/>
      <c r="AB85" s="7"/>
      <c r="AC85" s="7"/>
      <c r="AD85" s="7"/>
      <c r="AE85" s="7"/>
    </row>
    <row r="86" spans="1:31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4"/>
      <c r="I86" s="214"/>
      <c r="J86" s="215"/>
      <c r="K86" s="213"/>
      <c r="L86" s="632"/>
      <c r="M86" s="213"/>
      <c r="N86" s="213"/>
      <c r="O86" s="213"/>
      <c r="P86" s="215"/>
      <c r="Q86" s="215"/>
      <c r="R86" s="616">
        <f t="shared" si="1"/>
        <v>0</v>
      </c>
      <c r="S86" s="633"/>
      <c r="T86" s="648"/>
      <c r="U86" s="648"/>
      <c r="V86" s="7"/>
      <c r="W86" s="699"/>
      <c r="X86" s="7"/>
      <c r="Y86" s="618">
        <f t="shared" si="7"/>
        <v>0</v>
      </c>
      <c r="Z86" s="7"/>
      <c r="AA86" s="7"/>
      <c r="AB86" s="7"/>
      <c r="AC86" s="7"/>
      <c r="AD86" s="7"/>
      <c r="AE86" s="7"/>
    </row>
    <row r="87" spans="1:31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4"/>
      <c r="I87" s="214"/>
      <c r="J87" s="215"/>
      <c r="K87" s="213"/>
      <c r="L87" s="632"/>
      <c r="M87" s="213"/>
      <c r="N87" s="213"/>
      <c r="O87" s="213"/>
      <c r="P87" s="215"/>
      <c r="Q87" s="215"/>
      <c r="R87" s="616">
        <f t="shared" si="1"/>
        <v>0</v>
      </c>
      <c r="S87" s="633"/>
      <c r="T87" s="636"/>
      <c r="U87" s="636"/>
      <c r="V87" s="7"/>
      <c r="W87" s="699"/>
      <c r="X87" s="7"/>
      <c r="Y87" s="618">
        <f t="shared" si="7"/>
        <v>0</v>
      </c>
      <c r="Z87" s="7"/>
      <c r="AA87" s="7"/>
      <c r="AB87" s="7"/>
      <c r="AC87" s="7"/>
      <c r="AD87" s="7"/>
      <c r="AE87" s="7"/>
    </row>
    <row r="88" spans="1:31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4"/>
      <c r="I88" s="214"/>
      <c r="J88" s="215"/>
      <c r="K88" s="213"/>
      <c r="L88" s="632"/>
      <c r="M88" s="213"/>
      <c r="N88" s="213"/>
      <c r="O88" s="213"/>
      <c r="P88" s="215"/>
      <c r="Q88" s="215"/>
      <c r="R88" s="616">
        <f t="shared" si="1"/>
        <v>0</v>
      </c>
      <c r="S88" s="633"/>
      <c r="T88" s="636"/>
      <c r="U88" s="636"/>
      <c r="V88" s="7"/>
      <c r="W88" s="699"/>
      <c r="X88" s="7"/>
      <c r="Y88" s="618">
        <f t="shared" si="7"/>
        <v>0</v>
      </c>
      <c r="Z88" s="7"/>
      <c r="AA88" s="7"/>
      <c r="AB88" s="7"/>
      <c r="AC88" s="7"/>
      <c r="AD88" s="7"/>
      <c r="AE88" s="7"/>
    </row>
    <row r="89" spans="1:31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4"/>
      <c r="I89" s="214"/>
      <c r="J89" s="215"/>
      <c r="K89" s="213"/>
      <c r="L89" s="632"/>
      <c r="M89" s="213"/>
      <c r="N89" s="213"/>
      <c r="O89" s="213"/>
      <c r="P89" s="215"/>
      <c r="Q89" s="215"/>
      <c r="R89" s="616">
        <f t="shared" si="1"/>
        <v>0</v>
      </c>
      <c r="S89" s="633"/>
      <c r="T89" s="636"/>
      <c r="U89" s="636"/>
      <c r="V89" s="7"/>
      <c r="W89" s="699"/>
      <c r="X89" s="7"/>
      <c r="Y89" s="618">
        <f t="shared" si="7"/>
        <v>0</v>
      </c>
      <c r="Z89" s="7"/>
      <c r="AA89" s="7"/>
      <c r="AB89" s="7"/>
      <c r="AC89" s="7"/>
      <c r="AD89" s="7"/>
      <c r="AE89" s="7"/>
    </row>
    <row r="90" spans="1:31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4"/>
      <c r="I90" s="214"/>
      <c r="J90" s="215"/>
      <c r="K90" s="213"/>
      <c r="L90" s="632"/>
      <c r="M90" s="213"/>
      <c r="N90" s="213"/>
      <c r="O90" s="213"/>
      <c r="P90" s="215"/>
      <c r="Q90" s="215"/>
      <c r="R90" s="616">
        <f t="shared" si="1"/>
        <v>0</v>
      </c>
      <c r="S90" s="633"/>
      <c r="T90" s="640"/>
      <c r="U90" s="640"/>
      <c r="V90" s="7"/>
      <c r="W90" s="699"/>
      <c r="X90" s="7"/>
      <c r="Y90" s="618">
        <f t="shared" si="7"/>
        <v>0</v>
      </c>
      <c r="Z90" s="7"/>
      <c r="AA90" s="7"/>
      <c r="AB90" s="7"/>
      <c r="AC90" s="7"/>
      <c r="AD90" s="7"/>
      <c r="AE90" s="7"/>
    </row>
    <row r="91" spans="1:31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>
        <v>2</v>
      </c>
      <c r="H91" s="214"/>
      <c r="I91" s="214"/>
      <c r="J91" s="215"/>
      <c r="K91" s="213"/>
      <c r="L91" s="632"/>
      <c r="M91" s="213"/>
      <c r="N91" s="213"/>
      <c r="O91" s="213"/>
      <c r="P91" s="215"/>
      <c r="Q91" s="215"/>
      <c r="R91" s="616">
        <f t="shared" si="1"/>
        <v>2</v>
      </c>
      <c r="S91" s="633"/>
      <c r="T91" s="636"/>
      <c r="U91" s="636"/>
      <c r="V91" s="7"/>
      <c r="W91" s="699">
        <v>6</v>
      </c>
      <c r="X91" s="7"/>
      <c r="Y91" s="618">
        <f t="shared" si="7"/>
        <v>4</v>
      </c>
      <c r="Z91" s="7"/>
      <c r="AA91" s="7"/>
      <c r="AB91" s="7"/>
      <c r="AC91" s="7"/>
      <c r="AD91" s="7"/>
      <c r="AE91" s="7"/>
    </row>
    <row r="92" spans="1:31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4"/>
      <c r="I92" s="214"/>
      <c r="J92" s="215"/>
      <c r="K92" s="213"/>
      <c r="L92" s="632"/>
      <c r="M92" s="213"/>
      <c r="N92" s="213"/>
      <c r="O92" s="213"/>
      <c r="P92" s="215"/>
      <c r="Q92" s="215"/>
      <c r="R92" s="616">
        <f t="shared" si="1"/>
        <v>0</v>
      </c>
      <c r="S92" s="633"/>
      <c r="T92" s="636"/>
      <c r="U92" s="636"/>
      <c r="V92" s="7"/>
      <c r="W92" s="699"/>
      <c r="X92" s="7"/>
      <c r="Y92" s="618">
        <f t="shared" si="7"/>
        <v>0</v>
      </c>
      <c r="Z92" s="7"/>
      <c r="AA92" s="7"/>
      <c r="AB92" s="7"/>
      <c r="AC92" s="7"/>
      <c r="AD92" s="7"/>
      <c r="AE92" s="7"/>
    </row>
    <row r="93" spans="1:31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4"/>
      <c r="I93" s="214"/>
      <c r="J93" s="215"/>
      <c r="K93" s="213"/>
      <c r="L93" s="632"/>
      <c r="M93" s="213"/>
      <c r="N93" s="213"/>
      <c r="O93" s="213"/>
      <c r="P93" s="215"/>
      <c r="Q93" s="215"/>
      <c r="R93" s="616">
        <f t="shared" si="1"/>
        <v>0</v>
      </c>
      <c r="S93" s="633"/>
      <c r="T93" s="636"/>
      <c r="U93" s="636"/>
      <c r="V93" s="7"/>
      <c r="W93" s="699"/>
      <c r="X93" s="7"/>
      <c r="Y93" s="618">
        <f t="shared" si="7"/>
        <v>0</v>
      </c>
      <c r="Z93" s="7"/>
      <c r="AA93" s="7"/>
      <c r="AB93" s="7"/>
      <c r="AC93" s="7"/>
      <c r="AD93" s="7"/>
      <c r="AE93" s="7"/>
    </row>
    <row r="94" spans="1:31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4"/>
      <c r="I94" s="214"/>
      <c r="J94" s="215"/>
      <c r="K94" s="213"/>
      <c r="L94" s="632"/>
      <c r="M94" s="213"/>
      <c r="N94" s="213"/>
      <c r="O94" s="213"/>
      <c r="P94" s="215"/>
      <c r="Q94" s="215"/>
      <c r="R94" s="616">
        <f t="shared" si="1"/>
        <v>0</v>
      </c>
      <c r="S94" s="633"/>
      <c r="T94" s="636"/>
      <c r="U94" s="636"/>
      <c r="V94" s="7"/>
      <c r="W94" s="699"/>
      <c r="X94" s="7"/>
      <c r="Y94" s="618">
        <f t="shared" si="7"/>
        <v>0</v>
      </c>
      <c r="Z94" s="7"/>
      <c r="AA94" s="7"/>
      <c r="AB94" s="7"/>
      <c r="AC94" s="7"/>
      <c r="AD94" s="7"/>
      <c r="AE94" s="7"/>
    </row>
    <row r="95" spans="1:31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4"/>
      <c r="I95" s="214"/>
      <c r="J95" s="215"/>
      <c r="K95" s="213"/>
      <c r="L95" s="632"/>
      <c r="M95" s="213"/>
      <c r="N95" s="213"/>
      <c r="O95" s="213"/>
      <c r="P95" s="215"/>
      <c r="Q95" s="215"/>
      <c r="R95" s="616">
        <f t="shared" si="1"/>
        <v>0</v>
      </c>
      <c r="S95" s="633"/>
      <c r="T95" s="636"/>
      <c r="U95" s="636"/>
      <c r="V95" s="7"/>
      <c r="W95" s="699"/>
      <c r="X95" s="7"/>
      <c r="Y95" s="618">
        <f t="shared" si="7"/>
        <v>0</v>
      </c>
      <c r="Z95" s="7"/>
      <c r="AA95" s="7"/>
      <c r="AB95" s="7"/>
      <c r="AC95" s="7"/>
      <c r="AD95" s="7"/>
      <c r="AE95" s="7"/>
    </row>
    <row r="96" spans="1:31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4"/>
      <c r="I96" s="214"/>
      <c r="J96" s="215"/>
      <c r="K96" s="213"/>
      <c r="L96" s="632"/>
      <c r="M96" s="213"/>
      <c r="N96" s="213"/>
      <c r="O96" s="213"/>
      <c r="P96" s="215"/>
      <c r="Q96" s="215"/>
      <c r="R96" s="616">
        <f t="shared" si="1"/>
        <v>0</v>
      </c>
      <c r="S96" s="633"/>
      <c r="T96" s="636"/>
      <c r="U96" s="636"/>
      <c r="V96" s="7"/>
      <c r="W96" s="699"/>
      <c r="X96" s="7"/>
      <c r="Y96" s="618">
        <f t="shared" si="7"/>
        <v>0</v>
      </c>
      <c r="Z96" s="7"/>
      <c r="AA96" s="7"/>
      <c r="AB96" s="7"/>
      <c r="AC96" s="7"/>
      <c r="AD96" s="7"/>
      <c r="AE96" s="7"/>
    </row>
    <row r="97" spans="1:31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4"/>
      <c r="I97" s="214"/>
      <c r="J97" s="215"/>
      <c r="K97" s="213"/>
      <c r="L97" s="632"/>
      <c r="M97" s="213"/>
      <c r="N97" s="213"/>
      <c r="O97" s="213"/>
      <c r="P97" s="215"/>
      <c r="Q97" s="215"/>
      <c r="R97" s="616">
        <f t="shared" si="1"/>
        <v>0</v>
      </c>
      <c r="S97" s="633"/>
      <c r="T97" s="636"/>
      <c r="U97" s="636"/>
      <c r="V97" s="7"/>
      <c r="W97" s="699"/>
      <c r="X97" s="7"/>
      <c r="Y97" s="618">
        <f t="shared" si="7"/>
        <v>0</v>
      </c>
      <c r="Z97" s="7"/>
      <c r="AA97" s="7"/>
      <c r="AB97" s="7"/>
      <c r="AC97" s="7"/>
      <c r="AD97" s="7"/>
      <c r="AE97" s="7"/>
    </row>
    <row r="98" spans="1:31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4"/>
      <c r="I98" s="214"/>
      <c r="J98" s="215"/>
      <c r="K98" s="213"/>
      <c r="L98" s="632"/>
      <c r="M98" s="213"/>
      <c r="N98" s="213"/>
      <c r="O98" s="213"/>
      <c r="P98" s="215"/>
      <c r="Q98" s="215"/>
      <c r="R98" s="616">
        <f t="shared" si="1"/>
        <v>0</v>
      </c>
      <c r="S98" s="633"/>
      <c r="T98" s="636"/>
      <c r="U98" s="636"/>
      <c r="V98" s="7"/>
      <c r="W98" s="699"/>
      <c r="X98" s="7"/>
      <c r="Y98" s="618">
        <f t="shared" si="7"/>
        <v>0</v>
      </c>
      <c r="Z98" s="7"/>
      <c r="AA98" s="7"/>
      <c r="AB98" s="7"/>
      <c r="AC98" s="7"/>
      <c r="AD98" s="7"/>
      <c r="AE98" s="7"/>
    </row>
    <row r="99" spans="1:31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4"/>
      <c r="I99" s="214"/>
      <c r="J99" s="215"/>
      <c r="K99" s="213"/>
      <c r="L99" s="632"/>
      <c r="M99" s="213"/>
      <c r="N99" s="213"/>
      <c r="O99" s="213"/>
      <c r="P99" s="215"/>
      <c r="Q99" s="215"/>
      <c r="R99" s="616">
        <f t="shared" si="1"/>
        <v>0</v>
      </c>
      <c r="S99" s="633"/>
      <c r="T99" s="636"/>
      <c r="U99" s="636"/>
      <c r="V99" s="7"/>
      <c r="W99" s="699"/>
      <c r="X99" s="7"/>
      <c r="Y99" s="618">
        <f t="shared" si="7"/>
        <v>0</v>
      </c>
      <c r="Z99" s="7"/>
      <c r="AA99" s="7"/>
      <c r="AB99" s="7"/>
      <c r="AC99" s="7"/>
      <c r="AD99" s="7"/>
      <c r="AE99" s="7"/>
    </row>
    <row r="100" spans="1:31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4"/>
      <c r="I100" s="214"/>
      <c r="J100" s="215"/>
      <c r="K100" s="213"/>
      <c r="L100" s="632"/>
      <c r="M100" s="213"/>
      <c r="N100" s="213"/>
      <c r="O100" s="213"/>
      <c r="P100" s="215"/>
      <c r="Q100" s="215"/>
      <c r="R100" s="616">
        <f t="shared" si="1"/>
        <v>0</v>
      </c>
      <c r="S100" s="633"/>
      <c r="T100" s="636"/>
      <c r="U100" s="636"/>
      <c r="V100" s="7"/>
      <c r="W100" s="699"/>
      <c r="X100" s="7"/>
      <c r="Y100" s="618">
        <f t="shared" si="7"/>
        <v>0</v>
      </c>
      <c r="Z100" s="7"/>
      <c r="AA100" s="7"/>
      <c r="AB100" s="7"/>
      <c r="AC100" s="7"/>
      <c r="AD100" s="7"/>
      <c r="AE100" s="7"/>
    </row>
    <row r="101" spans="1:31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4"/>
      <c r="I101" s="214"/>
      <c r="J101" s="215"/>
      <c r="K101" s="213"/>
      <c r="L101" s="632"/>
      <c r="M101" s="213"/>
      <c r="N101" s="213"/>
      <c r="O101" s="213"/>
      <c r="P101" s="215"/>
      <c r="Q101" s="215"/>
      <c r="R101" s="616">
        <f t="shared" si="1"/>
        <v>0</v>
      </c>
      <c r="S101" s="633"/>
      <c r="T101" s="636"/>
      <c r="U101" s="636"/>
      <c r="V101" s="7"/>
      <c r="W101" s="699"/>
      <c r="X101" s="7"/>
      <c r="Y101" s="618">
        <f t="shared" si="7"/>
        <v>0</v>
      </c>
      <c r="Z101" s="7"/>
      <c r="AA101" s="7"/>
      <c r="AB101" s="7"/>
      <c r="AC101" s="7"/>
      <c r="AD101" s="7"/>
      <c r="AE101" s="7"/>
    </row>
    <row r="102" spans="1:31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4"/>
      <c r="I102" s="214"/>
      <c r="J102" s="215"/>
      <c r="K102" s="213"/>
      <c r="L102" s="632"/>
      <c r="M102" s="213"/>
      <c r="N102" s="213"/>
      <c r="O102" s="213"/>
      <c r="P102" s="215"/>
      <c r="Q102" s="215"/>
      <c r="R102" s="616">
        <f t="shared" si="1"/>
        <v>0</v>
      </c>
      <c r="S102" s="633"/>
      <c r="T102" s="636"/>
      <c r="U102" s="636"/>
      <c r="V102" s="7"/>
      <c r="W102" s="699"/>
      <c r="X102" s="7"/>
      <c r="Y102" s="618">
        <f t="shared" si="7"/>
        <v>0</v>
      </c>
      <c r="Z102" s="7"/>
      <c r="AA102" s="7"/>
      <c r="AB102" s="7"/>
      <c r="AC102" s="7"/>
      <c r="AD102" s="7"/>
      <c r="AE102" s="7"/>
    </row>
    <row r="103" spans="1:31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4"/>
      <c r="I103" s="214"/>
      <c r="J103" s="215"/>
      <c r="K103" s="213"/>
      <c r="L103" s="632"/>
      <c r="M103" s="213"/>
      <c r="N103" s="213"/>
      <c r="O103" s="213"/>
      <c r="P103" s="215"/>
      <c r="Q103" s="215"/>
      <c r="R103" s="616">
        <f t="shared" si="1"/>
        <v>0</v>
      </c>
      <c r="S103" s="650" t="s">
        <v>1579</v>
      </c>
      <c r="T103" s="640"/>
      <c r="U103" s="640"/>
      <c r="V103" s="7"/>
      <c r="W103" s="699"/>
      <c r="X103" s="7"/>
      <c r="Y103" s="618">
        <f t="shared" si="7"/>
        <v>0</v>
      </c>
      <c r="Z103" s="7"/>
      <c r="AA103" s="7"/>
      <c r="AB103" s="7"/>
      <c r="AC103" s="7"/>
      <c r="AD103" s="7"/>
      <c r="AE103" s="7"/>
    </row>
    <row r="104" spans="1:31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/>
      <c r="G104" s="213"/>
      <c r="H104" s="214">
        <v>31</v>
      </c>
      <c r="I104" s="214">
        <v>18.25</v>
      </c>
      <c r="J104" s="215">
        <f>16.1+12.01</f>
        <v>28.11</v>
      </c>
      <c r="K104" s="213">
        <v>20</v>
      </c>
      <c r="L104" s="632"/>
      <c r="M104" s="213"/>
      <c r="N104" s="213"/>
      <c r="O104" s="213"/>
      <c r="P104" s="215"/>
      <c r="Q104" s="215"/>
      <c r="R104" s="616">
        <f t="shared" si="1"/>
        <v>97.36</v>
      </c>
      <c r="S104" s="633">
        <f>R104+R126+R115</f>
        <v>443.27</v>
      </c>
      <c r="T104" s="636"/>
      <c r="U104" s="636"/>
      <c r="V104" s="7"/>
      <c r="W104" s="699">
        <v>46.36</v>
      </c>
      <c r="X104" s="7"/>
      <c r="Y104" s="618"/>
      <c r="Z104" s="7"/>
      <c r="AA104" s="7"/>
      <c r="AB104" s="7"/>
      <c r="AC104" s="7"/>
      <c r="AD104" s="7"/>
      <c r="AE104" s="7"/>
    </row>
    <row r="105" spans="1:31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4"/>
      <c r="I105" s="214"/>
      <c r="J105" s="215"/>
      <c r="K105" s="213"/>
      <c r="L105" s="632"/>
      <c r="M105" s="213"/>
      <c r="N105" s="213"/>
      <c r="O105" s="213"/>
      <c r="P105" s="215"/>
      <c r="Q105" s="215"/>
      <c r="R105" s="616">
        <f t="shared" si="1"/>
        <v>0</v>
      </c>
      <c r="S105" s="633"/>
      <c r="T105" s="654"/>
      <c r="U105" s="654"/>
      <c r="V105" s="7"/>
      <c r="W105" s="699">
        <v>46.36</v>
      </c>
      <c r="X105" s="7"/>
      <c r="Y105" s="618"/>
      <c r="Z105" s="7"/>
      <c r="AA105" s="7"/>
      <c r="AB105" s="7"/>
      <c r="AC105" s="7"/>
      <c r="AD105" s="7"/>
      <c r="AE105" s="7"/>
    </row>
    <row r="106" spans="1:31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4"/>
      <c r="I106" s="214"/>
      <c r="J106" s="215"/>
      <c r="K106" s="213"/>
      <c r="L106" s="632"/>
      <c r="M106" s="213"/>
      <c r="N106" s="213"/>
      <c r="O106" s="213"/>
      <c r="P106" s="215"/>
      <c r="Q106" s="215"/>
      <c r="R106" s="616">
        <f t="shared" si="1"/>
        <v>0</v>
      </c>
      <c r="S106" s="633"/>
      <c r="T106" s="648"/>
      <c r="U106" s="648"/>
      <c r="V106" s="7"/>
      <c r="W106" s="699">
        <v>18.38</v>
      </c>
      <c r="X106" s="7"/>
      <c r="Y106" s="618"/>
      <c r="Z106" s="7"/>
      <c r="AA106" s="7"/>
      <c r="AB106" s="7"/>
      <c r="AC106" s="7"/>
      <c r="AD106" s="7"/>
      <c r="AE106" s="7"/>
    </row>
    <row r="107" spans="1:31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4"/>
      <c r="I107" s="214"/>
      <c r="J107" s="215"/>
      <c r="K107" s="213"/>
      <c r="L107" s="632"/>
      <c r="M107" s="213"/>
      <c r="N107" s="213"/>
      <c r="O107" s="213"/>
      <c r="P107" s="215"/>
      <c r="Q107" s="215"/>
      <c r="R107" s="616">
        <f t="shared" si="1"/>
        <v>0</v>
      </c>
      <c r="S107" s="633"/>
      <c r="T107" s="648"/>
      <c r="U107" s="648"/>
      <c r="V107" s="7"/>
      <c r="W107" s="699">
        <v>2.5</v>
      </c>
      <c r="X107" s="7"/>
      <c r="Y107" s="618"/>
      <c r="Z107" s="7"/>
      <c r="AA107" s="7"/>
      <c r="AB107" s="7"/>
      <c r="AC107" s="7"/>
      <c r="AD107" s="7"/>
      <c r="AE107" s="7"/>
    </row>
    <row r="108" spans="1:31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4"/>
      <c r="I108" s="214"/>
      <c r="J108" s="215"/>
      <c r="K108" s="213"/>
      <c r="L108" s="632"/>
      <c r="M108" s="213"/>
      <c r="N108" s="213"/>
      <c r="O108" s="213"/>
      <c r="P108" s="215"/>
      <c r="Q108" s="215"/>
      <c r="R108" s="616">
        <f t="shared" si="1"/>
        <v>0</v>
      </c>
      <c r="S108" s="633"/>
      <c r="T108" s="648"/>
      <c r="U108" s="648"/>
      <c r="V108" s="7"/>
      <c r="W108" s="699">
        <v>16</v>
      </c>
      <c r="X108" s="7"/>
      <c r="Y108" s="618"/>
      <c r="Z108" s="7"/>
      <c r="AA108" s="7"/>
      <c r="AB108" s="7"/>
      <c r="AC108" s="7"/>
      <c r="AD108" s="7"/>
      <c r="AE108" s="7"/>
    </row>
    <row r="109" spans="1:31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4"/>
      <c r="I109" s="214"/>
      <c r="J109" s="215"/>
      <c r="K109" s="213"/>
      <c r="L109" s="632"/>
      <c r="M109" s="213"/>
      <c r="N109" s="213"/>
      <c r="O109" s="213"/>
      <c r="P109" s="215"/>
      <c r="Q109" s="215"/>
      <c r="R109" s="616">
        <f t="shared" si="1"/>
        <v>0</v>
      </c>
      <c r="S109" s="633"/>
      <c r="T109" s="648"/>
      <c r="U109" s="648"/>
      <c r="V109" s="7"/>
      <c r="W109" s="699">
        <v>9.48</v>
      </c>
      <c r="X109" s="7"/>
      <c r="Y109" s="618"/>
      <c r="Z109" s="7"/>
      <c r="AA109" s="7"/>
      <c r="AB109" s="7"/>
      <c r="AC109" s="7"/>
      <c r="AD109" s="7"/>
      <c r="AE109" s="7"/>
    </row>
    <row r="110" spans="1:31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4"/>
      <c r="I110" s="214"/>
      <c r="J110" s="215"/>
      <c r="K110" s="213"/>
      <c r="L110" s="632"/>
      <c r="M110" s="213"/>
      <c r="N110" s="213"/>
      <c r="O110" s="213"/>
      <c r="P110" s="215"/>
      <c r="Q110" s="215"/>
      <c r="R110" s="616">
        <f t="shared" si="1"/>
        <v>0</v>
      </c>
      <c r="S110" s="633"/>
      <c r="T110" s="654"/>
      <c r="U110" s="654"/>
      <c r="V110" s="7"/>
      <c r="W110" s="699"/>
      <c r="X110" s="7"/>
      <c r="Y110" s="618"/>
      <c r="Z110" s="7"/>
      <c r="AA110" s="7"/>
      <c r="AB110" s="7"/>
      <c r="AC110" s="7"/>
      <c r="AD110" s="7"/>
      <c r="AE110" s="7"/>
    </row>
    <row r="111" spans="1:31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4"/>
      <c r="I111" s="214"/>
      <c r="J111" s="215"/>
      <c r="K111" s="213"/>
      <c r="L111" s="632"/>
      <c r="M111" s="213"/>
      <c r="N111" s="213"/>
      <c r="O111" s="213"/>
      <c r="P111" s="215"/>
      <c r="Q111" s="215"/>
      <c r="R111" s="616">
        <f t="shared" si="1"/>
        <v>0</v>
      </c>
      <c r="S111" s="633"/>
      <c r="T111" s="634"/>
      <c r="U111" s="634"/>
      <c r="V111" s="7"/>
      <c r="W111" s="699"/>
      <c r="X111" s="7"/>
      <c r="Y111" s="618"/>
      <c r="Z111" s="7"/>
      <c r="AA111" s="7"/>
      <c r="AB111" s="7"/>
      <c r="AC111" s="7"/>
      <c r="AD111" s="7"/>
      <c r="AE111" s="7"/>
    </row>
    <row r="112" spans="1:31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4"/>
      <c r="I112" s="214"/>
      <c r="J112" s="215"/>
      <c r="K112" s="213"/>
      <c r="L112" s="632"/>
      <c r="M112" s="213"/>
      <c r="N112" s="213"/>
      <c r="O112" s="213"/>
      <c r="P112" s="215"/>
      <c r="Q112" s="215"/>
      <c r="R112" s="616">
        <f t="shared" si="1"/>
        <v>0</v>
      </c>
      <c r="S112" s="633"/>
      <c r="T112" s="634"/>
      <c r="U112" s="634"/>
      <c r="V112" s="7"/>
      <c r="W112" s="699"/>
      <c r="X112" s="7"/>
      <c r="Y112" s="618"/>
      <c r="Z112" s="7"/>
      <c r="AA112" s="7"/>
      <c r="AB112" s="7"/>
      <c r="AC112" s="7"/>
      <c r="AD112" s="7"/>
      <c r="AE112" s="7"/>
    </row>
    <row r="113" spans="1:31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4"/>
      <c r="I113" s="214"/>
      <c r="J113" s="215"/>
      <c r="K113" s="213"/>
      <c r="L113" s="632"/>
      <c r="M113" s="213"/>
      <c r="N113" s="213"/>
      <c r="O113" s="213"/>
      <c r="P113" s="215"/>
      <c r="Q113" s="215"/>
      <c r="R113" s="616">
        <f t="shared" si="1"/>
        <v>0</v>
      </c>
      <c r="S113" s="633"/>
      <c r="T113" s="634"/>
      <c r="U113" s="634"/>
      <c r="V113" s="7"/>
      <c r="W113" s="699"/>
      <c r="X113" s="7"/>
      <c r="Y113" s="618"/>
      <c r="Z113" s="7"/>
      <c r="AA113" s="7"/>
      <c r="AB113" s="7"/>
      <c r="AC113" s="7"/>
      <c r="AD113" s="7"/>
      <c r="AE113" s="7"/>
    </row>
    <row r="114" spans="1:31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4"/>
      <c r="I114" s="214"/>
      <c r="J114" s="215"/>
      <c r="K114" s="213"/>
      <c r="L114" s="632"/>
      <c r="M114" s="213"/>
      <c r="N114" s="213"/>
      <c r="O114" s="213"/>
      <c r="P114" s="215"/>
      <c r="Q114" s="215"/>
      <c r="R114" s="616">
        <f t="shared" si="1"/>
        <v>0</v>
      </c>
      <c r="S114" s="633"/>
      <c r="T114" s="634"/>
      <c r="U114" s="634"/>
      <c r="V114" s="7"/>
      <c r="W114" s="699"/>
      <c r="X114" s="7"/>
      <c r="Y114" s="618"/>
      <c r="Z114" s="7"/>
      <c r="AA114" s="7"/>
      <c r="AB114" s="7"/>
      <c r="AC114" s="7"/>
      <c r="AD114" s="7"/>
      <c r="AE114" s="7"/>
    </row>
    <row r="115" spans="1:31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4"/>
      <c r="I115" s="214"/>
      <c r="J115" s="215"/>
      <c r="K115" s="213">
        <v>0.35</v>
      </c>
      <c r="L115" s="632"/>
      <c r="M115" s="213"/>
      <c r="N115" s="213"/>
      <c r="O115" s="213"/>
      <c r="P115" s="215"/>
      <c r="Q115" s="215"/>
      <c r="R115" s="616">
        <f t="shared" si="1"/>
        <v>0.35</v>
      </c>
      <c r="S115" s="633"/>
      <c r="T115" s="636"/>
      <c r="U115" s="636"/>
      <c r="V115" s="7"/>
      <c r="W115" s="699">
        <v>12.4625</v>
      </c>
      <c r="X115" s="7"/>
      <c r="Y115" s="618">
        <f t="shared" ref="Y115:Y126" si="8">W115-R115</f>
        <v>12.112500000000001</v>
      </c>
      <c r="Z115" s="7"/>
      <c r="AA115" s="7"/>
      <c r="AB115" s="7"/>
      <c r="AC115" s="7"/>
      <c r="AD115" s="7"/>
      <c r="AE115" s="7"/>
    </row>
    <row r="116" spans="1:31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4"/>
      <c r="I116" s="214"/>
      <c r="J116" s="215"/>
      <c r="K116" s="213"/>
      <c r="L116" s="632"/>
      <c r="M116" s="213"/>
      <c r="N116" s="213"/>
      <c r="O116" s="213"/>
      <c r="P116" s="215"/>
      <c r="Q116" s="215"/>
      <c r="R116" s="616">
        <f t="shared" si="1"/>
        <v>0</v>
      </c>
      <c r="S116" s="633"/>
      <c r="T116" s="654"/>
      <c r="U116" s="654"/>
      <c r="V116" s="7"/>
      <c r="W116" s="699">
        <v>11.3</v>
      </c>
      <c r="X116" s="7"/>
      <c r="Y116" s="618">
        <f t="shared" si="8"/>
        <v>11.3</v>
      </c>
      <c r="Z116" s="7"/>
      <c r="AA116" s="7"/>
      <c r="AB116" s="7"/>
      <c r="AC116" s="7"/>
      <c r="AD116" s="7"/>
      <c r="AE116" s="7"/>
    </row>
    <row r="117" spans="1:31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4"/>
      <c r="I117" s="214"/>
      <c r="J117" s="215"/>
      <c r="K117" s="213"/>
      <c r="L117" s="632"/>
      <c r="M117" s="213"/>
      <c r="N117" s="213"/>
      <c r="O117" s="213"/>
      <c r="P117" s="215"/>
      <c r="Q117" s="215"/>
      <c r="R117" s="616">
        <f t="shared" si="1"/>
        <v>0</v>
      </c>
      <c r="S117" s="633"/>
      <c r="T117" s="648"/>
      <c r="U117" s="648"/>
      <c r="V117" s="7"/>
      <c r="W117" s="699"/>
      <c r="X117" s="7"/>
      <c r="Y117" s="618">
        <f t="shared" si="8"/>
        <v>0</v>
      </c>
      <c r="Z117" s="7"/>
      <c r="AA117" s="7"/>
      <c r="AB117" s="7"/>
      <c r="AC117" s="7"/>
      <c r="AD117" s="7"/>
      <c r="AE117" s="7"/>
    </row>
    <row r="118" spans="1:31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4"/>
      <c r="I118" s="214"/>
      <c r="J118" s="215"/>
      <c r="K118" s="213"/>
      <c r="L118" s="632"/>
      <c r="M118" s="213"/>
      <c r="N118" s="213"/>
      <c r="O118" s="213"/>
      <c r="P118" s="215"/>
      <c r="Q118" s="215"/>
      <c r="R118" s="616">
        <f t="shared" si="1"/>
        <v>0</v>
      </c>
      <c r="S118" s="633"/>
      <c r="T118" s="648"/>
      <c r="U118" s="648"/>
      <c r="V118" s="7"/>
      <c r="W118" s="699"/>
      <c r="X118" s="7"/>
      <c r="Y118" s="618">
        <f t="shared" si="8"/>
        <v>0</v>
      </c>
      <c r="Z118" s="7"/>
      <c r="AA118" s="7"/>
      <c r="AB118" s="7"/>
      <c r="AC118" s="7"/>
      <c r="AD118" s="7"/>
      <c r="AE118" s="7"/>
    </row>
    <row r="119" spans="1:31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4"/>
      <c r="I119" s="214"/>
      <c r="J119" s="215"/>
      <c r="K119" s="213"/>
      <c r="L119" s="632"/>
      <c r="M119" s="213"/>
      <c r="N119" s="213"/>
      <c r="O119" s="213"/>
      <c r="P119" s="215"/>
      <c r="Q119" s="215"/>
      <c r="R119" s="616">
        <f t="shared" si="1"/>
        <v>0</v>
      </c>
      <c r="S119" s="633"/>
      <c r="T119" s="648"/>
      <c r="U119" s="648"/>
      <c r="V119" s="7"/>
      <c r="W119" s="699"/>
      <c r="X119" s="7"/>
      <c r="Y119" s="618">
        <f t="shared" si="8"/>
        <v>0</v>
      </c>
      <c r="Z119" s="7"/>
      <c r="AA119" s="7"/>
      <c r="AB119" s="7"/>
      <c r="AC119" s="7"/>
      <c r="AD119" s="7"/>
      <c r="AE119" s="7"/>
    </row>
    <row r="120" spans="1:31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4"/>
      <c r="I120" s="214"/>
      <c r="J120" s="215"/>
      <c r="K120" s="213"/>
      <c r="L120" s="632"/>
      <c r="M120" s="213"/>
      <c r="N120" s="213"/>
      <c r="O120" s="213"/>
      <c r="P120" s="215"/>
      <c r="Q120" s="215"/>
      <c r="R120" s="616">
        <f t="shared" si="1"/>
        <v>0</v>
      </c>
      <c r="S120" s="633"/>
      <c r="T120" s="648"/>
      <c r="U120" s="648"/>
      <c r="V120" s="7"/>
      <c r="W120" s="699"/>
      <c r="X120" s="7"/>
      <c r="Y120" s="618">
        <f t="shared" si="8"/>
        <v>0</v>
      </c>
      <c r="Z120" s="7"/>
      <c r="AA120" s="7"/>
      <c r="AB120" s="7"/>
      <c r="AC120" s="7"/>
      <c r="AD120" s="7"/>
      <c r="AE120" s="7"/>
    </row>
    <row r="121" spans="1:31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4"/>
      <c r="I121" s="214"/>
      <c r="J121" s="215"/>
      <c r="K121" s="213"/>
      <c r="L121" s="632"/>
      <c r="M121" s="213"/>
      <c r="N121" s="213"/>
      <c r="O121" s="213"/>
      <c r="P121" s="215"/>
      <c r="Q121" s="215"/>
      <c r="R121" s="616">
        <f t="shared" si="1"/>
        <v>0</v>
      </c>
      <c r="S121" s="633"/>
      <c r="T121" s="654"/>
      <c r="U121" s="654"/>
      <c r="V121" s="7"/>
      <c r="W121" s="699">
        <v>1.1625000000000001</v>
      </c>
      <c r="X121" s="7"/>
      <c r="Y121" s="618">
        <f t="shared" si="8"/>
        <v>1.1625000000000001</v>
      </c>
      <c r="Z121" s="7"/>
      <c r="AA121" s="7"/>
      <c r="AB121" s="7"/>
      <c r="AC121" s="7"/>
      <c r="AD121" s="7"/>
      <c r="AE121" s="7"/>
    </row>
    <row r="122" spans="1:31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4"/>
      <c r="I122" s="214"/>
      <c r="J122" s="215"/>
      <c r="K122" s="213"/>
      <c r="L122" s="632"/>
      <c r="M122" s="213"/>
      <c r="N122" s="213"/>
      <c r="O122" s="213"/>
      <c r="P122" s="215"/>
      <c r="Q122" s="215"/>
      <c r="R122" s="616">
        <f t="shared" si="1"/>
        <v>0</v>
      </c>
      <c r="S122" s="633"/>
      <c r="T122" s="648"/>
      <c r="U122" s="648"/>
      <c r="V122" s="7"/>
      <c r="W122" s="699"/>
      <c r="X122" s="7"/>
      <c r="Y122" s="618">
        <f t="shared" si="8"/>
        <v>0</v>
      </c>
      <c r="Z122" s="7"/>
      <c r="AA122" s="7"/>
      <c r="AB122" s="7"/>
      <c r="AC122" s="7"/>
      <c r="AD122" s="7"/>
      <c r="AE122" s="7"/>
    </row>
    <row r="123" spans="1:31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4"/>
      <c r="I123" s="214"/>
      <c r="J123" s="215"/>
      <c r="K123" s="213"/>
      <c r="L123" s="632"/>
      <c r="M123" s="213"/>
      <c r="N123" s="213"/>
      <c r="O123" s="213"/>
      <c r="P123" s="215"/>
      <c r="Q123" s="215"/>
      <c r="R123" s="616">
        <f t="shared" si="1"/>
        <v>0</v>
      </c>
      <c r="S123" s="633"/>
      <c r="T123" s="648"/>
      <c r="U123" s="648"/>
      <c r="V123" s="7"/>
      <c r="W123" s="699"/>
      <c r="X123" s="7"/>
      <c r="Y123" s="618">
        <f t="shared" si="8"/>
        <v>0</v>
      </c>
      <c r="Z123" s="7"/>
      <c r="AA123" s="7"/>
      <c r="AB123" s="7"/>
      <c r="AC123" s="7"/>
      <c r="AD123" s="7"/>
      <c r="AE123" s="7"/>
    </row>
    <row r="124" spans="1:31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4"/>
      <c r="I124" s="214"/>
      <c r="J124" s="215"/>
      <c r="K124" s="213"/>
      <c r="L124" s="632"/>
      <c r="M124" s="213"/>
      <c r="N124" s="213"/>
      <c r="O124" s="213"/>
      <c r="P124" s="215"/>
      <c r="Q124" s="215"/>
      <c r="R124" s="616">
        <f t="shared" si="1"/>
        <v>0</v>
      </c>
      <c r="S124" s="633"/>
      <c r="T124" s="648"/>
      <c r="U124" s="648"/>
      <c r="V124" s="7"/>
      <c r="W124" s="699"/>
      <c r="X124" s="7"/>
      <c r="Y124" s="618">
        <f t="shared" si="8"/>
        <v>0</v>
      </c>
      <c r="Z124" s="7"/>
      <c r="AA124" s="7"/>
      <c r="AB124" s="7"/>
      <c r="AC124" s="7"/>
      <c r="AD124" s="7"/>
      <c r="AE124" s="7"/>
    </row>
    <row r="125" spans="1:31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4"/>
      <c r="I125" s="214"/>
      <c r="J125" s="215"/>
      <c r="K125" s="213"/>
      <c r="L125" s="632"/>
      <c r="M125" s="213"/>
      <c r="N125" s="213"/>
      <c r="O125" s="213"/>
      <c r="P125" s="215"/>
      <c r="Q125" s="215"/>
      <c r="R125" s="616">
        <f t="shared" si="1"/>
        <v>0</v>
      </c>
      <c r="S125" s="633"/>
      <c r="T125" s="648"/>
      <c r="U125" s="648"/>
      <c r="V125" s="7"/>
      <c r="W125" s="699"/>
      <c r="X125" s="7"/>
      <c r="Y125" s="618">
        <f t="shared" si="8"/>
        <v>0</v>
      </c>
      <c r="Z125" s="7"/>
      <c r="AA125" s="7"/>
      <c r="AB125" s="7"/>
      <c r="AC125" s="7"/>
      <c r="AD125" s="7"/>
      <c r="AE125" s="7"/>
    </row>
    <row r="126" spans="1:31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0.4</v>
      </c>
      <c r="F126" s="213">
        <v>1.39</v>
      </c>
      <c r="G126" s="213"/>
      <c r="H126" s="214">
        <v>2.0699999999999998</v>
      </c>
      <c r="I126" s="214">
        <v>3.3</v>
      </c>
      <c r="J126" s="215">
        <v>14.5</v>
      </c>
      <c r="K126" s="213">
        <f>60+17+0.5</f>
        <v>77.5</v>
      </c>
      <c r="L126" s="632"/>
      <c r="M126" s="213">
        <v>213.24</v>
      </c>
      <c r="N126" s="213">
        <v>30.96</v>
      </c>
      <c r="O126" s="213"/>
      <c r="P126" s="215">
        <v>2.2000000000000002</v>
      </c>
      <c r="Q126" s="215"/>
      <c r="R126" s="616">
        <f t="shared" si="1"/>
        <v>345.55999999999995</v>
      </c>
      <c r="S126" s="633"/>
      <c r="T126" s="636"/>
      <c r="U126" s="636"/>
      <c r="V126" s="7"/>
      <c r="W126" s="699">
        <v>1337.8130000000001</v>
      </c>
      <c r="X126" s="7"/>
      <c r="Y126" s="618">
        <f t="shared" si="8"/>
        <v>992.25300000000016</v>
      </c>
      <c r="Z126" s="7"/>
      <c r="AA126" s="7"/>
      <c r="AB126" s="7"/>
      <c r="AC126" s="7"/>
      <c r="AD126" s="7"/>
      <c r="AE126" s="7"/>
    </row>
    <row r="127" spans="1:31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4"/>
      <c r="I127" s="214"/>
      <c r="J127" s="215"/>
      <c r="K127" s="213"/>
      <c r="L127" s="632"/>
      <c r="M127" s="213"/>
      <c r="N127" s="213">
        <v>0.36</v>
      </c>
      <c r="O127" s="213"/>
      <c r="P127" s="215"/>
      <c r="Q127" s="215"/>
      <c r="R127" s="616">
        <f t="shared" si="1"/>
        <v>0.36</v>
      </c>
      <c r="S127" s="633"/>
      <c r="T127" s="634"/>
      <c r="U127" s="634"/>
      <c r="V127" s="7"/>
      <c r="W127" s="699">
        <v>42.96</v>
      </c>
      <c r="X127" s="7"/>
      <c r="Y127" s="618"/>
      <c r="Z127" s="7"/>
      <c r="AA127" s="7"/>
      <c r="AB127" s="7"/>
      <c r="AC127" s="7"/>
      <c r="AD127" s="7"/>
      <c r="AE127" s="7"/>
    </row>
    <row r="128" spans="1:31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4"/>
      <c r="I128" s="214"/>
      <c r="J128" s="215"/>
      <c r="K128" s="213"/>
      <c r="L128" s="632"/>
      <c r="M128" s="213"/>
      <c r="N128" s="213"/>
      <c r="O128" s="213"/>
      <c r="P128" s="215"/>
      <c r="Q128" s="215"/>
      <c r="R128" s="616">
        <f t="shared" si="1"/>
        <v>0</v>
      </c>
      <c r="S128" s="633"/>
      <c r="T128" s="634"/>
      <c r="U128" s="634"/>
      <c r="V128" s="7"/>
      <c r="W128" s="699">
        <v>329.04300000000001</v>
      </c>
      <c r="X128" s="7"/>
      <c r="Y128" s="618"/>
      <c r="Z128" s="7"/>
      <c r="AA128" s="7"/>
      <c r="AB128" s="7"/>
      <c r="AC128" s="7"/>
      <c r="AD128" s="7"/>
      <c r="AE128" s="7"/>
    </row>
    <row r="129" spans="1:31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4"/>
      <c r="I129" s="214"/>
      <c r="J129" s="215"/>
      <c r="K129" s="213"/>
      <c r="L129" s="632"/>
      <c r="M129" s="213"/>
      <c r="N129" s="213"/>
      <c r="O129" s="213"/>
      <c r="P129" s="215"/>
      <c r="Q129" s="215"/>
      <c r="R129" s="616">
        <f t="shared" si="1"/>
        <v>0</v>
      </c>
      <c r="S129" s="633"/>
      <c r="T129" s="634"/>
      <c r="U129" s="634"/>
      <c r="V129" s="7"/>
      <c r="W129" s="699">
        <v>702.71</v>
      </c>
      <c r="X129" s="7"/>
      <c r="Y129" s="618"/>
      <c r="Z129" s="7"/>
      <c r="AA129" s="7"/>
      <c r="AB129" s="7"/>
      <c r="AC129" s="7"/>
      <c r="AD129" s="7"/>
      <c r="AE129" s="7"/>
    </row>
    <row r="130" spans="1:31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4"/>
      <c r="I130" s="214"/>
      <c r="J130" s="215"/>
      <c r="K130" s="213"/>
      <c r="L130" s="632"/>
      <c r="M130" s="213"/>
      <c r="N130" s="213">
        <v>30.6</v>
      </c>
      <c r="O130" s="213"/>
      <c r="P130" s="215"/>
      <c r="Q130" s="215"/>
      <c r="R130" s="616">
        <f t="shared" si="1"/>
        <v>30.6</v>
      </c>
      <c r="S130" s="633"/>
      <c r="T130" s="634"/>
      <c r="U130" s="634"/>
      <c r="V130" s="7"/>
      <c r="W130" s="699">
        <v>263.10000000000002</v>
      </c>
      <c r="X130" s="7"/>
      <c r="Y130" s="618"/>
      <c r="Z130" s="7"/>
      <c r="AA130" s="7"/>
      <c r="AB130" s="7"/>
      <c r="AC130" s="7"/>
      <c r="AD130" s="7"/>
      <c r="AE130" s="7"/>
    </row>
    <row r="131" spans="1:31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4"/>
      <c r="I131" s="214"/>
      <c r="J131" s="215"/>
      <c r="K131" s="213"/>
      <c r="L131" s="632"/>
      <c r="M131" s="213"/>
      <c r="N131" s="213"/>
      <c r="O131" s="213"/>
      <c r="P131" s="215"/>
      <c r="Q131" s="215"/>
      <c r="R131" s="616">
        <f t="shared" si="1"/>
        <v>0</v>
      </c>
      <c r="S131" s="633"/>
      <c r="T131" s="636"/>
      <c r="U131" s="636"/>
      <c r="V131" s="7"/>
      <c r="W131" s="699"/>
      <c r="X131" s="7"/>
      <c r="Y131" s="618">
        <f t="shared" ref="Y131:Y173" si="9">W131-R131</f>
        <v>0</v>
      </c>
      <c r="Z131" s="7"/>
      <c r="AA131" s="7"/>
      <c r="AB131" s="7"/>
      <c r="AC131" s="7"/>
      <c r="AD131" s="7"/>
      <c r="AE131" s="7"/>
    </row>
    <row r="132" spans="1:31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4"/>
      <c r="I132" s="214"/>
      <c r="J132" s="215"/>
      <c r="K132" s="213"/>
      <c r="L132" s="632"/>
      <c r="M132" s="213"/>
      <c r="N132" s="213"/>
      <c r="O132" s="213"/>
      <c r="P132" s="215"/>
      <c r="Q132" s="215"/>
      <c r="R132" s="616">
        <f t="shared" si="1"/>
        <v>0</v>
      </c>
      <c r="S132" s="633"/>
      <c r="T132" s="634"/>
      <c r="U132" s="634"/>
      <c r="V132" s="7"/>
      <c r="W132" s="699"/>
      <c r="X132" s="7"/>
      <c r="Y132" s="618">
        <f t="shared" si="9"/>
        <v>0</v>
      </c>
      <c r="Z132" s="7"/>
      <c r="AA132" s="7"/>
      <c r="AB132" s="7"/>
      <c r="AC132" s="7"/>
      <c r="AD132" s="7"/>
      <c r="AE132" s="7"/>
    </row>
    <row r="133" spans="1:31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4"/>
      <c r="I133" s="214"/>
      <c r="J133" s="215"/>
      <c r="K133" s="213"/>
      <c r="L133" s="632"/>
      <c r="M133" s="213"/>
      <c r="N133" s="213"/>
      <c r="O133" s="213"/>
      <c r="P133" s="215"/>
      <c r="Q133" s="215"/>
      <c r="R133" s="616">
        <f t="shared" si="1"/>
        <v>0</v>
      </c>
      <c r="S133" s="633"/>
      <c r="T133" s="634"/>
      <c r="U133" s="634"/>
      <c r="V133" s="7"/>
      <c r="W133" s="699"/>
      <c r="X133" s="7"/>
      <c r="Y133" s="618">
        <f t="shared" si="9"/>
        <v>0</v>
      </c>
      <c r="Z133" s="7"/>
      <c r="AA133" s="7"/>
      <c r="AB133" s="7"/>
      <c r="AC133" s="7"/>
      <c r="AD133" s="7"/>
      <c r="AE133" s="7"/>
    </row>
    <row r="134" spans="1:31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4"/>
      <c r="I134" s="214"/>
      <c r="J134" s="215"/>
      <c r="K134" s="213"/>
      <c r="L134" s="632"/>
      <c r="M134" s="213"/>
      <c r="N134" s="213"/>
      <c r="O134" s="213"/>
      <c r="P134" s="215"/>
      <c r="Q134" s="215"/>
      <c r="R134" s="616">
        <f t="shared" si="1"/>
        <v>0</v>
      </c>
      <c r="S134" s="633"/>
      <c r="T134" s="634"/>
      <c r="U134" s="634"/>
      <c r="V134" s="7"/>
      <c r="W134" s="699"/>
      <c r="X134" s="7"/>
      <c r="Y134" s="618">
        <f t="shared" si="9"/>
        <v>0</v>
      </c>
      <c r="Z134" s="7"/>
      <c r="AA134" s="7"/>
      <c r="AB134" s="7"/>
      <c r="AC134" s="7"/>
      <c r="AD134" s="7"/>
      <c r="AE134" s="7"/>
    </row>
    <row r="135" spans="1:31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4"/>
      <c r="I135" s="214"/>
      <c r="J135" s="215"/>
      <c r="K135" s="213"/>
      <c r="L135" s="632"/>
      <c r="M135" s="213"/>
      <c r="N135" s="213"/>
      <c r="O135" s="213"/>
      <c r="P135" s="215"/>
      <c r="Q135" s="215"/>
      <c r="R135" s="616">
        <f t="shared" si="1"/>
        <v>0</v>
      </c>
      <c r="S135" s="633"/>
      <c r="T135" s="634"/>
      <c r="U135" s="634"/>
      <c r="V135" s="7"/>
      <c r="W135" s="699"/>
      <c r="X135" s="7"/>
      <c r="Y135" s="618">
        <f t="shared" si="9"/>
        <v>0</v>
      </c>
      <c r="Z135" s="7"/>
      <c r="AA135" s="7"/>
      <c r="AB135" s="7"/>
      <c r="AC135" s="7"/>
      <c r="AD135" s="7"/>
      <c r="AE135" s="7"/>
    </row>
    <row r="136" spans="1:31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4"/>
      <c r="I136" s="214"/>
      <c r="J136" s="215"/>
      <c r="K136" s="213"/>
      <c r="L136" s="632"/>
      <c r="M136" s="213"/>
      <c r="N136" s="213"/>
      <c r="O136" s="213"/>
      <c r="P136" s="215"/>
      <c r="Q136" s="215"/>
      <c r="R136" s="616">
        <f t="shared" si="1"/>
        <v>0</v>
      </c>
      <c r="S136" s="633"/>
      <c r="T136" s="636"/>
      <c r="U136" s="636"/>
      <c r="V136" s="7"/>
      <c r="W136" s="699">
        <v>1.7</v>
      </c>
      <c r="X136" s="7"/>
      <c r="Y136" s="618">
        <f t="shared" si="9"/>
        <v>1.7</v>
      </c>
      <c r="Z136" s="7"/>
      <c r="AA136" s="7"/>
      <c r="AB136" s="7"/>
      <c r="AC136" s="7"/>
      <c r="AD136" s="7"/>
      <c r="AE136" s="7"/>
    </row>
    <row r="137" spans="1:31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4"/>
      <c r="I137" s="214"/>
      <c r="J137" s="215"/>
      <c r="K137" s="213"/>
      <c r="L137" s="632"/>
      <c r="M137" s="213"/>
      <c r="N137" s="213"/>
      <c r="O137" s="213"/>
      <c r="P137" s="215"/>
      <c r="Q137" s="215"/>
      <c r="R137" s="616">
        <f t="shared" si="1"/>
        <v>0</v>
      </c>
      <c r="S137" s="633"/>
      <c r="T137" s="648"/>
      <c r="U137" s="648"/>
      <c r="V137" s="7"/>
      <c r="W137" s="699">
        <v>1.7</v>
      </c>
      <c r="X137" s="7"/>
      <c r="Y137" s="618">
        <f t="shared" si="9"/>
        <v>1.7</v>
      </c>
      <c r="Z137" s="7"/>
      <c r="AA137" s="7"/>
      <c r="AB137" s="7"/>
      <c r="AC137" s="7"/>
      <c r="AD137" s="7"/>
      <c r="AE137" s="7"/>
    </row>
    <row r="138" spans="1:31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4"/>
      <c r="I138" s="214"/>
      <c r="J138" s="215"/>
      <c r="K138" s="213"/>
      <c r="L138" s="632"/>
      <c r="M138" s="213"/>
      <c r="N138" s="213"/>
      <c r="O138" s="213"/>
      <c r="P138" s="215"/>
      <c r="Q138" s="215"/>
      <c r="R138" s="616">
        <f t="shared" si="1"/>
        <v>0</v>
      </c>
      <c r="S138" s="633"/>
      <c r="T138" s="648"/>
      <c r="U138" s="648"/>
      <c r="V138" s="7"/>
      <c r="W138" s="699"/>
      <c r="X138" s="7"/>
      <c r="Y138" s="618">
        <f t="shared" si="9"/>
        <v>0</v>
      </c>
      <c r="Z138" s="7"/>
      <c r="AA138" s="7"/>
      <c r="AB138" s="7"/>
      <c r="AC138" s="7"/>
      <c r="AD138" s="7"/>
      <c r="AE138" s="7"/>
    </row>
    <row r="139" spans="1:31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4"/>
      <c r="I139" s="214"/>
      <c r="J139" s="215"/>
      <c r="K139" s="213"/>
      <c r="L139" s="632"/>
      <c r="M139" s="213"/>
      <c r="N139" s="213"/>
      <c r="O139" s="213"/>
      <c r="P139" s="215"/>
      <c r="Q139" s="215"/>
      <c r="R139" s="616">
        <f t="shared" si="1"/>
        <v>0</v>
      </c>
      <c r="S139" s="633"/>
      <c r="T139" s="648"/>
      <c r="U139" s="648"/>
      <c r="V139" s="7"/>
      <c r="W139" s="699"/>
      <c r="X139" s="7"/>
      <c r="Y139" s="618">
        <f t="shared" si="9"/>
        <v>0</v>
      </c>
      <c r="Z139" s="7"/>
      <c r="AA139" s="7"/>
      <c r="AB139" s="7"/>
      <c r="AC139" s="7"/>
      <c r="AD139" s="7"/>
      <c r="AE139" s="7"/>
    </row>
    <row r="140" spans="1:31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4"/>
      <c r="I140" s="214"/>
      <c r="J140" s="215"/>
      <c r="K140" s="213"/>
      <c r="L140" s="632"/>
      <c r="M140" s="213"/>
      <c r="N140" s="213"/>
      <c r="O140" s="213"/>
      <c r="P140" s="215"/>
      <c r="Q140" s="215"/>
      <c r="R140" s="616">
        <f t="shared" si="1"/>
        <v>0</v>
      </c>
      <c r="S140" s="633"/>
      <c r="T140" s="648"/>
      <c r="U140" s="648"/>
      <c r="V140" s="7"/>
      <c r="W140" s="699"/>
      <c r="X140" s="7"/>
      <c r="Y140" s="618">
        <f t="shared" si="9"/>
        <v>0</v>
      </c>
      <c r="Z140" s="7"/>
      <c r="AA140" s="7"/>
      <c r="AB140" s="7"/>
      <c r="AC140" s="7"/>
      <c r="AD140" s="7"/>
      <c r="AE140" s="7"/>
    </row>
    <row r="141" spans="1:31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4"/>
      <c r="I141" s="214"/>
      <c r="J141" s="215"/>
      <c r="K141" s="213">
        <v>0.28999999999999998</v>
      </c>
      <c r="L141" s="632"/>
      <c r="M141" s="213"/>
      <c r="N141" s="213"/>
      <c r="O141" s="213"/>
      <c r="P141" s="215"/>
      <c r="Q141" s="215"/>
      <c r="R141" s="616">
        <f t="shared" si="1"/>
        <v>0.28999999999999998</v>
      </c>
      <c r="S141" s="633"/>
      <c r="T141" s="636"/>
      <c r="U141" s="636"/>
      <c r="V141" s="7"/>
      <c r="W141" s="699">
        <v>3.97</v>
      </c>
      <c r="X141" s="7"/>
      <c r="Y141" s="618">
        <f t="shared" si="9"/>
        <v>3.68</v>
      </c>
      <c r="Z141" s="7"/>
      <c r="AA141" s="7"/>
      <c r="AB141" s="7"/>
      <c r="AC141" s="7"/>
      <c r="AD141" s="7"/>
      <c r="AE141" s="7"/>
    </row>
    <row r="142" spans="1:31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4"/>
      <c r="I142" s="214"/>
      <c r="J142" s="215"/>
      <c r="K142" s="213"/>
      <c r="L142" s="632"/>
      <c r="M142" s="213"/>
      <c r="N142" s="213"/>
      <c r="O142" s="213"/>
      <c r="P142" s="215"/>
      <c r="Q142" s="215"/>
      <c r="R142" s="616">
        <f t="shared" si="1"/>
        <v>0</v>
      </c>
      <c r="S142" s="633"/>
      <c r="T142" s="648"/>
      <c r="U142" s="648"/>
      <c r="V142" s="7"/>
      <c r="W142" s="699">
        <v>3.97</v>
      </c>
      <c r="X142" s="7"/>
      <c r="Y142" s="618">
        <f t="shared" si="9"/>
        <v>3.97</v>
      </c>
      <c r="Z142" s="7"/>
      <c r="AA142" s="7"/>
      <c r="AB142" s="7"/>
      <c r="AC142" s="7"/>
      <c r="AD142" s="7"/>
      <c r="AE142" s="7"/>
    </row>
    <row r="143" spans="1:31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4"/>
      <c r="I143" s="214"/>
      <c r="J143" s="215"/>
      <c r="K143" s="213"/>
      <c r="L143" s="632"/>
      <c r="M143" s="213"/>
      <c r="N143" s="213"/>
      <c r="O143" s="213"/>
      <c r="P143" s="215"/>
      <c r="Q143" s="215"/>
      <c r="R143" s="616">
        <f t="shared" si="1"/>
        <v>0</v>
      </c>
      <c r="S143" s="633"/>
      <c r="T143" s="648"/>
      <c r="U143" s="648"/>
      <c r="V143" s="7"/>
      <c r="W143" s="699"/>
      <c r="X143" s="7"/>
      <c r="Y143" s="618">
        <f t="shared" si="9"/>
        <v>0</v>
      </c>
      <c r="Z143" s="7"/>
      <c r="AA143" s="7"/>
      <c r="AB143" s="7"/>
      <c r="AC143" s="7"/>
      <c r="AD143" s="7"/>
      <c r="AE143" s="7"/>
    </row>
    <row r="144" spans="1:31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4"/>
      <c r="I144" s="214"/>
      <c r="J144" s="215"/>
      <c r="K144" s="213"/>
      <c r="L144" s="632"/>
      <c r="M144" s="213"/>
      <c r="N144" s="213"/>
      <c r="O144" s="213"/>
      <c r="P144" s="215"/>
      <c r="Q144" s="215"/>
      <c r="R144" s="616">
        <f t="shared" si="1"/>
        <v>0</v>
      </c>
      <c r="S144" s="633"/>
      <c r="T144" s="648"/>
      <c r="U144" s="648"/>
      <c r="V144" s="7"/>
      <c r="W144" s="699"/>
      <c r="X144" s="7"/>
      <c r="Y144" s="618">
        <f t="shared" si="9"/>
        <v>0</v>
      </c>
      <c r="Z144" s="7"/>
      <c r="AA144" s="7"/>
      <c r="AB144" s="7"/>
      <c r="AC144" s="7"/>
      <c r="AD144" s="7"/>
      <c r="AE144" s="7"/>
    </row>
    <row r="145" spans="1:31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4"/>
      <c r="I145" s="214"/>
      <c r="J145" s="215"/>
      <c r="K145" s="213"/>
      <c r="L145" s="632"/>
      <c r="M145" s="213"/>
      <c r="N145" s="213"/>
      <c r="O145" s="213"/>
      <c r="P145" s="215"/>
      <c r="Q145" s="215"/>
      <c r="R145" s="616">
        <f t="shared" si="1"/>
        <v>0</v>
      </c>
      <c r="S145" s="633"/>
      <c r="T145" s="648"/>
      <c r="U145" s="648"/>
      <c r="V145" s="7"/>
      <c r="W145" s="699"/>
      <c r="X145" s="7"/>
      <c r="Y145" s="618">
        <f t="shared" si="9"/>
        <v>0</v>
      </c>
      <c r="Z145" s="7"/>
      <c r="AA145" s="7"/>
      <c r="AB145" s="7"/>
      <c r="AC145" s="7"/>
      <c r="AD145" s="7"/>
      <c r="AE145" s="7"/>
    </row>
    <row r="146" spans="1:31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3"/>
      <c r="H146" s="214"/>
      <c r="I146" s="214"/>
      <c r="J146" s="215"/>
      <c r="K146" s="213"/>
      <c r="L146" s="632"/>
      <c r="M146" s="213"/>
      <c r="N146" s="213"/>
      <c r="O146" s="213"/>
      <c r="P146" s="215"/>
      <c r="Q146" s="215"/>
      <c r="R146" s="616">
        <f t="shared" si="1"/>
        <v>0</v>
      </c>
      <c r="S146" s="633"/>
      <c r="T146" s="636"/>
      <c r="U146" s="636"/>
      <c r="V146" s="7"/>
      <c r="W146" s="699"/>
      <c r="X146" s="7"/>
      <c r="Y146" s="618">
        <f t="shared" si="9"/>
        <v>0</v>
      </c>
      <c r="Z146" s="7"/>
      <c r="AA146" s="7"/>
      <c r="AB146" s="7"/>
      <c r="AC146" s="7"/>
      <c r="AD146" s="7"/>
      <c r="AE146" s="7"/>
    </row>
    <row r="147" spans="1:31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4"/>
      <c r="I147" s="214"/>
      <c r="J147" s="215"/>
      <c r="K147" s="213"/>
      <c r="L147" s="632"/>
      <c r="M147" s="213"/>
      <c r="N147" s="213"/>
      <c r="O147" s="213"/>
      <c r="P147" s="215"/>
      <c r="Q147" s="215"/>
      <c r="R147" s="616">
        <f t="shared" si="1"/>
        <v>0</v>
      </c>
      <c r="S147" s="633"/>
      <c r="T147" s="634"/>
      <c r="U147" s="634"/>
      <c r="V147" s="7"/>
      <c r="W147" s="699"/>
      <c r="X147" s="7"/>
      <c r="Y147" s="618">
        <f t="shared" si="9"/>
        <v>0</v>
      </c>
      <c r="Z147" s="7"/>
      <c r="AA147" s="7"/>
      <c r="AB147" s="7"/>
      <c r="AC147" s="7"/>
      <c r="AD147" s="7"/>
      <c r="AE147" s="7"/>
    </row>
    <row r="148" spans="1:31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4"/>
      <c r="I148" s="214"/>
      <c r="J148" s="215"/>
      <c r="K148" s="213"/>
      <c r="L148" s="632"/>
      <c r="M148" s="213"/>
      <c r="N148" s="213"/>
      <c r="O148" s="213"/>
      <c r="P148" s="215"/>
      <c r="Q148" s="215"/>
      <c r="R148" s="616">
        <f t="shared" si="1"/>
        <v>0</v>
      </c>
      <c r="S148" s="633"/>
      <c r="T148" s="634"/>
      <c r="U148" s="634"/>
      <c r="V148" s="7"/>
      <c r="W148" s="699"/>
      <c r="X148" s="7"/>
      <c r="Y148" s="618">
        <f t="shared" si="9"/>
        <v>0</v>
      </c>
      <c r="Z148" s="7"/>
      <c r="AA148" s="7"/>
      <c r="AB148" s="7"/>
      <c r="AC148" s="7"/>
      <c r="AD148" s="7"/>
      <c r="AE148" s="7"/>
    </row>
    <row r="149" spans="1:31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4"/>
      <c r="I149" s="214"/>
      <c r="J149" s="215"/>
      <c r="K149" s="213"/>
      <c r="L149" s="632"/>
      <c r="M149" s="213"/>
      <c r="N149" s="213"/>
      <c r="O149" s="213"/>
      <c r="P149" s="215"/>
      <c r="Q149" s="215"/>
      <c r="R149" s="616">
        <f t="shared" si="1"/>
        <v>0</v>
      </c>
      <c r="S149" s="633"/>
      <c r="T149" s="634"/>
      <c r="U149" s="634"/>
      <c r="V149" s="7"/>
      <c r="W149" s="699"/>
      <c r="X149" s="7"/>
      <c r="Y149" s="618">
        <f t="shared" si="9"/>
        <v>0</v>
      </c>
      <c r="Z149" s="7"/>
      <c r="AA149" s="7"/>
      <c r="AB149" s="7"/>
      <c r="AC149" s="7"/>
      <c r="AD149" s="7"/>
      <c r="AE149" s="7"/>
    </row>
    <row r="150" spans="1:31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4"/>
      <c r="I150" s="214"/>
      <c r="J150" s="215"/>
      <c r="K150" s="213"/>
      <c r="L150" s="632"/>
      <c r="M150" s="213"/>
      <c r="N150" s="213"/>
      <c r="O150" s="213"/>
      <c r="P150" s="215"/>
      <c r="Q150" s="215"/>
      <c r="R150" s="616">
        <f t="shared" si="1"/>
        <v>0</v>
      </c>
      <c r="S150" s="633"/>
      <c r="T150" s="634"/>
      <c r="U150" s="634"/>
      <c r="V150" s="7"/>
      <c r="W150" s="699"/>
      <c r="X150" s="7"/>
      <c r="Y150" s="618">
        <f t="shared" si="9"/>
        <v>0</v>
      </c>
      <c r="Z150" s="7"/>
      <c r="AA150" s="7"/>
      <c r="AB150" s="7"/>
      <c r="AC150" s="7"/>
      <c r="AD150" s="7"/>
      <c r="AE150" s="7"/>
    </row>
    <row r="151" spans="1:31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>
        <v>1</v>
      </c>
      <c r="G151" s="213"/>
      <c r="H151" s="214"/>
      <c r="I151" s="214"/>
      <c r="J151" s="215"/>
      <c r="K151" s="213"/>
      <c r="L151" s="632"/>
      <c r="M151" s="213"/>
      <c r="N151" s="213"/>
      <c r="O151" s="213"/>
      <c r="P151" s="215"/>
      <c r="Q151" s="215"/>
      <c r="R151" s="616">
        <f t="shared" si="1"/>
        <v>1</v>
      </c>
      <c r="S151" s="633"/>
      <c r="T151" s="636"/>
      <c r="U151" s="636"/>
      <c r="V151" s="7"/>
      <c r="W151" s="699">
        <v>1</v>
      </c>
      <c r="X151" s="7"/>
      <c r="Y151" s="618">
        <f t="shared" si="9"/>
        <v>0</v>
      </c>
      <c r="Z151" s="7"/>
      <c r="AA151" s="7"/>
      <c r="AB151" s="7"/>
      <c r="AC151" s="7"/>
      <c r="AD151" s="7"/>
      <c r="AE151" s="7"/>
    </row>
    <row r="152" spans="1:31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4"/>
      <c r="I152" s="214"/>
      <c r="J152" s="215"/>
      <c r="K152" s="213"/>
      <c r="L152" s="632"/>
      <c r="M152" s="213"/>
      <c r="N152" s="213"/>
      <c r="O152" s="213"/>
      <c r="P152" s="215"/>
      <c r="Q152" s="215"/>
      <c r="R152" s="616">
        <f t="shared" si="1"/>
        <v>0</v>
      </c>
      <c r="S152" s="633"/>
      <c r="T152" s="634"/>
      <c r="U152" s="634"/>
      <c r="V152" s="7"/>
      <c r="W152" s="699"/>
      <c r="X152" s="7"/>
      <c r="Y152" s="618">
        <f t="shared" si="9"/>
        <v>0</v>
      </c>
      <c r="Z152" s="7"/>
      <c r="AA152" s="7"/>
      <c r="AB152" s="7"/>
      <c r="AC152" s="7"/>
      <c r="AD152" s="7"/>
      <c r="AE152" s="7"/>
    </row>
    <row r="153" spans="1:31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4"/>
      <c r="I153" s="214"/>
      <c r="J153" s="215"/>
      <c r="K153" s="213"/>
      <c r="L153" s="632"/>
      <c r="M153" s="213"/>
      <c r="N153" s="213"/>
      <c r="O153" s="213"/>
      <c r="P153" s="215"/>
      <c r="Q153" s="215"/>
      <c r="R153" s="616">
        <f t="shared" si="1"/>
        <v>0</v>
      </c>
      <c r="S153" s="633"/>
      <c r="T153" s="634"/>
      <c r="U153" s="634"/>
      <c r="V153" s="7"/>
      <c r="W153" s="699">
        <v>1</v>
      </c>
      <c r="X153" s="7"/>
      <c r="Y153" s="618">
        <f t="shared" si="9"/>
        <v>1</v>
      </c>
      <c r="Z153" s="7"/>
      <c r="AA153" s="7"/>
      <c r="AB153" s="7"/>
      <c r="AC153" s="7"/>
      <c r="AD153" s="7"/>
      <c r="AE153" s="7"/>
    </row>
    <row r="154" spans="1:31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4"/>
      <c r="I154" s="214"/>
      <c r="J154" s="215"/>
      <c r="K154" s="213"/>
      <c r="L154" s="632"/>
      <c r="M154" s="213"/>
      <c r="N154" s="213"/>
      <c r="O154" s="213"/>
      <c r="P154" s="215"/>
      <c r="Q154" s="215"/>
      <c r="R154" s="616">
        <f t="shared" si="1"/>
        <v>0</v>
      </c>
      <c r="S154" s="633"/>
      <c r="T154" s="634"/>
      <c r="U154" s="634"/>
      <c r="V154" s="7"/>
      <c r="W154" s="699"/>
      <c r="X154" s="7"/>
      <c r="Y154" s="618">
        <f t="shared" si="9"/>
        <v>0</v>
      </c>
      <c r="Z154" s="7"/>
      <c r="AA154" s="7"/>
      <c r="AB154" s="7"/>
      <c r="AC154" s="7"/>
      <c r="AD154" s="7"/>
      <c r="AE154" s="7"/>
    </row>
    <row r="155" spans="1:31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4"/>
      <c r="I155" s="214"/>
      <c r="J155" s="215"/>
      <c r="K155" s="213"/>
      <c r="L155" s="632"/>
      <c r="M155" s="213"/>
      <c r="N155" s="213"/>
      <c r="O155" s="213"/>
      <c r="P155" s="215"/>
      <c r="Q155" s="215"/>
      <c r="R155" s="616">
        <f t="shared" si="1"/>
        <v>0</v>
      </c>
      <c r="S155" s="633"/>
      <c r="T155" s="634"/>
      <c r="U155" s="634"/>
      <c r="V155" s="7"/>
      <c r="W155" s="699"/>
      <c r="X155" s="7"/>
      <c r="Y155" s="618">
        <f t="shared" si="9"/>
        <v>0</v>
      </c>
      <c r="Z155" s="7"/>
      <c r="AA155" s="7"/>
      <c r="AB155" s="7"/>
      <c r="AC155" s="7"/>
      <c r="AD155" s="7"/>
      <c r="AE155" s="7"/>
    </row>
    <row r="156" spans="1:31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4"/>
      <c r="I156" s="214"/>
      <c r="J156" s="215"/>
      <c r="K156" s="213"/>
      <c r="L156" s="632"/>
      <c r="M156" s="213"/>
      <c r="N156" s="213"/>
      <c r="O156" s="213"/>
      <c r="P156" s="215"/>
      <c r="Q156" s="215"/>
      <c r="R156" s="616">
        <f t="shared" si="1"/>
        <v>0</v>
      </c>
      <c r="S156" s="633"/>
      <c r="T156" s="636"/>
      <c r="U156" s="636"/>
      <c r="V156" s="7"/>
      <c r="W156" s="699"/>
      <c r="X156" s="7"/>
      <c r="Y156" s="618">
        <f t="shared" si="9"/>
        <v>0</v>
      </c>
      <c r="Z156" s="7"/>
      <c r="AA156" s="7"/>
      <c r="AB156" s="7"/>
      <c r="AC156" s="7"/>
      <c r="AD156" s="7"/>
      <c r="AE156" s="7"/>
    </row>
    <row r="157" spans="1:31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4"/>
      <c r="I157" s="214"/>
      <c r="J157" s="215"/>
      <c r="K157" s="213"/>
      <c r="L157" s="632"/>
      <c r="M157" s="213"/>
      <c r="N157" s="213"/>
      <c r="O157" s="213"/>
      <c r="P157" s="215"/>
      <c r="Q157" s="215"/>
      <c r="R157" s="616">
        <f t="shared" si="1"/>
        <v>0</v>
      </c>
      <c r="S157" s="633"/>
      <c r="T157" s="648"/>
      <c r="U157" s="648"/>
      <c r="V157" s="7"/>
      <c r="W157" s="699"/>
      <c r="X157" s="7"/>
      <c r="Y157" s="618">
        <f t="shared" si="9"/>
        <v>0</v>
      </c>
      <c r="Z157" s="7"/>
      <c r="AA157" s="7"/>
      <c r="AB157" s="7"/>
      <c r="AC157" s="7"/>
      <c r="AD157" s="7"/>
      <c r="AE157" s="7"/>
    </row>
    <row r="158" spans="1:31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4"/>
      <c r="I158" s="214"/>
      <c r="J158" s="215"/>
      <c r="K158" s="213"/>
      <c r="L158" s="632"/>
      <c r="M158" s="213"/>
      <c r="N158" s="213"/>
      <c r="O158" s="213"/>
      <c r="P158" s="215"/>
      <c r="Q158" s="215"/>
      <c r="R158" s="616">
        <f t="shared" si="1"/>
        <v>0</v>
      </c>
      <c r="S158" s="633"/>
      <c r="T158" s="648"/>
      <c r="U158" s="648"/>
      <c r="V158" s="7"/>
      <c r="W158" s="699"/>
      <c r="X158" s="7"/>
      <c r="Y158" s="618">
        <f t="shared" si="9"/>
        <v>0</v>
      </c>
      <c r="Z158" s="7"/>
      <c r="AA158" s="7"/>
      <c r="AB158" s="7"/>
      <c r="AC158" s="7"/>
      <c r="AD158" s="7"/>
      <c r="AE158" s="7"/>
    </row>
    <row r="159" spans="1:31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4"/>
      <c r="I159" s="214"/>
      <c r="J159" s="215"/>
      <c r="K159" s="213"/>
      <c r="L159" s="632"/>
      <c r="M159" s="213"/>
      <c r="N159" s="213"/>
      <c r="O159" s="213"/>
      <c r="P159" s="215"/>
      <c r="Q159" s="215"/>
      <c r="R159" s="616">
        <f t="shared" si="1"/>
        <v>0</v>
      </c>
      <c r="S159" s="633"/>
      <c r="T159" s="648"/>
      <c r="U159" s="648"/>
      <c r="V159" s="7"/>
      <c r="W159" s="699"/>
      <c r="X159" s="7"/>
      <c r="Y159" s="618">
        <f t="shared" si="9"/>
        <v>0</v>
      </c>
      <c r="Z159" s="7"/>
      <c r="AA159" s="7"/>
      <c r="AB159" s="7"/>
      <c r="AC159" s="7"/>
      <c r="AD159" s="7"/>
      <c r="AE159" s="7"/>
    </row>
    <row r="160" spans="1:31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4"/>
      <c r="I160" s="214"/>
      <c r="J160" s="215"/>
      <c r="K160" s="213"/>
      <c r="L160" s="632"/>
      <c r="M160" s="213"/>
      <c r="N160" s="213"/>
      <c r="O160" s="213"/>
      <c r="P160" s="215"/>
      <c r="Q160" s="215"/>
      <c r="R160" s="616">
        <f t="shared" si="1"/>
        <v>0</v>
      </c>
      <c r="S160" s="633"/>
      <c r="T160" s="648"/>
      <c r="U160" s="648"/>
      <c r="V160" s="7"/>
      <c r="W160" s="699"/>
      <c r="X160" s="7"/>
      <c r="Y160" s="618">
        <f t="shared" si="9"/>
        <v>0</v>
      </c>
      <c r="Z160" s="7"/>
      <c r="AA160" s="7"/>
      <c r="AB160" s="7"/>
      <c r="AC160" s="7"/>
      <c r="AD160" s="7"/>
      <c r="AE160" s="7"/>
    </row>
    <row r="161" spans="1:31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4"/>
      <c r="I161" s="214"/>
      <c r="J161" s="215"/>
      <c r="K161" s="213"/>
      <c r="L161" s="632"/>
      <c r="M161" s="213"/>
      <c r="N161" s="213"/>
      <c r="O161" s="213"/>
      <c r="P161" s="215"/>
      <c r="Q161" s="215"/>
      <c r="R161" s="616">
        <f t="shared" si="1"/>
        <v>0</v>
      </c>
      <c r="S161" s="633"/>
      <c r="T161" s="636"/>
      <c r="U161" s="636"/>
      <c r="V161" s="7"/>
      <c r="W161" s="699"/>
      <c r="X161" s="7"/>
      <c r="Y161" s="618">
        <f t="shared" si="9"/>
        <v>0</v>
      </c>
      <c r="Z161" s="7"/>
      <c r="AA161" s="7"/>
      <c r="AB161" s="7"/>
      <c r="AC161" s="7"/>
      <c r="AD161" s="7"/>
      <c r="AE161" s="7"/>
    </row>
    <row r="162" spans="1:31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4"/>
      <c r="I162" s="214"/>
      <c r="J162" s="215"/>
      <c r="K162" s="213"/>
      <c r="L162" s="632"/>
      <c r="M162" s="213"/>
      <c r="N162" s="213"/>
      <c r="O162" s="213"/>
      <c r="P162" s="215"/>
      <c r="Q162" s="215"/>
      <c r="R162" s="616">
        <f t="shared" si="1"/>
        <v>0</v>
      </c>
      <c r="S162" s="633"/>
      <c r="T162" s="636"/>
      <c r="U162" s="636"/>
      <c r="V162" s="7"/>
      <c r="W162" s="699"/>
      <c r="X162" s="7"/>
      <c r="Y162" s="618">
        <f t="shared" si="9"/>
        <v>0</v>
      </c>
      <c r="Z162" s="7"/>
      <c r="AA162" s="7"/>
      <c r="AB162" s="7"/>
      <c r="AC162" s="7"/>
      <c r="AD162" s="7"/>
      <c r="AE162" s="7"/>
    </row>
    <row r="163" spans="1:31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4"/>
      <c r="I163" s="214"/>
      <c r="J163" s="215"/>
      <c r="K163" s="213"/>
      <c r="L163" s="632"/>
      <c r="M163" s="213"/>
      <c r="N163" s="213"/>
      <c r="O163" s="213"/>
      <c r="P163" s="215"/>
      <c r="Q163" s="215"/>
      <c r="R163" s="616">
        <f t="shared" si="1"/>
        <v>0</v>
      </c>
      <c r="S163" s="633"/>
      <c r="T163" s="636"/>
      <c r="U163" s="636"/>
      <c r="V163" s="7"/>
      <c r="W163" s="699"/>
      <c r="X163" s="7"/>
      <c r="Y163" s="618">
        <f t="shared" si="9"/>
        <v>0</v>
      </c>
      <c r="Z163" s="7"/>
      <c r="AA163" s="7"/>
      <c r="AB163" s="7"/>
      <c r="AC163" s="7"/>
      <c r="AD163" s="7"/>
      <c r="AE163" s="7"/>
    </row>
    <row r="164" spans="1:31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4"/>
      <c r="I164" s="214"/>
      <c r="J164" s="215"/>
      <c r="K164" s="213"/>
      <c r="L164" s="632"/>
      <c r="M164" s="213"/>
      <c r="N164" s="213"/>
      <c r="O164" s="213"/>
      <c r="P164" s="215"/>
      <c r="Q164" s="215"/>
      <c r="R164" s="616">
        <f t="shared" si="1"/>
        <v>0</v>
      </c>
      <c r="S164" s="633"/>
      <c r="T164" s="636"/>
      <c r="U164" s="636"/>
      <c r="V164" s="7"/>
      <c r="W164" s="699"/>
      <c r="X164" s="7"/>
      <c r="Y164" s="618">
        <f t="shared" si="9"/>
        <v>0</v>
      </c>
      <c r="Z164" s="7"/>
      <c r="AA164" s="7"/>
      <c r="AB164" s="7"/>
      <c r="AC164" s="7"/>
      <c r="AD164" s="7"/>
      <c r="AE164" s="7"/>
    </row>
    <row r="165" spans="1:31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4"/>
      <c r="I165" s="214"/>
      <c r="J165" s="215"/>
      <c r="K165" s="213"/>
      <c r="L165" s="632"/>
      <c r="M165" s="213"/>
      <c r="N165" s="213"/>
      <c r="O165" s="213"/>
      <c r="P165" s="215"/>
      <c r="Q165" s="215"/>
      <c r="R165" s="616">
        <f t="shared" si="1"/>
        <v>0</v>
      </c>
      <c r="S165" s="633"/>
      <c r="T165" s="636"/>
      <c r="U165" s="636"/>
      <c r="V165" s="7"/>
      <c r="W165" s="699"/>
      <c r="X165" s="7"/>
      <c r="Y165" s="618">
        <f t="shared" si="9"/>
        <v>0</v>
      </c>
      <c r="Z165" s="7"/>
      <c r="AA165" s="7"/>
      <c r="AB165" s="7"/>
      <c r="AC165" s="7"/>
      <c r="AD165" s="7"/>
      <c r="AE165" s="7"/>
    </row>
    <row r="166" spans="1:31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4"/>
      <c r="I166" s="214"/>
      <c r="J166" s="215"/>
      <c r="K166" s="213"/>
      <c r="L166" s="632"/>
      <c r="M166" s="213"/>
      <c r="N166" s="213"/>
      <c r="O166" s="213"/>
      <c r="P166" s="215"/>
      <c r="Q166" s="215"/>
      <c r="R166" s="616">
        <f t="shared" si="1"/>
        <v>0</v>
      </c>
      <c r="S166" s="633"/>
      <c r="T166" s="636"/>
      <c r="U166" s="636"/>
      <c r="V166" s="7"/>
      <c r="W166" s="699"/>
      <c r="X166" s="7"/>
      <c r="Y166" s="618">
        <f t="shared" si="9"/>
        <v>0</v>
      </c>
      <c r="Z166" s="7"/>
      <c r="AA166" s="7"/>
      <c r="AB166" s="7"/>
      <c r="AC166" s="7"/>
      <c r="AD166" s="7"/>
      <c r="AE166" s="7"/>
    </row>
    <row r="167" spans="1:31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4"/>
      <c r="I167" s="214"/>
      <c r="J167" s="215"/>
      <c r="K167" s="213"/>
      <c r="L167" s="632"/>
      <c r="M167" s="213"/>
      <c r="N167" s="213"/>
      <c r="O167" s="213"/>
      <c r="P167" s="215"/>
      <c r="Q167" s="215"/>
      <c r="R167" s="616">
        <f t="shared" si="1"/>
        <v>0</v>
      </c>
      <c r="S167" s="633"/>
      <c r="T167" s="636"/>
      <c r="U167" s="636"/>
      <c r="V167" s="7"/>
      <c r="W167" s="699"/>
      <c r="X167" s="7"/>
      <c r="Y167" s="618">
        <f t="shared" si="9"/>
        <v>0</v>
      </c>
      <c r="Z167" s="7"/>
      <c r="AA167" s="7"/>
      <c r="AB167" s="7"/>
      <c r="AC167" s="7"/>
      <c r="AD167" s="7"/>
      <c r="AE167" s="7"/>
    </row>
    <row r="168" spans="1:31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4"/>
      <c r="I168" s="214"/>
      <c r="J168" s="215"/>
      <c r="K168" s="213"/>
      <c r="L168" s="632"/>
      <c r="M168" s="213"/>
      <c r="N168" s="213"/>
      <c r="O168" s="213"/>
      <c r="P168" s="215"/>
      <c r="Q168" s="215"/>
      <c r="R168" s="616">
        <f t="shared" si="1"/>
        <v>0</v>
      </c>
      <c r="S168" s="633"/>
      <c r="T168" s="636"/>
      <c r="U168" s="636"/>
      <c r="V168" s="7"/>
      <c r="W168" s="699"/>
      <c r="X168" s="7"/>
      <c r="Y168" s="618">
        <f t="shared" si="9"/>
        <v>0</v>
      </c>
      <c r="Z168" s="7"/>
      <c r="AA168" s="7"/>
      <c r="AB168" s="7"/>
      <c r="AC168" s="7"/>
      <c r="AD168" s="7"/>
      <c r="AE168" s="7"/>
    </row>
    <row r="169" spans="1:31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4"/>
      <c r="I169" s="214"/>
      <c r="J169" s="215"/>
      <c r="K169" s="213"/>
      <c r="L169" s="632"/>
      <c r="M169" s="213"/>
      <c r="N169" s="213"/>
      <c r="O169" s="213"/>
      <c r="P169" s="215"/>
      <c r="Q169" s="215"/>
      <c r="R169" s="616">
        <f t="shared" si="1"/>
        <v>0</v>
      </c>
      <c r="S169" s="633"/>
      <c r="T169" s="636"/>
      <c r="U169" s="636"/>
      <c r="V169" s="7"/>
      <c r="W169" s="699"/>
      <c r="X169" s="7"/>
      <c r="Y169" s="618">
        <f t="shared" si="9"/>
        <v>0</v>
      </c>
      <c r="Z169" s="7"/>
      <c r="AA169" s="7"/>
      <c r="AB169" s="7"/>
      <c r="AC169" s="7"/>
      <c r="AD169" s="7"/>
      <c r="AE169" s="7"/>
    </row>
    <row r="170" spans="1:31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4"/>
      <c r="I170" s="214"/>
      <c r="J170" s="215"/>
      <c r="K170" s="213"/>
      <c r="L170" s="632"/>
      <c r="M170" s="213"/>
      <c r="N170" s="213"/>
      <c r="O170" s="213"/>
      <c r="P170" s="215"/>
      <c r="Q170" s="215"/>
      <c r="R170" s="616">
        <f t="shared" si="1"/>
        <v>0</v>
      </c>
      <c r="S170" s="633"/>
      <c r="T170" s="636"/>
      <c r="U170" s="636"/>
      <c r="V170" s="7"/>
      <c r="W170" s="699"/>
      <c r="X170" s="7"/>
      <c r="Y170" s="618">
        <f t="shared" si="9"/>
        <v>0</v>
      </c>
      <c r="Z170" s="7"/>
      <c r="AA170" s="7"/>
      <c r="AB170" s="7"/>
      <c r="AC170" s="7"/>
      <c r="AD170" s="7"/>
      <c r="AE170" s="7"/>
    </row>
    <row r="171" spans="1:31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4"/>
      <c r="I171" s="214"/>
      <c r="J171" s="215"/>
      <c r="K171" s="213"/>
      <c r="L171" s="632"/>
      <c r="M171" s="213"/>
      <c r="N171" s="213"/>
      <c r="O171" s="213"/>
      <c r="P171" s="215"/>
      <c r="Q171" s="215"/>
      <c r="R171" s="616">
        <f t="shared" si="1"/>
        <v>0</v>
      </c>
      <c r="S171" s="633"/>
      <c r="T171" s="636"/>
      <c r="U171" s="636"/>
      <c r="V171" s="7"/>
      <c r="W171" s="699"/>
      <c r="X171" s="7"/>
      <c r="Y171" s="618">
        <f t="shared" si="9"/>
        <v>0</v>
      </c>
      <c r="Z171" s="7"/>
      <c r="AA171" s="7"/>
      <c r="AB171" s="7"/>
      <c r="AC171" s="7"/>
      <c r="AD171" s="7"/>
      <c r="AE171" s="7"/>
    </row>
    <row r="172" spans="1:31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4"/>
      <c r="I172" s="214"/>
      <c r="J172" s="215"/>
      <c r="K172" s="213"/>
      <c r="L172" s="632"/>
      <c r="M172" s="213"/>
      <c r="N172" s="213"/>
      <c r="O172" s="213"/>
      <c r="P172" s="215"/>
      <c r="Q172" s="215"/>
      <c r="R172" s="616">
        <f t="shared" si="1"/>
        <v>0</v>
      </c>
      <c r="S172" s="633"/>
      <c r="T172" s="640"/>
      <c r="U172" s="640"/>
      <c r="V172" s="7"/>
      <c r="W172" s="699"/>
      <c r="X172" s="7"/>
      <c r="Y172" s="618">
        <f t="shared" si="9"/>
        <v>0</v>
      </c>
      <c r="Z172" s="7"/>
      <c r="AA172" s="7"/>
      <c r="AB172" s="7"/>
      <c r="AC172" s="7"/>
      <c r="AD172" s="7"/>
      <c r="AE172" s="7"/>
    </row>
    <row r="173" spans="1:31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4"/>
      <c r="I173" s="214">
        <v>1</v>
      </c>
      <c r="J173" s="215"/>
      <c r="K173" s="213">
        <v>11</v>
      </c>
      <c r="L173" s="632"/>
      <c r="M173" s="213"/>
      <c r="N173" s="213"/>
      <c r="O173" s="213"/>
      <c r="P173" s="215">
        <v>4</v>
      </c>
      <c r="Q173" s="215"/>
      <c r="R173" s="616">
        <f t="shared" si="1"/>
        <v>16</v>
      </c>
      <c r="S173" s="633"/>
      <c r="T173" s="636"/>
      <c r="U173" s="636"/>
      <c r="V173" s="7"/>
      <c r="W173" s="699">
        <v>1085</v>
      </c>
      <c r="X173" s="7"/>
      <c r="Y173" s="618">
        <f t="shared" si="9"/>
        <v>1069</v>
      </c>
      <c r="Z173" s="7"/>
      <c r="AA173" s="7"/>
      <c r="AB173" s="7"/>
      <c r="AC173" s="7"/>
      <c r="AD173" s="7"/>
      <c r="AE173" s="7"/>
    </row>
    <row r="174" spans="1:31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4"/>
      <c r="I174" s="214"/>
      <c r="J174" s="215"/>
      <c r="K174" s="213"/>
      <c r="L174" s="632"/>
      <c r="M174" s="213"/>
      <c r="N174" s="213"/>
      <c r="O174" s="213"/>
      <c r="P174" s="215"/>
      <c r="Q174" s="215"/>
      <c r="R174" s="616">
        <f t="shared" si="1"/>
        <v>0</v>
      </c>
      <c r="S174" s="633"/>
      <c r="T174" s="648"/>
      <c r="U174" s="648"/>
      <c r="V174" s="7"/>
      <c r="W174" s="699">
        <v>888</v>
      </c>
      <c r="X174" s="7"/>
      <c r="Y174" s="618"/>
      <c r="Z174" s="7"/>
      <c r="AA174" s="7"/>
      <c r="AB174" s="7"/>
      <c r="AC174" s="7"/>
      <c r="AD174" s="7"/>
      <c r="AE174" s="7"/>
    </row>
    <row r="175" spans="1:31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4"/>
      <c r="I175" s="214"/>
      <c r="J175" s="215"/>
      <c r="K175" s="213"/>
      <c r="L175" s="632"/>
      <c r="M175" s="213"/>
      <c r="N175" s="213"/>
      <c r="O175" s="213"/>
      <c r="P175" s="215"/>
      <c r="Q175" s="215"/>
      <c r="R175" s="616">
        <f t="shared" si="1"/>
        <v>0</v>
      </c>
      <c r="S175" s="633"/>
      <c r="T175" s="648"/>
      <c r="U175" s="648"/>
      <c r="V175" s="7"/>
      <c r="W175" s="699">
        <v>150</v>
      </c>
      <c r="X175" s="7"/>
      <c r="Y175" s="618"/>
      <c r="Z175" s="7"/>
      <c r="AA175" s="7"/>
      <c r="AB175" s="7"/>
      <c r="AC175" s="7"/>
      <c r="AD175" s="7"/>
      <c r="AE175" s="7"/>
    </row>
    <row r="176" spans="1:31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4"/>
      <c r="I176" s="214"/>
      <c r="J176" s="215"/>
      <c r="K176" s="213"/>
      <c r="L176" s="632"/>
      <c r="M176" s="213"/>
      <c r="N176" s="213"/>
      <c r="O176" s="213"/>
      <c r="P176" s="215"/>
      <c r="Q176" s="215"/>
      <c r="R176" s="616">
        <f t="shared" si="1"/>
        <v>0</v>
      </c>
      <c r="S176" s="633"/>
      <c r="T176" s="648"/>
      <c r="U176" s="648"/>
      <c r="V176" s="7"/>
      <c r="W176" s="699">
        <v>47</v>
      </c>
      <c r="X176" s="7"/>
      <c r="Y176" s="618"/>
      <c r="Z176" s="7"/>
      <c r="AA176" s="7"/>
      <c r="AB176" s="7"/>
      <c r="AC176" s="7"/>
      <c r="AD176" s="7"/>
      <c r="AE176" s="7"/>
    </row>
    <row r="177" spans="1:31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4"/>
      <c r="I177" s="214"/>
      <c r="J177" s="215"/>
      <c r="K177" s="213"/>
      <c r="L177" s="632"/>
      <c r="M177" s="213"/>
      <c r="N177" s="213"/>
      <c r="O177" s="213"/>
      <c r="P177" s="215"/>
      <c r="Q177" s="215"/>
      <c r="R177" s="616">
        <f t="shared" si="1"/>
        <v>0</v>
      </c>
      <c r="S177" s="633"/>
      <c r="T177" s="648"/>
      <c r="U177" s="648"/>
      <c r="V177" s="7"/>
      <c r="W177" s="699"/>
      <c r="X177" s="7"/>
      <c r="Y177" s="618">
        <f t="shared" ref="Y177:Y178" si="10">W177-R177</f>
        <v>0</v>
      </c>
      <c r="Z177" s="7"/>
      <c r="AA177" s="7"/>
      <c r="AB177" s="7"/>
      <c r="AC177" s="7"/>
      <c r="AD177" s="7"/>
      <c r="AE177" s="7"/>
    </row>
    <row r="178" spans="1:31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4"/>
      <c r="I178" s="214"/>
      <c r="J178" s="215"/>
      <c r="K178" s="213">
        <v>250</v>
      </c>
      <c r="L178" s="632"/>
      <c r="M178" s="213"/>
      <c r="N178" s="213"/>
      <c r="O178" s="213"/>
      <c r="P178" s="215"/>
      <c r="Q178" s="215"/>
      <c r="R178" s="616">
        <f t="shared" si="1"/>
        <v>250</v>
      </c>
      <c r="S178" s="633"/>
      <c r="T178" s="636"/>
      <c r="U178" s="636"/>
      <c r="V178" s="7"/>
      <c r="W178" s="699">
        <v>434</v>
      </c>
      <c r="X178" s="7"/>
      <c r="Y178" s="618">
        <f t="shared" si="10"/>
        <v>184</v>
      </c>
      <c r="Z178" s="7"/>
      <c r="AA178" s="7"/>
      <c r="AB178" s="7"/>
      <c r="AC178" s="7"/>
      <c r="AD178" s="7"/>
      <c r="AE178" s="7"/>
    </row>
    <row r="179" spans="1:31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4"/>
      <c r="I179" s="214"/>
      <c r="J179" s="215"/>
      <c r="K179" s="213"/>
      <c r="L179" s="632"/>
      <c r="M179" s="213"/>
      <c r="N179" s="213"/>
      <c r="O179" s="213"/>
      <c r="P179" s="215"/>
      <c r="Q179" s="215"/>
      <c r="R179" s="616">
        <f t="shared" si="1"/>
        <v>0</v>
      </c>
      <c r="S179" s="633"/>
      <c r="T179" s="648"/>
      <c r="U179" s="648"/>
      <c r="V179" s="7"/>
      <c r="W179" s="699">
        <v>434</v>
      </c>
      <c r="X179" s="7"/>
      <c r="Y179" s="618"/>
      <c r="Z179" s="7"/>
      <c r="AA179" s="7"/>
      <c r="AB179" s="7"/>
      <c r="AC179" s="7"/>
      <c r="AD179" s="7"/>
      <c r="AE179" s="7"/>
    </row>
    <row r="180" spans="1:31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4"/>
      <c r="I180" s="214"/>
      <c r="J180" s="215"/>
      <c r="K180" s="213"/>
      <c r="L180" s="632"/>
      <c r="M180" s="213"/>
      <c r="N180" s="213"/>
      <c r="O180" s="213"/>
      <c r="P180" s="215"/>
      <c r="Q180" s="215"/>
      <c r="R180" s="616">
        <f t="shared" si="1"/>
        <v>0</v>
      </c>
      <c r="S180" s="633"/>
      <c r="T180" s="648"/>
      <c r="U180" s="648"/>
      <c r="V180" s="7"/>
      <c r="W180" s="699"/>
      <c r="X180" s="7"/>
      <c r="Y180" s="618"/>
      <c r="Z180" s="7"/>
      <c r="AA180" s="7"/>
      <c r="AB180" s="7"/>
      <c r="AC180" s="7"/>
      <c r="AD180" s="7"/>
      <c r="AE180" s="7"/>
    </row>
    <row r="181" spans="1:31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4"/>
      <c r="I181" s="214"/>
      <c r="J181" s="215"/>
      <c r="K181" s="213"/>
      <c r="L181" s="632"/>
      <c r="M181" s="213"/>
      <c r="N181" s="213"/>
      <c r="O181" s="213"/>
      <c r="P181" s="215"/>
      <c r="Q181" s="215"/>
      <c r="R181" s="616">
        <f t="shared" si="1"/>
        <v>0</v>
      </c>
      <c r="S181" s="633"/>
      <c r="T181" s="636"/>
      <c r="U181" s="636"/>
      <c r="V181" s="7"/>
      <c r="W181" s="699"/>
      <c r="X181" s="7"/>
      <c r="Y181" s="618">
        <f t="shared" ref="Y181:Y206" si="11">W181-R181</f>
        <v>0</v>
      </c>
      <c r="Z181" s="7"/>
      <c r="AA181" s="7"/>
      <c r="AB181" s="7"/>
      <c r="AC181" s="7"/>
      <c r="AD181" s="7"/>
      <c r="AE181" s="7"/>
    </row>
    <row r="182" spans="1:31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4"/>
      <c r="I182" s="214"/>
      <c r="J182" s="215"/>
      <c r="K182" s="213"/>
      <c r="L182" s="632"/>
      <c r="M182" s="213"/>
      <c r="N182" s="213"/>
      <c r="O182" s="213"/>
      <c r="P182" s="215"/>
      <c r="Q182" s="215"/>
      <c r="R182" s="616">
        <f t="shared" si="1"/>
        <v>0</v>
      </c>
      <c r="S182" s="633"/>
      <c r="T182" s="636"/>
      <c r="U182" s="636"/>
      <c r="V182" s="7"/>
      <c r="W182" s="699"/>
      <c r="X182" s="7"/>
      <c r="Y182" s="618">
        <f t="shared" si="11"/>
        <v>0</v>
      </c>
      <c r="Z182" s="7"/>
      <c r="AA182" s="7"/>
      <c r="AB182" s="7"/>
      <c r="AC182" s="7"/>
      <c r="AD182" s="7"/>
      <c r="AE182" s="7"/>
    </row>
    <row r="183" spans="1:31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4"/>
      <c r="I183" s="214"/>
      <c r="J183" s="215"/>
      <c r="K183" s="213"/>
      <c r="L183" s="632"/>
      <c r="M183" s="213"/>
      <c r="N183" s="213"/>
      <c r="O183" s="213"/>
      <c r="P183" s="215"/>
      <c r="Q183" s="215"/>
      <c r="R183" s="616">
        <f t="shared" si="1"/>
        <v>0</v>
      </c>
      <c r="S183" s="633"/>
      <c r="T183" s="636"/>
      <c r="U183" s="636"/>
      <c r="V183" s="7"/>
      <c r="W183" s="699"/>
      <c r="X183" s="7"/>
      <c r="Y183" s="618">
        <f t="shared" si="11"/>
        <v>0</v>
      </c>
      <c r="Z183" s="7"/>
      <c r="AA183" s="7"/>
      <c r="AB183" s="7"/>
      <c r="AC183" s="7"/>
      <c r="AD183" s="7"/>
      <c r="AE183" s="7"/>
    </row>
    <row r="184" spans="1:31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4"/>
      <c r="I184" s="214"/>
      <c r="J184" s="215"/>
      <c r="K184" s="213"/>
      <c r="L184" s="632"/>
      <c r="M184" s="213"/>
      <c r="N184" s="213"/>
      <c r="O184" s="213"/>
      <c r="P184" s="215"/>
      <c r="Q184" s="215"/>
      <c r="R184" s="616">
        <f t="shared" si="1"/>
        <v>0</v>
      </c>
      <c r="S184" s="633"/>
      <c r="T184" s="636"/>
      <c r="U184" s="636"/>
      <c r="V184" s="7"/>
      <c r="W184" s="699"/>
      <c r="X184" s="7"/>
      <c r="Y184" s="618">
        <f t="shared" si="11"/>
        <v>0</v>
      </c>
      <c r="Z184" s="7"/>
      <c r="AA184" s="7"/>
      <c r="AB184" s="7"/>
      <c r="AC184" s="7"/>
      <c r="AD184" s="7"/>
      <c r="AE184" s="7"/>
    </row>
    <row r="185" spans="1:31" ht="18.75" customHeight="1">
      <c r="A185" s="486">
        <v>7.7</v>
      </c>
      <c r="B185" s="487" t="s">
        <v>412</v>
      </c>
      <c r="C185" s="635" t="s">
        <v>413</v>
      </c>
      <c r="D185" s="412" t="s">
        <v>2242</v>
      </c>
      <c r="E185" s="213"/>
      <c r="F185" s="213"/>
      <c r="G185" s="213"/>
      <c r="H185" s="214"/>
      <c r="I185" s="214"/>
      <c r="J185" s="215"/>
      <c r="K185" s="213"/>
      <c r="L185" s="632"/>
      <c r="M185" s="213"/>
      <c r="N185" s="213"/>
      <c r="O185" s="213"/>
      <c r="P185" s="215"/>
      <c r="Q185" s="215"/>
      <c r="R185" s="616">
        <f t="shared" si="1"/>
        <v>0</v>
      </c>
      <c r="S185" s="633"/>
      <c r="T185" s="636"/>
      <c r="U185" s="636"/>
      <c r="V185" s="7"/>
      <c r="W185" s="699"/>
      <c r="X185" s="7"/>
      <c r="Y185" s="618">
        <f t="shared" si="11"/>
        <v>0</v>
      </c>
      <c r="Z185" s="7"/>
      <c r="AA185" s="7"/>
      <c r="AB185" s="7"/>
      <c r="AC185" s="7"/>
      <c r="AD185" s="7"/>
      <c r="AE185" s="7"/>
    </row>
    <row r="186" spans="1:31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4"/>
      <c r="I186" s="214"/>
      <c r="J186" s="215"/>
      <c r="K186" s="213"/>
      <c r="L186" s="632"/>
      <c r="M186" s="213"/>
      <c r="N186" s="213"/>
      <c r="O186" s="213"/>
      <c r="P186" s="215"/>
      <c r="Q186" s="215"/>
      <c r="R186" s="616">
        <f t="shared" si="1"/>
        <v>0</v>
      </c>
      <c r="S186" s="633"/>
      <c r="T186" s="636"/>
      <c r="U186" s="636"/>
      <c r="V186" s="7"/>
      <c r="W186" s="699"/>
      <c r="X186" s="7"/>
      <c r="Y186" s="618">
        <f t="shared" si="11"/>
        <v>0</v>
      </c>
      <c r="Z186" s="7"/>
      <c r="AA186" s="7"/>
      <c r="AB186" s="7"/>
      <c r="AC186" s="7"/>
      <c r="AD186" s="7"/>
      <c r="AE186" s="7"/>
    </row>
    <row r="187" spans="1:31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4"/>
      <c r="I187" s="214"/>
      <c r="J187" s="215"/>
      <c r="K187" s="213"/>
      <c r="L187" s="632"/>
      <c r="M187" s="213"/>
      <c r="N187" s="213"/>
      <c r="O187" s="213"/>
      <c r="P187" s="215"/>
      <c r="Q187" s="215"/>
      <c r="R187" s="616">
        <f t="shared" si="1"/>
        <v>0</v>
      </c>
      <c r="S187" s="633"/>
      <c r="T187" s="640"/>
      <c r="U187" s="640"/>
      <c r="V187" s="7"/>
      <c r="W187" s="699"/>
      <c r="X187" s="7"/>
      <c r="Y187" s="618">
        <f t="shared" si="11"/>
        <v>0</v>
      </c>
      <c r="Z187" s="7"/>
      <c r="AA187" s="7"/>
      <c r="AB187" s="7"/>
      <c r="AC187" s="7"/>
      <c r="AD187" s="7"/>
      <c r="AE187" s="7"/>
    </row>
    <row r="188" spans="1:31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4"/>
      <c r="I188" s="214"/>
      <c r="J188" s="215"/>
      <c r="K188" s="213"/>
      <c r="L188" s="632"/>
      <c r="M188" s="213"/>
      <c r="N188" s="213"/>
      <c r="O188" s="213"/>
      <c r="P188" s="215"/>
      <c r="Q188" s="215"/>
      <c r="R188" s="616">
        <f t="shared" si="1"/>
        <v>0</v>
      </c>
      <c r="S188" s="633"/>
      <c r="T188" s="636"/>
      <c r="U188" s="636"/>
      <c r="V188" s="7"/>
      <c r="W188" s="699"/>
      <c r="X188" s="7"/>
      <c r="Y188" s="618">
        <f t="shared" si="11"/>
        <v>0</v>
      </c>
      <c r="Z188" s="7"/>
      <c r="AA188" s="7"/>
      <c r="AB188" s="7"/>
      <c r="AC188" s="7"/>
      <c r="AD188" s="7"/>
      <c r="AE188" s="7"/>
    </row>
    <row r="189" spans="1:31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4"/>
      <c r="I189" s="214"/>
      <c r="J189" s="215"/>
      <c r="K189" s="213"/>
      <c r="L189" s="632"/>
      <c r="M189" s="213"/>
      <c r="N189" s="213"/>
      <c r="O189" s="213"/>
      <c r="P189" s="215"/>
      <c r="Q189" s="215"/>
      <c r="R189" s="616">
        <f t="shared" si="1"/>
        <v>0</v>
      </c>
      <c r="S189" s="633"/>
      <c r="T189" s="648"/>
      <c r="U189" s="648"/>
      <c r="V189" s="7"/>
      <c r="W189" s="699"/>
      <c r="X189" s="7"/>
      <c r="Y189" s="618">
        <f t="shared" si="11"/>
        <v>0</v>
      </c>
      <c r="Z189" s="7"/>
      <c r="AA189" s="7"/>
      <c r="AB189" s="7"/>
      <c r="AC189" s="7"/>
      <c r="AD189" s="7"/>
      <c r="AE189" s="7"/>
    </row>
    <row r="190" spans="1:31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4"/>
      <c r="I190" s="214"/>
      <c r="J190" s="215"/>
      <c r="K190" s="213"/>
      <c r="L190" s="632"/>
      <c r="M190" s="213"/>
      <c r="N190" s="213"/>
      <c r="O190" s="213"/>
      <c r="P190" s="215"/>
      <c r="Q190" s="215"/>
      <c r="R190" s="616">
        <f t="shared" si="1"/>
        <v>0</v>
      </c>
      <c r="S190" s="633"/>
      <c r="T190" s="648"/>
      <c r="U190" s="648"/>
      <c r="V190" s="7"/>
      <c r="W190" s="699"/>
      <c r="X190" s="7"/>
      <c r="Y190" s="618">
        <f t="shared" si="11"/>
        <v>0</v>
      </c>
      <c r="Z190" s="7"/>
      <c r="AA190" s="7"/>
      <c r="AB190" s="7"/>
      <c r="AC190" s="7"/>
      <c r="AD190" s="7"/>
      <c r="AE190" s="7"/>
    </row>
    <row r="191" spans="1:31" ht="20.25" customHeight="1">
      <c r="A191" s="503"/>
      <c r="B191" s="483" t="s">
        <v>428</v>
      </c>
      <c r="C191" s="658" t="s">
        <v>429</v>
      </c>
      <c r="D191" s="504" t="s">
        <v>2243</v>
      </c>
      <c r="E191" s="213"/>
      <c r="F191" s="213"/>
      <c r="G191" s="213"/>
      <c r="H191" s="214"/>
      <c r="I191" s="214"/>
      <c r="J191" s="215"/>
      <c r="K191" s="213"/>
      <c r="L191" s="632"/>
      <c r="M191" s="213"/>
      <c r="N191" s="213"/>
      <c r="O191" s="213"/>
      <c r="P191" s="215"/>
      <c r="Q191" s="215"/>
      <c r="R191" s="616">
        <f t="shared" si="1"/>
        <v>0</v>
      </c>
      <c r="S191" s="633"/>
      <c r="T191" s="648"/>
      <c r="U191" s="648"/>
      <c r="V191" s="7"/>
      <c r="W191" s="699"/>
      <c r="X191" s="7"/>
      <c r="Y191" s="618">
        <f t="shared" si="11"/>
        <v>0</v>
      </c>
      <c r="Z191" s="7"/>
      <c r="AA191" s="7"/>
      <c r="AB191" s="7"/>
      <c r="AC191" s="7"/>
      <c r="AD191" s="7"/>
      <c r="AE191" s="7"/>
    </row>
    <row r="192" spans="1:31" ht="20.25" customHeight="1">
      <c r="A192" s="503"/>
      <c r="B192" s="483" t="s">
        <v>426</v>
      </c>
      <c r="C192" s="658" t="s">
        <v>431</v>
      </c>
      <c r="D192" s="504" t="s">
        <v>2244</v>
      </c>
      <c r="E192" s="213"/>
      <c r="F192" s="213"/>
      <c r="G192" s="213"/>
      <c r="H192" s="214"/>
      <c r="I192" s="214"/>
      <c r="J192" s="215"/>
      <c r="K192" s="213"/>
      <c r="L192" s="632"/>
      <c r="M192" s="213"/>
      <c r="N192" s="213"/>
      <c r="O192" s="213"/>
      <c r="P192" s="215"/>
      <c r="Q192" s="215"/>
      <c r="R192" s="616">
        <f t="shared" si="1"/>
        <v>0</v>
      </c>
      <c r="S192" s="633"/>
      <c r="T192" s="636"/>
      <c r="U192" s="636"/>
      <c r="V192" s="7"/>
      <c r="W192" s="699"/>
      <c r="X192" s="7"/>
      <c r="Y192" s="618">
        <f t="shared" si="11"/>
        <v>0</v>
      </c>
      <c r="Z192" s="7"/>
      <c r="AA192" s="7"/>
      <c r="AB192" s="7"/>
      <c r="AC192" s="7"/>
      <c r="AD192" s="7"/>
      <c r="AE192" s="7"/>
    </row>
    <row r="193" spans="1:31" ht="20.25" customHeight="1">
      <c r="A193" s="503"/>
      <c r="B193" s="483" t="s">
        <v>428</v>
      </c>
      <c r="C193" s="658" t="s">
        <v>433</v>
      </c>
      <c r="D193" s="504" t="s">
        <v>2245</v>
      </c>
      <c r="E193" s="213"/>
      <c r="F193" s="213"/>
      <c r="G193" s="213"/>
      <c r="H193" s="214"/>
      <c r="I193" s="214"/>
      <c r="J193" s="215"/>
      <c r="K193" s="213"/>
      <c r="L193" s="632"/>
      <c r="M193" s="213"/>
      <c r="N193" s="213"/>
      <c r="O193" s="213"/>
      <c r="P193" s="215"/>
      <c r="Q193" s="215"/>
      <c r="R193" s="616">
        <f t="shared" si="1"/>
        <v>0</v>
      </c>
      <c r="S193" s="633"/>
      <c r="T193" s="648"/>
      <c r="U193" s="648"/>
      <c r="V193" s="7"/>
      <c r="W193" s="699"/>
      <c r="X193" s="7"/>
      <c r="Y193" s="618">
        <f t="shared" si="11"/>
        <v>0</v>
      </c>
      <c r="Z193" s="7"/>
      <c r="AA193" s="7"/>
      <c r="AB193" s="7"/>
      <c r="AC193" s="7"/>
      <c r="AD193" s="7"/>
      <c r="AE193" s="7"/>
    </row>
    <row r="194" spans="1:31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4"/>
      <c r="I194" s="214"/>
      <c r="J194" s="215"/>
      <c r="K194" s="213"/>
      <c r="L194" s="632"/>
      <c r="M194" s="213"/>
      <c r="N194" s="213"/>
      <c r="O194" s="213"/>
      <c r="P194" s="215"/>
      <c r="Q194" s="215"/>
      <c r="R194" s="616">
        <f t="shared" si="1"/>
        <v>0</v>
      </c>
      <c r="S194" s="633"/>
      <c r="T194" s="654"/>
      <c r="U194" s="654"/>
      <c r="V194" s="7"/>
      <c r="W194" s="699"/>
      <c r="X194" s="7"/>
      <c r="Y194" s="618">
        <f t="shared" si="11"/>
        <v>0</v>
      </c>
      <c r="Z194" s="7"/>
      <c r="AA194" s="7"/>
      <c r="AB194" s="7"/>
      <c r="AC194" s="7"/>
      <c r="AD194" s="7"/>
      <c r="AE194" s="7"/>
    </row>
    <row r="195" spans="1:31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4"/>
      <c r="I195" s="214"/>
      <c r="J195" s="215"/>
      <c r="K195" s="213"/>
      <c r="L195" s="632"/>
      <c r="M195" s="213"/>
      <c r="N195" s="213"/>
      <c r="O195" s="213"/>
      <c r="P195" s="215"/>
      <c r="Q195" s="215"/>
      <c r="R195" s="616">
        <f t="shared" si="1"/>
        <v>0</v>
      </c>
      <c r="S195" s="633"/>
      <c r="T195" s="648"/>
      <c r="U195" s="648"/>
      <c r="V195" s="7"/>
      <c r="W195" s="699"/>
      <c r="X195" s="7"/>
      <c r="Y195" s="618">
        <f t="shared" si="11"/>
        <v>0</v>
      </c>
      <c r="Z195" s="7"/>
      <c r="AA195" s="7"/>
      <c r="AB195" s="7"/>
      <c r="AC195" s="7"/>
      <c r="AD195" s="7"/>
      <c r="AE195" s="7"/>
    </row>
    <row r="196" spans="1:31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4"/>
      <c r="I196" s="214"/>
      <c r="J196" s="215"/>
      <c r="K196" s="213"/>
      <c r="L196" s="632"/>
      <c r="M196" s="213"/>
      <c r="N196" s="213"/>
      <c r="O196" s="213"/>
      <c r="P196" s="215"/>
      <c r="Q196" s="215"/>
      <c r="R196" s="616">
        <f t="shared" si="1"/>
        <v>0</v>
      </c>
      <c r="S196" s="633"/>
      <c r="T196" s="636"/>
      <c r="U196" s="636"/>
      <c r="V196" s="7"/>
      <c r="W196" s="699"/>
      <c r="X196" s="7"/>
      <c r="Y196" s="618">
        <f t="shared" si="11"/>
        <v>0</v>
      </c>
      <c r="Z196" s="7"/>
      <c r="AA196" s="7"/>
      <c r="AB196" s="7"/>
      <c r="AC196" s="7"/>
      <c r="AD196" s="7"/>
      <c r="AE196" s="7"/>
    </row>
    <row r="197" spans="1:31" ht="20.25" customHeight="1">
      <c r="A197" s="503"/>
      <c r="B197" s="483" t="s">
        <v>440</v>
      </c>
      <c r="C197" s="658" t="s">
        <v>429</v>
      </c>
      <c r="D197" s="504" t="s">
        <v>2246</v>
      </c>
      <c r="E197" s="213"/>
      <c r="F197" s="213"/>
      <c r="G197" s="213"/>
      <c r="H197" s="214"/>
      <c r="I197" s="214"/>
      <c r="J197" s="215"/>
      <c r="K197" s="213"/>
      <c r="L197" s="632"/>
      <c r="M197" s="213"/>
      <c r="N197" s="213"/>
      <c r="O197" s="213"/>
      <c r="P197" s="215"/>
      <c r="Q197" s="215"/>
      <c r="R197" s="616">
        <f t="shared" si="1"/>
        <v>0</v>
      </c>
      <c r="S197" s="633"/>
      <c r="T197" s="648"/>
      <c r="U197" s="648"/>
      <c r="V197" s="7"/>
      <c r="W197" s="699"/>
      <c r="X197" s="7"/>
      <c r="Y197" s="618">
        <f t="shared" si="11"/>
        <v>0</v>
      </c>
      <c r="Z197" s="7"/>
      <c r="AA197" s="7"/>
      <c r="AB197" s="7"/>
      <c r="AC197" s="7"/>
      <c r="AD197" s="7"/>
      <c r="AE197" s="7"/>
    </row>
    <row r="198" spans="1:31" ht="20.25" customHeight="1">
      <c r="A198" s="503"/>
      <c r="B198" s="483" t="s">
        <v>439</v>
      </c>
      <c r="C198" s="658" t="s">
        <v>431</v>
      </c>
      <c r="D198" s="504" t="s">
        <v>2247</v>
      </c>
      <c r="E198" s="213"/>
      <c r="F198" s="213"/>
      <c r="G198" s="213"/>
      <c r="H198" s="214"/>
      <c r="I198" s="214"/>
      <c r="J198" s="215"/>
      <c r="K198" s="213"/>
      <c r="L198" s="632"/>
      <c r="M198" s="213"/>
      <c r="N198" s="213"/>
      <c r="O198" s="213"/>
      <c r="P198" s="215"/>
      <c r="Q198" s="215"/>
      <c r="R198" s="616">
        <f t="shared" si="1"/>
        <v>0</v>
      </c>
      <c r="S198" s="633"/>
      <c r="T198" s="648"/>
      <c r="U198" s="648"/>
      <c r="V198" s="7"/>
      <c r="W198" s="699"/>
      <c r="X198" s="7"/>
      <c r="Y198" s="618">
        <f t="shared" si="11"/>
        <v>0</v>
      </c>
      <c r="Z198" s="7"/>
      <c r="AA198" s="7"/>
      <c r="AB198" s="7"/>
      <c r="AC198" s="7"/>
      <c r="AD198" s="7"/>
      <c r="AE198" s="7"/>
    </row>
    <row r="199" spans="1:31" ht="20.25" customHeight="1">
      <c r="A199" s="503"/>
      <c r="B199" s="483" t="s">
        <v>440</v>
      </c>
      <c r="C199" s="658" t="s">
        <v>433</v>
      </c>
      <c r="D199" s="504" t="s">
        <v>2248</v>
      </c>
      <c r="E199" s="213"/>
      <c r="F199" s="213"/>
      <c r="G199" s="213"/>
      <c r="H199" s="214"/>
      <c r="I199" s="214"/>
      <c r="J199" s="215"/>
      <c r="K199" s="213"/>
      <c r="L199" s="632"/>
      <c r="M199" s="213"/>
      <c r="N199" s="213"/>
      <c r="O199" s="213"/>
      <c r="P199" s="215"/>
      <c r="Q199" s="215"/>
      <c r="R199" s="616">
        <f t="shared" si="1"/>
        <v>0</v>
      </c>
      <c r="S199" s="633"/>
      <c r="T199" s="648"/>
      <c r="U199" s="648"/>
      <c r="V199" s="7"/>
      <c r="W199" s="699"/>
      <c r="X199" s="7"/>
      <c r="Y199" s="618">
        <f t="shared" si="11"/>
        <v>0</v>
      </c>
      <c r="Z199" s="7"/>
      <c r="AA199" s="7"/>
      <c r="AB199" s="7"/>
      <c r="AC199" s="7"/>
      <c r="AD199" s="7"/>
      <c r="AE199" s="7"/>
    </row>
    <row r="200" spans="1:31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4"/>
      <c r="I200" s="214"/>
      <c r="J200" s="215"/>
      <c r="K200" s="213"/>
      <c r="L200" s="632"/>
      <c r="M200" s="213"/>
      <c r="N200" s="213"/>
      <c r="O200" s="213"/>
      <c r="P200" s="215"/>
      <c r="Q200" s="215"/>
      <c r="R200" s="616">
        <f t="shared" si="1"/>
        <v>0</v>
      </c>
      <c r="S200" s="633"/>
      <c r="T200" s="636"/>
      <c r="U200" s="636"/>
      <c r="V200" s="7"/>
      <c r="W200" s="699"/>
      <c r="X200" s="7"/>
      <c r="Y200" s="618">
        <f t="shared" si="11"/>
        <v>0</v>
      </c>
      <c r="Z200" s="7"/>
      <c r="AA200" s="7"/>
      <c r="AB200" s="7"/>
      <c r="AC200" s="7"/>
      <c r="AD200" s="7"/>
      <c r="AE200" s="7"/>
    </row>
    <row r="201" spans="1:31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4"/>
      <c r="I201" s="214"/>
      <c r="J201" s="215"/>
      <c r="K201" s="213"/>
      <c r="L201" s="632"/>
      <c r="M201" s="213"/>
      <c r="N201" s="213"/>
      <c r="O201" s="213"/>
      <c r="P201" s="215"/>
      <c r="Q201" s="215"/>
      <c r="R201" s="616">
        <f t="shared" si="1"/>
        <v>0</v>
      </c>
      <c r="S201" s="633"/>
      <c r="T201" s="648"/>
      <c r="U201" s="648"/>
      <c r="V201" s="7"/>
      <c r="W201" s="699"/>
      <c r="X201" s="7"/>
      <c r="Y201" s="618">
        <f t="shared" si="11"/>
        <v>0</v>
      </c>
      <c r="Z201" s="7"/>
      <c r="AA201" s="7"/>
      <c r="AB201" s="7"/>
      <c r="AC201" s="7"/>
      <c r="AD201" s="7"/>
      <c r="AE201" s="7"/>
    </row>
    <row r="202" spans="1:31" ht="20.25" customHeight="1">
      <c r="A202" s="503"/>
      <c r="B202" s="483" t="s">
        <v>449</v>
      </c>
      <c r="C202" s="658" t="s">
        <v>450</v>
      </c>
      <c r="D202" s="504" t="s">
        <v>2249</v>
      </c>
      <c r="E202" s="213"/>
      <c r="F202" s="213"/>
      <c r="G202" s="213"/>
      <c r="H202" s="214"/>
      <c r="I202" s="214"/>
      <c r="J202" s="215"/>
      <c r="K202" s="213"/>
      <c r="L202" s="632"/>
      <c r="M202" s="213"/>
      <c r="N202" s="213"/>
      <c r="O202" s="213"/>
      <c r="P202" s="215"/>
      <c r="Q202" s="215"/>
      <c r="R202" s="616">
        <f t="shared" si="1"/>
        <v>0</v>
      </c>
      <c r="S202" s="633"/>
      <c r="T202" s="648"/>
      <c r="U202" s="648"/>
      <c r="V202" s="7"/>
      <c r="W202" s="699"/>
      <c r="X202" s="7"/>
      <c r="Y202" s="618">
        <f t="shared" si="11"/>
        <v>0</v>
      </c>
      <c r="Z202" s="7"/>
      <c r="AA202" s="7"/>
      <c r="AB202" s="7"/>
      <c r="AC202" s="7"/>
      <c r="AD202" s="7"/>
      <c r="AE202" s="7"/>
    </row>
    <row r="203" spans="1:31" ht="20.25" customHeight="1">
      <c r="A203" s="503"/>
      <c r="B203" s="483" t="s">
        <v>449</v>
      </c>
      <c r="C203" s="658" t="s">
        <v>431</v>
      </c>
      <c r="D203" s="504" t="s">
        <v>2250</v>
      </c>
      <c r="E203" s="213"/>
      <c r="F203" s="213"/>
      <c r="G203" s="213"/>
      <c r="H203" s="214"/>
      <c r="I203" s="214"/>
      <c r="J203" s="215"/>
      <c r="K203" s="213"/>
      <c r="L203" s="632"/>
      <c r="M203" s="213"/>
      <c r="N203" s="213"/>
      <c r="O203" s="213"/>
      <c r="P203" s="215"/>
      <c r="Q203" s="215"/>
      <c r="R203" s="616">
        <f t="shared" si="1"/>
        <v>0</v>
      </c>
      <c r="S203" s="633"/>
      <c r="T203" s="648"/>
      <c r="U203" s="648"/>
      <c r="V203" s="7"/>
      <c r="W203" s="699"/>
      <c r="X203" s="7"/>
      <c r="Y203" s="618">
        <f t="shared" si="11"/>
        <v>0</v>
      </c>
      <c r="Z203" s="7"/>
      <c r="AA203" s="7"/>
      <c r="AB203" s="7"/>
      <c r="AC203" s="7"/>
      <c r="AD203" s="7"/>
      <c r="AE203" s="7"/>
    </row>
    <row r="204" spans="1:31" ht="20.25" customHeight="1">
      <c r="A204" s="503"/>
      <c r="B204" s="483" t="s">
        <v>453</v>
      </c>
      <c r="C204" s="658" t="s">
        <v>433</v>
      </c>
      <c r="D204" s="504" t="s">
        <v>2251</v>
      </c>
      <c r="E204" s="213"/>
      <c r="F204" s="213"/>
      <c r="G204" s="213"/>
      <c r="H204" s="214"/>
      <c r="I204" s="214"/>
      <c r="J204" s="215"/>
      <c r="K204" s="213"/>
      <c r="L204" s="632"/>
      <c r="M204" s="213"/>
      <c r="N204" s="213"/>
      <c r="O204" s="213"/>
      <c r="P204" s="215"/>
      <c r="Q204" s="215"/>
      <c r="R204" s="616">
        <f t="shared" si="1"/>
        <v>0</v>
      </c>
      <c r="S204" s="633"/>
      <c r="T204" s="636"/>
      <c r="U204" s="636"/>
      <c r="V204" s="7"/>
      <c r="W204" s="699"/>
      <c r="X204" s="7"/>
      <c r="Y204" s="618">
        <f t="shared" si="11"/>
        <v>0</v>
      </c>
      <c r="Z204" s="7"/>
      <c r="AA204" s="7"/>
      <c r="AB204" s="7"/>
      <c r="AC204" s="7"/>
      <c r="AD204" s="7"/>
      <c r="AE204" s="7"/>
    </row>
    <row r="205" spans="1:31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4"/>
      <c r="I205" s="214"/>
      <c r="J205" s="215"/>
      <c r="K205" s="213"/>
      <c r="L205" s="632"/>
      <c r="M205" s="213"/>
      <c r="N205" s="213"/>
      <c r="O205" s="213"/>
      <c r="P205" s="215"/>
      <c r="Q205" s="215"/>
      <c r="R205" s="616">
        <f t="shared" si="1"/>
        <v>0</v>
      </c>
      <c r="S205" s="633"/>
      <c r="T205" s="636"/>
      <c r="U205" s="636"/>
      <c r="V205" s="7"/>
      <c r="W205" s="699"/>
      <c r="X205" s="7"/>
      <c r="Y205" s="618">
        <f t="shared" si="11"/>
        <v>0</v>
      </c>
      <c r="Z205" s="7"/>
      <c r="AA205" s="7"/>
      <c r="AB205" s="7"/>
      <c r="AC205" s="7"/>
      <c r="AD205" s="7"/>
      <c r="AE205" s="7"/>
    </row>
    <row r="206" spans="1:31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4"/>
      <c r="I206" s="214"/>
      <c r="J206" s="215"/>
      <c r="K206" s="213"/>
      <c r="L206" s="632"/>
      <c r="M206" s="213"/>
      <c r="N206" s="213"/>
      <c r="O206" s="213"/>
      <c r="P206" s="215">
        <v>200</v>
      </c>
      <c r="Q206" s="215"/>
      <c r="R206" s="616">
        <f t="shared" si="1"/>
        <v>200</v>
      </c>
      <c r="S206" s="633"/>
      <c r="T206" s="648"/>
      <c r="U206" s="648"/>
      <c r="V206" s="7"/>
      <c r="W206" s="699">
        <v>1244</v>
      </c>
      <c r="X206" s="7"/>
      <c r="Y206" s="618">
        <f t="shared" si="11"/>
        <v>1044</v>
      </c>
      <c r="Z206" s="7"/>
      <c r="AA206" s="7"/>
      <c r="AB206" s="7"/>
      <c r="AC206" s="7"/>
      <c r="AD206" s="7"/>
      <c r="AE206" s="7"/>
    </row>
    <row r="207" spans="1:31" ht="20.25" customHeight="1">
      <c r="A207" s="503"/>
      <c r="B207" s="483" t="s">
        <v>461</v>
      </c>
      <c r="C207" s="658" t="s">
        <v>431</v>
      </c>
      <c r="D207" s="504" t="s">
        <v>2252</v>
      </c>
      <c r="E207" s="213"/>
      <c r="F207" s="213"/>
      <c r="G207" s="213"/>
      <c r="H207" s="214"/>
      <c r="I207" s="214"/>
      <c r="J207" s="215"/>
      <c r="K207" s="213"/>
      <c r="L207" s="632"/>
      <c r="M207" s="213"/>
      <c r="N207" s="213"/>
      <c r="O207" s="213"/>
      <c r="P207" s="215"/>
      <c r="Q207" s="215"/>
      <c r="R207" s="616">
        <f t="shared" si="1"/>
        <v>0</v>
      </c>
      <c r="S207" s="633"/>
      <c r="T207" s="648"/>
      <c r="U207" s="648"/>
      <c r="V207" s="7"/>
      <c r="W207" s="699">
        <v>749.44</v>
      </c>
      <c r="X207" s="7"/>
      <c r="Y207" s="618"/>
      <c r="Z207" s="7"/>
      <c r="AA207" s="7"/>
      <c r="AB207" s="7"/>
      <c r="AC207" s="7"/>
      <c r="AD207" s="7"/>
      <c r="AE207" s="7"/>
    </row>
    <row r="208" spans="1:31" ht="20.25" customHeight="1">
      <c r="A208" s="503"/>
      <c r="B208" s="483" t="s">
        <v>464</v>
      </c>
      <c r="C208" s="658" t="s">
        <v>433</v>
      </c>
      <c r="D208" s="504" t="s">
        <v>2253</v>
      </c>
      <c r="E208" s="213"/>
      <c r="F208" s="213"/>
      <c r="G208" s="213"/>
      <c r="H208" s="214"/>
      <c r="I208" s="214"/>
      <c r="J208" s="215"/>
      <c r="K208" s="213"/>
      <c r="L208" s="632"/>
      <c r="M208" s="213"/>
      <c r="N208" s="213"/>
      <c r="O208" s="213"/>
      <c r="P208" s="215"/>
      <c r="Q208" s="215"/>
      <c r="R208" s="616">
        <f t="shared" si="1"/>
        <v>0</v>
      </c>
      <c r="S208" s="633"/>
      <c r="T208" s="636"/>
      <c r="U208" s="636"/>
      <c r="V208" s="7"/>
      <c r="W208" s="699">
        <v>225</v>
      </c>
      <c r="X208" s="7"/>
      <c r="Y208" s="618">
        <f t="shared" ref="Y208:Y235" si="12">W208-R208</f>
        <v>225</v>
      </c>
      <c r="Z208" s="7"/>
      <c r="AA208" s="7"/>
      <c r="AB208" s="7"/>
      <c r="AC208" s="7"/>
      <c r="AD208" s="7"/>
      <c r="AE208" s="7"/>
    </row>
    <row r="209" spans="1:31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4"/>
      <c r="I209" s="214"/>
      <c r="J209" s="215"/>
      <c r="K209" s="213"/>
      <c r="L209" s="632"/>
      <c r="M209" s="213"/>
      <c r="N209" s="213"/>
      <c r="O209" s="213"/>
      <c r="P209" s="215"/>
      <c r="Q209" s="215"/>
      <c r="R209" s="616">
        <f t="shared" si="1"/>
        <v>0</v>
      </c>
      <c r="S209" s="633"/>
      <c r="T209" s="648"/>
      <c r="U209" s="648"/>
      <c r="V209" s="7"/>
      <c r="W209" s="699"/>
      <c r="X209" s="7"/>
      <c r="Y209" s="618">
        <f t="shared" si="12"/>
        <v>0</v>
      </c>
      <c r="Z209" s="7"/>
      <c r="AA209" s="7"/>
      <c r="AB209" s="7"/>
      <c r="AC209" s="7"/>
      <c r="AD209" s="7"/>
      <c r="AE209" s="7"/>
    </row>
    <row r="210" spans="1:31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4"/>
      <c r="I210" s="214"/>
      <c r="J210" s="215"/>
      <c r="K210" s="213"/>
      <c r="L210" s="632"/>
      <c r="M210" s="213"/>
      <c r="N210" s="213"/>
      <c r="O210" s="213"/>
      <c r="P210" s="215"/>
      <c r="Q210" s="215"/>
      <c r="R210" s="616">
        <f t="shared" si="1"/>
        <v>0</v>
      </c>
      <c r="S210" s="633"/>
      <c r="T210" s="648"/>
      <c r="U210" s="648"/>
      <c r="V210" s="7"/>
      <c r="W210" s="699"/>
      <c r="X210" s="7"/>
      <c r="Y210" s="618">
        <f t="shared" si="12"/>
        <v>0</v>
      </c>
      <c r="Z210" s="7"/>
      <c r="AA210" s="7"/>
      <c r="AB210" s="7"/>
      <c r="AC210" s="7"/>
      <c r="AD210" s="7"/>
      <c r="AE210" s="7"/>
    </row>
    <row r="211" spans="1:31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4"/>
      <c r="I211" s="214"/>
      <c r="J211" s="215"/>
      <c r="K211" s="213"/>
      <c r="L211" s="632"/>
      <c r="M211" s="213"/>
      <c r="N211" s="213"/>
      <c r="O211" s="213"/>
      <c r="P211" s="215"/>
      <c r="Q211" s="215"/>
      <c r="R211" s="616">
        <f t="shared" si="1"/>
        <v>0</v>
      </c>
      <c r="S211" s="633"/>
      <c r="T211" s="636"/>
      <c r="U211" s="636"/>
      <c r="V211" s="7"/>
      <c r="W211" s="699"/>
      <c r="X211" s="7"/>
      <c r="Y211" s="618">
        <f t="shared" si="12"/>
        <v>0</v>
      </c>
      <c r="Z211" s="7"/>
      <c r="AA211" s="7"/>
      <c r="AB211" s="7"/>
      <c r="AC211" s="7"/>
      <c r="AD211" s="7"/>
      <c r="AE211" s="7"/>
    </row>
    <row r="212" spans="1:31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4"/>
      <c r="I212" s="214"/>
      <c r="J212" s="215"/>
      <c r="K212" s="213"/>
      <c r="L212" s="632"/>
      <c r="M212" s="213"/>
      <c r="N212" s="213"/>
      <c r="O212" s="213"/>
      <c r="P212" s="215"/>
      <c r="Q212" s="215"/>
      <c r="R212" s="616">
        <f t="shared" si="1"/>
        <v>0</v>
      </c>
      <c r="S212" s="633"/>
      <c r="T212" s="636"/>
      <c r="U212" s="636"/>
      <c r="V212" s="7"/>
      <c r="W212" s="699"/>
      <c r="X212" s="7"/>
      <c r="Y212" s="618">
        <f t="shared" si="12"/>
        <v>0</v>
      </c>
      <c r="Z212" s="7"/>
      <c r="AA212" s="7"/>
      <c r="AB212" s="7"/>
      <c r="AC212" s="7"/>
      <c r="AD212" s="7"/>
      <c r="AE212" s="7"/>
    </row>
    <row r="213" spans="1:31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4"/>
      <c r="I213" s="214"/>
      <c r="J213" s="215"/>
      <c r="K213" s="213"/>
      <c r="L213" s="632"/>
      <c r="M213" s="213"/>
      <c r="N213" s="213"/>
      <c r="O213" s="213"/>
      <c r="P213" s="215"/>
      <c r="Q213" s="215"/>
      <c r="R213" s="616">
        <f t="shared" si="1"/>
        <v>0</v>
      </c>
      <c r="S213" s="633"/>
      <c r="T213" s="636"/>
      <c r="U213" s="636"/>
      <c r="V213" s="7"/>
      <c r="W213" s="703">
        <v>1</v>
      </c>
      <c r="X213" s="7"/>
      <c r="Y213" s="618">
        <f t="shared" si="12"/>
        <v>1</v>
      </c>
      <c r="Z213" s="7"/>
      <c r="AA213" s="7"/>
      <c r="AB213" s="7"/>
      <c r="AC213" s="7"/>
      <c r="AD213" s="7"/>
      <c r="AE213" s="7"/>
    </row>
    <row r="214" spans="1:31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4"/>
      <c r="I214" s="214"/>
      <c r="J214" s="215"/>
      <c r="K214" s="213"/>
      <c r="L214" s="632"/>
      <c r="M214" s="213"/>
      <c r="N214" s="213"/>
      <c r="O214" s="213"/>
      <c r="P214" s="215"/>
      <c r="Q214" s="215"/>
      <c r="R214" s="616">
        <f t="shared" si="1"/>
        <v>0</v>
      </c>
      <c r="S214" s="633"/>
      <c r="T214" s="636"/>
      <c r="U214" s="636"/>
      <c r="V214" s="7"/>
      <c r="W214" s="699">
        <v>1</v>
      </c>
      <c r="X214" s="7"/>
      <c r="Y214" s="618">
        <f t="shared" si="12"/>
        <v>1</v>
      </c>
      <c r="Z214" s="7"/>
      <c r="AA214" s="7"/>
      <c r="AB214" s="7"/>
      <c r="AC214" s="7"/>
      <c r="AD214" s="7"/>
      <c r="AE214" s="7"/>
    </row>
    <row r="215" spans="1:31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4"/>
      <c r="I215" s="214"/>
      <c r="J215" s="215"/>
      <c r="K215" s="213"/>
      <c r="L215" s="632"/>
      <c r="M215" s="213"/>
      <c r="N215" s="213"/>
      <c r="O215" s="213"/>
      <c r="P215" s="215"/>
      <c r="Q215" s="215"/>
      <c r="R215" s="616">
        <f t="shared" si="1"/>
        <v>0</v>
      </c>
      <c r="S215" s="633"/>
      <c r="T215" s="636"/>
      <c r="U215" s="636"/>
      <c r="V215" s="7"/>
      <c r="W215" s="699"/>
      <c r="X215" s="7"/>
      <c r="Y215" s="618">
        <f t="shared" si="12"/>
        <v>0</v>
      </c>
      <c r="Z215" s="7"/>
      <c r="AA215" s="7"/>
      <c r="AB215" s="7"/>
      <c r="AC215" s="7"/>
      <c r="AD215" s="7"/>
      <c r="AE215" s="7"/>
    </row>
    <row r="216" spans="1:31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4"/>
      <c r="I216" s="214"/>
      <c r="J216" s="215"/>
      <c r="K216" s="213"/>
      <c r="L216" s="632"/>
      <c r="M216" s="213"/>
      <c r="N216" s="213"/>
      <c r="O216" s="213"/>
      <c r="P216" s="215"/>
      <c r="Q216" s="215"/>
      <c r="R216" s="616">
        <f t="shared" si="1"/>
        <v>0</v>
      </c>
      <c r="S216" s="633"/>
      <c r="T216" s="636"/>
      <c r="U216" s="636"/>
      <c r="V216" s="7"/>
      <c r="W216" s="699"/>
      <c r="X216" s="7"/>
      <c r="Y216" s="618">
        <f t="shared" si="12"/>
        <v>0</v>
      </c>
      <c r="Z216" s="7"/>
      <c r="AA216" s="7"/>
      <c r="AB216" s="7"/>
      <c r="AC216" s="7"/>
      <c r="AD216" s="7"/>
      <c r="AE216" s="7"/>
    </row>
    <row r="217" spans="1:31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4"/>
      <c r="I217" s="214"/>
      <c r="J217" s="215"/>
      <c r="K217" s="213"/>
      <c r="L217" s="632"/>
      <c r="M217" s="213"/>
      <c r="N217" s="213"/>
      <c r="O217" s="213"/>
      <c r="P217" s="215"/>
      <c r="Q217" s="215"/>
      <c r="R217" s="616">
        <f t="shared" si="1"/>
        <v>0</v>
      </c>
      <c r="S217" s="633"/>
      <c r="T217" s="636"/>
      <c r="U217" s="636"/>
      <c r="V217" s="7"/>
      <c r="W217" s="699"/>
      <c r="X217" s="7"/>
      <c r="Y217" s="618">
        <f t="shared" si="12"/>
        <v>0</v>
      </c>
      <c r="Z217" s="7"/>
      <c r="AA217" s="7"/>
      <c r="AB217" s="7"/>
      <c r="AC217" s="7"/>
      <c r="AD217" s="7"/>
      <c r="AE217" s="7"/>
    </row>
    <row r="218" spans="1:31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4"/>
      <c r="I218" s="214"/>
      <c r="J218" s="215"/>
      <c r="K218" s="213"/>
      <c r="L218" s="632"/>
      <c r="M218" s="213"/>
      <c r="N218" s="213"/>
      <c r="O218" s="213"/>
      <c r="P218" s="215"/>
      <c r="Q218" s="215"/>
      <c r="R218" s="616">
        <f t="shared" si="1"/>
        <v>0</v>
      </c>
      <c r="S218" s="633"/>
      <c r="T218" s="636"/>
      <c r="U218" s="636"/>
      <c r="V218" s="7"/>
      <c r="W218" s="699"/>
      <c r="X218" s="7"/>
      <c r="Y218" s="618">
        <f t="shared" si="12"/>
        <v>0</v>
      </c>
      <c r="Z218" s="7"/>
      <c r="AA218" s="7"/>
      <c r="AB218" s="7"/>
      <c r="AC218" s="7"/>
      <c r="AD218" s="7"/>
      <c r="AE218" s="7"/>
    </row>
    <row r="219" spans="1:31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4"/>
      <c r="I219" s="214"/>
      <c r="J219" s="215"/>
      <c r="K219" s="213"/>
      <c r="L219" s="632"/>
      <c r="M219" s="213"/>
      <c r="N219" s="213"/>
      <c r="O219" s="213"/>
      <c r="P219" s="215"/>
      <c r="Q219" s="215"/>
      <c r="R219" s="616">
        <f t="shared" si="1"/>
        <v>0</v>
      </c>
      <c r="S219" s="633"/>
      <c r="T219" s="636"/>
      <c r="U219" s="636"/>
      <c r="V219" s="7"/>
      <c r="W219" s="699">
        <v>1</v>
      </c>
      <c r="X219" s="7"/>
      <c r="Y219" s="618">
        <f t="shared" si="12"/>
        <v>1</v>
      </c>
      <c r="Z219" s="7"/>
      <c r="AA219" s="7"/>
      <c r="AB219" s="7"/>
      <c r="AC219" s="7"/>
      <c r="AD219" s="7"/>
      <c r="AE219" s="7"/>
    </row>
    <row r="220" spans="1:31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4"/>
      <c r="I220" s="214"/>
      <c r="J220" s="215"/>
      <c r="K220" s="213"/>
      <c r="L220" s="632"/>
      <c r="M220" s="213"/>
      <c r="N220" s="213"/>
      <c r="O220" s="213"/>
      <c r="P220" s="215"/>
      <c r="Q220" s="215"/>
      <c r="R220" s="616">
        <f t="shared" si="1"/>
        <v>0</v>
      </c>
      <c r="S220" s="633"/>
      <c r="T220" s="636"/>
      <c r="U220" s="636"/>
      <c r="V220" s="7"/>
      <c r="W220" s="699"/>
      <c r="X220" s="7"/>
      <c r="Y220" s="618">
        <f t="shared" si="12"/>
        <v>0</v>
      </c>
      <c r="Z220" s="7"/>
      <c r="AA220" s="7"/>
      <c r="AB220" s="7"/>
      <c r="AC220" s="7"/>
      <c r="AD220" s="7"/>
      <c r="AE220" s="7"/>
    </row>
    <row r="221" spans="1:31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4"/>
      <c r="I221" s="214"/>
      <c r="J221" s="215"/>
      <c r="K221" s="213"/>
      <c r="L221" s="632"/>
      <c r="M221" s="213"/>
      <c r="N221" s="213"/>
      <c r="O221" s="213"/>
      <c r="P221" s="215"/>
      <c r="Q221" s="215"/>
      <c r="R221" s="616">
        <f t="shared" si="1"/>
        <v>0</v>
      </c>
      <c r="S221" s="633"/>
      <c r="T221" s="634"/>
      <c r="U221" s="634"/>
      <c r="V221" s="7"/>
      <c r="W221" s="699"/>
      <c r="X221" s="7"/>
      <c r="Y221" s="618">
        <f t="shared" si="12"/>
        <v>0</v>
      </c>
      <c r="Z221" s="7"/>
      <c r="AA221" s="7"/>
      <c r="AB221" s="7"/>
      <c r="AC221" s="7"/>
      <c r="AD221" s="7"/>
      <c r="AE221" s="7"/>
    </row>
    <row r="222" spans="1:31" ht="20.25" customHeight="1">
      <c r="A222" s="482" t="s">
        <v>1007</v>
      </c>
      <c r="B222" s="483" t="s">
        <v>502</v>
      </c>
      <c r="C222" s="629" t="s">
        <v>503</v>
      </c>
      <c r="D222" s="504" t="s">
        <v>2254</v>
      </c>
      <c r="E222" s="213"/>
      <c r="F222" s="213"/>
      <c r="G222" s="213"/>
      <c r="H222" s="214"/>
      <c r="I222" s="214"/>
      <c r="J222" s="215"/>
      <c r="K222" s="213"/>
      <c r="L222" s="632"/>
      <c r="M222" s="213"/>
      <c r="N222" s="213"/>
      <c r="O222" s="213"/>
      <c r="P222" s="215"/>
      <c r="Q222" s="215"/>
      <c r="R222" s="616">
        <f t="shared" si="1"/>
        <v>0</v>
      </c>
      <c r="S222" s="633"/>
      <c r="T222" s="634"/>
      <c r="U222" s="634"/>
      <c r="V222" s="7"/>
      <c r="W222" s="699"/>
      <c r="X222" s="7"/>
      <c r="Y222" s="618">
        <f t="shared" si="12"/>
        <v>0</v>
      </c>
      <c r="Z222" s="7"/>
      <c r="AA222" s="7"/>
      <c r="AB222" s="7"/>
      <c r="AC222" s="7"/>
      <c r="AD222" s="7"/>
      <c r="AE222" s="7"/>
    </row>
    <row r="223" spans="1:31" ht="20.25" customHeight="1">
      <c r="A223" s="482"/>
      <c r="B223" s="483" t="s">
        <v>506</v>
      </c>
      <c r="C223" s="629" t="s">
        <v>507</v>
      </c>
      <c r="D223" s="485" t="s">
        <v>2255</v>
      </c>
      <c r="E223" s="213"/>
      <c r="F223" s="213"/>
      <c r="G223" s="213"/>
      <c r="H223" s="214"/>
      <c r="I223" s="214"/>
      <c r="J223" s="215"/>
      <c r="K223" s="213"/>
      <c r="L223" s="632"/>
      <c r="M223" s="213"/>
      <c r="N223" s="213"/>
      <c r="O223" s="213"/>
      <c r="P223" s="215"/>
      <c r="Q223" s="215"/>
      <c r="R223" s="616">
        <f t="shared" si="1"/>
        <v>0</v>
      </c>
      <c r="S223" s="633"/>
      <c r="T223" s="634"/>
      <c r="U223" s="634"/>
      <c r="V223" s="7"/>
      <c r="W223" s="699"/>
      <c r="X223" s="7"/>
      <c r="Y223" s="618">
        <f t="shared" si="12"/>
        <v>0</v>
      </c>
      <c r="Z223" s="7"/>
      <c r="AA223" s="7"/>
      <c r="AB223" s="7"/>
      <c r="AC223" s="7"/>
      <c r="AD223" s="7"/>
      <c r="AE223" s="7"/>
    </row>
    <row r="224" spans="1:31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4"/>
      <c r="I224" s="214"/>
      <c r="J224" s="215"/>
      <c r="K224" s="213"/>
      <c r="L224" s="632"/>
      <c r="M224" s="213"/>
      <c r="N224" s="213"/>
      <c r="O224" s="213"/>
      <c r="P224" s="215"/>
      <c r="Q224" s="215"/>
      <c r="R224" s="616">
        <f t="shared" si="1"/>
        <v>0</v>
      </c>
      <c r="S224" s="633"/>
      <c r="T224" s="636"/>
      <c r="U224" s="636"/>
      <c r="V224" s="7"/>
      <c r="W224" s="699"/>
      <c r="X224" s="7"/>
      <c r="Y224" s="618">
        <f t="shared" si="12"/>
        <v>0</v>
      </c>
      <c r="Z224" s="7"/>
      <c r="AA224" s="7"/>
      <c r="AB224" s="7"/>
      <c r="AC224" s="7"/>
      <c r="AD224" s="7"/>
      <c r="AE224" s="7"/>
    </row>
    <row r="225" spans="1:31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4"/>
      <c r="I225" s="214"/>
      <c r="J225" s="215"/>
      <c r="K225" s="213"/>
      <c r="L225" s="632"/>
      <c r="M225" s="213"/>
      <c r="N225" s="213"/>
      <c r="O225" s="213"/>
      <c r="P225" s="215"/>
      <c r="Q225" s="215"/>
      <c r="R225" s="616">
        <f t="shared" si="1"/>
        <v>0</v>
      </c>
      <c r="S225" s="660" t="s">
        <v>1594</v>
      </c>
      <c r="T225" s="640"/>
      <c r="U225" s="640"/>
      <c r="V225" s="7"/>
      <c r="W225" s="699"/>
      <c r="X225" s="7"/>
      <c r="Y225" s="618">
        <f t="shared" si="12"/>
        <v>0</v>
      </c>
      <c r="Z225" s="7"/>
      <c r="AA225" s="7"/>
      <c r="AB225" s="7"/>
      <c r="AC225" s="7"/>
      <c r="AD225" s="7"/>
      <c r="AE225" s="7"/>
    </row>
    <row r="226" spans="1:31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4"/>
      <c r="I226" s="214"/>
      <c r="J226" s="215"/>
      <c r="K226" s="213"/>
      <c r="L226" s="632"/>
      <c r="M226" s="213"/>
      <c r="N226" s="213"/>
      <c r="O226" s="213"/>
      <c r="P226" s="215"/>
      <c r="Q226" s="215"/>
      <c r="R226" s="616">
        <f t="shared" si="1"/>
        <v>0</v>
      </c>
      <c r="S226" s="642">
        <f>R227+R237</f>
        <v>282</v>
      </c>
      <c r="T226" s="636"/>
      <c r="U226" s="636"/>
      <c r="V226" s="7"/>
      <c r="W226" s="699"/>
      <c r="X226" s="7"/>
      <c r="Y226" s="618">
        <f t="shared" si="12"/>
        <v>0</v>
      </c>
      <c r="Z226" s="7"/>
      <c r="AA226" s="7"/>
      <c r="AB226" s="7"/>
      <c r="AC226" s="7"/>
      <c r="AD226" s="7"/>
      <c r="AE226" s="7"/>
    </row>
    <row r="227" spans="1:31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4"/>
      <c r="I227" s="214"/>
      <c r="J227" s="215"/>
      <c r="K227" s="213"/>
      <c r="L227" s="632"/>
      <c r="M227" s="213"/>
      <c r="N227" s="213"/>
      <c r="O227" s="213"/>
      <c r="P227" s="215"/>
      <c r="Q227" s="215"/>
      <c r="R227" s="616">
        <f t="shared" si="1"/>
        <v>0</v>
      </c>
      <c r="S227" s="648"/>
      <c r="T227" s="648"/>
      <c r="U227" s="648"/>
      <c r="V227" s="7"/>
      <c r="W227" s="699">
        <v>604</v>
      </c>
      <c r="X227" s="7"/>
      <c r="Y227" s="618">
        <f t="shared" si="12"/>
        <v>604</v>
      </c>
      <c r="Z227" s="7"/>
      <c r="AA227" s="7"/>
      <c r="AB227" s="7"/>
      <c r="AC227" s="7"/>
      <c r="AD227" s="7"/>
      <c r="AE227" s="7"/>
    </row>
    <row r="228" spans="1:31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4"/>
      <c r="I228" s="214"/>
      <c r="J228" s="215"/>
      <c r="K228" s="213"/>
      <c r="L228" s="632"/>
      <c r="M228" s="213"/>
      <c r="N228" s="213"/>
      <c r="O228" s="213"/>
      <c r="P228" s="215"/>
      <c r="Q228" s="215"/>
      <c r="R228" s="616">
        <f t="shared" si="1"/>
        <v>0</v>
      </c>
      <c r="S228" s="661" t="s">
        <v>1595</v>
      </c>
      <c r="T228" s="648"/>
      <c r="U228" s="648"/>
      <c r="V228" s="7"/>
      <c r="W228" s="699"/>
      <c r="X228" s="7"/>
      <c r="Y228" s="618">
        <f t="shared" si="12"/>
        <v>0</v>
      </c>
      <c r="Z228" s="7"/>
      <c r="AA228" s="7"/>
      <c r="AB228" s="7"/>
      <c r="AC228" s="7"/>
      <c r="AD228" s="7"/>
      <c r="AE228" s="7"/>
    </row>
    <row r="229" spans="1:31" ht="19.5" customHeight="1">
      <c r="A229" s="503"/>
      <c r="B229" s="483" t="s">
        <v>523</v>
      </c>
      <c r="C229" s="629" t="s">
        <v>524</v>
      </c>
      <c r="D229" s="504" t="s">
        <v>2256</v>
      </c>
      <c r="E229" s="213"/>
      <c r="F229" s="213"/>
      <c r="G229" s="213"/>
      <c r="H229" s="214"/>
      <c r="I229" s="214"/>
      <c r="J229" s="215"/>
      <c r="K229" s="213"/>
      <c r="L229" s="632"/>
      <c r="M229" s="213"/>
      <c r="N229" s="213"/>
      <c r="O229" s="213"/>
      <c r="P229" s="215"/>
      <c r="Q229" s="215"/>
      <c r="R229" s="616">
        <f t="shared" si="1"/>
        <v>0</v>
      </c>
      <c r="S229" s="642">
        <f>R229+R230+R239+R240</f>
        <v>2362</v>
      </c>
      <c r="T229" s="648"/>
      <c r="U229" s="648"/>
      <c r="V229" s="7"/>
      <c r="W229" s="699">
        <v>52800</v>
      </c>
      <c r="X229" s="7"/>
      <c r="Y229" s="618">
        <f t="shared" si="12"/>
        <v>52800</v>
      </c>
      <c r="Z229" s="7"/>
      <c r="AA229" s="7"/>
      <c r="AB229" s="7"/>
      <c r="AC229" s="7"/>
      <c r="AD229" s="7"/>
      <c r="AE229" s="7"/>
    </row>
    <row r="230" spans="1:31" ht="20.25" customHeight="1">
      <c r="A230" s="503"/>
      <c r="B230" s="483" t="s">
        <v>526</v>
      </c>
      <c r="C230" s="629" t="s">
        <v>527</v>
      </c>
      <c r="D230" s="504" t="s">
        <v>2257</v>
      </c>
      <c r="E230" s="213"/>
      <c r="F230" s="213"/>
      <c r="G230" s="213"/>
      <c r="H230" s="214"/>
      <c r="I230" s="214"/>
      <c r="J230" s="215"/>
      <c r="K230" s="213"/>
      <c r="L230" s="632"/>
      <c r="M230" s="213"/>
      <c r="N230" s="213"/>
      <c r="O230" s="213"/>
      <c r="P230" s="215"/>
      <c r="Q230" s="215"/>
      <c r="R230" s="616">
        <f t="shared" si="1"/>
        <v>0</v>
      </c>
      <c r="S230" s="633"/>
      <c r="T230" s="648"/>
      <c r="U230" s="648"/>
      <c r="V230" s="7"/>
      <c r="W230" s="699"/>
      <c r="X230" s="7"/>
      <c r="Y230" s="618">
        <f t="shared" si="12"/>
        <v>0</v>
      </c>
      <c r="Z230" s="7"/>
      <c r="AA230" s="7"/>
      <c r="AB230" s="7"/>
      <c r="AC230" s="7"/>
      <c r="AD230" s="7"/>
      <c r="AE230" s="7"/>
    </row>
    <row r="231" spans="1:31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4"/>
      <c r="I231" s="214"/>
      <c r="J231" s="215"/>
      <c r="K231" s="213"/>
      <c r="L231" s="632"/>
      <c r="M231" s="213"/>
      <c r="N231" s="213"/>
      <c r="O231" s="213"/>
      <c r="P231" s="215"/>
      <c r="Q231" s="215"/>
      <c r="R231" s="616">
        <f t="shared" si="1"/>
        <v>0</v>
      </c>
      <c r="S231" s="633"/>
      <c r="T231" s="648"/>
      <c r="U231" s="648"/>
      <c r="V231" s="7"/>
      <c r="W231" s="699"/>
      <c r="X231" s="7"/>
      <c r="Y231" s="618">
        <f t="shared" si="12"/>
        <v>0</v>
      </c>
      <c r="Z231" s="7"/>
      <c r="AA231" s="7"/>
      <c r="AB231" s="7"/>
      <c r="AC231" s="7"/>
      <c r="AD231" s="7"/>
      <c r="AE231" s="7"/>
    </row>
    <row r="232" spans="1:31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4"/>
      <c r="I232" s="214"/>
      <c r="J232" s="215"/>
      <c r="K232" s="213"/>
      <c r="L232" s="632"/>
      <c r="M232" s="213"/>
      <c r="N232" s="213"/>
      <c r="O232" s="213"/>
      <c r="P232" s="215"/>
      <c r="Q232" s="215"/>
      <c r="R232" s="616">
        <f t="shared" si="1"/>
        <v>0</v>
      </c>
      <c r="S232" s="633"/>
      <c r="T232" s="648"/>
      <c r="U232" s="648"/>
      <c r="V232" s="7"/>
      <c r="W232" s="699"/>
      <c r="X232" s="7"/>
      <c r="Y232" s="618">
        <f t="shared" si="12"/>
        <v>0</v>
      </c>
      <c r="Z232" s="7"/>
      <c r="AA232" s="7"/>
      <c r="AB232" s="7"/>
      <c r="AC232" s="7"/>
      <c r="AD232" s="7"/>
      <c r="AE232" s="7"/>
    </row>
    <row r="233" spans="1:31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4"/>
      <c r="I233" s="214"/>
      <c r="J233" s="215"/>
      <c r="K233" s="213"/>
      <c r="L233" s="632"/>
      <c r="M233" s="213"/>
      <c r="N233" s="213"/>
      <c r="O233" s="213"/>
      <c r="P233" s="215"/>
      <c r="Q233" s="215"/>
      <c r="R233" s="616">
        <f t="shared" si="1"/>
        <v>0</v>
      </c>
      <c r="S233" s="633"/>
      <c r="T233" s="648"/>
      <c r="U233" s="648"/>
      <c r="V233" s="7"/>
      <c r="W233" s="699">
        <v>8</v>
      </c>
      <c r="X233" s="7"/>
      <c r="Y233" s="618">
        <f t="shared" si="12"/>
        <v>8</v>
      </c>
      <c r="Z233" s="7"/>
      <c r="AA233" s="7"/>
      <c r="AB233" s="7"/>
      <c r="AC233" s="7"/>
      <c r="AD233" s="7"/>
      <c r="AE233" s="7"/>
    </row>
    <row r="234" spans="1:31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4"/>
      <c r="I234" s="214"/>
      <c r="J234" s="215"/>
      <c r="K234" s="213"/>
      <c r="L234" s="632"/>
      <c r="M234" s="213"/>
      <c r="N234" s="213"/>
      <c r="O234" s="213"/>
      <c r="P234" s="215"/>
      <c r="Q234" s="215"/>
      <c r="R234" s="616">
        <f t="shared" si="1"/>
        <v>0</v>
      </c>
      <c r="S234" s="633"/>
      <c r="T234" s="648"/>
      <c r="U234" s="648"/>
      <c r="V234" s="7"/>
      <c r="W234" s="699"/>
      <c r="X234" s="7"/>
      <c r="Y234" s="618">
        <f t="shared" si="12"/>
        <v>0</v>
      </c>
      <c r="Z234" s="7"/>
      <c r="AA234" s="7"/>
      <c r="AB234" s="7"/>
      <c r="AC234" s="7"/>
      <c r="AD234" s="7"/>
      <c r="AE234" s="7"/>
    </row>
    <row r="235" spans="1:31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4"/>
      <c r="I235" s="214"/>
      <c r="J235" s="215"/>
      <c r="K235" s="213"/>
      <c r="L235" s="632"/>
      <c r="M235" s="213"/>
      <c r="N235" s="213"/>
      <c r="O235" s="213"/>
      <c r="P235" s="215"/>
      <c r="Q235" s="215"/>
      <c r="R235" s="616">
        <f t="shared" si="1"/>
        <v>0</v>
      </c>
      <c r="S235" s="633"/>
      <c r="T235" s="648"/>
      <c r="U235" s="648"/>
      <c r="V235" s="7"/>
      <c r="W235" s="699"/>
      <c r="X235" s="7"/>
      <c r="Y235" s="618">
        <f t="shared" si="12"/>
        <v>0</v>
      </c>
      <c r="Z235" s="7"/>
      <c r="AA235" s="7"/>
      <c r="AB235" s="7"/>
      <c r="AC235" s="7"/>
      <c r="AD235" s="7"/>
      <c r="AE235" s="7"/>
    </row>
    <row r="236" spans="1:31" ht="15.75" customHeight="1">
      <c r="A236" s="486"/>
      <c r="B236" s="487" t="s">
        <v>545</v>
      </c>
      <c r="C236" s="635" t="s">
        <v>546</v>
      </c>
      <c r="D236" s="512"/>
      <c r="E236" s="213">
        <v>1</v>
      </c>
      <c r="F236" s="213"/>
      <c r="G236" s="213">
        <v>1</v>
      </c>
      <c r="H236" s="214"/>
      <c r="I236" s="214"/>
      <c r="J236" s="215"/>
      <c r="K236" s="213"/>
      <c r="L236" s="632">
        <v>2</v>
      </c>
      <c r="M236" s="213">
        <v>3</v>
      </c>
      <c r="N236" s="213"/>
      <c r="O236" s="213"/>
      <c r="P236" s="215"/>
      <c r="Q236" s="215"/>
      <c r="R236" s="616">
        <f t="shared" si="1"/>
        <v>7</v>
      </c>
      <c r="S236" s="633"/>
      <c r="T236" s="636"/>
      <c r="U236" s="636"/>
      <c r="V236" s="7"/>
      <c r="W236" s="699"/>
      <c r="X236" s="7"/>
      <c r="Y236" s="618"/>
      <c r="Z236" s="7"/>
      <c r="AA236" s="7"/>
      <c r="AB236" s="7"/>
      <c r="AC236" s="7"/>
      <c r="AD236" s="7"/>
      <c r="AE236" s="7"/>
    </row>
    <row r="237" spans="1:31" ht="20.25" customHeight="1">
      <c r="A237" s="503"/>
      <c r="B237" s="483" t="s">
        <v>548</v>
      </c>
      <c r="C237" s="629" t="s">
        <v>447</v>
      </c>
      <c r="D237" s="504" t="s">
        <v>424</v>
      </c>
      <c r="E237" s="213">
        <v>62</v>
      </c>
      <c r="F237" s="213"/>
      <c r="G237" s="213"/>
      <c r="H237" s="214"/>
      <c r="I237" s="214"/>
      <c r="J237" s="215">
        <v>20</v>
      </c>
      <c r="K237" s="213"/>
      <c r="L237" s="632"/>
      <c r="M237" s="213"/>
      <c r="N237" s="213"/>
      <c r="O237" s="213">
        <v>200</v>
      </c>
      <c r="P237" s="215"/>
      <c r="Q237" s="215"/>
      <c r="R237" s="616">
        <f t="shared" si="1"/>
        <v>282</v>
      </c>
      <c r="S237" s="633"/>
      <c r="T237" s="648"/>
      <c r="U237" s="648"/>
      <c r="V237" s="7"/>
      <c r="W237" s="699">
        <v>13865</v>
      </c>
      <c r="X237" s="7"/>
      <c r="Y237" s="618">
        <f t="shared" ref="Y237:Y242" si="13">W237-R237</f>
        <v>13583</v>
      </c>
      <c r="Z237" s="7"/>
      <c r="AA237" s="7"/>
      <c r="AB237" s="7"/>
      <c r="AC237" s="7"/>
      <c r="AD237" s="7"/>
      <c r="AE237" s="7"/>
    </row>
    <row r="238" spans="1:31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4"/>
      <c r="I238" s="214"/>
      <c r="J238" s="215"/>
      <c r="K238" s="213"/>
      <c r="L238" s="632"/>
      <c r="M238" s="213"/>
      <c r="N238" s="213"/>
      <c r="O238" s="213"/>
      <c r="P238" s="215"/>
      <c r="Q238" s="215"/>
      <c r="R238" s="616">
        <f t="shared" si="1"/>
        <v>0</v>
      </c>
      <c r="S238" s="633"/>
      <c r="T238" s="648"/>
      <c r="U238" s="648"/>
      <c r="V238" s="7"/>
      <c r="W238" s="699"/>
      <c r="X238" s="7"/>
      <c r="Y238" s="618">
        <f t="shared" si="13"/>
        <v>0</v>
      </c>
      <c r="Z238" s="7"/>
      <c r="AA238" s="7"/>
      <c r="AB238" s="7"/>
      <c r="AC238" s="7"/>
      <c r="AD238" s="7"/>
      <c r="AE238" s="7"/>
    </row>
    <row r="239" spans="1:31" ht="20.25" customHeight="1">
      <c r="A239" s="503"/>
      <c r="B239" s="483" t="s">
        <v>551</v>
      </c>
      <c r="C239" s="629" t="s">
        <v>524</v>
      </c>
      <c r="D239" s="504" t="s">
        <v>2258</v>
      </c>
      <c r="E239" s="213">
        <v>350</v>
      </c>
      <c r="F239" s="213"/>
      <c r="G239" s="213"/>
      <c r="H239" s="214"/>
      <c r="I239" s="214"/>
      <c r="J239" s="215">
        <v>2000</v>
      </c>
      <c r="K239" s="213"/>
      <c r="L239" s="632"/>
      <c r="M239" s="213"/>
      <c r="N239" s="213">
        <v>12</v>
      </c>
      <c r="O239" s="213"/>
      <c r="P239" s="215"/>
      <c r="Q239" s="215"/>
      <c r="R239" s="616">
        <f t="shared" si="1"/>
        <v>2362</v>
      </c>
      <c r="S239" s="633"/>
      <c r="T239" s="648"/>
      <c r="U239" s="648"/>
      <c r="V239" s="7"/>
      <c r="W239" s="699">
        <v>149763.64000000001</v>
      </c>
      <c r="X239" s="7"/>
      <c r="Y239" s="618">
        <f t="shared" si="13"/>
        <v>147401.64000000001</v>
      </c>
      <c r="Z239" s="7"/>
      <c r="AA239" s="7"/>
      <c r="AB239" s="7"/>
      <c r="AC239" s="7"/>
      <c r="AD239" s="7"/>
      <c r="AE239" s="7"/>
    </row>
    <row r="240" spans="1:31" ht="20.25" customHeight="1">
      <c r="A240" s="503"/>
      <c r="B240" s="483" t="s">
        <v>553</v>
      </c>
      <c r="C240" s="629" t="s">
        <v>527</v>
      </c>
      <c r="D240" s="504" t="s">
        <v>2259</v>
      </c>
      <c r="E240" s="213"/>
      <c r="F240" s="213"/>
      <c r="G240" s="213"/>
      <c r="H240" s="214"/>
      <c r="I240" s="214"/>
      <c r="J240" s="215"/>
      <c r="K240" s="213"/>
      <c r="L240" s="632"/>
      <c r="M240" s="213"/>
      <c r="N240" s="213"/>
      <c r="O240" s="213"/>
      <c r="P240" s="215"/>
      <c r="Q240" s="215"/>
      <c r="R240" s="616">
        <f t="shared" si="1"/>
        <v>0</v>
      </c>
      <c r="S240" s="633"/>
      <c r="T240" s="648"/>
      <c r="U240" s="648"/>
      <c r="V240" s="7"/>
      <c r="W240" s="699">
        <v>80</v>
      </c>
      <c r="X240" s="7"/>
      <c r="Y240" s="618">
        <f t="shared" si="13"/>
        <v>80</v>
      </c>
      <c r="Z240" s="7"/>
      <c r="AA240" s="7"/>
      <c r="AB240" s="7"/>
      <c r="AC240" s="7"/>
      <c r="AD240" s="7"/>
      <c r="AE240" s="7"/>
    </row>
    <row r="241" spans="1:31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4"/>
      <c r="I241" s="214"/>
      <c r="J241" s="215"/>
      <c r="K241" s="213"/>
      <c r="L241" s="632"/>
      <c r="M241" s="213">
        <v>1</v>
      </c>
      <c r="N241" s="213"/>
      <c r="O241" s="213"/>
      <c r="P241" s="215"/>
      <c r="Q241" s="215"/>
      <c r="R241" s="616">
        <f t="shared" si="1"/>
        <v>1</v>
      </c>
      <c r="S241" s="633"/>
      <c r="T241" s="648"/>
      <c r="U241" s="648"/>
      <c r="V241" s="7"/>
      <c r="W241" s="699">
        <v>1</v>
      </c>
      <c r="X241" s="7"/>
      <c r="Y241" s="618">
        <f t="shared" si="13"/>
        <v>0</v>
      </c>
      <c r="Z241" s="7"/>
      <c r="AA241" s="7"/>
      <c r="AB241" s="7"/>
      <c r="AC241" s="7"/>
      <c r="AD241" s="7"/>
      <c r="AE241" s="7"/>
    </row>
    <row r="242" spans="1:31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4"/>
      <c r="I242" s="214"/>
      <c r="J242" s="215"/>
      <c r="K242" s="213"/>
      <c r="L242" s="632"/>
      <c r="M242" s="213"/>
      <c r="N242" s="213"/>
      <c r="O242" s="213"/>
      <c r="P242" s="215"/>
      <c r="Q242" s="215"/>
      <c r="R242" s="616">
        <f t="shared" si="1"/>
        <v>0</v>
      </c>
      <c r="S242" s="633"/>
      <c r="T242" s="648"/>
      <c r="U242" s="648"/>
      <c r="V242" s="7"/>
      <c r="W242" s="699">
        <v>1</v>
      </c>
      <c r="X242" s="7"/>
      <c r="Y242" s="618">
        <f t="shared" si="13"/>
        <v>1</v>
      </c>
      <c r="Z242" s="7"/>
      <c r="AA242" s="7"/>
      <c r="AB242" s="7"/>
      <c r="AC242" s="7"/>
      <c r="AD242" s="7"/>
      <c r="AE242" s="7"/>
    </row>
    <row r="243" spans="1:31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>
        <v>13</v>
      </c>
      <c r="F243" s="213"/>
      <c r="G243" s="213">
        <v>1</v>
      </c>
      <c r="H243" s="214"/>
      <c r="I243" s="214"/>
      <c r="J243" s="215"/>
      <c r="K243" s="213">
        <v>5</v>
      </c>
      <c r="L243" s="632">
        <v>2</v>
      </c>
      <c r="M243" s="213">
        <v>3</v>
      </c>
      <c r="N243" s="213">
        <v>1</v>
      </c>
      <c r="O243" s="213"/>
      <c r="P243" s="215">
        <v>1</v>
      </c>
      <c r="Q243" s="215"/>
      <c r="R243" s="616">
        <f t="shared" si="1"/>
        <v>26</v>
      </c>
      <c r="S243" s="633"/>
      <c r="T243" s="648"/>
      <c r="U243" s="648"/>
      <c r="V243" s="7"/>
      <c r="W243" s="699">
        <v>188</v>
      </c>
      <c r="X243" s="7"/>
      <c r="Y243" s="618"/>
      <c r="Z243" s="7"/>
      <c r="AA243" s="7"/>
      <c r="AB243" s="7"/>
      <c r="AC243" s="7"/>
      <c r="AD243" s="7"/>
      <c r="AE243" s="7"/>
    </row>
    <row r="244" spans="1:31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4"/>
      <c r="I244" s="214"/>
      <c r="J244" s="215"/>
      <c r="K244" s="213"/>
      <c r="L244" s="632"/>
      <c r="M244" s="213"/>
      <c r="N244" s="213"/>
      <c r="O244" s="213"/>
      <c r="P244" s="215"/>
      <c r="Q244" s="215"/>
      <c r="R244" s="616">
        <f t="shared" si="1"/>
        <v>0</v>
      </c>
      <c r="S244" s="633"/>
      <c r="T244" s="648"/>
      <c r="U244" s="648"/>
      <c r="V244" s="7"/>
      <c r="W244" s="699"/>
      <c r="X244" s="7"/>
      <c r="Y244" s="618">
        <f t="shared" ref="Y244:Y283" si="14">W244-R244</f>
        <v>0</v>
      </c>
      <c r="Z244" s="7"/>
      <c r="AA244" s="7"/>
      <c r="AB244" s="7"/>
      <c r="AC244" s="7"/>
      <c r="AD244" s="7"/>
      <c r="AE244" s="7"/>
    </row>
    <row r="245" spans="1:31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4"/>
      <c r="I245" s="214"/>
      <c r="J245" s="215"/>
      <c r="K245" s="213"/>
      <c r="L245" s="632"/>
      <c r="M245" s="213"/>
      <c r="N245" s="213"/>
      <c r="O245" s="213"/>
      <c r="P245" s="215"/>
      <c r="Q245" s="215"/>
      <c r="R245" s="616">
        <f t="shared" si="1"/>
        <v>0</v>
      </c>
      <c r="S245" s="633"/>
      <c r="T245" s="648"/>
      <c r="U245" s="648"/>
      <c r="V245" s="7"/>
      <c r="W245" s="699"/>
      <c r="X245" s="7"/>
      <c r="Y245" s="618">
        <f t="shared" si="14"/>
        <v>0</v>
      </c>
      <c r="Z245" s="7"/>
      <c r="AA245" s="7"/>
      <c r="AB245" s="7"/>
      <c r="AC245" s="7"/>
      <c r="AD245" s="7"/>
      <c r="AE245" s="7"/>
    </row>
    <row r="246" spans="1:31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4"/>
      <c r="I246" s="214"/>
      <c r="J246" s="215"/>
      <c r="K246" s="213"/>
      <c r="L246" s="632"/>
      <c r="M246" s="213"/>
      <c r="N246" s="213"/>
      <c r="O246" s="213"/>
      <c r="P246" s="215"/>
      <c r="Q246" s="215"/>
      <c r="R246" s="616">
        <f t="shared" si="1"/>
        <v>0</v>
      </c>
      <c r="S246" s="633"/>
      <c r="T246" s="636"/>
      <c r="U246" s="636"/>
      <c r="V246" s="7"/>
      <c r="W246" s="699"/>
      <c r="X246" s="7"/>
      <c r="Y246" s="618">
        <f t="shared" si="14"/>
        <v>0</v>
      </c>
      <c r="Z246" s="7"/>
      <c r="AA246" s="7"/>
      <c r="AB246" s="7"/>
      <c r="AC246" s="7"/>
      <c r="AD246" s="7"/>
      <c r="AE246" s="7"/>
    </row>
    <row r="247" spans="1:31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4"/>
      <c r="I247" s="214"/>
      <c r="J247" s="215"/>
      <c r="K247" s="213"/>
      <c r="L247" s="632"/>
      <c r="M247" s="213"/>
      <c r="N247" s="213"/>
      <c r="O247" s="213"/>
      <c r="P247" s="215"/>
      <c r="Q247" s="215"/>
      <c r="R247" s="616">
        <f t="shared" si="1"/>
        <v>0</v>
      </c>
      <c r="S247" s="633"/>
      <c r="T247" s="636"/>
      <c r="U247" s="636"/>
      <c r="V247" s="7"/>
      <c r="W247" s="699"/>
      <c r="X247" s="7"/>
      <c r="Y247" s="618">
        <f t="shared" si="14"/>
        <v>0</v>
      </c>
      <c r="Z247" s="7"/>
      <c r="AA247" s="7"/>
      <c r="AB247" s="7"/>
      <c r="AC247" s="7"/>
      <c r="AD247" s="7"/>
      <c r="AE247" s="7"/>
    </row>
    <row r="248" spans="1:31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4"/>
      <c r="I248" s="214"/>
      <c r="J248" s="215"/>
      <c r="K248" s="213"/>
      <c r="L248" s="632"/>
      <c r="M248" s="213"/>
      <c r="N248" s="213"/>
      <c r="O248" s="213"/>
      <c r="P248" s="215"/>
      <c r="Q248" s="215"/>
      <c r="R248" s="616">
        <f t="shared" si="1"/>
        <v>0</v>
      </c>
      <c r="S248" s="633"/>
      <c r="T248" s="636"/>
      <c r="U248" s="636"/>
      <c r="V248" s="7"/>
      <c r="W248" s="699"/>
      <c r="X248" s="7"/>
      <c r="Y248" s="618">
        <f t="shared" si="14"/>
        <v>0</v>
      </c>
      <c r="Z248" s="7"/>
      <c r="AA248" s="7"/>
      <c r="AB248" s="7"/>
      <c r="AC248" s="7"/>
      <c r="AD248" s="7"/>
      <c r="AE248" s="7"/>
    </row>
    <row r="249" spans="1:31" ht="20.25" customHeight="1">
      <c r="A249" s="503" t="s">
        <v>1020</v>
      </c>
      <c r="B249" s="483" t="s">
        <v>566</v>
      </c>
      <c r="C249" s="629" t="s">
        <v>567</v>
      </c>
      <c r="D249" s="485" t="s">
        <v>2260</v>
      </c>
      <c r="E249" s="213"/>
      <c r="F249" s="213"/>
      <c r="G249" s="213"/>
      <c r="H249" s="214"/>
      <c r="I249" s="214"/>
      <c r="J249" s="215"/>
      <c r="K249" s="213"/>
      <c r="L249" s="632"/>
      <c r="M249" s="213"/>
      <c r="N249" s="213"/>
      <c r="O249" s="213"/>
      <c r="P249" s="215"/>
      <c r="Q249" s="215"/>
      <c r="R249" s="616">
        <f t="shared" si="1"/>
        <v>0</v>
      </c>
      <c r="S249" s="633"/>
      <c r="T249" s="636"/>
      <c r="U249" s="636"/>
      <c r="V249" s="7"/>
      <c r="W249" s="699"/>
      <c r="X249" s="7"/>
      <c r="Y249" s="618">
        <f t="shared" si="14"/>
        <v>0</v>
      </c>
      <c r="Z249" s="7"/>
      <c r="AA249" s="7"/>
      <c r="AB249" s="7"/>
      <c r="AC249" s="7"/>
      <c r="AD249" s="7"/>
      <c r="AE249" s="7"/>
    </row>
    <row r="250" spans="1:31" ht="20.25" customHeight="1">
      <c r="A250" s="503" t="s">
        <v>1022</v>
      </c>
      <c r="B250" s="483" t="s">
        <v>569</v>
      </c>
      <c r="C250" s="629" t="s">
        <v>570</v>
      </c>
      <c r="D250" s="485" t="s">
        <v>2261</v>
      </c>
      <c r="E250" s="213"/>
      <c r="F250" s="213"/>
      <c r="G250" s="213"/>
      <c r="H250" s="214"/>
      <c r="I250" s="214"/>
      <c r="J250" s="215"/>
      <c r="K250" s="213"/>
      <c r="L250" s="632"/>
      <c r="M250" s="213"/>
      <c r="N250" s="213"/>
      <c r="O250" s="213"/>
      <c r="P250" s="215"/>
      <c r="Q250" s="215"/>
      <c r="R250" s="616">
        <f t="shared" si="1"/>
        <v>0</v>
      </c>
      <c r="S250" s="633"/>
      <c r="T250" s="636"/>
      <c r="U250" s="636"/>
      <c r="V250" s="7"/>
      <c r="W250" s="699"/>
      <c r="X250" s="7"/>
      <c r="Y250" s="618">
        <f t="shared" si="14"/>
        <v>0</v>
      </c>
      <c r="Z250" s="7"/>
      <c r="AA250" s="7"/>
      <c r="AB250" s="7"/>
      <c r="AC250" s="7"/>
      <c r="AD250" s="7"/>
      <c r="AE250" s="7"/>
    </row>
    <row r="251" spans="1:31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4"/>
      <c r="I251" s="214"/>
      <c r="J251" s="215"/>
      <c r="K251" s="213"/>
      <c r="L251" s="632"/>
      <c r="M251" s="213"/>
      <c r="N251" s="213"/>
      <c r="O251" s="213"/>
      <c r="P251" s="215"/>
      <c r="Q251" s="215"/>
      <c r="R251" s="616">
        <f t="shared" si="1"/>
        <v>0</v>
      </c>
      <c r="S251" s="633"/>
      <c r="T251" s="636"/>
      <c r="U251" s="636"/>
      <c r="V251" s="7"/>
      <c r="W251" s="699"/>
      <c r="X251" s="7"/>
      <c r="Y251" s="618">
        <f t="shared" si="14"/>
        <v>0</v>
      </c>
      <c r="Z251" s="7"/>
      <c r="AA251" s="7"/>
      <c r="AB251" s="7"/>
      <c r="AC251" s="7"/>
      <c r="AD251" s="7"/>
      <c r="AE251" s="7"/>
    </row>
    <row r="252" spans="1:31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4"/>
      <c r="I252" s="214"/>
      <c r="J252" s="215"/>
      <c r="K252" s="213"/>
      <c r="L252" s="632"/>
      <c r="M252" s="213"/>
      <c r="N252" s="213"/>
      <c r="O252" s="213"/>
      <c r="P252" s="215"/>
      <c r="Q252" s="215"/>
      <c r="R252" s="616">
        <f t="shared" si="1"/>
        <v>0</v>
      </c>
      <c r="S252" s="633"/>
      <c r="T252" s="636"/>
      <c r="U252" s="636"/>
      <c r="V252" s="7"/>
      <c r="W252" s="699"/>
      <c r="X252" s="7"/>
      <c r="Y252" s="618">
        <f t="shared" si="14"/>
        <v>0</v>
      </c>
      <c r="Z252" s="7"/>
      <c r="AA252" s="7"/>
      <c r="AB252" s="7"/>
      <c r="AC252" s="7"/>
      <c r="AD252" s="7"/>
      <c r="AE252" s="7"/>
    </row>
    <row r="253" spans="1:31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4"/>
      <c r="I253" s="214"/>
      <c r="J253" s="215"/>
      <c r="K253" s="213"/>
      <c r="L253" s="632"/>
      <c r="M253" s="213"/>
      <c r="N253" s="213"/>
      <c r="O253" s="213"/>
      <c r="P253" s="215"/>
      <c r="Q253" s="215"/>
      <c r="R253" s="616">
        <f t="shared" si="1"/>
        <v>0</v>
      </c>
      <c r="S253" s="633"/>
      <c r="T253" s="636"/>
      <c r="U253" s="636"/>
      <c r="V253" s="7"/>
      <c r="W253" s="699"/>
      <c r="X253" s="7"/>
      <c r="Y253" s="618">
        <f t="shared" si="14"/>
        <v>0</v>
      </c>
      <c r="Z253" s="7"/>
      <c r="AA253" s="7"/>
      <c r="AB253" s="7"/>
      <c r="AC253" s="7"/>
      <c r="AD253" s="7"/>
      <c r="AE253" s="7"/>
    </row>
    <row r="254" spans="1:31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4"/>
      <c r="I254" s="214"/>
      <c r="J254" s="215"/>
      <c r="K254" s="213"/>
      <c r="L254" s="632"/>
      <c r="M254" s="213"/>
      <c r="N254" s="213"/>
      <c r="O254" s="213"/>
      <c r="P254" s="215"/>
      <c r="Q254" s="215"/>
      <c r="R254" s="616">
        <f t="shared" si="1"/>
        <v>0</v>
      </c>
      <c r="S254" s="633"/>
      <c r="T254" s="636"/>
      <c r="U254" s="636"/>
      <c r="V254" s="7"/>
      <c r="W254" s="699"/>
      <c r="X254" s="7"/>
      <c r="Y254" s="618">
        <f t="shared" si="14"/>
        <v>0</v>
      </c>
      <c r="Z254" s="7"/>
      <c r="AA254" s="7"/>
      <c r="AB254" s="7"/>
      <c r="AC254" s="7"/>
      <c r="AD254" s="7"/>
      <c r="AE254" s="7"/>
    </row>
    <row r="255" spans="1:31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4"/>
      <c r="I255" s="214"/>
      <c r="J255" s="215"/>
      <c r="K255" s="213"/>
      <c r="L255" s="632"/>
      <c r="M255" s="213"/>
      <c r="N255" s="213"/>
      <c r="O255" s="213"/>
      <c r="P255" s="215"/>
      <c r="Q255" s="215"/>
      <c r="R255" s="616">
        <f t="shared" si="1"/>
        <v>0</v>
      </c>
      <c r="S255" s="633"/>
      <c r="T255" s="636"/>
      <c r="U255" s="636"/>
      <c r="V255" s="7"/>
      <c r="W255" s="699"/>
      <c r="X255" s="7"/>
      <c r="Y255" s="618">
        <f t="shared" si="14"/>
        <v>0</v>
      </c>
      <c r="Z255" s="7"/>
      <c r="AA255" s="7"/>
      <c r="AB255" s="7"/>
      <c r="AC255" s="7"/>
      <c r="AD255" s="7"/>
      <c r="AE255" s="7"/>
    </row>
    <row r="256" spans="1:31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4"/>
      <c r="I256" s="214"/>
      <c r="J256" s="215"/>
      <c r="K256" s="213"/>
      <c r="L256" s="632"/>
      <c r="M256" s="213"/>
      <c r="N256" s="213"/>
      <c r="O256" s="213"/>
      <c r="P256" s="215"/>
      <c r="Q256" s="215"/>
      <c r="R256" s="616">
        <f t="shared" si="1"/>
        <v>0</v>
      </c>
      <c r="S256" s="633"/>
      <c r="T256" s="636"/>
      <c r="U256" s="636"/>
      <c r="V256" s="7"/>
      <c r="W256" s="699"/>
      <c r="X256" s="7"/>
      <c r="Y256" s="618">
        <f t="shared" si="14"/>
        <v>0</v>
      </c>
      <c r="Z256" s="7"/>
      <c r="AA256" s="7"/>
      <c r="AB256" s="7"/>
      <c r="AC256" s="7"/>
      <c r="AD256" s="7"/>
      <c r="AE256" s="7"/>
    </row>
    <row r="257" spans="1:31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4"/>
      <c r="I257" s="214"/>
      <c r="J257" s="215"/>
      <c r="K257" s="213"/>
      <c r="L257" s="632"/>
      <c r="M257" s="213"/>
      <c r="N257" s="213"/>
      <c r="O257" s="213"/>
      <c r="P257" s="215"/>
      <c r="Q257" s="215"/>
      <c r="R257" s="616">
        <f t="shared" si="1"/>
        <v>0</v>
      </c>
      <c r="S257" s="633"/>
      <c r="T257" s="648"/>
      <c r="U257" s="648"/>
      <c r="V257" s="7"/>
      <c r="W257" s="699"/>
      <c r="X257" s="7"/>
      <c r="Y257" s="618">
        <f t="shared" si="14"/>
        <v>0</v>
      </c>
      <c r="Z257" s="7"/>
      <c r="AA257" s="7"/>
      <c r="AB257" s="7"/>
      <c r="AC257" s="7"/>
      <c r="AD257" s="7"/>
      <c r="AE257" s="7"/>
    </row>
    <row r="258" spans="1:31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4"/>
      <c r="I258" s="214"/>
      <c r="J258" s="215"/>
      <c r="K258" s="213"/>
      <c r="L258" s="632"/>
      <c r="M258" s="213"/>
      <c r="N258" s="213"/>
      <c r="O258" s="213"/>
      <c r="P258" s="215"/>
      <c r="Q258" s="215"/>
      <c r="R258" s="616">
        <f t="shared" si="1"/>
        <v>0</v>
      </c>
      <c r="S258" s="633"/>
      <c r="T258" s="648"/>
      <c r="U258" s="648"/>
      <c r="V258" s="7"/>
      <c r="W258" s="699"/>
      <c r="X258" s="7"/>
      <c r="Y258" s="618">
        <f t="shared" si="14"/>
        <v>0</v>
      </c>
      <c r="Z258" s="7"/>
      <c r="AA258" s="7"/>
      <c r="AB258" s="7"/>
      <c r="AC258" s="7"/>
      <c r="AD258" s="7"/>
      <c r="AE258" s="7"/>
    </row>
    <row r="259" spans="1:31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4"/>
      <c r="I259" s="214"/>
      <c r="J259" s="215"/>
      <c r="K259" s="213"/>
      <c r="L259" s="632"/>
      <c r="M259" s="213"/>
      <c r="N259" s="213"/>
      <c r="O259" s="213"/>
      <c r="P259" s="215"/>
      <c r="Q259" s="215"/>
      <c r="R259" s="616">
        <f t="shared" si="1"/>
        <v>0</v>
      </c>
      <c r="S259" s="633"/>
      <c r="T259" s="648"/>
      <c r="U259" s="648"/>
      <c r="V259" s="7"/>
      <c r="W259" s="699"/>
      <c r="X259" s="7"/>
      <c r="Y259" s="618">
        <f t="shared" si="14"/>
        <v>0</v>
      </c>
      <c r="Z259" s="7"/>
      <c r="AA259" s="7"/>
      <c r="AB259" s="7"/>
      <c r="AC259" s="7"/>
      <c r="AD259" s="7"/>
      <c r="AE259" s="7"/>
    </row>
    <row r="260" spans="1:31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4"/>
      <c r="I260" s="214"/>
      <c r="J260" s="215"/>
      <c r="K260" s="213"/>
      <c r="L260" s="632"/>
      <c r="M260" s="213"/>
      <c r="N260" s="213"/>
      <c r="O260" s="213"/>
      <c r="P260" s="215"/>
      <c r="Q260" s="215"/>
      <c r="R260" s="616">
        <f t="shared" si="1"/>
        <v>0</v>
      </c>
      <c r="S260" s="633"/>
      <c r="T260" s="648"/>
      <c r="U260" s="648"/>
      <c r="V260" s="7"/>
      <c r="W260" s="699"/>
      <c r="X260" s="7"/>
      <c r="Y260" s="618">
        <f t="shared" si="14"/>
        <v>0</v>
      </c>
      <c r="Z260" s="7"/>
      <c r="AA260" s="7"/>
      <c r="AB260" s="7"/>
      <c r="AC260" s="7"/>
      <c r="AD260" s="7"/>
      <c r="AE260" s="7"/>
    </row>
    <row r="261" spans="1:31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4"/>
      <c r="I261" s="214"/>
      <c r="J261" s="215"/>
      <c r="K261" s="213"/>
      <c r="L261" s="632"/>
      <c r="M261" s="213"/>
      <c r="N261" s="213"/>
      <c r="O261" s="213"/>
      <c r="P261" s="215"/>
      <c r="Q261" s="215"/>
      <c r="R261" s="616">
        <f t="shared" si="1"/>
        <v>0</v>
      </c>
      <c r="S261" s="633"/>
      <c r="T261" s="648"/>
      <c r="U261" s="648"/>
      <c r="V261" s="7"/>
      <c r="W261" s="699"/>
      <c r="X261" s="7"/>
      <c r="Y261" s="618">
        <f t="shared" si="14"/>
        <v>0</v>
      </c>
      <c r="Z261" s="7"/>
      <c r="AA261" s="7"/>
      <c r="AB261" s="7"/>
      <c r="AC261" s="7"/>
      <c r="AD261" s="7"/>
      <c r="AE261" s="7"/>
    </row>
    <row r="262" spans="1:31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4"/>
      <c r="I262" s="214"/>
      <c r="J262" s="215"/>
      <c r="K262" s="213"/>
      <c r="L262" s="632"/>
      <c r="M262" s="213"/>
      <c r="N262" s="213"/>
      <c r="O262" s="213"/>
      <c r="P262" s="215"/>
      <c r="Q262" s="215"/>
      <c r="R262" s="616">
        <f t="shared" si="1"/>
        <v>0</v>
      </c>
      <c r="S262" s="633"/>
      <c r="T262" s="648"/>
      <c r="U262" s="648"/>
      <c r="V262" s="7"/>
      <c r="W262" s="699"/>
      <c r="X262" s="7"/>
      <c r="Y262" s="618">
        <f t="shared" si="14"/>
        <v>0</v>
      </c>
      <c r="Z262" s="7"/>
      <c r="AA262" s="7"/>
      <c r="AB262" s="7"/>
      <c r="AC262" s="7"/>
      <c r="AD262" s="7"/>
      <c r="AE262" s="7"/>
    </row>
    <row r="263" spans="1:31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4"/>
      <c r="I263" s="214"/>
      <c r="J263" s="215"/>
      <c r="K263" s="213"/>
      <c r="L263" s="632"/>
      <c r="M263" s="213"/>
      <c r="N263" s="213"/>
      <c r="O263" s="213"/>
      <c r="P263" s="215"/>
      <c r="Q263" s="215"/>
      <c r="R263" s="616">
        <f t="shared" si="1"/>
        <v>0</v>
      </c>
      <c r="S263" s="633"/>
      <c r="T263" s="636"/>
      <c r="U263" s="636"/>
      <c r="V263" s="7"/>
      <c r="W263" s="699"/>
      <c r="X263" s="7"/>
      <c r="Y263" s="618">
        <f t="shared" si="14"/>
        <v>0</v>
      </c>
      <c r="Z263" s="7"/>
      <c r="AA263" s="7"/>
      <c r="AB263" s="7"/>
      <c r="AC263" s="7"/>
      <c r="AD263" s="7"/>
      <c r="AE263" s="7"/>
    </row>
    <row r="264" spans="1:31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4"/>
      <c r="I264" s="214"/>
      <c r="J264" s="215"/>
      <c r="K264" s="213"/>
      <c r="L264" s="632"/>
      <c r="M264" s="213"/>
      <c r="N264" s="213"/>
      <c r="O264" s="213"/>
      <c r="P264" s="215"/>
      <c r="Q264" s="215"/>
      <c r="R264" s="616">
        <f t="shared" si="1"/>
        <v>0</v>
      </c>
      <c r="S264" s="633"/>
      <c r="T264" s="648"/>
      <c r="U264" s="648"/>
      <c r="V264" s="7"/>
      <c r="W264" s="699"/>
      <c r="X264" s="7"/>
      <c r="Y264" s="618">
        <f t="shared" si="14"/>
        <v>0</v>
      </c>
      <c r="Z264" s="7"/>
      <c r="AA264" s="7"/>
      <c r="AB264" s="7"/>
      <c r="AC264" s="7"/>
      <c r="AD264" s="7"/>
      <c r="AE264" s="7"/>
    </row>
    <row r="265" spans="1:31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4"/>
      <c r="I265" s="214"/>
      <c r="J265" s="215"/>
      <c r="K265" s="213"/>
      <c r="L265" s="632"/>
      <c r="M265" s="213"/>
      <c r="N265" s="213"/>
      <c r="O265" s="213"/>
      <c r="P265" s="215"/>
      <c r="Q265" s="215"/>
      <c r="R265" s="616">
        <f t="shared" si="1"/>
        <v>0</v>
      </c>
      <c r="S265" s="633"/>
      <c r="T265" s="648"/>
      <c r="U265" s="648"/>
      <c r="V265" s="7"/>
      <c r="W265" s="699"/>
      <c r="X265" s="7"/>
      <c r="Y265" s="618">
        <f t="shared" si="14"/>
        <v>0</v>
      </c>
      <c r="Z265" s="7"/>
      <c r="AA265" s="7"/>
      <c r="AB265" s="7"/>
      <c r="AC265" s="7"/>
      <c r="AD265" s="7"/>
      <c r="AE265" s="7"/>
    </row>
    <row r="266" spans="1:31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4"/>
      <c r="I266" s="214"/>
      <c r="J266" s="215"/>
      <c r="K266" s="213"/>
      <c r="L266" s="632"/>
      <c r="M266" s="213"/>
      <c r="N266" s="213"/>
      <c r="O266" s="213"/>
      <c r="P266" s="215"/>
      <c r="Q266" s="215"/>
      <c r="R266" s="616">
        <f t="shared" si="1"/>
        <v>0</v>
      </c>
      <c r="S266" s="633"/>
      <c r="T266" s="648"/>
      <c r="U266" s="648"/>
      <c r="V266" s="7"/>
      <c r="W266" s="699"/>
      <c r="X266" s="7"/>
      <c r="Y266" s="618">
        <f t="shared" si="14"/>
        <v>0</v>
      </c>
      <c r="Z266" s="7"/>
      <c r="AA266" s="7"/>
      <c r="AB266" s="7"/>
      <c r="AC266" s="7"/>
      <c r="AD266" s="7"/>
      <c r="AE266" s="7"/>
    </row>
    <row r="267" spans="1:31" ht="20.25" customHeight="1">
      <c r="A267" s="503" t="s">
        <v>605</v>
      </c>
      <c r="B267" s="483" t="s">
        <v>606</v>
      </c>
      <c r="C267" s="629" t="s">
        <v>593</v>
      </c>
      <c r="D267" s="485" t="s">
        <v>2262</v>
      </c>
      <c r="E267" s="213"/>
      <c r="F267" s="213"/>
      <c r="G267" s="213"/>
      <c r="H267" s="214"/>
      <c r="I267" s="214"/>
      <c r="J267" s="215"/>
      <c r="K267" s="213"/>
      <c r="L267" s="632"/>
      <c r="M267" s="213"/>
      <c r="N267" s="213"/>
      <c r="O267" s="213"/>
      <c r="P267" s="215"/>
      <c r="Q267" s="215"/>
      <c r="R267" s="616">
        <f t="shared" si="1"/>
        <v>0</v>
      </c>
      <c r="S267" s="633"/>
      <c r="T267" s="648"/>
      <c r="U267" s="648"/>
      <c r="V267" s="7"/>
      <c r="W267" s="699"/>
      <c r="X267" s="7"/>
      <c r="Y267" s="618">
        <f t="shared" si="14"/>
        <v>0</v>
      </c>
      <c r="Z267" s="7"/>
      <c r="AA267" s="7"/>
      <c r="AB267" s="7"/>
      <c r="AC267" s="7"/>
      <c r="AD267" s="7"/>
      <c r="AE267" s="7"/>
    </row>
    <row r="268" spans="1:31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4"/>
      <c r="I268" s="214"/>
      <c r="J268" s="215"/>
      <c r="K268" s="213"/>
      <c r="L268" s="632"/>
      <c r="M268" s="213"/>
      <c r="N268" s="213"/>
      <c r="O268" s="213"/>
      <c r="P268" s="215"/>
      <c r="Q268" s="215"/>
      <c r="R268" s="616">
        <f t="shared" si="1"/>
        <v>0</v>
      </c>
      <c r="S268" s="633"/>
      <c r="T268" s="648"/>
      <c r="U268" s="648"/>
      <c r="V268" s="7"/>
      <c r="W268" s="699"/>
      <c r="X268" s="7"/>
      <c r="Y268" s="618">
        <f t="shared" si="14"/>
        <v>0</v>
      </c>
      <c r="Z268" s="7"/>
      <c r="AA268" s="7"/>
      <c r="AB268" s="7"/>
      <c r="AC268" s="7"/>
      <c r="AD268" s="7"/>
      <c r="AE268" s="7"/>
    </row>
    <row r="269" spans="1:31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4"/>
      <c r="I269" s="214"/>
      <c r="J269" s="215"/>
      <c r="K269" s="213"/>
      <c r="L269" s="632"/>
      <c r="M269" s="213"/>
      <c r="N269" s="213"/>
      <c r="O269" s="213"/>
      <c r="P269" s="215"/>
      <c r="Q269" s="215"/>
      <c r="R269" s="616">
        <f t="shared" si="1"/>
        <v>0</v>
      </c>
      <c r="S269" s="633"/>
      <c r="T269" s="636"/>
      <c r="U269" s="636"/>
      <c r="V269" s="7"/>
      <c r="W269" s="699"/>
      <c r="X269" s="7"/>
      <c r="Y269" s="618">
        <f t="shared" si="14"/>
        <v>0</v>
      </c>
      <c r="Z269" s="7"/>
      <c r="AA269" s="7"/>
      <c r="AB269" s="7"/>
      <c r="AC269" s="7"/>
      <c r="AD269" s="7"/>
      <c r="AE269" s="7"/>
    </row>
    <row r="270" spans="1:31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4"/>
      <c r="I270" s="214"/>
      <c r="J270" s="215"/>
      <c r="K270" s="213"/>
      <c r="L270" s="632"/>
      <c r="M270" s="213"/>
      <c r="N270" s="213"/>
      <c r="O270" s="213"/>
      <c r="P270" s="215"/>
      <c r="Q270" s="215"/>
      <c r="R270" s="616">
        <f t="shared" si="1"/>
        <v>0</v>
      </c>
      <c r="S270" s="633"/>
      <c r="T270" s="648"/>
      <c r="U270" s="648"/>
      <c r="V270" s="7"/>
      <c r="W270" s="699"/>
      <c r="X270" s="7"/>
      <c r="Y270" s="618">
        <f t="shared" si="14"/>
        <v>0</v>
      </c>
      <c r="Z270" s="7"/>
      <c r="AA270" s="7"/>
      <c r="AB270" s="7"/>
      <c r="AC270" s="7"/>
      <c r="AD270" s="7"/>
      <c r="AE270" s="7"/>
    </row>
    <row r="271" spans="1:31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4"/>
      <c r="I271" s="214"/>
      <c r="J271" s="215"/>
      <c r="K271" s="213"/>
      <c r="L271" s="632"/>
      <c r="M271" s="213"/>
      <c r="N271" s="213"/>
      <c r="O271" s="213"/>
      <c r="P271" s="215"/>
      <c r="Q271" s="215"/>
      <c r="R271" s="616">
        <f t="shared" si="1"/>
        <v>0</v>
      </c>
      <c r="S271" s="633"/>
      <c r="T271" s="648"/>
      <c r="U271" s="648"/>
      <c r="V271" s="7"/>
      <c r="W271" s="699"/>
      <c r="X271" s="7"/>
      <c r="Y271" s="618">
        <f t="shared" si="14"/>
        <v>0</v>
      </c>
      <c r="Z271" s="7"/>
      <c r="AA271" s="7"/>
      <c r="AB271" s="7"/>
      <c r="AC271" s="7"/>
      <c r="AD271" s="7"/>
      <c r="AE271" s="7"/>
    </row>
    <row r="272" spans="1:31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4"/>
      <c r="I272" s="214"/>
      <c r="J272" s="215"/>
      <c r="K272" s="213"/>
      <c r="L272" s="632"/>
      <c r="M272" s="213"/>
      <c r="N272" s="213"/>
      <c r="O272" s="213"/>
      <c r="P272" s="215"/>
      <c r="Q272" s="215"/>
      <c r="R272" s="616">
        <f t="shared" si="1"/>
        <v>0</v>
      </c>
      <c r="S272" s="633"/>
      <c r="T272" s="648"/>
      <c r="U272" s="648"/>
      <c r="V272" s="7"/>
      <c r="W272" s="699"/>
      <c r="X272" s="7"/>
      <c r="Y272" s="618">
        <f t="shared" si="14"/>
        <v>0</v>
      </c>
      <c r="Z272" s="7"/>
      <c r="AA272" s="7"/>
      <c r="AB272" s="7"/>
      <c r="AC272" s="7"/>
      <c r="AD272" s="7"/>
      <c r="AE272" s="7"/>
    </row>
    <row r="273" spans="1:31" ht="20.25" customHeight="1">
      <c r="A273" s="503" t="s">
        <v>620</v>
      </c>
      <c r="B273" s="483" t="s">
        <v>621</v>
      </c>
      <c r="C273" s="629" t="s">
        <v>622</v>
      </c>
      <c r="D273" s="485" t="s">
        <v>2263</v>
      </c>
      <c r="E273" s="213"/>
      <c r="F273" s="213"/>
      <c r="G273" s="213"/>
      <c r="H273" s="214"/>
      <c r="I273" s="214"/>
      <c r="J273" s="215"/>
      <c r="K273" s="213"/>
      <c r="L273" s="632"/>
      <c r="M273" s="213"/>
      <c r="N273" s="213"/>
      <c r="O273" s="213"/>
      <c r="P273" s="215"/>
      <c r="Q273" s="215"/>
      <c r="R273" s="616">
        <f t="shared" si="1"/>
        <v>0</v>
      </c>
      <c r="S273" s="633"/>
      <c r="T273" s="648"/>
      <c r="U273" s="648"/>
      <c r="V273" s="7"/>
      <c r="W273" s="699"/>
      <c r="X273" s="7"/>
      <c r="Y273" s="618">
        <f t="shared" si="14"/>
        <v>0</v>
      </c>
      <c r="Z273" s="7"/>
      <c r="AA273" s="7"/>
      <c r="AB273" s="7"/>
      <c r="AC273" s="7"/>
      <c r="AD273" s="7"/>
      <c r="AE273" s="7"/>
    </row>
    <row r="274" spans="1:31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4"/>
      <c r="I274" s="214"/>
      <c r="J274" s="215"/>
      <c r="K274" s="213"/>
      <c r="L274" s="632"/>
      <c r="M274" s="213"/>
      <c r="N274" s="213"/>
      <c r="O274" s="213"/>
      <c r="P274" s="215"/>
      <c r="Q274" s="215"/>
      <c r="R274" s="616">
        <f t="shared" si="1"/>
        <v>0</v>
      </c>
      <c r="S274" s="633"/>
      <c r="T274" s="648"/>
      <c r="U274" s="648"/>
      <c r="V274" s="7"/>
      <c r="W274" s="699"/>
      <c r="X274" s="7"/>
      <c r="Y274" s="618">
        <f t="shared" si="14"/>
        <v>0</v>
      </c>
      <c r="Z274" s="7"/>
      <c r="AA274" s="7"/>
      <c r="AB274" s="7"/>
      <c r="AC274" s="7"/>
      <c r="AD274" s="7"/>
      <c r="AE274" s="7"/>
    </row>
    <row r="275" spans="1:31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4"/>
      <c r="I275" s="214"/>
      <c r="J275" s="215"/>
      <c r="K275" s="213"/>
      <c r="L275" s="632"/>
      <c r="M275" s="213"/>
      <c r="N275" s="213"/>
      <c r="O275" s="213"/>
      <c r="P275" s="215"/>
      <c r="Q275" s="215"/>
      <c r="R275" s="616">
        <f t="shared" ref="R275:R447" si="15">+SUM(E275:Q275)</f>
        <v>0</v>
      </c>
      <c r="S275" s="633"/>
      <c r="T275" s="636"/>
      <c r="U275" s="636"/>
      <c r="V275" s="7"/>
      <c r="W275" s="699"/>
      <c r="X275" s="7"/>
      <c r="Y275" s="618">
        <f t="shared" si="14"/>
        <v>0</v>
      </c>
      <c r="Z275" s="7"/>
      <c r="AA275" s="7"/>
      <c r="AB275" s="7"/>
      <c r="AC275" s="7"/>
      <c r="AD275" s="7"/>
      <c r="AE275" s="7"/>
    </row>
    <row r="276" spans="1:31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4"/>
      <c r="I276" s="214"/>
      <c r="J276" s="215"/>
      <c r="K276" s="213"/>
      <c r="L276" s="632"/>
      <c r="M276" s="213"/>
      <c r="N276" s="213"/>
      <c r="O276" s="213"/>
      <c r="P276" s="215"/>
      <c r="Q276" s="215"/>
      <c r="R276" s="616">
        <f t="shared" si="15"/>
        <v>0</v>
      </c>
      <c r="S276" s="633"/>
      <c r="T276" s="648"/>
      <c r="U276" s="648"/>
      <c r="V276" s="7"/>
      <c r="W276" s="699"/>
      <c r="X276" s="7"/>
      <c r="Y276" s="618">
        <f t="shared" si="14"/>
        <v>0</v>
      </c>
      <c r="Z276" s="7"/>
      <c r="AA276" s="7"/>
      <c r="AB276" s="7"/>
      <c r="AC276" s="7"/>
      <c r="AD276" s="7"/>
      <c r="AE276" s="7"/>
    </row>
    <row r="277" spans="1:31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4"/>
      <c r="I277" s="214"/>
      <c r="J277" s="215"/>
      <c r="K277" s="213"/>
      <c r="L277" s="632"/>
      <c r="M277" s="213"/>
      <c r="N277" s="213"/>
      <c r="O277" s="213"/>
      <c r="P277" s="215"/>
      <c r="Q277" s="215"/>
      <c r="R277" s="616">
        <f t="shared" si="15"/>
        <v>0</v>
      </c>
      <c r="S277" s="633"/>
      <c r="T277" s="648"/>
      <c r="U277" s="648"/>
      <c r="V277" s="7"/>
      <c r="W277" s="699"/>
      <c r="X277" s="7"/>
      <c r="Y277" s="618">
        <f t="shared" si="14"/>
        <v>0</v>
      </c>
      <c r="Z277" s="7"/>
      <c r="AA277" s="7"/>
      <c r="AB277" s="7"/>
      <c r="AC277" s="7"/>
      <c r="AD277" s="7"/>
      <c r="AE277" s="7"/>
    </row>
    <row r="278" spans="1:31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4"/>
      <c r="I278" s="214"/>
      <c r="J278" s="215"/>
      <c r="K278" s="213"/>
      <c r="L278" s="632"/>
      <c r="M278" s="213"/>
      <c r="N278" s="213"/>
      <c r="O278" s="213"/>
      <c r="P278" s="215"/>
      <c r="Q278" s="215"/>
      <c r="R278" s="616">
        <f t="shared" si="15"/>
        <v>0</v>
      </c>
      <c r="S278" s="633"/>
      <c r="T278" s="648"/>
      <c r="U278" s="648"/>
      <c r="V278" s="7"/>
      <c r="W278" s="699"/>
      <c r="X278" s="7"/>
      <c r="Y278" s="618">
        <f t="shared" si="14"/>
        <v>0</v>
      </c>
      <c r="Z278" s="7"/>
      <c r="AA278" s="7"/>
      <c r="AB278" s="7"/>
      <c r="AC278" s="7"/>
      <c r="AD278" s="7"/>
      <c r="AE278" s="7"/>
    </row>
    <row r="279" spans="1:31" ht="20.25" customHeight="1">
      <c r="A279" s="503" t="s">
        <v>636</v>
      </c>
      <c r="B279" s="483" t="s">
        <v>637</v>
      </c>
      <c r="C279" s="629" t="s">
        <v>638</v>
      </c>
      <c r="D279" s="485" t="s">
        <v>2264</v>
      </c>
      <c r="E279" s="213"/>
      <c r="F279" s="213"/>
      <c r="G279" s="213"/>
      <c r="H279" s="214"/>
      <c r="I279" s="214"/>
      <c r="J279" s="215"/>
      <c r="K279" s="213"/>
      <c r="L279" s="632"/>
      <c r="M279" s="213"/>
      <c r="N279" s="213"/>
      <c r="O279" s="213"/>
      <c r="P279" s="215"/>
      <c r="Q279" s="215"/>
      <c r="R279" s="616">
        <f t="shared" si="15"/>
        <v>0</v>
      </c>
      <c r="S279" s="633"/>
      <c r="T279" s="648"/>
      <c r="U279" s="648"/>
      <c r="V279" s="7"/>
      <c r="W279" s="699"/>
      <c r="X279" s="7"/>
      <c r="Y279" s="618">
        <f t="shared" si="14"/>
        <v>0</v>
      </c>
      <c r="Z279" s="7"/>
      <c r="AA279" s="7"/>
      <c r="AB279" s="7"/>
      <c r="AC279" s="7"/>
      <c r="AD279" s="7"/>
      <c r="AE279" s="7"/>
    </row>
    <row r="280" spans="1:31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4"/>
      <c r="I280" s="214"/>
      <c r="J280" s="215"/>
      <c r="K280" s="213"/>
      <c r="L280" s="632"/>
      <c r="M280" s="213"/>
      <c r="N280" s="213"/>
      <c r="O280" s="213"/>
      <c r="P280" s="215"/>
      <c r="Q280" s="215"/>
      <c r="R280" s="616">
        <f t="shared" si="15"/>
        <v>0</v>
      </c>
      <c r="S280" s="633"/>
      <c r="T280" s="648"/>
      <c r="U280" s="648"/>
      <c r="V280" s="7"/>
      <c r="W280" s="699"/>
      <c r="X280" s="7"/>
      <c r="Y280" s="618">
        <f t="shared" si="14"/>
        <v>0</v>
      </c>
      <c r="Z280" s="7"/>
      <c r="AA280" s="7"/>
      <c r="AB280" s="7"/>
      <c r="AC280" s="7"/>
      <c r="AD280" s="7"/>
      <c r="AE280" s="7"/>
    </row>
    <row r="281" spans="1:31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4"/>
      <c r="I281" s="214"/>
      <c r="J281" s="215"/>
      <c r="K281" s="213"/>
      <c r="L281" s="632"/>
      <c r="M281" s="213"/>
      <c r="N281" s="213"/>
      <c r="O281" s="213"/>
      <c r="P281" s="215"/>
      <c r="Q281" s="215"/>
      <c r="R281" s="616">
        <f t="shared" si="15"/>
        <v>0</v>
      </c>
      <c r="S281" s="633"/>
      <c r="T281" s="648"/>
      <c r="U281" s="648"/>
      <c r="V281" s="7"/>
      <c r="W281" s="699"/>
      <c r="X281" s="7"/>
      <c r="Y281" s="618">
        <f t="shared" si="14"/>
        <v>0</v>
      </c>
      <c r="Z281" s="7"/>
      <c r="AA281" s="7"/>
      <c r="AB281" s="7"/>
      <c r="AC281" s="7"/>
      <c r="AD281" s="7"/>
      <c r="AE281" s="7"/>
    </row>
    <row r="282" spans="1:31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4"/>
      <c r="I282" s="214"/>
      <c r="J282" s="215"/>
      <c r="K282" s="213"/>
      <c r="L282" s="632"/>
      <c r="M282" s="213"/>
      <c r="N282" s="213"/>
      <c r="O282" s="213"/>
      <c r="P282" s="215"/>
      <c r="Q282" s="215"/>
      <c r="R282" s="616">
        <f t="shared" si="15"/>
        <v>0</v>
      </c>
      <c r="S282" s="633"/>
      <c r="T282" s="640"/>
      <c r="U282" s="640"/>
      <c r="V282" s="7"/>
      <c r="W282" s="699"/>
      <c r="X282" s="7"/>
      <c r="Y282" s="618">
        <f t="shared" si="14"/>
        <v>0</v>
      </c>
      <c r="Z282" s="7"/>
      <c r="AA282" s="7"/>
      <c r="AB282" s="7"/>
      <c r="AC282" s="7"/>
      <c r="AD282" s="7"/>
      <c r="AE282" s="7"/>
    </row>
    <row r="283" spans="1:31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4"/>
      <c r="I283" s="214"/>
      <c r="J283" s="215"/>
      <c r="K283" s="213"/>
      <c r="L283" s="632"/>
      <c r="M283" s="213"/>
      <c r="N283" s="213"/>
      <c r="O283" s="213"/>
      <c r="P283" s="215"/>
      <c r="Q283" s="215"/>
      <c r="R283" s="616">
        <f t="shared" si="15"/>
        <v>0</v>
      </c>
      <c r="S283" s="633"/>
      <c r="T283" s="636"/>
      <c r="U283" s="636"/>
      <c r="V283" s="7"/>
      <c r="W283" s="699">
        <f>W284+W289</f>
        <v>5</v>
      </c>
      <c r="X283" s="7"/>
      <c r="Y283" s="618">
        <f t="shared" si="14"/>
        <v>5</v>
      </c>
      <c r="Z283" s="7"/>
      <c r="AA283" s="7"/>
      <c r="AB283" s="7"/>
      <c r="AC283" s="7"/>
      <c r="AD283" s="7"/>
      <c r="AE283" s="7"/>
    </row>
    <row r="284" spans="1:31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4"/>
      <c r="I284" s="214"/>
      <c r="J284" s="215"/>
      <c r="K284" s="213"/>
      <c r="L284" s="632"/>
      <c r="M284" s="213"/>
      <c r="N284" s="213"/>
      <c r="O284" s="213"/>
      <c r="P284" s="215"/>
      <c r="Q284" s="215"/>
      <c r="R284" s="616">
        <f t="shared" si="15"/>
        <v>0</v>
      </c>
      <c r="S284" s="633"/>
      <c r="T284" s="654"/>
      <c r="U284" s="654"/>
      <c r="V284" s="7"/>
      <c r="W284" s="699">
        <v>3</v>
      </c>
      <c r="X284" s="7"/>
      <c r="Y284" s="618"/>
      <c r="Z284" s="7"/>
      <c r="AA284" s="7"/>
      <c r="AB284" s="7"/>
      <c r="AC284" s="7"/>
      <c r="AD284" s="7"/>
      <c r="AE284" s="7"/>
    </row>
    <row r="285" spans="1:31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4"/>
      <c r="I285" s="214"/>
      <c r="J285" s="215"/>
      <c r="K285" s="213"/>
      <c r="L285" s="632"/>
      <c r="M285" s="213"/>
      <c r="N285" s="213"/>
      <c r="O285" s="213"/>
      <c r="P285" s="215"/>
      <c r="Q285" s="215"/>
      <c r="R285" s="616">
        <f t="shared" si="15"/>
        <v>0</v>
      </c>
      <c r="S285" s="633"/>
      <c r="T285" s="654"/>
      <c r="U285" s="654"/>
      <c r="V285" s="7"/>
      <c r="W285" s="699">
        <v>1.25</v>
      </c>
      <c r="X285" s="7"/>
      <c r="Y285" s="618"/>
      <c r="Z285" s="7"/>
      <c r="AA285" s="7"/>
      <c r="AB285" s="7"/>
      <c r="AC285" s="7"/>
      <c r="AD285" s="7"/>
      <c r="AE285" s="7"/>
    </row>
    <row r="286" spans="1:31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4"/>
      <c r="I286" s="214"/>
      <c r="J286" s="215"/>
      <c r="K286" s="213"/>
      <c r="L286" s="632"/>
      <c r="M286" s="213"/>
      <c r="N286" s="213"/>
      <c r="O286" s="213"/>
      <c r="P286" s="215"/>
      <c r="Q286" s="215"/>
      <c r="R286" s="616">
        <f t="shared" si="15"/>
        <v>0</v>
      </c>
      <c r="S286" s="633"/>
      <c r="T286" s="654"/>
      <c r="U286" s="654"/>
      <c r="V286" s="7"/>
      <c r="W286" s="699">
        <v>1.75</v>
      </c>
      <c r="X286" s="7"/>
      <c r="Y286" s="618"/>
      <c r="Z286" s="7"/>
      <c r="AA286" s="7"/>
      <c r="AB286" s="7"/>
      <c r="AC286" s="7"/>
      <c r="AD286" s="7"/>
      <c r="AE286" s="7"/>
    </row>
    <row r="287" spans="1:31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4"/>
      <c r="I287" s="214"/>
      <c r="J287" s="215"/>
      <c r="K287" s="213"/>
      <c r="L287" s="632"/>
      <c r="M287" s="213"/>
      <c r="N287" s="213"/>
      <c r="O287" s="213"/>
      <c r="P287" s="215"/>
      <c r="Q287" s="215"/>
      <c r="R287" s="616">
        <f t="shared" si="15"/>
        <v>0</v>
      </c>
      <c r="S287" s="633"/>
      <c r="T287" s="654"/>
      <c r="U287" s="654"/>
      <c r="V287" s="7"/>
      <c r="W287" s="699"/>
      <c r="X287" s="7"/>
      <c r="Y287" s="618"/>
      <c r="Z287" s="7"/>
      <c r="AA287" s="7"/>
      <c r="AB287" s="7"/>
      <c r="AC287" s="7"/>
      <c r="AD287" s="7"/>
      <c r="AE287" s="7"/>
    </row>
    <row r="288" spans="1:31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4"/>
      <c r="I288" s="214"/>
      <c r="J288" s="215"/>
      <c r="K288" s="213"/>
      <c r="L288" s="632"/>
      <c r="M288" s="213"/>
      <c r="N288" s="213"/>
      <c r="O288" s="213"/>
      <c r="P288" s="215"/>
      <c r="Q288" s="215"/>
      <c r="R288" s="616">
        <f t="shared" si="15"/>
        <v>0</v>
      </c>
      <c r="S288" s="633"/>
      <c r="T288" s="654"/>
      <c r="U288" s="654"/>
      <c r="V288" s="7"/>
      <c r="W288" s="699"/>
      <c r="X288" s="7"/>
      <c r="Y288" s="618">
        <f t="shared" ref="Y288:Y369" si="16">W288-R288</f>
        <v>0</v>
      </c>
      <c r="Z288" s="7"/>
      <c r="AA288" s="7"/>
      <c r="AB288" s="7"/>
      <c r="AC288" s="7"/>
      <c r="AD288" s="7"/>
      <c r="AE288" s="7"/>
    </row>
    <row r="289" spans="1:31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4"/>
      <c r="I289" s="214"/>
      <c r="J289" s="215"/>
      <c r="K289" s="213"/>
      <c r="L289" s="632"/>
      <c r="M289" s="213"/>
      <c r="N289" s="213"/>
      <c r="O289" s="213"/>
      <c r="P289" s="215"/>
      <c r="Q289" s="215"/>
      <c r="R289" s="616">
        <f t="shared" si="15"/>
        <v>0</v>
      </c>
      <c r="S289" s="633"/>
      <c r="T289" s="654"/>
      <c r="U289" s="654"/>
      <c r="V289" s="7"/>
      <c r="W289" s="699">
        <v>2</v>
      </c>
      <c r="X289" s="7"/>
      <c r="Y289" s="618">
        <f t="shared" si="16"/>
        <v>2</v>
      </c>
      <c r="Z289" s="7"/>
      <c r="AA289" s="7"/>
      <c r="AB289" s="7"/>
      <c r="AC289" s="7"/>
      <c r="AD289" s="7"/>
      <c r="AE289" s="7"/>
    </row>
    <row r="290" spans="1:31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4"/>
      <c r="I290" s="214"/>
      <c r="J290" s="215"/>
      <c r="K290" s="213"/>
      <c r="L290" s="632"/>
      <c r="M290" s="213"/>
      <c r="N290" s="213"/>
      <c r="O290" s="213"/>
      <c r="P290" s="215"/>
      <c r="Q290" s="215"/>
      <c r="R290" s="616">
        <f t="shared" si="15"/>
        <v>0</v>
      </c>
      <c r="S290" s="633"/>
      <c r="T290" s="648"/>
      <c r="U290" s="648"/>
      <c r="V290" s="7"/>
      <c r="W290" s="699">
        <v>2</v>
      </c>
      <c r="X290" s="7"/>
      <c r="Y290" s="618">
        <f t="shared" si="16"/>
        <v>2</v>
      </c>
      <c r="Z290" s="7"/>
      <c r="AA290" s="7"/>
      <c r="AB290" s="7"/>
      <c r="AC290" s="7"/>
      <c r="AD290" s="7"/>
      <c r="AE290" s="7"/>
    </row>
    <row r="291" spans="1:31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4"/>
      <c r="I291" s="214"/>
      <c r="J291" s="215"/>
      <c r="K291" s="213"/>
      <c r="L291" s="632"/>
      <c r="M291" s="213"/>
      <c r="N291" s="213"/>
      <c r="O291" s="213"/>
      <c r="P291" s="215"/>
      <c r="Q291" s="215"/>
      <c r="R291" s="616">
        <f t="shared" si="15"/>
        <v>0</v>
      </c>
      <c r="S291" s="633"/>
      <c r="T291" s="648"/>
      <c r="U291" s="648"/>
      <c r="V291" s="7"/>
      <c r="W291" s="699"/>
      <c r="X291" s="7"/>
      <c r="Y291" s="618">
        <f t="shared" si="16"/>
        <v>0</v>
      </c>
      <c r="Z291" s="7"/>
      <c r="AA291" s="7"/>
      <c r="AB291" s="7"/>
      <c r="AC291" s="7"/>
      <c r="AD291" s="7"/>
      <c r="AE291" s="7"/>
    </row>
    <row r="292" spans="1:31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4"/>
      <c r="I292" s="214"/>
      <c r="J292" s="215"/>
      <c r="K292" s="213"/>
      <c r="L292" s="632"/>
      <c r="M292" s="213"/>
      <c r="N292" s="213"/>
      <c r="O292" s="213"/>
      <c r="P292" s="215"/>
      <c r="Q292" s="215"/>
      <c r="R292" s="616">
        <f t="shared" si="15"/>
        <v>0</v>
      </c>
      <c r="S292" s="633"/>
      <c r="T292" s="648"/>
      <c r="U292" s="648"/>
      <c r="V292" s="7"/>
      <c r="W292" s="699"/>
      <c r="X292" s="7"/>
      <c r="Y292" s="618">
        <f t="shared" si="16"/>
        <v>0</v>
      </c>
      <c r="Z292" s="7"/>
      <c r="AA292" s="7"/>
      <c r="AB292" s="7"/>
      <c r="AC292" s="7"/>
      <c r="AD292" s="7"/>
      <c r="AE292" s="7"/>
    </row>
    <row r="293" spans="1:31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4"/>
      <c r="I293" s="214"/>
      <c r="J293" s="215"/>
      <c r="K293" s="213"/>
      <c r="L293" s="632"/>
      <c r="M293" s="213"/>
      <c r="N293" s="213"/>
      <c r="O293" s="213"/>
      <c r="P293" s="215"/>
      <c r="Q293" s="215"/>
      <c r="R293" s="616">
        <f t="shared" si="15"/>
        <v>0</v>
      </c>
      <c r="S293" s="633"/>
      <c r="T293" s="648"/>
      <c r="U293" s="648"/>
      <c r="V293" s="7"/>
      <c r="W293" s="699"/>
      <c r="X293" s="7"/>
      <c r="Y293" s="618">
        <f t="shared" si="16"/>
        <v>0</v>
      </c>
      <c r="Z293" s="7"/>
      <c r="AA293" s="7"/>
      <c r="AB293" s="7"/>
      <c r="AC293" s="7"/>
      <c r="AD293" s="7"/>
      <c r="AE293" s="7"/>
    </row>
    <row r="294" spans="1:31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4"/>
      <c r="I294" s="214"/>
      <c r="J294" s="215"/>
      <c r="K294" s="213"/>
      <c r="L294" s="632"/>
      <c r="M294" s="213"/>
      <c r="N294" s="213"/>
      <c r="O294" s="213"/>
      <c r="P294" s="215"/>
      <c r="Q294" s="215"/>
      <c r="R294" s="616">
        <f t="shared" si="15"/>
        <v>0</v>
      </c>
      <c r="S294" s="633"/>
      <c r="T294" s="654"/>
      <c r="U294" s="654"/>
      <c r="V294" s="7"/>
      <c r="W294" s="699"/>
      <c r="X294" s="7"/>
      <c r="Y294" s="618">
        <f t="shared" si="16"/>
        <v>0</v>
      </c>
      <c r="Z294" s="7"/>
      <c r="AA294" s="7"/>
      <c r="AB294" s="7"/>
      <c r="AC294" s="7"/>
      <c r="AD294" s="7"/>
      <c r="AE294" s="7"/>
    </row>
    <row r="295" spans="1:31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4"/>
      <c r="I295" s="214"/>
      <c r="J295" s="215"/>
      <c r="K295" s="213"/>
      <c r="L295" s="632"/>
      <c r="M295" s="213"/>
      <c r="N295" s="213"/>
      <c r="O295" s="213"/>
      <c r="P295" s="215"/>
      <c r="Q295" s="215"/>
      <c r="R295" s="616">
        <f t="shared" si="15"/>
        <v>0</v>
      </c>
      <c r="S295" s="633"/>
      <c r="T295" s="648"/>
      <c r="U295" s="648"/>
      <c r="V295" s="7"/>
      <c r="W295" s="699"/>
      <c r="X295" s="7"/>
      <c r="Y295" s="618">
        <f t="shared" si="16"/>
        <v>0</v>
      </c>
      <c r="Z295" s="7"/>
      <c r="AA295" s="7"/>
      <c r="AB295" s="7"/>
      <c r="AC295" s="7"/>
      <c r="AD295" s="7"/>
      <c r="AE295" s="7"/>
    </row>
    <row r="296" spans="1:31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4"/>
      <c r="I296" s="214"/>
      <c r="J296" s="215"/>
      <c r="K296" s="213"/>
      <c r="L296" s="632"/>
      <c r="M296" s="213"/>
      <c r="N296" s="213"/>
      <c r="O296" s="213"/>
      <c r="P296" s="215"/>
      <c r="Q296" s="215"/>
      <c r="R296" s="616">
        <f t="shared" si="15"/>
        <v>0</v>
      </c>
      <c r="S296" s="633"/>
      <c r="T296" s="648"/>
      <c r="U296" s="648"/>
      <c r="V296" s="7"/>
      <c r="W296" s="699"/>
      <c r="X296" s="7"/>
      <c r="Y296" s="618">
        <f t="shared" si="16"/>
        <v>0</v>
      </c>
      <c r="Z296" s="7"/>
      <c r="AA296" s="7"/>
      <c r="AB296" s="7"/>
      <c r="AC296" s="7"/>
      <c r="AD296" s="7"/>
      <c r="AE296" s="7"/>
    </row>
    <row r="297" spans="1:31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4"/>
      <c r="I297" s="214"/>
      <c r="J297" s="215"/>
      <c r="K297" s="213"/>
      <c r="L297" s="632"/>
      <c r="M297" s="213"/>
      <c r="N297" s="213"/>
      <c r="O297" s="213"/>
      <c r="P297" s="215"/>
      <c r="Q297" s="215"/>
      <c r="R297" s="616">
        <f t="shared" si="15"/>
        <v>0</v>
      </c>
      <c r="S297" s="633"/>
      <c r="T297" s="648"/>
      <c r="U297" s="648"/>
      <c r="V297" s="7"/>
      <c r="W297" s="699"/>
      <c r="X297" s="7"/>
      <c r="Y297" s="618">
        <f t="shared" si="16"/>
        <v>0</v>
      </c>
      <c r="Z297" s="7"/>
      <c r="AA297" s="7"/>
      <c r="AB297" s="7"/>
      <c r="AC297" s="7"/>
      <c r="AD297" s="7"/>
      <c r="AE297" s="7"/>
    </row>
    <row r="298" spans="1:31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4"/>
      <c r="I298" s="214"/>
      <c r="J298" s="215"/>
      <c r="K298" s="213"/>
      <c r="L298" s="632"/>
      <c r="M298" s="213"/>
      <c r="N298" s="213"/>
      <c r="O298" s="213"/>
      <c r="P298" s="215"/>
      <c r="Q298" s="215"/>
      <c r="R298" s="616">
        <f t="shared" si="15"/>
        <v>0</v>
      </c>
      <c r="S298" s="633"/>
      <c r="T298" s="648"/>
      <c r="U298" s="648"/>
      <c r="V298" s="7"/>
      <c r="W298" s="699"/>
      <c r="X298" s="7"/>
      <c r="Y298" s="618">
        <f t="shared" si="16"/>
        <v>0</v>
      </c>
      <c r="Z298" s="7"/>
      <c r="AA298" s="7"/>
      <c r="AB298" s="7"/>
      <c r="AC298" s="7"/>
      <c r="AD298" s="7"/>
      <c r="AE298" s="7"/>
    </row>
    <row r="299" spans="1:31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4"/>
      <c r="I299" s="214"/>
      <c r="J299" s="215"/>
      <c r="K299" s="213"/>
      <c r="L299" s="632"/>
      <c r="M299" s="213"/>
      <c r="N299" s="213"/>
      <c r="O299" s="213"/>
      <c r="P299" s="215"/>
      <c r="Q299" s="215"/>
      <c r="R299" s="616">
        <f t="shared" si="15"/>
        <v>0</v>
      </c>
      <c r="S299" s="633"/>
      <c r="T299" s="636"/>
      <c r="U299" s="636"/>
      <c r="V299" s="7"/>
      <c r="W299" s="699"/>
      <c r="X299" s="7"/>
      <c r="Y299" s="618">
        <f t="shared" si="16"/>
        <v>0</v>
      </c>
      <c r="Z299" s="7"/>
      <c r="AA299" s="7"/>
      <c r="AB299" s="7"/>
      <c r="AC299" s="7"/>
      <c r="AD299" s="7"/>
      <c r="AE299" s="7"/>
    </row>
    <row r="300" spans="1:31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4"/>
      <c r="I300" s="214"/>
      <c r="J300" s="215"/>
      <c r="K300" s="213"/>
      <c r="L300" s="632"/>
      <c r="M300" s="213"/>
      <c r="N300" s="213"/>
      <c r="O300" s="213"/>
      <c r="P300" s="215"/>
      <c r="Q300" s="215"/>
      <c r="R300" s="616">
        <f t="shared" si="15"/>
        <v>0</v>
      </c>
      <c r="S300" s="633"/>
      <c r="T300" s="636"/>
      <c r="U300" s="636"/>
      <c r="V300" s="7"/>
      <c r="W300" s="699"/>
      <c r="X300" s="7"/>
      <c r="Y300" s="618">
        <f t="shared" si="16"/>
        <v>0</v>
      </c>
      <c r="Z300" s="7"/>
      <c r="AA300" s="7"/>
      <c r="AB300" s="7"/>
      <c r="AC300" s="7"/>
      <c r="AD300" s="7"/>
      <c r="AE300" s="7"/>
    </row>
    <row r="301" spans="1:31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4"/>
      <c r="I301" s="214"/>
      <c r="J301" s="215"/>
      <c r="K301" s="213"/>
      <c r="L301" s="632"/>
      <c r="M301" s="213"/>
      <c r="N301" s="213"/>
      <c r="O301" s="213"/>
      <c r="P301" s="215"/>
      <c r="Q301" s="215"/>
      <c r="R301" s="616">
        <f t="shared" si="15"/>
        <v>0</v>
      </c>
      <c r="S301" s="633"/>
      <c r="T301" s="648"/>
      <c r="U301" s="648"/>
      <c r="V301" s="7"/>
      <c r="W301" s="699"/>
      <c r="X301" s="7"/>
      <c r="Y301" s="618">
        <f t="shared" si="16"/>
        <v>0</v>
      </c>
      <c r="Z301" s="7"/>
      <c r="AA301" s="7"/>
      <c r="AB301" s="7"/>
      <c r="AC301" s="7"/>
      <c r="AD301" s="7"/>
      <c r="AE301" s="7"/>
    </row>
    <row r="302" spans="1:31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4"/>
      <c r="I302" s="214"/>
      <c r="J302" s="215"/>
      <c r="K302" s="213"/>
      <c r="L302" s="632"/>
      <c r="M302" s="213"/>
      <c r="N302" s="213"/>
      <c r="O302" s="213"/>
      <c r="P302" s="215"/>
      <c r="Q302" s="215"/>
      <c r="R302" s="616">
        <f t="shared" si="15"/>
        <v>0</v>
      </c>
      <c r="S302" s="633"/>
      <c r="T302" s="648"/>
      <c r="U302" s="648"/>
      <c r="V302" s="7"/>
      <c r="W302" s="699"/>
      <c r="X302" s="7"/>
      <c r="Y302" s="618">
        <f t="shared" si="16"/>
        <v>0</v>
      </c>
      <c r="Z302" s="7"/>
      <c r="AA302" s="7"/>
      <c r="AB302" s="7"/>
      <c r="AC302" s="7"/>
      <c r="AD302" s="7"/>
      <c r="AE302" s="7"/>
    </row>
    <row r="303" spans="1:31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4"/>
      <c r="I303" s="214"/>
      <c r="J303" s="215"/>
      <c r="K303" s="213"/>
      <c r="L303" s="632"/>
      <c r="M303" s="213"/>
      <c r="N303" s="213"/>
      <c r="O303" s="213"/>
      <c r="P303" s="215"/>
      <c r="Q303" s="215"/>
      <c r="R303" s="616">
        <f t="shared" si="15"/>
        <v>0</v>
      </c>
      <c r="S303" s="633"/>
      <c r="T303" s="648"/>
      <c r="U303" s="648"/>
      <c r="V303" s="7"/>
      <c r="W303" s="699"/>
      <c r="X303" s="7"/>
      <c r="Y303" s="618">
        <f t="shared" si="16"/>
        <v>0</v>
      </c>
      <c r="Z303" s="7"/>
      <c r="AA303" s="7"/>
      <c r="AB303" s="7"/>
      <c r="AC303" s="7"/>
      <c r="AD303" s="7"/>
      <c r="AE303" s="7"/>
    </row>
    <row r="304" spans="1:31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4"/>
      <c r="I304" s="214"/>
      <c r="J304" s="215"/>
      <c r="K304" s="213"/>
      <c r="L304" s="632"/>
      <c r="M304" s="213"/>
      <c r="N304" s="213"/>
      <c r="O304" s="213"/>
      <c r="P304" s="215"/>
      <c r="Q304" s="215"/>
      <c r="R304" s="616">
        <f t="shared" si="15"/>
        <v>0</v>
      </c>
      <c r="S304" s="633"/>
      <c r="T304" s="648"/>
      <c r="U304" s="648"/>
      <c r="V304" s="7"/>
      <c r="W304" s="699"/>
      <c r="X304" s="7"/>
      <c r="Y304" s="618">
        <f t="shared" si="16"/>
        <v>0</v>
      </c>
      <c r="Z304" s="7"/>
      <c r="AA304" s="7"/>
      <c r="AB304" s="7"/>
      <c r="AC304" s="7"/>
      <c r="AD304" s="7"/>
      <c r="AE304" s="7"/>
    </row>
    <row r="305" spans="1:31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4"/>
      <c r="I305" s="214"/>
      <c r="J305" s="215"/>
      <c r="K305" s="213"/>
      <c r="L305" s="632"/>
      <c r="M305" s="213"/>
      <c r="N305" s="213"/>
      <c r="O305" s="213"/>
      <c r="P305" s="215"/>
      <c r="Q305" s="215"/>
      <c r="R305" s="616">
        <f t="shared" si="15"/>
        <v>0</v>
      </c>
      <c r="S305" s="633"/>
      <c r="T305" s="636"/>
      <c r="U305" s="636"/>
      <c r="V305" s="7"/>
      <c r="W305" s="699"/>
      <c r="X305" s="7"/>
      <c r="Y305" s="618">
        <f t="shared" si="16"/>
        <v>0</v>
      </c>
      <c r="Z305" s="7"/>
      <c r="AA305" s="7"/>
      <c r="AB305" s="7"/>
      <c r="AC305" s="7"/>
      <c r="AD305" s="7"/>
      <c r="AE305" s="7"/>
    </row>
    <row r="306" spans="1:31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4"/>
      <c r="I306" s="214"/>
      <c r="J306" s="215"/>
      <c r="K306" s="213"/>
      <c r="L306" s="632"/>
      <c r="M306" s="213"/>
      <c r="N306" s="213"/>
      <c r="O306" s="213"/>
      <c r="P306" s="215"/>
      <c r="Q306" s="215"/>
      <c r="R306" s="616">
        <f t="shared" si="15"/>
        <v>0</v>
      </c>
      <c r="S306" s="633"/>
      <c r="T306" s="648"/>
      <c r="U306" s="648"/>
      <c r="V306" s="7"/>
      <c r="W306" s="699"/>
      <c r="X306" s="7"/>
      <c r="Y306" s="618">
        <f t="shared" si="16"/>
        <v>0</v>
      </c>
      <c r="Z306" s="7"/>
      <c r="AA306" s="7"/>
      <c r="AB306" s="7"/>
      <c r="AC306" s="7"/>
      <c r="AD306" s="7"/>
      <c r="AE306" s="7"/>
    </row>
    <row r="307" spans="1:31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4"/>
      <c r="I307" s="214"/>
      <c r="J307" s="215"/>
      <c r="K307" s="213"/>
      <c r="L307" s="632"/>
      <c r="M307" s="213"/>
      <c r="N307" s="213"/>
      <c r="O307" s="213"/>
      <c r="P307" s="215"/>
      <c r="Q307" s="215"/>
      <c r="R307" s="616">
        <f t="shared" si="15"/>
        <v>0</v>
      </c>
      <c r="S307" s="633"/>
      <c r="T307" s="648"/>
      <c r="U307" s="648"/>
      <c r="V307" s="7"/>
      <c r="W307" s="699"/>
      <c r="X307" s="7"/>
      <c r="Y307" s="618">
        <f t="shared" si="16"/>
        <v>0</v>
      </c>
      <c r="Z307" s="7"/>
      <c r="AA307" s="7"/>
      <c r="AB307" s="7"/>
      <c r="AC307" s="7"/>
      <c r="AD307" s="7"/>
      <c r="AE307" s="7"/>
    </row>
    <row r="308" spans="1:31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4"/>
      <c r="I308" s="214"/>
      <c r="J308" s="215"/>
      <c r="K308" s="213"/>
      <c r="L308" s="632"/>
      <c r="M308" s="213"/>
      <c r="N308" s="213"/>
      <c r="O308" s="213"/>
      <c r="P308" s="215"/>
      <c r="Q308" s="215"/>
      <c r="R308" s="616">
        <f t="shared" si="15"/>
        <v>0</v>
      </c>
      <c r="S308" s="633"/>
      <c r="T308" s="648"/>
      <c r="U308" s="648"/>
      <c r="V308" s="7"/>
      <c r="W308" s="699"/>
      <c r="X308" s="7"/>
      <c r="Y308" s="618">
        <f t="shared" si="16"/>
        <v>0</v>
      </c>
      <c r="Z308" s="7"/>
      <c r="AA308" s="7"/>
      <c r="AB308" s="7"/>
      <c r="AC308" s="7"/>
      <c r="AD308" s="7"/>
      <c r="AE308" s="7"/>
    </row>
    <row r="309" spans="1:31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4"/>
      <c r="I309" s="214"/>
      <c r="J309" s="215"/>
      <c r="K309" s="213"/>
      <c r="L309" s="632"/>
      <c r="M309" s="213"/>
      <c r="N309" s="213"/>
      <c r="O309" s="213"/>
      <c r="P309" s="215"/>
      <c r="Q309" s="215"/>
      <c r="R309" s="616">
        <f t="shared" si="15"/>
        <v>0</v>
      </c>
      <c r="S309" s="633"/>
      <c r="T309" s="648"/>
      <c r="U309" s="648"/>
      <c r="V309" s="7"/>
      <c r="W309" s="699"/>
      <c r="X309" s="7"/>
      <c r="Y309" s="618">
        <f t="shared" si="16"/>
        <v>0</v>
      </c>
      <c r="Z309" s="7"/>
      <c r="AA309" s="7"/>
      <c r="AB309" s="7"/>
      <c r="AC309" s="7"/>
      <c r="AD309" s="7"/>
      <c r="AE309" s="7"/>
    </row>
    <row r="310" spans="1:31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4"/>
      <c r="I310" s="214"/>
      <c r="J310" s="215"/>
      <c r="K310" s="213"/>
      <c r="L310" s="632"/>
      <c r="M310" s="213"/>
      <c r="N310" s="213"/>
      <c r="O310" s="213"/>
      <c r="P310" s="215"/>
      <c r="Q310" s="215"/>
      <c r="R310" s="616">
        <f t="shared" si="15"/>
        <v>0</v>
      </c>
      <c r="S310" s="633"/>
      <c r="T310" s="636"/>
      <c r="U310" s="636"/>
      <c r="V310" s="7"/>
      <c r="W310" s="699"/>
      <c r="X310" s="7"/>
      <c r="Y310" s="618">
        <f t="shared" si="16"/>
        <v>0</v>
      </c>
      <c r="Z310" s="7"/>
      <c r="AA310" s="7"/>
      <c r="AB310" s="7"/>
      <c r="AC310" s="7"/>
      <c r="AD310" s="7"/>
      <c r="AE310" s="7"/>
    </row>
    <row r="311" spans="1:31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4"/>
      <c r="I311" s="214"/>
      <c r="J311" s="215"/>
      <c r="K311" s="213"/>
      <c r="L311" s="632"/>
      <c r="M311" s="213"/>
      <c r="N311" s="213"/>
      <c r="O311" s="213"/>
      <c r="P311" s="215"/>
      <c r="Q311" s="215"/>
      <c r="R311" s="616">
        <f t="shared" si="15"/>
        <v>0</v>
      </c>
      <c r="S311" s="633"/>
      <c r="T311" s="648"/>
      <c r="U311" s="648"/>
      <c r="V311" s="7"/>
      <c r="W311" s="699"/>
      <c r="X311" s="7"/>
      <c r="Y311" s="618">
        <f t="shared" si="16"/>
        <v>0</v>
      </c>
      <c r="Z311" s="7"/>
      <c r="AA311" s="7"/>
      <c r="AB311" s="7"/>
      <c r="AC311" s="7"/>
      <c r="AD311" s="7"/>
      <c r="AE311" s="7"/>
    </row>
    <row r="312" spans="1:31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4"/>
      <c r="I312" s="214"/>
      <c r="J312" s="215"/>
      <c r="K312" s="213"/>
      <c r="L312" s="632"/>
      <c r="M312" s="213"/>
      <c r="N312" s="213"/>
      <c r="O312" s="213"/>
      <c r="P312" s="215"/>
      <c r="Q312" s="215"/>
      <c r="R312" s="616">
        <f t="shared" si="15"/>
        <v>0</v>
      </c>
      <c r="S312" s="633"/>
      <c r="T312" s="648"/>
      <c r="U312" s="648"/>
      <c r="V312" s="7"/>
      <c r="W312" s="699"/>
      <c r="X312" s="7"/>
      <c r="Y312" s="618">
        <f t="shared" si="16"/>
        <v>0</v>
      </c>
      <c r="Z312" s="7"/>
      <c r="AA312" s="7"/>
      <c r="AB312" s="7"/>
      <c r="AC312" s="7"/>
      <c r="AD312" s="7"/>
      <c r="AE312" s="7"/>
    </row>
    <row r="313" spans="1:31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4"/>
      <c r="I313" s="214"/>
      <c r="J313" s="215"/>
      <c r="K313" s="213"/>
      <c r="L313" s="632"/>
      <c r="M313" s="213"/>
      <c r="N313" s="213"/>
      <c r="O313" s="213"/>
      <c r="P313" s="215"/>
      <c r="Q313" s="215"/>
      <c r="R313" s="616">
        <f t="shared" si="15"/>
        <v>0</v>
      </c>
      <c r="S313" s="633"/>
      <c r="T313" s="648"/>
      <c r="U313" s="648"/>
      <c r="V313" s="7"/>
      <c r="W313" s="699"/>
      <c r="X313" s="7"/>
      <c r="Y313" s="618">
        <f t="shared" si="16"/>
        <v>0</v>
      </c>
      <c r="Z313" s="7"/>
      <c r="AA313" s="7"/>
      <c r="AB313" s="7"/>
      <c r="AC313" s="7"/>
      <c r="AD313" s="7"/>
      <c r="AE313" s="7"/>
    </row>
    <row r="314" spans="1:31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4"/>
      <c r="I314" s="214"/>
      <c r="J314" s="215"/>
      <c r="K314" s="213"/>
      <c r="L314" s="632"/>
      <c r="M314" s="213"/>
      <c r="N314" s="213"/>
      <c r="O314" s="213"/>
      <c r="P314" s="215"/>
      <c r="Q314" s="215"/>
      <c r="R314" s="616">
        <f t="shared" si="15"/>
        <v>0</v>
      </c>
      <c r="S314" s="633"/>
      <c r="T314" s="648"/>
      <c r="U314" s="648"/>
      <c r="V314" s="7"/>
      <c r="W314" s="699"/>
      <c r="X314" s="7"/>
      <c r="Y314" s="618">
        <f t="shared" si="16"/>
        <v>0</v>
      </c>
      <c r="Z314" s="7"/>
      <c r="AA314" s="7"/>
      <c r="AB314" s="7"/>
      <c r="AC314" s="7"/>
      <c r="AD314" s="7"/>
      <c r="AE314" s="7"/>
    </row>
    <row r="315" spans="1:31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4"/>
      <c r="I315" s="214"/>
      <c r="J315" s="215"/>
      <c r="K315" s="213"/>
      <c r="L315" s="632"/>
      <c r="M315" s="213"/>
      <c r="N315" s="213"/>
      <c r="O315" s="213"/>
      <c r="P315" s="215"/>
      <c r="Q315" s="215"/>
      <c r="R315" s="616">
        <f t="shared" si="15"/>
        <v>0</v>
      </c>
      <c r="S315" s="633"/>
      <c r="T315" s="636"/>
      <c r="U315" s="636"/>
      <c r="V315" s="7"/>
      <c r="W315" s="699"/>
      <c r="X315" s="7"/>
      <c r="Y315" s="618">
        <f t="shared" si="16"/>
        <v>0</v>
      </c>
      <c r="Z315" s="7"/>
      <c r="AA315" s="7"/>
      <c r="AB315" s="7"/>
      <c r="AC315" s="7"/>
      <c r="AD315" s="7"/>
      <c r="AE315" s="7"/>
    </row>
    <row r="316" spans="1:31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4"/>
      <c r="I316" s="214"/>
      <c r="J316" s="215"/>
      <c r="K316" s="213"/>
      <c r="L316" s="632"/>
      <c r="M316" s="213"/>
      <c r="N316" s="213"/>
      <c r="O316" s="213"/>
      <c r="P316" s="215"/>
      <c r="Q316" s="215"/>
      <c r="R316" s="616">
        <f t="shared" si="15"/>
        <v>0</v>
      </c>
      <c r="S316" s="633"/>
      <c r="T316" s="648"/>
      <c r="U316" s="648"/>
      <c r="V316" s="7"/>
      <c r="W316" s="699"/>
      <c r="X316" s="7"/>
      <c r="Y316" s="618">
        <f t="shared" si="16"/>
        <v>0</v>
      </c>
      <c r="Z316" s="7"/>
      <c r="AA316" s="7"/>
      <c r="AB316" s="7"/>
      <c r="AC316" s="7"/>
      <c r="AD316" s="7"/>
      <c r="AE316" s="7"/>
    </row>
    <row r="317" spans="1:31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4"/>
      <c r="I317" s="214"/>
      <c r="J317" s="215"/>
      <c r="K317" s="213"/>
      <c r="L317" s="632"/>
      <c r="M317" s="213"/>
      <c r="N317" s="213"/>
      <c r="O317" s="213"/>
      <c r="P317" s="215"/>
      <c r="Q317" s="215"/>
      <c r="R317" s="616">
        <f t="shared" si="15"/>
        <v>0</v>
      </c>
      <c r="S317" s="633"/>
      <c r="T317" s="648"/>
      <c r="U317" s="648"/>
      <c r="V317" s="7"/>
      <c r="W317" s="699"/>
      <c r="X317" s="7"/>
      <c r="Y317" s="618">
        <f t="shared" si="16"/>
        <v>0</v>
      </c>
      <c r="Z317" s="7"/>
      <c r="AA317" s="7"/>
      <c r="AB317" s="7"/>
      <c r="AC317" s="7"/>
      <c r="AD317" s="7"/>
      <c r="AE317" s="7"/>
    </row>
    <row r="318" spans="1:31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4"/>
      <c r="I318" s="214"/>
      <c r="J318" s="215"/>
      <c r="K318" s="213"/>
      <c r="L318" s="632"/>
      <c r="M318" s="213"/>
      <c r="N318" s="213"/>
      <c r="O318" s="213"/>
      <c r="P318" s="215"/>
      <c r="Q318" s="215"/>
      <c r="R318" s="616">
        <f t="shared" si="15"/>
        <v>0</v>
      </c>
      <c r="S318" s="633"/>
      <c r="T318" s="648"/>
      <c r="U318" s="648"/>
      <c r="V318" s="7"/>
      <c r="W318" s="699"/>
      <c r="X318" s="7"/>
      <c r="Y318" s="618">
        <f t="shared" si="16"/>
        <v>0</v>
      </c>
      <c r="Z318" s="7"/>
      <c r="AA318" s="7"/>
      <c r="AB318" s="7"/>
      <c r="AC318" s="7"/>
      <c r="AD318" s="7"/>
      <c r="AE318" s="7"/>
    </row>
    <row r="319" spans="1:31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4"/>
      <c r="I319" s="214"/>
      <c r="J319" s="215"/>
      <c r="K319" s="213"/>
      <c r="L319" s="632"/>
      <c r="M319" s="213"/>
      <c r="N319" s="213"/>
      <c r="O319" s="213"/>
      <c r="P319" s="215"/>
      <c r="Q319" s="215"/>
      <c r="R319" s="616">
        <f t="shared" si="15"/>
        <v>0</v>
      </c>
      <c r="S319" s="633"/>
      <c r="T319" s="648"/>
      <c r="U319" s="648"/>
      <c r="V319" s="7"/>
      <c r="W319" s="699"/>
      <c r="X319" s="7"/>
      <c r="Y319" s="618">
        <f t="shared" si="16"/>
        <v>0</v>
      </c>
      <c r="Z319" s="7"/>
      <c r="AA319" s="7"/>
      <c r="AB319" s="7"/>
      <c r="AC319" s="7"/>
      <c r="AD319" s="7"/>
      <c r="AE319" s="7"/>
    </row>
    <row r="320" spans="1:31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4"/>
      <c r="I320" s="214"/>
      <c r="J320" s="215"/>
      <c r="K320" s="213"/>
      <c r="L320" s="632"/>
      <c r="M320" s="213"/>
      <c r="N320" s="213"/>
      <c r="O320" s="213"/>
      <c r="P320" s="215"/>
      <c r="Q320" s="215"/>
      <c r="R320" s="616">
        <f t="shared" si="15"/>
        <v>0</v>
      </c>
      <c r="S320" s="633"/>
      <c r="T320" s="636"/>
      <c r="U320" s="636"/>
      <c r="V320" s="7"/>
      <c r="W320" s="699"/>
      <c r="X320" s="7"/>
      <c r="Y320" s="618">
        <f t="shared" si="16"/>
        <v>0</v>
      </c>
      <c r="Z320" s="7"/>
      <c r="AA320" s="7"/>
      <c r="AB320" s="7"/>
      <c r="AC320" s="7"/>
      <c r="AD320" s="7"/>
      <c r="AE320" s="7"/>
    </row>
    <row r="321" spans="1:31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4"/>
      <c r="I321" s="214"/>
      <c r="J321" s="215"/>
      <c r="K321" s="213"/>
      <c r="L321" s="632"/>
      <c r="M321" s="213"/>
      <c r="N321" s="213"/>
      <c r="O321" s="213"/>
      <c r="P321" s="215"/>
      <c r="Q321" s="215"/>
      <c r="R321" s="616">
        <f t="shared" si="15"/>
        <v>0</v>
      </c>
      <c r="S321" s="633"/>
      <c r="T321" s="636"/>
      <c r="U321" s="636"/>
      <c r="V321" s="7"/>
      <c r="W321" s="699"/>
      <c r="X321" s="7"/>
      <c r="Y321" s="618">
        <f t="shared" si="16"/>
        <v>0</v>
      </c>
      <c r="Z321" s="7"/>
      <c r="AA321" s="7"/>
      <c r="AB321" s="7"/>
      <c r="AC321" s="7"/>
      <c r="AD321" s="7"/>
      <c r="AE321" s="7"/>
    </row>
    <row r="322" spans="1:31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4"/>
      <c r="I322" s="214"/>
      <c r="J322" s="215"/>
      <c r="K322" s="213"/>
      <c r="L322" s="632"/>
      <c r="M322" s="213"/>
      <c r="N322" s="213"/>
      <c r="O322" s="213"/>
      <c r="P322" s="215"/>
      <c r="Q322" s="215"/>
      <c r="R322" s="616">
        <f t="shared" si="15"/>
        <v>0</v>
      </c>
      <c r="S322" s="633"/>
      <c r="T322" s="636"/>
      <c r="U322" s="636"/>
      <c r="V322" s="7"/>
      <c r="W322" s="699"/>
      <c r="X322" s="7"/>
      <c r="Y322" s="618">
        <f t="shared" si="16"/>
        <v>0</v>
      </c>
      <c r="Z322" s="7"/>
      <c r="AA322" s="7"/>
      <c r="AB322" s="7"/>
      <c r="AC322" s="7"/>
      <c r="AD322" s="7"/>
      <c r="AE322" s="7"/>
    </row>
    <row r="323" spans="1:31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4"/>
      <c r="I323" s="214"/>
      <c r="J323" s="215"/>
      <c r="K323" s="213"/>
      <c r="L323" s="632"/>
      <c r="M323" s="213"/>
      <c r="N323" s="213"/>
      <c r="O323" s="213"/>
      <c r="P323" s="215"/>
      <c r="Q323" s="215"/>
      <c r="R323" s="616">
        <f t="shared" si="15"/>
        <v>0</v>
      </c>
      <c r="S323" s="633"/>
      <c r="T323" s="636"/>
      <c r="U323" s="636"/>
      <c r="V323" s="7"/>
      <c r="W323" s="699"/>
      <c r="X323" s="7"/>
      <c r="Y323" s="618">
        <f t="shared" si="16"/>
        <v>0</v>
      </c>
      <c r="Z323" s="7"/>
      <c r="AA323" s="7"/>
      <c r="AB323" s="7"/>
      <c r="AC323" s="7"/>
      <c r="AD323" s="7"/>
      <c r="AE323" s="7"/>
    </row>
    <row r="324" spans="1:31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4"/>
      <c r="I324" s="214"/>
      <c r="J324" s="215"/>
      <c r="K324" s="213"/>
      <c r="L324" s="632"/>
      <c r="M324" s="213"/>
      <c r="N324" s="213"/>
      <c r="O324" s="213"/>
      <c r="P324" s="215"/>
      <c r="Q324" s="215"/>
      <c r="R324" s="616">
        <f t="shared" si="15"/>
        <v>0</v>
      </c>
      <c r="S324" s="633"/>
      <c r="T324" s="636"/>
      <c r="U324" s="636"/>
      <c r="V324" s="7"/>
      <c r="W324" s="699"/>
      <c r="X324" s="7"/>
      <c r="Y324" s="618">
        <f t="shared" si="16"/>
        <v>0</v>
      </c>
      <c r="Z324" s="7"/>
      <c r="AA324" s="7"/>
      <c r="AB324" s="7"/>
      <c r="AC324" s="7"/>
      <c r="AD324" s="7"/>
      <c r="AE324" s="7"/>
    </row>
    <row r="325" spans="1:31" ht="33.75" customHeight="1">
      <c r="A325" s="486"/>
      <c r="B325" s="487" t="s">
        <v>703</v>
      </c>
      <c r="C325" s="656" t="s">
        <v>704</v>
      </c>
      <c r="D325" s="519" t="s">
        <v>2265</v>
      </c>
      <c r="E325" s="213"/>
      <c r="F325" s="213"/>
      <c r="G325" s="213"/>
      <c r="H325" s="214"/>
      <c r="I325" s="214"/>
      <c r="J325" s="215"/>
      <c r="K325" s="213"/>
      <c r="L325" s="632"/>
      <c r="M325" s="213"/>
      <c r="N325" s="213"/>
      <c r="O325" s="213"/>
      <c r="P325" s="215"/>
      <c r="Q325" s="215"/>
      <c r="R325" s="616">
        <f t="shared" si="15"/>
        <v>0</v>
      </c>
      <c r="S325" s="633"/>
      <c r="T325" s="636"/>
      <c r="U325" s="636"/>
      <c r="V325" s="7"/>
      <c r="W325" s="699"/>
      <c r="X325" s="7"/>
      <c r="Y325" s="618">
        <f t="shared" si="16"/>
        <v>0</v>
      </c>
      <c r="Z325" s="7"/>
      <c r="AA325" s="7"/>
      <c r="AB325" s="7"/>
      <c r="AC325" s="7"/>
      <c r="AD325" s="7"/>
      <c r="AE325" s="7"/>
    </row>
    <row r="326" spans="1:31" ht="25.5" customHeight="1">
      <c r="A326" s="503"/>
      <c r="B326" s="483" t="s">
        <v>707</v>
      </c>
      <c r="C326" s="629" t="s">
        <v>131</v>
      </c>
      <c r="D326" s="354" t="s">
        <v>2266</v>
      </c>
      <c r="E326" s="213"/>
      <c r="F326" s="213"/>
      <c r="G326" s="213"/>
      <c r="H326" s="214"/>
      <c r="I326" s="214"/>
      <c r="J326" s="215"/>
      <c r="K326" s="213"/>
      <c r="L326" s="632"/>
      <c r="M326" s="213"/>
      <c r="N326" s="213"/>
      <c r="O326" s="213"/>
      <c r="P326" s="215"/>
      <c r="Q326" s="215"/>
      <c r="R326" s="616">
        <f t="shared" si="15"/>
        <v>0</v>
      </c>
      <c r="S326" s="633"/>
      <c r="T326" s="634"/>
      <c r="U326" s="634"/>
      <c r="V326" s="7"/>
      <c r="W326" s="699"/>
      <c r="X326" s="7"/>
      <c r="Y326" s="618">
        <f t="shared" si="16"/>
        <v>0</v>
      </c>
      <c r="Z326" s="7"/>
      <c r="AA326" s="7"/>
      <c r="AB326" s="7"/>
      <c r="AC326" s="7"/>
      <c r="AD326" s="7"/>
      <c r="AE326" s="7"/>
    </row>
    <row r="327" spans="1:31" ht="21" customHeight="1">
      <c r="A327" s="503"/>
      <c r="B327" s="483" t="s">
        <v>709</v>
      </c>
      <c r="C327" s="629" t="s">
        <v>200</v>
      </c>
      <c r="D327" s="354" t="s">
        <v>2267</v>
      </c>
      <c r="E327" s="213"/>
      <c r="F327" s="213"/>
      <c r="G327" s="213"/>
      <c r="H327" s="214"/>
      <c r="I327" s="214"/>
      <c r="J327" s="215"/>
      <c r="K327" s="213"/>
      <c r="L327" s="632"/>
      <c r="M327" s="213"/>
      <c r="N327" s="213"/>
      <c r="O327" s="213"/>
      <c r="P327" s="215"/>
      <c r="Q327" s="215"/>
      <c r="R327" s="616">
        <f t="shared" si="15"/>
        <v>0</v>
      </c>
      <c r="S327" s="633"/>
      <c r="T327" s="636"/>
      <c r="U327" s="636"/>
      <c r="V327" s="7"/>
      <c r="W327" s="699"/>
      <c r="X327" s="7"/>
      <c r="Y327" s="618">
        <f t="shared" si="16"/>
        <v>0</v>
      </c>
      <c r="Z327" s="7"/>
      <c r="AA327" s="7"/>
      <c r="AB327" s="7"/>
      <c r="AC327" s="7"/>
      <c r="AD327" s="7"/>
      <c r="AE327" s="7"/>
    </row>
    <row r="328" spans="1:31" ht="21" customHeight="1">
      <c r="A328" s="503"/>
      <c r="B328" s="483" t="s">
        <v>711</v>
      </c>
      <c r="C328" s="629" t="s">
        <v>203</v>
      </c>
      <c r="D328" s="354" t="s">
        <v>2268</v>
      </c>
      <c r="E328" s="213"/>
      <c r="F328" s="213"/>
      <c r="G328" s="213"/>
      <c r="H328" s="214"/>
      <c r="I328" s="214"/>
      <c r="J328" s="215"/>
      <c r="K328" s="213"/>
      <c r="L328" s="632"/>
      <c r="M328" s="213"/>
      <c r="N328" s="213"/>
      <c r="O328" s="213"/>
      <c r="P328" s="215"/>
      <c r="Q328" s="215"/>
      <c r="R328" s="616">
        <f t="shared" si="15"/>
        <v>0</v>
      </c>
      <c r="S328" s="633"/>
      <c r="T328" s="636"/>
      <c r="U328" s="636"/>
      <c r="V328" s="7"/>
      <c r="W328" s="699"/>
      <c r="X328" s="7"/>
      <c r="Y328" s="618">
        <f t="shared" si="16"/>
        <v>0</v>
      </c>
      <c r="Z328" s="7"/>
      <c r="AA328" s="7"/>
      <c r="AB328" s="7"/>
      <c r="AC328" s="7"/>
      <c r="AD328" s="7"/>
      <c r="AE328" s="7"/>
    </row>
    <row r="329" spans="1:31" ht="21" customHeight="1">
      <c r="A329" s="503"/>
      <c r="B329" s="483" t="s">
        <v>713</v>
      </c>
      <c r="C329" s="629" t="s">
        <v>159</v>
      </c>
      <c r="D329" s="354" t="s">
        <v>2269</v>
      </c>
      <c r="E329" s="213"/>
      <c r="F329" s="213"/>
      <c r="G329" s="213"/>
      <c r="H329" s="214"/>
      <c r="I329" s="214"/>
      <c r="J329" s="215"/>
      <c r="K329" s="213"/>
      <c r="L329" s="632"/>
      <c r="M329" s="213"/>
      <c r="N329" s="213"/>
      <c r="O329" s="213"/>
      <c r="P329" s="215"/>
      <c r="Q329" s="215"/>
      <c r="R329" s="616">
        <f t="shared" si="15"/>
        <v>0</v>
      </c>
      <c r="S329" s="633"/>
      <c r="T329" s="636"/>
      <c r="U329" s="636"/>
      <c r="V329" s="7"/>
      <c r="W329" s="699"/>
      <c r="X329" s="7"/>
      <c r="Y329" s="618">
        <f t="shared" si="16"/>
        <v>0</v>
      </c>
      <c r="Z329" s="7"/>
      <c r="AA329" s="7"/>
      <c r="AB329" s="7"/>
      <c r="AC329" s="7"/>
      <c r="AD329" s="7"/>
      <c r="AE329" s="7"/>
    </row>
    <row r="330" spans="1:31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4"/>
      <c r="I330" s="214"/>
      <c r="J330" s="215"/>
      <c r="K330" s="213"/>
      <c r="L330" s="632"/>
      <c r="M330" s="213"/>
      <c r="N330" s="213"/>
      <c r="O330" s="213"/>
      <c r="P330" s="215"/>
      <c r="Q330" s="215"/>
      <c r="R330" s="616">
        <f t="shared" si="15"/>
        <v>0</v>
      </c>
      <c r="S330" s="633"/>
      <c r="T330" s="636"/>
      <c r="U330" s="636"/>
      <c r="V330" s="7"/>
      <c r="W330" s="699"/>
      <c r="X330" s="7"/>
      <c r="Y330" s="618">
        <f t="shared" si="16"/>
        <v>0</v>
      </c>
      <c r="Z330" s="7"/>
      <c r="AA330" s="7"/>
      <c r="AB330" s="7"/>
      <c r="AC330" s="7"/>
      <c r="AD330" s="7"/>
      <c r="AE330" s="7"/>
    </row>
    <row r="331" spans="1:31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4"/>
      <c r="I331" s="214"/>
      <c r="J331" s="215"/>
      <c r="K331" s="213"/>
      <c r="L331" s="632"/>
      <c r="M331" s="213"/>
      <c r="N331" s="213"/>
      <c r="O331" s="213"/>
      <c r="P331" s="215"/>
      <c r="Q331" s="215"/>
      <c r="R331" s="616">
        <f t="shared" si="15"/>
        <v>0</v>
      </c>
      <c r="S331" s="633"/>
      <c r="T331" s="654"/>
      <c r="U331" s="654"/>
      <c r="V331" s="7"/>
      <c r="W331" s="699"/>
      <c r="X331" s="7"/>
      <c r="Y331" s="618">
        <f t="shared" si="16"/>
        <v>0</v>
      </c>
      <c r="Z331" s="7"/>
      <c r="AA331" s="7"/>
      <c r="AB331" s="7"/>
      <c r="AC331" s="7"/>
      <c r="AD331" s="7"/>
      <c r="AE331" s="7"/>
    </row>
    <row r="332" spans="1:31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4"/>
      <c r="I332" s="214"/>
      <c r="J332" s="215"/>
      <c r="K332" s="213"/>
      <c r="L332" s="632"/>
      <c r="M332" s="213"/>
      <c r="N332" s="213"/>
      <c r="O332" s="213"/>
      <c r="P332" s="215"/>
      <c r="Q332" s="215"/>
      <c r="R332" s="616">
        <f t="shared" si="15"/>
        <v>0</v>
      </c>
      <c r="S332" s="633"/>
      <c r="T332" s="648"/>
      <c r="U332" s="648"/>
      <c r="V332" s="7"/>
      <c r="W332" s="699"/>
      <c r="X332" s="7"/>
      <c r="Y332" s="618">
        <f t="shared" si="16"/>
        <v>0</v>
      </c>
      <c r="Z332" s="7"/>
      <c r="AA332" s="7"/>
      <c r="AB332" s="7"/>
      <c r="AC332" s="7"/>
      <c r="AD332" s="7"/>
      <c r="AE332" s="7"/>
    </row>
    <row r="333" spans="1:31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4"/>
      <c r="I333" s="214"/>
      <c r="J333" s="215"/>
      <c r="K333" s="213"/>
      <c r="L333" s="632"/>
      <c r="M333" s="213"/>
      <c r="N333" s="213"/>
      <c r="O333" s="213"/>
      <c r="P333" s="215"/>
      <c r="Q333" s="215"/>
      <c r="R333" s="616">
        <f t="shared" si="15"/>
        <v>0</v>
      </c>
      <c r="S333" s="633"/>
      <c r="T333" s="648"/>
      <c r="U333" s="648"/>
      <c r="V333" s="7"/>
      <c r="W333" s="699"/>
      <c r="X333" s="7"/>
      <c r="Y333" s="618">
        <f t="shared" si="16"/>
        <v>0</v>
      </c>
      <c r="Z333" s="7"/>
      <c r="AA333" s="7"/>
      <c r="AB333" s="7"/>
      <c r="AC333" s="7"/>
      <c r="AD333" s="7"/>
      <c r="AE333" s="7"/>
    </row>
    <row r="334" spans="1:31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4"/>
      <c r="I334" s="214"/>
      <c r="J334" s="215"/>
      <c r="K334" s="213"/>
      <c r="L334" s="632"/>
      <c r="M334" s="213"/>
      <c r="N334" s="213"/>
      <c r="O334" s="213"/>
      <c r="P334" s="215"/>
      <c r="Q334" s="215"/>
      <c r="R334" s="616">
        <f t="shared" si="15"/>
        <v>0</v>
      </c>
      <c r="S334" s="633"/>
      <c r="T334" s="648"/>
      <c r="U334" s="648"/>
      <c r="V334" s="7"/>
      <c r="W334" s="699"/>
      <c r="X334" s="7"/>
      <c r="Y334" s="618">
        <f t="shared" si="16"/>
        <v>0</v>
      </c>
      <c r="Z334" s="7"/>
      <c r="AA334" s="7"/>
      <c r="AB334" s="7"/>
      <c r="AC334" s="7"/>
      <c r="AD334" s="7"/>
      <c r="AE334" s="7"/>
    </row>
    <row r="335" spans="1:31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4"/>
      <c r="I335" s="214"/>
      <c r="J335" s="215"/>
      <c r="K335" s="213"/>
      <c r="L335" s="632"/>
      <c r="M335" s="213"/>
      <c r="N335" s="213"/>
      <c r="O335" s="213"/>
      <c r="P335" s="215"/>
      <c r="Q335" s="215"/>
      <c r="R335" s="616">
        <f t="shared" si="15"/>
        <v>0</v>
      </c>
      <c r="S335" s="633"/>
      <c r="T335" s="648"/>
      <c r="U335" s="648"/>
      <c r="V335" s="7"/>
      <c r="W335" s="699"/>
      <c r="X335" s="7"/>
      <c r="Y335" s="618">
        <f t="shared" si="16"/>
        <v>0</v>
      </c>
      <c r="Z335" s="7"/>
      <c r="AA335" s="7"/>
      <c r="AB335" s="7"/>
      <c r="AC335" s="7"/>
      <c r="AD335" s="7"/>
      <c r="AE335" s="7"/>
    </row>
    <row r="336" spans="1:31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4"/>
      <c r="I336" s="214"/>
      <c r="J336" s="215"/>
      <c r="K336" s="213"/>
      <c r="L336" s="632"/>
      <c r="M336" s="213"/>
      <c r="N336" s="213"/>
      <c r="O336" s="213"/>
      <c r="P336" s="215"/>
      <c r="Q336" s="215"/>
      <c r="R336" s="616">
        <f t="shared" si="15"/>
        <v>0</v>
      </c>
      <c r="S336" s="633"/>
      <c r="T336" s="654"/>
      <c r="U336" s="654"/>
      <c r="V336" s="7"/>
      <c r="W336" s="699"/>
      <c r="X336" s="7"/>
      <c r="Y336" s="618">
        <f t="shared" si="16"/>
        <v>0</v>
      </c>
      <c r="Z336" s="7"/>
      <c r="AA336" s="7"/>
      <c r="AB336" s="7"/>
      <c r="AC336" s="7"/>
      <c r="AD336" s="7"/>
      <c r="AE336" s="7"/>
    </row>
    <row r="337" spans="1:31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4"/>
      <c r="I337" s="214"/>
      <c r="J337" s="215"/>
      <c r="K337" s="213"/>
      <c r="L337" s="632"/>
      <c r="M337" s="213"/>
      <c r="N337" s="213"/>
      <c r="O337" s="213"/>
      <c r="P337" s="215"/>
      <c r="Q337" s="215"/>
      <c r="R337" s="616">
        <f t="shared" si="15"/>
        <v>0</v>
      </c>
      <c r="S337" s="633"/>
      <c r="T337" s="654"/>
      <c r="U337" s="654"/>
      <c r="V337" s="7"/>
      <c r="W337" s="699"/>
      <c r="X337" s="7"/>
      <c r="Y337" s="618">
        <f t="shared" si="16"/>
        <v>0</v>
      </c>
      <c r="Z337" s="7"/>
      <c r="AA337" s="7"/>
      <c r="AB337" s="7"/>
      <c r="AC337" s="7"/>
      <c r="AD337" s="7"/>
      <c r="AE337" s="7"/>
    </row>
    <row r="338" spans="1:31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4"/>
      <c r="I338" s="214"/>
      <c r="J338" s="215"/>
      <c r="K338" s="213"/>
      <c r="L338" s="632"/>
      <c r="M338" s="213"/>
      <c r="N338" s="213"/>
      <c r="O338" s="213"/>
      <c r="P338" s="215"/>
      <c r="Q338" s="215"/>
      <c r="R338" s="616">
        <f t="shared" si="15"/>
        <v>0</v>
      </c>
      <c r="S338" s="633"/>
      <c r="T338" s="654"/>
      <c r="U338" s="654"/>
      <c r="V338" s="7"/>
      <c r="W338" s="699"/>
      <c r="X338" s="7"/>
      <c r="Y338" s="618">
        <f t="shared" si="16"/>
        <v>0</v>
      </c>
      <c r="Z338" s="7"/>
      <c r="AA338" s="7"/>
      <c r="AB338" s="7"/>
      <c r="AC338" s="7"/>
      <c r="AD338" s="7"/>
      <c r="AE338" s="7"/>
    </row>
    <row r="339" spans="1:31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4"/>
      <c r="I339" s="214"/>
      <c r="J339" s="215"/>
      <c r="K339" s="213"/>
      <c r="L339" s="632"/>
      <c r="M339" s="213"/>
      <c r="N339" s="213"/>
      <c r="O339" s="213"/>
      <c r="P339" s="215"/>
      <c r="Q339" s="215"/>
      <c r="R339" s="616">
        <f t="shared" si="15"/>
        <v>0</v>
      </c>
      <c r="S339" s="633"/>
      <c r="T339" s="654"/>
      <c r="U339" s="654"/>
      <c r="V339" s="7"/>
      <c r="W339" s="699"/>
      <c r="X339" s="7"/>
      <c r="Y339" s="618">
        <f t="shared" si="16"/>
        <v>0</v>
      </c>
      <c r="Z339" s="7"/>
      <c r="AA339" s="7"/>
      <c r="AB339" s="7"/>
      <c r="AC339" s="7"/>
      <c r="AD339" s="7"/>
      <c r="AE339" s="7"/>
    </row>
    <row r="340" spans="1:31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4"/>
      <c r="I340" s="214"/>
      <c r="J340" s="215"/>
      <c r="K340" s="213"/>
      <c r="L340" s="632"/>
      <c r="M340" s="213"/>
      <c r="N340" s="213"/>
      <c r="O340" s="213"/>
      <c r="P340" s="215"/>
      <c r="Q340" s="215"/>
      <c r="R340" s="616">
        <f t="shared" si="15"/>
        <v>0</v>
      </c>
      <c r="S340" s="633"/>
      <c r="T340" s="648"/>
      <c r="U340" s="648"/>
      <c r="V340" s="7"/>
      <c r="W340" s="699"/>
      <c r="X340" s="7"/>
      <c r="Y340" s="618">
        <f t="shared" si="16"/>
        <v>0</v>
      </c>
      <c r="Z340" s="7"/>
      <c r="AA340" s="7"/>
      <c r="AB340" s="7"/>
      <c r="AC340" s="7"/>
      <c r="AD340" s="7"/>
      <c r="AE340" s="7"/>
    </row>
    <row r="341" spans="1:31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4"/>
      <c r="I341" s="214"/>
      <c r="J341" s="215"/>
      <c r="K341" s="213"/>
      <c r="L341" s="632"/>
      <c r="M341" s="213"/>
      <c r="N341" s="213"/>
      <c r="O341" s="213"/>
      <c r="P341" s="215"/>
      <c r="Q341" s="215"/>
      <c r="R341" s="616">
        <f t="shared" si="15"/>
        <v>0</v>
      </c>
      <c r="S341" s="633"/>
      <c r="T341" s="654"/>
      <c r="U341" s="654"/>
      <c r="V341" s="7"/>
      <c r="W341" s="699"/>
      <c r="X341" s="7"/>
      <c r="Y341" s="618">
        <f t="shared" si="16"/>
        <v>0</v>
      </c>
      <c r="Z341" s="7"/>
      <c r="AA341" s="7"/>
      <c r="AB341" s="7"/>
      <c r="AC341" s="7"/>
      <c r="AD341" s="7"/>
      <c r="AE341" s="7"/>
    </row>
    <row r="342" spans="1:31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4"/>
      <c r="I342" s="214"/>
      <c r="J342" s="215"/>
      <c r="K342" s="213"/>
      <c r="L342" s="632"/>
      <c r="M342" s="213"/>
      <c r="N342" s="213"/>
      <c r="O342" s="213"/>
      <c r="P342" s="215"/>
      <c r="Q342" s="215"/>
      <c r="R342" s="616">
        <f t="shared" si="15"/>
        <v>0</v>
      </c>
      <c r="S342" s="633"/>
      <c r="T342" s="654"/>
      <c r="U342" s="654"/>
      <c r="V342" s="7"/>
      <c r="W342" s="699"/>
      <c r="X342" s="7"/>
      <c r="Y342" s="618">
        <f t="shared" si="16"/>
        <v>0</v>
      </c>
      <c r="Z342" s="7"/>
      <c r="AA342" s="7"/>
      <c r="AB342" s="7"/>
      <c r="AC342" s="7"/>
      <c r="AD342" s="7"/>
      <c r="AE342" s="7"/>
    </row>
    <row r="343" spans="1:31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4"/>
      <c r="I343" s="214"/>
      <c r="J343" s="215"/>
      <c r="K343" s="213"/>
      <c r="L343" s="632"/>
      <c r="M343" s="213"/>
      <c r="N343" s="213"/>
      <c r="O343" s="213"/>
      <c r="P343" s="215"/>
      <c r="Q343" s="215"/>
      <c r="R343" s="616">
        <f t="shared" si="15"/>
        <v>0</v>
      </c>
      <c r="S343" s="633"/>
      <c r="T343" s="654"/>
      <c r="U343" s="654"/>
      <c r="V343" s="7"/>
      <c r="W343" s="699"/>
      <c r="X343" s="7"/>
      <c r="Y343" s="618">
        <f t="shared" si="16"/>
        <v>0</v>
      </c>
      <c r="Z343" s="7"/>
      <c r="AA343" s="7"/>
      <c r="AB343" s="7"/>
      <c r="AC343" s="7"/>
      <c r="AD343" s="7"/>
      <c r="AE343" s="7"/>
    </row>
    <row r="344" spans="1:31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4"/>
      <c r="I344" s="214"/>
      <c r="J344" s="215"/>
      <c r="K344" s="213"/>
      <c r="L344" s="632"/>
      <c r="M344" s="213"/>
      <c r="N344" s="213"/>
      <c r="O344" s="213"/>
      <c r="P344" s="215"/>
      <c r="Q344" s="215"/>
      <c r="R344" s="616">
        <f t="shared" si="15"/>
        <v>0</v>
      </c>
      <c r="S344" s="633"/>
      <c r="T344" s="654"/>
      <c r="U344" s="654"/>
      <c r="V344" s="7"/>
      <c r="W344" s="699"/>
      <c r="X344" s="7"/>
      <c r="Y344" s="618">
        <f t="shared" si="16"/>
        <v>0</v>
      </c>
      <c r="Z344" s="7"/>
      <c r="AA344" s="7"/>
      <c r="AB344" s="7"/>
      <c r="AC344" s="7"/>
      <c r="AD344" s="7"/>
      <c r="AE344" s="7"/>
    </row>
    <row r="345" spans="1:31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4"/>
      <c r="I345" s="214"/>
      <c r="J345" s="215"/>
      <c r="K345" s="213"/>
      <c r="L345" s="632"/>
      <c r="M345" s="213"/>
      <c r="N345" s="213"/>
      <c r="O345" s="213"/>
      <c r="P345" s="215"/>
      <c r="Q345" s="215"/>
      <c r="R345" s="616">
        <f t="shared" si="15"/>
        <v>0</v>
      </c>
      <c r="S345" s="633"/>
      <c r="T345" s="654"/>
      <c r="U345" s="654"/>
      <c r="V345" s="7"/>
      <c r="W345" s="699"/>
      <c r="X345" s="7"/>
      <c r="Y345" s="618">
        <f t="shared" si="16"/>
        <v>0</v>
      </c>
      <c r="Z345" s="7"/>
      <c r="AA345" s="7"/>
      <c r="AB345" s="7"/>
      <c r="AC345" s="7"/>
      <c r="AD345" s="7"/>
      <c r="AE345" s="7"/>
    </row>
    <row r="346" spans="1:31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4"/>
      <c r="I346" s="214"/>
      <c r="J346" s="215"/>
      <c r="K346" s="213"/>
      <c r="L346" s="632"/>
      <c r="M346" s="213"/>
      <c r="N346" s="213"/>
      <c r="O346" s="213"/>
      <c r="P346" s="215"/>
      <c r="Q346" s="215"/>
      <c r="R346" s="616">
        <f t="shared" si="15"/>
        <v>0</v>
      </c>
      <c r="S346" s="633"/>
      <c r="T346" s="636"/>
      <c r="U346" s="636"/>
      <c r="V346" s="7"/>
      <c r="W346" s="699"/>
      <c r="X346" s="7"/>
      <c r="Y346" s="618">
        <f t="shared" si="16"/>
        <v>0</v>
      </c>
      <c r="Z346" s="7"/>
      <c r="AA346" s="7"/>
      <c r="AB346" s="7"/>
      <c r="AC346" s="7"/>
      <c r="AD346" s="7"/>
      <c r="AE346" s="7"/>
    </row>
    <row r="347" spans="1:31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4"/>
      <c r="I347" s="214"/>
      <c r="J347" s="215"/>
      <c r="K347" s="213"/>
      <c r="L347" s="632"/>
      <c r="M347" s="213"/>
      <c r="N347" s="213"/>
      <c r="O347" s="213"/>
      <c r="P347" s="215"/>
      <c r="Q347" s="215"/>
      <c r="R347" s="616">
        <f t="shared" si="15"/>
        <v>0</v>
      </c>
      <c r="S347" s="633"/>
      <c r="T347" s="636"/>
      <c r="U347" s="636"/>
      <c r="V347" s="7"/>
      <c r="W347" s="699"/>
      <c r="X347" s="7"/>
      <c r="Y347" s="618">
        <f t="shared" si="16"/>
        <v>0</v>
      </c>
      <c r="Z347" s="7"/>
      <c r="AA347" s="7"/>
      <c r="AB347" s="7"/>
      <c r="AC347" s="7"/>
      <c r="AD347" s="7"/>
      <c r="AE347" s="7"/>
    </row>
    <row r="348" spans="1:31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4"/>
      <c r="I348" s="214"/>
      <c r="J348" s="215"/>
      <c r="K348" s="213"/>
      <c r="L348" s="632"/>
      <c r="M348" s="213"/>
      <c r="N348" s="213"/>
      <c r="O348" s="213"/>
      <c r="P348" s="215"/>
      <c r="Q348" s="215"/>
      <c r="R348" s="616">
        <f t="shared" si="15"/>
        <v>0</v>
      </c>
      <c r="S348" s="633"/>
      <c r="T348" s="636"/>
      <c r="U348" s="636"/>
      <c r="V348" s="7"/>
      <c r="W348" s="699"/>
      <c r="X348" s="7"/>
      <c r="Y348" s="618">
        <f t="shared" si="16"/>
        <v>0</v>
      </c>
      <c r="Z348" s="7"/>
      <c r="AA348" s="7"/>
      <c r="AB348" s="7"/>
      <c r="AC348" s="7"/>
      <c r="AD348" s="7"/>
      <c r="AE348" s="7"/>
    </row>
    <row r="349" spans="1:31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4"/>
      <c r="I349" s="214"/>
      <c r="J349" s="215"/>
      <c r="K349" s="213"/>
      <c r="L349" s="632"/>
      <c r="M349" s="213"/>
      <c r="N349" s="213"/>
      <c r="O349" s="213"/>
      <c r="P349" s="215"/>
      <c r="Q349" s="215"/>
      <c r="R349" s="616">
        <f t="shared" si="15"/>
        <v>0</v>
      </c>
      <c r="S349" s="633"/>
      <c r="T349" s="636"/>
      <c r="U349" s="636"/>
      <c r="V349" s="7"/>
      <c r="W349" s="699"/>
      <c r="X349" s="7"/>
      <c r="Y349" s="618">
        <f t="shared" si="16"/>
        <v>0</v>
      </c>
      <c r="Z349" s="7"/>
      <c r="AA349" s="7"/>
      <c r="AB349" s="7"/>
      <c r="AC349" s="7"/>
      <c r="AD349" s="7"/>
      <c r="AE349" s="7"/>
    </row>
    <row r="350" spans="1:31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4"/>
      <c r="I350" s="214"/>
      <c r="J350" s="215"/>
      <c r="K350" s="213"/>
      <c r="L350" s="632"/>
      <c r="M350" s="213"/>
      <c r="N350" s="213"/>
      <c r="O350" s="213"/>
      <c r="P350" s="215"/>
      <c r="Q350" s="215"/>
      <c r="R350" s="616">
        <f t="shared" si="15"/>
        <v>0</v>
      </c>
      <c r="S350" s="633"/>
      <c r="T350" s="636"/>
      <c r="U350" s="636"/>
      <c r="V350" s="7"/>
      <c r="W350" s="699"/>
      <c r="X350" s="7"/>
      <c r="Y350" s="618">
        <f t="shared" si="16"/>
        <v>0</v>
      </c>
      <c r="Z350" s="7"/>
      <c r="AA350" s="7"/>
      <c r="AB350" s="7"/>
      <c r="AC350" s="7"/>
      <c r="AD350" s="7"/>
      <c r="AE350" s="7"/>
    </row>
    <row r="351" spans="1:31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4"/>
      <c r="I351" s="214"/>
      <c r="J351" s="215"/>
      <c r="K351" s="213"/>
      <c r="L351" s="632"/>
      <c r="M351" s="213"/>
      <c r="N351" s="213"/>
      <c r="O351" s="213"/>
      <c r="P351" s="215"/>
      <c r="Q351" s="215"/>
      <c r="R351" s="616">
        <f t="shared" si="15"/>
        <v>0</v>
      </c>
      <c r="S351" s="633"/>
      <c r="T351" s="636"/>
      <c r="U351" s="636"/>
      <c r="V351" s="7"/>
      <c r="W351" s="699"/>
      <c r="X351" s="7"/>
      <c r="Y351" s="618">
        <f t="shared" si="16"/>
        <v>0</v>
      </c>
      <c r="Z351" s="7"/>
      <c r="AA351" s="7"/>
      <c r="AB351" s="7"/>
      <c r="AC351" s="7"/>
      <c r="AD351" s="7"/>
      <c r="AE351" s="7"/>
    </row>
    <row r="352" spans="1:31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4"/>
      <c r="I352" s="214"/>
      <c r="J352" s="215"/>
      <c r="K352" s="213"/>
      <c r="L352" s="632"/>
      <c r="M352" s="213"/>
      <c r="N352" s="213"/>
      <c r="O352" s="213"/>
      <c r="P352" s="215"/>
      <c r="Q352" s="215"/>
      <c r="R352" s="616">
        <f t="shared" si="15"/>
        <v>0</v>
      </c>
      <c r="S352" s="633"/>
      <c r="T352" s="636"/>
      <c r="U352" s="636"/>
      <c r="V352" s="7"/>
      <c r="W352" s="699"/>
      <c r="X352" s="7"/>
      <c r="Y352" s="618">
        <f t="shared" si="16"/>
        <v>0</v>
      </c>
      <c r="Z352" s="7"/>
      <c r="AA352" s="7"/>
      <c r="AB352" s="7"/>
      <c r="AC352" s="7"/>
      <c r="AD352" s="7"/>
      <c r="AE352" s="7"/>
    </row>
    <row r="353" spans="1:31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4"/>
      <c r="I353" s="214"/>
      <c r="J353" s="215"/>
      <c r="K353" s="213"/>
      <c r="L353" s="632"/>
      <c r="M353" s="213"/>
      <c r="N353" s="213"/>
      <c r="O353" s="213"/>
      <c r="P353" s="215"/>
      <c r="Q353" s="215"/>
      <c r="R353" s="616">
        <f t="shared" si="15"/>
        <v>0</v>
      </c>
      <c r="S353" s="633"/>
      <c r="T353" s="640"/>
      <c r="U353" s="640"/>
      <c r="V353" s="7"/>
      <c r="W353" s="699"/>
      <c r="X353" s="7"/>
      <c r="Y353" s="618">
        <f t="shared" si="16"/>
        <v>0</v>
      </c>
      <c r="Z353" s="7"/>
      <c r="AA353" s="7"/>
      <c r="AB353" s="7"/>
      <c r="AC353" s="7"/>
      <c r="AD353" s="7"/>
      <c r="AE353" s="7"/>
    </row>
    <row r="354" spans="1:31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4"/>
      <c r="I354" s="214"/>
      <c r="J354" s="215"/>
      <c r="K354" s="213"/>
      <c r="L354" s="632"/>
      <c r="M354" s="213"/>
      <c r="N354" s="213"/>
      <c r="O354" s="213"/>
      <c r="P354" s="215"/>
      <c r="Q354" s="215"/>
      <c r="R354" s="616">
        <f t="shared" si="15"/>
        <v>0</v>
      </c>
      <c r="S354" s="633"/>
      <c r="T354" s="547"/>
      <c r="U354" s="547"/>
      <c r="V354" s="7"/>
      <c r="W354" s="699"/>
      <c r="X354" s="7"/>
      <c r="Y354" s="618">
        <f t="shared" si="16"/>
        <v>0</v>
      </c>
      <c r="Z354" s="7"/>
      <c r="AA354" s="7"/>
      <c r="AB354" s="7"/>
      <c r="AC354" s="7"/>
      <c r="AD354" s="7"/>
      <c r="AE354" s="7"/>
    </row>
    <row r="355" spans="1:31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4"/>
      <c r="I355" s="214"/>
      <c r="J355" s="215"/>
      <c r="K355" s="213"/>
      <c r="L355" s="632"/>
      <c r="M355" s="213"/>
      <c r="N355" s="213"/>
      <c r="O355" s="213"/>
      <c r="P355" s="215"/>
      <c r="Q355" s="215"/>
      <c r="R355" s="616">
        <f t="shared" si="15"/>
        <v>0</v>
      </c>
      <c r="S355" s="633"/>
      <c r="T355" s="666"/>
      <c r="U355" s="666"/>
      <c r="V355" s="7"/>
      <c r="W355" s="699"/>
      <c r="X355" s="7"/>
      <c r="Y355" s="618">
        <f t="shared" si="16"/>
        <v>0</v>
      </c>
      <c r="Z355" s="7"/>
      <c r="AA355" s="7"/>
      <c r="AB355" s="7"/>
      <c r="AC355" s="7"/>
      <c r="AD355" s="7"/>
      <c r="AE355" s="7"/>
    </row>
    <row r="356" spans="1:31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4"/>
      <c r="I356" s="214"/>
      <c r="J356" s="215"/>
      <c r="K356" s="213"/>
      <c r="L356" s="632"/>
      <c r="M356" s="213"/>
      <c r="N356" s="213"/>
      <c r="O356" s="213"/>
      <c r="P356" s="215"/>
      <c r="Q356" s="215"/>
      <c r="R356" s="616">
        <f t="shared" si="15"/>
        <v>0</v>
      </c>
      <c r="S356" s="633"/>
      <c r="T356" s="666"/>
      <c r="U356" s="666"/>
      <c r="V356" s="7"/>
      <c r="W356" s="699"/>
      <c r="X356" s="7"/>
      <c r="Y356" s="618">
        <f t="shared" si="16"/>
        <v>0</v>
      </c>
      <c r="Z356" s="7"/>
      <c r="AA356" s="7"/>
      <c r="AB356" s="7"/>
      <c r="AC356" s="7"/>
      <c r="AD356" s="7"/>
      <c r="AE356" s="7"/>
    </row>
    <row r="357" spans="1:31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4"/>
      <c r="I357" s="214"/>
      <c r="J357" s="215"/>
      <c r="K357" s="213"/>
      <c r="L357" s="632"/>
      <c r="M357" s="213"/>
      <c r="N357" s="213"/>
      <c r="O357" s="213"/>
      <c r="P357" s="215"/>
      <c r="Q357" s="215"/>
      <c r="R357" s="616">
        <f t="shared" si="15"/>
        <v>0</v>
      </c>
      <c r="S357" s="633"/>
      <c r="T357" s="542"/>
      <c r="U357" s="542"/>
      <c r="V357" s="7"/>
      <c r="W357" s="699"/>
      <c r="X357" s="7"/>
      <c r="Y357" s="618">
        <f t="shared" si="16"/>
        <v>0</v>
      </c>
      <c r="Z357" s="7"/>
      <c r="AA357" s="7"/>
      <c r="AB357" s="7"/>
      <c r="AC357" s="7"/>
      <c r="AD357" s="7"/>
      <c r="AE357" s="7"/>
    </row>
    <row r="358" spans="1:31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4"/>
      <c r="I358" s="214"/>
      <c r="J358" s="215"/>
      <c r="K358" s="213"/>
      <c r="L358" s="632"/>
      <c r="M358" s="213"/>
      <c r="N358" s="213"/>
      <c r="O358" s="213"/>
      <c r="P358" s="215"/>
      <c r="Q358" s="215"/>
      <c r="R358" s="616">
        <f t="shared" si="15"/>
        <v>0</v>
      </c>
      <c r="S358" s="633"/>
      <c r="T358" s="542"/>
      <c r="U358" s="542"/>
      <c r="V358" s="7"/>
      <c r="W358" s="699"/>
      <c r="X358" s="7"/>
      <c r="Y358" s="618">
        <f t="shared" si="16"/>
        <v>0</v>
      </c>
      <c r="Z358" s="7"/>
      <c r="AA358" s="7"/>
      <c r="AB358" s="7"/>
      <c r="AC358" s="7"/>
      <c r="AD358" s="7"/>
      <c r="AE358" s="7"/>
    </row>
    <row r="359" spans="1:31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4"/>
      <c r="I359" s="214"/>
      <c r="J359" s="215"/>
      <c r="K359" s="213"/>
      <c r="L359" s="632"/>
      <c r="M359" s="213"/>
      <c r="N359" s="213"/>
      <c r="O359" s="213"/>
      <c r="P359" s="215"/>
      <c r="Q359" s="215"/>
      <c r="R359" s="616">
        <f t="shared" si="15"/>
        <v>0</v>
      </c>
      <c r="S359" s="633"/>
      <c r="T359" s="542"/>
      <c r="U359" s="542"/>
      <c r="V359" s="7"/>
      <c r="W359" s="699"/>
      <c r="X359" s="7"/>
      <c r="Y359" s="618">
        <f t="shared" si="16"/>
        <v>0</v>
      </c>
      <c r="Z359" s="7"/>
      <c r="AA359" s="7"/>
      <c r="AB359" s="7"/>
      <c r="AC359" s="7"/>
      <c r="AD359" s="7"/>
      <c r="AE359" s="7"/>
    </row>
    <row r="360" spans="1:31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4"/>
      <c r="I360" s="214"/>
      <c r="J360" s="215"/>
      <c r="K360" s="213"/>
      <c r="L360" s="632"/>
      <c r="M360" s="213"/>
      <c r="N360" s="213"/>
      <c r="O360" s="213"/>
      <c r="P360" s="215"/>
      <c r="Q360" s="215"/>
      <c r="R360" s="616">
        <f t="shared" si="15"/>
        <v>0</v>
      </c>
      <c r="S360" s="633"/>
      <c r="T360" s="542"/>
      <c r="U360" s="542"/>
      <c r="V360" s="7"/>
      <c r="W360" s="699"/>
      <c r="X360" s="7"/>
      <c r="Y360" s="618">
        <f t="shared" si="16"/>
        <v>0</v>
      </c>
      <c r="Z360" s="7"/>
      <c r="AA360" s="7"/>
      <c r="AB360" s="7"/>
      <c r="AC360" s="7"/>
      <c r="AD360" s="7"/>
      <c r="AE360" s="7"/>
    </row>
    <row r="361" spans="1:31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4"/>
      <c r="I361" s="214"/>
      <c r="J361" s="215"/>
      <c r="K361" s="213"/>
      <c r="L361" s="632"/>
      <c r="M361" s="213"/>
      <c r="N361" s="213"/>
      <c r="O361" s="213"/>
      <c r="P361" s="215"/>
      <c r="Q361" s="215"/>
      <c r="R361" s="616">
        <f t="shared" si="15"/>
        <v>0</v>
      </c>
      <c r="S361" s="633"/>
      <c r="T361" s="547"/>
      <c r="U361" s="547"/>
      <c r="V361" s="7"/>
      <c r="W361" s="699"/>
      <c r="X361" s="7"/>
      <c r="Y361" s="618">
        <f t="shared" si="16"/>
        <v>0</v>
      </c>
      <c r="Z361" s="7"/>
      <c r="AA361" s="7"/>
      <c r="AB361" s="7"/>
      <c r="AC361" s="7"/>
      <c r="AD361" s="7"/>
      <c r="AE361" s="7"/>
    </row>
    <row r="362" spans="1:31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4"/>
      <c r="I362" s="214"/>
      <c r="J362" s="215"/>
      <c r="K362" s="213"/>
      <c r="L362" s="632"/>
      <c r="M362" s="213"/>
      <c r="N362" s="213"/>
      <c r="O362" s="213"/>
      <c r="P362" s="215"/>
      <c r="Q362" s="215"/>
      <c r="R362" s="616">
        <f t="shared" si="15"/>
        <v>0</v>
      </c>
      <c r="S362" s="633"/>
      <c r="T362" s="241"/>
      <c r="U362" s="241"/>
      <c r="V362" s="7"/>
      <c r="W362" s="699"/>
      <c r="X362" s="7"/>
      <c r="Y362" s="618">
        <f t="shared" si="16"/>
        <v>0</v>
      </c>
      <c r="Z362" s="7"/>
      <c r="AA362" s="7"/>
      <c r="AB362" s="7"/>
      <c r="AC362" s="7"/>
      <c r="AD362" s="7"/>
      <c r="AE362" s="7"/>
    </row>
    <row r="363" spans="1:31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4"/>
      <c r="I363" s="214"/>
      <c r="J363" s="215"/>
      <c r="K363" s="213"/>
      <c r="L363" s="632"/>
      <c r="M363" s="213"/>
      <c r="N363" s="213"/>
      <c r="O363" s="213"/>
      <c r="P363" s="215"/>
      <c r="Q363" s="215"/>
      <c r="R363" s="616">
        <f t="shared" si="15"/>
        <v>0</v>
      </c>
      <c r="S363" s="633"/>
      <c r="T363" s="241"/>
      <c r="U363" s="241"/>
      <c r="V363" s="7"/>
      <c r="W363" s="699"/>
      <c r="X363" s="7"/>
      <c r="Y363" s="618">
        <f t="shared" si="16"/>
        <v>0</v>
      </c>
      <c r="Z363" s="7"/>
      <c r="AA363" s="7"/>
      <c r="AB363" s="7"/>
      <c r="AC363" s="7"/>
      <c r="AD363" s="7"/>
      <c r="AE363" s="7"/>
    </row>
    <row r="364" spans="1:31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4"/>
      <c r="I364" s="214"/>
      <c r="J364" s="215"/>
      <c r="K364" s="213"/>
      <c r="L364" s="632"/>
      <c r="M364" s="213"/>
      <c r="N364" s="213"/>
      <c r="O364" s="213"/>
      <c r="P364" s="215"/>
      <c r="Q364" s="215"/>
      <c r="R364" s="616">
        <f t="shared" si="15"/>
        <v>0</v>
      </c>
      <c r="S364" s="633"/>
      <c r="T364" s="241"/>
      <c r="U364" s="241"/>
      <c r="V364" s="7"/>
      <c r="W364" s="699"/>
      <c r="X364" s="7"/>
      <c r="Y364" s="618">
        <f t="shared" si="16"/>
        <v>0</v>
      </c>
      <c r="Z364" s="7"/>
      <c r="AA364" s="7"/>
      <c r="AB364" s="7"/>
      <c r="AC364" s="7"/>
      <c r="AD364" s="7"/>
      <c r="AE364" s="7"/>
    </row>
    <row r="365" spans="1:31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4"/>
      <c r="I365" s="214"/>
      <c r="J365" s="215"/>
      <c r="K365" s="213"/>
      <c r="L365" s="632"/>
      <c r="M365" s="213"/>
      <c r="N365" s="213"/>
      <c r="O365" s="213"/>
      <c r="P365" s="215"/>
      <c r="Q365" s="215"/>
      <c r="R365" s="616">
        <f t="shared" si="15"/>
        <v>0</v>
      </c>
      <c r="S365" s="633"/>
      <c r="T365" s="241"/>
      <c r="U365" s="241"/>
      <c r="V365" s="7"/>
      <c r="W365" s="699"/>
      <c r="X365" s="7"/>
      <c r="Y365" s="618">
        <f t="shared" si="16"/>
        <v>0</v>
      </c>
      <c r="Z365" s="7"/>
      <c r="AA365" s="7"/>
      <c r="AB365" s="7"/>
      <c r="AC365" s="7"/>
      <c r="AD365" s="7"/>
      <c r="AE365" s="7"/>
    </row>
    <row r="366" spans="1:31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4"/>
      <c r="I366" s="214"/>
      <c r="J366" s="215"/>
      <c r="K366" s="213"/>
      <c r="L366" s="632"/>
      <c r="M366" s="213"/>
      <c r="N366" s="213"/>
      <c r="O366" s="213"/>
      <c r="P366" s="215"/>
      <c r="Q366" s="215"/>
      <c r="R366" s="616">
        <f t="shared" si="15"/>
        <v>0</v>
      </c>
      <c r="S366" s="633"/>
      <c r="T366" s="547"/>
      <c r="U366" s="547"/>
      <c r="V366" s="7"/>
      <c r="W366" s="699"/>
      <c r="X366" s="7"/>
      <c r="Y366" s="618">
        <f t="shared" si="16"/>
        <v>0</v>
      </c>
      <c r="Z366" s="7"/>
      <c r="AA366" s="7"/>
      <c r="AB366" s="7"/>
      <c r="AC366" s="7"/>
      <c r="AD366" s="7"/>
      <c r="AE366" s="7"/>
    </row>
    <row r="367" spans="1:31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4"/>
      <c r="I367" s="214"/>
      <c r="J367" s="215"/>
      <c r="K367" s="213"/>
      <c r="L367" s="632"/>
      <c r="M367" s="213"/>
      <c r="N367" s="213"/>
      <c r="O367" s="213"/>
      <c r="P367" s="215"/>
      <c r="Q367" s="215"/>
      <c r="R367" s="616">
        <f t="shared" si="15"/>
        <v>0</v>
      </c>
      <c r="S367" s="633"/>
      <c r="T367" s="547"/>
      <c r="U367" s="547"/>
      <c r="V367" s="7"/>
      <c r="W367" s="699"/>
      <c r="X367" s="7"/>
      <c r="Y367" s="618">
        <f t="shared" si="16"/>
        <v>0</v>
      </c>
      <c r="Z367" s="7"/>
      <c r="AA367" s="7"/>
      <c r="AB367" s="7"/>
      <c r="AC367" s="7"/>
      <c r="AD367" s="7"/>
      <c r="AE367" s="7"/>
    </row>
    <row r="368" spans="1:31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4"/>
      <c r="I368" s="214"/>
      <c r="J368" s="215"/>
      <c r="K368" s="213"/>
      <c r="L368" s="632"/>
      <c r="M368" s="213"/>
      <c r="N368" s="213"/>
      <c r="O368" s="213"/>
      <c r="P368" s="215"/>
      <c r="Q368" s="215"/>
      <c r="R368" s="616">
        <f t="shared" si="15"/>
        <v>0</v>
      </c>
      <c r="S368" s="633"/>
      <c r="T368" s="640"/>
      <c r="U368" s="640"/>
      <c r="V368" s="7"/>
      <c r="W368" s="699"/>
      <c r="X368" s="7"/>
      <c r="Y368" s="618">
        <f t="shared" si="16"/>
        <v>0</v>
      </c>
      <c r="Z368" s="7"/>
      <c r="AA368" s="7"/>
      <c r="AB368" s="7"/>
      <c r="AC368" s="7"/>
      <c r="AD368" s="7"/>
      <c r="AE368" s="7"/>
    </row>
    <row r="369" spans="1:31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/>
      <c r="H369" s="214"/>
      <c r="I369" s="214"/>
      <c r="J369" s="215"/>
      <c r="K369" s="213"/>
      <c r="L369" s="632"/>
      <c r="M369" s="213"/>
      <c r="N369" s="213"/>
      <c r="O369" s="213">
        <v>1</v>
      </c>
      <c r="P369" s="215"/>
      <c r="Q369" s="215"/>
      <c r="R369" s="616">
        <f t="shared" si="15"/>
        <v>1</v>
      </c>
      <c r="S369" s="633"/>
      <c r="T369" s="636"/>
      <c r="U369" s="636"/>
      <c r="V369" s="7"/>
      <c r="W369" s="699">
        <v>5</v>
      </c>
      <c r="X369" s="7"/>
      <c r="Y369" s="618">
        <f t="shared" si="16"/>
        <v>4</v>
      </c>
      <c r="Z369" s="7"/>
      <c r="AA369" s="7"/>
      <c r="AB369" s="7"/>
      <c r="AC369" s="7"/>
      <c r="AD369" s="7"/>
      <c r="AE369" s="7"/>
    </row>
    <row r="370" spans="1:31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4"/>
      <c r="I370" s="214"/>
      <c r="J370" s="215"/>
      <c r="K370" s="213"/>
      <c r="L370" s="668"/>
      <c r="M370" s="213"/>
      <c r="N370" s="213"/>
      <c r="O370" s="213"/>
      <c r="P370" s="215"/>
      <c r="Q370" s="315"/>
      <c r="R370" s="616">
        <f t="shared" si="15"/>
        <v>0</v>
      </c>
      <c r="S370" s="633"/>
      <c r="T370" s="648"/>
      <c r="U370" s="648"/>
      <c r="V370" s="7"/>
      <c r="W370" s="699">
        <v>1</v>
      </c>
      <c r="X370" s="7"/>
      <c r="Y370" s="618"/>
      <c r="Z370" s="7"/>
      <c r="AA370" s="7"/>
      <c r="AB370" s="7"/>
      <c r="AC370" s="7"/>
      <c r="AD370" s="7"/>
      <c r="AE370" s="7"/>
    </row>
    <row r="371" spans="1:31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214"/>
      <c r="I371" s="214"/>
      <c r="J371" s="215"/>
      <c r="K371" s="213"/>
      <c r="L371" s="668"/>
      <c r="M371" s="213"/>
      <c r="N371" s="213"/>
      <c r="O371" s="213"/>
      <c r="P371" s="215"/>
      <c r="Q371" s="315"/>
      <c r="R371" s="616">
        <f t="shared" si="15"/>
        <v>0</v>
      </c>
      <c r="S371" s="633"/>
      <c r="T371" s="648"/>
      <c r="U371" s="648"/>
      <c r="V371" s="7"/>
      <c r="W371" s="699">
        <v>4</v>
      </c>
      <c r="X371" s="7"/>
      <c r="Y371" s="618"/>
      <c r="Z371" s="7"/>
      <c r="AA371" s="7"/>
      <c r="AB371" s="7"/>
      <c r="AC371" s="7"/>
      <c r="AD371" s="7"/>
      <c r="AE371" s="7"/>
    </row>
    <row r="372" spans="1:31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4"/>
      <c r="I372" s="214"/>
      <c r="J372" s="215"/>
      <c r="K372" s="213"/>
      <c r="L372" s="668"/>
      <c r="M372" s="213"/>
      <c r="N372" s="213"/>
      <c r="O372" s="213"/>
      <c r="P372" s="215"/>
      <c r="Q372" s="315"/>
      <c r="R372" s="616">
        <f t="shared" si="15"/>
        <v>0</v>
      </c>
      <c r="S372" s="633"/>
      <c r="T372" s="636"/>
      <c r="U372" s="636"/>
      <c r="V372" s="7"/>
      <c r="W372" s="699">
        <v>100</v>
      </c>
      <c r="X372" s="7"/>
      <c r="Y372" s="618">
        <f t="shared" ref="Y372:Y447" si="17">W372-R372</f>
        <v>100</v>
      </c>
      <c r="Z372" s="7"/>
      <c r="AA372" s="7"/>
      <c r="AB372" s="7"/>
      <c r="AC372" s="7"/>
      <c r="AD372" s="7"/>
      <c r="AE372" s="7"/>
    </row>
    <row r="373" spans="1:31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4"/>
      <c r="I373" s="214"/>
      <c r="J373" s="215"/>
      <c r="K373" s="213"/>
      <c r="L373" s="668"/>
      <c r="M373" s="213"/>
      <c r="N373" s="213"/>
      <c r="O373" s="213"/>
      <c r="P373" s="215"/>
      <c r="Q373" s="315"/>
      <c r="R373" s="616">
        <f t="shared" si="15"/>
        <v>0</v>
      </c>
      <c r="S373" s="633"/>
      <c r="T373" s="648"/>
      <c r="U373" s="648"/>
      <c r="V373" s="7"/>
      <c r="W373" s="699"/>
      <c r="X373" s="7"/>
      <c r="Y373" s="618">
        <f t="shared" si="17"/>
        <v>0</v>
      </c>
      <c r="Z373" s="7"/>
      <c r="AA373" s="7"/>
      <c r="AB373" s="7"/>
      <c r="AC373" s="7"/>
      <c r="AD373" s="7"/>
      <c r="AE373" s="7"/>
    </row>
    <row r="374" spans="1:31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4"/>
      <c r="I374" s="214"/>
      <c r="J374" s="215"/>
      <c r="K374" s="213"/>
      <c r="L374" s="668"/>
      <c r="M374" s="213"/>
      <c r="N374" s="213"/>
      <c r="O374" s="213"/>
      <c r="P374" s="215"/>
      <c r="Q374" s="315"/>
      <c r="R374" s="616">
        <f t="shared" si="15"/>
        <v>0</v>
      </c>
      <c r="S374" s="633"/>
      <c r="T374" s="648"/>
      <c r="U374" s="648"/>
      <c r="V374" s="7"/>
      <c r="W374" s="699">
        <v>100</v>
      </c>
      <c r="X374" s="7"/>
      <c r="Y374" s="618">
        <f t="shared" si="17"/>
        <v>100</v>
      </c>
      <c r="Z374" s="7"/>
      <c r="AA374" s="7"/>
      <c r="AB374" s="7"/>
      <c r="AC374" s="7"/>
      <c r="AD374" s="7"/>
      <c r="AE374" s="7"/>
    </row>
    <row r="375" spans="1:31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4"/>
      <c r="I375" s="214"/>
      <c r="J375" s="215"/>
      <c r="K375" s="213"/>
      <c r="L375" s="668"/>
      <c r="M375" s="213"/>
      <c r="N375" s="213"/>
      <c r="O375" s="213"/>
      <c r="P375" s="215"/>
      <c r="Q375" s="315"/>
      <c r="R375" s="616">
        <f t="shared" si="15"/>
        <v>0</v>
      </c>
      <c r="S375" s="633"/>
      <c r="T375" s="636"/>
      <c r="U375" s="636"/>
      <c r="V375" s="7"/>
      <c r="W375" s="725"/>
      <c r="X375" s="7"/>
      <c r="Y375" s="618">
        <f t="shared" si="17"/>
        <v>0</v>
      </c>
      <c r="Z375" s="7"/>
      <c r="AA375" s="7"/>
      <c r="AB375" s="7"/>
      <c r="AC375" s="7"/>
      <c r="AD375" s="7"/>
      <c r="AE375" s="7"/>
    </row>
    <row r="376" spans="1:31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4"/>
      <c r="I376" s="214"/>
      <c r="J376" s="215"/>
      <c r="K376" s="213"/>
      <c r="L376" s="668"/>
      <c r="M376" s="213"/>
      <c r="N376" s="213"/>
      <c r="O376" s="213"/>
      <c r="P376" s="215"/>
      <c r="Q376" s="315"/>
      <c r="R376" s="616">
        <f t="shared" si="15"/>
        <v>0</v>
      </c>
      <c r="S376" s="633"/>
      <c r="T376" s="648"/>
      <c r="U376" s="648"/>
      <c r="V376" s="7"/>
      <c r="W376" s="725"/>
      <c r="X376" s="7"/>
      <c r="Y376" s="618">
        <f t="shared" si="17"/>
        <v>0</v>
      </c>
      <c r="Z376" s="7"/>
      <c r="AA376" s="7"/>
      <c r="AB376" s="7"/>
      <c r="AC376" s="7"/>
      <c r="AD376" s="7"/>
      <c r="AE376" s="7"/>
    </row>
    <row r="377" spans="1:31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4"/>
      <c r="I377" s="214"/>
      <c r="J377" s="215"/>
      <c r="K377" s="213"/>
      <c r="L377" s="668"/>
      <c r="M377" s="213"/>
      <c r="N377" s="213"/>
      <c r="O377" s="213"/>
      <c r="P377" s="215"/>
      <c r="Q377" s="315"/>
      <c r="R377" s="616">
        <f t="shared" si="15"/>
        <v>0</v>
      </c>
      <c r="S377" s="633"/>
      <c r="T377" s="648"/>
      <c r="U377" s="648"/>
      <c r="V377" s="7"/>
      <c r="W377" s="725"/>
      <c r="X377" s="7"/>
      <c r="Y377" s="618">
        <f t="shared" si="17"/>
        <v>0</v>
      </c>
      <c r="Z377" s="7"/>
      <c r="AA377" s="7"/>
      <c r="AB377" s="7"/>
      <c r="AC377" s="7"/>
      <c r="AD377" s="7"/>
      <c r="AE377" s="7"/>
    </row>
    <row r="378" spans="1:31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4"/>
      <c r="I378" s="214"/>
      <c r="J378" s="215"/>
      <c r="K378" s="213"/>
      <c r="L378" s="668"/>
      <c r="M378" s="213"/>
      <c r="N378" s="213"/>
      <c r="O378" s="213"/>
      <c r="P378" s="215"/>
      <c r="Q378" s="315"/>
      <c r="R378" s="616">
        <f t="shared" si="15"/>
        <v>0</v>
      </c>
      <c r="S378" s="633"/>
      <c r="T378" s="636"/>
      <c r="U378" s="636"/>
      <c r="V378" s="7"/>
      <c r="W378" s="725"/>
      <c r="X378" s="7"/>
      <c r="Y378" s="618">
        <f t="shared" si="17"/>
        <v>0</v>
      </c>
      <c r="Z378" s="7"/>
      <c r="AA378" s="7"/>
      <c r="AB378" s="7"/>
      <c r="AC378" s="7"/>
      <c r="AD378" s="7"/>
      <c r="AE378" s="7"/>
    </row>
    <row r="379" spans="1:31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4"/>
      <c r="I379" s="214"/>
      <c r="J379" s="215"/>
      <c r="K379" s="213"/>
      <c r="L379" s="668"/>
      <c r="M379" s="213"/>
      <c r="N379" s="213"/>
      <c r="O379" s="213"/>
      <c r="P379" s="215"/>
      <c r="Q379" s="315"/>
      <c r="R379" s="616">
        <f t="shared" si="15"/>
        <v>0</v>
      </c>
      <c r="S379" s="633"/>
      <c r="T379" s="648"/>
      <c r="U379" s="648"/>
      <c r="V379" s="7"/>
      <c r="W379" s="725"/>
      <c r="X379" s="7"/>
      <c r="Y379" s="618">
        <f t="shared" si="17"/>
        <v>0</v>
      </c>
      <c r="Z379" s="7"/>
      <c r="AA379" s="7"/>
      <c r="AB379" s="7"/>
      <c r="AC379" s="7"/>
      <c r="AD379" s="7"/>
      <c r="AE379" s="7"/>
    </row>
    <row r="380" spans="1:31" ht="21.75" customHeight="1">
      <c r="A380" s="503" t="s">
        <v>1499</v>
      </c>
      <c r="B380" s="483" t="s">
        <v>828</v>
      </c>
      <c r="C380" s="658" t="s">
        <v>829</v>
      </c>
      <c r="D380" s="504" t="s">
        <v>2270</v>
      </c>
      <c r="E380" s="213"/>
      <c r="F380" s="213"/>
      <c r="G380" s="213"/>
      <c r="H380" s="214"/>
      <c r="I380" s="504"/>
      <c r="J380" s="215"/>
      <c r="K380" s="213"/>
      <c r="L380" s="668"/>
      <c r="M380" s="213"/>
      <c r="N380" s="213"/>
      <c r="O380" s="213"/>
      <c r="P380" s="215"/>
      <c r="Q380" s="315"/>
      <c r="R380" s="616">
        <f t="shared" si="15"/>
        <v>0</v>
      </c>
      <c r="S380" s="633"/>
      <c r="T380" s="648"/>
      <c r="U380" s="648"/>
      <c r="V380" s="7"/>
      <c r="W380" s="725"/>
      <c r="X380" s="7"/>
      <c r="Y380" s="618">
        <f t="shared" si="17"/>
        <v>0</v>
      </c>
      <c r="Z380" s="7"/>
      <c r="AA380" s="7"/>
      <c r="AB380" s="7"/>
      <c r="AC380" s="7"/>
      <c r="AD380" s="7"/>
      <c r="AE380" s="7"/>
    </row>
    <row r="381" spans="1:31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4"/>
      <c r="I381" s="504"/>
      <c r="J381" s="215"/>
      <c r="K381" s="213"/>
      <c r="L381" s="668"/>
      <c r="M381" s="213"/>
      <c r="N381" s="213"/>
      <c r="O381" s="213"/>
      <c r="P381" s="215"/>
      <c r="Q381" s="315"/>
      <c r="R381" s="616">
        <f t="shared" si="15"/>
        <v>0</v>
      </c>
      <c r="S381" s="633"/>
      <c r="T381" s="648"/>
      <c r="U381" s="648"/>
      <c r="V381" s="7"/>
      <c r="W381" s="725"/>
      <c r="X381" s="7"/>
      <c r="Y381" s="618">
        <f t="shared" si="17"/>
        <v>0</v>
      </c>
      <c r="Z381" s="7"/>
      <c r="AA381" s="7"/>
      <c r="AB381" s="7"/>
      <c r="AC381" s="7"/>
      <c r="AD381" s="7"/>
      <c r="AE381" s="7"/>
    </row>
    <row r="382" spans="1:31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4"/>
      <c r="I382" s="412"/>
      <c r="J382" s="215"/>
      <c r="K382" s="213"/>
      <c r="L382" s="668"/>
      <c r="M382" s="213"/>
      <c r="N382" s="213"/>
      <c r="O382" s="213"/>
      <c r="P382" s="215"/>
      <c r="Q382" s="315"/>
      <c r="R382" s="616">
        <f t="shared" si="15"/>
        <v>0</v>
      </c>
      <c r="S382" s="633"/>
      <c r="T382" s="636"/>
      <c r="U382" s="636"/>
      <c r="V382" s="7"/>
      <c r="W382" s="725"/>
      <c r="X382" s="7"/>
      <c r="Y382" s="618">
        <f t="shared" si="17"/>
        <v>0</v>
      </c>
      <c r="Z382" s="7"/>
      <c r="AA382" s="7"/>
      <c r="AB382" s="7"/>
      <c r="AC382" s="7"/>
      <c r="AD382" s="7"/>
      <c r="AE382" s="7"/>
    </row>
    <row r="383" spans="1:31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4"/>
      <c r="I383" s="412"/>
      <c r="J383" s="215"/>
      <c r="K383" s="213"/>
      <c r="L383" s="668"/>
      <c r="M383" s="213"/>
      <c r="N383" s="213"/>
      <c r="O383" s="213"/>
      <c r="P383" s="215"/>
      <c r="Q383" s="315"/>
      <c r="R383" s="616">
        <f t="shared" si="15"/>
        <v>0</v>
      </c>
      <c r="S383" s="633"/>
      <c r="T383" s="636"/>
      <c r="U383" s="636"/>
      <c r="V383" s="7"/>
      <c r="W383" s="725"/>
      <c r="X383" s="7"/>
      <c r="Y383" s="618">
        <f t="shared" si="17"/>
        <v>0</v>
      </c>
      <c r="Z383" s="7"/>
      <c r="AA383" s="7"/>
      <c r="AB383" s="7"/>
      <c r="AC383" s="7"/>
      <c r="AD383" s="7"/>
      <c r="AE383" s="7"/>
    </row>
    <row r="384" spans="1:31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4"/>
      <c r="I384" s="485"/>
      <c r="J384" s="215"/>
      <c r="K384" s="213"/>
      <c r="L384" s="668"/>
      <c r="M384" s="213"/>
      <c r="N384" s="213"/>
      <c r="O384" s="213"/>
      <c r="P384" s="215"/>
      <c r="Q384" s="315"/>
      <c r="R384" s="616">
        <f t="shared" si="15"/>
        <v>0</v>
      </c>
      <c r="S384" s="633"/>
      <c r="T384" s="648"/>
      <c r="U384" s="648"/>
      <c r="V384" s="7"/>
      <c r="W384" s="725"/>
      <c r="X384" s="7"/>
      <c r="Y384" s="618">
        <f t="shared" si="17"/>
        <v>0</v>
      </c>
      <c r="Z384" s="7"/>
      <c r="AA384" s="7"/>
      <c r="AB384" s="7"/>
      <c r="AC384" s="7"/>
      <c r="AD384" s="7"/>
      <c r="AE384" s="7"/>
    </row>
    <row r="385" spans="1:31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4"/>
      <c r="I385" s="485"/>
      <c r="J385" s="215"/>
      <c r="K385" s="213"/>
      <c r="L385" s="668"/>
      <c r="M385" s="213"/>
      <c r="N385" s="213"/>
      <c r="O385" s="213"/>
      <c r="P385" s="215"/>
      <c r="Q385" s="315"/>
      <c r="R385" s="616">
        <f t="shared" si="15"/>
        <v>0</v>
      </c>
      <c r="S385" s="633"/>
      <c r="T385" s="648"/>
      <c r="U385" s="648"/>
      <c r="V385" s="7"/>
      <c r="W385" s="725"/>
      <c r="X385" s="7"/>
      <c r="Y385" s="618">
        <f t="shared" si="17"/>
        <v>0</v>
      </c>
      <c r="Z385" s="7"/>
      <c r="AA385" s="7"/>
      <c r="AB385" s="7"/>
      <c r="AC385" s="7"/>
      <c r="AD385" s="7"/>
      <c r="AE385" s="7"/>
    </row>
    <row r="386" spans="1:31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4"/>
      <c r="I386" s="485"/>
      <c r="J386" s="215"/>
      <c r="K386" s="213"/>
      <c r="L386" s="668"/>
      <c r="M386" s="213"/>
      <c r="N386" s="213"/>
      <c r="O386" s="213"/>
      <c r="P386" s="215"/>
      <c r="Q386" s="315"/>
      <c r="R386" s="616">
        <f t="shared" si="15"/>
        <v>0</v>
      </c>
      <c r="S386" s="633"/>
      <c r="T386" s="648"/>
      <c r="U386" s="648"/>
      <c r="V386" s="7"/>
      <c r="W386" s="725"/>
      <c r="X386" s="7"/>
      <c r="Y386" s="618">
        <f t="shared" si="17"/>
        <v>0</v>
      </c>
      <c r="Z386" s="7"/>
      <c r="AA386" s="7"/>
      <c r="AB386" s="7"/>
      <c r="AC386" s="7"/>
      <c r="AD386" s="7"/>
      <c r="AE386" s="7"/>
    </row>
    <row r="387" spans="1:31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4"/>
      <c r="I387" s="485"/>
      <c r="J387" s="215"/>
      <c r="K387" s="213"/>
      <c r="L387" s="668"/>
      <c r="M387" s="213"/>
      <c r="N387" s="213"/>
      <c r="O387" s="213"/>
      <c r="P387" s="215"/>
      <c r="Q387" s="315"/>
      <c r="R387" s="616">
        <f t="shared" si="15"/>
        <v>0</v>
      </c>
      <c r="S387" s="633"/>
      <c r="T387" s="648"/>
      <c r="U387" s="648"/>
      <c r="V387" s="7"/>
      <c r="W387" s="725"/>
      <c r="X387" s="7"/>
      <c r="Y387" s="618">
        <f t="shared" si="17"/>
        <v>0</v>
      </c>
      <c r="Z387" s="7"/>
      <c r="AA387" s="7"/>
      <c r="AB387" s="7"/>
      <c r="AC387" s="7"/>
      <c r="AD387" s="7"/>
      <c r="AE387" s="7"/>
    </row>
    <row r="388" spans="1:31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4"/>
      <c r="I388" s="412"/>
      <c r="J388" s="215"/>
      <c r="K388" s="213"/>
      <c r="L388" s="668"/>
      <c r="M388" s="213"/>
      <c r="N388" s="213"/>
      <c r="O388" s="213"/>
      <c r="P388" s="215"/>
      <c r="Q388" s="315"/>
      <c r="R388" s="616">
        <f t="shared" si="15"/>
        <v>0</v>
      </c>
      <c r="S388" s="633"/>
      <c r="T388" s="636"/>
      <c r="U388" s="636"/>
      <c r="V388" s="7"/>
      <c r="W388" s="725"/>
      <c r="X388" s="7"/>
      <c r="Y388" s="618">
        <f t="shared" si="17"/>
        <v>0</v>
      </c>
      <c r="Z388" s="7"/>
      <c r="AA388" s="7"/>
      <c r="AB388" s="7"/>
      <c r="AC388" s="7"/>
      <c r="AD388" s="7"/>
      <c r="AE388" s="7"/>
    </row>
    <row r="389" spans="1:31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4"/>
      <c r="I389" s="412"/>
      <c r="J389" s="215"/>
      <c r="K389" s="213"/>
      <c r="L389" s="668"/>
      <c r="M389" s="213"/>
      <c r="N389" s="213"/>
      <c r="O389" s="213"/>
      <c r="P389" s="215"/>
      <c r="Q389" s="315"/>
      <c r="R389" s="616">
        <f t="shared" si="15"/>
        <v>0</v>
      </c>
      <c r="S389" s="633"/>
      <c r="T389" s="636"/>
      <c r="U389" s="636"/>
      <c r="V389" s="7"/>
      <c r="W389" s="725"/>
      <c r="X389" s="7"/>
      <c r="Y389" s="618">
        <f t="shared" si="17"/>
        <v>0</v>
      </c>
      <c r="Z389" s="7"/>
      <c r="AA389" s="7"/>
      <c r="AB389" s="7"/>
      <c r="AC389" s="7"/>
      <c r="AD389" s="7"/>
      <c r="AE389" s="7"/>
    </row>
    <row r="390" spans="1:31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4"/>
      <c r="I390" s="515"/>
      <c r="J390" s="215"/>
      <c r="K390" s="213"/>
      <c r="L390" s="671"/>
      <c r="M390" s="213"/>
      <c r="N390" s="213"/>
      <c r="O390" s="213"/>
      <c r="P390" s="215"/>
      <c r="Q390" s="315"/>
      <c r="R390" s="616">
        <f t="shared" si="15"/>
        <v>0</v>
      </c>
      <c r="S390" s="633"/>
      <c r="T390" s="636"/>
      <c r="U390" s="636"/>
      <c r="V390" s="7"/>
      <c r="W390" s="725"/>
      <c r="X390" s="7"/>
      <c r="Y390" s="618">
        <f t="shared" si="17"/>
        <v>0</v>
      </c>
      <c r="Z390" s="7"/>
      <c r="AA390" s="7"/>
      <c r="AB390" s="7"/>
      <c r="AC390" s="7"/>
      <c r="AD390" s="7"/>
      <c r="AE390" s="7"/>
    </row>
    <row r="391" spans="1:31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4"/>
      <c r="I391" s="515"/>
      <c r="J391" s="215"/>
      <c r="K391" s="213"/>
      <c r="L391" s="671"/>
      <c r="M391" s="213"/>
      <c r="N391" s="213"/>
      <c r="O391" s="213"/>
      <c r="P391" s="215"/>
      <c r="Q391" s="315"/>
      <c r="R391" s="616">
        <f t="shared" si="15"/>
        <v>0</v>
      </c>
      <c r="S391" s="633"/>
      <c r="T391" s="636"/>
      <c r="U391" s="636"/>
      <c r="V391" s="7"/>
      <c r="W391" s="725"/>
      <c r="X391" s="7"/>
      <c r="Y391" s="618">
        <f t="shared" si="17"/>
        <v>0</v>
      </c>
      <c r="Z391" s="7"/>
      <c r="AA391" s="7"/>
      <c r="AB391" s="7"/>
      <c r="AC391" s="7"/>
      <c r="AD391" s="7"/>
      <c r="AE391" s="7"/>
    </row>
    <row r="392" spans="1:31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4"/>
      <c r="I392" s="515"/>
      <c r="J392" s="215"/>
      <c r="K392" s="213"/>
      <c r="L392" s="671"/>
      <c r="M392" s="213"/>
      <c r="N392" s="213"/>
      <c r="O392" s="213"/>
      <c r="P392" s="215"/>
      <c r="Q392" s="315"/>
      <c r="R392" s="616">
        <f t="shared" si="15"/>
        <v>0</v>
      </c>
      <c r="S392" s="633"/>
      <c r="T392" s="636"/>
      <c r="U392" s="636"/>
      <c r="V392" s="7"/>
      <c r="W392" s="725"/>
      <c r="X392" s="7"/>
      <c r="Y392" s="618">
        <f t="shared" si="17"/>
        <v>0</v>
      </c>
      <c r="Z392" s="7"/>
      <c r="AA392" s="7"/>
      <c r="AB392" s="7"/>
      <c r="AC392" s="7"/>
      <c r="AD392" s="7"/>
      <c r="AE392" s="7"/>
    </row>
    <row r="393" spans="1:31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4"/>
      <c r="I393" s="515"/>
      <c r="J393" s="215"/>
      <c r="K393" s="213"/>
      <c r="L393" s="671"/>
      <c r="M393" s="213"/>
      <c r="N393" s="213"/>
      <c r="O393" s="213"/>
      <c r="P393" s="215"/>
      <c r="Q393" s="315"/>
      <c r="R393" s="616">
        <f t="shared" si="15"/>
        <v>0</v>
      </c>
      <c r="S393" s="633"/>
      <c r="T393" s="636"/>
      <c r="U393" s="636"/>
      <c r="V393" s="7"/>
      <c r="W393" s="725"/>
      <c r="X393" s="7"/>
      <c r="Y393" s="618">
        <f t="shared" si="17"/>
        <v>0</v>
      </c>
      <c r="Z393" s="7"/>
      <c r="AA393" s="7"/>
      <c r="AB393" s="7"/>
      <c r="AC393" s="7"/>
      <c r="AD393" s="7"/>
      <c r="AE393" s="7"/>
    </row>
    <row r="394" spans="1:31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4"/>
      <c r="I394" s="485"/>
      <c r="J394" s="215"/>
      <c r="K394" s="213"/>
      <c r="L394" s="668"/>
      <c r="M394" s="213"/>
      <c r="N394" s="213"/>
      <c r="O394" s="213"/>
      <c r="P394" s="215"/>
      <c r="Q394" s="315"/>
      <c r="R394" s="616">
        <f t="shared" si="15"/>
        <v>0</v>
      </c>
      <c r="S394" s="633"/>
      <c r="T394" s="634"/>
      <c r="U394" s="634"/>
      <c r="V394" s="7"/>
      <c r="W394" s="725"/>
      <c r="X394" s="7"/>
      <c r="Y394" s="618">
        <f t="shared" si="17"/>
        <v>0</v>
      </c>
      <c r="Z394" s="7"/>
      <c r="AA394" s="7"/>
      <c r="AB394" s="7"/>
      <c r="AC394" s="7"/>
      <c r="AD394" s="7"/>
      <c r="AE394" s="7"/>
    </row>
    <row r="395" spans="1:31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4"/>
      <c r="I395" s="485"/>
      <c r="J395" s="215"/>
      <c r="K395" s="213"/>
      <c r="L395" s="668"/>
      <c r="M395" s="213"/>
      <c r="N395" s="213"/>
      <c r="O395" s="213"/>
      <c r="P395" s="215"/>
      <c r="Q395" s="315"/>
      <c r="R395" s="616">
        <f t="shared" si="15"/>
        <v>0</v>
      </c>
      <c r="S395" s="633"/>
      <c r="T395" s="634"/>
      <c r="U395" s="634"/>
      <c r="V395" s="7"/>
      <c r="W395" s="725"/>
      <c r="X395" s="7"/>
      <c r="Y395" s="618">
        <f t="shared" si="17"/>
        <v>0</v>
      </c>
      <c r="Z395" s="7"/>
      <c r="AA395" s="7"/>
      <c r="AB395" s="7"/>
      <c r="AC395" s="7"/>
      <c r="AD395" s="7"/>
      <c r="AE395" s="7"/>
    </row>
    <row r="396" spans="1:31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4"/>
      <c r="I396" s="485"/>
      <c r="J396" s="215"/>
      <c r="K396" s="213"/>
      <c r="L396" s="668"/>
      <c r="M396" s="213"/>
      <c r="N396" s="213"/>
      <c r="O396" s="213"/>
      <c r="P396" s="215"/>
      <c r="Q396" s="315"/>
      <c r="R396" s="616">
        <f t="shared" si="15"/>
        <v>0</v>
      </c>
      <c r="S396" s="633"/>
      <c r="T396" s="634"/>
      <c r="U396" s="634"/>
      <c r="V396" s="7"/>
      <c r="W396" s="725"/>
      <c r="X396" s="7"/>
      <c r="Y396" s="618">
        <f t="shared" si="17"/>
        <v>0</v>
      </c>
      <c r="Z396" s="7"/>
      <c r="AA396" s="7"/>
      <c r="AB396" s="7"/>
      <c r="AC396" s="7"/>
      <c r="AD396" s="7"/>
      <c r="AE396" s="7"/>
    </row>
    <row r="397" spans="1:31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4"/>
      <c r="I397" s="412"/>
      <c r="J397" s="215"/>
      <c r="K397" s="213"/>
      <c r="L397" s="668"/>
      <c r="M397" s="213"/>
      <c r="N397" s="213"/>
      <c r="O397" s="213"/>
      <c r="P397" s="215"/>
      <c r="Q397" s="315"/>
      <c r="R397" s="616">
        <f t="shared" si="15"/>
        <v>0</v>
      </c>
      <c r="S397" s="633"/>
      <c r="T397" s="636"/>
      <c r="U397" s="636"/>
      <c r="V397" s="7"/>
      <c r="W397" s="725"/>
      <c r="X397" s="7"/>
      <c r="Y397" s="618">
        <f t="shared" si="17"/>
        <v>0</v>
      </c>
      <c r="Z397" s="7"/>
      <c r="AA397" s="7"/>
      <c r="AB397" s="7"/>
      <c r="AC397" s="7"/>
      <c r="AD397" s="7"/>
      <c r="AE397" s="7"/>
    </row>
    <row r="398" spans="1:31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4"/>
      <c r="I398" s="485"/>
      <c r="J398" s="215"/>
      <c r="K398" s="213"/>
      <c r="L398" s="668"/>
      <c r="M398" s="213"/>
      <c r="N398" s="213"/>
      <c r="O398" s="213"/>
      <c r="P398" s="215"/>
      <c r="Q398" s="315"/>
      <c r="R398" s="616">
        <f t="shared" si="15"/>
        <v>0</v>
      </c>
      <c r="S398" s="633"/>
      <c r="T398" s="634"/>
      <c r="U398" s="634"/>
      <c r="V398" s="7"/>
      <c r="W398" s="725"/>
      <c r="X398" s="7"/>
      <c r="Y398" s="618">
        <f t="shared" si="17"/>
        <v>0</v>
      </c>
      <c r="Z398" s="7"/>
      <c r="AA398" s="7"/>
      <c r="AB398" s="7"/>
      <c r="AC398" s="7"/>
      <c r="AD398" s="7"/>
      <c r="AE398" s="7"/>
    </row>
    <row r="399" spans="1:31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4"/>
      <c r="I399" s="485"/>
      <c r="J399" s="215"/>
      <c r="K399" s="213"/>
      <c r="L399" s="668"/>
      <c r="M399" s="213"/>
      <c r="N399" s="213"/>
      <c r="O399" s="213"/>
      <c r="P399" s="215"/>
      <c r="Q399" s="315"/>
      <c r="R399" s="616">
        <f t="shared" si="15"/>
        <v>0</v>
      </c>
      <c r="S399" s="633"/>
      <c r="T399" s="634"/>
      <c r="U399" s="634"/>
      <c r="V399" s="7"/>
      <c r="W399" s="725"/>
      <c r="X399" s="7"/>
      <c r="Y399" s="618">
        <f t="shared" si="17"/>
        <v>0</v>
      </c>
      <c r="Z399" s="7"/>
      <c r="AA399" s="7"/>
      <c r="AB399" s="7"/>
      <c r="AC399" s="7"/>
      <c r="AD399" s="7"/>
      <c r="AE399" s="7"/>
    </row>
    <row r="400" spans="1:31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4"/>
      <c r="I400" s="412"/>
      <c r="J400" s="215"/>
      <c r="K400" s="213"/>
      <c r="L400" s="668"/>
      <c r="M400" s="213"/>
      <c r="N400" s="213"/>
      <c r="O400" s="213"/>
      <c r="P400" s="215"/>
      <c r="Q400" s="315"/>
      <c r="R400" s="616">
        <f t="shared" si="15"/>
        <v>0</v>
      </c>
      <c r="S400" s="633"/>
      <c r="T400" s="636"/>
      <c r="U400" s="636"/>
      <c r="V400" s="7"/>
      <c r="W400" s="725"/>
      <c r="X400" s="7"/>
      <c r="Y400" s="618">
        <f t="shared" si="17"/>
        <v>0</v>
      </c>
      <c r="Z400" s="7"/>
      <c r="AA400" s="7"/>
      <c r="AB400" s="7"/>
      <c r="AC400" s="7"/>
      <c r="AD400" s="7"/>
      <c r="AE400" s="7"/>
    </row>
    <row r="401" spans="1:31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4"/>
      <c r="I401" s="485"/>
      <c r="J401" s="215"/>
      <c r="K401" s="213"/>
      <c r="L401" s="668"/>
      <c r="M401" s="213"/>
      <c r="N401" s="213"/>
      <c r="O401" s="213"/>
      <c r="P401" s="215"/>
      <c r="Q401" s="315"/>
      <c r="R401" s="616">
        <f t="shared" si="15"/>
        <v>0</v>
      </c>
      <c r="S401" s="633"/>
      <c r="T401" s="634"/>
      <c r="U401" s="634"/>
      <c r="V401" s="7"/>
      <c r="W401" s="725"/>
      <c r="X401" s="7"/>
      <c r="Y401" s="618">
        <f t="shared" si="17"/>
        <v>0</v>
      </c>
      <c r="Z401" s="7"/>
      <c r="AA401" s="7"/>
      <c r="AB401" s="7"/>
      <c r="AC401" s="7"/>
      <c r="AD401" s="7"/>
      <c r="AE401" s="7"/>
    </row>
    <row r="402" spans="1:31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4"/>
      <c r="I402" s="485"/>
      <c r="J402" s="215"/>
      <c r="K402" s="213"/>
      <c r="L402" s="668"/>
      <c r="M402" s="213"/>
      <c r="N402" s="213"/>
      <c r="O402" s="213"/>
      <c r="P402" s="215"/>
      <c r="Q402" s="315"/>
      <c r="R402" s="616">
        <f t="shared" si="15"/>
        <v>0</v>
      </c>
      <c r="S402" s="633"/>
      <c r="T402" s="634"/>
      <c r="U402" s="634"/>
      <c r="V402" s="7"/>
      <c r="W402" s="725"/>
      <c r="X402" s="7"/>
      <c r="Y402" s="618">
        <f t="shared" si="17"/>
        <v>0</v>
      </c>
      <c r="Z402" s="7"/>
      <c r="AA402" s="7"/>
      <c r="AB402" s="7"/>
      <c r="AC402" s="7"/>
      <c r="AD402" s="7"/>
      <c r="AE402" s="7"/>
    </row>
    <row r="403" spans="1:31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4"/>
      <c r="I403" s="515"/>
      <c r="J403" s="215"/>
      <c r="K403" s="213"/>
      <c r="L403" s="671"/>
      <c r="M403" s="213"/>
      <c r="N403" s="213"/>
      <c r="O403" s="213"/>
      <c r="P403" s="215"/>
      <c r="Q403" s="315"/>
      <c r="R403" s="616">
        <f t="shared" si="15"/>
        <v>0</v>
      </c>
      <c r="S403" s="633"/>
      <c r="T403" s="634"/>
      <c r="U403" s="634"/>
      <c r="V403" s="7"/>
      <c r="W403" s="725"/>
      <c r="X403" s="7"/>
      <c r="Y403" s="618">
        <f t="shared" si="17"/>
        <v>0</v>
      </c>
      <c r="Z403" s="7"/>
      <c r="AA403" s="7"/>
      <c r="AB403" s="7"/>
      <c r="AC403" s="7"/>
      <c r="AD403" s="7"/>
      <c r="AE403" s="7"/>
    </row>
    <row r="404" spans="1:31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4"/>
      <c r="I404" s="515"/>
      <c r="J404" s="215"/>
      <c r="K404" s="213"/>
      <c r="L404" s="671"/>
      <c r="M404" s="213"/>
      <c r="N404" s="213"/>
      <c r="O404" s="213"/>
      <c r="P404" s="215"/>
      <c r="Q404" s="315"/>
      <c r="R404" s="616">
        <f t="shared" si="15"/>
        <v>0</v>
      </c>
      <c r="S404" s="633"/>
      <c r="T404" s="640"/>
      <c r="U404" s="640"/>
      <c r="V404" s="7"/>
      <c r="W404" s="725"/>
      <c r="X404" s="7"/>
      <c r="Y404" s="618">
        <f t="shared" si="17"/>
        <v>0</v>
      </c>
      <c r="Z404" s="7"/>
      <c r="AA404" s="7"/>
      <c r="AB404" s="7"/>
      <c r="AC404" s="7"/>
      <c r="AD404" s="7"/>
      <c r="AE404" s="7"/>
    </row>
    <row r="405" spans="1:31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4"/>
      <c r="I405" s="515"/>
      <c r="J405" s="215"/>
      <c r="K405" s="213"/>
      <c r="L405" s="671"/>
      <c r="M405" s="213"/>
      <c r="N405" s="213"/>
      <c r="O405" s="213"/>
      <c r="P405" s="215"/>
      <c r="Q405" s="315"/>
      <c r="R405" s="616">
        <f t="shared" si="15"/>
        <v>0</v>
      </c>
      <c r="S405" s="633"/>
      <c r="T405" s="636"/>
      <c r="U405" s="636"/>
      <c r="V405" s="7"/>
      <c r="W405" s="725"/>
      <c r="X405" s="7"/>
      <c r="Y405" s="618">
        <f t="shared" si="17"/>
        <v>0</v>
      </c>
      <c r="Z405" s="7"/>
      <c r="AA405" s="7"/>
      <c r="AB405" s="7"/>
      <c r="AC405" s="7"/>
      <c r="AD405" s="7"/>
      <c r="AE405" s="7"/>
    </row>
    <row r="406" spans="1:31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4"/>
      <c r="I406" s="515"/>
      <c r="J406" s="215"/>
      <c r="K406" s="213"/>
      <c r="L406" s="671"/>
      <c r="M406" s="213"/>
      <c r="N406" s="213"/>
      <c r="O406" s="213"/>
      <c r="P406" s="215"/>
      <c r="Q406" s="315"/>
      <c r="R406" s="616">
        <f t="shared" si="15"/>
        <v>0</v>
      </c>
      <c r="S406" s="633"/>
      <c r="T406" s="636"/>
      <c r="U406" s="636"/>
      <c r="V406" s="7"/>
      <c r="W406" s="725"/>
      <c r="X406" s="7"/>
      <c r="Y406" s="618">
        <f t="shared" si="17"/>
        <v>0</v>
      </c>
      <c r="Z406" s="7"/>
      <c r="AA406" s="7"/>
      <c r="AB406" s="7"/>
      <c r="AC406" s="7"/>
      <c r="AD406" s="7"/>
      <c r="AE406" s="7"/>
    </row>
    <row r="407" spans="1:31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4"/>
      <c r="I407" s="515"/>
      <c r="J407" s="215"/>
      <c r="K407" s="213"/>
      <c r="L407" s="671"/>
      <c r="M407" s="213"/>
      <c r="N407" s="213"/>
      <c r="O407" s="213"/>
      <c r="P407" s="215"/>
      <c r="Q407" s="315"/>
      <c r="R407" s="616">
        <f t="shared" si="15"/>
        <v>0</v>
      </c>
      <c r="S407" s="633"/>
      <c r="T407" s="636"/>
      <c r="U407" s="636"/>
      <c r="V407" s="7"/>
      <c r="W407" s="725"/>
      <c r="X407" s="7"/>
      <c r="Y407" s="618">
        <f t="shared" si="17"/>
        <v>0</v>
      </c>
      <c r="Z407" s="7"/>
      <c r="AA407" s="7"/>
      <c r="AB407" s="7"/>
      <c r="AC407" s="7"/>
      <c r="AD407" s="7"/>
      <c r="AE407" s="7"/>
    </row>
    <row r="408" spans="1:31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4"/>
      <c r="I408" s="515"/>
      <c r="J408" s="215"/>
      <c r="K408" s="213"/>
      <c r="L408" s="671"/>
      <c r="M408" s="213"/>
      <c r="N408" s="213"/>
      <c r="O408" s="213"/>
      <c r="P408" s="215"/>
      <c r="Q408" s="315"/>
      <c r="R408" s="616">
        <f t="shared" si="15"/>
        <v>0</v>
      </c>
      <c r="S408" s="633"/>
      <c r="T408" s="636"/>
      <c r="U408" s="636"/>
      <c r="V408" s="7"/>
      <c r="W408" s="725"/>
      <c r="X408" s="7"/>
      <c r="Y408" s="618">
        <f t="shared" si="17"/>
        <v>0</v>
      </c>
      <c r="Z408" s="7"/>
      <c r="AA408" s="7"/>
      <c r="AB408" s="7"/>
      <c r="AC408" s="7"/>
      <c r="AD408" s="7"/>
      <c r="AE408" s="7"/>
    </row>
    <row r="409" spans="1:31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4"/>
      <c r="I409" s="515"/>
      <c r="J409" s="215"/>
      <c r="K409" s="213"/>
      <c r="L409" s="671"/>
      <c r="M409" s="213"/>
      <c r="N409" s="213"/>
      <c r="O409" s="213"/>
      <c r="P409" s="215"/>
      <c r="Q409" s="315"/>
      <c r="R409" s="616">
        <f t="shared" si="15"/>
        <v>0</v>
      </c>
      <c r="S409" s="633"/>
      <c r="T409" s="636"/>
      <c r="U409" s="636"/>
      <c r="V409" s="7"/>
      <c r="W409" s="725"/>
      <c r="X409" s="7"/>
      <c r="Y409" s="618">
        <f t="shared" si="17"/>
        <v>0</v>
      </c>
      <c r="Z409" s="7"/>
      <c r="AA409" s="7"/>
      <c r="AB409" s="7"/>
      <c r="AC409" s="7"/>
      <c r="AD409" s="7"/>
      <c r="AE409" s="7"/>
    </row>
    <row r="410" spans="1:31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4"/>
      <c r="I410" s="515"/>
      <c r="J410" s="215"/>
      <c r="K410" s="213"/>
      <c r="L410" s="671"/>
      <c r="M410" s="213"/>
      <c r="N410" s="213"/>
      <c r="O410" s="213"/>
      <c r="P410" s="215"/>
      <c r="Q410" s="315"/>
      <c r="R410" s="616">
        <f t="shared" si="15"/>
        <v>0</v>
      </c>
      <c r="S410" s="633"/>
      <c r="T410" s="636"/>
      <c r="U410" s="636"/>
      <c r="V410" s="7"/>
      <c r="W410" s="725"/>
      <c r="X410" s="7"/>
      <c r="Y410" s="618">
        <f t="shared" si="17"/>
        <v>0</v>
      </c>
      <c r="Z410" s="7"/>
      <c r="AA410" s="7"/>
      <c r="AB410" s="7"/>
      <c r="AC410" s="7"/>
      <c r="AD410" s="7"/>
      <c r="AE410" s="7"/>
    </row>
    <row r="411" spans="1:31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4"/>
      <c r="I411" s="515"/>
      <c r="J411" s="215"/>
      <c r="K411" s="213"/>
      <c r="L411" s="671"/>
      <c r="M411" s="213"/>
      <c r="N411" s="213"/>
      <c r="O411" s="213"/>
      <c r="P411" s="215"/>
      <c r="Q411" s="315"/>
      <c r="R411" s="616">
        <f t="shared" si="15"/>
        <v>0</v>
      </c>
      <c r="S411" s="633"/>
      <c r="T411" s="636"/>
      <c r="U411" s="636"/>
      <c r="V411" s="7"/>
      <c r="W411" s="725"/>
      <c r="X411" s="7"/>
      <c r="Y411" s="618">
        <f t="shared" si="17"/>
        <v>0</v>
      </c>
      <c r="Z411" s="7"/>
      <c r="AA411" s="7"/>
      <c r="AB411" s="7"/>
      <c r="AC411" s="7"/>
      <c r="AD411" s="7"/>
      <c r="AE411" s="7"/>
    </row>
    <row r="412" spans="1:31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4"/>
      <c r="I412" s="515"/>
      <c r="J412" s="215"/>
      <c r="K412" s="213"/>
      <c r="L412" s="671"/>
      <c r="M412" s="213"/>
      <c r="N412" s="213"/>
      <c r="O412" s="213"/>
      <c r="P412" s="215"/>
      <c r="Q412" s="315"/>
      <c r="R412" s="616">
        <f t="shared" si="15"/>
        <v>0</v>
      </c>
      <c r="S412" s="633"/>
      <c r="T412" s="636"/>
      <c r="U412" s="636"/>
      <c r="V412" s="7"/>
      <c r="W412" s="725"/>
      <c r="X412" s="7"/>
      <c r="Y412" s="618">
        <f t="shared" si="17"/>
        <v>0</v>
      </c>
      <c r="Z412" s="7"/>
      <c r="AA412" s="7"/>
      <c r="AB412" s="7"/>
      <c r="AC412" s="7"/>
      <c r="AD412" s="7"/>
      <c r="AE412" s="7"/>
    </row>
    <row r="413" spans="1:31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4"/>
      <c r="I413" s="515"/>
      <c r="J413" s="215"/>
      <c r="K413" s="213"/>
      <c r="L413" s="671"/>
      <c r="M413" s="213"/>
      <c r="N413" s="213"/>
      <c r="O413" s="213"/>
      <c r="P413" s="215"/>
      <c r="Q413" s="315"/>
      <c r="R413" s="616">
        <f t="shared" si="15"/>
        <v>0</v>
      </c>
      <c r="S413" s="633"/>
      <c r="T413" s="636"/>
      <c r="U413" s="636"/>
      <c r="V413" s="7"/>
      <c r="W413" s="725"/>
      <c r="X413" s="7"/>
      <c r="Y413" s="618">
        <f t="shared" si="17"/>
        <v>0</v>
      </c>
      <c r="Z413" s="7"/>
      <c r="AA413" s="7"/>
      <c r="AB413" s="7"/>
      <c r="AC413" s="7"/>
      <c r="AD413" s="7"/>
      <c r="AE413" s="7"/>
    </row>
    <row r="414" spans="1:31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4"/>
      <c r="I414" s="515"/>
      <c r="J414" s="215"/>
      <c r="K414" s="213"/>
      <c r="L414" s="671"/>
      <c r="M414" s="213"/>
      <c r="N414" s="213"/>
      <c r="O414" s="213"/>
      <c r="P414" s="215"/>
      <c r="Q414" s="315"/>
      <c r="R414" s="616">
        <f t="shared" si="15"/>
        <v>0</v>
      </c>
      <c r="S414" s="633"/>
      <c r="T414" s="636"/>
      <c r="U414" s="636"/>
      <c r="V414" s="7"/>
      <c r="W414" s="725"/>
      <c r="X414" s="7"/>
      <c r="Y414" s="618">
        <f t="shared" si="17"/>
        <v>0</v>
      </c>
      <c r="Z414" s="7"/>
      <c r="AA414" s="7"/>
      <c r="AB414" s="7"/>
      <c r="AC414" s="7"/>
      <c r="AD414" s="7"/>
      <c r="AE414" s="7"/>
    </row>
    <row r="415" spans="1:31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4"/>
      <c r="I415" s="515"/>
      <c r="J415" s="215"/>
      <c r="K415" s="213"/>
      <c r="L415" s="671"/>
      <c r="M415" s="213"/>
      <c r="N415" s="213"/>
      <c r="O415" s="213"/>
      <c r="P415" s="215"/>
      <c r="Q415" s="315"/>
      <c r="R415" s="616">
        <f t="shared" si="15"/>
        <v>0</v>
      </c>
      <c r="S415" s="633"/>
      <c r="T415" s="636"/>
      <c r="U415" s="636"/>
      <c r="V415" s="7"/>
      <c r="W415" s="725"/>
      <c r="X415" s="7"/>
      <c r="Y415" s="618">
        <f t="shared" si="17"/>
        <v>0</v>
      </c>
      <c r="Z415" s="7"/>
      <c r="AA415" s="7"/>
      <c r="AB415" s="7"/>
      <c r="AC415" s="7"/>
      <c r="AD415" s="7"/>
      <c r="AE415" s="7"/>
    </row>
    <row r="416" spans="1:31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4"/>
      <c r="I416" s="515"/>
      <c r="J416" s="215"/>
      <c r="K416" s="213"/>
      <c r="L416" s="671"/>
      <c r="M416" s="213"/>
      <c r="N416" s="213"/>
      <c r="O416" s="213"/>
      <c r="P416" s="215"/>
      <c r="Q416" s="315"/>
      <c r="R416" s="616">
        <f t="shared" si="15"/>
        <v>0</v>
      </c>
      <c r="S416" s="633"/>
      <c r="T416" s="636"/>
      <c r="U416" s="636"/>
      <c r="V416" s="7"/>
      <c r="W416" s="725"/>
      <c r="X416" s="7"/>
      <c r="Y416" s="618">
        <f t="shared" si="17"/>
        <v>0</v>
      </c>
      <c r="Z416" s="7"/>
      <c r="AA416" s="7"/>
      <c r="AB416" s="7"/>
      <c r="AC416" s="7"/>
      <c r="AD416" s="7"/>
      <c r="AE416" s="7"/>
    </row>
    <row r="417" spans="1:31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4"/>
      <c r="I417" s="515"/>
      <c r="J417" s="215"/>
      <c r="K417" s="213"/>
      <c r="L417" s="671"/>
      <c r="M417" s="213"/>
      <c r="N417" s="213"/>
      <c r="O417" s="213"/>
      <c r="P417" s="215"/>
      <c r="Q417" s="315"/>
      <c r="R417" s="616">
        <f t="shared" si="15"/>
        <v>0</v>
      </c>
      <c r="S417" s="633"/>
      <c r="T417" s="636"/>
      <c r="U417" s="636"/>
      <c r="V417" s="7"/>
      <c r="W417" s="725"/>
      <c r="X417" s="7"/>
      <c r="Y417" s="618">
        <f t="shared" si="17"/>
        <v>0</v>
      </c>
      <c r="Z417" s="7"/>
      <c r="AA417" s="7"/>
      <c r="AB417" s="7"/>
      <c r="AC417" s="7"/>
      <c r="AD417" s="7"/>
      <c r="AE417" s="7"/>
    </row>
    <row r="418" spans="1:31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4"/>
      <c r="I418" s="515"/>
      <c r="J418" s="215"/>
      <c r="K418" s="213"/>
      <c r="L418" s="671"/>
      <c r="M418" s="213"/>
      <c r="N418" s="213"/>
      <c r="O418" s="213"/>
      <c r="P418" s="215"/>
      <c r="Q418" s="315"/>
      <c r="R418" s="616">
        <f t="shared" si="15"/>
        <v>0</v>
      </c>
      <c r="S418" s="633"/>
      <c r="T418" s="636"/>
      <c r="U418" s="636"/>
      <c r="V418" s="7"/>
      <c r="W418" s="725"/>
      <c r="X418" s="7"/>
      <c r="Y418" s="618">
        <f t="shared" si="17"/>
        <v>0</v>
      </c>
      <c r="Z418" s="7"/>
      <c r="AA418" s="7"/>
      <c r="AB418" s="7"/>
      <c r="AC418" s="7"/>
      <c r="AD418" s="7"/>
      <c r="AE418" s="7"/>
    </row>
    <row r="419" spans="1:31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4"/>
      <c r="I419" s="515"/>
      <c r="J419" s="215"/>
      <c r="K419" s="213"/>
      <c r="L419" s="671"/>
      <c r="M419" s="213"/>
      <c r="N419" s="213"/>
      <c r="O419" s="213"/>
      <c r="P419" s="215"/>
      <c r="Q419" s="315"/>
      <c r="R419" s="616">
        <f t="shared" si="15"/>
        <v>0</v>
      </c>
      <c r="S419" s="633"/>
      <c r="T419" s="636"/>
      <c r="U419" s="636"/>
      <c r="V419" s="7"/>
      <c r="W419" s="725"/>
      <c r="X419" s="7"/>
      <c r="Y419" s="618">
        <f t="shared" si="17"/>
        <v>0</v>
      </c>
      <c r="Z419" s="7"/>
      <c r="AA419" s="7"/>
      <c r="AB419" s="7"/>
      <c r="AC419" s="7"/>
      <c r="AD419" s="7"/>
      <c r="AE419" s="7"/>
    </row>
    <row r="420" spans="1:31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4"/>
      <c r="I420" s="515"/>
      <c r="J420" s="215"/>
      <c r="K420" s="213"/>
      <c r="L420" s="671"/>
      <c r="M420" s="213"/>
      <c r="N420" s="213"/>
      <c r="O420" s="213"/>
      <c r="P420" s="215"/>
      <c r="Q420" s="315"/>
      <c r="R420" s="616">
        <f t="shared" si="15"/>
        <v>0</v>
      </c>
      <c r="S420" s="633"/>
      <c r="T420" s="636"/>
      <c r="U420" s="636"/>
      <c r="V420" s="7"/>
      <c r="W420" s="725"/>
      <c r="X420" s="7"/>
      <c r="Y420" s="618">
        <f t="shared" si="17"/>
        <v>0</v>
      </c>
      <c r="Z420" s="7"/>
      <c r="AA420" s="7"/>
      <c r="AB420" s="7"/>
      <c r="AC420" s="7"/>
      <c r="AD420" s="7"/>
      <c r="AE420" s="7"/>
    </row>
    <row r="421" spans="1:31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4"/>
      <c r="I421" s="516"/>
      <c r="J421" s="215"/>
      <c r="K421" s="213"/>
      <c r="L421" s="671"/>
      <c r="M421" s="213"/>
      <c r="N421" s="213"/>
      <c r="O421" s="213"/>
      <c r="P421" s="215"/>
      <c r="Q421" s="315"/>
      <c r="R421" s="616">
        <f t="shared" si="15"/>
        <v>0</v>
      </c>
      <c r="S421" s="633"/>
      <c r="T421" s="640"/>
      <c r="U421" s="640"/>
      <c r="V421" s="7"/>
      <c r="W421" s="725"/>
      <c r="X421" s="7"/>
      <c r="Y421" s="618">
        <f t="shared" si="17"/>
        <v>0</v>
      </c>
      <c r="Z421" s="7"/>
      <c r="AA421" s="7"/>
      <c r="AB421" s="7"/>
      <c r="AC421" s="7"/>
      <c r="AD421" s="7"/>
      <c r="AE421" s="7"/>
    </row>
    <row r="422" spans="1:31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4"/>
      <c r="I422" s="527"/>
      <c r="J422" s="215"/>
      <c r="K422" s="213"/>
      <c r="L422" s="674"/>
      <c r="M422" s="213"/>
      <c r="N422" s="213"/>
      <c r="O422" s="213"/>
      <c r="P422" s="215"/>
      <c r="Q422" s="316"/>
      <c r="R422" s="616">
        <f t="shared" si="15"/>
        <v>0</v>
      </c>
      <c r="S422" s="633"/>
      <c r="T422" s="634"/>
      <c r="U422" s="634"/>
      <c r="V422" s="7"/>
      <c r="W422" s="725"/>
      <c r="X422" s="7"/>
      <c r="Y422" s="618">
        <f t="shared" si="17"/>
        <v>0</v>
      </c>
      <c r="Z422" s="7"/>
      <c r="AA422" s="7"/>
      <c r="AB422" s="7"/>
      <c r="AC422" s="7"/>
      <c r="AD422" s="7"/>
      <c r="AE422" s="7"/>
    </row>
    <row r="423" spans="1:31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4"/>
      <c r="I423" s="527"/>
      <c r="J423" s="215"/>
      <c r="K423" s="213"/>
      <c r="L423" s="674"/>
      <c r="M423" s="213"/>
      <c r="N423" s="213"/>
      <c r="O423" s="213"/>
      <c r="P423" s="215"/>
      <c r="Q423" s="316"/>
      <c r="R423" s="616">
        <f t="shared" si="15"/>
        <v>0</v>
      </c>
      <c r="S423" s="633"/>
      <c r="T423" s="634"/>
      <c r="U423" s="634"/>
      <c r="V423" s="7"/>
      <c r="W423" s="725"/>
      <c r="X423" s="7"/>
      <c r="Y423" s="618">
        <f t="shared" si="17"/>
        <v>0</v>
      </c>
      <c r="Z423" s="7"/>
      <c r="AA423" s="7"/>
      <c r="AB423" s="7"/>
      <c r="AC423" s="7"/>
      <c r="AD423" s="7"/>
      <c r="AE423" s="7"/>
    </row>
    <row r="424" spans="1:31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4"/>
      <c r="I424" s="527"/>
      <c r="J424" s="215"/>
      <c r="K424" s="213"/>
      <c r="L424" s="674"/>
      <c r="M424" s="213"/>
      <c r="N424" s="213"/>
      <c r="O424" s="213"/>
      <c r="P424" s="215"/>
      <c r="Q424" s="316"/>
      <c r="R424" s="616">
        <f t="shared" si="15"/>
        <v>0</v>
      </c>
      <c r="S424" s="633"/>
      <c r="T424" s="634"/>
      <c r="U424" s="634"/>
      <c r="V424" s="7"/>
      <c r="W424" s="725"/>
      <c r="X424" s="7"/>
      <c r="Y424" s="618">
        <f t="shared" si="17"/>
        <v>0</v>
      </c>
      <c r="Z424" s="7"/>
      <c r="AA424" s="7"/>
      <c r="AB424" s="7"/>
      <c r="AC424" s="7"/>
      <c r="AD424" s="7"/>
      <c r="AE424" s="7"/>
    </row>
    <row r="425" spans="1:31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4"/>
      <c r="I425" s="528"/>
      <c r="J425" s="215"/>
      <c r="K425" s="213"/>
      <c r="L425" s="674"/>
      <c r="M425" s="213"/>
      <c r="N425" s="213"/>
      <c r="O425" s="213"/>
      <c r="P425" s="215"/>
      <c r="Q425" s="316"/>
      <c r="R425" s="616">
        <f t="shared" si="15"/>
        <v>0</v>
      </c>
      <c r="S425" s="633"/>
      <c r="T425" s="636"/>
      <c r="U425" s="636"/>
      <c r="V425" s="7"/>
      <c r="W425" s="725"/>
      <c r="X425" s="7"/>
      <c r="Y425" s="618">
        <f t="shared" si="17"/>
        <v>0</v>
      </c>
      <c r="Z425" s="7"/>
      <c r="AA425" s="7"/>
      <c r="AB425" s="7"/>
      <c r="AC425" s="7"/>
      <c r="AD425" s="7"/>
      <c r="AE425" s="7"/>
    </row>
    <row r="426" spans="1:31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4"/>
      <c r="I426" s="515"/>
      <c r="J426" s="215"/>
      <c r="K426" s="213"/>
      <c r="L426" s="671"/>
      <c r="M426" s="213"/>
      <c r="N426" s="213"/>
      <c r="O426" s="213"/>
      <c r="P426" s="215"/>
      <c r="Q426" s="315"/>
      <c r="R426" s="616">
        <f t="shared" si="15"/>
        <v>0</v>
      </c>
      <c r="S426" s="633"/>
      <c r="T426" s="634"/>
      <c r="U426" s="634"/>
      <c r="V426" s="7"/>
      <c r="W426" s="725"/>
      <c r="X426" s="7"/>
      <c r="Y426" s="618">
        <f t="shared" si="17"/>
        <v>0</v>
      </c>
      <c r="Z426" s="7"/>
      <c r="AA426" s="7"/>
      <c r="AB426" s="7"/>
      <c r="AC426" s="7"/>
      <c r="AD426" s="7"/>
      <c r="AE426" s="7"/>
    </row>
    <row r="427" spans="1:31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4"/>
      <c r="I427" s="515"/>
      <c r="J427" s="215"/>
      <c r="K427" s="213"/>
      <c r="L427" s="671"/>
      <c r="M427" s="213"/>
      <c r="N427" s="213"/>
      <c r="O427" s="213"/>
      <c r="P427" s="215"/>
      <c r="Q427" s="315"/>
      <c r="R427" s="616">
        <f t="shared" si="15"/>
        <v>0</v>
      </c>
      <c r="S427" s="633"/>
      <c r="T427" s="640"/>
      <c r="U427" s="640"/>
      <c r="V427" s="7"/>
      <c r="W427" s="725"/>
      <c r="X427" s="7"/>
      <c r="Y427" s="618">
        <f t="shared" si="17"/>
        <v>0</v>
      </c>
      <c r="Z427" s="7"/>
      <c r="AA427" s="7"/>
      <c r="AB427" s="7"/>
      <c r="AC427" s="7"/>
      <c r="AD427" s="7"/>
      <c r="AE427" s="7"/>
    </row>
    <row r="428" spans="1:31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4"/>
      <c r="I428" s="412"/>
      <c r="J428" s="215"/>
      <c r="K428" s="213"/>
      <c r="L428" s="668"/>
      <c r="M428" s="213"/>
      <c r="N428" s="213"/>
      <c r="O428" s="213"/>
      <c r="P428" s="215"/>
      <c r="Q428" s="315"/>
      <c r="R428" s="616">
        <f t="shared" si="15"/>
        <v>0</v>
      </c>
      <c r="S428" s="633"/>
      <c r="T428" s="636"/>
      <c r="U428" s="636"/>
      <c r="V428" s="7"/>
      <c r="W428" s="725"/>
      <c r="X428" s="7"/>
      <c r="Y428" s="618">
        <f t="shared" si="17"/>
        <v>0</v>
      </c>
      <c r="Z428" s="7"/>
      <c r="AA428" s="7"/>
      <c r="AB428" s="7"/>
      <c r="AC428" s="7"/>
      <c r="AD428" s="7"/>
      <c r="AE428" s="7"/>
    </row>
    <row r="429" spans="1:31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4"/>
      <c r="I429" s="485"/>
      <c r="J429" s="215"/>
      <c r="K429" s="213"/>
      <c r="L429" s="668"/>
      <c r="M429" s="213"/>
      <c r="N429" s="213"/>
      <c r="O429" s="213"/>
      <c r="P429" s="215"/>
      <c r="Q429" s="315"/>
      <c r="R429" s="616">
        <f t="shared" si="15"/>
        <v>0</v>
      </c>
      <c r="S429" s="633"/>
      <c r="T429" s="636"/>
      <c r="U429" s="636"/>
      <c r="V429" s="7"/>
      <c r="W429" s="725"/>
      <c r="X429" s="7"/>
      <c r="Y429" s="618">
        <f t="shared" si="17"/>
        <v>0</v>
      </c>
      <c r="Z429" s="7"/>
      <c r="AA429" s="7"/>
      <c r="AB429" s="7"/>
      <c r="AC429" s="7"/>
      <c r="AD429" s="7"/>
      <c r="AE429" s="7"/>
    </row>
    <row r="430" spans="1:31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4"/>
      <c r="I430" s="485"/>
      <c r="J430" s="215"/>
      <c r="K430" s="213"/>
      <c r="L430" s="668"/>
      <c r="M430" s="213"/>
      <c r="N430" s="213"/>
      <c r="O430" s="213"/>
      <c r="P430" s="215"/>
      <c r="Q430" s="315"/>
      <c r="R430" s="616">
        <f t="shared" si="15"/>
        <v>0</v>
      </c>
      <c r="S430" s="633"/>
      <c r="T430" s="636"/>
      <c r="U430" s="636"/>
      <c r="V430" s="7"/>
      <c r="W430" s="725"/>
      <c r="X430" s="7"/>
      <c r="Y430" s="618">
        <f t="shared" si="17"/>
        <v>0</v>
      </c>
      <c r="Z430" s="7"/>
      <c r="AA430" s="7"/>
      <c r="AB430" s="7"/>
      <c r="AC430" s="7"/>
      <c r="AD430" s="7"/>
      <c r="AE430" s="7"/>
    </row>
    <row r="431" spans="1:31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4"/>
      <c r="I431" s="485"/>
      <c r="J431" s="215"/>
      <c r="K431" s="213"/>
      <c r="L431" s="668"/>
      <c r="M431" s="213"/>
      <c r="N431" s="213"/>
      <c r="O431" s="213"/>
      <c r="P431" s="215"/>
      <c r="Q431" s="315"/>
      <c r="R431" s="616">
        <f t="shared" si="15"/>
        <v>0</v>
      </c>
      <c r="S431" s="633"/>
      <c r="T431" s="636"/>
      <c r="U431" s="636"/>
      <c r="V431" s="7"/>
      <c r="W431" s="725"/>
      <c r="X431" s="7"/>
      <c r="Y431" s="618">
        <f t="shared" si="17"/>
        <v>0</v>
      </c>
      <c r="Z431" s="7"/>
      <c r="AA431" s="7"/>
      <c r="AB431" s="7"/>
      <c r="AC431" s="7"/>
      <c r="AD431" s="7"/>
      <c r="AE431" s="7"/>
    </row>
    <row r="432" spans="1:31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4"/>
      <c r="I432" s="485"/>
      <c r="J432" s="215"/>
      <c r="K432" s="213"/>
      <c r="L432" s="668"/>
      <c r="M432" s="213"/>
      <c r="N432" s="213"/>
      <c r="O432" s="213"/>
      <c r="P432" s="215"/>
      <c r="Q432" s="315"/>
      <c r="R432" s="616">
        <f t="shared" si="15"/>
        <v>0</v>
      </c>
      <c r="S432" s="633"/>
      <c r="T432" s="636"/>
      <c r="U432" s="636"/>
      <c r="V432" s="7"/>
      <c r="W432" s="725"/>
      <c r="X432" s="7"/>
      <c r="Y432" s="618">
        <f t="shared" si="17"/>
        <v>0</v>
      </c>
      <c r="Z432" s="7"/>
      <c r="AA432" s="7"/>
      <c r="AB432" s="7"/>
      <c r="AC432" s="7"/>
      <c r="AD432" s="7"/>
      <c r="AE432" s="7"/>
    </row>
    <row r="433" spans="1:31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4"/>
      <c r="I433" s="412"/>
      <c r="J433" s="215"/>
      <c r="K433" s="213"/>
      <c r="L433" s="668"/>
      <c r="M433" s="213"/>
      <c r="N433" s="213"/>
      <c r="O433" s="213"/>
      <c r="P433" s="215"/>
      <c r="Q433" s="315"/>
      <c r="R433" s="616">
        <f t="shared" si="15"/>
        <v>0</v>
      </c>
      <c r="S433" s="633"/>
      <c r="T433" s="636"/>
      <c r="U433" s="636"/>
      <c r="V433" s="7"/>
      <c r="W433" s="725"/>
      <c r="X433" s="7"/>
      <c r="Y433" s="618">
        <f t="shared" si="17"/>
        <v>0</v>
      </c>
      <c r="Z433" s="7"/>
      <c r="AA433" s="7"/>
      <c r="AB433" s="7"/>
      <c r="AC433" s="7"/>
      <c r="AD433" s="7"/>
      <c r="AE433" s="7"/>
    </row>
    <row r="434" spans="1:31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4"/>
      <c r="I434" s="485"/>
      <c r="J434" s="215"/>
      <c r="K434" s="213"/>
      <c r="L434" s="668"/>
      <c r="M434" s="213"/>
      <c r="N434" s="213"/>
      <c r="O434" s="213"/>
      <c r="P434" s="215"/>
      <c r="Q434" s="315"/>
      <c r="R434" s="616">
        <f t="shared" si="15"/>
        <v>0</v>
      </c>
      <c r="S434" s="633"/>
      <c r="T434" s="636"/>
      <c r="U434" s="636"/>
      <c r="V434" s="7"/>
      <c r="W434" s="725"/>
      <c r="X434" s="7"/>
      <c r="Y434" s="618">
        <f t="shared" si="17"/>
        <v>0</v>
      </c>
      <c r="Z434" s="7"/>
      <c r="AA434" s="7"/>
      <c r="AB434" s="7"/>
      <c r="AC434" s="7"/>
      <c r="AD434" s="7"/>
      <c r="AE434" s="7"/>
    </row>
    <row r="435" spans="1:31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4"/>
      <c r="I435" s="485"/>
      <c r="J435" s="215"/>
      <c r="K435" s="213"/>
      <c r="L435" s="668"/>
      <c r="M435" s="213"/>
      <c r="N435" s="213"/>
      <c r="O435" s="213"/>
      <c r="P435" s="215"/>
      <c r="Q435" s="315"/>
      <c r="R435" s="616">
        <f t="shared" si="15"/>
        <v>0</v>
      </c>
      <c r="S435" s="633"/>
      <c r="T435" s="636"/>
      <c r="U435" s="636"/>
      <c r="V435" s="7"/>
      <c r="W435" s="725"/>
      <c r="X435" s="7"/>
      <c r="Y435" s="618">
        <f t="shared" si="17"/>
        <v>0</v>
      </c>
      <c r="Z435" s="7"/>
      <c r="AA435" s="7"/>
      <c r="AB435" s="7"/>
      <c r="AC435" s="7"/>
      <c r="AD435" s="7"/>
      <c r="AE435" s="7"/>
    </row>
    <row r="436" spans="1:31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4"/>
      <c r="I436" s="485"/>
      <c r="J436" s="215"/>
      <c r="K436" s="213"/>
      <c r="L436" s="668"/>
      <c r="M436" s="213"/>
      <c r="N436" s="213"/>
      <c r="O436" s="213"/>
      <c r="P436" s="215"/>
      <c r="Q436" s="315"/>
      <c r="R436" s="616">
        <f t="shared" si="15"/>
        <v>0</v>
      </c>
      <c r="S436" s="633"/>
      <c r="T436" s="636"/>
      <c r="U436" s="636"/>
      <c r="V436" s="7"/>
      <c r="W436" s="725"/>
      <c r="X436" s="7"/>
      <c r="Y436" s="618">
        <f t="shared" si="17"/>
        <v>0</v>
      </c>
      <c r="Z436" s="7"/>
      <c r="AA436" s="7"/>
      <c r="AB436" s="7"/>
      <c r="AC436" s="7"/>
      <c r="AD436" s="7"/>
      <c r="AE436" s="7"/>
    </row>
    <row r="437" spans="1:31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4"/>
      <c r="I437" s="485"/>
      <c r="J437" s="215"/>
      <c r="K437" s="213"/>
      <c r="L437" s="668"/>
      <c r="M437" s="213"/>
      <c r="N437" s="213"/>
      <c r="O437" s="213"/>
      <c r="P437" s="215"/>
      <c r="Q437" s="315"/>
      <c r="R437" s="616">
        <f t="shared" si="15"/>
        <v>0</v>
      </c>
      <c r="S437" s="633"/>
      <c r="T437" s="636"/>
      <c r="U437" s="636"/>
      <c r="V437" s="7"/>
      <c r="W437" s="725"/>
      <c r="X437" s="7"/>
      <c r="Y437" s="618">
        <f t="shared" si="17"/>
        <v>0</v>
      </c>
      <c r="Z437" s="7"/>
      <c r="AA437" s="7"/>
      <c r="AB437" s="7"/>
      <c r="AC437" s="7"/>
      <c r="AD437" s="7"/>
      <c r="AE437" s="7"/>
    </row>
    <row r="438" spans="1:31" ht="21.75" customHeight="1">
      <c r="A438" s="486">
        <v>15.3</v>
      </c>
      <c r="B438" s="487" t="s">
        <v>947</v>
      </c>
      <c r="C438" s="635" t="s">
        <v>948</v>
      </c>
      <c r="D438" s="412" t="s">
        <v>2271</v>
      </c>
      <c r="E438" s="213"/>
      <c r="F438" s="213"/>
      <c r="G438" s="213"/>
      <c r="H438" s="214"/>
      <c r="I438" s="412"/>
      <c r="J438" s="215"/>
      <c r="K438" s="213"/>
      <c r="L438" s="668"/>
      <c r="M438" s="213"/>
      <c r="N438" s="213"/>
      <c r="O438" s="213"/>
      <c r="P438" s="215"/>
      <c r="Q438" s="315"/>
      <c r="R438" s="616">
        <f t="shared" si="15"/>
        <v>0</v>
      </c>
      <c r="S438" s="633"/>
      <c r="T438" s="636"/>
      <c r="U438" s="636"/>
      <c r="V438" s="7"/>
      <c r="W438" s="725"/>
      <c r="X438" s="7"/>
      <c r="Y438" s="618">
        <f t="shared" si="17"/>
        <v>0</v>
      </c>
      <c r="Z438" s="7"/>
      <c r="AA438" s="7"/>
      <c r="AB438" s="7"/>
      <c r="AC438" s="7"/>
      <c r="AD438" s="7"/>
      <c r="AE438" s="7"/>
    </row>
    <row r="439" spans="1:31" ht="21.75" customHeight="1">
      <c r="A439" s="503" t="s">
        <v>1515</v>
      </c>
      <c r="B439" s="483" t="s">
        <v>951</v>
      </c>
      <c r="C439" s="629" t="s">
        <v>131</v>
      </c>
      <c r="D439" s="485" t="s">
        <v>2272</v>
      </c>
      <c r="E439" s="213"/>
      <c r="F439" s="213"/>
      <c r="G439" s="213"/>
      <c r="H439" s="214"/>
      <c r="I439" s="485"/>
      <c r="J439" s="215"/>
      <c r="K439" s="213"/>
      <c r="L439" s="668"/>
      <c r="M439" s="213"/>
      <c r="N439" s="213"/>
      <c r="O439" s="213"/>
      <c r="P439" s="215"/>
      <c r="Q439" s="315"/>
      <c r="R439" s="616">
        <f t="shared" si="15"/>
        <v>0</v>
      </c>
      <c r="S439" s="633"/>
      <c r="T439" s="636"/>
      <c r="U439" s="636"/>
      <c r="V439" s="7"/>
      <c r="W439" s="725"/>
      <c r="X439" s="7"/>
      <c r="Y439" s="618">
        <f t="shared" si="17"/>
        <v>0</v>
      </c>
      <c r="Z439" s="7"/>
      <c r="AA439" s="7"/>
      <c r="AB439" s="7"/>
      <c r="AC439" s="7"/>
      <c r="AD439" s="7"/>
      <c r="AE439" s="7"/>
    </row>
    <row r="440" spans="1:31" ht="21.75" customHeight="1">
      <c r="A440" s="503" t="s">
        <v>1517</v>
      </c>
      <c r="B440" s="483" t="s">
        <v>953</v>
      </c>
      <c r="C440" s="629" t="s">
        <v>200</v>
      </c>
      <c r="D440" s="485" t="s">
        <v>2273</v>
      </c>
      <c r="E440" s="213"/>
      <c r="F440" s="213"/>
      <c r="G440" s="213"/>
      <c r="H440" s="214"/>
      <c r="I440" s="485"/>
      <c r="J440" s="215"/>
      <c r="K440" s="213"/>
      <c r="L440" s="668"/>
      <c r="M440" s="213"/>
      <c r="N440" s="213"/>
      <c r="O440" s="213"/>
      <c r="P440" s="215"/>
      <c r="Q440" s="315"/>
      <c r="R440" s="616">
        <f t="shared" si="15"/>
        <v>0</v>
      </c>
      <c r="S440" s="633"/>
      <c r="T440" s="636"/>
      <c r="U440" s="636"/>
      <c r="V440" s="7"/>
      <c r="W440" s="725"/>
      <c r="X440" s="7"/>
      <c r="Y440" s="618">
        <f t="shared" si="17"/>
        <v>0</v>
      </c>
      <c r="Z440" s="7"/>
      <c r="AA440" s="7"/>
      <c r="AB440" s="7"/>
      <c r="AC440" s="7"/>
      <c r="AD440" s="7"/>
      <c r="AE440" s="7"/>
    </row>
    <row r="441" spans="1:31" ht="21.75" customHeight="1">
      <c r="A441" s="503" t="s">
        <v>1519</v>
      </c>
      <c r="B441" s="483" t="s">
        <v>955</v>
      </c>
      <c r="C441" s="629" t="s">
        <v>203</v>
      </c>
      <c r="D441" s="485" t="s">
        <v>2274</v>
      </c>
      <c r="E441" s="213"/>
      <c r="F441" s="213"/>
      <c r="G441" s="213"/>
      <c r="H441" s="214"/>
      <c r="I441" s="485"/>
      <c r="J441" s="215"/>
      <c r="K441" s="213"/>
      <c r="L441" s="668"/>
      <c r="M441" s="213"/>
      <c r="N441" s="213"/>
      <c r="O441" s="213"/>
      <c r="P441" s="215"/>
      <c r="Q441" s="315"/>
      <c r="R441" s="616">
        <f t="shared" si="15"/>
        <v>0</v>
      </c>
      <c r="S441" s="633"/>
      <c r="T441" s="636"/>
      <c r="U441" s="636"/>
      <c r="V441" s="7"/>
      <c r="W441" s="725"/>
      <c r="X441" s="7"/>
      <c r="Y441" s="618">
        <f t="shared" si="17"/>
        <v>0</v>
      </c>
      <c r="Z441" s="7"/>
      <c r="AA441" s="7"/>
      <c r="AB441" s="7"/>
      <c r="AC441" s="7"/>
      <c r="AD441" s="7"/>
      <c r="AE441" s="7"/>
    </row>
    <row r="442" spans="1:31" ht="21.75" customHeight="1">
      <c r="A442" s="503" t="s">
        <v>1521</v>
      </c>
      <c r="B442" s="483" t="s">
        <v>957</v>
      </c>
      <c r="C442" s="629" t="s">
        <v>159</v>
      </c>
      <c r="D442" s="485" t="s">
        <v>2275</v>
      </c>
      <c r="E442" s="213"/>
      <c r="F442" s="213"/>
      <c r="G442" s="213"/>
      <c r="H442" s="214"/>
      <c r="I442" s="485"/>
      <c r="J442" s="215"/>
      <c r="K442" s="213"/>
      <c r="L442" s="668"/>
      <c r="M442" s="213"/>
      <c r="N442" s="213"/>
      <c r="O442" s="213"/>
      <c r="P442" s="215"/>
      <c r="Q442" s="315"/>
      <c r="R442" s="616">
        <f t="shared" si="15"/>
        <v>0</v>
      </c>
      <c r="S442" s="633"/>
      <c r="T442" s="636"/>
      <c r="U442" s="636"/>
      <c r="V442" s="7"/>
      <c r="W442" s="725"/>
      <c r="X442" s="7"/>
      <c r="Y442" s="618">
        <f t="shared" si="17"/>
        <v>0</v>
      </c>
      <c r="Z442" s="7"/>
      <c r="AA442" s="7"/>
      <c r="AB442" s="7"/>
      <c r="AC442" s="7"/>
      <c r="AD442" s="7"/>
      <c r="AE442" s="7"/>
    </row>
    <row r="443" spans="1:31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4"/>
      <c r="I443" s="412"/>
      <c r="J443" s="215"/>
      <c r="K443" s="213"/>
      <c r="L443" s="668"/>
      <c r="M443" s="213"/>
      <c r="N443" s="213"/>
      <c r="O443" s="213"/>
      <c r="P443" s="215"/>
      <c r="Q443" s="315"/>
      <c r="R443" s="616">
        <f t="shared" si="15"/>
        <v>0</v>
      </c>
      <c r="S443" s="633"/>
      <c r="T443" s="636"/>
      <c r="U443" s="636"/>
      <c r="V443" s="7"/>
      <c r="W443" s="725"/>
      <c r="X443" s="7"/>
      <c r="Y443" s="618">
        <f t="shared" si="17"/>
        <v>0</v>
      </c>
      <c r="Z443" s="7"/>
      <c r="AA443" s="7"/>
      <c r="AB443" s="7"/>
      <c r="AC443" s="7"/>
      <c r="AD443" s="7"/>
      <c r="AE443" s="7"/>
    </row>
    <row r="444" spans="1:31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214"/>
      <c r="I444" s="515"/>
      <c r="J444" s="215"/>
      <c r="K444" s="213"/>
      <c r="L444" s="671"/>
      <c r="M444" s="213"/>
      <c r="N444" s="213"/>
      <c r="O444" s="213"/>
      <c r="P444" s="215"/>
      <c r="Q444" s="315"/>
      <c r="R444" s="616">
        <f t="shared" si="15"/>
        <v>0</v>
      </c>
      <c r="S444" s="633"/>
      <c r="T444" s="636"/>
      <c r="U444" s="636"/>
      <c r="V444" s="7"/>
      <c r="W444" s="725"/>
      <c r="X444" s="7"/>
      <c r="Y444" s="618">
        <f t="shared" si="17"/>
        <v>0</v>
      </c>
      <c r="Z444" s="7"/>
      <c r="AA444" s="7"/>
      <c r="AB444" s="7"/>
      <c r="AC444" s="7"/>
      <c r="AD444" s="7"/>
      <c r="AE444" s="7"/>
    </row>
    <row r="445" spans="1:31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4"/>
      <c r="I445" s="515"/>
      <c r="J445" s="215"/>
      <c r="K445" s="213"/>
      <c r="L445" s="671"/>
      <c r="M445" s="213"/>
      <c r="N445" s="213"/>
      <c r="O445" s="213"/>
      <c r="P445" s="215"/>
      <c r="Q445" s="315"/>
      <c r="R445" s="616">
        <f t="shared" si="15"/>
        <v>0</v>
      </c>
      <c r="S445" s="633"/>
      <c r="T445" s="636"/>
      <c r="U445" s="636"/>
      <c r="V445" s="7"/>
      <c r="W445" s="725"/>
      <c r="X445" s="7"/>
      <c r="Y445" s="618">
        <f t="shared" si="17"/>
        <v>0</v>
      </c>
      <c r="Z445" s="7"/>
      <c r="AA445" s="7"/>
      <c r="AB445" s="7"/>
      <c r="AC445" s="7"/>
      <c r="AD445" s="7"/>
      <c r="AE445" s="7"/>
    </row>
    <row r="446" spans="1:31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4"/>
      <c r="I446" s="515"/>
      <c r="J446" s="215"/>
      <c r="K446" s="213"/>
      <c r="L446" s="671"/>
      <c r="M446" s="213"/>
      <c r="N446" s="213"/>
      <c r="O446" s="213"/>
      <c r="P446" s="215"/>
      <c r="Q446" s="315"/>
      <c r="R446" s="616">
        <f t="shared" si="15"/>
        <v>0</v>
      </c>
      <c r="S446" s="633"/>
      <c r="T446" s="636"/>
      <c r="U446" s="636"/>
      <c r="V446" s="7"/>
      <c r="W446" s="725"/>
      <c r="X446" s="7"/>
      <c r="Y446" s="618">
        <f t="shared" si="17"/>
        <v>0</v>
      </c>
      <c r="Z446" s="7"/>
      <c r="AA446" s="7"/>
      <c r="AB446" s="7"/>
      <c r="AC446" s="7"/>
      <c r="AD446" s="7"/>
      <c r="AE446" s="7"/>
    </row>
    <row r="447" spans="1:31" ht="42" customHeight="1">
      <c r="A447" s="519"/>
      <c r="B447" s="801" t="s">
        <v>969</v>
      </c>
      <c r="C447" s="771"/>
      <c r="D447" s="491" t="s">
        <v>970</v>
      </c>
      <c r="E447" s="219">
        <v>95</v>
      </c>
      <c r="F447" s="231"/>
      <c r="G447" s="231"/>
      <c r="H447" s="374"/>
      <c r="I447" s="219">
        <v>300</v>
      </c>
      <c r="J447" s="235">
        <v>170</v>
      </c>
      <c r="K447" s="219"/>
      <c r="L447" s="677">
        <v>800</v>
      </c>
      <c r="M447" s="219"/>
      <c r="N447" s="219"/>
      <c r="O447" s="219"/>
      <c r="P447" s="235"/>
      <c r="Q447" s="219"/>
      <c r="R447" s="616">
        <f t="shared" si="15"/>
        <v>1365</v>
      </c>
      <c r="S447" s="633"/>
      <c r="T447" s="537"/>
      <c r="U447" s="537"/>
      <c r="V447" s="7"/>
      <c r="W447" s="679">
        <v>96692</v>
      </c>
      <c r="X447" s="7"/>
      <c r="Y447" s="618">
        <f t="shared" si="17"/>
        <v>95327</v>
      </c>
      <c r="Z447" s="7"/>
      <c r="AA447" s="7"/>
      <c r="AB447" s="7"/>
      <c r="AC447" s="7"/>
      <c r="AD447" s="7"/>
      <c r="AE447" s="7"/>
    </row>
    <row r="448" spans="1:31" ht="21.75" customHeight="1">
      <c r="A448" s="534"/>
      <c r="B448" s="535"/>
      <c r="C448" s="680"/>
      <c r="D448" s="536"/>
      <c r="E448" s="174"/>
      <c r="F448" s="736"/>
      <c r="G448" s="174"/>
    </row>
    <row r="449" spans="1:7" ht="15.75" customHeight="1">
      <c r="A449" s="541"/>
      <c r="B449" s="542" t="s">
        <v>1523</v>
      </c>
      <c r="C449" s="542"/>
      <c r="D449" s="541"/>
      <c r="E449" s="174"/>
      <c r="F449" s="737"/>
      <c r="G449" s="174"/>
    </row>
    <row r="450" spans="1:7" ht="15.75" customHeight="1">
      <c r="A450" s="541"/>
      <c r="B450" s="545" t="s">
        <v>1524</v>
      </c>
      <c r="C450" s="542" t="s">
        <v>1525</v>
      </c>
      <c r="D450" s="541"/>
      <c r="E450" s="174"/>
      <c r="F450" s="737"/>
      <c r="G450" s="174"/>
    </row>
    <row r="451" spans="1:7" ht="15.75" customHeight="1">
      <c r="A451" s="541"/>
      <c r="B451" s="545" t="s">
        <v>1526</v>
      </c>
      <c r="C451" s="542" t="s">
        <v>1527</v>
      </c>
      <c r="D451" s="541"/>
      <c r="E451" s="174"/>
      <c r="F451" s="737"/>
      <c r="G451" s="174"/>
    </row>
    <row r="452" spans="1:7" ht="15.75" customHeight="1">
      <c r="A452" s="541"/>
      <c r="B452" s="545"/>
      <c r="C452" s="542"/>
      <c r="D452" s="541"/>
      <c r="E452" s="174"/>
      <c r="F452" s="737"/>
      <c r="G452" s="174"/>
    </row>
    <row r="453" spans="1:7" ht="15.75" customHeight="1">
      <c r="A453" s="541"/>
      <c r="B453" s="802" t="s">
        <v>1528</v>
      </c>
      <c r="C453" s="791"/>
      <c r="D453" s="541"/>
      <c r="E453" s="174"/>
      <c r="F453" s="737"/>
      <c r="G453" s="174"/>
    </row>
    <row r="454" spans="1:7" ht="15.75" customHeight="1">
      <c r="A454" s="541"/>
      <c r="B454" s="790" t="s">
        <v>1529</v>
      </c>
      <c r="C454" s="791"/>
      <c r="D454" s="541" t="s">
        <v>1530</v>
      </c>
      <c r="E454" s="174"/>
      <c r="F454" s="737"/>
      <c r="G454" s="174"/>
    </row>
    <row r="455" spans="1:7" ht="15.75" customHeight="1">
      <c r="A455" s="541"/>
      <c r="B455" s="545"/>
      <c r="C455" s="542"/>
      <c r="D455" s="541"/>
      <c r="E455" s="174"/>
      <c r="F455" s="737"/>
      <c r="G455" s="174"/>
    </row>
    <row r="456" spans="1:7" ht="15.75" customHeight="1">
      <c r="A456" s="546" t="s">
        <v>971</v>
      </c>
      <c r="B456" s="547"/>
      <c r="C456" s="547"/>
      <c r="D456" s="547"/>
      <c r="E456" s="174"/>
      <c r="F456" s="548"/>
      <c r="G456" s="174"/>
    </row>
    <row r="457" spans="1:7" ht="15.75" customHeight="1">
      <c r="A457" s="549" t="s">
        <v>972</v>
      </c>
      <c r="B457" s="550"/>
      <c r="C457" s="550"/>
      <c r="D457" s="550"/>
      <c r="E457" s="174"/>
      <c r="F457" s="551"/>
      <c r="G457" s="174"/>
    </row>
    <row r="458" spans="1:7" ht="15.75" customHeight="1">
      <c r="A458" s="546"/>
      <c r="B458" s="547"/>
      <c r="C458" s="241" t="s">
        <v>12</v>
      </c>
      <c r="D458" s="242">
        <f>COUNTIF($D$11:$R$11,"Hà Giang")</f>
        <v>0</v>
      </c>
      <c r="E458" s="174"/>
      <c r="F458" s="738"/>
      <c r="G458" s="174"/>
    </row>
    <row r="459" spans="1:7" ht="15.75" customHeight="1">
      <c r="A459" s="546"/>
      <c r="B459" s="547"/>
      <c r="C459" s="241" t="s">
        <v>14</v>
      </c>
      <c r="D459" s="242">
        <f>COUNTIF($D$11:$R$11,"Lào Cai")</f>
        <v>0</v>
      </c>
      <c r="E459" s="174"/>
      <c r="F459" s="738"/>
      <c r="G459" s="174"/>
    </row>
    <row r="460" spans="1:7" ht="15.75" customHeight="1">
      <c r="A460" s="546"/>
      <c r="B460" s="552"/>
      <c r="C460" s="241" t="s">
        <v>23</v>
      </c>
      <c r="D460" s="242">
        <f>COUNTIF($D$11:$R$11,"Lai Châu")</f>
        <v>0</v>
      </c>
      <c r="E460" s="174"/>
      <c r="F460" s="738"/>
      <c r="G460" s="174"/>
    </row>
    <row r="461" spans="1:7" ht="15.75" customHeight="1">
      <c r="A461" s="686"/>
      <c r="B461" s="687"/>
      <c r="C461" s="243" t="s">
        <v>17</v>
      </c>
      <c r="D461" s="242">
        <f>COUNTIF($D$11:$R$11,"Điện Biên")</f>
        <v>0</v>
      </c>
      <c r="E461" s="174"/>
      <c r="F461" s="406"/>
      <c r="G461" s="174"/>
    </row>
    <row r="462" spans="1:7" ht="15.75" customHeight="1">
      <c r="A462" s="686"/>
      <c r="B462" s="687"/>
      <c r="C462" s="243" t="s">
        <v>16</v>
      </c>
      <c r="D462" s="242">
        <f>COUNTIF($D$11:$R$11,"Lạng Sơn")</f>
        <v>0</v>
      </c>
      <c r="E462" s="174"/>
      <c r="F462" s="406"/>
      <c r="G462" s="174"/>
    </row>
    <row r="463" spans="1:7" ht="15.75" customHeight="1">
      <c r="A463" s="686"/>
      <c r="B463" s="687"/>
      <c r="C463" s="243" t="s">
        <v>13</v>
      </c>
      <c r="D463" s="242">
        <f>COUNTIF($D$11:$R$11,"Cao Bằng")</f>
        <v>12</v>
      </c>
      <c r="E463" s="174"/>
      <c r="F463" s="406"/>
      <c r="G463" s="174"/>
    </row>
    <row r="464" spans="1:7" ht="15.75" customHeight="1">
      <c r="A464" s="686"/>
      <c r="B464" s="687"/>
      <c r="C464" s="243" t="s">
        <v>1090</v>
      </c>
      <c r="D464" s="242">
        <f>COUNTIF($D$11:$R$11,"Sơn La")</f>
        <v>0</v>
      </c>
      <c r="E464" s="174"/>
      <c r="F464" s="406"/>
      <c r="G464" s="174"/>
    </row>
    <row r="465" spans="1:7" ht="15.75" customHeight="1">
      <c r="A465" s="686"/>
      <c r="B465" s="687"/>
      <c r="C465" s="243" t="s">
        <v>19</v>
      </c>
      <c r="D465" s="242">
        <f>COUNTIF($D$11:$R$11,"Yên Bái")</f>
        <v>0</v>
      </c>
      <c r="E465" s="174"/>
      <c r="F465" s="406"/>
      <c r="G465" s="174"/>
    </row>
    <row r="466" spans="1:7" ht="15.75" customHeight="1">
      <c r="A466" s="686"/>
      <c r="B466" s="687"/>
      <c r="C466" s="243" t="s">
        <v>18</v>
      </c>
      <c r="D466" s="242">
        <f>COUNTIF($D$11:$R$11,"Tuyên Quang")</f>
        <v>0</v>
      </c>
      <c r="E466" s="174"/>
      <c r="F466" s="406"/>
      <c r="G466" s="174"/>
    </row>
    <row r="467" spans="1:7" ht="15.75" customHeight="1">
      <c r="A467" s="686"/>
      <c r="B467" s="687"/>
      <c r="C467" s="243" t="s">
        <v>1091</v>
      </c>
      <c r="D467" s="242">
        <f>COUNTIF($D$11:$R$11,"Thái Nguyên")</f>
        <v>0</v>
      </c>
      <c r="E467" s="174"/>
      <c r="F467" s="406"/>
      <c r="G467" s="174"/>
    </row>
    <row r="468" spans="1:7" ht="15.75" customHeight="1">
      <c r="A468" s="686"/>
      <c r="B468" s="687"/>
      <c r="C468" s="243" t="s">
        <v>15</v>
      </c>
      <c r="D468" s="242">
        <f>COUNTIF($D$11:$R$11,"Bắc Kạn")</f>
        <v>0</v>
      </c>
      <c r="E468" s="174"/>
      <c r="F468" s="406"/>
      <c r="G468" s="174"/>
    </row>
    <row r="469" spans="1:7" ht="15.75" customHeight="1">
      <c r="A469" s="686"/>
      <c r="B469" s="687"/>
      <c r="C469" s="243" t="s">
        <v>25</v>
      </c>
      <c r="D469" s="242">
        <f>COUNTIF($D$11:$R$11,"Hoà Bình")</f>
        <v>0</v>
      </c>
      <c r="E469" s="174"/>
      <c r="F469" s="406"/>
      <c r="G469" s="174"/>
    </row>
    <row r="470" spans="1:7" ht="15.75" customHeight="1">
      <c r="A470" s="686"/>
      <c r="B470" s="687"/>
      <c r="C470" s="243" t="s">
        <v>1092</v>
      </c>
      <c r="D470" s="242">
        <f>COUNTIF($D$11:$R$11,"Bắc Giang")</f>
        <v>0</v>
      </c>
      <c r="E470" s="174"/>
      <c r="F470" s="406"/>
      <c r="G470" s="174"/>
    </row>
    <row r="471" spans="1:7" ht="15.75" customHeight="1">
      <c r="A471" s="686"/>
      <c r="B471" s="687"/>
      <c r="C471" s="243" t="s">
        <v>28</v>
      </c>
      <c r="D471" s="242">
        <f>COUNTIF($D$11:$R$11,"Quảng Ninh")</f>
        <v>0</v>
      </c>
      <c r="E471" s="174"/>
      <c r="F471" s="406"/>
      <c r="G471" s="174"/>
    </row>
    <row r="472" spans="1:7" ht="15.75" customHeight="1">
      <c r="A472" s="686"/>
      <c r="B472" s="687"/>
      <c r="C472" s="243" t="s">
        <v>26</v>
      </c>
      <c r="D472" s="242">
        <f>COUNTIF($D$11:$R$11,"Hà Nội")</f>
        <v>0</v>
      </c>
      <c r="E472" s="174"/>
      <c r="F472" s="406"/>
      <c r="G472" s="174"/>
    </row>
    <row r="473" spans="1:7" ht="15.75" customHeight="1">
      <c r="A473" s="686"/>
      <c r="B473" s="687"/>
      <c r="C473" s="243" t="s">
        <v>21</v>
      </c>
      <c r="D473" s="242">
        <f>COUNTIF($D$11:$R$11,"Phú Thọ")</f>
        <v>0</v>
      </c>
      <c r="E473" s="174"/>
      <c r="F473" s="406"/>
      <c r="G473" s="174"/>
    </row>
    <row r="474" spans="1:7" ht="15.75" customHeight="1">
      <c r="A474" s="686"/>
      <c r="B474" s="687"/>
      <c r="C474" s="243" t="s">
        <v>1093</v>
      </c>
      <c r="D474" s="242">
        <f>COUNTIF($D$11:$R$11,"Vĩnh Phúc")</f>
        <v>0</v>
      </c>
      <c r="E474" s="174"/>
      <c r="F474" s="406"/>
      <c r="G474" s="174"/>
    </row>
    <row r="475" spans="1:7" ht="15.75" customHeight="1">
      <c r="A475" s="686"/>
      <c r="B475" s="687"/>
      <c r="C475" s="243" t="s">
        <v>32</v>
      </c>
      <c r="D475" s="242">
        <f>COUNTIF($D$11:$R$11,"Bắc Ninh")</f>
        <v>0</v>
      </c>
      <c r="E475" s="174"/>
      <c r="F475" s="406"/>
      <c r="G475" s="174"/>
    </row>
    <row r="476" spans="1:7" ht="15.75" customHeight="1">
      <c r="A476" s="686"/>
      <c r="B476" s="687"/>
      <c r="C476" s="243" t="s">
        <v>29</v>
      </c>
      <c r="D476" s="242">
        <f>COUNTIF($D$11:$R$11,"Hải Dương")</f>
        <v>0</v>
      </c>
      <c r="E476" s="174"/>
      <c r="F476" s="406"/>
      <c r="G476" s="174"/>
    </row>
    <row r="477" spans="1:7" ht="15.75" customHeight="1">
      <c r="A477" s="686"/>
      <c r="B477" s="687"/>
      <c r="C477" s="243" t="s">
        <v>30</v>
      </c>
      <c r="D477" s="242">
        <f>COUNTIF($D$11:$R$11,"Hưng Yên")</f>
        <v>0</v>
      </c>
      <c r="E477" s="174"/>
      <c r="F477" s="406"/>
      <c r="G477" s="174"/>
    </row>
    <row r="478" spans="1:7" ht="15.75" customHeight="1">
      <c r="A478" s="686"/>
      <c r="B478" s="687"/>
      <c r="C478" s="243" t="s">
        <v>27</v>
      </c>
      <c r="D478" s="242">
        <f>COUNTIF($D$11:$R$11,"Hải Phòng")</f>
        <v>0</v>
      </c>
      <c r="E478" s="174"/>
      <c r="F478" s="406"/>
      <c r="G478" s="174"/>
    </row>
    <row r="479" spans="1:7" ht="15.75" customHeight="1">
      <c r="A479" s="686"/>
      <c r="B479" s="687"/>
      <c r="C479" s="243" t="s">
        <v>33</v>
      </c>
      <c r="D479" s="242">
        <f>COUNTIF($D$11:$R$11,"Hà Nam")</f>
        <v>0</v>
      </c>
      <c r="E479" s="174"/>
      <c r="F479" s="406"/>
      <c r="G479" s="174"/>
    </row>
    <row r="480" spans="1:7" ht="15.75" customHeight="1">
      <c r="A480" s="686"/>
      <c r="B480" s="687"/>
      <c r="C480" s="243" t="s">
        <v>36</v>
      </c>
      <c r="D480" s="242">
        <f>COUNTIF($D$11:$R$11,"Nam Định")</f>
        <v>0</v>
      </c>
      <c r="E480" s="174"/>
      <c r="F480" s="406"/>
      <c r="G480" s="174"/>
    </row>
    <row r="481" spans="1:7" ht="15.75" customHeight="1">
      <c r="A481" s="686"/>
      <c r="B481" s="687"/>
      <c r="C481" s="243" t="s">
        <v>1094</v>
      </c>
      <c r="D481" s="242">
        <f>COUNTIF($D$11:$R$11,"Thái Bình")</f>
        <v>0</v>
      </c>
      <c r="E481" s="174"/>
      <c r="F481" s="406"/>
      <c r="G481" s="174"/>
    </row>
    <row r="482" spans="1:7" ht="15.75" customHeight="1">
      <c r="A482" s="686"/>
      <c r="B482" s="687"/>
      <c r="C482" s="243" t="s">
        <v>34</v>
      </c>
      <c r="D482" s="242">
        <f>COUNTIF($D$11:$R$11,"Ninh Bình")</f>
        <v>0</v>
      </c>
      <c r="E482" s="174"/>
      <c r="F482" s="406"/>
      <c r="G482" s="174"/>
    </row>
    <row r="483" spans="1:7" ht="15.75" customHeight="1">
      <c r="A483" s="686"/>
      <c r="B483" s="687"/>
      <c r="C483" s="243" t="s">
        <v>37</v>
      </c>
      <c r="D483" s="242">
        <f>COUNTIF($D$11:$R$11,"Thanh Hoá")</f>
        <v>0</v>
      </c>
      <c r="E483" s="174"/>
      <c r="F483" s="406"/>
      <c r="G483" s="174"/>
    </row>
    <row r="484" spans="1:7" ht="15.75" customHeight="1">
      <c r="A484" s="686"/>
      <c r="B484" s="687"/>
      <c r="C484" s="243" t="s">
        <v>1095</v>
      </c>
      <c r="D484" s="242">
        <f>COUNTIF($D$11:$R$11,"Nghệ An")</f>
        <v>0</v>
      </c>
      <c r="E484" s="174"/>
      <c r="F484" s="406"/>
      <c r="G484" s="174"/>
    </row>
    <row r="485" spans="1:7" ht="15.75" customHeight="1">
      <c r="A485" s="686"/>
      <c r="B485" s="687"/>
      <c r="C485" s="243" t="s">
        <v>1096</v>
      </c>
      <c r="D485" s="242">
        <f>COUNTIF($D$11:$R$11,"Hà Tĩnh")</f>
        <v>0</v>
      </c>
      <c r="E485" s="174"/>
      <c r="F485" s="406"/>
      <c r="G485" s="174"/>
    </row>
    <row r="486" spans="1:7" ht="15.75" customHeight="1">
      <c r="A486" s="686"/>
      <c r="B486" s="687"/>
      <c r="C486" s="243" t="s">
        <v>1097</v>
      </c>
      <c r="D486" s="242">
        <f>COUNTIF($D$11:$R$11,"Quảng Bình")</f>
        <v>0</v>
      </c>
      <c r="E486" s="174"/>
      <c r="F486" s="406"/>
      <c r="G486" s="174"/>
    </row>
    <row r="487" spans="1:7" ht="15.75" customHeight="1">
      <c r="A487" s="686"/>
      <c r="B487" s="687"/>
      <c r="C487" s="243" t="s">
        <v>1098</v>
      </c>
      <c r="D487" s="242">
        <f>COUNTIF($D$11:$R$11,"Quảng Trị")</f>
        <v>0</v>
      </c>
      <c r="E487" s="174"/>
      <c r="F487" s="406"/>
      <c r="G487" s="174"/>
    </row>
    <row r="488" spans="1:7" ht="15.75" customHeight="1">
      <c r="A488" s="686"/>
      <c r="B488" s="687"/>
      <c r="C488" s="243" t="s">
        <v>1099</v>
      </c>
      <c r="D488" s="242">
        <f>COUNTIF($D$11:$R$11,"Thừa Thiên Huế")</f>
        <v>0</v>
      </c>
      <c r="E488" s="174"/>
      <c r="F488" s="406"/>
      <c r="G488" s="174"/>
    </row>
    <row r="489" spans="1:7" ht="15.75" customHeight="1">
      <c r="A489" s="686"/>
      <c r="B489" s="687"/>
      <c r="C489" s="243" t="s">
        <v>1100</v>
      </c>
      <c r="D489" s="242">
        <f>COUNTIF($D$11:$R$11,"Đà Nẵng")</f>
        <v>0</v>
      </c>
      <c r="E489" s="174"/>
      <c r="F489" s="406"/>
      <c r="G489" s="174"/>
    </row>
    <row r="490" spans="1:7" ht="15.75" customHeight="1">
      <c r="A490" s="686"/>
      <c r="B490" s="687"/>
      <c r="C490" s="243" t="s">
        <v>1101</v>
      </c>
      <c r="D490" s="242">
        <f>COUNTIF($D$11:$R$11,"Quảng Nam")</f>
        <v>0</v>
      </c>
      <c r="E490" s="174"/>
      <c r="F490" s="406"/>
      <c r="G490" s="174"/>
    </row>
    <row r="491" spans="1:7" ht="15.75" customHeight="1">
      <c r="A491" s="686"/>
      <c r="B491" s="687"/>
      <c r="C491" s="243" t="s">
        <v>1102</v>
      </c>
      <c r="D491" s="242">
        <f>COUNTIF($D$11:$R$11,"Quảng Ngãi")</f>
        <v>0</v>
      </c>
      <c r="E491" s="174"/>
      <c r="F491" s="406"/>
      <c r="G491" s="174"/>
    </row>
    <row r="492" spans="1:7" ht="15.75" customHeight="1">
      <c r="A492" s="686"/>
      <c r="B492" s="687"/>
      <c r="C492" s="243" t="s">
        <v>1103</v>
      </c>
      <c r="D492" s="242">
        <f>COUNTIF($D$11:$R$11,"Bình Định")</f>
        <v>0</v>
      </c>
      <c r="E492" s="174"/>
      <c r="F492" s="406"/>
      <c r="G492" s="174"/>
    </row>
    <row r="493" spans="1:7" ht="15.75" customHeight="1">
      <c r="A493" s="686"/>
      <c r="B493" s="687"/>
      <c r="C493" s="243" t="s">
        <v>1104</v>
      </c>
      <c r="D493" s="242">
        <f>COUNTIF($D$11:$R$11,"Phú Yên")</f>
        <v>0</v>
      </c>
      <c r="E493" s="174"/>
      <c r="F493" s="406"/>
      <c r="G493" s="174"/>
    </row>
    <row r="494" spans="1:7" ht="15.75" customHeight="1">
      <c r="A494" s="686"/>
      <c r="B494" s="687"/>
      <c r="C494" s="243" t="s">
        <v>1105</v>
      </c>
      <c r="D494" s="242">
        <f>COUNTIF($D$11:$R$11,"Khánh Hoà")</f>
        <v>0</v>
      </c>
      <c r="E494" s="174"/>
      <c r="F494" s="406"/>
      <c r="G494" s="174"/>
    </row>
    <row r="495" spans="1:7" ht="15.75" customHeight="1">
      <c r="A495" s="686"/>
      <c r="B495" s="687"/>
      <c r="C495" s="243" t="s">
        <v>1106</v>
      </c>
      <c r="D495" s="242">
        <f>COUNTIF($D$11:$R$11,"Ninh Thuận")</f>
        <v>0</v>
      </c>
      <c r="E495" s="174"/>
      <c r="F495" s="406"/>
      <c r="G495" s="174"/>
    </row>
    <row r="496" spans="1:7" ht="15.75" customHeight="1">
      <c r="A496" s="686"/>
      <c r="B496" s="687"/>
      <c r="C496" s="243" t="s">
        <v>1107</v>
      </c>
      <c r="D496" s="242">
        <f>COUNTIF($D$11:$R$11,"Bình Thuận")</f>
        <v>0</v>
      </c>
      <c r="E496" s="174"/>
      <c r="F496" s="406"/>
      <c r="G496" s="174"/>
    </row>
    <row r="497" spans="1:7" ht="15.75" customHeight="1">
      <c r="A497" s="686"/>
      <c r="B497" s="687"/>
      <c r="C497" s="243" t="s">
        <v>1108</v>
      </c>
      <c r="D497" s="242">
        <f>COUNTIF($D$11:$R$11,"Kon Tum")</f>
        <v>0</v>
      </c>
      <c r="E497" s="174"/>
      <c r="F497" s="406"/>
      <c r="G497" s="174"/>
    </row>
    <row r="498" spans="1:7" ht="15.75" customHeight="1">
      <c r="A498" s="686"/>
      <c r="B498" s="687"/>
      <c r="C498" s="243" t="s">
        <v>1109</v>
      </c>
      <c r="D498" s="242">
        <f>COUNTIF($D$11:$R$11,"Gia Lai")</f>
        <v>0</v>
      </c>
      <c r="E498" s="174"/>
      <c r="F498" s="406"/>
      <c r="G498" s="174"/>
    </row>
    <row r="499" spans="1:7" ht="15.75" customHeight="1">
      <c r="A499" s="686"/>
      <c r="B499" s="687"/>
      <c r="C499" s="243" t="s">
        <v>1110</v>
      </c>
      <c r="D499" s="242">
        <f>COUNTIF($D$11:$R$11,"Đắk Lắk")</f>
        <v>0</v>
      </c>
      <c r="E499" s="174"/>
      <c r="F499" s="406"/>
      <c r="G499" s="174"/>
    </row>
    <row r="500" spans="1:7" ht="15.75" customHeight="1">
      <c r="A500" s="686"/>
      <c r="B500" s="687"/>
      <c r="C500" s="243" t="s">
        <v>1111</v>
      </c>
      <c r="D500" s="242">
        <f>COUNTIF($D$11:$R$11,"Đắk Nông")</f>
        <v>0</v>
      </c>
      <c r="E500" s="174"/>
      <c r="F500" s="406"/>
      <c r="G500" s="174"/>
    </row>
    <row r="501" spans="1:7" ht="15.75" customHeight="1">
      <c r="A501" s="686"/>
      <c r="B501" s="687"/>
      <c r="C501" s="243" t="s">
        <v>1112</v>
      </c>
      <c r="D501" s="242">
        <f>COUNTIF($D$11:$R$11,"Lâm Đồng")</f>
        <v>0</v>
      </c>
      <c r="E501" s="174"/>
      <c r="F501" s="406"/>
      <c r="G501" s="174"/>
    </row>
    <row r="502" spans="1:7" ht="15.75" customHeight="1">
      <c r="A502" s="686"/>
      <c r="B502" s="687"/>
      <c r="C502" s="243" t="s">
        <v>1113</v>
      </c>
      <c r="D502" s="242">
        <f>COUNTIF($D$11:$R$11,"Tây Ninh")</f>
        <v>0</v>
      </c>
      <c r="E502" s="174"/>
      <c r="F502" s="406"/>
      <c r="G502" s="174"/>
    </row>
    <row r="503" spans="1:7" ht="15.75" customHeight="1">
      <c r="A503" s="686"/>
      <c r="B503" s="687"/>
      <c r="C503" s="243" t="s">
        <v>1114</v>
      </c>
      <c r="D503" s="242">
        <f>COUNTIF($D$11:$R$11,"Bình Phước")</f>
        <v>0</v>
      </c>
      <c r="E503" s="174"/>
      <c r="F503" s="406"/>
      <c r="G503" s="174"/>
    </row>
    <row r="504" spans="1:7" ht="15.75" customHeight="1">
      <c r="A504" s="686"/>
      <c r="B504" s="687"/>
      <c r="C504" s="243" t="s">
        <v>1115</v>
      </c>
      <c r="D504" s="242">
        <f>COUNTIF($D$11:$R$11,"Bình Dương")</f>
        <v>0</v>
      </c>
      <c r="E504" s="174"/>
      <c r="F504" s="406"/>
      <c r="G504" s="174"/>
    </row>
    <row r="505" spans="1:7" ht="15.75" customHeight="1">
      <c r="A505" s="686"/>
      <c r="B505" s="687"/>
      <c r="C505" s="243" t="s">
        <v>1116</v>
      </c>
      <c r="D505" s="242">
        <f>COUNTIF($D$11:$R$11,"Bà Rịa - Vũng Tàu")</f>
        <v>0</v>
      </c>
      <c r="E505" s="174"/>
      <c r="F505" s="406"/>
      <c r="G505" s="174"/>
    </row>
    <row r="506" spans="1:7" ht="15.75" customHeight="1">
      <c r="A506" s="686"/>
      <c r="B506" s="687"/>
      <c r="C506" s="243" t="s">
        <v>1117</v>
      </c>
      <c r="D506" s="242">
        <f>COUNTIF($D$11:$R$11,"Bến Tre")</f>
        <v>0</v>
      </c>
      <c r="E506" s="174"/>
      <c r="F506" s="406"/>
      <c r="G506" s="174"/>
    </row>
    <row r="507" spans="1:7" ht="15.75" customHeight="1">
      <c r="A507" s="686"/>
      <c r="B507" s="687"/>
      <c r="C507" s="243" t="s">
        <v>1118</v>
      </c>
      <c r="D507" s="242">
        <f>COUNTIF($D$11:$R$11,"An Giang")</f>
        <v>0</v>
      </c>
      <c r="E507" s="174"/>
      <c r="F507" s="406"/>
      <c r="G507" s="174"/>
    </row>
    <row r="508" spans="1:7" ht="15.75" customHeight="1">
      <c r="A508" s="686"/>
      <c r="B508" s="687"/>
      <c r="C508" s="243" t="s">
        <v>1119</v>
      </c>
      <c r="D508" s="242">
        <f>COUNTIF($D$11:$R$11,"Vĩnh Long")</f>
        <v>0</v>
      </c>
      <c r="E508" s="174"/>
      <c r="F508" s="406"/>
      <c r="G508" s="174"/>
    </row>
    <row r="509" spans="1:7" ht="15.75" customHeight="1">
      <c r="A509" s="686"/>
      <c r="B509" s="687"/>
      <c r="C509" s="243" t="s">
        <v>1120</v>
      </c>
      <c r="D509" s="242">
        <f>COUNTIF($D$11:$R$11,"Cần Thơ")</f>
        <v>0</v>
      </c>
      <c r="E509" s="174"/>
      <c r="F509" s="406"/>
      <c r="G509" s="174"/>
    </row>
    <row r="510" spans="1:7" ht="15.75" customHeight="1">
      <c r="A510" s="686"/>
      <c r="B510" s="687"/>
      <c r="C510" s="243" t="s">
        <v>1121</v>
      </c>
      <c r="D510" s="242">
        <f>COUNTIF($D$11:$R$11,"Hậu Giang")</f>
        <v>0</v>
      </c>
      <c r="E510" s="174"/>
      <c r="F510" s="406"/>
      <c r="G510" s="174"/>
    </row>
    <row r="511" spans="1:7" ht="15.75" customHeight="1">
      <c r="A511" s="686"/>
      <c r="B511" s="687"/>
      <c r="C511" s="243" t="s">
        <v>1122</v>
      </c>
      <c r="D511" s="242">
        <f>COUNTIF($D$11:$R$11,"Sóc Trăng")</f>
        <v>0</v>
      </c>
      <c r="E511" s="174"/>
      <c r="F511" s="406"/>
      <c r="G511" s="174"/>
    </row>
    <row r="512" spans="1:7" ht="15.75" customHeight="1">
      <c r="A512" s="686"/>
      <c r="B512" s="687"/>
      <c r="C512" s="243" t="s">
        <v>1123</v>
      </c>
      <c r="D512" s="242">
        <f>COUNTIF($D$11:$R$11,"Bạc Liêu")</f>
        <v>0</v>
      </c>
      <c r="E512" s="174"/>
      <c r="F512" s="406"/>
      <c r="G512" s="174"/>
    </row>
    <row r="513" spans="1:7" ht="15.75" customHeight="1">
      <c r="A513" s="686"/>
      <c r="B513" s="687"/>
      <c r="C513" s="243" t="s">
        <v>1124</v>
      </c>
      <c r="D513" s="242">
        <f>COUNTIF($D$11:$R$11,"Cà Mau")</f>
        <v>0</v>
      </c>
      <c r="E513" s="174"/>
      <c r="F513" s="406"/>
      <c r="G513" s="174"/>
    </row>
    <row r="514" spans="1:7" ht="15.75" customHeight="1">
      <c r="A514" s="686"/>
      <c r="B514" s="687"/>
      <c r="C514" s="243" t="s">
        <v>1125</v>
      </c>
      <c r="D514" s="242">
        <f>COUNTIF($D$11:$R$11,"Kiên Giang")</f>
        <v>0</v>
      </c>
      <c r="E514" s="174"/>
      <c r="F514" s="406"/>
      <c r="G514" s="174"/>
    </row>
    <row r="515" spans="1:7" ht="15.75" customHeight="1">
      <c r="A515" s="686"/>
      <c r="B515" s="687"/>
      <c r="C515" s="243" t="s">
        <v>1126</v>
      </c>
      <c r="D515" s="242">
        <f>COUNTIF($D$11:$R$11,"Đồng Tháp")</f>
        <v>0</v>
      </c>
      <c r="E515" s="174"/>
      <c r="F515" s="406"/>
      <c r="G515" s="174"/>
    </row>
    <row r="516" spans="1:7" ht="15.75" customHeight="1">
      <c r="A516" s="686"/>
      <c r="B516" s="687"/>
      <c r="C516" s="243" t="s">
        <v>1127</v>
      </c>
      <c r="D516" s="242">
        <f>COUNTIF($D$11:$R$11,"Trà Vinh")</f>
        <v>0</v>
      </c>
      <c r="E516" s="174"/>
      <c r="F516" s="406"/>
      <c r="G516" s="174"/>
    </row>
    <row r="517" spans="1:7" ht="15.75" customHeight="1">
      <c r="A517" s="686"/>
      <c r="B517" s="687"/>
      <c r="C517" s="243" t="s">
        <v>1128</v>
      </c>
      <c r="D517" s="242">
        <f>COUNTIF($D$11:$R$11,"Tiền Giang")</f>
        <v>0</v>
      </c>
      <c r="E517" s="174"/>
      <c r="F517" s="406"/>
      <c r="G517" s="174"/>
    </row>
    <row r="518" spans="1:7" ht="15.75" customHeight="1">
      <c r="A518" s="686"/>
      <c r="B518" s="687"/>
      <c r="C518" s="243" t="s">
        <v>1129</v>
      </c>
      <c r="D518" s="242">
        <f>COUNTIF($D$11:$R$11,"Long An")</f>
        <v>0</v>
      </c>
      <c r="E518" s="174"/>
      <c r="F518" s="406"/>
      <c r="G518" s="174"/>
    </row>
    <row r="519" spans="1:7" ht="15.75" customHeight="1">
      <c r="A519" s="686"/>
      <c r="B519" s="687"/>
      <c r="C519" s="243" t="s">
        <v>1130</v>
      </c>
      <c r="D519" s="242">
        <f>COUNTIF($D$11:$R$11,"Đồng Nai")</f>
        <v>0</v>
      </c>
      <c r="E519" s="174"/>
      <c r="F519" s="406"/>
      <c r="G519" s="174"/>
    </row>
    <row r="520" spans="1:7" ht="15.75" customHeight="1">
      <c r="A520" s="686"/>
      <c r="B520" s="687"/>
      <c r="C520" s="243" t="s">
        <v>1131</v>
      </c>
      <c r="D520" s="242">
        <f>COUNTIF($D$11:$R$11,"TP Hồ Chí Minh")</f>
        <v>0</v>
      </c>
      <c r="E520" s="174"/>
      <c r="F520" s="406"/>
      <c r="G520" s="174"/>
    </row>
    <row r="521" spans="1:7" ht="15.75" customHeight="1">
      <c r="A521" s="686"/>
      <c r="B521" s="687"/>
      <c r="C521" s="243"/>
      <c r="D521" s="244"/>
      <c r="E521" s="174"/>
      <c r="F521" s="406"/>
      <c r="G521" s="174"/>
    </row>
    <row r="522" spans="1:7" ht="15.75" customHeight="1">
      <c r="A522" s="686"/>
      <c r="B522" s="687"/>
      <c r="C522" s="243"/>
      <c r="D522" s="245">
        <f>SUM(D458:D520)</f>
        <v>12</v>
      </c>
      <c r="E522" s="174"/>
      <c r="F522" s="406"/>
      <c r="G522" s="174"/>
    </row>
    <row r="523" spans="1:7" ht="15.75" customHeight="1">
      <c r="A523" s="686"/>
      <c r="B523" s="687"/>
      <c r="C523" s="243"/>
      <c r="D523" s="244"/>
      <c r="E523" s="174"/>
      <c r="F523" s="406"/>
      <c r="G523" s="174"/>
    </row>
    <row r="524" spans="1:7" ht="15.75" customHeight="1">
      <c r="A524" s="686"/>
      <c r="B524" s="687"/>
      <c r="C524" s="243"/>
      <c r="D524" s="244"/>
      <c r="E524" s="174"/>
      <c r="F524" s="406"/>
      <c r="G524" s="174"/>
    </row>
    <row r="525" spans="1:7" ht="15.75" customHeight="1">
      <c r="A525" s="686"/>
      <c r="B525" s="687"/>
      <c r="C525" s="243"/>
      <c r="D525" s="244"/>
      <c r="E525" s="174"/>
      <c r="F525" s="406"/>
      <c r="G525" s="174"/>
    </row>
    <row r="526" spans="1:7" ht="15.75" customHeight="1">
      <c r="A526" s="686"/>
      <c r="B526" s="687"/>
      <c r="C526" s="243"/>
      <c r="D526" s="244"/>
      <c r="E526" s="174"/>
      <c r="F526" s="406"/>
      <c r="G526" s="174"/>
    </row>
    <row r="527" spans="1:7" ht="15.75" customHeight="1">
      <c r="A527" s="686"/>
      <c r="B527" s="687"/>
      <c r="C527" s="243"/>
      <c r="D527" s="244"/>
      <c r="E527" s="174"/>
      <c r="F527" s="406"/>
      <c r="G527" s="174"/>
    </row>
    <row r="528" spans="1:7" ht="15.75" customHeight="1">
      <c r="A528" s="686"/>
      <c r="B528" s="687"/>
      <c r="C528" s="243"/>
      <c r="D528" s="244"/>
      <c r="E528" s="174"/>
      <c r="F528" s="406"/>
      <c r="G528" s="174"/>
    </row>
    <row r="529" spans="1:7" ht="15.75" customHeight="1">
      <c r="A529" s="686"/>
      <c r="B529" s="687"/>
      <c r="C529" s="243"/>
      <c r="D529" s="244"/>
      <c r="E529" s="174"/>
      <c r="F529" s="406"/>
      <c r="G529" s="174"/>
    </row>
    <row r="530" spans="1:7" ht="15.75" customHeight="1">
      <c r="A530" s="686"/>
      <c r="B530" s="687"/>
      <c r="C530" s="243"/>
      <c r="D530" s="244"/>
      <c r="E530" s="174"/>
      <c r="F530" s="406"/>
      <c r="G530" s="174"/>
    </row>
    <row r="531" spans="1:7" ht="15.75" customHeight="1">
      <c r="A531" s="686"/>
      <c r="B531" s="687"/>
      <c r="C531" s="243"/>
      <c r="D531" s="244"/>
      <c r="E531" s="174"/>
      <c r="F531" s="406"/>
      <c r="G531" s="174"/>
    </row>
    <row r="532" spans="1:7" ht="15.75" customHeight="1">
      <c r="A532" s="686"/>
      <c r="B532" s="687"/>
      <c r="C532" s="243"/>
      <c r="D532" s="244"/>
      <c r="E532" s="174"/>
      <c r="F532" s="406"/>
      <c r="G532" s="174"/>
    </row>
    <row r="533" spans="1:7" ht="15.75" customHeight="1">
      <c r="A533" s="686"/>
      <c r="B533" s="687"/>
      <c r="C533" s="243"/>
      <c r="D533" s="244"/>
      <c r="E533" s="174"/>
      <c r="F533" s="406"/>
      <c r="G533" s="174"/>
    </row>
    <row r="534" spans="1:7" ht="15.75" customHeight="1">
      <c r="A534" s="686"/>
      <c r="B534" s="687"/>
      <c r="C534" s="243"/>
      <c r="D534" s="244"/>
      <c r="E534" s="174"/>
      <c r="F534" s="406"/>
      <c r="G534" s="174"/>
    </row>
    <row r="535" spans="1:7" ht="15.75" customHeight="1">
      <c r="A535" s="686"/>
      <c r="B535" s="687"/>
      <c r="C535" s="243"/>
      <c r="D535" s="244"/>
      <c r="E535" s="174"/>
      <c r="F535" s="406"/>
      <c r="G535" s="174"/>
    </row>
    <row r="536" spans="1:7" ht="15.75" customHeight="1">
      <c r="A536" s="686"/>
      <c r="B536" s="687"/>
      <c r="C536" s="243"/>
      <c r="D536" s="244"/>
      <c r="E536" s="174"/>
      <c r="F536" s="406"/>
      <c r="G536" s="174"/>
    </row>
    <row r="537" spans="1:7" ht="15.75" customHeight="1">
      <c r="A537" s="686"/>
      <c r="B537" s="687"/>
      <c r="C537" s="243"/>
      <c r="D537" s="244"/>
      <c r="E537" s="174"/>
      <c r="F537" s="406"/>
      <c r="G537" s="174"/>
    </row>
    <row r="538" spans="1:7" ht="15.75" customHeight="1">
      <c r="A538" s="686"/>
      <c r="B538" s="687"/>
      <c r="C538" s="243"/>
      <c r="D538" s="244"/>
      <c r="E538" s="174"/>
      <c r="F538" s="406"/>
      <c r="G538" s="174"/>
    </row>
    <row r="539" spans="1:7" ht="15.75" customHeight="1">
      <c r="A539" s="686"/>
      <c r="B539" s="687"/>
      <c r="C539" s="243"/>
      <c r="D539" s="244"/>
      <c r="E539" s="174"/>
      <c r="F539" s="406"/>
      <c r="G539" s="174"/>
    </row>
    <row r="540" spans="1:7" ht="15.75" customHeight="1">
      <c r="A540" s="686"/>
      <c r="B540" s="687"/>
      <c r="C540" s="243"/>
      <c r="D540" s="244"/>
      <c r="E540" s="174"/>
      <c r="F540" s="406"/>
      <c r="G540" s="174"/>
    </row>
    <row r="541" spans="1:7" ht="15.75" customHeight="1">
      <c r="A541" s="686"/>
      <c r="B541" s="687"/>
      <c r="C541" s="243"/>
      <c r="D541" s="244"/>
      <c r="E541" s="174"/>
      <c r="F541" s="406"/>
      <c r="G541" s="174"/>
    </row>
    <row r="542" spans="1:7" ht="15.75" customHeight="1">
      <c r="A542" s="686"/>
      <c r="B542" s="687"/>
      <c r="C542" s="243"/>
      <c r="D542" s="244"/>
      <c r="E542" s="174"/>
      <c r="F542" s="406"/>
      <c r="G542" s="174"/>
    </row>
    <row r="543" spans="1:7" ht="15.75" customHeight="1">
      <c r="A543" s="686"/>
      <c r="B543" s="687"/>
      <c r="C543" s="243"/>
      <c r="D543" s="244"/>
      <c r="E543" s="174"/>
      <c r="F543" s="406"/>
      <c r="G543" s="174"/>
    </row>
    <row r="544" spans="1:7" ht="15.75" customHeight="1">
      <c r="A544" s="686"/>
      <c r="B544" s="687"/>
      <c r="C544" s="243"/>
      <c r="D544" s="244"/>
      <c r="E544" s="174"/>
      <c r="F544" s="406"/>
      <c r="G544" s="174"/>
    </row>
    <row r="545" spans="1:7" ht="15.75" customHeight="1">
      <c r="A545" s="686"/>
      <c r="B545" s="687"/>
      <c r="C545" s="243"/>
      <c r="D545" s="244"/>
      <c r="E545" s="174"/>
      <c r="F545" s="406"/>
      <c r="G545" s="174"/>
    </row>
    <row r="546" spans="1:7" ht="15.75" customHeight="1">
      <c r="A546" s="686"/>
      <c r="B546" s="687"/>
      <c r="C546" s="243"/>
      <c r="D546" s="244"/>
      <c r="E546" s="174"/>
      <c r="F546" s="406"/>
      <c r="G546" s="174"/>
    </row>
    <row r="547" spans="1:7" ht="15.75" customHeight="1">
      <c r="A547" s="686"/>
      <c r="B547" s="687"/>
      <c r="C547" s="243"/>
      <c r="D547" s="244"/>
      <c r="E547" s="174"/>
      <c r="F547" s="406"/>
      <c r="G547" s="174"/>
    </row>
    <row r="548" spans="1:7" ht="15.75" customHeight="1">
      <c r="A548" s="686"/>
      <c r="B548" s="687"/>
      <c r="C548" s="243"/>
      <c r="D548" s="244"/>
      <c r="E548" s="174"/>
      <c r="F548" s="406"/>
      <c r="G548" s="174"/>
    </row>
    <row r="549" spans="1:7" ht="15.75" customHeight="1">
      <c r="A549" s="686"/>
      <c r="B549" s="687"/>
      <c r="C549" s="243"/>
      <c r="D549" s="244"/>
      <c r="E549" s="174"/>
      <c r="F549" s="406"/>
      <c r="G549" s="174"/>
    </row>
    <row r="550" spans="1:7" ht="15.75" customHeight="1">
      <c r="A550" s="686"/>
      <c r="B550" s="687"/>
      <c r="C550" s="243"/>
      <c r="D550" s="244"/>
      <c r="E550" s="174"/>
      <c r="F550" s="406"/>
      <c r="G550" s="174"/>
    </row>
    <row r="551" spans="1:7" ht="15.75" customHeight="1">
      <c r="A551" s="686"/>
      <c r="B551" s="687"/>
      <c r="C551" s="243"/>
      <c r="D551" s="244"/>
      <c r="E551" s="174"/>
      <c r="F551" s="406"/>
      <c r="G551" s="174"/>
    </row>
    <row r="552" spans="1:7" ht="15.75" customHeight="1">
      <c r="A552" s="686"/>
      <c r="B552" s="687"/>
      <c r="C552" s="243"/>
      <c r="D552" s="244"/>
      <c r="E552" s="174"/>
      <c r="F552" s="406"/>
      <c r="G552" s="174"/>
    </row>
    <row r="553" spans="1:7" ht="15.75" customHeight="1">
      <c r="A553" s="686"/>
      <c r="B553" s="687"/>
      <c r="C553" s="243"/>
      <c r="D553" s="244"/>
      <c r="E553" s="174"/>
      <c r="F553" s="406"/>
      <c r="G553" s="174"/>
    </row>
    <row r="554" spans="1:7" ht="15.75" customHeight="1">
      <c r="A554" s="686"/>
      <c r="B554" s="687"/>
      <c r="C554" s="243"/>
      <c r="D554" s="244"/>
      <c r="E554" s="174"/>
      <c r="F554" s="406"/>
      <c r="G554" s="174"/>
    </row>
    <row r="555" spans="1:7" ht="15.75" customHeight="1">
      <c r="A555" s="686"/>
      <c r="B555" s="687"/>
      <c r="C555" s="243"/>
      <c r="D555" s="244"/>
      <c r="E555" s="174"/>
      <c r="F555" s="406"/>
      <c r="G555" s="174"/>
    </row>
    <row r="556" spans="1:7" ht="15.75" customHeight="1">
      <c r="A556" s="686"/>
      <c r="B556" s="687"/>
      <c r="C556" s="243"/>
      <c r="D556" s="244"/>
      <c r="E556" s="174"/>
      <c r="F556" s="406"/>
      <c r="G556" s="174"/>
    </row>
    <row r="557" spans="1:7" ht="15.75" customHeight="1">
      <c r="A557" s="686"/>
      <c r="B557" s="687"/>
      <c r="C557" s="243"/>
      <c r="D557" s="244"/>
      <c r="E557" s="174"/>
      <c r="F557" s="406"/>
      <c r="G557" s="174"/>
    </row>
    <row r="558" spans="1:7" ht="15.75" customHeight="1">
      <c r="A558" s="686"/>
      <c r="B558" s="687"/>
      <c r="C558" s="243"/>
      <c r="D558" s="244"/>
      <c r="E558" s="174"/>
      <c r="F558" s="406"/>
      <c r="G558" s="174"/>
    </row>
    <row r="559" spans="1:7" ht="15.75" customHeight="1">
      <c r="A559" s="686"/>
      <c r="B559" s="687"/>
      <c r="C559" s="243"/>
      <c r="D559" s="244"/>
      <c r="E559" s="174"/>
      <c r="F559" s="406"/>
      <c r="G559" s="174"/>
    </row>
    <row r="560" spans="1:7" ht="15.75" customHeight="1">
      <c r="A560" s="686"/>
      <c r="B560" s="687"/>
      <c r="C560" s="243"/>
      <c r="D560" s="244"/>
      <c r="E560" s="174"/>
      <c r="F560" s="406"/>
      <c r="G560" s="174"/>
    </row>
    <row r="561" spans="1:7" ht="15.75" customHeight="1">
      <c r="A561" s="686"/>
      <c r="B561" s="687"/>
      <c r="C561" s="243"/>
      <c r="D561" s="244"/>
      <c r="E561" s="174"/>
      <c r="F561" s="406"/>
      <c r="G561" s="174"/>
    </row>
    <row r="562" spans="1:7" ht="15.75" customHeight="1">
      <c r="A562" s="686"/>
      <c r="B562" s="687"/>
      <c r="C562" s="243"/>
      <c r="D562" s="244"/>
      <c r="E562" s="174"/>
      <c r="F562" s="406"/>
      <c r="G562" s="174"/>
    </row>
    <row r="563" spans="1:7" ht="15.75" customHeight="1">
      <c r="A563" s="686"/>
      <c r="B563" s="687"/>
      <c r="C563" s="243"/>
      <c r="D563" s="244"/>
      <c r="E563" s="174"/>
      <c r="F563" s="406"/>
      <c r="G563" s="174"/>
    </row>
    <row r="564" spans="1:7" ht="15.75" customHeight="1">
      <c r="A564" s="686"/>
      <c r="B564" s="687"/>
      <c r="C564" s="243"/>
      <c r="D564" s="244"/>
      <c r="E564" s="174"/>
      <c r="F564" s="406"/>
      <c r="G564" s="174"/>
    </row>
    <row r="565" spans="1:7" ht="15.75" customHeight="1">
      <c r="A565" s="686"/>
      <c r="B565" s="687"/>
      <c r="C565" s="243"/>
      <c r="D565" s="244"/>
      <c r="E565" s="174"/>
      <c r="F565" s="406"/>
      <c r="G565" s="174"/>
    </row>
    <row r="566" spans="1:7" ht="15.75" customHeight="1">
      <c r="A566" s="686"/>
      <c r="B566" s="687"/>
      <c r="C566" s="243"/>
      <c r="D566" s="244"/>
      <c r="E566" s="174"/>
      <c r="F566" s="406"/>
      <c r="G566" s="174"/>
    </row>
    <row r="567" spans="1:7" ht="15.75" customHeight="1">
      <c r="A567" s="686"/>
      <c r="B567" s="687"/>
      <c r="C567" s="243"/>
      <c r="D567" s="244"/>
      <c r="E567" s="174"/>
      <c r="F567" s="406"/>
      <c r="G567" s="174"/>
    </row>
    <row r="568" spans="1:7" ht="15.75" customHeight="1">
      <c r="A568" s="686"/>
      <c r="B568" s="687"/>
      <c r="C568" s="243"/>
      <c r="D568" s="244"/>
      <c r="E568" s="174"/>
      <c r="F568" s="406"/>
      <c r="G568" s="174"/>
    </row>
    <row r="569" spans="1:7" ht="15.75" customHeight="1">
      <c r="A569" s="686"/>
      <c r="B569" s="687"/>
      <c r="C569" s="243"/>
      <c r="D569" s="244"/>
      <c r="E569" s="174"/>
      <c r="F569" s="406"/>
      <c r="G569" s="174"/>
    </row>
    <row r="570" spans="1:7" ht="15.75" customHeight="1">
      <c r="A570" s="686"/>
      <c r="B570" s="687"/>
      <c r="C570" s="243"/>
      <c r="D570" s="244"/>
      <c r="E570" s="174"/>
      <c r="F570" s="406"/>
      <c r="G570" s="174"/>
    </row>
    <row r="571" spans="1:7" ht="15.75" customHeight="1">
      <c r="A571" s="686"/>
      <c r="B571" s="687"/>
      <c r="C571" s="243"/>
      <c r="D571" s="244"/>
      <c r="E571" s="174"/>
      <c r="F571" s="406"/>
      <c r="G571" s="174"/>
    </row>
    <row r="572" spans="1:7" ht="15.75" customHeight="1">
      <c r="A572" s="686"/>
      <c r="B572" s="687"/>
      <c r="C572" s="243"/>
      <c r="D572" s="244"/>
      <c r="E572" s="174"/>
      <c r="F572" s="406"/>
      <c r="G572" s="174"/>
    </row>
    <row r="573" spans="1:7" ht="15.75" customHeight="1">
      <c r="A573" s="686"/>
      <c r="B573" s="687"/>
      <c r="C573" s="243"/>
      <c r="D573" s="244"/>
      <c r="E573" s="174"/>
      <c r="F573" s="406"/>
      <c r="G573" s="174"/>
    </row>
    <row r="574" spans="1:7" ht="15.75" customHeight="1">
      <c r="A574" s="686"/>
      <c r="B574" s="687"/>
      <c r="C574" s="243"/>
      <c r="D574" s="244"/>
      <c r="E574" s="174"/>
      <c r="F574" s="406"/>
      <c r="G574" s="174"/>
    </row>
    <row r="575" spans="1:7" ht="15.75" customHeight="1">
      <c r="A575" s="686"/>
      <c r="B575" s="687"/>
      <c r="C575" s="243"/>
      <c r="D575" s="244"/>
      <c r="E575" s="174"/>
      <c r="F575" s="406"/>
      <c r="G575" s="174"/>
    </row>
    <row r="576" spans="1:7" ht="15.75" customHeight="1">
      <c r="A576" s="686"/>
      <c r="B576" s="687"/>
      <c r="C576" s="243"/>
      <c r="D576" s="244"/>
      <c r="E576" s="174"/>
      <c r="F576" s="406"/>
      <c r="G576" s="174"/>
    </row>
    <row r="577" spans="1:7" ht="15.75" customHeight="1">
      <c r="A577" s="686"/>
      <c r="B577" s="687"/>
      <c r="C577" s="243"/>
      <c r="D577" s="244"/>
      <c r="E577" s="174"/>
      <c r="F577" s="406"/>
      <c r="G577" s="174"/>
    </row>
    <row r="578" spans="1:7" ht="15.75" customHeight="1">
      <c r="A578" s="686"/>
      <c r="B578" s="687"/>
      <c r="C578" s="243"/>
      <c r="D578" s="244"/>
      <c r="E578" s="174"/>
      <c r="F578" s="406"/>
      <c r="G578" s="174"/>
    </row>
    <row r="579" spans="1:7" ht="15.75" customHeight="1">
      <c r="A579" s="686"/>
      <c r="B579" s="687"/>
      <c r="C579" s="243"/>
      <c r="D579" s="244"/>
      <c r="E579" s="174"/>
      <c r="F579" s="406"/>
      <c r="G579" s="174"/>
    </row>
    <row r="580" spans="1:7" ht="15.75" customHeight="1">
      <c r="A580" s="686"/>
      <c r="B580" s="687"/>
      <c r="C580" s="243"/>
      <c r="D580" s="244"/>
      <c r="E580" s="174"/>
      <c r="F580" s="406"/>
      <c r="G580" s="174"/>
    </row>
    <row r="581" spans="1:7" ht="15.75" customHeight="1">
      <c r="A581" s="686"/>
      <c r="B581" s="687"/>
      <c r="C581" s="243"/>
      <c r="D581" s="244"/>
      <c r="E581" s="174"/>
      <c r="F581" s="406"/>
      <c r="G581" s="174"/>
    </row>
    <row r="582" spans="1:7" ht="15.75" customHeight="1">
      <c r="A582" s="686"/>
      <c r="B582" s="687"/>
      <c r="C582" s="243"/>
      <c r="D582" s="244"/>
      <c r="E582" s="174"/>
      <c r="F582" s="406"/>
      <c r="G582" s="174"/>
    </row>
    <row r="583" spans="1:7" ht="15.75" customHeight="1">
      <c r="A583" s="686"/>
      <c r="B583" s="687"/>
      <c r="C583" s="243"/>
      <c r="D583" s="244"/>
      <c r="E583" s="174"/>
      <c r="F583" s="406"/>
      <c r="G583" s="174"/>
    </row>
    <row r="584" spans="1:7" ht="15.75" customHeight="1">
      <c r="A584" s="686"/>
      <c r="B584" s="687"/>
      <c r="C584" s="243"/>
      <c r="D584" s="244"/>
      <c r="E584" s="174"/>
      <c r="F584" s="406"/>
      <c r="G584" s="174"/>
    </row>
    <row r="585" spans="1:7" ht="15.75" customHeight="1">
      <c r="A585" s="686"/>
      <c r="B585" s="687"/>
      <c r="C585" s="243"/>
      <c r="D585" s="244"/>
      <c r="E585" s="174"/>
      <c r="F585" s="406"/>
      <c r="G585" s="174"/>
    </row>
    <row r="586" spans="1:7" ht="15.75" customHeight="1">
      <c r="A586" s="686"/>
      <c r="B586" s="687"/>
      <c r="C586" s="243"/>
      <c r="D586" s="244"/>
      <c r="E586" s="174"/>
      <c r="F586" s="406"/>
      <c r="G586" s="174"/>
    </row>
    <row r="587" spans="1:7" ht="15.75" customHeight="1">
      <c r="A587" s="686"/>
      <c r="B587" s="687"/>
      <c r="C587" s="243"/>
      <c r="D587" s="244"/>
      <c r="E587" s="174"/>
      <c r="F587" s="406"/>
      <c r="G587" s="174"/>
    </row>
    <row r="588" spans="1:7" ht="15.75" customHeight="1">
      <c r="A588" s="686"/>
      <c r="B588" s="687"/>
      <c r="C588" s="243"/>
      <c r="D588" s="244"/>
      <c r="E588" s="174"/>
      <c r="F588" s="406"/>
      <c r="G588" s="174"/>
    </row>
    <row r="589" spans="1:7" ht="15.75" customHeight="1">
      <c r="A589" s="686"/>
      <c r="B589" s="687"/>
      <c r="C589" s="243"/>
      <c r="D589" s="244"/>
      <c r="E589" s="174"/>
      <c r="F589" s="406"/>
      <c r="G589" s="174"/>
    </row>
    <row r="590" spans="1:7" ht="15.75" customHeight="1">
      <c r="A590" s="686"/>
      <c r="B590" s="687"/>
      <c r="C590" s="243"/>
      <c r="D590" s="244"/>
      <c r="E590" s="174"/>
      <c r="F590" s="406"/>
      <c r="G590" s="174"/>
    </row>
    <row r="591" spans="1:7" ht="15.75" customHeight="1">
      <c r="A591" s="686"/>
      <c r="B591" s="687"/>
      <c r="C591" s="243"/>
      <c r="D591" s="244"/>
      <c r="E591" s="174"/>
      <c r="F591" s="406"/>
      <c r="G591" s="174"/>
    </row>
    <row r="592" spans="1:7" ht="15.75" customHeight="1">
      <c r="A592" s="686"/>
      <c r="B592" s="687"/>
      <c r="C592" s="243"/>
      <c r="D592" s="244"/>
      <c r="E592" s="174"/>
      <c r="F592" s="406"/>
      <c r="G592" s="174"/>
    </row>
    <row r="593" spans="1:7" ht="15.75" customHeight="1">
      <c r="A593" s="686"/>
      <c r="B593" s="687"/>
      <c r="C593" s="243"/>
      <c r="D593" s="244"/>
      <c r="E593" s="174"/>
      <c r="F593" s="406"/>
      <c r="G593" s="174"/>
    </row>
    <row r="594" spans="1:7" ht="15.75" customHeight="1">
      <c r="A594" s="686"/>
      <c r="B594" s="687"/>
      <c r="C594" s="243"/>
      <c r="D594" s="244"/>
      <c r="E594" s="174"/>
      <c r="F594" s="406"/>
      <c r="G594" s="174"/>
    </row>
    <row r="595" spans="1:7" ht="15.75" customHeight="1">
      <c r="A595" s="686"/>
      <c r="B595" s="687"/>
      <c r="C595" s="243"/>
      <c r="D595" s="244"/>
      <c r="E595" s="174"/>
      <c r="F595" s="406"/>
      <c r="G595" s="174"/>
    </row>
    <row r="596" spans="1:7" ht="15.75" customHeight="1">
      <c r="A596" s="686"/>
      <c r="B596" s="687"/>
      <c r="C596" s="243"/>
      <c r="D596" s="244"/>
      <c r="E596" s="174"/>
      <c r="F596" s="406"/>
      <c r="G596" s="174"/>
    </row>
    <row r="597" spans="1:7" ht="15.75" customHeight="1">
      <c r="A597" s="686"/>
      <c r="B597" s="687"/>
      <c r="C597" s="243"/>
      <c r="D597" s="244"/>
      <c r="E597" s="174"/>
      <c r="F597" s="406"/>
      <c r="G597" s="174"/>
    </row>
    <row r="598" spans="1:7" ht="15.75" customHeight="1">
      <c r="A598" s="686"/>
      <c r="B598" s="687"/>
      <c r="C598" s="243"/>
      <c r="D598" s="244"/>
      <c r="E598" s="174"/>
      <c r="F598" s="406"/>
      <c r="G598" s="174"/>
    </row>
    <row r="599" spans="1:7" ht="15.75" customHeight="1">
      <c r="A599" s="686"/>
      <c r="B599" s="687"/>
      <c r="C599" s="243"/>
      <c r="D599" s="244"/>
      <c r="E599" s="174"/>
      <c r="F599" s="406"/>
      <c r="G599" s="174"/>
    </row>
    <row r="600" spans="1:7" ht="15.75" customHeight="1">
      <c r="A600" s="686"/>
      <c r="B600" s="687"/>
      <c r="C600" s="243"/>
      <c r="D600" s="244"/>
      <c r="E600" s="174"/>
      <c r="F600" s="406"/>
      <c r="G600" s="174"/>
    </row>
    <row r="601" spans="1:7" ht="15.75" customHeight="1">
      <c r="A601" s="686"/>
      <c r="B601" s="687"/>
      <c r="C601" s="243"/>
      <c r="D601" s="244"/>
      <c r="E601" s="174"/>
      <c r="F601" s="406"/>
      <c r="G601" s="174"/>
    </row>
    <row r="602" spans="1:7" ht="15.75" customHeight="1">
      <c r="A602" s="686"/>
      <c r="B602" s="687"/>
      <c r="C602" s="243"/>
      <c r="D602" s="244"/>
      <c r="E602" s="174"/>
      <c r="F602" s="406"/>
      <c r="G602" s="174"/>
    </row>
    <row r="603" spans="1:7" ht="15.75" customHeight="1">
      <c r="A603" s="686"/>
      <c r="B603" s="687"/>
      <c r="C603" s="243"/>
      <c r="D603" s="244"/>
      <c r="E603" s="174"/>
      <c r="F603" s="406"/>
      <c r="G603" s="174"/>
    </row>
    <row r="604" spans="1:7" ht="15.75" customHeight="1">
      <c r="A604" s="686"/>
      <c r="B604" s="687"/>
      <c r="C604" s="243"/>
      <c r="D604" s="244"/>
      <c r="E604" s="174"/>
      <c r="F604" s="406"/>
      <c r="G604" s="174"/>
    </row>
    <row r="605" spans="1:7" ht="15.75" customHeight="1">
      <c r="A605" s="686"/>
      <c r="B605" s="687"/>
      <c r="C605" s="243"/>
      <c r="D605" s="244"/>
      <c r="E605" s="174"/>
      <c r="F605" s="406"/>
      <c r="G605" s="174"/>
    </row>
    <row r="606" spans="1:7" ht="15.75" customHeight="1">
      <c r="A606" s="686"/>
      <c r="B606" s="687"/>
      <c r="C606" s="243"/>
      <c r="D606" s="244"/>
      <c r="E606" s="174"/>
      <c r="F606" s="406"/>
      <c r="G606" s="174"/>
    </row>
    <row r="607" spans="1:7" ht="15.75" customHeight="1">
      <c r="A607" s="686"/>
      <c r="B607" s="687"/>
      <c r="C607" s="243"/>
      <c r="D607" s="244"/>
      <c r="E607" s="174"/>
      <c r="F607" s="406"/>
      <c r="G607" s="174"/>
    </row>
    <row r="608" spans="1:7" ht="15.75" customHeight="1">
      <c r="A608" s="686"/>
      <c r="B608" s="687"/>
      <c r="C608" s="243"/>
      <c r="D608" s="244"/>
      <c r="E608" s="174"/>
      <c r="F608" s="406"/>
      <c r="G608" s="174"/>
    </row>
    <row r="609" spans="1:7" ht="15.75" customHeight="1">
      <c r="A609" s="686"/>
      <c r="B609" s="687"/>
      <c r="C609" s="243"/>
      <c r="D609" s="244"/>
      <c r="E609" s="174"/>
      <c r="F609" s="406"/>
      <c r="G609" s="174"/>
    </row>
    <row r="610" spans="1:7" ht="15.75" customHeight="1">
      <c r="A610" s="686"/>
      <c r="B610" s="687"/>
      <c r="C610" s="243"/>
      <c r="D610" s="244"/>
      <c r="E610" s="174"/>
      <c r="F610" s="406"/>
      <c r="G610" s="174"/>
    </row>
    <row r="611" spans="1:7" ht="15.75" customHeight="1">
      <c r="A611" s="686"/>
      <c r="B611" s="687"/>
      <c r="C611" s="243"/>
      <c r="D611" s="244"/>
      <c r="E611" s="174"/>
      <c r="F611" s="406"/>
      <c r="G611" s="174"/>
    </row>
    <row r="612" spans="1:7" ht="15.75" customHeight="1">
      <c r="A612" s="686"/>
      <c r="B612" s="687"/>
      <c r="C612" s="243"/>
      <c r="D612" s="244"/>
      <c r="E612" s="174"/>
      <c r="F612" s="406"/>
      <c r="G612" s="174"/>
    </row>
    <row r="613" spans="1:7" ht="15.75" customHeight="1">
      <c r="A613" s="686"/>
      <c r="B613" s="687"/>
      <c r="C613" s="243"/>
      <c r="D613" s="244"/>
      <c r="E613" s="174"/>
      <c r="F613" s="406"/>
      <c r="G613" s="174"/>
    </row>
    <row r="614" spans="1:7" ht="15.75" customHeight="1">
      <c r="A614" s="686"/>
      <c r="B614" s="687"/>
      <c r="C614" s="243"/>
      <c r="D614" s="244"/>
      <c r="E614" s="174"/>
      <c r="F614" s="406"/>
      <c r="G614" s="174"/>
    </row>
    <row r="615" spans="1:7" ht="15.75" customHeight="1">
      <c r="A615" s="686"/>
      <c r="B615" s="687"/>
      <c r="C615" s="243"/>
      <c r="D615" s="244"/>
      <c r="E615" s="174"/>
      <c r="F615" s="406"/>
      <c r="G615" s="174"/>
    </row>
    <row r="616" spans="1:7" ht="15.75" customHeight="1">
      <c r="A616" s="686"/>
      <c r="B616" s="687"/>
      <c r="C616" s="243"/>
      <c r="D616" s="244"/>
      <c r="E616" s="174"/>
      <c r="F616" s="406"/>
      <c r="G616" s="174"/>
    </row>
    <row r="617" spans="1:7" ht="15.75" customHeight="1">
      <c r="A617" s="686"/>
      <c r="B617" s="687"/>
      <c r="C617" s="243"/>
      <c r="D617" s="244"/>
      <c r="E617" s="174"/>
      <c r="F617" s="406"/>
      <c r="G617" s="174"/>
    </row>
    <row r="618" spans="1:7" ht="15.75" customHeight="1">
      <c r="A618" s="686"/>
      <c r="B618" s="687"/>
      <c r="C618" s="243"/>
      <c r="D618" s="244"/>
      <c r="E618" s="174"/>
      <c r="F618" s="406"/>
      <c r="G618" s="174"/>
    </row>
    <row r="619" spans="1:7" ht="15.75" customHeight="1">
      <c r="A619" s="686"/>
      <c r="B619" s="687"/>
      <c r="C619" s="243"/>
      <c r="D619" s="244"/>
      <c r="E619" s="174"/>
      <c r="F619" s="406"/>
      <c r="G619" s="174"/>
    </row>
    <row r="620" spans="1:7" ht="15.75" customHeight="1">
      <c r="A620" s="686"/>
      <c r="B620" s="687"/>
      <c r="C620" s="243"/>
      <c r="D620" s="244"/>
      <c r="E620" s="174"/>
      <c r="F620" s="406"/>
      <c r="G620" s="174"/>
    </row>
    <row r="621" spans="1:7" ht="15.75" customHeight="1">
      <c r="A621" s="686"/>
      <c r="B621" s="687"/>
      <c r="C621" s="243"/>
      <c r="D621" s="244"/>
      <c r="E621" s="174"/>
      <c r="F621" s="406"/>
      <c r="G621" s="174"/>
    </row>
    <row r="622" spans="1:7" ht="15.75" customHeight="1">
      <c r="A622" s="686"/>
      <c r="B622" s="687"/>
      <c r="C622" s="243"/>
      <c r="D622" s="244"/>
      <c r="E622" s="174"/>
      <c r="F622" s="406"/>
      <c r="G622" s="174"/>
    </row>
    <row r="623" spans="1:7" ht="15.75" customHeight="1">
      <c r="A623" s="686"/>
      <c r="B623" s="687"/>
      <c r="C623" s="243"/>
      <c r="D623" s="244"/>
      <c r="E623" s="174"/>
      <c r="F623" s="406"/>
      <c r="G623" s="174"/>
    </row>
    <row r="624" spans="1:7" ht="15.75" customHeight="1">
      <c r="A624" s="686"/>
      <c r="B624" s="687"/>
      <c r="C624" s="243"/>
      <c r="D624" s="244"/>
      <c r="E624" s="174"/>
      <c r="F624" s="406"/>
      <c r="G624" s="174"/>
    </row>
    <row r="625" spans="1:7" ht="15.75" customHeight="1">
      <c r="A625" s="686"/>
      <c r="B625" s="687"/>
      <c r="C625" s="243"/>
      <c r="D625" s="244"/>
      <c r="E625" s="174"/>
      <c r="F625" s="406"/>
      <c r="G625" s="174"/>
    </row>
    <row r="626" spans="1:7" ht="15.75" customHeight="1">
      <c r="A626" s="686"/>
      <c r="B626" s="687"/>
      <c r="C626" s="243"/>
      <c r="D626" s="244"/>
      <c r="E626" s="174"/>
      <c r="F626" s="406"/>
      <c r="G626" s="174"/>
    </row>
    <row r="627" spans="1:7" ht="15.75" customHeight="1">
      <c r="A627" s="686"/>
      <c r="B627" s="687"/>
      <c r="C627" s="243"/>
      <c r="D627" s="244"/>
      <c r="E627" s="174"/>
      <c r="F627" s="406"/>
      <c r="G627" s="174"/>
    </row>
    <row r="628" spans="1:7" ht="15.75" customHeight="1">
      <c r="A628" s="686"/>
      <c r="B628" s="687"/>
      <c r="C628" s="243"/>
      <c r="D628" s="244"/>
      <c r="E628" s="174"/>
      <c r="F628" s="406"/>
      <c r="G628" s="174"/>
    </row>
    <row r="629" spans="1:7" ht="15.75" customHeight="1">
      <c r="A629" s="686"/>
      <c r="B629" s="687"/>
      <c r="C629" s="243"/>
      <c r="D629" s="244"/>
      <c r="E629" s="174"/>
      <c r="F629" s="406"/>
      <c r="G629" s="174"/>
    </row>
    <row r="630" spans="1:7" ht="15.75" customHeight="1">
      <c r="A630" s="686"/>
      <c r="B630" s="687"/>
      <c r="C630" s="243"/>
      <c r="D630" s="244"/>
      <c r="E630" s="174"/>
      <c r="F630" s="406"/>
      <c r="G630" s="174"/>
    </row>
    <row r="631" spans="1:7" ht="15.75" customHeight="1">
      <c r="A631" s="686"/>
      <c r="B631" s="687"/>
      <c r="C631" s="243"/>
      <c r="D631" s="244"/>
      <c r="E631" s="174"/>
      <c r="F631" s="406"/>
      <c r="G631" s="174"/>
    </row>
    <row r="632" spans="1:7" ht="15.75" customHeight="1">
      <c r="A632" s="686"/>
      <c r="B632" s="687"/>
      <c r="C632" s="243"/>
      <c r="D632" s="244"/>
      <c r="E632" s="174"/>
      <c r="F632" s="406"/>
      <c r="G632" s="174"/>
    </row>
    <row r="633" spans="1:7" ht="15.75" customHeight="1">
      <c r="A633" s="686"/>
      <c r="B633" s="687"/>
      <c r="C633" s="243"/>
      <c r="D633" s="244"/>
      <c r="E633" s="174"/>
      <c r="F633" s="406"/>
      <c r="G633" s="174"/>
    </row>
    <row r="634" spans="1:7" ht="15.75" customHeight="1">
      <c r="A634" s="686"/>
      <c r="B634" s="687"/>
      <c r="C634" s="243"/>
      <c r="D634" s="244"/>
      <c r="E634" s="174"/>
      <c r="F634" s="406"/>
      <c r="G634" s="174"/>
    </row>
    <row r="635" spans="1:7" ht="15.75" customHeight="1">
      <c r="A635" s="686"/>
      <c r="B635" s="687"/>
      <c r="C635" s="243"/>
      <c r="D635" s="244"/>
      <c r="E635" s="174"/>
      <c r="F635" s="406"/>
      <c r="G635" s="174"/>
    </row>
    <row r="636" spans="1:7" ht="15.75" customHeight="1">
      <c r="A636" s="686"/>
      <c r="B636" s="687"/>
      <c r="C636" s="243"/>
      <c r="D636" s="244"/>
      <c r="E636" s="174"/>
      <c r="F636" s="406"/>
      <c r="G636" s="174"/>
    </row>
    <row r="637" spans="1:7" ht="15.75" customHeight="1">
      <c r="A637" s="686"/>
      <c r="B637" s="687"/>
      <c r="C637" s="243"/>
      <c r="D637" s="244"/>
      <c r="E637" s="174"/>
      <c r="F637" s="406"/>
      <c r="G637" s="174"/>
    </row>
    <row r="638" spans="1:7" ht="15.75" customHeight="1">
      <c r="A638" s="686"/>
      <c r="B638" s="687"/>
      <c r="C638" s="243"/>
      <c r="D638" s="244"/>
      <c r="E638" s="174"/>
      <c r="F638" s="406"/>
      <c r="G638" s="174"/>
    </row>
    <row r="639" spans="1:7" ht="15.75" customHeight="1">
      <c r="A639" s="686"/>
      <c r="B639" s="687"/>
      <c r="C639" s="243"/>
      <c r="D639" s="244"/>
      <c r="E639" s="174"/>
      <c r="F639" s="406"/>
      <c r="G639" s="174"/>
    </row>
    <row r="640" spans="1:7" ht="15.75" customHeight="1">
      <c r="A640" s="686"/>
      <c r="B640" s="687"/>
      <c r="C640" s="243"/>
      <c r="D640" s="244"/>
      <c r="E640" s="174"/>
      <c r="F640" s="406"/>
      <c r="G640" s="174"/>
    </row>
    <row r="641" spans="1:7" ht="15.75" customHeight="1">
      <c r="A641" s="686"/>
      <c r="B641" s="687"/>
      <c r="C641" s="243"/>
      <c r="D641" s="244"/>
      <c r="E641" s="174"/>
      <c r="F641" s="406"/>
      <c r="G641" s="174"/>
    </row>
    <row r="642" spans="1:7" ht="15.75" customHeight="1">
      <c r="A642" s="686"/>
      <c r="B642" s="687"/>
      <c r="C642" s="243"/>
      <c r="D642" s="244"/>
      <c r="E642" s="174"/>
      <c r="F642" s="406"/>
      <c r="G642" s="174"/>
    </row>
    <row r="643" spans="1:7" ht="15.75" customHeight="1">
      <c r="A643" s="686"/>
      <c r="B643" s="687"/>
      <c r="C643" s="243"/>
      <c r="D643" s="244"/>
      <c r="E643" s="174"/>
      <c r="F643" s="406"/>
      <c r="G643" s="174"/>
    </row>
    <row r="644" spans="1:7" ht="15.75" customHeight="1">
      <c r="A644" s="686"/>
      <c r="B644" s="687"/>
      <c r="C644" s="243"/>
      <c r="D644" s="244"/>
      <c r="E644" s="174"/>
      <c r="F644" s="406"/>
      <c r="G644" s="174"/>
    </row>
    <row r="645" spans="1:7" ht="15.75" customHeight="1">
      <c r="A645" s="686"/>
      <c r="B645" s="687"/>
      <c r="C645" s="243"/>
      <c r="D645" s="244"/>
      <c r="E645" s="174"/>
      <c r="F645" s="406"/>
      <c r="G645" s="174"/>
    </row>
    <row r="646" spans="1:7" ht="15.75" customHeight="1">
      <c r="A646" s="686"/>
      <c r="B646" s="687"/>
      <c r="C646" s="243"/>
      <c r="D646" s="244"/>
      <c r="E646" s="174"/>
      <c r="F646" s="406"/>
      <c r="G646" s="174"/>
    </row>
    <row r="647" spans="1:7" ht="15.75" customHeight="1">
      <c r="A647" s="686"/>
      <c r="B647" s="687"/>
      <c r="C647" s="243"/>
      <c r="D647" s="244"/>
      <c r="E647" s="174"/>
      <c r="F647" s="406"/>
      <c r="G647" s="174"/>
    </row>
    <row r="648" spans="1:7" ht="15.75" customHeight="1">
      <c r="A648" s="686"/>
      <c r="B648" s="687"/>
      <c r="C648" s="243"/>
      <c r="D648" s="244"/>
      <c r="E648" s="174"/>
      <c r="F648" s="406"/>
      <c r="G648" s="174"/>
    </row>
    <row r="649" spans="1:7" ht="15.75" customHeight="1">
      <c r="A649" s="686"/>
      <c r="B649" s="687"/>
      <c r="C649" s="243"/>
      <c r="D649" s="244"/>
      <c r="E649" s="174"/>
      <c r="F649" s="406"/>
      <c r="G649" s="174"/>
    </row>
    <row r="650" spans="1:7" ht="15.75" customHeight="1">
      <c r="A650" s="686"/>
      <c r="B650" s="687"/>
      <c r="C650" s="243"/>
      <c r="D650" s="244"/>
      <c r="E650" s="174"/>
      <c r="F650" s="406"/>
      <c r="G650" s="174"/>
    </row>
    <row r="651" spans="1:7" ht="15.75" customHeight="1">
      <c r="A651" s="686"/>
      <c r="B651" s="687"/>
      <c r="C651" s="243"/>
      <c r="D651" s="244"/>
      <c r="E651" s="174"/>
      <c r="F651" s="406"/>
      <c r="G651" s="174"/>
    </row>
    <row r="652" spans="1:7" ht="15.75" customHeight="1">
      <c r="A652" s="686"/>
      <c r="B652" s="687"/>
      <c r="C652" s="243"/>
      <c r="D652" s="244"/>
      <c r="E652" s="174"/>
      <c r="F652" s="406"/>
      <c r="G652" s="174"/>
    </row>
    <row r="653" spans="1:7" ht="15.75" customHeight="1">
      <c r="A653" s="686"/>
      <c r="B653" s="687"/>
      <c r="C653" s="243"/>
      <c r="D653" s="244"/>
      <c r="E653" s="174"/>
      <c r="F653" s="406"/>
      <c r="G653" s="174"/>
    </row>
    <row r="654" spans="1:7" ht="15.75" customHeight="1">
      <c r="A654" s="686"/>
      <c r="B654" s="687"/>
      <c r="C654" s="243"/>
      <c r="D654" s="244"/>
      <c r="E654" s="174"/>
      <c r="F654" s="406"/>
      <c r="G654" s="174"/>
    </row>
    <row r="655" spans="1:7" ht="15.75" customHeight="1">
      <c r="A655" s="686"/>
      <c r="B655" s="687"/>
      <c r="C655" s="243"/>
      <c r="D655" s="244"/>
      <c r="E655" s="174"/>
      <c r="F655" s="406"/>
      <c r="G655" s="174"/>
    </row>
    <row r="656" spans="1:7" ht="15.75" customHeight="1">
      <c r="A656" s="686"/>
      <c r="B656" s="687"/>
      <c r="C656" s="243"/>
      <c r="D656" s="244"/>
      <c r="E656" s="174"/>
      <c r="F656" s="406"/>
      <c r="G656" s="174"/>
    </row>
    <row r="657" spans="1:7" ht="15.75" customHeight="1">
      <c r="A657" s="686"/>
      <c r="B657" s="687"/>
      <c r="C657" s="243"/>
      <c r="D657" s="244"/>
      <c r="E657" s="174"/>
      <c r="F657" s="406"/>
      <c r="G657" s="174"/>
    </row>
    <row r="658" spans="1:7" ht="14.25" customHeight="1">
      <c r="A658" s="7"/>
      <c r="B658" s="7"/>
      <c r="C658" s="7"/>
      <c r="D658" s="7"/>
      <c r="E658" s="174"/>
      <c r="F658" s="406"/>
      <c r="G658" s="174"/>
    </row>
    <row r="659" spans="1:7" ht="14.25" customHeight="1">
      <c r="A659" s="7"/>
      <c r="B659" s="7"/>
      <c r="C659" s="7"/>
      <c r="D659" s="7"/>
      <c r="E659" s="174"/>
      <c r="F659" s="406"/>
      <c r="G659" s="174"/>
    </row>
    <row r="660" spans="1:7" ht="14.25" customHeight="1">
      <c r="A660" s="7"/>
      <c r="B660" s="7"/>
      <c r="C660" s="7"/>
      <c r="D660" s="7"/>
      <c r="E660" s="174"/>
      <c r="F660" s="406"/>
      <c r="G660" s="174"/>
    </row>
    <row r="661" spans="1:7" ht="14.25" customHeight="1">
      <c r="A661" s="7"/>
      <c r="B661" s="7"/>
      <c r="C661" s="7"/>
      <c r="D661" s="7"/>
      <c r="E661" s="174"/>
      <c r="F661" s="406"/>
      <c r="G661" s="174"/>
    </row>
    <row r="662" spans="1:7" ht="14.25" customHeight="1">
      <c r="A662" s="7"/>
      <c r="B662" s="7"/>
      <c r="C662" s="7"/>
      <c r="D662" s="7"/>
      <c r="E662" s="174"/>
      <c r="F662" s="406"/>
      <c r="G662" s="174"/>
    </row>
    <row r="663" spans="1:7" ht="14.25" customHeight="1">
      <c r="A663" s="7"/>
      <c r="B663" s="7"/>
      <c r="C663" s="7"/>
      <c r="D663" s="7"/>
      <c r="E663" s="174"/>
      <c r="F663" s="406"/>
      <c r="G663" s="174"/>
    </row>
    <row r="664" spans="1:7" ht="14.25" customHeight="1">
      <c r="A664" s="7"/>
      <c r="B664" s="7"/>
      <c r="C664" s="7"/>
      <c r="D664" s="7"/>
      <c r="E664" s="174"/>
      <c r="F664" s="406"/>
      <c r="G664" s="174"/>
    </row>
    <row r="665" spans="1:7" ht="14.25" customHeight="1">
      <c r="A665" s="7"/>
      <c r="B665" s="7"/>
      <c r="C665" s="7"/>
      <c r="D665" s="7"/>
      <c r="E665" s="174"/>
      <c r="F665" s="406"/>
      <c r="G665" s="174"/>
    </row>
    <row r="666" spans="1:7" ht="14.25" customHeight="1">
      <c r="A666" s="7"/>
      <c r="B666" s="7"/>
      <c r="C666" s="7"/>
      <c r="D666" s="7"/>
      <c r="E666" s="174"/>
      <c r="F666" s="406"/>
      <c r="G666" s="174"/>
    </row>
    <row r="667" spans="1:7" ht="14.25" customHeight="1">
      <c r="A667" s="7"/>
      <c r="B667" s="7"/>
      <c r="C667" s="7"/>
      <c r="D667" s="7"/>
      <c r="E667" s="174"/>
      <c r="F667" s="406"/>
      <c r="G667" s="174"/>
    </row>
    <row r="668" spans="1:7" ht="14.25" customHeight="1">
      <c r="A668" s="7"/>
      <c r="B668" s="7"/>
      <c r="C668" s="7"/>
      <c r="D668" s="7"/>
      <c r="E668" s="174"/>
      <c r="F668" s="406"/>
      <c r="G668" s="174"/>
    </row>
    <row r="669" spans="1:7" ht="14.25" customHeight="1">
      <c r="A669" s="7"/>
      <c r="B669" s="7"/>
      <c r="C669" s="7"/>
      <c r="D669" s="7"/>
      <c r="E669" s="174"/>
      <c r="F669" s="406"/>
      <c r="G669" s="174"/>
    </row>
    <row r="670" spans="1:7" ht="14.25" customHeight="1">
      <c r="A670" s="7"/>
      <c r="B670" s="7"/>
      <c r="C670" s="7"/>
      <c r="D670" s="7"/>
      <c r="E670" s="174"/>
      <c r="F670" s="406"/>
      <c r="G670" s="174"/>
    </row>
    <row r="671" spans="1:7" ht="14.25" customHeight="1">
      <c r="A671" s="7"/>
      <c r="B671" s="7"/>
      <c r="C671" s="7"/>
      <c r="D671" s="7"/>
      <c r="E671" s="174"/>
      <c r="F671" s="406"/>
      <c r="G671" s="174"/>
    </row>
    <row r="672" spans="1:7" ht="14.25" customHeight="1">
      <c r="A672" s="7"/>
      <c r="B672" s="7"/>
      <c r="C672" s="7"/>
      <c r="D672" s="7"/>
      <c r="E672" s="174"/>
      <c r="F672" s="406"/>
      <c r="G672" s="174"/>
    </row>
    <row r="673" spans="1:7" ht="14.25" customHeight="1">
      <c r="A673" s="7"/>
      <c r="B673" s="7"/>
      <c r="C673" s="7"/>
      <c r="D673" s="7"/>
      <c r="E673" s="174"/>
      <c r="F673" s="406"/>
      <c r="G673" s="174"/>
    </row>
    <row r="674" spans="1:7" ht="14.25" customHeight="1">
      <c r="A674" s="7"/>
      <c r="B674" s="7"/>
      <c r="C674" s="7"/>
      <c r="D674" s="7"/>
      <c r="E674" s="174"/>
      <c r="F674" s="406"/>
      <c r="G674" s="174"/>
    </row>
    <row r="675" spans="1:7" ht="14.25" customHeight="1">
      <c r="A675" s="7"/>
      <c r="B675" s="7"/>
      <c r="C675" s="7"/>
      <c r="D675" s="7"/>
      <c r="E675" s="174"/>
      <c r="F675" s="406"/>
      <c r="G675" s="174"/>
    </row>
    <row r="676" spans="1:7" ht="14.25" customHeight="1">
      <c r="A676" s="7"/>
      <c r="B676" s="7"/>
      <c r="C676" s="7"/>
      <c r="D676" s="7"/>
      <c r="E676" s="174"/>
      <c r="F676" s="406"/>
      <c r="G676" s="174"/>
    </row>
    <row r="677" spans="1:7" ht="14.25" customHeight="1">
      <c r="A677" s="7"/>
      <c r="B677" s="7"/>
      <c r="C677" s="7"/>
      <c r="D677" s="7"/>
      <c r="E677" s="174"/>
      <c r="F677" s="406"/>
      <c r="G677" s="174"/>
    </row>
    <row r="678" spans="1:7" ht="14.25" customHeight="1">
      <c r="A678" s="7"/>
      <c r="B678" s="7"/>
      <c r="C678" s="7"/>
      <c r="D678" s="7"/>
      <c r="E678" s="174"/>
      <c r="F678" s="406"/>
      <c r="G678" s="174"/>
    </row>
    <row r="679" spans="1:7" ht="14.25" customHeight="1">
      <c r="A679" s="7"/>
      <c r="B679" s="7"/>
      <c r="C679" s="7"/>
      <c r="D679" s="7"/>
      <c r="E679" s="174"/>
      <c r="F679" s="406"/>
      <c r="G679" s="174"/>
    </row>
    <row r="680" spans="1:7" ht="14.25" customHeight="1">
      <c r="A680" s="7"/>
      <c r="B680" s="7"/>
      <c r="C680" s="7"/>
      <c r="D680" s="7"/>
      <c r="E680" s="174"/>
      <c r="F680" s="406"/>
      <c r="G680" s="174"/>
    </row>
    <row r="681" spans="1:7" ht="14.25" customHeight="1">
      <c r="A681" s="7"/>
      <c r="B681" s="7"/>
      <c r="C681" s="7"/>
      <c r="D681" s="7"/>
      <c r="E681" s="174"/>
      <c r="F681" s="406"/>
      <c r="G681" s="174"/>
    </row>
    <row r="682" spans="1:7" ht="14.25" customHeight="1">
      <c r="A682" s="7"/>
      <c r="B682" s="7"/>
      <c r="C682" s="7"/>
      <c r="D682" s="7"/>
      <c r="E682" s="174"/>
      <c r="F682" s="406"/>
      <c r="G682" s="174"/>
    </row>
    <row r="683" spans="1:7" ht="14.25" customHeight="1">
      <c r="A683" s="7"/>
      <c r="B683" s="7"/>
      <c r="C683" s="7"/>
      <c r="D683" s="7"/>
      <c r="E683" s="174"/>
      <c r="F683" s="406"/>
      <c r="G683" s="174"/>
    </row>
    <row r="684" spans="1:7" ht="14.25" customHeight="1">
      <c r="A684" s="7"/>
      <c r="B684" s="7"/>
      <c r="C684" s="7"/>
      <c r="D684" s="7"/>
      <c r="E684" s="174"/>
      <c r="F684" s="406"/>
      <c r="G684" s="174"/>
    </row>
    <row r="685" spans="1:7" ht="14.25" customHeight="1">
      <c r="A685" s="7"/>
      <c r="B685" s="7"/>
      <c r="C685" s="7"/>
      <c r="D685" s="7"/>
      <c r="E685" s="174"/>
      <c r="F685" s="406"/>
      <c r="G685" s="174"/>
    </row>
    <row r="686" spans="1:7" ht="14.25" customHeight="1">
      <c r="A686" s="7"/>
      <c r="B686" s="7"/>
      <c r="C686" s="7"/>
      <c r="D686" s="7"/>
      <c r="E686" s="174"/>
      <c r="F686" s="406"/>
      <c r="G686" s="174"/>
    </row>
    <row r="687" spans="1:7" ht="14.25" customHeight="1">
      <c r="A687" s="7"/>
      <c r="B687" s="7"/>
      <c r="C687" s="7"/>
      <c r="D687" s="7"/>
      <c r="E687" s="174"/>
      <c r="F687" s="406"/>
      <c r="G687" s="174"/>
    </row>
    <row r="688" spans="1:7" ht="14.25" customHeight="1">
      <c r="A688" s="7"/>
      <c r="B688" s="7"/>
      <c r="C688" s="7"/>
      <c r="D688" s="7"/>
      <c r="E688" s="174"/>
      <c r="F688" s="406"/>
      <c r="G688" s="174"/>
    </row>
    <row r="689" spans="1:7" ht="14.25" customHeight="1">
      <c r="A689" s="7"/>
      <c r="B689" s="7"/>
      <c r="C689" s="7"/>
      <c r="D689" s="7"/>
      <c r="E689" s="174"/>
      <c r="F689" s="406"/>
      <c r="G689" s="174"/>
    </row>
    <row r="690" spans="1:7" ht="14.25" customHeight="1">
      <c r="A690" s="7"/>
      <c r="B690" s="7"/>
      <c r="C690" s="7"/>
      <c r="D690" s="7"/>
      <c r="E690" s="174"/>
      <c r="F690" s="406"/>
      <c r="G690" s="174"/>
    </row>
    <row r="691" spans="1:7" ht="14.25" customHeight="1">
      <c r="A691" s="7"/>
      <c r="B691" s="7"/>
      <c r="C691" s="7"/>
      <c r="D691" s="7"/>
      <c r="E691" s="174"/>
      <c r="F691" s="406"/>
      <c r="G691" s="174"/>
    </row>
    <row r="692" spans="1:7" ht="14.25" customHeight="1">
      <c r="A692" s="7"/>
      <c r="B692" s="7"/>
      <c r="C692" s="7"/>
      <c r="D692" s="7"/>
      <c r="E692" s="174"/>
      <c r="F692" s="406"/>
      <c r="G692" s="174"/>
    </row>
    <row r="693" spans="1:7" ht="14.25" customHeight="1">
      <c r="A693" s="7"/>
      <c r="B693" s="7"/>
      <c r="C693" s="7"/>
      <c r="D693" s="7"/>
      <c r="E693" s="174"/>
      <c r="F693" s="406"/>
      <c r="G693" s="174"/>
    </row>
    <row r="694" spans="1:7" ht="14.25" customHeight="1">
      <c r="A694" s="7"/>
      <c r="B694" s="7"/>
      <c r="C694" s="7"/>
      <c r="D694" s="7"/>
      <c r="E694" s="174"/>
      <c r="F694" s="406"/>
      <c r="G694" s="174"/>
    </row>
    <row r="695" spans="1:7" ht="14.25" customHeight="1">
      <c r="A695" s="7"/>
      <c r="B695" s="7"/>
      <c r="C695" s="7"/>
      <c r="D695" s="7"/>
      <c r="E695" s="174"/>
      <c r="F695" s="406"/>
      <c r="G695" s="174"/>
    </row>
    <row r="696" spans="1:7" ht="14.25" customHeight="1">
      <c r="A696" s="7"/>
      <c r="B696" s="7"/>
      <c r="C696" s="7"/>
      <c r="D696" s="7"/>
      <c r="E696" s="174"/>
      <c r="F696" s="406"/>
      <c r="G696" s="174"/>
    </row>
    <row r="697" spans="1:7" ht="14.25" customHeight="1">
      <c r="A697" s="7"/>
      <c r="B697" s="7"/>
      <c r="C697" s="7"/>
      <c r="D697" s="7"/>
      <c r="E697" s="174"/>
      <c r="F697" s="406"/>
      <c r="G697" s="174"/>
    </row>
    <row r="698" spans="1:7" ht="14.25" customHeight="1">
      <c r="A698" s="7"/>
      <c r="B698" s="7"/>
      <c r="C698" s="7"/>
      <c r="D698" s="7"/>
      <c r="E698" s="174"/>
      <c r="F698" s="406"/>
      <c r="G698" s="174"/>
    </row>
    <row r="699" spans="1:7" ht="14.25" customHeight="1">
      <c r="A699" s="7"/>
      <c r="B699" s="7"/>
      <c r="C699" s="7"/>
      <c r="D699" s="7"/>
      <c r="E699" s="174"/>
      <c r="F699" s="406"/>
      <c r="G699" s="174"/>
    </row>
    <row r="700" spans="1:7" ht="14.25" customHeight="1">
      <c r="A700" s="7"/>
      <c r="B700" s="7"/>
      <c r="C700" s="7"/>
      <c r="D700" s="7"/>
      <c r="E700" s="174"/>
      <c r="F700" s="406"/>
      <c r="G700" s="174"/>
    </row>
    <row r="701" spans="1:7" ht="14.25" customHeight="1">
      <c r="A701" s="7"/>
      <c r="B701" s="7"/>
      <c r="C701" s="7"/>
      <c r="D701" s="7"/>
      <c r="E701" s="174"/>
      <c r="F701" s="406"/>
      <c r="G701" s="174"/>
    </row>
    <row r="702" spans="1:7" ht="14.25" customHeight="1">
      <c r="A702" s="7"/>
      <c r="B702" s="7"/>
      <c r="C702" s="7"/>
      <c r="D702" s="7"/>
      <c r="E702" s="174"/>
      <c r="F702" s="406"/>
      <c r="G702" s="174"/>
    </row>
    <row r="703" spans="1:7" ht="14.25" customHeight="1">
      <c r="A703" s="7"/>
      <c r="B703" s="7"/>
      <c r="C703" s="7"/>
      <c r="D703" s="7"/>
      <c r="E703" s="174"/>
      <c r="F703" s="406"/>
      <c r="G703" s="174"/>
    </row>
    <row r="704" spans="1:7" ht="14.25" customHeight="1">
      <c r="A704" s="7"/>
      <c r="B704" s="7"/>
      <c r="C704" s="7"/>
      <c r="D704" s="7"/>
      <c r="E704" s="174"/>
      <c r="F704" s="406"/>
      <c r="G704" s="174"/>
    </row>
    <row r="705" spans="1:7" ht="14.25" customHeight="1">
      <c r="A705" s="7"/>
      <c r="B705" s="7"/>
      <c r="C705" s="7"/>
      <c r="D705" s="7"/>
      <c r="E705" s="174"/>
      <c r="F705" s="406"/>
      <c r="G705" s="174"/>
    </row>
    <row r="706" spans="1:7" ht="14.25" customHeight="1">
      <c r="A706" s="7"/>
      <c r="B706" s="7"/>
      <c r="C706" s="7"/>
      <c r="D706" s="7"/>
      <c r="E706" s="174"/>
      <c r="F706" s="406"/>
      <c r="G706" s="174"/>
    </row>
    <row r="707" spans="1:7" ht="14.25" customHeight="1">
      <c r="A707" s="7"/>
      <c r="B707" s="7"/>
      <c r="C707" s="7"/>
      <c r="D707" s="7"/>
      <c r="E707" s="174"/>
      <c r="F707" s="406"/>
      <c r="G707" s="174"/>
    </row>
    <row r="708" spans="1:7" ht="14.25" customHeight="1">
      <c r="A708" s="7"/>
      <c r="B708" s="7"/>
      <c r="C708" s="7"/>
      <c r="D708" s="7"/>
      <c r="E708" s="174"/>
      <c r="F708" s="406"/>
      <c r="G708" s="174"/>
    </row>
    <row r="709" spans="1:7" ht="14.25" customHeight="1">
      <c r="A709" s="7"/>
      <c r="B709" s="7"/>
      <c r="C709" s="7"/>
      <c r="D709" s="7"/>
      <c r="E709" s="174"/>
      <c r="F709" s="406"/>
      <c r="G709" s="174"/>
    </row>
    <row r="710" spans="1:7" ht="14.25" customHeight="1">
      <c r="A710" s="7"/>
      <c r="B710" s="7"/>
      <c r="C710" s="7"/>
      <c r="D710" s="7"/>
      <c r="E710" s="174"/>
      <c r="F710" s="406"/>
      <c r="G710" s="174"/>
    </row>
    <row r="711" spans="1:7" ht="14.25" customHeight="1">
      <c r="A711" s="7"/>
      <c r="B711" s="7"/>
      <c r="C711" s="7"/>
      <c r="D711" s="7"/>
      <c r="E711" s="174"/>
      <c r="F711" s="406"/>
      <c r="G711" s="174"/>
    </row>
    <row r="712" spans="1:7" ht="14.25" customHeight="1">
      <c r="A712" s="7"/>
      <c r="B712" s="7"/>
      <c r="C712" s="7"/>
      <c r="D712" s="7"/>
      <c r="E712" s="174"/>
      <c r="F712" s="406"/>
      <c r="G712" s="174"/>
    </row>
    <row r="713" spans="1:7" ht="14.25" customHeight="1">
      <c r="A713" s="7"/>
      <c r="B713" s="7"/>
      <c r="C713" s="7"/>
      <c r="D713" s="7"/>
      <c r="E713" s="174"/>
      <c r="F713" s="406"/>
      <c r="G713" s="174"/>
    </row>
    <row r="714" spans="1:7" ht="14.25" customHeight="1">
      <c r="A714" s="7"/>
      <c r="B714" s="7"/>
      <c r="C714" s="7"/>
      <c r="D714" s="7"/>
      <c r="E714" s="174"/>
      <c r="F714" s="406"/>
      <c r="G714" s="174"/>
    </row>
    <row r="715" spans="1:7" ht="14.25" customHeight="1">
      <c r="A715" s="7"/>
      <c r="B715" s="7"/>
      <c r="C715" s="7"/>
      <c r="D715" s="7"/>
      <c r="E715" s="174"/>
      <c r="F715" s="406"/>
      <c r="G715" s="174"/>
    </row>
    <row r="716" spans="1:7" ht="14.25" customHeight="1">
      <c r="A716" s="7"/>
      <c r="B716" s="7"/>
      <c r="C716" s="7"/>
      <c r="D716" s="7"/>
      <c r="E716" s="174"/>
      <c r="F716" s="406"/>
      <c r="G716" s="174"/>
    </row>
    <row r="717" spans="1:7" ht="14.25" customHeight="1">
      <c r="A717" s="7"/>
      <c r="B717" s="7"/>
      <c r="C717" s="7"/>
      <c r="D717" s="7"/>
      <c r="E717" s="174"/>
      <c r="F717" s="406"/>
      <c r="G717" s="174"/>
    </row>
    <row r="718" spans="1:7" ht="14.25" customHeight="1">
      <c r="A718" s="7"/>
      <c r="B718" s="7"/>
      <c r="C718" s="7"/>
      <c r="D718" s="7"/>
      <c r="E718" s="174"/>
      <c r="F718" s="406"/>
      <c r="G718" s="174"/>
    </row>
    <row r="719" spans="1:7" ht="14.25" customHeight="1">
      <c r="A719" s="7"/>
      <c r="B719" s="7"/>
      <c r="C719" s="7"/>
      <c r="D719" s="7"/>
      <c r="E719" s="174"/>
      <c r="F719" s="406"/>
      <c r="G719" s="174"/>
    </row>
    <row r="720" spans="1:7" ht="14.25" customHeight="1">
      <c r="A720" s="7"/>
      <c r="B720" s="7"/>
      <c r="C720" s="7"/>
      <c r="D720" s="7"/>
      <c r="E720" s="174"/>
      <c r="F720" s="406"/>
      <c r="G720" s="174"/>
    </row>
    <row r="721" spans="1:7" ht="14.25" customHeight="1">
      <c r="A721" s="7"/>
      <c r="B721" s="7"/>
      <c r="C721" s="7"/>
      <c r="D721" s="7"/>
      <c r="E721" s="174"/>
      <c r="F721" s="406"/>
      <c r="G721" s="174"/>
    </row>
    <row r="722" spans="1:7" ht="14.25" customHeight="1">
      <c r="A722" s="7"/>
      <c r="B722" s="7"/>
      <c r="C722" s="7"/>
      <c r="D722" s="7"/>
      <c r="E722" s="174"/>
      <c r="F722" s="406"/>
      <c r="G722" s="174"/>
    </row>
    <row r="723" spans="1:7" ht="15.75" customHeight="1"/>
    <row r="724" spans="1:7" ht="15.75" customHeight="1"/>
    <row r="725" spans="1:7" ht="15.75" customHeight="1"/>
    <row r="726" spans="1:7" ht="15.75" customHeight="1"/>
    <row r="727" spans="1:7" ht="15.75" customHeight="1"/>
    <row r="728" spans="1:7" ht="15.75" customHeight="1"/>
    <row r="729" spans="1:7" ht="15.75" customHeight="1"/>
    <row r="730" spans="1:7" ht="15.75" customHeight="1"/>
    <row r="731" spans="1:7" ht="15.75" customHeight="1"/>
    <row r="732" spans="1:7" ht="15.75" customHeight="1"/>
    <row r="733" spans="1:7" ht="15.75" customHeight="1"/>
    <row r="734" spans="1:7" ht="15.75" customHeight="1"/>
    <row r="735" spans="1:7" ht="15.75" customHeight="1"/>
    <row r="736" spans="1:7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D4"/>
    <mergeCell ref="A5:D5"/>
    <mergeCell ref="A6:D6"/>
    <mergeCell ref="C9:D9"/>
    <mergeCell ref="B447:C447"/>
  </mergeCells>
  <conditionalFormatting sqref="E11:J11">
    <cfRule type="containsText" dxfId="18" priority="1" operator="containsText" text="cao bằng">
      <formula>NOT(ISERROR(SEARCH(("cao bằng"),(E11))))</formula>
    </cfRule>
  </conditionalFormatting>
  <conditionalFormatting sqref="K11:Q11">
    <cfRule type="containsText" dxfId="17" priority="2" operator="containsText" text="điện biên">
      <formula>NOT(ISERROR(SEARCH(("điện biên"),(K11))))</formula>
    </cfRule>
  </conditionalFormatting>
  <conditionalFormatting sqref="Y17:Y447">
    <cfRule type="cellIs" dxfId="16" priority="3" operator="lessThan">
      <formula>0</formula>
    </cfRule>
  </conditionalFormatting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31" ht="24.75" hidden="1" customHeight="1">
      <c r="A1" s="397" t="s">
        <v>0</v>
      </c>
      <c r="B1" s="398"/>
      <c r="C1" s="398"/>
      <c r="D1" s="399"/>
      <c r="E1" s="562"/>
      <c r="F1" s="7"/>
    </row>
    <row r="2" spans="1:31" ht="33" hidden="1" customHeight="1">
      <c r="A2" s="792" t="s">
        <v>1</v>
      </c>
      <c r="B2" s="793"/>
      <c r="C2" s="791"/>
      <c r="D2" s="399"/>
      <c r="E2" s="562"/>
      <c r="F2" s="7"/>
    </row>
    <row r="3" spans="1:31" ht="23.25" hidden="1" customHeight="1">
      <c r="A3" s="794" t="s">
        <v>2</v>
      </c>
      <c r="B3" s="793"/>
      <c r="C3" s="791"/>
      <c r="D3" s="399"/>
      <c r="E3" s="562"/>
      <c r="F3" s="7"/>
    </row>
    <row r="4" spans="1:31" ht="39.75" customHeight="1">
      <c r="A4" s="803" t="s">
        <v>1537</v>
      </c>
      <c r="B4" s="793"/>
      <c r="C4" s="793"/>
      <c r="D4" s="793"/>
      <c r="E4" s="791"/>
      <c r="F4" s="7"/>
    </row>
    <row r="5" spans="1:31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</row>
    <row r="6" spans="1:31" ht="21" hidden="1" customHeight="1">
      <c r="A6" s="804" t="s">
        <v>1338</v>
      </c>
      <c r="B6" s="793"/>
      <c r="C6" s="793"/>
      <c r="D6" s="793"/>
      <c r="E6" s="791"/>
      <c r="F6" s="7"/>
    </row>
    <row r="7" spans="1:31" ht="18.75" hidden="1" customHeight="1">
      <c r="A7" s="244"/>
      <c r="B7" s="401"/>
      <c r="C7" s="564" t="s">
        <v>1339</v>
      </c>
      <c r="D7" s="403"/>
      <c r="E7" s="565"/>
      <c r="F7" s="7"/>
    </row>
    <row r="8" spans="1:31" ht="14.25" hidden="1" customHeight="1">
      <c r="A8" s="244"/>
      <c r="B8" s="404"/>
      <c r="C8" s="564" t="s">
        <v>1340</v>
      </c>
      <c r="D8" s="405"/>
      <c r="E8" s="566"/>
      <c r="F8" s="7"/>
    </row>
    <row r="9" spans="1:31" ht="14.25" hidden="1" customHeight="1">
      <c r="A9" s="244"/>
      <c r="B9" s="404"/>
      <c r="C9" s="798" t="s">
        <v>1341</v>
      </c>
      <c r="D9" s="791"/>
      <c r="E9" s="567"/>
      <c r="F9" s="7"/>
    </row>
    <row r="10" spans="1:31" ht="25.5" customHeight="1">
      <c r="A10" s="568"/>
      <c r="B10" s="569"/>
      <c r="C10" s="570"/>
      <c r="D10" s="571"/>
      <c r="E10" s="572"/>
      <c r="F10" s="7"/>
    </row>
    <row r="11" spans="1:31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414" t="s">
        <v>19</v>
      </c>
      <c r="F11" s="414" t="s">
        <v>19</v>
      </c>
      <c r="G11" s="22" t="s">
        <v>19</v>
      </c>
      <c r="H11" s="22" t="s">
        <v>19</v>
      </c>
      <c r="I11" s="289" t="s">
        <v>19</v>
      </c>
      <c r="J11" s="289" t="s">
        <v>19</v>
      </c>
      <c r="K11" s="289" t="s">
        <v>19</v>
      </c>
      <c r="L11" s="21" t="s">
        <v>19</v>
      </c>
      <c r="M11" s="574" t="s">
        <v>19</v>
      </c>
      <c r="N11" s="22" t="s">
        <v>19</v>
      </c>
      <c r="O11" s="81" t="s">
        <v>19</v>
      </c>
      <c r="P11" s="289" t="s">
        <v>19</v>
      </c>
      <c r="Q11" s="22"/>
      <c r="R11" s="576" t="s">
        <v>38</v>
      </c>
      <c r="S11" s="577"/>
      <c r="T11" s="535"/>
      <c r="U11" s="535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 ht="29.25" customHeight="1">
      <c r="A12" s="578"/>
      <c r="B12" s="430"/>
      <c r="C12" s="579" t="s">
        <v>39</v>
      </c>
      <c r="D12" s="186"/>
      <c r="E12" s="185">
        <v>1</v>
      </c>
      <c r="F12" s="580">
        <v>1</v>
      </c>
      <c r="G12" s="29">
        <v>1</v>
      </c>
      <c r="H12" s="29">
        <v>1</v>
      </c>
      <c r="I12" s="190">
        <v>1</v>
      </c>
      <c r="J12" s="190">
        <v>1</v>
      </c>
      <c r="K12" s="190">
        <v>1</v>
      </c>
      <c r="L12" s="293">
        <v>1</v>
      </c>
      <c r="M12" s="185">
        <v>1</v>
      </c>
      <c r="N12" s="29">
        <v>1</v>
      </c>
      <c r="O12" s="29">
        <v>1</v>
      </c>
      <c r="P12" s="187">
        <v>1</v>
      </c>
      <c r="Q12" s="29"/>
      <c r="R12" s="581">
        <f>SUM(E12:Q12)</f>
        <v>12</v>
      </c>
      <c r="S12" s="582"/>
      <c r="T12" s="582"/>
      <c r="U12" s="582"/>
      <c r="V12" s="7"/>
      <c r="W12" s="7"/>
      <c r="X12" s="7"/>
      <c r="Y12" s="7">
        <v>6</v>
      </c>
      <c r="Z12" s="7"/>
      <c r="AA12" s="7"/>
      <c r="AB12" s="7"/>
      <c r="AC12" s="7"/>
      <c r="AD12" s="7"/>
      <c r="AE12" s="7"/>
    </row>
    <row r="13" spans="1:31" ht="37.5" customHeight="1">
      <c r="A13" s="583"/>
      <c r="B13" s="584"/>
      <c r="C13" s="585" t="s">
        <v>40</v>
      </c>
      <c r="D13" s="584"/>
      <c r="E13" s="32" t="s">
        <v>2276</v>
      </c>
      <c r="F13" s="586" t="s">
        <v>2277</v>
      </c>
      <c r="G13" s="32" t="s">
        <v>2278</v>
      </c>
      <c r="H13" s="189" t="s">
        <v>2279</v>
      </c>
      <c r="I13" s="587" t="s">
        <v>2280</v>
      </c>
      <c r="J13" s="587" t="s">
        <v>2281</v>
      </c>
      <c r="K13" s="587" t="s">
        <v>2282</v>
      </c>
      <c r="L13" s="710" t="s">
        <v>1758</v>
      </c>
      <c r="M13" s="191" t="s">
        <v>1542</v>
      </c>
      <c r="N13" s="189" t="s">
        <v>2092</v>
      </c>
      <c r="O13" s="189" t="s">
        <v>1663</v>
      </c>
      <c r="P13" s="587" t="s">
        <v>2283</v>
      </c>
      <c r="Q13" s="189"/>
      <c r="R13" s="581"/>
      <c r="S13" s="591"/>
      <c r="T13" s="582"/>
      <c r="U13" s="591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31" ht="53.25" customHeight="1">
      <c r="A14" s="578"/>
      <c r="B14" s="430"/>
      <c r="C14" s="579" t="s">
        <v>41</v>
      </c>
      <c r="D14" s="430"/>
      <c r="E14" s="185" t="s">
        <v>2284</v>
      </c>
      <c r="F14" s="186"/>
      <c r="G14" s="30"/>
      <c r="H14" s="30" t="s">
        <v>2285</v>
      </c>
      <c r="I14" s="190"/>
      <c r="J14" s="190"/>
      <c r="K14" s="190"/>
      <c r="L14" s="186"/>
      <c r="M14" s="592"/>
      <c r="N14" s="30"/>
      <c r="O14" s="30" t="s">
        <v>2286</v>
      </c>
      <c r="P14" s="190"/>
      <c r="Q14" s="30"/>
      <c r="R14" s="581"/>
      <c r="S14" s="582"/>
      <c r="T14" s="582"/>
      <c r="U14" s="582"/>
      <c r="V14" s="7"/>
      <c r="W14" s="7"/>
      <c r="X14" s="7"/>
      <c r="Y14" s="7"/>
      <c r="Z14" s="7"/>
      <c r="AA14" s="7"/>
      <c r="AB14" s="7"/>
      <c r="AC14" s="7"/>
      <c r="AD14" s="7"/>
      <c r="AE14" s="7"/>
    </row>
    <row r="15" spans="1:31" ht="51" customHeight="1">
      <c r="A15" s="578"/>
      <c r="B15" s="430"/>
      <c r="C15" s="579" t="s">
        <v>42</v>
      </c>
      <c r="D15" s="430"/>
      <c r="E15" s="191" t="s">
        <v>2287</v>
      </c>
      <c r="F15" s="186" t="s">
        <v>2288</v>
      </c>
      <c r="G15" s="30" t="s">
        <v>2289</v>
      </c>
      <c r="H15" s="30" t="s">
        <v>1886</v>
      </c>
      <c r="I15" s="30" t="s">
        <v>1641</v>
      </c>
      <c r="J15" s="30" t="s">
        <v>1641</v>
      </c>
      <c r="K15" s="190" t="s">
        <v>1394</v>
      </c>
      <c r="L15" s="190" t="s">
        <v>1394</v>
      </c>
      <c r="M15" s="185" t="s">
        <v>1556</v>
      </c>
      <c r="N15" s="30" t="s">
        <v>1394</v>
      </c>
      <c r="O15" s="30" t="s">
        <v>1394</v>
      </c>
      <c r="P15" s="30" t="s">
        <v>2162</v>
      </c>
      <c r="Q15" s="30"/>
      <c r="R15" s="576"/>
      <c r="S15" s="582"/>
      <c r="T15" s="582"/>
      <c r="U15" s="582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 ht="30.75" customHeight="1">
      <c r="A16" s="579"/>
      <c r="B16" s="186"/>
      <c r="C16" s="579" t="s">
        <v>43</v>
      </c>
      <c r="D16" s="186"/>
      <c r="E16" s="193" t="s">
        <v>2290</v>
      </c>
      <c r="F16" s="586" t="s">
        <v>2291</v>
      </c>
      <c r="G16" s="34" t="s">
        <v>2292</v>
      </c>
      <c r="H16" s="34" t="s">
        <v>2293</v>
      </c>
      <c r="I16" s="194" t="s">
        <v>2174</v>
      </c>
      <c r="J16" s="194" t="s">
        <v>2294</v>
      </c>
      <c r="K16" s="194" t="s">
        <v>2295</v>
      </c>
      <c r="L16" s="354" t="s">
        <v>2296</v>
      </c>
      <c r="M16" s="185" t="s">
        <v>2297</v>
      </c>
      <c r="N16" s="34" t="s">
        <v>1563</v>
      </c>
      <c r="O16" s="34" t="s">
        <v>2298</v>
      </c>
      <c r="P16" s="190" t="s">
        <v>2299</v>
      </c>
      <c r="Q16" s="34"/>
      <c r="R16" s="598"/>
      <c r="S16" s="599"/>
      <c r="T16" s="599"/>
      <c r="U16" s="599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 ht="33.75" customHeight="1">
      <c r="A17" s="583"/>
      <c r="B17" s="584"/>
      <c r="C17" s="585" t="s">
        <v>70</v>
      </c>
      <c r="D17" s="584"/>
      <c r="E17" s="32" t="s">
        <v>2300</v>
      </c>
      <c r="F17" s="586" t="s">
        <v>2277</v>
      </c>
      <c r="G17" s="32" t="s">
        <v>2182</v>
      </c>
      <c r="H17" s="189" t="s">
        <v>2301</v>
      </c>
      <c r="I17" s="587" t="s">
        <v>2302</v>
      </c>
      <c r="J17" s="587" t="s">
        <v>2303</v>
      </c>
      <c r="K17" s="587" t="s">
        <v>2282</v>
      </c>
      <c r="L17" s="710" t="s">
        <v>1670</v>
      </c>
      <c r="M17" s="30" t="s">
        <v>2304</v>
      </c>
      <c r="N17" s="32" t="s">
        <v>1717</v>
      </c>
      <c r="O17" s="189" t="s">
        <v>2009</v>
      </c>
      <c r="P17" s="587" t="s">
        <v>1785</v>
      </c>
      <c r="Q17" s="189"/>
      <c r="R17" s="581"/>
      <c r="S17" s="591"/>
      <c r="T17" s="591"/>
      <c r="U17" s="591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spans="1:31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196"/>
      <c r="G18" s="43"/>
      <c r="H18" s="43"/>
      <c r="I18" s="198"/>
      <c r="J18" s="198"/>
      <c r="K18" s="198"/>
      <c r="L18" s="196"/>
      <c r="M18" s="197"/>
      <c r="N18" s="43"/>
      <c r="O18" s="43"/>
      <c r="P18" s="198"/>
      <c r="Q18" s="302"/>
      <c r="R18" s="607"/>
      <c r="S18" s="608"/>
      <c r="T18" s="609"/>
      <c r="U18" s="609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spans="1:31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2"/>
      <c r="G19" s="201"/>
      <c r="H19" s="201"/>
      <c r="I19" s="204"/>
      <c r="J19" s="204"/>
      <c r="K19" s="204"/>
      <c r="L19" s="202"/>
      <c r="M19" s="611"/>
      <c r="N19" s="201"/>
      <c r="O19" s="201"/>
      <c r="P19" s="204"/>
      <c r="Q19" s="21"/>
      <c r="R19" s="616"/>
      <c r="S19" s="617"/>
      <c r="T19" s="577"/>
      <c r="U19" s="577"/>
      <c r="V19" s="7"/>
      <c r="W19" s="363"/>
      <c r="X19" s="7"/>
      <c r="Y19" s="618">
        <f t="shared" ref="Y19:Y29" si="0">W19-R19</f>
        <v>0</v>
      </c>
      <c r="Z19" s="7"/>
      <c r="AA19" s="7"/>
      <c r="AB19" s="7"/>
      <c r="AC19" s="7"/>
      <c r="AD19" s="7"/>
      <c r="AE19" s="7"/>
    </row>
    <row r="20" spans="1:31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10">
        <v>1</v>
      </c>
      <c r="G20" s="209"/>
      <c r="H20" s="209"/>
      <c r="I20" s="211"/>
      <c r="J20" s="211"/>
      <c r="K20" s="211"/>
      <c r="L20" s="210"/>
      <c r="M20" s="620"/>
      <c r="N20" s="209"/>
      <c r="O20" s="209"/>
      <c r="P20" s="365">
        <v>1</v>
      </c>
      <c r="Q20" s="215"/>
      <c r="R20" s="625">
        <f t="shared" ref="R20:R274" si="1">+SUM(E20:Q20)</f>
        <v>2</v>
      </c>
      <c r="S20" s="626"/>
      <c r="T20" s="627"/>
      <c r="U20" s="627"/>
      <c r="V20" s="7"/>
      <c r="W20" s="723">
        <v>2</v>
      </c>
      <c r="X20" s="7"/>
      <c r="Y20" s="618">
        <f t="shared" si="0"/>
        <v>0</v>
      </c>
      <c r="Z20" s="7"/>
      <c r="AA20" s="7"/>
      <c r="AB20" s="7"/>
      <c r="AC20" s="7"/>
      <c r="AD20" s="7"/>
      <c r="AE20" s="7"/>
    </row>
    <row r="21" spans="1:31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4"/>
      <c r="G21" s="213"/>
      <c r="H21" s="213"/>
      <c r="I21" s="215"/>
      <c r="J21" s="215"/>
      <c r="K21" s="215"/>
      <c r="L21" s="214"/>
      <c r="M21" s="620"/>
      <c r="N21" s="213"/>
      <c r="O21" s="213"/>
      <c r="P21" s="215"/>
      <c r="Q21" s="215"/>
      <c r="R21" s="616">
        <f t="shared" si="1"/>
        <v>0</v>
      </c>
      <c r="S21" s="633"/>
      <c r="T21" s="634"/>
      <c r="U21" s="634"/>
      <c r="V21" s="7"/>
      <c r="W21" s="699"/>
      <c r="X21" s="7"/>
      <c r="Y21" s="618">
        <f t="shared" si="0"/>
        <v>0</v>
      </c>
      <c r="Z21" s="7"/>
      <c r="AA21" s="7"/>
      <c r="AB21" s="7"/>
      <c r="AC21" s="7"/>
      <c r="AD21" s="7"/>
      <c r="AE21" s="7"/>
    </row>
    <row r="22" spans="1:31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4"/>
      <c r="G22" s="213"/>
      <c r="H22" s="213"/>
      <c r="I22" s="215"/>
      <c r="J22" s="215"/>
      <c r="K22" s="215"/>
      <c r="L22" s="214"/>
      <c r="M22" s="620"/>
      <c r="N22" s="213"/>
      <c r="O22" s="213"/>
      <c r="P22" s="215"/>
      <c r="Q22" s="215"/>
      <c r="R22" s="616">
        <f t="shared" si="1"/>
        <v>0</v>
      </c>
      <c r="S22" s="633"/>
      <c r="T22" s="634"/>
      <c r="U22" s="634"/>
      <c r="V22" s="7"/>
      <c r="W22" s="699"/>
      <c r="X22" s="7"/>
      <c r="Y22" s="618">
        <f t="shared" si="0"/>
        <v>0</v>
      </c>
      <c r="Z22" s="7"/>
      <c r="AA22" s="7"/>
      <c r="AB22" s="7"/>
      <c r="AC22" s="7"/>
      <c r="AD22" s="7"/>
      <c r="AE22" s="7"/>
    </row>
    <row r="23" spans="1:31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4"/>
      <c r="G23" s="213"/>
      <c r="H23" s="213"/>
      <c r="I23" s="215"/>
      <c r="J23" s="215"/>
      <c r="K23" s="215"/>
      <c r="L23" s="214"/>
      <c r="M23" s="620"/>
      <c r="N23" s="213"/>
      <c r="O23" s="213"/>
      <c r="P23" s="215"/>
      <c r="Q23" s="215"/>
      <c r="R23" s="616">
        <f t="shared" si="1"/>
        <v>0</v>
      </c>
      <c r="S23" s="633"/>
      <c r="T23" s="634"/>
      <c r="U23" s="634"/>
      <c r="V23" s="7"/>
      <c r="W23" s="699"/>
      <c r="X23" s="7"/>
      <c r="Y23" s="618">
        <f t="shared" si="0"/>
        <v>0</v>
      </c>
      <c r="Z23" s="7"/>
      <c r="AA23" s="7"/>
      <c r="AB23" s="7"/>
      <c r="AC23" s="7"/>
      <c r="AD23" s="7"/>
      <c r="AE23" s="7"/>
    </row>
    <row r="24" spans="1:31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4"/>
      <c r="G24" s="213"/>
      <c r="H24" s="213"/>
      <c r="I24" s="215"/>
      <c r="J24" s="215"/>
      <c r="K24" s="215"/>
      <c r="L24" s="214"/>
      <c r="M24" s="620"/>
      <c r="N24" s="213"/>
      <c r="O24" s="213"/>
      <c r="P24" s="215"/>
      <c r="Q24" s="215"/>
      <c r="R24" s="616">
        <f t="shared" si="1"/>
        <v>0</v>
      </c>
      <c r="S24" s="633"/>
      <c r="T24" s="634"/>
      <c r="U24" s="634"/>
      <c r="V24" s="7"/>
      <c r="W24" s="699"/>
      <c r="X24" s="7"/>
      <c r="Y24" s="618">
        <f t="shared" si="0"/>
        <v>0</v>
      </c>
      <c r="Z24" s="7"/>
      <c r="AA24" s="7"/>
      <c r="AB24" s="7"/>
      <c r="AC24" s="7"/>
      <c r="AD24" s="7"/>
      <c r="AE24" s="7"/>
    </row>
    <row r="25" spans="1:31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10"/>
      <c r="G25" s="209"/>
      <c r="H25" s="209"/>
      <c r="I25" s="211"/>
      <c r="J25" s="211"/>
      <c r="K25" s="211"/>
      <c r="L25" s="210"/>
      <c r="M25" s="620"/>
      <c r="N25" s="209"/>
      <c r="O25" s="209"/>
      <c r="P25" s="211"/>
      <c r="Q25" s="215"/>
      <c r="R25" s="625">
        <f t="shared" si="1"/>
        <v>0</v>
      </c>
      <c r="S25" s="626"/>
      <c r="T25" s="627"/>
      <c r="U25" s="627"/>
      <c r="V25" s="7"/>
      <c r="W25" s="699"/>
      <c r="X25" s="7"/>
      <c r="Y25" s="618">
        <f t="shared" si="0"/>
        <v>0</v>
      </c>
      <c r="Z25" s="7"/>
      <c r="AA25" s="7"/>
      <c r="AB25" s="7"/>
      <c r="AC25" s="7"/>
      <c r="AD25" s="7"/>
      <c r="AE25" s="7"/>
    </row>
    <row r="26" spans="1:31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4"/>
      <c r="G26" s="213"/>
      <c r="H26" s="213"/>
      <c r="I26" s="215"/>
      <c r="J26" s="215"/>
      <c r="K26" s="215"/>
      <c r="L26" s="214"/>
      <c r="M26" s="620"/>
      <c r="N26" s="213"/>
      <c r="O26" s="213"/>
      <c r="P26" s="215"/>
      <c r="Q26" s="215"/>
      <c r="R26" s="616">
        <f t="shared" si="1"/>
        <v>0</v>
      </c>
      <c r="S26" s="633"/>
      <c r="T26" s="634"/>
      <c r="U26" s="634"/>
      <c r="V26" s="7"/>
      <c r="W26" s="699"/>
      <c r="X26" s="7"/>
      <c r="Y26" s="618">
        <f t="shared" si="0"/>
        <v>0</v>
      </c>
      <c r="Z26" s="7"/>
      <c r="AA26" s="7"/>
      <c r="AB26" s="7"/>
      <c r="AC26" s="7"/>
      <c r="AD26" s="7"/>
      <c r="AE26" s="7"/>
    </row>
    <row r="27" spans="1:31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4"/>
      <c r="G27" s="213"/>
      <c r="H27" s="213"/>
      <c r="I27" s="215"/>
      <c r="J27" s="215"/>
      <c r="K27" s="215"/>
      <c r="L27" s="214"/>
      <c r="M27" s="620"/>
      <c r="N27" s="213"/>
      <c r="O27" s="213"/>
      <c r="P27" s="215"/>
      <c r="Q27" s="215"/>
      <c r="R27" s="616">
        <f t="shared" si="1"/>
        <v>0</v>
      </c>
      <c r="S27" s="633"/>
      <c r="T27" s="634"/>
      <c r="U27" s="634"/>
      <c r="V27" s="7"/>
      <c r="W27" s="699"/>
      <c r="X27" s="7"/>
      <c r="Y27" s="618">
        <f t="shared" si="0"/>
        <v>0</v>
      </c>
      <c r="Z27" s="7"/>
      <c r="AA27" s="7"/>
      <c r="AB27" s="7"/>
      <c r="AC27" s="7"/>
      <c r="AD27" s="7"/>
      <c r="AE27" s="7"/>
    </row>
    <row r="28" spans="1:31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4"/>
      <c r="G28" s="213"/>
      <c r="H28" s="213"/>
      <c r="I28" s="215"/>
      <c r="J28" s="215"/>
      <c r="K28" s="215"/>
      <c r="L28" s="214"/>
      <c r="M28" s="620"/>
      <c r="N28" s="213"/>
      <c r="O28" s="213"/>
      <c r="P28" s="215"/>
      <c r="Q28" s="215"/>
      <c r="R28" s="616">
        <f t="shared" si="1"/>
        <v>0</v>
      </c>
      <c r="S28" s="633"/>
      <c r="T28" s="634"/>
      <c r="U28" s="634"/>
      <c r="V28" s="7"/>
      <c r="W28" s="699"/>
      <c r="X28" s="7"/>
      <c r="Y28" s="618">
        <f t="shared" si="0"/>
        <v>0</v>
      </c>
      <c r="Z28" s="7"/>
      <c r="AA28" s="7"/>
      <c r="AB28" s="7"/>
      <c r="AC28" s="7"/>
      <c r="AD28" s="7"/>
      <c r="AE28" s="7"/>
    </row>
    <row r="29" spans="1:31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4"/>
      <c r="G29" s="213"/>
      <c r="H29" s="213"/>
      <c r="I29" s="215"/>
      <c r="J29" s="215"/>
      <c r="K29" s="215"/>
      <c r="L29" s="214"/>
      <c r="M29" s="620"/>
      <c r="N29" s="213"/>
      <c r="O29" s="213"/>
      <c r="P29" s="215"/>
      <c r="Q29" s="215"/>
      <c r="R29" s="616">
        <f t="shared" si="1"/>
        <v>0</v>
      </c>
      <c r="S29" s="633"/>
      <c r="T29" s="634"/>
      <c r="U29" s="634"/>
      <c r="V29" s="7"/>
      <c r="W29" s="699"/>
      <c r="X29" s="7"/>
      <c r="Y29" s="618">
        <f t="shared" si="0"/>
        <v>0</v>
      </c>
      <c r="Z29" s="7"/>
      <c r="AA29" s="7"/>
      <c r="AB29" s="7"/>
      <c r="AC29" s="7"/>
      <c r="AD29" s="7"/>
      <c r="AE29" s="7"/>
    </row>
    <row r="30" spans="1:31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10"/>
      <c r="G30" s="209"/>
      <c r="H30" s="209"/>
      <c r="I30" s="211"/>
      <c r="J30" s="211"/>
      <c r="K30" s="211"/>
      <c r="L30" s="210"/>
      <c r="M30" s="620"/>
      <c r="N30" s="209"/>
      <c r="O30" s="209"/>
      <c r="P30" s="211"/>
      <c r="Q30" s="215"/>
      <c r="R30" s="625">
        <f t="shared" si="1"/>
        <v>0</v>
      </c>
      <c r="S30" s="626"/>
      <c r="T30" s="627"/>
      <c r="U30" s="627"/>
      <c r="V30" s="7"/>
      <c r="W30" s="699"/>
      <c r="X30" s="7"/>
      <c r="Y30" s="618"/>
      <c r="Z30" s="7"/>
      <c r="AA30" s="7"/>
      <c r="AB30" s="7"/>
      <c r="AC30" s="7"/>
      <c r="AD30" s="7"/>
      <c r="AE30" s="7"/>
    </row>
    <row r="31" spans="1:31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4"/>
      <c r="G31" s="213"/>
      <c r="H31" s="213"/>
      <c r="I31" s="215"/>
      <c r="J31" s="215"/>
      <c r="K31" s="215"/>
      <c r="L31" s="214"/>
      <c r="M31" s="620"/>
      <c r="N31" s="213"/>
      <c r="O31" s="213"/>
      <c r="P31" s="215"/>
      <c r="Q31" s="215"/>
      <c r="R31" s="616">
        <f t="shared" si="1"/>
        <v>0</v>
      </c>
      <c r="S31" s="633"/>
      <c r="T31" s="634"/>
      <c r="U31" s="634"/>
      <c r="V31" s="7"/>
      <c r="W31" s="699"/>
      <c r="X31" s="7"/>
      <c r="Y31" s="618">
        <f t="shared" ref="Y31:Y36" si="2">W31-R31</f>
        <v>0</v>
      </c>
      <c r="Z31" s="7"/>
      <c r="AA31" s="7"/>
      <c r="AB31" s="7"/>
      <c r="AC31" s="7"/>
      <c r="AD31" s="7"/>
      <c r="AE31" s="7"/>
    </row>
    <row r="32" spans="1:31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4"/>
      <c r="G32" s="213"/>
      <c r="H32" s="213"/>
      <c r="I32" s="215"/>
      <c r="J32" s="215"/>
      <c r="K32" s="215"/>
      <c r="L32" s="214"/>
      <c r="M32" s="620"/>
      <c r="N32" s="213"/>
      <c r="O32" s="213"/>
      <c r="P32" s="215"/>
      <c r="Q32" s="215"/>
      <c r="R32" s="616">
        <f t="shared" si="1"/>
        <v>0</v>
      </c>
      <c r="S32" s="633"/>
      <c r="T32" s="634"/>
      <c r="U32" s="634"/>
      <c r="V32" s="7"/>
      <c r="W32" s="699"/>
      <c r="X32" s="7"/>
      <c r="Y32" s="618">
        <f t="shared" si="2"/>
        <v>0</v>
      </c>
      <c r="Z32" s="7"/>
      <c r="AA32" s="7"/>
      <c r="AB32" s="7"/>
      <c r="AC32" s="7"/>
      <c r="AD32" s="7"/>
      <c r="AE32" s="7"/>
    </row>
    <row r="33" spans="1:31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4"/>
      <c r="G33" s="213"/>
      <c r="H33" s="213"/>
      <c r="I33" s="215"/>
      <c r="J33" s="215"/>
      <c r="K33" s="215"/>
      <c r="L33" s="214"/>
      <c r="M33" s="620"/>
      <c r="N33" s="213"/>
      <c r="O33" s="213"/>
      <c r="P33" s="215"/>
      <c r="Q33" s="215"/>
      <c r="R33" s="616">
        <f t="shared" si="1"/>
        <v>0</v>
      </c>
      <c r="S33" s="633"/>
      <c r="T33" s="634"/>
      <c r="U33" s="634"/>
      <c r="V33" s="7"/>
      <c r="W33" s="699"/>
      <c r="X33" s="7"/>
      <c r="Y33" s="618">
        <f t="shared" si="2"/>
        <v>0</v>
      </c>
      <c r="Z33" s="7"/>
      <c r="AA33" s="7"/>
      <c r="AB33" s="7"/>
      <c r="AC33" s="7"/>
      <c r="AD33" s="7"/>
      <c r="AE33" s="7"/>
    </row>
    <row r="34" spans="1:31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4"/>
      <c r="G34" s="213"/>
      <c r="H34" s="213"/>
      <c r="I34" s="215"/>
      <c r="J34" s="215"/>
      <c r="K34" s="215"/>
      <c r="L34" s="214"/>
      <c r="M34" s="620"/>
      <c r="N34" s="213"/>
      <c r="O34" s="213"/>
      <c r="P34" s="215"/>
      <c r="Q34" s="215"/>
      <c r="R34" s="616">
        <f t="shared" si="1"/>
        <v>0</v>
      </c>
      <c r="S34" s="633"/>
      <c r="T34" s="634"/>
      <c r="U34" s="634"/>
      <c r="V34" s="7"/>
      <c r="W34" s="699"/>
      <c r="X34" s="7"/>
      <c r="Y34" s="618">
        <f t="shared" si="2"/>
        <v>0</v>
      </c>
      <c r="Z34" s="7"/>
      <c r="AA34" s="7"/>
      <c r="AB34" s="7"/>
      <c r="AC34" s="7"/>
      <c r="AD34" s="7"/>
      <c r="AE34" s="7"/>
    </row>
    <row r="35" spans="1:31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4"/>
      <c r="G35" s="213"/>
      <c r="H35" s="213"/>
      <c r="I35" s="215"/>
      <c r="J35" s="215"/>
      <c r="K35" s="215"/>
      <c r="L35" s="214"/>
      <c r="M35" s="620"/>
      <c r="N35" s="213"/>
      <c r="O35" s="213"/>
      <c r="P35" s="215"/>
      <c r="Q35" s="215"/>
      <c r="R35" s="616">
        <f t="shared" si="1"/>
        <v>0</v>
      </c>
      <c r="S35" s="633"/>
      <c r="T35" s="636"/>
      <c r="U35" s="636"/>
      <c r="V35" s="7"/>
      <c r="W35" s="699"/>
      <c r="X35" s="7"/>
      <c r="Y35" s="618">
        <f t="shared" si="2"/>
        <v>0</v>
      </c>
      <c r="Z35" s="7"/>
      <c r="AA35" s="7"/>
      <c r="AB35" s="7"/>
      <c r="AC35" s="7"/>
      <c r="AD35" s="7"/>
      <c r="AE35" s="7"/>
    </row>
    <row r="36" spans="1:31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4"/>
      <c r="G36" s="213"/>
      <c r="H36" s="213"/>
      <c r="I36" s="215"/>
      <c r="J36" s="215"/>
      <c r="K36" s="215"/>
      <c r="L36" s="214"/>
      <c r="M36" s="620"/>
      <c r="N36" s="213"/>
      <c r="O36" s="213"/>
      <c r="P36" s="215"/>
      <c r="Q36" s="215"/>
      <c r="R36" s="616">
        <f t="shared" si="1"/>
        <v>0</v>
      </c>
      <c r="S36" s="633"/>
      <c r="T36" s="547" t="s">
        <v>1576</v>
      </c>
      <c r="U36" s="636"/>
      <c r="V36" s="7"/>
      <c r="W36" s="699"/>
      <c r="X36" s="7"/>
      <c r="Y36" s="618">
        <f t="shared" si="2"/>
        <v>0</v>
      </c>
      <c r="Z36" s="7"/>
      <c r="AA36" s="7"/>
      <c r="AB36" s="7"/>
      <c r="AC36" s="7"/>
      <c r="AD36" s="7"/>
      <c r="AE36" s="7"/>
    </row>
    <row r="37" spans="1:31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4"/>
      <c r="G37" s="213"/>
      <c r="H37" s="213"/>
      <c r="I37" s="215"/>
      <c r="J37" s="215"/>
      <c r="K37" s="215"/>
      <c r="L37" s="214"/>
      <c r="M37" s="638"/>
      <c r="N37" s="677">
        <f t="shared" ref="N37:O37" si="3">SUM(N38:N53)+N62</f>
        <v>48</v>
      </c>
      <c r="O37" s="677">
        <f t="shared" si="3"/>
        <v>0</v>
      </c>
      <c r="P37" s="215"/>
      <c r="Q37" s="215"/>
      <c r="R37" s="616">
        <f t="shared" si="1"/>
        <v>48</v>
      </c>
      <c r="S37" s="633"/>
      <c r="T37" s="640"/>
      <c r="U37" s="640"/>
      <c r="V37" s="7"/>
      <c r="W37" s="700"/>
      <c r="X37" s="7"/>
      <c r="Y37" s="618"/>
      <c r="Z37" s="7"/>
      <c r="AA37" s="7"/>
      <c r="AB37" s="7"/>
      <c r="AC37" s="7"/>
      <c r="AD37" s="7"/>
      <c r="AE37" s="7"/>
    </row>
    <row r="38" spans="1:31" ht="20.25" customHeight="1">
      <c r="A38" s="492"/>
      <c r="B38" s="493" t="s">
        <v>130</v>
      </c>
      <c r="C38" s="641" t="s">
        <v>131</v>
      </c>
      <c r="D38" s="495" t="s">
        <v>132</v>
      </c>
      <c r="E38" s="209"/>
      <c r="F38" s="210"/>
      <c r="G38" s="209"/>
      <c r="H38" s="209">
        <v>1</v>
      </c>
      <c r="I38" s="211"/>
      <c r="J38" s="211">
        <v>1</v>
      </c>
      <c r="K38" s="211"/>
      <c r="L38" s="210"/>
      <c r="M38" s="620"/>
      <c r="N38" s="209"/>
      <c r="O38" s="209"/>
      <c r="P38" s="211"/>
      <c r="Q38" s="215"/>
      <c r="R38" s="625">
        <f t="shared" si="1"/>
        <v>2</v>
      </c>
      <c r="S38" s="626"/>
      <c r="T38" s="627" t="s">
        <v>1577</v>
      </c>
      <c r="U38" s="642">
        <f>R38</f>
        <v>2</v>
      </c>
      <c r="V38" s="7"/>
      <c r="W38" s="699">
        <v>7</v>
      </c>
      <c r="X38" s="7"/>
      <c r="Y38" s="618">
        <f t="shared" ref="Y38:Y57" si="4">W38-R38</f>
        <v>5</v>
      </c>
      <c r="Z38" s="7"/>
      <c r="AA38" s="7"/>
      <c r="AB38" s="7"/>
      <c r="AC38" s="7"/>
      <c r="AD38" s="7"/>
      <c r="AE38" s="7"/>
    </row>
    <row r="39" spans="1:31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4"/>
      <c r="G39" s="213"/>
      <c r="H39" s="213"/>
      <c r="I39" s="215"/>
      <c r="J39" s="215"/>
      <c r="K39" s="215"/>
      <c r="L39" s="214"/>
      <c r="M39" s="620"/>
      <c r="N39" s="213"/>
      <c r="O39" s="213"/>
      <c r="P39" s="215"/>
      <c r="Q39" s="215"/>
      <c r="R39" s="616">
        <f t="shared" si="1"/>
        <v>0</v>
      </c>
      <c r="S39" s="633"/>
      <c r="T39" s="644" t="s">
        <v>1578</v>
      </c>
      <c r="U39" s="645">
        <f>S43</f>
        <v>205</v>
      </c>
      <c r="V39" s="7"/>
      <c r="W39" s="699"/>
      <c r="X39" s="7"/>
      <c r="Y39" s="618">
        <f t="shared" si="4"/>
        <v>0</v>
      </c>
      <c r="Z39" s="7"/>
      <c r="AA39" s="7"/>
      <c r="AB39" s="7"/>
      <c r="AC39" s="7"/>
      <c r="AD39" s="7"/>
      <c r="AE39" s="7"/>
    </row>
    <row r="40" spans="1:31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4"/>
      <c r="G40" s="213"/>
      <c r="H40" s="213"/>
      <c r="I40" s="215"/>
      <c r="J40" s="215"/>
      <c r="K40" s="215"/>
      <c r="L40" s="214"/>
      <c r="M40" s="620"/>
      <c r="N40" s="213"/>
      <c r="O40" s="213"/>
      <c r="P40" s="215"/>
      <c r="Q40" s="215"/>
      <c r="R40" s="616">
        <f t="shared" si="1"/>
        <v>0</v>
      </c>
      <c r="S40" s="633"/>
      <c r="T40" s="636"/>
      <c r="U40" s="636"/>
      <c r="V40" s="7"/>
      <c r="W40" s="699"/>
      <c r="X40" s="7"/>
      <c r="Y40" s="618">
        <f t="shared" si="4"/>
        <v>0</v>
      </c>
      <c r="Z40" s="7"/>
      <c r="AA40" s="7"/>
      <c r="AB40" s="7"/>
      <c r="AC40" s="7"/>
      <c r="AD40" s="7"/>
      <c r="AE40" s="7"/>
    </row>
    <row r="41" spans="1:31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4"/>
      <c r="G41" s="213"/>
      <c r="H41" s="213"/>
      <c r="I41" s="215"/>
      <c r="J41" s="215"/>
      <c r="K41" s="215"/>
      <c r="L41" s="214"/>
      <c r="M41" s="620"/>
      <c r="N41" s="213"/>
      <c r="O41" s="213"/>
      <c r="P41" s="215"/>
      <c r="Q41" s="215"/>
      <c r="R41" s="616">
        <f t="shared" si="1"/>
        <v>0</v>
      </c>
      <c r="S41" s="633"/>
      <c r="T41" s="636"/>
      <c r="U41" s="636"/>
      <c r="V41" s="7"/>
      <c r="W41" s="699"/>
      <c r="X41" s="7"/>
      <c r="Y41" s="618">
        <f t="shared" si="4"/>
        <v>0</v>
      </c>
      <c r="Z41" s="7"/>
      <c r="AA41" s="7"/>
      <c r="AB41" s="7"/>
      <c r="AC41" s="7"/>
      <c r="AD41" s="7"/>
      <c r="AE41" s="7"/>
    </row>
    <row r="42" spans="1:31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4"/>
      <c r="G42" s="213"/>
      <c r="H42" s="213"/>
      <c r="I42" s="215"/>
      <c r="J42" s="215"/>
      <c r="K42" s="215"/>
      <c r="L42" s="214"/>
      <c r="M42" s="620"/>
      <c r="N42" s="213"/>
      <c r="O42" s="213"/>
      <c r="P42" s="215"/>
      <c r="Q42" s="215"/>
      <c r="R42" s="616">
        <f t="shared" si="1"/>
        <v>0</v>
      </c>
      <c r="S42" s="633"/>
      <c r="T42" s="636"/>
      <c r="U42" s="636"/>
      <c r="V42" s="7"/>
      <c r="W42" s="699"/>
      <c r="X42" s="7"/>
      <c r="Y42" s="618">
        <f t="shared" si="4"/>
        <v>0</v>
      </c>
      <c r="Z42" s="7"/>
      <c r="AA42" s="7"/>
      <c r="AB42" s="7"/>
      <c r="AC42" s="7"/>
      <c r="AD42" s="7"/>
      <c r="AE42" s="7"/>
    </row>
    <row r="43" spans="1:31" ht="20.25" customHeight="1">
      <c r="A43" s="482"/>
      <c r="B43" s="496" t="s">
        <v>143</v>
      </c>
      <c r="C43" s="555" t="s">
        <v>144</v>
      </c>
      <c r="D43" s="485" t="s">
        <v>132</v>
      </c>
      <c r="E43" s="213">
        <v>3</v>
      </c>
      <c r="F43" s="214"/>
      <c r="G43" s="213"/>
      <c r="H43" s="213"/>
      <c r="I43" s="215"/>
      <c r="J43" s="215">
        <v>4</v>
      </c>
      <c r="K43" s="215"/>
      <c r="L43" s="214"/>
      <c r="M43" s="620"/>
      <c r="N43" s="213"/>
      <c r="O43" s="213"/>
      <c r="P43" s="215"/>
      <c r="Q43" s="215"/>
      <c r="R43" s="616">
        <f t="shared" si="1"/>
        <v>7</v>
      </c>
      <c r="S43" s="633">
        <f>R43+R48+R53+R62</f>
        <v>205</v>
      </c>
      <c r="T43" s="634"/>
      <c r="U43" s="634"/>
      <c r="V43" s="7"/>
      <c r="W43" s="699">
        <f>1+15+25</f>
        <v>41</v>
      </c>
      <c r="X43" s="7"/>
      <c r="Y43" s="618">
        <f t="shared" si="4"/>
        <v>34</v>
      </c>
      <c r="Z43" s="7"/>
      <c r="AA43" s="618">
        <f>SUM(Y43:Y53)</f>
        <v>195</v>
      </c>
      <c r="AB43" s="7"/>
      <c r="AC43" s="7"/>
      <c r="AD43" s="7"/>
      <c r="AE43" s="7"/>
    </row>
    <row r="44" spans="1:31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4"/>
      <c r="G44" s="213"/>
      <c r="H44" s="213"/>
      <c r="I44" s="215"/>
      <c r="J44" s="215"/>
      <c r="K44" s="215"/>
      <c r="L44" s="214"/>
      <c r="M44" s="620"/>
      <c r="N44" s="213"/>
      <c r="O44" s="213"/>
      <c r="P44" s="215"/>
      <c r="Q44" s="215"/>
      <c r="R44" s="616">
        <f t="shared" si="1"/>
        <v>0</v>
      </c>
      <c r="S44" s="633"/>
      <c r="T44" s="634"/>
      <c r="U44" s="634"/>
      <c r="V44" s="7"/>
      <c r="W44" s="699"/>
      <c r="X44" s="7"/>
      <c r="Y44" s="618">
        <f t="shared" si="4"/>
        <v>0</v>
      </c>
      <c r="Z44" s="7"/>
      <c r="AA44" s="7"/>
      <c r="AB44" s="7"/>
      <c r="AC44" s="7"/>
      <c r="AD44" s="7"/>
      <c r="AE44" s="7"/>
    </row>
    <row r="45" spans="1:31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4"/>
      <c r="G45" s="213"/>
      <c r="H45" s="213"/>
      <c r="I45" s="215"/>
      <c r="J45" s="215"/>
      <c r="K45" s="215"/>
      <c r="L45" s="214"/>
      <c r="M45" s="620"/>
      <c r="N45" s="213"/>
      <c r="O45" s="213"/>
      <c r="P45" s="215"/>
      <c r="Q45" s="215"/>
      <c r="R45" s="616">
        <f t="shared" si="1"/>
        <v>0</v>
      </c>
      <c r="S45" s="633"/>
      <c r="T45" s="634"/>
      <c r="U45" s="634"/>
      <c r="V45" s="7"/>
      <c r="W45" s="699"/>
      <c r="X45" s="7"/>
      <c r="Y45" s="618">
        <f t="shared" si="4"/>
        <v>0</v>
      </c>
      <c r="Z45" s="7"/>
      <c r="AA45" s="7"/>
      <c r="AB45" s="7"/>
      <c r="AC45" s="7"/>
      <c r="AD45" s="7"/>
      <c r="AE45" s="7"/>
    </row>
    <row r="46" spans="1:31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4"/>
      <c r="G46" s="213"/>
      <c r="H46" s="213"/>
      <c r="I46" s="215"/>
      <c r="J46" s="215"/>
      <c r="K46" s="215"/>
      <c r="L46" s="214"/>
      <c r="M46" s="620"/>
      <c r="N46" s="213"/>
      <c r="O46" s="213"/>
      <c r="P46" s="215"/>
      <c r="Q46" s="215"/>
      <c r="R46" s="616">
        <f t="shared" si="1"/>
        <v>0</v>
      </c>
      <c r="S46" s="633"/>
      <c r="T46" s="634"/>
      <c r="U46" s="634"/>
      <c r="V46" s="7"/>
      <c r="W46" s="699"/>
      <c r="X46" s="7"/>
      <c r="Y46" s="618">
        <f t="shared" si="4"/>
        <v>0</v>
      </c>
      <c r="Z46" s="7"/>
      <c r="AA46" s="7"/>
      <c r="AB46" s="7"/>
      <c r="AC46" s="7"/>
      <c r="AD46" s="7"/>
      <c r="AE46" s="7"/>
    </row>
    <row r="47" spans="1:31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4"/>
      <c r="G47" s="213"/>
      <c r="H47" s="213"/>
      <c r="I47" s="215"/>
      <c r="J47" s="215"/>
      <c r="K47" s="215"/>
      <c r="L47" s="214"/>
      <c r="M47" s="620"/>
      <c r="N47" s="213"/>
      <c r="O47" s="213"/>
      <c r="P47" s="215"/>
      <c r="Q47" s="215"/>
      <c r="R47" s="616">
        <f t="shared" si="1"/>
        <v>0</v>
      </c>
      <c r="S47" s="633"/>
      <c r="T47" s="634"/>
      <c r="U47" s="634"/>
      <c r="V47" s="7"/>
      <c r="W47" s="699"/>
      <c r="X47" s="7"/>
      <c r="Y47" s="618">
        <f t="shared" si="4"/>
        <v>0</v>
      </c>
      <c r="Z47" s="7"/>
      <c r="AA47" s="7"/>
      <c r="AB47" s="7"/>
      <c r="AC47" s="7"/>
      <c r="AD47" s="7"/>
      <c r="AE47" s="7"/>
    </row>
    <row r="48" spans="1:31" ht="20.25" customHeight="1">
      <c r="A48" s="482"/>
      <c r="B48" s="496" t="s">
        <v>151</v>
      </c>
      <c r="C48" s="555" t="s">
        <v>152</v>
      </c>
      <c r="D48" s="485" t="s">
        <v>132</v>
      </c>
      <c r="E48" s="213">
        <v>42</v>
      </c>
      <c r="F48" s="214"/>
      <c r="G48" s="213"/>
      <c r="H48" s="213"/>
      <c r="I48" s="215">
        <v>1</v>
      </c>
      <c r="J48" s="215">
        <v>1</v>
      </c>
      <c r="K48" s="215"/>
      <c r="L48" s="214">
        <v>6</v>
      </c>
      <c r="M48" s="620"/>
      <c r="N48" s="213">
        <v>33</v>
      </c>
      <c r="O48" s="213"/>
      <c r="P48" s="215"/>
      <c r="Q48" s="215"/>
      <c r="R48" s="616">
        <f t="shared" si="1"/>
        <v>83</v>
      </c>
      <c r="S48" s="633"/>
      <c r="T48" s="634"/>
      <c r="U48" s="634"/>
      <c r="V48" s="7"/>
      <c r="W48" s="699">
        <f>89</f>
        <v>89</v>
      </c>
      <c r="X48" s="7"/>
      <c r="Y48" s="618">
        <f t="shared" si="4"/>
        <v>6</v>
      </c>
      <c r="Z48" s="7"/>
      <c r="AA48" s="7"/>
      <c r="AB48" s="7"/>
      <c r="AC48" s="7"/>
      <c r="AD48" s="7"/>
      <c r="AE48" s="7"/>
    </row>
    <row r="49" spans="1:31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4"/>
      <c r="G49" s="213"/>
      <c r="H49" s="213"/>
      <c r="I49" s="215"/>
      <c r="J49" s="215"/>
      <c r="K49" s="215"/>
      <c r="L49" s="214"/>
      <c r="M49" s="620"/>
      <c r="N49" s="213"/>
      <c r="O49" s="213"/>
      <c r="P49" s="215"/>
      <c r="Q49" s="215"/>
      <c r="R49" s="616">
        <f t="shared" si="1"/>
        <v>0</v>
      </c>
      <c r="S49" s="633"/>
      <c r="T49" s="634"/>
      <c r="U49" s="634"/>
      <c r="V49" s="7"/>
      <c r="W49" s="699"/>
      <c r="X49" s="7"/>
      <c r="Y49" s="618">
        <f t="shared" si="4"/>
        <v>0</v>
      </c>
      <c r="Z49" s="7"/>
      <c r="AA49" s="7"/>
      <c r="AB49" s="7"/>
      <c r="AC49" s="7"/>
      <c r="AD49" s="7"/>
      <c r="AE49" s="7"/>
    </row>
    <row r="50" spans="1:31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4"/>
      <c r="G50" s="213"/>
      <c r="H50" s="213"/>
      <c r="I50" s="215"/>
      <c r="J50" s="215"/>
      <c r="K50" s="215"/>
      <c r="L50" s="214"/>
      <c r="M50" s="620"/>
      <c r="N50" s="213"/>
      <c r="O50" s="213"/>
      <c r="P50" s="215"/>
      <c r="Q50" s="215"/>
      <c r="R50" s="616">
        <f t="shared" si="1"/>
        <v>0</v>
      </c>
      <c r="S50" s="633"/>
      <c r="T50" s="634"/>
      <c r="U50" s="634"/>
      <c r="V50" s="7"/>
      <c r="W50" s="699"/>
      <c r="X50" s="7"/>
      <c r="Y50" s="618">
        <f t="shared" si="4"/>
        <v>0</v>
      </c>
      <c r="Z50" s="7"/>
      <c r="AA50" s="7"/>
      <c r="AB50" s="7"/>
      <c r="AC50" s="7"/>
      <c r="AD50" s="7"/>
      <c r="AE50" s="7"/>
    </row>
    <row r="51" spans="1:31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4"/>
      <c r="G51" s="213"/>
      <c r="H51" s="213"/>
      <c r="I51" s="215"/>
      <c r="J51" s="215"/>
      <c r="K51" s="215"/>
      <c r="L51" s="214"/>
      <c r="M51" s="620"/>
      <c r="N51" s="213"/>
      <c r="O51" s="213"/>
      <c r="P51" s="215"/>
      <c r="Q51" s="215"/>
      <c r="R51" s="616">
        <f t="shared" si="1"/>
        <v>0</v>
      </c>
      <c r="S51" s="633"/>
      <c r="T51" s="634"/>
      <c r="U51" s="634"/>
      <c r="V51" s="7"/>
      <c r="W51" s="699"/>
      <c r="X51" s="7"/>
      <c r="Y51" s="618">
        <f t="shared" si="4"/>
        <v>0</v>
      </c>
      <c r="Z51" s="7"/>
      <c r="AA51" s="7"/>
      <c r="AB51" s="7"/>
      <c r="AC51" s="7"/>
      <c r="AD51" s="7"/>
      <c r="AE51" s="7"/>
    </row>
    <row r="52" spans="1:31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4"/>
      <c r="G52" s="213"/>
      <c r="H52" s="213"/>
      <c r="I52" s="215"/>
      <c r="J52" s="215"/>
      <c r="K52" s="215"/>
      <c r="L52" s="214"/>
      <c r="M52" s="620"/>
      <c r="N52" s="213"/>
      <c r="O52" s="213"/>
      <c r="P52" s="215"/>
      <c r="Q52" s="215"/>
      <c r="R52" s="616">
        <f t="shared" si="1"/>
        <v>0</v>
      </c>
      <c r="S52" s="633"/>
      <c r="T52" s="634"/>
      <c r="U52" s="634"/>
      <c r="V52" s="7"/>
      <c r="W52" s="699"/>
      <c r="X52" s="7"/>
      <c r="Y52" s="618">
        <f t="shared" si="4"/>
        <v>0</v>
      </c>
      <c r="Z52" s="7"/>
      <c r="AA52" s="7"/>
      <c r="AB52" s="7"/>
      <c r="AC52" s="7"/>
      <c r="AD52" s="7"/>
      <c r="AE52" s="7"/>
    </row>
    <row r="53" spans="1:31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73</v>
      </c>
      <c r="F53" s="214"/>
      <c r="G53" s="213"/>
      <c r="H53" s="213"/>
      <c r="I53" s="215"/>
      <c r="J53" s="215">
        <f>7+19</f>
        <v>26</v>
      </c>
      <c r="K53" s="215">
        <v>1</v>
      </c>
      <c r="L53" s="214"/>
      <c r="M53" s="620"/>
      <c r="N53" s="213"/>
      <c r="O53" s="213"/>
      <c r="P53" s="215"/>
      <c r="Q53" s="215"/>
      <c r="R53" s="616">
        <f t="shared" si="1"/>
        <v>100</v>
      </c>
      <c r="S53" s="633"/>
      <c r="T53" s="634"/>
      <c r="U53" s="634"/>
      <c r="V53" s="7"/>
      <c r="W53" s="699">
        <f>208+47</f>
        <v>255</v>
      </c>
      <c r="X53" s="7"/>
      <c r="Y53" s="618">
        <f t="shared" si="4"/>
        <v>155</v>
      </c>
      <c r="Z53" s="7"/>
      <c r="AA53" s="7"/>
      <c r="AB53" s="7"/>
      <c r="AC53" s="7"/>
      <c r="AD53" s="7"/>
      <c r="AE53" s="7"/>
    </row>
    <row r="54" spans="1:31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4"/>
      <c r="G54" s="213"/>
      <c r="H54" s="213"/>
      <c r="I54" s="215"/>
      <c r="J54" s="215"/>
      <c r="K54" s="215"/>
      <c r="L54" s="214"/>
      <c r="M54" s="620"/>
      <c r="N54" s="213"/>
      <c r="O54" s="213"/>
      <c r="P54" s="215"/>
      <c r="Q54" s="215"/>
      <c r="R54" s="616">
        <f t="shared" si="1"/>
        <v>0</v>
      </c>
      <c r="S54" s="633"/>
      <c r="T54" s="634"/>
      <c r="U54" s="634"/>
      <c r="V54" s="7"/>
      <c r="W54" s="699"/>
      <c r="X54" s="7"/>
      <c r="Y54" s="618">
        <f t="shared" si="4"/>
        <v>0</v>
      </c>
      <c r="Z54" s="7"/>
      <c r="AA54" s="7"/>
      <c r="AB54" s="7"/>
      <c r="AC54" s="7"/>
      <c r="AD54" s="7"/>
      <c r="AE54" s="7"/>
    </row>
    <row r="55" spans="1:31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4"/>
      <c r="G55" s="213"/>
      <c r="H55" s="213"/>
      <c r="I55" s="215"/>
      <c r="J55" s="215"/>
      <c r="K55" s="215"/>
      <c r="L55" s="214"/>
      <c r="M55" s="620"/>
      <c r="N55" s="213"/>
      <c r="O55" s="213"/>
      <c r="P55" s="215"/>
      <c r="Q55" s="215"/>
      <c r="R55" s="616">
        <f t="shared" si="1"/>
        <v>0</v>
      </c>
      <c r="S55" s="633"/>
      <c r="T55" s="634"/>
      <c r="U55" s="634"/>
      <c r="V55" s="7"/>
      <c r="W55" s="699"/>
      <c r="X55" s="7"/>
      <c r="Y55" s="618">
        <f t="shared" si="4"/>
        <v>0</v>
      </c>
      <c r="Z55" s="7"/>
      <c r="AA55" s="7"/>
      <c r="AB55" s="7"/>
      <c r="AC55" s="7"/>
      <c r="AD55" s="7"/>
      <c r="AE55" s="7"/>
    </row>
    <row r="56" spans="1:31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4"/>
      <c r="G56" s="213"/>
      <c r="H56" s="213"/>
      <c r="I56" s="215"/>
      <c r="J56" s="215"/>
      <c r="K56" s="215"/>
      <c r="L56" s="214"/>
      <c r="M56" s="620"/>
      <c r="N56" s="213"/>
      <c r="O56" s="213"/>
      <c r="P56" s="215"/>
      <c r="Q56" s="215"/>
      <c r="R56" s="616">
        <f t="shared" si="1"/>
        <v>0</v>
      </c>
      <c r="S56" s="633"/>
      <c r="T56" s="634"/>
      <c r="U56" s="634"/>
      <c r="V56" s="7"/>
      <c r="W56" s="699"/>
      <c r="X56" s="7"/>
      <c r="Y56" s="618">
        <f t="shared" si="4"/>
        <v>0</v>
      </c>
      <c r="Z56" s="7"/>
      <c r="AA56" s="7"/>
      <c r="AB56" s="7"/>
      <c r="AC56" s="7"/>
      <c r="AD56" s="7"/>
      <c r="AE56" s="7"/>
    </row>
    <row r="57" spans="1:31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4"/>
      <c r="G57" s="213"/>
      <c r="H57" s="213"/>
      <c r="I57" s="215"/>
      <c r="J57" s="215"/>
      <c r="K57" s="215"/>
      <c r="L57" s="214"/>
      <c r="M57" s="620"/>
      <c r="N57" s="213"/>
      <c r="O57" s="213"/>
      <c r="P57" s="215"/>
      <c r="Q57" s="215"/>
      <c r="R57" s="616">
        <f t="shared" si="1"/>
        <v>0</v>
      </c>
      <c r="S57" s="633"/>
      <c r="T57" s="634"/>
      <c r="U57" s="634"/>
      <c r="V57" s="7"/>
      <c r="W57" s="699"/>
      <c r="X57" s="7"/>
      <c r="Y57" s="618">
        <f t="shared" si="4"/>
        <v>0</v>
      </c>
      <c r="Z57" s="7"/>
      <c r="AA57" s="7"/>
      <c r="AB57" s="7"/>
      <c r="AC57" s="7"/>
      <c r="AD57" s="7"/>
      <c r="AE57" s="7"/>
    </row>
    <row r="58" spans="1:31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374"/>
      <c r="G58" s="219"/>
      <c r="H58" s="219"/>
      <c r="I58" s="215"/>
      <c r="J58" s="215"/>
      <c r="K58" s="215"/>
      <c r="L58" s="374">
        <v>102</v>
      </c>
      <c r="M58" s="620"/>
      <c r="N58" s="209"/>
      <c r="O58" s="209">
        <v>1</v>
      </c>
      <c r="P58" s="215"/>
      <c r="Q58" s="215"/>
      <c r="R58" s="616">
        <f t="shared" si="1"/>
        <v>103</v>
      </c>
      <c r="S58" s="633"/>
      <c r="T58" s="634"/>
      <c r="U58" s="634"/>
      <c r="V58" s="7"/>
      <c r="W58" s="699">
        <v>1</v>
      </c>
      <c r="X58" s="7"/>
      <c r="Y58" s="618"/>
      <c r="Z58" s="7"/>
      <c r="AA58" s="7"/>
      <c r="AB58" s="7"/>
      <c r="AC58" s="7"/>
      <c r="AD58" s="7"/>
      <c r="AE58" s="7"/>
    </row>
    <row r="59" spans="1:31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4"/>
      <c r="G59" s="213"/>
      <c r="H59" s="213"/>
      <c r="I59" s="215"/>
      <c r="J59" s="215"/>
      <c r="K59" s="215"/>
      <c r="L59" s="214"/>
      <c r="M59" s="647"/>
      <c r="N59" s="213"/>
      <c r="O59" s="213"/>
      <c r="P59" s="215"/>
      <c r="Q59" s="215"/>
      <c r="R59" s="616">
        <f t="shared" si="1"/>
        <v>0</v>
      </c>
      <c r="S59" s="633"/>
      <c r="T59" s="648"/>
      <c r="U59" s="648"/>
      <c r="V59" s="7"/>
      <c r="W59" s="699"/>
      <c r="X59" s="7"/>
      <c r="Y59" s="618">
        <f t="shared" ref="Y59:Y103" si="5">W59-R59</f>
        <v>0</v>
      </c>
      <c r="Z59" s="7"/>
      <c r="AA59" s="7"/>
      <c r="AB59" s="7"/>
      <c r="AC59" s="7"/>
      <c r="AD59" s="7"/>
      <c r="AE59" s="7"/>
    </row>
    <row r="60" spans="1:31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4"/>
      <c r="G60" s="213"/>
      <c r="H60" s="213"/>
      <c r="I60" s="215"/>
      <c r="J60" s="215"/>
      <c r="K60" s="215"/>
      <c r="L60" s="214"/>
      <c r="M60" s="647"/>
      <c r="N60" s="213"/>
      <c r="O60" s="213"/>
      <c r="P60" s="215"/>
      <c r="Q60" s="215"/>
      <c r="R60" s="616">
        <f t="shared" si="1"/>
        <v>0</v>
      </c>
      <c r="S60" s="633"/>
      <c r="T60" s="648"/>
      <c r="U60" s="648"/>
      <c r="V60" s="7"/>
      <c r="W60" s="699"/>
      <c r="X60" s="7"/>
      <c r="Y60" s="618">
        <f t="shared" si="5"/>
        <v>0</v>
      </c>
      <c r="Z60" s="7"/>
      <c r="AA60" s="7"/>
      <c r="AB60" s="7"/>
      <c r="AC60" s="7"/>
      <c r="AD60" s="7"/>
      <c r="AE60" s="7"/>
    </row>
    <row r="61" spans="1:31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4"/>
      <c r="G61" s="213"/>
      <c r="H61" s="213"/>
      <c r="I61" s="215"/>
      <c r="J61" s="215"/>
      <c r="K61" s="215"/>
      <c r="L61" s="214"/>
      <c r="M61" s="647"/>
      <c r="N61" s="213"/>
      <c r="O61" s="213"/>
      <c r="P61" s="215"/>
      <c r="Q61" s="215"/>
      <c r="R61" s="616">
        <f t="shared" si="1"/>
        <v>0</v>
      </c>
      <c r="S61" s="633"/>
      <c r="T61" s="648"/>
      <c r="U61" s="648"/>
      <c r="V61" s="7"/>
      <c r="W61" s="699"/>
      <c r="X61" s="7"/>
      <c r="Y61" s="618">
        <f t="shared" si="5"/>
        <v>0</v>
      </c>
      <c r="Z61" s="7"/>
      <c r="AA61" s="7"/>
      <c r="AB61" s="7"/>
      <c r="AC61" s="7"/>
      <c r="AD61" s="7"/>
      <c r="AE61" s="7"/>
    </row>
    <row r="62" spans="1:31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4"/>
      <c r="G62" s="213"/>
      <c r="H62" s="213"/>
      <c r="I62" s="215"/>
      <c r="J62" s="215"/>
      <c r="K62" s="215"/>
      <c r="L62" s="214"/>
      <c r="M62" s="620"/>
      <c r="N62" s="213">
        <v>15</v>
      </c>
      <c r="O62" s="213"/>
      <c r="P62" s="215"/>
      <c r="Q62" s="215"/>
      <c r="R62" s="616">
        <f t="shared" si="1"/>
        <v>15</v>
      </c>
      <c r="S62" s="633"/>
      <c r="T62" s="636"/>
      <c r="U62" s="636"/>
      <c r="V62" s="7"/>
      <c r="W62" s="699">
        <v>20</v>
      </c>
      <c r="X62" s="7"/>
      <c r="Y62" s="618">
        <f t="shared" si="5"/>
        <v>5</v>
      </c>
      <c r="Z62" s="7"/>
      <c r="AA62" s="7"/>
      <c r="AB62" s="7"/>
      <c r="AC62" s="7"/>
      <c r="AD62" s="7"/>
      <c r="AE62" s="7"/>
    </row>
    <row r="63" spans="1:31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4"/>
      <c r="G63" s="213"/>
      <c r="H63" s="213"/>
      <c r="I63" s="215"/>
      <c r="J63" s="215"/>
      <c r="K63" s="215"/>
      <c r="L63" s="214"/>
      <c r="M63" s="638"/>
      <c r="N63" s="213"/>
      <c r="O63" s="213"/>
      <c r="P63" s="215"/>
      <c r="Q63" s="215"/>
      <c r="R63" s="616">
        <f t="shared" si="1"/>
        <v>0</v>
      </c>
      <c r="S63" s="633"/>
      <c r="T63" s="636"/>
      <c r="U63" s="636"/>
      <c r="V63" s="7"/>
      <c r="W63" s="699"/>
      <c r="X63" s="7"/>
      <c r="Y63" s="618">
        <f t="shared" si="5"/>
        <v>0</v>
      </c>
      <c r="Z63" s="7"/>
      <c r="AA63" s="7"/>
      <c r="AB63" s="7"/>
      <c r="AC63" s="7"/>
      <c r="AD63" s="7"/>
      <c r="AE63" s="7"/>
    </row>
    <row r="64" spans="1:31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4"/>
      <c r="G64" s="213"/>
      <c r="H64" s="213"/>
      <c r="I64" s="215"/>
      <c r="J64" s="215"/>
      <c r="K64" s="215"/>
      <c r="L64" s="214"/>
      <c r="M64" s="638"/>
      <c r="N64" s="213"/>
      <c r="O64" s="213"/>
      <c r="P64" s="215"/>
      <c r="Q64" s="215"/>
      <c r="R64" s="616">
        <f t="shared" si="1"/>
        <v>0</v>
      </c>
      <c r="S64" s="633"/>
      <c r="T64" s="640"/>
      <c r="U64" s="640"/>
      <c r="V64" s="7"/>
      <c r="W64" s="699"/>
      <c r="X64" s="7"/>
      <c r="Y64" s="618">
        <f t="shared" si="5"/>
        <v>0</v>
      </c>
      <c r="Z64" s="7"/>
      <c r="AA64" s="7"/>
      <c r="AB64" s="7"/>
      <c r="AC64" s="7"/>
      <c r="AD64" s="7"/>
      <c r="AE64" s="7"/>
    </row>
    <row r="65" spans="1:31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4"/>
      <c r="G65" s="213">
        <v>1</v>
      </c>
      <c r="H65" s="213"/>
      <c r="I65" s="215"/>
      <c r="J65" s="215"/>
      <c r="K65" s="215"/>
      <c r="L65" s="214"/>
      <c r="M65" s="620"/>
      <c r="N65" s="213">
        <v>1</v>
      </c>
      <c r="O65" s="213"/>
      <c r="P65" s="215"/>
      <c r="Q65" s="215"/>
      <c r="R65" s="616">
        <f t="shared" si="1"/>
        <v>2</v>
      </c>
      <c r="S65" s="633"/>
      <c r="T65" s="636"/>
      <c r="U65" s="636"/>
      <c r="V65" s="7"/>
      <c r="W65" s="699">
        <v>4</v>
      </c>
      <c r="X65" s="7"/>
      <c r="Y65" s="618">
        <f t="shared" si="5"/>
        <v>2</v>
      </c>
      <c r="Z65" s="7"/>
      <c r="AA65" s="7"/>
      <c r="AB65" s="7"/>
      <c r="AC65" s="7"/>
      <c r="AD65" s="7"/>
      <c r="AE65" s="7"/>
    </row>
    <row r="66" spans="1:31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4"/>
      <c r="G66" s="213"/>
      <c r="H66" s="213"/>
      <c r="I66" s="215"/>
      <c r="J66" s="215"/>
      <c r="K66" s="215"/>
      <c r="L66" s="214"/>
      <c r="M66" s="620"/>
      <c r="N66" s="213"/>
      <c r="O66" s="213"/>
      <c r="P66" s="215"/>
      <c r="Q66" s="215"/>
      <c r="R66" s="616">
        <f t="shared" si="1"/>
        <v>0</v>
      </c>
      <c r="S66" s="633"/>
      <c r="T66" s="636"/>
      <c r="U66" s="636"/>
      <c r="V66" s="7"/>
      <c r="W66" s="699"/>
      <c r="X66" s="7"/>
      <c r="Y66" s="618">
        <f t="shared" si="5"/>
        <v>0</v>
      </c>
      <c r="Z66" s="7"/>
      <c r="AA66" s="7"/>
      <c r="AB66" s="7"/>
      <c r="AC66" s="7"/>
      <c r="AD66" s="7"/>
      <c r="AE66" s="7"/>
    </row>
    <row r="67" spans="1:31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4"/>
      <c r="G67" s="213"/>
      <c r="H67" s="213"/>
      <c r="I67" s="215"/>
      <c r="J67" s="215"/>
      <c r="K67" s="215"/>
      <c r="L67" s="214"/>
      <c r="M67" s="620"/>
      <c r="N67" s="213"/>
      <c r="O67" s="213"/>
      <c r="P67" s="215"/>
      <c r="Q67" s="215"/>
      <c r="R67" s="616">
        <f t="shared" si="1"/>
        <v>0</v>
      </c>
      <c r="S67" s="633"/>
      <c r="T67" s="634"/>
      <c r="U67" s="634"/>
      <c r="V67" s="7"/>
      <c r="W67" s="699"/>
      <c r="X67" s="7"/>
      <c r="Y67" s="618">
        <f t="shared" si="5"/>
        <v>0</v>
      </c>
      <c r="Z67" s="7"/>
      <c r="AA67" s="7"/>
      <c r="AB67" s="7"/>
      <c r="AC67" s="7"/>
      <c r="AD67" s="7"/>
      <c r="AE67" s="7"/>
    </row>
    <row r="68" spans="1:31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4"/>
      <c r="G68" s="213"/>
      <c r="H68" s="213"/>
      <c r="I68" s="215"/>
      <c r="J68" s="215"/>
      <c r="K68" s="215"/>
      <c r="L68" s="214"/>
      <c r="M68" s="620"/>
      <c r="N68" s="213"/>
      <c r="O68" s="213"/>
      <c r="P68" s="215"/>
      <c r="Q68" s="215"/>
      <c r="R68" s="616">
        <f t="shared" si="1"/>
        <v>0</v>
      </c>
      <c r="S68" s="633"/>
      <c r="T68" s="634"/>
      <c r="U68" s="634"/>
      <c r="V68" s="7"/>
      <c r="W68" s="699"/>
      <c r="X68" s="7"/>
      <c r="Y68" s="618">
        <f t="shared" si="5"/>
        <v>0</v>
      </c>
      <c r="Z68" s="7"/>
      <c r="AA68" s="7"/>
      <c r="AB68" s="7"/>
      <c r="AC68" s="7"/>
      <c r="AD68" s="7"/>
      <c r="AE68" s="7"/>
    </row>
    <row r="69" spans="1:31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4"/>
      <c r="G69" s="213"/>
      <c r="H69" s="213"/>
      <c r="I69" s="215"/>
      <c r="J69" s="215"/>
      <c r="K69" s="215"/>
      <c r="L69" s="214"/>
      <c r="M69" s="620"/>
      <c r="N69" s="213"/>
      <c r="O69" s="213"/>
      <c r="P69" s="215"/>
      <c r="Q69" s="215"/>
      <c r="R69" s="616">
        <f t="shared" si="1"/>
        <v>0</v>
      </c>
      <c r="S69" s="633"/>
      <c r="T69" s="634"/>
      <c r="U69" s="634"/>
      <c r="V69" s="7"/>
      <c r="W69" s="699"/>
      <c r="X69" s="7"/>
      <c r="Y69" s="618">
        <f t="shared" si="5"/>
        <v>0</v>
      </c>
      <c r="Z69" s="7"/>
      <c r="AA69" s="7"/>
      <c r="AB69" s="7"/>
      <c r="AC69" s="7"/>
      <c r="AD69" s="7"/>
      <c r="AE69" s="7"/>
    </row>
    <row r="70" spans="1:31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4"/>
      <c r="G70" s="213"/>
      <c r="H70" s="213"/>
      <c r="I70" s="215"/>
      <c r="J70" s="215"/>
      <c r="K70" s="215"/>
      <c r="L70" s="214"/>
      <c r="M70" s="620"/>
      <c r="N70" s="213"/>
      <c r="O70" s="213"/>
      <c r="P70" s="215"/>
      <c r="Q70" s="215"/>
      <c r="R70" s="616">
        <f t="shared" si="1"/>
        <v>0</v>
      </c>
      <c r="S70" s="633"/>
      <c r="T70" s="634"/>
      <c r="U70" s="634"/>
      <c r="V70" s="7"/>
      <c r="W70" s="699"/>
      <c r="X70" s="7"/>
      <c r="Y70" s="618">
        <f t="shared" si="5"/>
        <v>0</v>
      </c>
      <c r="Z70" s="7"/>
      <c r="AA70" s="7"/>
      <c r="AB70" s="7"/>
      <c r="AC70" s="7"/>
      <c r="AD70" s="7"/>
      <c r="AE70" s="7"/>
    </row>
    <row r="71" spans="1:31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4"/>
      <c r="G71" s="213"/>
      <c r="H71" s="213"/>
      <c r="I71" s="215"/>
      <c r="J71" s="215"/>
      <c r="K71" s="215"/>
      <c r="L71" s="214"/>
      <c r="M71" s="620"/>
      <c r="N71" s="213"/>
      <c r="O71" s="213"/>
      <c r="P71" s="215"/>
      <c r="Q71" s="215"/>
      <c r="R71" s="616">
        <f t="shared" si="1"/>
        <v>0</v>
      </c>
      <c r="S71" s="633"/>
      <c r="T71" s="636"/>
      <c r="U71" s="636"/>
      <c r="V71" s="7"/>
      <c r="W71" s="699"/>
      <c r="X71" s="7"/>
      <c r="Y71" s="618">
        <f t="shared" si="5"/>
        <v>0</v>
      </c>
      <c r="Z71" s="7"/>
      <c r="AA71" s="7"/>
      <c r="AB71" s="7"/>
      <c r="AC71" s="7"/>
      <c r="AD71" s="7"/>
      <c r="AE71" s="7"/>
    </row>
    <row r="72" spans="1:31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4"/>
      <c r="G72" s="213"/>
      <c r="H72" s="213"/>
      <c r="I72" s="215"/>
      <c r="J72" s="215"/>
      <c r="K72" s="215"/>
      <c r="L72" s="214"/>
      <c r="M72" s="647"/>
      <c r="N72" s="213"/>
      <c r="O72" s="213"/>
      <c r="P72" s="215"/>
      <c r="Q72" s="215"/>
      <c r="R72" s="616">
        <f t="shared" si="1"/>
        <v>0</v>
      </c>
      <c r="S72" s="633"/>
      <c r="T72" s="648"/>
      <c r="U72" s="648"/>
      <c r="V72" s="7"/>
      <c r="W72" s="699"/>
      <c r="X72" s="7"/>
      <c r="Y72" s="618">
        <f t="shared" si="5"/>
        <v>0</v>
      </c>
      <c r="Z72" s="7"/>
      <c r="AA72" s="7"/>
      <c r="AB72" s="7"/>
      <c r="AC72" s="7"/>
      <c r="AD72" s="7"/>
      <c r="AE72" s="7"/>
    </row>
    <row r="73" spans="1:31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4"/>
      <c r="G73" s="213"/>
      <c r="H73" s="213"/>
      <c r="I73" s="215"/>
      <c r="J73" s="215"/>
      <c r="K73" s="215"/>
      <c r="L73" s="214"/>
      <c r="M73" s="647"/>
      <c r="N73" s="213"/>
      <c r="O73" s="213"/>
      <c r="P73" s="215"/>
      <c r="Q73" s="215"/>
      <c r="R73" s="616">
        <f t="shared" si="1"/>
        <v>0</v>
      </c>
      <c r="S73" s="633"/>
      <c r="T73" s="648"/>
      <c r="U73" s="648"/>
      <c r="V73" s="7"/>
      <c r="W73" s="699"/>
      <c r="X73" s="7"/>
      <c r="Y73" s="618">
        <f t="shared" si="5"/>
        <v>0</v>
      </c>
      <c r="Z73" s="7"/>
      <c r="AA73" s="7"/>
      <c r="AB73" s="7"/>
      <c r="AC73" s="7"/>
      <c r="AD73" s="7"/>
      <c r="AE73" s="7"/>
    </row>
    <row r="74" spans="1:31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4"/>
      <c r="G74" s="213"/>
      <c r="H74" s="213"/>
      <c r="I74" s="215"/>
      <c r="J74" s="215"/>
      <c r="K74" s="215"/>
      <c r="L74" s="214"/>
      <c r="M74" s="647"/>
      <c r="N74" s="213"/>
      <c r="O74" s="213"/>
      <c r="P74" s="215"/>
      <c r="Q74" s="215"/>
      <c r="R74" s="616">
        <f t="shared" si="1"/>
        <v>0</v>
      </c>
      <c r="S74" s="633"/>
      <c r="T74" s="648"/>
      <c r="U74" s="648"/>
      <c r="V74" s="7"/>
      <c r="W74" s="699"/>
      <c r="X74" s="7"/>
      <c r="Y74" s="618">
        <f t="shared" si="5"/>
        <v>0</v>
      </c>
      <c r="Z74" s="7"/>
      <c r="AA74" s="7"/>
      <c r="AB74" s="7"/>
      <c r="AC74" s="7"/>
      <c r="AD74" s="7"/>
      <c r="AE74" s="7"/>
    </row>
    <row r="75" spans="1:31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4"/>
      <c r="G75" s="213"/>
      <c r="H75" s="213"/>
      <c r="I75" s="215"/>
      <c r="J75" s="215"/>
      <c r="K75" s="215"/>
      <c r="L75" s="214"/>
      <c r="M75" s="638"/>
      <c r="N75" s="213"/>
      <c r="O75" s="213"/>
      <c r="P75" s="215"/>
      <c r="Q75" s="215"/>
      <c r="R75" s="616">
        <f t="shared" si="1"/>
        <v>0</v>
      </c>
      <c r="S75" s="633"/>
      <c r="T75" s="636"/>
      <c r="U75" s="636"/>
      <c r="V75" s="7"/>
      <c r="W75" s="699"/>
      <c r="X75" s="7"/>
      <c r="Y75" s="618">
        <f t="shared" si="5"/>
        <v>0</v>
      </c>
      <c r="Z75" s="7"/>
      <c r="AA75" s="7"/>
      <c r="AB75" s="7"/>
      <c r="AC75" s="7"/>
      <c r="AD75" s="7"/>
      <c r="AE75" s="7"/>
    </row>
    <row r="76" spans="1:31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4"/>
      <c r="G76" s="213"/>
      <c r="H76" s="213"/>
      <c r="I76" s="215"/>
      <c r="J76" s="215"/>
      <c r="K76" s="215"/>
      <c r="L76" s="214"/>
      <c r="M76" s="638"/>
      <c r="N76" s="213"/>
      <c r="O76" s="213"/>
      <c r="P76" s="215"/>
      <c r="Q76" s="215"/>
      <c r="R76" s="616">
        <f t="shared" si="1"/>
        <v>0</v>
      </c>
      <c r="S76" s="633"/>
      <c r="T76" s="636"/>
      <c r="U76" s="636"/>
      <c r="V76" s="7"/>
      <c r="W76" s="699"/>
      <c r="X76" s="7"/>
      <c r="Y76" s="618">
        <f t="shared" si="5"/>
        <v>0</v>
      </c>
      <c r="Z76" s="7"/>
      <c r="AA76" s="7"/>
      <c r="AB76" s="7"/>
      <c r="AC76" s="7"/>
      <c r="AD76" s="7"/>
      <c r="AE76" s="7"/>
    </row>
    <row r="77" spans="1:31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4"/>
      <c r="G77" s="213"/>
      <c r="H77" s="213"/>
      <c r="I77" s="215"/>
      <c r="J77" s="215"/>
      <c r="K77" s="215"/>
      <c r="L77" s="214"/>
      <c r="M77" s="638"/>
      <c r="N77" s="213"/>
      <c r="O77" s="213"/>
      <c r="P77" s="215"/>
      <c r="Q77" s="215"/>
      <c r="R77" s="616">
        <f t="shared" si="1"/>
        <v>0</v>
      </c>
      <c r="S77" s="633"/>
      <c r="T77" s="640"/>
      <c r="U77" s="640"/>
      <c r="V77" s="7"/>
      <c r="W77" s="699"/>
      <c r="X77" s="7"/>
      <c r="Y77" s="618">
        <f t="shared" si="5"/>
        <v>0</v>
      </c>
      <c r="Z77" s="7"/>
      <c r="AA77" s="7"/>
      <c r="AB77" s="7"/>
      <c r="AC77" s="7"/>
      <c r="AD77" s="7"/>
      <c r="AE77" s="7"/>
    </row>
    <row r="78" spans="1:31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4"/>
      <c r="G78" s="213"/>
      <c r="H78" s="213"/>
      <c r="I78" s="215"/>
      <c r="J78" s="215"/>
      <c r="K78" s="215"/>
      <c r="L78" s="214"/>
      <c r="M78" s="649"/>
      <c r="N78" s="213"/>
      <c r="O78" s="213"/>
      <c r="P78" s="215"/>
      <c r="Q78" s="215"/>
      <c r="R78" s="616">
        <f t="shared" si="1"/>
        <v>0</v>
      </c>
      <c r="S78" s="633"/>
      <c r="T78" s="636"/>
      <c r="U78" s="636"/>
      <c r="V78" s="7"/>
      <c r="W78" s="699"/>
      <c r="X78" s="7"/>
      <c r="Y78" s="618">
        <f t="shared" si="5"/>
        <v>0</v>
      </c>
      <c r="Z78" s="7"/>
      <c r="AA78" s="7"/>
      <c r="AB78" s="7"/>
      <c r="AC78" s="7"/>
      <c r="AD78" s="7"/>
      <c r="AE78" s="7"/>
    </row>
    <row r="79" spans="1:31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4"/>
      <c r="G79" s="213"/>
      <c r="H79" s="213"/>
      <c r="I79" s="215"/>
      <c r="J79" s="215"/>
      <c r="K79" s="215"/>
      <c r="L79" s="214"/>
      <c r="M79" s="620"/>
      <c r="N79" s="213"/>
      <c r="O79" s="213"/>
      <c r="P79" s="215"/>
      <c r="Q79" s="215"/>
      <c r="R79" s="616">
        <f t="shared" si="1"/>
        <v>0</v>
      </c>
      <c r="S79" s="633"/>
      <c r="T79" s="634"/>
      <c r="U79" s="634"/>
      <c r="V79" s="7"/>
      <c r="W79" s="699"/>
      <c r="X79" s="7"/>
      <c r="Y79" s="618">
        <f t="shared" si="5"/>
        <v>0</v>
      </c>
      <c r="Z79" s="7"/>
      <c r="AA79" s="7"/>
      <c r="AB79" s="7"/>
      <c r="AC79" s="7"/>
      <c r="AD79" s="7"/>
      <c r="AE79" s="7"/>
    </row>
    <row r="80" spans="1:31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4"/>
      <c r="G80" s="213"/>
      <c r="H80" s="213"/>
      <c r="I80" s="215"/>
      <c r="J80" s="215"/>
      <c r="K80" s="215"/>
      <c r="L80" s="214"/>
      <c r="M80" s="620"/>
      <c r="N80" s="213"/>
      <c r="O80" s="213"/>
      <c r="P80" s="215"/>
      <c r="Q80" s="215"/>
      <c r="R80" s="616">
        <f t="shared" si="1"/>
        <v>0</v>
      </c>
      <c r="S80" s="633"/>
      <c r="T80" s="634"/>
      <c r="U80" s="634"/>
      <c r="V80" s="7"/>
      <c r="W80" s="699"/>
      <c r="X80" s="7"/>
      <c r="Y80" s="618">
        <f t="shared" si="5"/>
        <v>0</v>
      </c>
      <c r="Z80" s="7"/>
      <c r="AA80" s="7"/>
      <c r="AB80" s="7"/>
      <c r="AC80" s="7"/>
      <c r="AD80" s="7"/>
      <c r="AE80" s="7"/>
    </row>
    <row r="81" spans="1:31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4"/>
      <c r="G81" s="213"/>
      <c r="H81" s="213"/>
      <c r="I81" s="215"/>
      <c r="J81" s="215"/>
      <c r="K81" s="215"/>
      <c r="L81" s="214"/>
      <c r="M81" s="620"/>
      <c r="N81" s="213"/>
      <c r="O81" s="213"/>
      <c r="P81" s="215"/>
      <c r="Q81" s="215"/>
      <c r="R81" s="616">
        <f t="shared" si="1"/>
        <v>0</v>
      </c>
      <c r="S81" s="633"/>
      <c r="T81" s="634"/>
      <c r="U81" s="634"/>
      <c r="V81" s="7"/>
      <c r="W81" s="699"/>
      <c r="X81" s="7"/>
      <c r="Y81" s="618">
        <f t="shared" si="5"/>
        <v>0</v>
      </c>
      <c r="Z81" s="7"/>
      <c r="AA81" s="7"/>
      <c r="AB81" s="7"/>
      <c r="AC81" s="7"/>
      <c r="AD81" s="7"/>
      <c r="AE81" s="7"/>
    </row>
    <row r="82" spans="1:31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4"/>
      <c r="G82" s="213"/>
      <c r="H82" s="213"/>
      <c r="I82" s="215"/>
      <c r="J82" s="215"/>
      <c r="K82" s="215"/>
      <c r="L82" s="214"/>
      <c r="M82" s="620"/>
      <c r="N82" s="213"/>
      <c r="O82" s="213"/>
      <c r="P82" s="215"/>
      <c r="Q82" s="215"/>
      <c r="R82" s="616">
        <f t="shared" si="1"/>
        <v>0</v>
      </c>
      <c r="S82" s="633"/>
      <c r="T82" s="634"/>
      <c r="U82" s="634"/>
      <c r="V82" s="7"/>
      <c r="W82" s="699"/>
      <c r="X82" s="7"/>
      <c r="Y82" s="618">
        <f t="shared" si="5"/>
        <v>0</v>
      </c>
      <c r="Z82" s="7"/>
      <c r="AA82" s="7"/>
      <c r="AB82" s="7"/>
      <c r="AC82" s="7"/>
      <c r="AD82" s="7"/>
      <c r="AE82" s="7"/>
    </row>
    <row r="83" spans="1:31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4"/>
      <c r="G83" s="213"/>
      <c r="H83" s="213"/>
      <c r="I83" s="215"/>
      <c r="J83" s="215"/>
      <c r="K83" s="215"/>
      <c r="L83" s="214"/>
      <c r="M83" s="649"/>
      <c r="N83" s="213"/>
      <c r="O83" s="213"/>
      <c r="P83" s="215"/>
      <c r="Q83" s="215"/>
      <c r="R83" s="616">
        <f t="shared" si="1"/>
        <v>0</v>
      </c>
      <c r="S83" s="633"/>
      <c r="T83" s="636"/>
      <c r="U83" s="636"/>
      <c r="V83" s="7"/>
      <c r="W83" s="699"/>
      <c r="X83" s="7"/>
      <c r="Y83" s="618">
        <f t="shared" si="5"/>
        <v>0</v>
      </c>
      <c r="Z83" s="7"/>
      <c r="AA83" s="7"/>
      <c r="AB83" s="7"/>
      <c r="AC83" s="7"/>
      <c r="AD83" s="7"/>
      <c r="AE83" s="7"/>
    </row>
    <row r="84" spans="1:31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4"/>
      <c r="G84" s="213"/>
      <c r="H84" s="213"/>
      <c r="I84" s="215"/>
      <c r="J84" s="215"/>
      <c r="K84" s="215"/>
      <c r="L84" s="214"/>
      <c r="M84" s="647"/>
      <c r="N84" s="213"/>
      <c r="O84" s="213"/>
      <c r="P84" s="215"/>
      <c r="Q84" s="215"/>
      <c r="R84" s="616">
        <f t="shared" si="1"/>
        <v>0</v>
      </c>
      <c r="S84" s="633"/>
      <c r="T84" s="648"/>
      <c r="U84" s="648"/>
      <c r="V84" s="7"/>
      <c r="W84" s="699"/>
      <c r="X84" s="7"/>
      <c r="Y84" s="618">
        <f t="shared" si="5"/>
        <v>0</v>
      </c>
      <c r="Z84" s="7"/>
      <c r="AA84" s="7"/>
      <c r="AB84" s="7"/>
      <c r="AC84" s="7"/>
      <c r="AD84" s="7"/>
      <c r="AE84" s="7"/>
    </row>
    <row r="85" spans="1:31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4"/>
      <c r="G85" s="213"/>
      <c r="H85" s="213"/>
      <c r="I85" s="215"/>
      <c r="J85" s="215"/>
      <c r="K85" s="215"/>
      <c r="L85" s="214"/>
      <c r="M85" s="647"/>
      <c r="N85" s="213"/>
      <c r="O85" s="213"/>
      <c r="P85" s="215"/>
      <c r="Q85" s="215"/>
      <c r="R85" s="616">
        <f t="shared" si="1"/>
        <v>0</v>
      </c>
      <c r="S85" s="633"/>
      <c r="T85" s="648"/>
      <c r="U85" s="648"/>
      <c r="V85" s="7"/>
      <c r="W85" s="699"/>
      <c r="X85" s="7"/>
      <c r="Y85" s="618">
        <f t="shared" si="5"/>
        <v>0</v>
      </c>
      <c r="Z85" s="7"/>
      <c r="AA85" s="7"/>
      <c r="AB85" s="7"/>
      <c r="AC85" s="7"/>
      <c r="AD85" s="7"/>
      <c r="AE85" s="7"/>
    </row>
    <row r="86" spans="1:31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4"/>
      <c r="G86" s="213"/>
      <c r="H86" s="213"/>
      <c r="I86" s="215"/>
      <c r="J86" s="215"/>
      <c r="K86" s="215"/>
      <c r="L86" s="214"/>
      <c r="M86" s="647"/>
      <c r="N86" s="213"/>
      <c r="O86" s="213"/>
      <c r="P86" s="215"/>
      <c r="Q86" s="215"/>
      <c r="R86" s="616">
        <f t="shared" si="1"/>
        <v>0</v>
      </c>
      <c r="S86" s="633"/>
      <c r="T86" s="648"/>
      <c r="U86" s="648"/>
      <c r="V86" s="7"/>
      <c r="W86" s="699"/>
      <c r="X86" s="7"/>
      <c r="Y86" s="618">
        <f t="shared" si="5"/>
        <v>0</v>
      </c>
      <c r="Z86" s="7"/>
      <c r="AA86" s="7"/>
      <c r="AB86" s="7"/>
      <c r="AC86" s="7"/>
      <c r="AD86" s="7"/>
      <c r="AE86" s="7"/>
    </row>
    <row r="87" spans="1:31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4"/>
      <c r="G87" s="213"/>
      <c r="H87" s="213"/>
      <c r="I87" s="215"/>
      <c r="J87" s="215"/>
      <c r="K87" s="215"/>
      <c r="L87" s="214"/>
      <c r="M87" s="638"/>
      <c r="N87" s="213"/>
      <c r="O87" s="213"/>
      <c r="P87" s="215"/>
      <c r="Q87" s="215"/>
      <c r="R87" s="616">
        <f t="shared" si="1"/>
        <v>0</v>
      </c>
      <c r="S87" s="633"/>
      <c r="T87" s="636"/>
      <c r="U87" s="636"/>
      <c r="V87" s="7"/>
      <c r="W87" s="699"/>
      <c r="X87" s="7"/>
      <c r="Y87" s="618">
        <f t="shared" si="5"/>
        <v>0</v>
      </c>
      <c r="Z87" s="7"/>
      <c r="AA87" s="7"/>
      <c r="AB87" s="7"/>
      <c r="AC87" s="7"/>
      <c r="AD87" s="7"/>
      <c r="AE87" s="7"/>
    </row>
    <row r="88" spans="1:31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4"/>
      <c r="G88" s="213"/>
      <c r="H88" s="213"/>
      <c r="I88" s="215"/>
      <c r="J88" s="215"/>
      <c r="K88" s="215"/>
      <c r="L88" s="214"/>
      <c r="M88" s="638"/>
      <c r="N88" s="213"/>
      <c r="O88" s="213"/>
      <c r="P88" s="215"/>
      <c r="Q88" s="215"/>
      <c r="R88" s="616">
        <f t="shared" si="1"/>
        <v>0</v>
      </c>
      <c r="S88" s="633"/>
      <c r="T88" s="636"/>
      <c r="U88" s="636"/>
      <c r="V88" s="7"/>
      <c r="W88" s="699"/>
      <c r="X88" s="7"/>
      <c r="Y88" s="618">
        <f t="shared" si="5"/>
        <v>0</v>
      </c>
      <c r="Z88" s="7"/>
      <c r="AA88" s="7"/>
      <c r="AB88" s="7"/>
      <c r="AC88" s="7"/>
      <c r="AD88" s="7"/>
      <c r="AE88" s="7"/>
    </row>
    <row r="89" spans="1:31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4"/>
      <c r="G89" s="213"/>
      <c r="H89" s="213"/>
      <c r="I89" s="215"/>
      <c r="J89" s="215"/>
      <c r="K89" s="215"/>
      <c r="L89" s="214"/>
      <c r="M89" s="638"/>
      <c r="N89" s="213"/>
      <c r="O89" s="213"/>
      <c r="P89" s="215"/>
      <c r="Q89" s="215"/>
      <c r="R89" s="616">
        <f t="shared" si="1"/>
        <v>0</v>
      </c>
      <c r="S89" s="633"/>
      <c r="T89" s="636"/>
      <c r="U89" s="636"/>
      <c r="V89" s="7"/>
      <c r="W89" s="699"/>
      <c r="X89" s="7"/>
      <c r="Y89" s="618">
        <f t="shared" si="5"/>
        <v>0</v>
      </c>
      <c r="Z89" s="7"/>
      <c r="AA89" s="7"/>
      <c r="AB89" s="7"/>
      <c r="AC89" s="7"/>
      <c r="AD89" s="7"/>
      <c r="AE89" s="7"/>
    </row>
    <row r="90" spans="1:31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4"/>
      <c r="G90" s="213"/>
      <c r="H90" s="213"/>
      <c r="I90" s="215"/>
      <c r="J90" s="215"/>
      <c r="K90" s="215"/>
      <c r="L90" s="214"/>
      <c r="M90" s="638"/>
      <c r="N90" s="213"/>
      <c r="O90" s="213"/>
      <c r="P90" s="215"/>
      <c r="Q90" s="215"/>
      <c r="R90" s="616">
        <f t="shared" si="1"/>
        <v>0</v>
      </c>
      <c r="S90" s="633"/>
      <c r="T90" s="640"/>
      <c r="U90" s="640"/>
      <c r="V90" s="7"/>
      <c r="W90" s="699"/>
      <c r="X90" s="7"/>
      <c r="Y90" s="618">
        <f t="shared" si="5"/>
        <v>0</v>
      </c>
      <c r="Z90" s="7"/>
      <c r="AA90" s="7"/>
      <c r="AB90" s="7"/>
      <c r="AC90" s="7"/>
      <c r="AD90" s="7"/>
      <c r="AE90" s="7"/>
    </row>
    <row r="91" spans="1:31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4"/>
      <c r="G91" s="213"/>
      <c r="H91" s="213"/>
      <c r="I91" s="215"/>
      <c r="J91" s="215"/>
      <c r="K91" s="215"/>
      <c r="L91" s="214"/>
      <c r="M91" s="620"/>
      <c r="N91" s="213"/>
      <c r="O91" s="213"/>
      <c r="P91" s="215"/>
      <c r="Q91" s="215"/>
      <c r="R91" s="616">
        <f t="shared" si="1"/>
        <v>0</v>
      </c>
      <c r="S91" s="633"/>
      <c r="T91" s="636"/>
      <c r="U91" s="636"/>
      <c r="V91" s="7"/>
      <c r="W91" s="699"/>
      <c r="X91" s="7"/>
      <c r="Y91" s="618">
        <f t="shared" si="5"/>
        <v>0</v>
      </c>
      <c r="Z91" s="7"/>
      <c r="AA91" s="7"/>
      <c r="AB91" s="7"/>
      <c r="AC91" s="7"/>
      <c r="AD91" s="7"/>
      <c r="AE91" s="7"/>
    </row>
    <row r="92" spans="1:31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4"/>
      <c r="G92" s="213"/>
      <c r="H92" s="213"/>
      <c r="I92" s="215"/>
      <c r="J92" s="215"/>
      <c r="K92" s="215"/>
      <c r="L92" s="214"/>
      <c r="M92" s="620"/>
      <c r="N92" s="213"/>
      <c r="O92" s="213"/>
      <c r="P92" s="215"/>
      <c r="Q92" s="215"/>
      <c r="R92" s="616">
        <f t="shared" si="1"/>
        <v>0</v>
      </c>
      <c r="S92" s="633"/>
      <c r="T92" s="636"/>
      <c r="U92" s="636"/>
      <c r="V92" s="7"/>
      <c r="W92" s="699"/>
      <c r="X92" s="7"/>
      <c r="Y92" s="618">
        <f t="shared" si="5"/>
        <v>0</v>
      </c>
      <c r="Z92" s="7"/>
      <c r="AA92" s="7"/>
      <c r="AB92" s="7"/>
      <c r="AC92" s="7"/>
      <c r="AD92" s="7"/>
      <c r="AE92" s="7"/>
    </row>
    <row r="93" spans="1:31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4"/>
      <c r="G93" s="213"/>
      <c r="H93" s="213"/>
      <c r="I93" s="215"/>
      <c r="J93" s="215"/>
      <c r="K93" s="215"/>
      <c r="L93" s="214"/>
      <c r="M93" s="620"/>
      <c r="N93" s="213"/>
      <c r="O93" s="213"/>
      <c r="P93" s="215"/>
      <c r="Q93" s="215"/>
      <c r="R93" s="616">
        <f t="shared" si="1"/>
        <v>0</v>
      </c>
      <c r="S93" s="633"/>
      <c r="T93" s="636"/>
      <c r="U93" s="636"/>
      <c r="V93" s="7"/>
      <c r="W93" s="699"/>
      <c r="X93" s="7"/>
      <c r="Y93" s="618">
        <f t="shared" si="5"/>
        <v>0</v>
      </c>
      <c r="Z93" s="7"/>
      <c r="AA93" s="7"/>
      <c r="AB93" s="7"/>
      <c r="AC93" s="7"/>
      <c r="AD93" s="7"/>
      <c r="AE93" s="7"/>
    </row>
    <row r="94" spans="1:31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4"/>
      <c r="G94" s="213"/>
      <c r="H94" s="213"/>
      <c r="I94" s="215"/>
      <c r="J94" s="215"/>
      <c r="K94" s="215"/>
      <c r="L94" s="214"/>
      <c r="M94" s="620"/>
      <c r="N94" s="213"/>
      <c r="O94" s="213"/>
      <c r="P94" s="215"/>
      <c r="Q94" s="215"/>
      <c r="R94" s="616">
        <f t="shared" si="1"/>
        <v>0</v>
      </c>
      <c r="S94" s="633"/>
      <c r="T94" s="636"/>
      <c r="U94" s="636"/>
      <c r="V94" s="7"/>
      <c r="W94" s="699"/>
      <c r="X94" s="7"/>
      <c r="Y94" s="618">
        <f t="shared" si="5"/>
        <v>0</v>
      </c>
      <c r="Z94" s="7"/>
      <c r="AA94" s="7"/>
      <c r="AB94" s="7"/>
      <c r="AC94" s="7"/>
      <c r="AD94" s="7"/>
      <c r="AE94" s="7"/>
    </row>
    <row r="95" spans="1:31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4"/>
      <c r="G95" s="213"/>
      <c r="H95" s="213"/>
      <c r="I95" s="215"/>
      <c r="J95" s="215"/>
      <c r="K95" s="215"/>
      <c r="L95" s="214"/>
      <c r="M95" s="620"/>
      <c r="N95" s="213"/>
      <c r="O95" s="213"/>
      <c r="P95" s="215"/>
      <c r="Q95" s="215"/>
      <c r="R95" s="616">
        <f t="shared" si="1"/>
        <v>0</v>
      </c>
      <c r="S95" s="633"/>
      <c r="T95" s="636"/>
      <c r="U95" s="636"/>
      <c r="V95" s="7"/>
      <c r="W95" s="699"/>
      <c r="X95" s="7"/>
      <c r="Y95" s="618">
        <f t="shared" si="5"/>
        <v>0</v>
      </c>
      <c r="Z95" s="7"/>
      <c r="AA95" s="7"/>
      <c r="AB95" s="7"/>
      <c r="AC95" s="7"/>
      <c r="AD95" s="7"/>
      <c r="AE95" s="7"/>
    </row>
    <row r="96" spans="1:31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4"/>
      <c r="G96" s="213"/>
      <c r="H96" s="213"/>
      <c r="I96" s="215"/>
      <c r="J96" s="215"/>
      <c r="K96" s="215"/>
      <c r="L96" s="214"/>
      <c r="M96" s="620"/>
      <c r="N96" s="213"/>
      <c r="O96" s="213"/>
      <c r="P96" s="215"/>
      <c r="Q96" s="215"/>
      <c r="R96" s="616">
        <f t="shared" si="1"/>
        <v>0</v>
      </c>
      <c r="S96" s="633"/>
      <c r="T96" s="636"/>
      <c r="U96" s="636"/>
      <c r="V96" s="7"/>
      <c r="W96" s="699"/>
      <c r="X96" s="7"/>
      <c r="Y96" s="618">
        <f t="shared" si="5"/>
        <v>0</v>
      </c>
      <c r="Z96" s="7"/>
      <c r="AA96" s="7"/>
      <c r="AB96" s="7"/>
      <c r="AC96" s="7"/>
      <c r="AD96" s="7"/>
      <c r="AE96" s="7"/>
    </row>
    <row r="97" spans="1:31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4"/>
      <c r="G97" s="213"/>
      <c r="H97" s="213"/>
      <c r="I97" s="215"/>
      <c r="J97" s="215"/>
      <c r="K97" s="215"/>
      <c r="L97" s="214"/>
      <c r="M97" s="620"/>
      <c r="N97" s="213"/>
      <c r="O97" s="213"/>
      <c r="P97" s="215"/>
      <c r="Q97" s="215"/>
      <c r="R97" s="616">
        <f t="shared" si="1"/>
        <v>0</v>
      </c>
      <c r="S97" s="633"/>
      <c r="T97" s="636"/>
      <c r="U97" s="636"/>
      <c r="V97" s="7"/>
      <c r="W97" s="699"/>
      <c r="X97" s="7"/>
      <c r="Y97" s="618">
        <f t="shared" si="5"/>
        <v>0</v>
      </c>
      <c r="Z97" s="7"/>
      <c r="AA97" s="7"/>
      <c r="AB97" s="7"/>
      <c r="AC97" s="7"/>
      <c r="AD97" s="7"/>
      <c r="AE97" s="7"/>
    </row>
    <row r="98" spans="1:31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4"/>
      <c r="G98" s="213"/>
      <c r="H98" s="213"/>
      <c r="I98" s="215"/>
      <c r="J98" s="215"/>
      <c r="K98" s="215"/>
      <c r="L98" s="214"/>
      <c r="M98" s="620"/>
      <c r="N98" s="213"/>
      <c r="O98" s="213"/>
      <c r="P98" s="215"/>
      <c r="Q98" s="215"/>
      <c r="R98" s="616">
        <f t="shared" si="1"/>
        <v>0</v>
      </c>
      <c r="S98" s="633"/>
      <c r="T98" s="636"/>
      <c r="U98" s="636"/>
      <c r="V98" s="7"/>
      <c r="W98" s="699"/>
      <c r="X98" s="7"/>
      <c r="Y98" s="618">
        <f t="shared" si="5"/>
        <v>0</v>
      </c>
      <c r="Z98" s="7"/>
      <c r="AA98" s="7"/>
      <c r="AB98" s="7"/>
      <c r="AC98" s="7"/>
      <c r="AD98" s="7"/>
      <c r="AE98" s="7"/>
    </row>
    <row r="99" spans="1:31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4"/>
      <c r="G99" s="213"/>
      <c r="H99" s="213"/>
      <c r="I99" s="215"/>
      <c r="J99" s="215"/>
      <c r="K99" s="215"/>
      <c r="L99" s="214"/>
      <c r="M99" s="620"/>
      <c r="N99" s="213"/>
      <c r="O99" s="213"/>
      <c r="P99" s="215"/>
      <c r="Q99" s="215"/>
      <c r="R99" s="616">
        <f t="shared" si="1"/>
        <v>0</v>
      </c>
      <c r="S99" s="633"/>
      <c r="T99" s="636"/>
      <c r="U99" s="636"/>
      <c r="V99" s="7"/>
      <c r="W99" s="699"/>
      <c r="X99" s="7"/>
      <c r="Y99" s="618">
        <f t="shared" si="5"/>
        <v>0</v>
      </c>
      <c r="Z99" s="7"/>
      <c r="AA99" s="7"/>
      <c r="AB99" s="7"/>
      <c r="AC99" s="7"/>
      <c r="AD99" s="7"/>
      <c r="AE99" s="7"/>
    </row>
    <row r="100" spans="1:31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4"/>
      <c r="G100" s="213"/>
      <c r="H100" s="213"/>
      <c r="I100" s="215"/>
      <c r="J100" s="215"/>
      <c r="K100" s="215"/>
      <c r="L100" s="214"/>
      <c r="M100" s="620"/>
      <c r="N100" s="213"/>
      <c r="O100" s="213"/>
      <c r="P100" s="215"/>
      <c r="Q100" s="215"/>
      <c r="R100" s="616">
        <f t="shared" si="1"/>
        <v>0</v>
      </c>
      <c r="S100" s="633"/>
      <c r="T100" s="636"/>
      <c r="U100" s="636"/>
      <c r="V100" s="7"/>
      <c r="W100" s="699"/>
      <c r="X100" s="7"/>
      <c r="Y100" s="618">
        <f t="shared" si="5"/>
        <v>0</v>
      </c>
      <c r="Z100" s="7"/>
      <c r="AA100" s="7"/>
      <c r="AB100" s="7"/>
      <c r="AC100" s="7"/>
      <c r="AD100" s="7"/>
      <c r="AE100" s="7"/>
    </row>
    <row r="101" spans="1:31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4"/>
      <c r="G101" s="213"/>
      <c r="H101" s="213"/>
      <c r="I101" s="215"/>
      <c r="J101" s="215"/>
      <c r="K101" s="215"/>
      <c r="L101" s="214"/>
      <c r="M101" s="638"/>
      <c r="N101" s="213"/>
      <c r="O101" s="213"/>
      <c r="P101" s="215"/>
      <c r="Q101" s="215"/>
      <c r="R101" s="616">
        <f t="shared" si="1"/>
        <v>0</v>
      </c>
      <c r="S101" s="633"/>
      <c r="T101" s="636"/>
      <c r="U101" s="636"/>
      <c r="V101" s="7"/>
      <c r="W101" s="699"/>
      <c r="X101" s="7"/>
      <c r="Y101" s="618">
        <f t="shared" si="5"/>
        <v>0</v>
      </c>
      <c r="Z101" s="7"/>
      <c r="AA101" s="7"/>
      <c r="AB101" s="7"/>
      <c r="AC101" s="7"/>
      <c r="AD101" s="7"/>
      <c r="AE101" s="7"/>
    </row>
    <row r="102" spans="1:31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4"/>
      <c r="G102" s="213"/>
      <c r="H102" s="213"/>
      <c r="I102" s="215"/>
      <c r="J102" s="215"/>
      <c r="K102" s="215"/>
      <c r="L102" s="214"/>
      <c r="M102" s="638"/>
      <c r="N102" s="213"/>
      <c r="O102" s="213"/>
      <c r="P102" s="215"/>
      <c r="Q102" s="215"/>
      <c r="R102" s="616">
        <f t="shared" si="1"/>
        <v>0</v>
      </c>
      <c r="S102" s="633"/>
      <c r="T102" s="636"/>
      <c r="U102" s="636"/>
      <c r="V102" s="7"/>
      <c r="W102" s="699"/>
      <c r="X102" s="7"/>
      <c r="Y102" s="618">
        <f t="shared" si="5"/>
        <v>0</v>
      </c>
      <c r="Z102" s="7"/>
      <c r="AA102" s="7"/>
      <c r="AB102" s="7"/>
      <c r="AC102" s="7"/>
      <c r="AD102" s="7"/>
      <c r="AE102" s="7"/>
    </row>
    <row r="103" spans="1:31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4"/>
      <c r="G103" s="213"/>
      <c r="H103" s="213"/>
      <c r="I103" s="215"/>
      <c r="J103" s="215"/>
      <c r="K103" s="215"/>
      <c r="L103" s="214"/>
      <c r="M103" s="638"/>
      <c r="N103" s="213"/>
      <c r="O103" s="213"/>
      <c r="P103" s="215"/>
      <c r="Q103" s="215"/>
      <c r="R103" s="616">
        <f t="shared" si="1"/>
        <v>0</v>
      </c>
      <c r="S103" s="650" t="s">
        <v>1579</v>
      </c>
      <c r="T103" s="640"/>
      <c r="U103" s="640"/>
      <c r="V103" s="7"/>
      <c r="W103" s="699"/>
      <c r="X103" s="7"/>
      <c r="Y103" s="618">
        <f t="shared" si="5"/>
        <v>0</v>
      </c>
      <c r="Z103" s="7"/>
      <c r="AA103" s="7"/>
      <c r="AB103" s="7"/>
      <c r="AC103" s="7"/>
      <c r="AD103" s="7"/>
      <c r="AE103" s="7"/>
    </row>
    <row r="104" spans="1:31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1.42</v>
      </c>
      <c r="F104" s="214"/>
      <c r="G104" s="213">
        <v>5.5</v>
      </c>
      <c r="H104" s="213">
        <v>2</v>
      </c>
      <c r="I104" s="215">
        <v>0.16</v>
      </c>
      <c r="J104" s="215"/>
      <c r="K104" s="215">
        <v>5.9020000000000001</v>
      </c>
      <c r="L104" s="214">
        <f>3.66+7.5</f>
        <v>11.16</v>
      </c>
      <c r="M104" s="620">
        <v>83.2</v>
      </c>
      <c r="N104" s="213">
        <v>88.15</v>
      </c>
      <c r="O104" s="213">
        <v>1.5</v>
      </c>
      <c r="P104" s="215"/>
      <c r="Q104" s="215"/>
      <c r="R104" s="616">
        <f t="shared" si="1"/>
        <v>198.99200000000002</v>
      </c>
      <c r="S104" s="633">
        <f>R104+R126+R115</f>
        <v>385.69</v>
      </c>
      <c r="T104" s="636"/>
      <c r="U104" s="636"/>
      <c r="V104" s="7"/>
      <c r="W104" s="701">
        <v>351.72</v>
      </c>
      <c r="X104" s="7"/>
      <c r="Y104" s="618"/>
      <c r="Z104" s="7"/>
      <c r="AA104" s="7"/>
      <c r="AB104" s="7"/>
      <c r="AC104" s="7"/>
      <c r="AD104" s="7"/>
      <c r="AE104" s="7"/>
    </row>
    <row r="105" spans="1:31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4"/>
      <c r="G105" s="213"/>
      <c r="H105" s="213"/>
      <c r="I105" s="215"/>
      <c r="J105" s="215"/>
      <c r="K105" s="215"/>
      <c r="L105" s="214"/>
      <c r="M105" s="620">
        <v>83.2</v>
      </c>
      <c r="N105" s="213"/>
      <c r="O105" s="213"/>
      <c r="P105" s="215"/>
      <c r="Q105" s="215"/>
      <c r="R105" s="616">
        <f t="shared" si="1"/>
        <v>83.2</v>
      </c>
      <c r="S105" s="633"/>
      <c r="T105" s="654"/>
      <c r="U105" s="654"/>
      <c r="V105" s="7"/>
      <c r="W105" s="701">
        <v>128.21</v>
      </c>
      <c r="X105" s="7"/>
      <c r="Y105" s="618"/>
      <c r="Z105" s="7"/>
      <c r="AA105" s="7"/>
      <c r="AB105" s="7"/>
      <c r="AC105" s="7"/>
      <c r="AD105" s="7"/>
      <c r="AE105" s="7"/>
    </row>
    <row r="106" spans="1:31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4"/>
      <c r="G106" s="213"/>
      <c r="H106" s="213"/>
      <c r="I106" s="215"/>
      <c r="J106" s="215"/>
      <c r="K106" s="215"/>
      <c r="L106" s="214"/>
      <c r="M106" s="647"/>
      <c r="N106" s="213"/>
      <c r="O106" s="213"/>
      <c r="P106" s="215"/>
      <c r="Q106" s="215"/>
      <c r="R106" s="616">
        <f t="shared" si="1"/>
        <v>0</v>
      </c>
      <c r="S106" s="633"/>
      <c r="T106" s="648"/>
      <c r="U106" s="648"/>
      <c r="V106" s="7"/>
      <c r="W106" s="701">
        <v>8.7799999999999994</v>
      </c>
      <c r="X106" s="7"/>
      <c r="Y106" s="618"/>
      <c r="Z106" s="7"/>
      <c r="AA106" s="7"/>
      <c r="AB106" s="7"/>
      <c r="AC106" s="7"/>
      <c r="AD106" s="7"/>
      <c r="AE106" s="7"/>
    </row>
    <row r="107" spans="1:31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4"/>
      <c r="G107" s="213"/>
      <c r="H107" s="213"/>
      <c r="I107" s="215"/>
      <c r="J107" s="215"/>
      <c r="K107" s="215"/>
      <c r="L107" s="214"/>
      <c r="M107" s="647"/>
      <c r="N107" s="213"/>
      <c r="O107" s="213"/>
      <c r="P107" s="215"/>
      <c r="Q107" s="215"/>
      <c r="R107" s="616">
        <f t="shared" si="1"/>
        <v>0</v>
      </c>
      <c r="S107" s="633"/>
      <c r="T107" s="648"/>
      <c r="U107" s="648"/>
      <c r="V107" s="7"/>
      <c r="W107" s="701">
        <v>5.49</v>
      </c>
      <c r="X107" s="7"/>
      <c r="Y107" s="618"/>
      <c r="Z107" s="7"/>
      <c r="AA107" s="7"/>
      <c r="AB107" s="7"/>
      <c r="AC107" s="7"/>
      <c r="AD107" s="7"/>
      <c r="AE107" s="7"/>
    </row>
    <row r="108" spans="1:31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4"/>
      <c r="G108" s="213"/>
      <c r="H108" s="213"/>
      <c r="I108" s="215"/>
      <c r="J108" s="215"/>
      <c r="K108" s="215"/>
      <c r="L108" s="214"/>
      <c r="M108" s="647"/>
      <c r="N108" s="213"/>
      <c r="O108" s="213"/>
      <c r="P108" s="215"/>
      <c r="Q108" s="215"/>
      <c r="R108" s="616">
        <f t="shared" si="1"/>
        <v>0</v>
      </c>
      <c r="S108" s="633"/>
      <c r="T108" s="648"/>
      <c r="U108" s="648"/>
      <c r="V108" s="7"/>
      <c r="W108" s="701">
        <v>6.66</v>
      </c>
      <c r="X108" s="7"/>
      <c r="Y108" s="618"/>
      <c r="Z108" s="7"/>
      <c r="AA108" s="7"/>
      <c r="AB108" s="7"/>
      <c r="AC108" s="7"/>
      <c r="AD108" s="7"/>
      <c r="AE108" s="7"/>
    </row>
    <row r="109" spans="1:31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4"/>
      <c r="G109" s="213"/>
      <c r="H109" s="213"/>
      <c r="I109" s="215"/>
      <c r="J109" s="215"/>
      <c r="K109" s="215"/>
      <c r="L109" s="214"/>
      <c r="M109" s="620">
        <v>83.2</v>
      </c>
      <c r="N109" s="213"/>
      <c r="O109" s="213"/>
      <c r="P109" s="215"/>
      <c r="Q109" s="215"/>
      <c r="R109" s="616">
        <f t="shared" si="1"/>
        <v>83.2</v>
      </c>
      <c r="S109" s="633"/>
      <c r="T109" s="648"/>
      <c r="U109" s="648"/>
      <c r="V109" s="7"/>
      <c r="W109" s="701">
        <v>107.28</v>
      </c>
      <c r="X109" s="7"/>
      <c r="Y109" s="618"/>
      <c r="Z109" s="7"/>
      <c r="AA109" s="7"/>
      <c r="AB109" s="7"/>
      <c r="AC109" s="7"/>
      <c r="AD109" s="7"/>
      <c r="AE109" s="7"/>
    </row>
    <row r="110" spans="1:31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4"/>
      <c r="G110" s="213"/>
      <c r="H110" s="213"/>
      <c r="I110" s="215"/>
      <c r="J110" s="215"/>
      <c r="K110" s="215"/>
      <c r="L110" s="214"/>
      <c r="M110" s="647"/>
      <c r="N110" s="213"/>
      <c r="O110" s="213"/>
      <c r="P110" s="215"/>
      <c r="Q110" s="215"/>
      <c r="R110" s="616">
        <f t="shared" si="1"/>
        <v>0</v>
      </c>
      <c r="S110" s="633"/>
      <c r="T110" s="654"/>
      <c r="U110" s="654"/>
      <c r="V110" s="7"/>
      <c r="W110" s="701">
        <v>223.51</v>
      </c>
      <c r="X110" s="7"/>
      <c r="Y110" s="618"/>
      <c r="Z110" s="7"/>
      <c r="AA110" s="7"/>
      <c r="AB110" s="7"/>
      <c r="AC110" s="7"/>
      <c r="AD110" s="7"/>
      <c r="AE110" s="7"/>
    </row>
    <row r="111" spans="1:31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4"/>
      <c r="G111" s="213"/>
      <c r="H111" s="213"/>
      <c r="I111" s="215"/>
      <c r="J111" s="215"/>
      <c r="K111" s="215"/>
      <c r="L111" s="214"/>
      <c r="M111" s="647"/>
      <c r="N111" s="213"/>
      <c r="O111" s="213"/>
      <c r="P111" s="215"/>
      <c r="Q111" s="215"/>
      <c r="R111" s="616">
        <f t="shared" si="1"/>
        <v>0</v>
      </c>
      <c r="S111" s="633"/>
      <c r="T111" s="634"/>
      <c r="U111" s="634"/>
      <c r="V111" s="7"/>
      <c r="W111" s="701">
        <v>80.64</v>
      </c>
      <c r="X111" s="7"/>
      <c r="Y111" s="618"/>
      <c r="Z111" s="7"/>
      <c r="AA111" s="7"/>
      <c r="AB111" s="7"/>
      <c r="AC111" s="7"/>
      <c r="AD111" s="7"/>
      <c r="AE111" s="7"/>
    </row>
    <row r="112" spans="1:31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4"/>
      <c r="G112" s="213"/>
      <c r="H112" s="213"/>
      <c r="I112" s="215"/>
      <c r="J112" s="215"/>
      <c r="K112" s="215"/>
      <c r="L112" s="214"/>
      <c r="M112" s="647"/>
      <c r="N112" s="213"/>
      <c r="O112" s="213"/>
      <c r="P112" s="215"/>
      <c r="Q112" s="215"/>
      <c r="R112" s="616">
        <f t="shared" si="1"/>
        <v>0</v>
      </c>
      <c r="S112" s="633"/>
      <c r="T112" s="634"/>
      <c r="U112" s="634"/>
      <c r="V112" s="7"/>
      <c r="W112" s="701">
        <v>31.11</v>
      </c>
      <c r="X112" s="7"/>
      <c r="Y112" s="618"/>
      <c r="Z112" s="7"/>
      <c r="AA112" s="7"/>
      <c r="AB112" s="7"/>
      <c r="AC112" s="7"/>
      <c r="AD112" s="7"/>
      <c r="AE112" s="7"/>
    </row>
    <row r="113" spans="1:31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4"/>
      <c r="G113" s="213"/>
      <c r="H113" s="213"/>
      <c r="I113" s="215"/>
      <c r="J113" s="215"/>
      <c r="K113" s="215"/>
      <c r="L113" s="214"/>
      <c r="M113" s="647"/>
      <c r="N113" s="213"/>
      <c r="O113" s="213"/>
      <c r="P113" s="215"/>
      <c r="Q113" s="215"/>
      <c r="R113" s="616">
        <f t="shared" si="1"/>
        <v>0</v>
      </c>
      <c r="S113" s="633"/>
      <c r="T113" s="634"/>
      <c r="U113" s="634"/>
      <c r="V113" s="7"/>
      <c r="W113" s="701">
        <v>4.68</v>
      </c>
      <c r="X113" s="7"/>
      <c r="Y113" s="618"/>
      <c r="Z113" s="7"/>
      <c r="AA113" s="7"/>
      <c r="AB113" s="7"/>
      <c r="AC113" s="7"/>
      <c r="AD113" s="7"/>
      <c r="AE113" s="7"/>
    </row>
    <row r="114" spans="1:31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4"/>
      <c r="G114" s="213"/>
      <c r="H114" s="213"/>
      <c r="I114" s="215"/>
      <c r="J114" s="215"/>
      <c r="K114" s="215"/>
      <c r="L114" s="214"/>
      <c r="M114" s="647"/>
      <c r="N114" s="213"/>
      <c r="O114" s="213"/>
      <c r="P114" s="215"/>
      <c r="Q114" s="215"/>
      <c r="R114" s="616">
        <f t="shared" si="1"/>
        <v>0</v>
      </c>
      <c r="S114" s="633"/>
      <c r="T114" s="634"/>
      <c r="U114" s="634"/>
      <c r="V114" s="7"/>
      <c r="W114" s="701">
        <v>107.08</v>
      </c>
      <c r="X114" s="7"/>
      <c r="Y114" s="618"/>
      <c r="Z114" s="7"/>
      <c r="AA114" s="7"/>
      <c r="AB114" s="7"/>
      <c r="AC114" s="7"/>
      <c r="AD114" s="7"/>
      <c r="AE114" s="7"/>
    </row>
    <row r="115" spans="1:31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4"/>
      <c r="G115" s="213"/>
      <c r="H115" s="213">
        <v>0.14000000000000001</v>
      </c>
      <c r="I115" s="215"/>
      <c r="J115" s="215"/>
      <c r="K115" s="215"/>
      <c r="L115" s="214"/>
      <c r="M115" s="647"/>
      <c r="N115" s="213"/>
      <c r="O115" s="213"/>
      <c r="P115" s="215"/>
      <c r="Q115" s="215"/>
      <c r="R115" s="616">
        <f t="shared" si="1"/>
        <v>0.14000000000000001</v>
      </c>
      <c r="S115" s="633"/>
      <c r="T115" s="636"/>
      <c r="U115" s="636"/>
      <c r="V115" s="7"/>
      <c r="W115" s="701">
        <f>W116+W121</f>
        <v>0.82000000000000006</v>
      </c>
      <c r="X115" s="7"/>
      <c r="Y115" s="618">
        <f t="shared" ref="Y115:Y126" si="6">W115-R115</f>
        <v>0.68</v>
      </c>
      <c r="Z115" s="7"/>
      <c r="AA115" s="7"/>
      <c r="AB115" s="7"/>
      <c r="AC115" s="7"/>
      <c r="AD115" s="7"/>
      <c r="AE115" s="7"/>
    </row>
    <row r="116" spans="1:31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4"/>
      <c r="G116" s="213"/>
      <c r="H116" s="213"/>
      <c r="I116" s="215"/>
      <c r="J116" s="215"/>
      <c r="K116" s="215"/>
      <c r="L116" s="214"/>
      <c r="M116" s="647"/>
      <c r="N116" s="213"/>
      <c r="O116" s="213"/>
      <c r="P116" s="215"/>
      <c r="Q116" s="215"/>
      <c r="R116" s="616">
        <f t="shared" si="1"/>
        <v>0</v>
      </c>
      <c r="S116" s="633"/>
      <c r="T116" s="654"/>
      <c r="U116" s="654"/>
      <c r="V116" s="7"/>
      <c r="W116" s="701">
        <f>SUM(W117:W120)</f>
        <v>0.68</v>
      </c>
      <c r="X116" s="7"/>
      <c r="Y116" s="618">
        <f t="shared" si="6"/>
        <v>0.68</v>
      </c>
      <c r="Z116" s="7"/>
      <c r="AA116" s="7"/>
      <c r="AB116" s="7"/>
      <c r="AC116" s="7"/>
      <c r="AD116" s="7"/>
      <c r="AE116" s="7"/>
    </row>
    <row r="117" spans="1:31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4"/>
      <c r="G117" s="213"/>
      <c r="H117" s="213"/>
      <c r="I117" s="215"/>
      <c r="J117" s="215"/>
      <c r="K117" s="215"/>
      <c r="L117" s="214"/>
      <c r="M117" s="647"/>
      <c r="N117" s="213"/>
      <c r="O117" s="213"/>
      <c r="P117" s="215"/>
      <c r="Q117" s="215"/>
      <c r="R117" s="616">
        <f t="shared" si="1"/>
        <v>0</v>
      </c>
      <c r="S117" s="633"/>
      <c r="T117" s="648"/>
      <c r="U117" s="648"/>
      <c r="V117" s="7"/>
      <c r="W117" s="699">
        <v>0.67</v>
      </c>
      <c r="X117" s="7"/>
      <c r="Y117" s="618">
        <f t="shared" si="6"/>
        <v>0.67</v>
      </c>
      <c r="Z117" s="7"/>
      <c r="AA117" s="7"/>
      <c r="AB117" s="7"/>
      <c r="AC117" s="7"/>
      <c r="AD117" s="7"/>
      <c r="AE117" s="7"/>
    </row>
    <row r="118" spans="1:31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4"/>
      <c r="G118" s="213"/>
      <c r="H118" s="213"/>
      <c r="I118" s="215"/>
      <c r="J118" s="215"/>
      <c r="K118" s="215"/>
      <c r="L118" s="214"/>
      <c r="M118" s="647"/>
      <c r="N118" s="213"/>
      <c r="O118" s="213"/>
      <c r="P118" s="215"/>
      <c r="Q118" s="215"/>
      <c r="R118" s="616">
        <f t="shared" si="1"/>
        <v>0</v>
      </c>
      <c r="S118" s="633"/>
      <c r="T118" s="648"/>
      <c r="U118" s="648"/>
      <c r="V118" s="7"/>
      <c r="W118" s="701">
        <v>0.01</v>
      </c>
      <c r="X118" s="7"/>
      <c r="Y118" s="618">
        <f t="shared" si="6"/>
        <v>0.01</v>
      </c>
      <c r="Z118" s="7"/>
      <c r="AA118" s="7"/>
      <c r="AB118" s="7"/>
      <c r="AC118" s="7"/>
      <c r="AD118" s="7"/>
      <c r="AE118" s="7"/>
    </row>
    <row r="119" spans="1:31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4"/>
      <c r="G119" s="213"/>
      <c r="H119" s="213"/>
      <c r="I119" s="215"/>
      <c r="J119" s="215"/>
      <c r="K119" s="215"/>
      <c r="L119" s="214"/>
      <c r="M119" s="647"/>
      <c r="N119" s="213"/>
      <c r="O119" s="213"/>
      <c r="P119" s="215"/>
      <c r="Q119" s="215"/>
      <c r="R119" s="616">
        <f t="shared" si="1"/>
        <v>0</v>
      </c>
      <c r="S119" s="633"/>
      <c r="T119" s="648"/>
      <c r="U119" s="648"/>
      <c r="V119" s="7"/>
      <c r="W119" s="699"/>
      <c r="X119" s="7"/>
      <c r="Y119" s="618">
        <f t="shared" si="6"/>
        <v>0</v>
      </c>
      <c r="Z119" s="7"/>
      <c r="AA119" s="7"/>
      <c r="AB119" s="7"/>
      <c r="AC119" s="7"/>
      <c r="AD119" s="7"/>
      <c r="AE119" s="7"/>
    </row>
    <row r="120" spans="1:31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4"/>
      <c r="G120" s="213"/>
      <c r="H120" s="213"/>
      <c r="I120" s="215"/>
      <c r="J120" s="215"/>
      <c r="K120" s="215"/>
      <c r="L120" s="214"/>
      <c r="M120" s="647"/>
      <c r="N120" s="213"/>
      <c r="O120" s="213"/>
      <c r="P120" s="215"/>
      <c r="Q120" s="215"/>
      <c r="R120" s="616">
        <f t="shared" si="1"/>
        <v>0</v>
      </c>
      <c r="S120" s="633"/>
      <c r="T120" s="648"/>
      <c r="U120" s="648"/>
      <c r="V120" s="7"/>
      <c r="W120" s="699"/>
      <c r="X120" s="7"/>
      <c r="Y120" s="618">
        <f t="shared" si="6"/>
        <v>0</v>
      </c>
      <c r="Z120" s="7"/>
      <c r="AA120" s="7"/>
      <c r="AB120" s="7"/>
      <c r="AC120" s="7"/>
      <c r="AD120" s="7"/>
      <c r="AE120" s="7"/>
    </row>
    <row r="121" spans="1:31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4"/>
      <c r="G121" s="213"/>
      <c r="H121" s="213"/>
      <c r="I121" s="215"/>
      <c r="J121" s="215"/>
      <c r="K121" s="215"/>
      <c r="L121" s="214"/>
      <c r="M121" s="647"/>
      <c r="N121" s="213"/>
      <c r="O121" s="213"/>
      <c r="P121" s="215"/>
      <c r="Q121" s="215"/>
      <c r="R121" s="616">
        <f t="shared" si="1"/>
        <v>0</v>
      </c>
      <c r="S121" s="633"/>
      <c r="T121" s="654"/>
      <c r="U121" s="654"/>
      <c r="V121" s="7"/>
      <c r="W121" s="701">
        <f>SUM(W122:W125)</f>
        <v>0.14000000000000001</v>
      </c>
      <c r="X121" s="7"/>
      <c r="Y121" s="618">
        <f t="shared" si="6"/>
        <v>0.14000000000000001</v>
      </c>
      <c r="Z121" s="7"/>
      <c r="AA121" s="7"/>
      <c r="AB121" s="7"/>
      <c r="AC121" s="7"/>
      <c r="AD121" s="7"/>
      <c r="AE121" s="7"/>
    </row>
    <row r="122" spans="1:31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4"/>
      <c r="G122" s="213"/>
      <c r="H122" s="213"/>
      <c r="I122" s="215"/>
      <c r="J122" s="215"/>
      <c r="K122" s="215"/>
      <c r="L122" s="214"/>
      <c r="M122" s="647"/>
      <c r="N122" s="213"/>
      <c r="O122" s="213"/>
      <c r="P122" s="215"/>
      <c r="Q122" s="215"/>
      <c r="R122" s="616">
        <f t="shared" si="1"/>
        <v>0</v>
      </c>
      <c r="S122" s="633"/>
      <c r="T122" s="648"/>
      <c r="U122" s="648"/>
      <c r="V122" s="7"/>
      <c r="W122" s="701">
        <v>0.14000000000000001</v>
      </c>
      <c r="X122" s="7"/>
      <c r="Y122" s="618">
        <f t="shared" si="6"/>
        <v>0.14000000000000001</v>
      </c>
      <c r="Z122" s="7"/>
      <c r="AA122" s="7"/>
      <c r="AB122" s="7"/>
      <c r="AC122" s="7"/>
      <c r="AD122" s="7"/>
      <c r="AE122" s="7"/>
    </row>
    <row r="123" spans="1:31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4"/>
      <c r="G123" s="213"/>
      <c r="H123" s="213"/>
      <c r="I123" s="215"/>
      <c r="J123" s="215"/>
      <c r="K123" s="215"/>
      <c r="L123" s="214"/>
      <c r="M123" s="647"/>
      <c r="N123" s="213"/>
      <c r="O123" s="213"/>
      <c r="P123" s="215"/>
      <c r="Q123" s="215"/>
      <c r="R123" s="616">
        <f t="shared" si="1"/>
        <v>0</v>
      </c>
      <c r="S123" s="633"/>
      <c r="T123" s="648"/>
      <c r="U123" s="648"/>
      <c r="V123" s="7"/>
      <c r="W123" s="699"/>
      <c r="X123" s="7"/>
      <c r="Y123" s="618">
        <f t="shared" si="6"/>
        <v>0</v>
      </c>
      <c r="Z123" s="7"/>
      <c r="AA123" s="7"/>
      <c r="AB123" s="7"/>
      <c r="AC123" s="7"/>
      <c r="AD123" s="7"/>
      <c r="AE123" s="7"/>
    </row>
    <row r="124" spans="1:31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4"/>
      <c r="G124" s="213"/>
      <c r="H124" s="213"/>
      <c r="I124" s="215"/>
      <c r="J124" s="215"/>
      <c r="K124" s="215"/>
      <c r="L124" s="214"/>
      <c r="M124" s="647"/>
      <c r="N124" s="213"/>
      <c r="O124" s="213"/>
      <c r="P124" s="215"/>
      <c r="Q124" s="215"/>
      <c r="R124" s="616">
        <f t="shared" si="1"/>
        <v>0</v>
      </c>
      <c r="S124" s="633"/>
      <c r="T124" s="648"/>
      <c r="U124" s="648"/>
      <c r="V124" s="7"/>
      <c r="W124" s="699"/>
      <c r="X124" s="7"/>
      <c r="Y124" s="618">
        <f t="shared" si="6"/>
        <v>0</v>
      </c>
      <c r="Z124" s="7"/>
      <c r="AA124" s="7"/>
      <c r="AB124" s="7"/>
      <c r="AC124" s="7"/>
      <c r="AD124" s="7"/>
      <c r="AE124" s="7"/>
    </row>
    <row r="125" spans="1:31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4"/>
      <c r="G125" s="213"/>
      <c r="H125" s="213"/>
      <c r="I125" s="215"/>
      <c r="J125" s="215"/>
      <c r="K125" s="215"/>
      <c r="L125" s="214"/>
      <c r="M125" s="647"/>
      <c r="N125" s="213"/>
      <c r="O125" s="213"/>
      <c r="P125" s="215"/>
      <c r="Q125" s="215"/>
      <c r="R125" s="616">
        <f t="shared" si="1"/>
        <v>0</v>
      </c>
      <c r="S125" s="633"/>
      <c r="T125" s="648"/>
      <c r="U125" s="648"/>
      <c r="V125" s="7"/>
      <c r="W125" s="699"/>
      <c r="X125" s="7"/>
      <c r="Y125" s="618">
        <f t="shared" si="6"/>
        <v>0</v>
      </c>
      <c r="Z125" s="7"/>
      <c r="AA125" s="7"/>
      <c r="AB125" s="7"/>
      <c r="AC125" s="7"/>
      <c r="AD125" s="7"/>
      <c r="AE125" s="7"/>
    </row>
    <row r="126" spans="1:31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6.3</v>
      </c>
      <c r="F126" s="214"/>
      <c r="G126" s="213">
        <v>81.7</v>
      </c>
      <c r="H126" s="213">
        <v>2.8</v>
      </c>
      <c r="I126" s="215">
        <v>0.11</v>
      </c>
      <c r="J126" s="215">
        <v>0.5</v>
      </c>
      <c r="K126" s="215">
        <v>0.108</v>
      </c>
      <c r="L126" s="214">
        <v>1.1399999999999999</v>
      </c>
      <c r="M126" s="620">
        <v>26.6</v>
      </c>
      <c r="N126" s="213">
        <v>67.3</v>
      </c>
      <c r="O126" s="213"/>
      <c r="P126" s="215"/>
      <c r="Q126" s="215"/>
      <c r="R126" s="616">
        <f t="shared" si="1"/>
        <v>186.55799999999999</v>
      </c>
      <c r="S126" s="633"/>
      <c r="T126" s="636"/>
      <c r="U126" s="636"/>
      <c r="V126" s="7"/>
      <c r="W126" s="702">
        <v>404.73</v>
      </c>
      <c r="X126" s="7"/>
      <c r="Y126" s="618">
        <f t="shared" si="6"/>
        <v>218.17200000000003</v>
      </c>
      <c r="Z126" s="7"/>
      <c r="AA126" s="7"/>
      <c r="AB126" s="7"/>
      <c r="AC126" s="7"/>
      <c r="AD126" s="7"/>
      <c r="AE126" s="7"/>
    </row>
    <row r="127" spans="1:31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4"/>
      <c r="G127" s="213"/>
      <c r="H127" s="213"/>
      <c r="I127" s="215"/>
      <c r="J127" s="215"/>
      <c r="K127" s="215"/>
      <c r="L127" s="214"/>
      <c r="M127" s="647"/>
      <c r="N127" s="213"/>
      <c r="O127" s="213"/>
      <c r="P127" s="215"/>
      <c r="Q127" s="215"/>
      <c r="R127" s="616">
        <f t="shared" si="1"/>
        <v>0</v>
      </c>
      <c r="S127" s="633"/>
      <c r="T127" s="634"/>
      <c r="U127" s="634"/>
      <c r="V127" s="7"/>
      <c r="W127" s="701">
        <v>109.91</v>
      </c>
      <c r="X127" s="7"/>
      <c r="Y127" s="618"/>
      <c r="Z127" s="7"/>
      <c r="AA127" s="7"/>
      <c r="AB127" s="7"/>
      <c r="AC127" s="7"/>
      <c r="AD127" s="7"/>
      <c r="AE127" s="7"/>
    </row>
    <row r="128" spans="1:31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4"/>
      <c r="G128" s="213"/>
      <c r="H128" s="213"/>
      <c r="I128" s="215"/>
      <c r="J128" s="215"/>
      <c r="K128" s="215"/>
      <c r="L128" s="214"/>
      <c r="M128" s="647"/>
      <c r="N128" s="213"/>
      <c r="O128" s="213"/>
      <c r="P128" s="215"/>
      <c r="Q128" s="215"/>
      <c r="R128" s="616">
        <f t="shared" si="1"/>
        <v>0</v>
      </c>
      <c r="S128" s="633"/>
      <c r="T128" s="634"/>
      <c r="U128" s="634"/>
      <c r="V128" s="7"/>
      <c r="W128" s="701">
        <v>23.16</v>
      </c>
      <c r="X128" s="7"/>
      <c r="Y128" s="618"/>
      <c r="Z128" s="7"/>
      <c r="AA128" s="7"/>
      <c r="AB128" s="7"/>
      <c r="AC128" s="7"/>
      <c r="AD128" s="7"/>
      <c r="AE128" s="7"/>
    </row>
    <row r="129" spans="1:31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4"/>
      <c r="G129" s="213"/>
      <c r="H129" s="213"/>
      <c r="I129" s="215"/>
      <c r="J129" s="215"/>
      <c r="K129" s="215"/>
      <c r="L129" s="214"/>
      <c r="M129" s="647"/>
      <c r="N129" s="213"/>
      <c r="O129" s="213"/>
      <c r="P129" s="215"/>
      <c r="Q129" s="215"/>
      <c r="R129" s="616">
        <f t="shared" si="1"/>
        <v>0</v>
      </c>
      <c r="S129" s="633"/>
      <c r="T129" s="634"/>
      <c r="U129" s="634"/>
      <c r="V129" s="7"/>
      <c r="W129" s="701">
        <v>0.56000000000000005</v>
      </c>
      <c r="X129" s="7"/>
      <c r="Y129" s="618"/>
      <c r="Z129" s="7"/>
      <c r="AA129" s="7"/>
      <c r="AB129" s="7"/>
      <c r="AC129" s="7"/>
      <c r="AD129" s="7"/>
      <c r="AE129" s="7"/>
    </row>
    <row r="130" spans="1:31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4"/>
      <c r="G130" s="213"/>
      <c r="H130" s="213"/>
      <c r="I130" s="215"/>
      <c r="J130" s="215"/>
      <c r="K130" s="215"/>
      <c r="L130" s="214"/>
      <c r="M130" s="647"/>
      <c r="N130" s="213"/>
      <c r="O130" s="213"/>
      <c r="P130" s="215"/>
      <c r="Q130" s="215"/>
      <c r="R130" s="616">
        <f t="shared" si="1"/>
        <v>0</v>
      </c>
      <c r="S130" s="633"/>
      <c r="T130" s="634"/>
      <c r="U130" s="634"/>
      <c r="V130" s="7"/>
      <c r="W130" s="701">
        <v>271.10000000000002</v>
      </c>
      <c r="X130" s="7"/>
      <c r="Y130" s="618"/>
      <c r="Z130" s="7"/>
      <c r="AA130" s="7"/>
      <c r="AB130" s="7"/>
      <c r="AC130" s="7"/>
      <c r="AD130" s="7"/>
      <c r="AE130" s="7"/>
    </row>
    <row r="131" spans="1:31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4"/>
      <c r="G131" s="213"/>
      <c r="H131" s="213"/>
      <c r="I131" s="215"/>
      <c r="J131" s="215"/>
      <c r="K131" s="215"/>
      <c r="L131" s="214"/>
      <c r="M131" s="620"/>
      <c r="N131" s="213"/>
      <c r="O131" s="213"/>
      <c r="P131" s="215"/>
      <c r="Q131" s="215"/>
      <c r="R131" s="616">
        <f t="shared" si="1"/>
        <v>0</v>
      </c>
      <c r="S131" s="633"/>
      <c r="T131" s="636"/>
      <c r="U131" s="636"/>
      <c r="V131" s="7"/>
      <c r="W131" s="699"/>
      <c r="X131" s="7"/>
      <c r="Y131" s="618">
        <f t="shared" ref="Y131:Y135" si="7">W131-R131</f>
        <v>0</v>
      </c>
      <c r="Z131" s="7"/>
      <c r="AA131" s="7"/>
      <c r="AB131" s="7"/>
      <c r="AC131" s="7"/>
      <c r="AD131" s="7"/>
      <c r="AE131" s="7"/>
    </row>
    <row r="132" spans="1:31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4"/>
      <c r="G132" s="213"/>
      <c r="H132" s="213"/>
      <c r="I132" s="215"/>
      <c r="J132" s="215"/>
      <c r="K132" s="215"/>
      <c r="L132" s="214"/>
      <c r="M132" s="647"/>
      <c r="N132" s="213"/>
      <c r="O132" s="213"/>
      <c r="P132" s="215"/>
      <c r="Q132" s="215"/>
      <c r="R132" s="616">
        <f t="shared" si="1"/>
        <v>0</v>
      </c>
      <c r="S132" s="633"/>
      <c r="T132" s="634"/>
      <c r="U132" s="634"/>
      <c r="V132" s="7"/>
      <c r="W132" s="699"/>
      <c r="X132" s="7"/>
      <c r="Y132" s="618">
        <f t="shared" si="7"/>
        <v>0</v>
      </c>
      <c r="Z132" s="7"/>
      <c r="AA132" s="7"/>
      <c r="AB132" s="7"/>
      <c r="AC132" s="7"/>
      <c r="AD132" s="7"/>
      <c r="AE132" s="7"/>
    </row>
    <row r="133" spans="1:31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4"/>
      <c r="G133" s="213"/>
      <c r="H133" s="213"/>
      <c r="I133" s="215"/>
      <c r="J133" s="215"/>
      <c r="K133" s="215"/>
      <c r="L133" s="214"/>
      <c r="M133" s="647"/>
      <c r="N133" s="213"/>
      <c r="O133" s="213"/>
      <c r="P133" s="215"/>
      <c r="Q133" s="215"/>
      <c r="R133" s="616">
        <f t="shared" si="1"/>
        <v>0</v>
      </c>
      <c r="S133" s="633"/>
      <c r="T133" s="634"/>
      <c r="U133" s="634"/>
      <c r="V133" s="7"/>
      <c r="W133" s="699"/>
      <c r="X133" s="7"/>
      <c r="Y133" s="618">
        <f t="shared" si="7"/>
        <v>0</v>
      </c>
      <c r="Z133" s="7"/>
      <c r="AA133" s="7"/>
      <c r="AB133" s="7"/>
      <c r="AC133" s="7"/>
      <c r="AD133" s="7"/>
      <c r="AE133" s="7"/>
    </row>
    <row r="134" spans="1:31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4"/>
      <c r="G134" s="213"/>
      <c r="H134" s="213"/>
      <c r="I134" s="215"/>
      <c r="J134" s="215"/>
      <c r="K134" s="215"/>
      <c r="L134" s="214"/>
      <c r="M134" s="647"/>
      <c r="N134" s="213"/>
      <c r="O134" s="213"/>
      <c r="P134" s="215"/>
      <c r="Q134" s="215"/>
      <c r="R134" s="616">
        <f t="shared" si="1"/>
        <v>0</v>
      </c>
      <c r="S134" s="633"/>
      <c r="T134" s="634"/>
      <c r="U134" s="634"/>
      <c r="V134" s="7"/>
      <c r="W134" s="699"/>
      <c r="X134" s="7"/>
      <c r="Y134" s="618">
        <f t="shared" si="7"/>
        <v>0</v>
      </c>
      <c r="Z134" s="7"/>
      <c r="AA134" s="7"/>
      <c r="AB134" s="7"/>
      <c r="AC134" s="7"/>
      <c r="AD134" s="7"/>
      <c r="AE134" s="7"/>
    </row>
    <row r="135" spans="1:31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4"/>
      <c r="G135" s="213"/>
      <c r="H135" s="213"/>
      <c r="I135" s="215"/>
      <c r="J135" s="215"/>
      <c r="K135" s="215"/>
      <c r="L135" s="214"/>
      <c r="M135" s="647"/>
      <c r="N135" s="213"/>
      <c r="O135" s="213"/>
      <c r="P135" s="215"/>
      <c r="Q135" s="215"/>
      <c r="R135" s="616">
        <f t="shared" si="1"/>
        <v>0</v>
      </c>
      <c r="S135" s="633"/>
      <c r="T135" s="634"/>
      <c r="U135" s="634"/>
      <c r="V135" s="7"/>
      <c r="W135" s="699"/>
      <c r="X135" s="7"/>
      <c r="Y135" s="618">
        <f t="shared" si="7"/>
        <v>0</v>
      </c>
      <c r="Z135" s="7"/>
      <c r="AA135" s="7"/>
      <c r="AB135" s="7"/>
      <c r="AC135" s="7"/>
      <c r="AD135" s="7"/>
      <c r="AE135" s="7"/>
    </row>
    <row r="136" spans="1:31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4"/>
      <c r="G136" s="213"/>
      <c r="H136" s="213"/>
      <c r="I136" s="215"/>
      <c r="J136" s="215"/>
      <c r="K136" s="215">
        <v>0.04</v>
      </c>
      <c r="L136" s="214">
        <v>3.89</v>
      </c>
      <c r="M136" s="620"/>
      <c r="N136" s="213"/>
      <c r="O136" s="213"/>
      <c r="P136" s="215"/>
      <c r="Q136" s="215"/>
      <c r="R136" s="616">
        <f t="shared" si="1"/>
        <v>3.93</v>
      </c>
      <c r="S136" s="633"/>
      <c r="T136" s="636"/>
      <c r="U136" s="636"/>
      <c r="V136" s="7"/>
      <c r="W136" s="702">
        <v>4.2699999999999996</v>
      </c>
      <c r="X136" s="7"/>
      <c r="Y136" s="618"/>
      <c r="Z136" s="7"/>
      <c r="AA136" s="7"/>
      <c r="AB136" s="7"/>
      <c r="AC136" s="7"/>
      <c r="AD136" s="7"/>
      <c r="AE136" s="7"/>
    </row>
    <row r="137" spans="1:31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4"/>
      <c r="G137" s="213"/>
      <c r="H137" s="213"/>
      <c r="I137" s="215"/>
      <c r="J137" s="215"/>
      <c r="K137" s="215"/>
      <c r="L137" s="214"/>
      <c r="M137" s="647"/>
      <c r="N137" s="213"/>
      <c r="O137" s="213"/>
      <c r="P137" s="215"/>
      <c r="Q137" s="215"/>
      <c r="R137" s="616">
        <f t="shared" si="1"/>
        <v>0</v>
      </c>
      <c r="S137" s="633"/>
      <c r="T137" s="648"/>
      <c r="U137" s="648"/>
      <c r="V137" s="7"/>
      <c r="W137" s="701"/>
      <c r="X137" s="7"/>
      <c r="Y137" s="618">
        <f t="shared" ref="Y137:Y139" si="8">W137-R137</f>
        <v>0</v>
      </c>
      <c r="Z137" s="7"/>
      <c r="AA137" s="7"/>
      <c r="AB137" s="7"/>
      <c r="AC137" s="7"/>
      <c r="AD137" s="7"/>
      <c r="AE137" s="7"/>
    </row>
    <row r="138" spans="1:31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4"/>
      <c r="G138" s="213"/>
      <c r="H138" s="213"/>
      <c r="I138" s="215"/>
      <c r="J138" s="215"/>
      <c r="K138" s="215"/>
      <c r="L138" s="214"/>
      <c r="M138" s="647"/>
      <c r="N138" s="213"/>
      <c r="O138" s="213"/>
      <c r="P138" s="215"/>
      <c r="Q138" s="215"/>
      <c r="R138" s="616">
        <f t="shared" si="1"/>
        <v>0</v>
      </c>
      <c r="S138" s="633"/>
      <c r="T138" s="648"/>
      <c r="U138" s="648"/>
      <c r="V138" s="7"/>
      <c r="W138" s="699"/>
      <c r="X138" s="7"/>
      <c r="Y138" s="618">
        <f t="shared" si="8"/>
        <v>0</v>
      </c>
      <c r="Z138" s="7"/>
      <c r="AA138" s="7"/>
      <c r="AB138" s="7"/>
      <c r="AC138" s="7"/>
      <c r="AD138" s="7"/>
      <c r="AE138" s="7"/>
    </row>
    <row r="139" spans="1:31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4"/>
      <c r="G139" s="213"/>
      <c r="H139" s="213"/>
      <c r="I139" s="215"/>
      <c r="J139" s="215"/>
      <c r="K139" s="215"/>
      <c r="L139" s="214"/>
      <c r="M139" s="647"/>
      <c r="N139" s="213"/>
      <c r="O139" s="213"/>
      <c r="P139" s="215"/>
      <c r="Q139" s="215"/>
      <c r="R139" s="616">
        <f t="shared" si="1"/>
        <v>0</v>
      </c>
      <c r="S139" s="633"/>
      <c r="T139" s="648"/>
      <c r="U139" s="648"/>
      <c r="V139" s="7"/>
      <c r="W139" s="699"/>
      <c r="X139" s="7"/>
      <c r="Y139" s="618">
        <f t="shared" si="8"/>
        <v>0</v>
      </c>
      <c r="Z139" s="7"/>
      <c r="AA139" s="7"/>
      <c r="AB139" s="7"/>
      <c r="AC139" s="7"/>
      <c r="AD139" s="7"/>
      <c r="AE139" s="7"/>
    </row>
    <row r="140" spans="1:31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4"/>
      <c r="G140" s="213"/>
      <c r="H140" s="213"/>
      <c r="I140" s="215"/>
      <c r="J140" s="215"/>
      <c r="K140" s="215"/>
      <c r="L140" s="214"/>
      <c r="M140" s="647"/>
      <c r="N140" s="213"/>
      <c r="O140" s="213"/>
      <c r="P140" s="215"/>
      <c r="Q140" s="215"/>
      <c r="R140" s="616">
        <f t="shared" si="1"/>
        <v>0</v>
      </c>
      <c r="S140" s="633"/>
      <c r="T140" s="648"/>
      <c r="U140" s="648"/>
      <c r="V140" s="7"/>
      <c r="W140" s="699">
        <v>4.2699999999999996</v>
      </c>
      <c r="X140" s="7"/>
      <c r="Y140" s="618"/>
      <c r="Z140" s="7"/>
      <c r="AA140" s="7"/>
      <c r="AB140" s="7"/>
      <c r="AC140" s="7"/>
      <c r="AD140" s="7"/>
      <c r="AE140" s="7"/>
    </row>
    <row r="141" spans="1:31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4"/>
      <c r="G141" s="213"/>
      <c r="H141" s="213"/>
      <c r="I141" s="215"/>
      <c r="J141" s="215"/>
      <c r="K141" s="215"/>
      <c r="L141" s="214"/>
      <c r="M141" s="620"/>
      <c r="N141" s="213"/>
      <c r="O141" s="213"/>
      <c r="P141" s="215"/>
      <c r="Q141" s="215"/>
      <c r="R141" s="616">
        <f t="shared" si="1"/>
        <v>0</v>
      </c>
      <c r="S141" s="633"/>
      <c r="T141" s="636"/>
      <c r="U141" s="636"/>
      <c r="V141" s="7"/>
      <c r="W141" s="702"/>
      <c r="X141" s="7"/>
      <c r="Y141" s="618">
        <f t="shared" ref="Y141:Y163" si="9">W141-R141</f>
        <v>0</v>
      </c>
      <c r="Z141" s="7"/>
      <c r="AA141" s="7"/>
      <c r="AB141" s="7"/>
      <c r="AC141" s="7"/>
      <c r="AD141" s="7"/>
      <c r="AE141" s="7"/>
    </row>
    <row r="142" spans="1:31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4"/>
      <c r="G142" s="213"/>
      <c r="H142" s="213"/>
      <c r="I142" s="215"/>
      <c r="J142" s="215"/>
      <c r="K142" s="215"/>
      <c r="L142" s="214"/>
      <c r="M142" s="647"/>
      <c r="N142" s="213"/>
      <c r="O142" s="213"/>
      <c r="P142" s="215"/>
      <c r="Q142" s="215"/>
      <c r="R142" s="616">
        <f t="shared" si="1"/>
        <v>0</v>
      </c>
      <c r="S142" s="633"/>
      <c r="T142" s="648"/>
      <c r="U142" s="648"/>
      <c r="V142" s="7"/>
      <c r="W142" s="701"/>
      <c r="X142" s="7"/>
      <c r="Y142" s="618">
        <f t="shared" si="9"/>
        <v>0</v>
      </c>
      <c r="Z142" s="7"/>
      <c r="AA142" s="7"/>
      <c r="AB142" s="7"/>
      <c r="AC142" s="7"/>
      <c r="AD142" s="7"/>
      <c r="AE142" s="7"/>
    </row>
    <row r="143" spans="1:31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4"/>
      <c r="G143" s="213"/>
      <c r="H143" s="213"/>
      <c r="I143" s="215"/>
      <c r="J143" s="215"/>
      <c r="K143" s="215"/>
      <c r="L143" s="214"/>
      <c r="M143" s="647"/>
      <c r="N143" s="213"/>
      <c r="O143" s="213"/>
      <c r="P143" s="215"/>
      <c r="Q143" s="215"/>
      <c r="R143" s="616">
        <f t="shared" si="1"/>
        <v>0</v>
      </c>
      <c r="S143" s="633"/>
      <c r="T143" s="648"/>
      <c r="U143" s="648"/>
      <c r="V143" s="7"/>
      <c r="W143" s="701"/>
      <c r="X143" s="7"/>
      <c r="Y143" s="618">
        <f t="shared" si="9"/>
        <v>0</v>
      </c>
      <c r="Z143" s="7"/>
      <c r="AA143" s="7"/>
      <c r="AB143" s="7"/>
      <c r="AC143" s="7"/>
      <c r="AD143" s="7"/>
      <c r="AE143" s="7"/>
    </row>
    <row r="144" spans="1:31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4"/>
      <c r="G144" s="213"/>
      <c r="H144" s="213"/>
      <c r="I144" s="215"/>
      <c r="J144" s="215"/>
      <c r="K144" s="215"/>
      <c r="L144" s="214"/>
      <c r="M144" s="647"/>
      <c r="N144" s="213"/>
      <c r="O144" s="213"/>
      <c r="P144" s="215"/>
      <c r="Q144" s="215"/>
      <c r="R144" s="616">
        <f t="shared" si="1"/>
        <v>0</v>
      </c>
      <c r="S144" s="633"/>
      <c r="T144" s="648"/>
      <c r="U144" s="648"/>
      <c r="V144" s="7"/>
      <c r="W144" s="701"/>
      <c r="X144" s="7"/>
      <c r="Y144" s="618">
        <f t="shared" si="9"/>
        <v>0</v>
      </c>
      <c r="Z144" s="7"/>
      <c r="AA144" s="7"/>
      <c r="AB144" s="7"/>
      <c r="AC144" s="7"/>
      <c r="AD144" s="7"/>
      <c r="AE144" s="7"/>
    </row>
    <row r="145" spans="1:31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4"/>
      <c r="G145" s="213"/>
      <c r="H145" s="213"/>
      <c r="I145" s="215"/>
      <c r="J145" s="215"/>
      <c r="K145" s="215"/>
      <c r="L145" s="214"/>
      <c r="M145" s="647"/>
      <c r="N145" s="213"/>
      <c r="O145" s="213"/>
      <c r="P145" s="215"/>
      <c r="Q145" s="215"/>
      <c r="R145" s="616">
        <f t="shared" si="1"/>
        <v>0</v>
      </c>
      <c r="S145" s="633"/>
      <c r="T145" s="648"/>
      <c r="U145" s="648"/>
      <c r="V145" s="7"/>
      <c r="W145" s="701"/>
      <c r="X145" s="7"/>
      <c r="Y145" s="618">
        <f t="shared" si="9"/>
        <v>0</v>
      </c>
      <c r="Z145" s="7"/>
      <c r="AA145" s="7"/>
      <c r="AB145" s="7"/>
      <c r="AC145" s="7"/>
      <c r="AD145" s="7"/>
      <c r="AE145" s="7"/>
    </row>
    <row r="146" spans="1:31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4"/>
      <c r="G146" s="213"/>
      <c r="H146" s="213"/>
      <c r="I146" s="215"/>
      <c r="J146" s="215"/>
      <c r="K146" s="215"/>
      <c r="L146" s="214"/>
      <c r="M146" s="620"/>
      <c r="N146" s="213"/>
      <c r="O146" s="213"/>
      <c r="P146" s="215"/>
      <c r="Q146" s="215"/>
      <c r="R146" s="616">
        <f t="shared" si="1"/>
        <v>0</v>
      </c>
      <c r="S146" s="633"/>
      <c r="T146" s="636"/>
      <c r="U146" s="636"/>
      <c r="V146" s="7"/>
      <c r="W146" s="701">
        <v>0.36</v>
      </c>
      <c r="X146" s="7"/>
      <c r="Y146" s="618">
        <f t="shared" si="9"/>
        <v>0.36</v>
      </c>
      <c r="Z146" s="7"/>
      <c r="AA146" s="7"/>
      <c r="AB146" s="7"/>
      <c r="AC146" s="7"/>
      <c r="AD146" s="7"/>
      <c r="AE146" s="7"/>
    </row>
    <row r="147" spans="1:31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4"/>
      <c r="G147" s="213"/>
      <c r="H147" s="213"/>
      <c r="I147" s="215"/>
      <c r="J147" s="215"/>
      <c r="K147" s="215"/>
      <c r="L147" s="214"/>
      <c r="M147" s="647"/>
      <c r="N147" s="213"/>
      <c r="O147" s="213"/>
      <c r="P147" s="215"/>
      <c r="Q147" s="215"/>
      <c r="R147" s="616">
        <f t="shared" si="1"/>
        <v>0</v>
      </c>
      <c r="S147" s="633"/>
      <c r="T147" s="634"/>
      <c r="U147" s="634"/>
      <c r="V147" s="7"/>
      <c r="W147" s="701">
        <v>0.34</v>
      </c>
      <c r="X147" s="7"/>
      <c r="Y147" s="618">
        <f t="shared" si="9"/>
        <v>0.34</v>
      </c>
      <c r="Z147" s="7"/>
      <c r="AA147" s="7"/>
      <c r="AB147" s="7"/>
      <c r="AC147" s="7"/>
      <c r="AD147" s="7"/>
      <c r="AE147" s="7"/>
    </row>
    <row r="148" spans="1:31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4"/>
      <c r="G148" s="213"/>
      <c r="H148" s="213"/>
      <c r="I148" s="215"/>
      <c r="J148" s="215"/>
      <c r="K148" s="215"/>
      <c r="L148" s="214"/>
      <c r="M148" s="647"/>
      <c r="N148" s="213"/>
      <c r="O148" s="213"/>
      <c r="P148" s="215"/>
      <c r="Q148" s="215"/>
      <c r="R148" s="616">
        <f t="shared" si="1"/>
        <v>0</v>
      </c>
      <c r="S148" s="633"/>
      <c r="T148" s="634"/>
      <c r="U148" s="634"/>
      <c r="V148" s="7"/>
      <c r="W148" s="701">
        <v>0.02</v>
      </c>
      <c r="X148" s="7"/>
      <c r="Y148" s="618">
        <f t="shared" si="9"/>
        <v>0.02</v>
      </c>
      <c r="Z148" s="7"/>
      <c r="AA148" s="7"/>
      <c r="AB148" s="7"/>
      <c r="AC148" s="7"/>
      <c r="AD148" s="7"/>
      <c r="AE148" s="7"/>
    </row>
    <row r="149" spans="1:31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4"/>
      <c r="G149" s="213"/>
      <c r="H149" s="213"/>
      <c r="I149" s="215"/>
      <c r="J149" s="215"/>
      <c r="K149" s="215"/>
      <c r="L149" s="214"/>
      <c r="M149" s="647"/>
      <c r="N149" s="213"/>
      <c r="O149" s="213"/>
      <c r="P149" s="215"/>
      <c r="Q149" s="215"/>
      <c r="R149" s="616">
        <f t="shared" si="1"/>
        <v>0</v>
      </c>
      <c r="S149" s="633"/>
      <c r="T149" s="634"/>
      <c r="U149" s="634"/>
      <c r="V149" s="7"/>
      <c r="W149" s="699"/>
      <c r="X149" s="7"/>
      <c r="Y149" s="618">
        <f t="shared" si="9"/>
        <v>0</v>
      </c>
      <c r="Z149" s="7"/>
      <c r="AA149" s="7"/>
      <c r="AB149" s="7"/>
      <c r="AC149" s="7"/>
      <c r="AD149" s="7"/>
      <c r="AE149" s="7"/>
    </row>
    <row r="150" spans="1:31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4"/>
      <c r="G150" s="213"/>
      <c r="H150" s="213"/>
      <c r="I150" s="215"/>
      <c r="J150" s="215"/>
      <c r="K150" s="215"/>
      <c r="L150" s="214"/>
      <c r="M150" s="647"/>
      <c r="N150" s="213"/>
      <c r="O150" s="213"/>
      <c r="P150" s="215"/>
      <c r="Q150" s="215"/>
      <c r="R150" s="616">
        <f t="shared" si="1"/>
        <v>0</v>
      </c>
      <c r="S150" s="633"/>
      <c r="T150" s="634"/>
      <c r="U150" s="634"/>
      <c r="V150" s="7"/>
      <c r="W150" s="699"/>
      <c r="X150" s="7"/>
      <c r="Y150" s="618">
        <f t="shared" si="9"/>
        <v>0</v>
      </c>
      <c r="Z150" s="7"/>
      <c r="AA150" s="7"/>
      <c r="AB150" s="7"/>
      <c r="AC150" s="7"/>
      <c r="AD150" s="7"/>
      <c r="AE150" s="7"/>
    </row>
    <row r="151" spans="1:31" ht="20.25" customHeight="1">
      <c r="A151" s="486"/>
      <c r="B151" s="487" t="s">
        <v>335</v>
      </c>
      <c r="C151" s="635" t="s">
        <v>336</v>
      </c>
      <c r="D151" s="412" t="s">
        <v>271</v>
      </c>
      <c r="E151" s="213">
        <v>1.02</v>
      </c>
      <c r="F151" s="214"/>
      <c r="G151" s="213"/>
      <c r="H151" s="213"/>
      <c r="I151" s="215">
        <v>0.04</v>
      </c>
      <c r="J151" s="215"/>
      <c r="K151" s="215"/>
      <c r="L151" s="214">
        <v>0.03</v>
      </c>
      <c r="M151" s="620"/>
      <c r="N151" s="213"/>
      <c r="O151" s="213">
        <v>1</v>
      </c>
      <c r="P151" s="215"/>
      <c r="Q151" s="215"/>
      <c r="R151" s="616">
        <f t="shared" si="1"/>
        <v>2.09</v>
      </c>
      <c r="S151" s="633"/>
      <c r="T151" s="636"/>
      <c r="U151" s="636"/>
      <c r="V151" s="7"/>
      <c r="W151" s="699">
        <v>11.07</v>
      </c>
      <c r="X151" s="7"/>
      <c r="Y151" s="618">
        <f t="shared" si="9"/>
        <v>8.98</v>
      </c>
      <c r="Z151" s="7"/>
      <c r="AA151" s="7"/>
      <c r="AB151" s="7"/>
      <c r="AC151" s="7"/>
      <c r="AD151" s="7"/>
      <c r="AE151" s="7"/>
    </row>
    <row r="152" spans="1:31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4"/>
      <c r="G152" s="213"/>
      <c r="H152" s="213"/>
      <c r="I152" s="215"/>
      <c r="J152" s="215"/>
      <c r="K152" s="215"/>
      <c r="L152" s="214"/>
      <c r="M152" s="647"/>
      <c r="N152" s="213"/>
      <c r="O152" s="213"/>
      <c r="P152" s="215"/>
      <c r="Q152" s="215"/>
      <c r="R152" s="616">
        <f t="shared" si="1"/>
        <v>0</v>
      </c>
      <c r="S152" s="633"/>
      <c r="T152" s="634"/>
      <c r="U152" s="634"/>
      <c r="V152" s="7"/>
      <c r="W152" s="699">
        <v>8.44</v>
      </c>
      <c r="X152" s="7"/>
      <c r="Y152" s="618">
        <f t="shared" si="9"/>
        <v>8.44</v>
      </c>
      <c r="Z152" s="7"/>
      <c r="AA152" s="7"/>
      <c r="AB152" s="7"/>
      <c r="AC152" s="7"/>
      <c r="AD152" s="7"/>
      <c r="AE152" s="7"/>
    </row>
    <row r="153" spans="1:31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4"/>
      <c r="G153" s="213"/>
      <c r="H153" s="213"/>
      <c r="I153" s="215"/>
      <c r="J153" s="215"/>
      <c r="K153" s="215"/>
      <c r="L153" s="214"/>
      <c r="M153" s="647"/>
      <c r="N153" s="213"/>
      <c r="O153" s="213"/>
      <c r="P153" s="215"/>
      <c r="Q153" s="215"/>
      <c r="R153" s="616">
        <f t="shared" si="1"/>
        <v>0</v>
      </c>
      <c r="S153" s="633"/>
      <c r="T153" s="634"/>
      <c r="U153" s="634"/>
      <c r="V153" s="7"/>
      <c r="W153" s="699">
        <v>2.63</v>
      </c>
      <c r="X153" s="7"/>
      <c r="Y153" s="618">
        <f t="shared" si="9"/>
        <v>2.63</v>
      </c>
      <c r="Z153" s="7"/>
      <c r="AA153" s="7"/>
      <c r="AB153" s="7"/>
      <c r="AC153" s="7"/>
      <c r="AD153" s="7"/>
      <c r="AE153" s="7"/>
    </row>
    <row r="154" spans="1:31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4"/>
      <c r="G154" s="213"/>
      <c r="H154" s="213"/>
      <c r="I154" s="215"/>
      <c r="J154" s="215"/>
      <c r="K154" s="215"/>
      <c r="L154" s="214"/>
      <c r="M154" s="647"/>
      <c r="N154" s="213"/>
      <c r="O154" s="213"/>
      <c r="P154" s="215"/>
      <c r="Q154" s="215"/>
      <c r="R154" s="616">
        <f t="shared" si="1"/>
        <v>0</v>
      </c>
      <c r="S154" s="633"/>
      <c r="T154" s="634"/>
      <c r="U154" s="634"/>
      <c r="V154" s="7"/>
      <c r="W154" s="699"/>
      <c r="X154" s="7"/>
      <c r="Y154" s="618">
        <f t="shared" si="9"/>
        <v>0</v>
      </c>
      <c r="Z154" s="7"/>
      <c r="AA154" s="7"/>
      <c r="AB154" s="7"/>
      <c r="AC154" s="7"/>
      <c r="AD154" s="7"/>
      <c r="AE154" s="7"/>
    </row>
    <row r="155" spans="1:31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4"/>
      <c r="G155" s="213"/>
      <c r="H155" s="213"/>
      <c r="I155" s="215"/>
      <c r="J155" s="215"/>
      <c r="K155" s="215"/>
      <c r="L155" s="214"/>
      <c r="M155" s="647"/>
      <c r="N155" s="213"/>
      <c r="O155" s="213"/>
      <c r="P155" s="215"/>
      <c r="Q155" s="215"/>
      <c r="R155" s="616">
        <f t="shared" si="1"/>
        <v>0</v>
      </c>
      <c r="S155" s="633"/>
      <c r="T155" s="634"/>
      <c r="U155" s="634"/>
      <c r="V155" s="7"/>
      <c r="W155" s="699"/>
      <c r="X155" s="7"/>
      <c r="Y155" s="618">
        <f t="shared" si="9"/>
        <v>0</v>
      </c>
      <c r="Z155" s="7"/>
      <c r="AA155" s="7"/>
      <c r="AB155" s="7"/>
      <c r="AC155" s="7"/>
      <c r="AD155" s="7"/>
      <c r="AE155" s="7"/>
    </row>
    <row r="156" spans="1:31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4"/>
      <c r="G156" s="213"/>
      <c r="H156" s="213"/>
      <c r="I156" s="215"/>
      <c r="J156" s="215"/>
      <c r="K156" s="215"/>
      <c r="L156" s="214"/>
      <c r="M156" s="620"/>
      <c r="N156" s="213"/>
      <c r="O156" s="213"/>
      <c r="P156" s="215"/>
      <c r="Q156" s="215"/>
      <c r="R156" s="616">
        <f t="shared" si="1"/>
        <v>0</v>
      </c>
      <c r="S156" s="633"/>
      <c r="T156" s="636"/>
      <c r="U156" s="636"/>
      <c r="V156" s="7"/>
      <c r="W156" s="699"/>
      <c r="X156" s="7"/>
      <c r="Y156" s="618">
        <f t="shared" si="9"/>
        <v>0</v>
      </c>
      <c r="Z156" s="7"/>
      <c r="AA156" s="7"/>
      <c r="AB156" s="7"/>
      <c r="AC156" s="7"/>
      <c r="AD156" s="7"/>
      <c r="AE156" s="7"/>
    </row>
    <row r="157" spans="1:31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4"/>
      <c r="G157" s="213"/>
      <c r="H157" s="213"/>
      <c r="I157" s="215"/>
      <c r="J157" s="215"/>
      <c r="K157" s="215"/>
      <c r="L157" s="214"/>
      <c r="M157" s="647"/>
      <c r="N157" s="213"/>
      <c r="O157" s="213"/>
      <c r="P157" s="215"/>
      <c r="Q157" s="215"/>
      <c r="R157" s="616">
        <f t="shared" si="1"/>
        <v>0</v>
      </c>
      <c r="S157" s="633"/>
      <c r="T157" s="648"/>
      <c r="U157" s="648"/>
      <c r="V157" s="7"/>
      <c r="W157" s="699"/>
      <c r="X157" s="7"/>
      <c r="Y157" s="618">
        <f t="shared" si="9"/>
        <v>0</v>
      </c>
      <c r="Z157" s="7"/>
      <c r="AA157" s="7"/>
      <c r="AB157" s="7"/>
      <c r="AC157" s="7"/>
      <c r="AD157" s="7"/>
      <c r="AE157" s="7"/>
    </row>
    <row r="158" spans="1:31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4"/>
      <c r="G158" s="213"/>
      <c r="H158" s="213"/>
      <c r="I158" s="215"/>
      <c r="J158" s="215"/>
      <c r="K158" s="215"/>
      <c r="L158" s="214"/>
      <c r="M158" s="647"/>
      <c r="N158" s="213"/>
      <c r="O158" s="213"/>
      <c r="P158" s="215"/>
      <c r="Q158" s="215"/>
      <c r="R158" s="616">
        <f t="shared" si="1"/>
        <v>0</v>
      </c>
      <c r="S158" s="633"/>
      <c r="T158" s="648"/>
      <c r="U158" s="648"/>
      <c r="V158" s="7"/>
      <c r="W158" s="699"/>
      <c r="X158" s="7"/>
      <c r="Y158" s="618">
        <f t="shared" si="9"/>
        <v>0</v>
      </c>
      <c r="Z158" s="7"/>
      <c r="AA158" s="7"/>
      <c r="AB158" s="7"/>
      <c r="AC158" s="7"/>
      <c r="AD158" s="7"/>
      <c r="AE158" s="7"/>
    </row>
    <row r="159" spans="1:31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4"/>
      <c r="G159" s="213"/>
      <c r="H159" s="213"/>
      <c r="I159" s="215"/>
      <c r="J159" s="215"/>
      <c r="K159" s="215"/>
      <c r="L159" s="214"/>
      <c r="M159" s="647"/>
      <c r="N159" s="213"/>
      <c r="O159" s="213"/>
      <c r="P159" s="215"/>
      <c r="Q159" s="215"/>
      <c r="R159" s="616">
        <f t="shared" si="1"/>
        <v>0</v>
      </c>
      <c r="S159" s="633"/>
      <c r="T159" s="648"/>
      <c r="U159" s="648"/>
      <c r="V159" s="7"/>
      <c r="W159" s="699"/>
      <c r="X159" s="7"/>
      <c r="Y159" s="618">
        <f t="shared" si="9"/>
        <v>0</v>
      </c>
      <c r="Z159" s="7"/>
      <c r="AA159" s="7"/>
      <c r="AB159" s="7"/>
      <c r="AC159" s="7"/>
      <c r="AD159" s="7"/>
      <c r="AE159" s="7"/>
    </row>
    <row r="160" spans="1:31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4"/>
      <c r="G160" s="213"/>
      <c r="H160" s="213"/>
      <c r="I160" s="215"/>
      <c r="J160" s="215"/>
      <c r="K160" s="215"/>
      <c r="L160" s="214"/>
      <c r="M160" s="647"/>
      <c r="N160" s="213"/>
      <c r="O160" s="213"/>
      <c r="P160" s="215"/>
      <c r="Q160" s="215"/>
      <c r="R160" s="616">
        <f t="shared" si="1"/>
        <v>0</v>
      </c>
      <c r="S160" s="633"/>
      <c r="T160" s="648"/>
      <c r="U160" s="648"/>
      <c r="V160" s="7"/>
      <c r="W160" s="699"/>
      <c r="X160" s="7"/>
      <c r="Y160" s="618">
        <f t="shared" si="9"/>
        <v>0</v>
      </c>
      <c r="Z160" s="7"/>
      <c r="AA160" s="7"/>
      <c r="AB160" s="7"/>
      <c r="AC160" s="7"/>
      <c r="AD160" s="7"/>
      <c r="AE160" s="7"/>
    </row>
    <row r="161" spans="1:31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4"/>
      <c r="G161" s="213"/>
      <c r="H161" s="213"/>
      <c r="I161" s="215"/>
      <c r="J161" s="215"/>
      <c r="K161" s="215"/>
      <c r="L161" s="214"/>
      <c r="M161" s="620"/>
      <c r="N161" s="213"/>
      <c r="O161" s="213"/>
      <c r="P161" s="215"/>
      <c r="Q161" s="215"/>
      <c r="R161" s="616">
        <f t="shared" si="1"/>
        <v>0</v>
      </c>
      <c r="S161" s="633"/>
      <c r="T161" s="636"/>
      <c r="U161" s="636"/>
      <c r="V161" s="7"/>
      <c r="W161" s="699"/>
      <c r="X161" s="7"/>
      <c r="Y161" s="618">
        <f t="shared" si="9"/>
        <v>0</v>
      </c>
      <c r="Z161" s="7"/>
      <c r="AA161" s="7"/>
      <c r="AB161" s="7"/>
      <c r="AC161" s="7"/>
      <c r="AD161" s="7"/>
      <c r="AE161" s="7"/>
    </row>
    <row r="162" spans="1:31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4"/>
      <c r="G162" s="213"/>
      <c r="H162" s="213"/>
      <c r="I162" s="215"/>
      <c r="J162" s="215"/>
      <c r="K162" s="215"/>
      <c r="L162" s="214"/>
      <c r="M162" s="620"/>
      <c r="N162" s="213"/>
      <c r="O162" s="213"/>
      <c r="P162" s="215"/>
      <c r="Q162" s="215"/>
      <c r="R162" s="616">
        <f t="shared" si="1"/>
        <v>0</v>
      </c>
      <c r="S162" s="633"/>
      <c r="T162" s="636"/>
      <c r="U162" s="636"/>
      <c r="V162" s="7"/>
      <c r="W162" s="699">
        <v>3.25</v>
      </c>
      <c r="X162" s="7"/>
      <c r="Y162" s="618">
        <f t="shared" si="9"/>
        <v>3.25</v>
      </c>
      <c r="Z162" s="7"/>
      <c r="AA162" s="7"/>
      <c r="AB162" s="7"/>
      <c r="AC162" s="7"/>
      <c r="AD162" s="7"/>
      <c r="AE162" s="7"/>
    </row>
    <row r="163" spans="1:31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4"/>
      <c r="G163" s="213"/>
      <c r="H163" s="213"/>
      <c r="I163" s="215"/>
      <c r="J163" s="215"/>
      <c r="K163" s="215"/>
      <c r="L163" s="214"/>
      <c r="M163" s="620"/>
      <c r="N163" s="213"/>
      <c r="O163" s="213"/>
      <c r="P163" s="215"/>
      <c r="Q163" s="215"/>
      <c r="R163" s="616">
        <f t="shared" si="1"/>
        <v>0</v>
      </c>
      <c r="S163" s="633"/>
      <c r="T163" s="636"/>
      <c r="U163" s="636"/>
      <c r="V163" s="7"/>
      <c r="W163" s="699"/>
      <c r="X163" s="7"/>
      <c r="Y163" s="618">
        <f t="shared" si="9"/>
        <v>0</v>
      </c>
      <c r="Z163" s="7"/>
      <c r="AA163" s="7"/>
      <c r="AB163" s="7"/>
      <c r="AC163" s="7"/>
      <c r="AD163" s="7"/>
      <c r="AE163" s="7"/>
    </row>
    <row r="164" spans="1:31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4"/>
      <c r="G164" s="213"/>
      <c r="H164" s="213">
        <v>0.76500000000000001</v>
      </c>
      <c r="I164" s="215"/>
      <c r="J164" s="215"/>
      <c r="K164" s="215"/>
      <c r="L164" s="214"/>
      <c r="M164" s="620"/>
      <c r="N164" s="213"/>
      <c r="O164" s="213"/>
      <c r="P164" s="215"/>
      <c r="Q164" s="215"/>
      <c r="R164" s="616">
        <f t="shared" si="1"/>
        <v>0.76500000000000001</v>
      </c>
      <c r="S164" s="633"/>
      <c r="T164" s="636"/>
      <c r="U164" s="636"/>
      <c r="V164" s="7"/>
      <c r="W164" s="699"/>
      <c r="X164" s="7"/>
      <c r="Y164" s="618"/>
      <c r="Z164" s="7"/>
      <c r="AA164" s="7"/>
      <c r="AB164" s="7"/>
      <c r="AC164" s="7"/>
      <c r="AD164" s="7"/>
      <c r="AE164" s="7"/>
    </row>
    <row r="165" spans="1:31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4"/>
      <c r="G165" s="213"/>
      <c r="H165" s="213"/>
      <c r="I165" s="215"/>
      <c r="J165" s="215"/>
      <c r="K165" s="215"/>
      <c r="L165" s="214"/>
      <c r="M165" s="620"/>
      <c r="N165" s="213"/>
      <c r="O165" s="213"/>
      <c r="P165" s="215"/>
      <c r="Q165" s="215"/>
      <c r="R165" s="616">
        <f t="shared" si="1"/>
        <v>0</v>
      </c>
      <c r="S165" s="633"/>
      <c r="T165" s="636"/>
      <c r="U165" s="636"/>
      <c r="V165" s="7"/>
      <c r="W165" s="699"/>
      <c r="X165" s="7"/>
      <c r="Y165" s="618">
        <f t="shared" ref="Y165:Y173" si="10">W165-R165</f>
        <v>0</v>
      </c>
      <c r="Z165" s="7"/>
      <c r="AA165" s="7"/>
      <c r="AB165" s="7"/>
      <c r="AC165" s="7"/>
      <c r="AD165" s="7"/>
      <c r="AE165" s="7"/>
    </row>
    <row r="166" spans="1:31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4"/>
      <c r="G166" s="213"/>
      <c r="H166" s="213"/>
      <c r="I166" s="215"/>
      <c r="J166" s="215"/>
      <c r="K166" s="215"/>
      <c r="L166" s="214"/>
      <c r="M166" s="620"/>
      <c r="N166" s="213"/>
      <c r="O166" s="213"/>
      <c r="P166" s="215"/>
      <c r="Q166" s="215"/>
      <c r="R166" s="616">
        <f t="shared" si="1"/>
        <v>0</v>
      </c>
      <c r="S166" s="633"/>
      <c r="T166" s="636"/>
      <c r="U166" s="636"/>
      <c r="V166" s="7"/>
      <c r="W166" s="699"/>
      <c r="X166" s="7"/>
      <c r="Y166" s="618">
        <f t="shared" si="10"/>
        <v>0</v>
      </c>
      <c r="Z166" s="7"/>
      <c r="AA166" s="7"/>
      <c r="AB166" s="7"/>
      <c r="AC166" s="7"/>
      <c r="AD166" s="7"/>
      <c r="AE166" s="7"/>
    </row>
    <row r="167" spans="1:31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4"/>
      <c r="G167" s="213"/>
      <c r="H167" s="213"/>
      <c r="I167" s="215"/>
      <c r="J167" s="215"/>
      <c r="K167" s="215"/>
      <c r="L167" s="214"/>
      <c r="M167" s="620"/>
      <c r="N167" s="213"/>
      <c r="O167" s="213"/>
      <c r="P167" s="215"/>
      <c r="Q167" s="215"/>
      <c r="R167" s="616">
        <f t="shared" si="1"/>
        <v>0</v>
      </c>
      <c r="S167" s="633"/>
      <c r="T167" s="636"/>
      <c r="U167" s="636"/>
      <c r="V167" s="7"/>
      <c r="W167" s="699"/>
      <c r="X167" s="7"/>
      <c r="Y167" s="618">
        <f t="shared" si="10"/>
        <v>0</v>
      </c>
      <c r="Z167" s="7"/>
      <c r="AA167" s="7"/>
      <c r="AB167" s="7"/>
      <c r="AC167" s="7"/>
      <c r="AD167" s="7"/>
      <c r="AE167" s="7"/>
    </row>
    <row r="168" spans="1:31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4"/>
      <c r="G168" s="213"/>
      <c r="H168" s="213"/>
      <c r="I168" s="215"/>
      <c r="J168" s="215"/>
      <c r="K168" s="215"/>
      <c r="L168" s="214"/>
      <c r="M168" s="620"/>
      <c r="N168" s="213"/>
      <c r="O168" s="213"/>
      <c r="P168" s="215"/>
      <c r="Q168" s="215"/>
      <c r="R168" s="616">
        <f t="shared" si="1"/>
        <v>0</v>
      </c>
      <c r="S168" s="633"/>
      <c r="T168" s="636"/>
      <c r="U168" s="636"/>
      <c r="V168" s="7"/>
      <c r="W168" s="699"/>
      <c r="X168" s="7"/>
      <c r="Y168" s="618">
        <f t="shared" si="10"/>
        <v>0</v>
      </c>
      <c r="Z168" s="7"/>
      <c r="AA168" s="7"/>
      <c r="AB168" s="7"/>
      <c r="AC168" s="7"/>
      <c r="AD168" s="7"/>
      <c r="AE168" s="7"/>
    </row>
    <row r="169" spans="1:31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4"/>
      <c r="G169" s="213"/>
      <c r="H169" s="213"/>
      <c r="I169" s="215"/>
      <c r="J169" s="215"/>
      <c r="K169" s="215"/>
      <c r="L169" s="214"/>
      <c r="M169" s="620"/>
      <c r="N169" s="213"/>
      <c r="O169" s="213"/>
      <c r="P169" s="215"/>
      <c r="Q169" s="215"/>
      <c r="R169" s="616">
        <f t="shared" si="1"/>
        <v>0</v>
      </c>
      <c r="S169" s="633"/>
      <c r="T169" s="636"/>
      <c r="U169" s="636"/>
      <c r="V169" s="7"/>
      <c r="W169" s="699"/>
      <c r="X169" s="7"/>
      <c r="Y169" s="618">
        <f t="shared" si="10"/>
        <v>0</v>
      </c>
      <c r="Z169" s="7"/>
      <c r="AA169" s="7"/>
      <c r="AB169" s="7"/>
      <c r="AC169" s="7"/>
      <c r="AD169" s="7"/>
      <c r="AE169" s="7"/>
    </row>
    <row r="170" spans="1:31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4"/>
      <c r="G170" s="213"/>
      <c r="H170" s="213"/>
      <c r="I170" s="215"/>
      <c r="J170" s="215"/>
      <c r="K170" s="215"/>
      <c r="L170" s="214"/>
      <c r="M170" s="620"/>
      <c r="N170" s="213"/>
      <c r="O170" s="213"/>
      <c r="P170" s="215"/>
      <c r="Q170" s="215"/>
      <c r="R170" s="616">
        <f t="shared" si="1"/>
        <v>0</v>
      </c>
      <c r="S170" s="633"/>
      <c r="T170" s="636"/>
      <c r="U170" s="636"/>
      <c r="V170" s="7"/>
      <c r="W170" s="699"/>
      <c r="X170" s="7"/>
      <c r="Y170" s="618">
        <f t="shared" si="10"/>
        <v>0</v>
      </c>
      <c r="Z170" s="7"/>
      <c r="AA170" s="7"/>
      <c r="AB170" s="7"/>
      <c r="AC170" s="7"/>
      <c r="AD170" s="7"/>
      <c r="AE170" s="7"/>
    </row>
    <row r="171" spans="1:31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4"/>
      <c r="G171" s="213"/>
      <c r="H171" s="213"/>
      <c r="I171" s="215"/>
      <c r="J171" s="215"/>
      <c r="K171" s="215"/>
      <c r="L171" s="214"/>
      <c r="M171" s="638"/>
      <c r="N171" s="213"/>
      <c r="O171" s="213"/>
      <c r="P171" s="215"/>
      <c r="Q171" s="215"/>
      <c r="R171" s="616">
        <f t="shared" si="1"/>
        <v>0</v>
      </c>
      <c r="S171" s="633"/>
      <c r="T171" s="636"/>
      <c r="U171" s="636"/>
      <c r="V171" s="7"/>
      <c r="W171" s="699"/>
      <c r="X171" s="7"/>
      <c r="Y171" s="618">
        <f t="shared" si="10"/>
        <v>0</v>
      </c>
      <c r="Z171" s="7"/>
      <c r="AA171" s="7"/>
      <c r="AB171" s="7"/>
      <c r="AC171" s="7"/>
      <c r="AD171" s="7"/>
      <c r="AE171" s="7"/>
    </row>
    <row r="172" spans="1:31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4"/>
      <c r="G172" s="213"/>
      <c r="H172" s="213"/>
      <c r="I172" s="215"/>
      <c r="J172" s="215"/>
      <c r="K172" s="215"/>
      <c r="L172" s="214"/>
      <c r="M172" s="638"/>
      <c r="N172" s="213"/>
      <c r="O172" s="213"/>
      <c r="P172" s="215"/>
      <c r="Q172" s="215"/>
      <c r="R172" s="616">
        <f t="shared" si="1"/>
        <v>0</v>
      </c>
      <c r="S172" s="633"/>
      <c r="T172" s="640"/>
      <c r="U172" s="640"/>
      <c r="V172" s="7"/>
      <c r="W172" s="699"/>
      <c r="X172" s="7"/>
      <c r="Y172" s="618">
        <f t="shared" si="10"/>
        <v>0</v>
      </c>
      <c r="Z172" s="7"/>
      <c r="AA172" s="7"/>
      <c r="AB172" s="7"/>
      <c r="AC172" s="7"/>
      <c r="AD172" s="7"/>
      <c r="AE172" s="7"/>
    </row>
    <row r="173" spans="1:31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4"/>
      <c r="G173" s="213"/>
      <c r="H173" s="213">
        <v>2</v>
      </c>
      <c r="I173" s="215">
        <v>1</v>
      </c>
      <c r="J173" s="215"/>
      <c r="K173" s="215"/>
      <c r="L173" s="214">
        <v>3</v>
      </c>
      <c r="M173" s="620">
        <v>94</v>
      </c>
      <c r="N173" s="213"/>
      <c r="O173" s="213"/>
      <c r="P173" s="215"/>
      <c r="Q173" s="215"/>
      <c r="R173" s="616">
        <f t="shared" si="1"/>
        <v>100</v>
      </c>
      <c r="S173" s="633"/>
      <c r="T173" s="636"/>
      <c r="U173" s="636"/>
      <c r="V173" s="7"/>
      <c r="W173" s="699">
        <v>101</v>
      </c>
      <c r="X173" s="7"/>
      <c r="Y173" s="618">
        <f t="shared" si="10"/>
        <v>1</v>
      </c>
      <c r="Z173" s="7"/>
      <c r="AA173" s="7"/>
      <c r="AB173" s="7"/>
      <c r="AC173" s="7"/>
      <c r="AD173" s="7"/>
      <c r="AE173" s="7"/>
    </row>
    <row r="174" spans="1:31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4"/>
      <c r="G174" s="213"/>
      <c r="H174" s="213"/>
      <c r="I174" s="215"/>
      <c r="J174" s="215"/>
      <c r="K174" s="215"/>
      <c r="L174" s="214"/>
      <c r="M174" s="647">
        <f>69+19</f>
        <v>88</v>
      </c>
      <c r="N174" s="213"/>
      <c r="O174" s="213"/>
      <c r="P174" s="215"/>
      <c r="Q174" s="215"/>
      <c r="R174" s="616">
        <f t="shared" si="1"/>
        <v>88</v>
      </c>
      <c r="S174" s="633"/>
      <c r="T174" s="648"/>
      <c r="U174" s="648"/>
      <c r="V174" s="7"/>
      <c r="W174" s="699">
        <v>93</v>
      </c>
      <c r="X174" s="7"/>
      <c r="Y174" s="618"/>
      <c r="Z174" s="7"/>
      <c r="AA174" s="7"/>
      <c r="AB174" s="7"/>
      <c r="AC174" s="7"/>
      <c r="AD174" s="7"/>
      <c r="AE174" s="7"/>
    </row>
    <row r="175" spans="1:31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4"/>
      <c r="G175" s="213"/>
      <c r="H175" s="213"/>
      <c r="I175" s="215"/>
      <c r="J175" s="215"/>
      <c r="K175" s="215"/>
      <c r="L175" s="214"/>
      <c r="M175" s="647">
        <v>4</v>
      </c>
      <c r="N175" s="213"/>
      <c r="O175" s="213"/>
      <c r="P175" s="215"/>
      <c r="Q175" s="215"/>
      <c r="R175" s="616">
        <f t="shared" si="1"/>
        <v>4</v>
      </c>
      <c r="S175" s="633"/>
      <c r="T175" s="648"/>
      <c r="U175" s="648"/>
      <c r="V175" s="7"/>
      <c r="W175" s="699">
        <v>4</v>
      </c>
      <c r="X175" s="7"/>
      <c r="Y175" s="618"/>
      <c r="Z175" s="7"/>
      <c r="AA175" s="7"/>
      <c r="AB175" s="7"/>
      <c r="AC175" s="7"/>
      <c r="AD175" s="7"/>
      <c r="AE175" s="7"/>
    </row>
    <row r="176" spans="1:31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4"/>
      <c r="G176" s="213"/>
      <c r="H176" s="213"/>
      <c r="I176" s="215"/>
      <c r="J176" s="215"/>
      <c r="K176" s="215"/>
      <c r="L176" s="214"/>
      <c r="M176" s="647">
        <v>2</v>
      </c>
      <c r="N176" s="213"/>
      <c r="O176" s="213"/>
      <c r="P176" s="215"/>
      <c r="Q176" s="215"/>
      <c r="R176" s="616">
        <f t="shared" si="1"/>
        <v>2</v>
      </c>
      <c r="S176" s="633"/>
      <c r="T176" s="648"/>
      <c r="U176" s="648"/>
      <c r="V176" s="7"/>
      <c r="W176" s="699">
        <v>4</v>
      </c>
      <c r="X176" s="7"/>
      <c r="Y176" s="618"/>
      <c r="Z176" s="7"/>
      <c r="AA176" s="7"/>
      <c r="AB176" s="7"/>
      <c r="AC176" s="7"/>
      <c r="AD176" s="7"/>
      <c r="AE176" s="7"/>
    </row>
    <row r="177" spans="1:31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4"/>
      <c r="G177" s="213"/>
      <c r="H177" s="213"/>
      <c r="I177" s="215"/>
      <c r="J177" s="215"/>
      <c r="K177" s="215"/>
      <c r="L177" s="214"/>
      <c r="M177" s="647"/>
      <c r="N177" s="213"/>
      <c r="O177" s="213"/>
      <c r="P177" s="215"/>
      <c r="Q177" s="215"/>
      <c r="R177" s="616">
        <f t="shared" si="1"/>
        <v>0</v>
      </c>
      <c r="S177" s="633"/>
      <c r="T177" s="648"/>
      <c r="U177" s="648"/>
      <c r="V177" s="7"/>
      <c r="W177" s="699"/>
      <c r="X177" s="7"/>
      <c r="Y177" s="618">
        <f t="shared" ref="Y177:Y178" si="11">W177-R177</f>
        <v>0</v>
      </c>
      <c r="Z177" s="7"/>
      <c r="AA177" s="7"/>
      <c r="AB177" s="7"/>
      <c r="AC177" s="7"/>
      <c r="AD177" s="7"/>
      <c r="AE177" s="7"/>
    </row>
    <row r="178" spans="1:31" ht="20.25" customHeight="1">
      <c r="A178" s="486"/>
      <c r="B178" s="487" t="s">
        <v>388</v>
      </c>
      <c r="C178" s="635" t="s">
        <v>394</v>
      </c>
      <c r="D178" s="412" t="s">
        <v>383</v>
      </c>
      <c r="E178" s="213">
        <v>15</v>
      </c>
      <c r="F178" s="214"/>
      <c r="G178" s="213">
        <v>100</v>
      </c>
      <c r="H178" s="213"/>
      <c r="I178" s="215"/>
      <c r="J178" s="215"/>
      <c r="K178" s="215"/>
      <c r="L178" s="214"/>
      <c r="M178" s="620"/>
      <c r="N178" s="213">
        <v>90</v>
      </c>
      <c r="O178" s="213">
        <v>60</v>
      </c>
      <c r="P178" s="215"/>
      <c r="Q178" s="215"/>
      <c r="R178" s="616">
        <f t="shared" si="1"/>
        <v>265</v>
      </c>
      <c r="S178" s="633"/>
      <c r="T178" s="636"/>
      <c r="U178" s="636"/>
      <c r="V178" s="7"/>
      <c r="W178" s="699">
        <v>581</v>
      </c>
      <c r="X178" s="7"/>
      <c r="Y178" s="618">
        <f t="shared" si="11"/>
        <v>316</v>
      </c>
      <c r="Z178" s="7"/>
      <c r="AA178" s="7"/>
      <c r="AB178" s="7"/>
      <c r="AC178" s="7"/>
      <c r="AD178" s="7"/>
      <c r="AE178" s="7"/>
    </row>
    <row r="179" spans="1:31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4"/>
      <c r="G179" s="213">
        <v>100</v>
      </c>
      <c r="H179" s="213"/>
      <c r="I179" s="215"/>
      <c r="J179" s="215"/>
      <c r="K179" s="215"/>
      <c r="L179" s="214"/>
      <c r="M179" s="647"/>
      <c r="N179" s="213"/>
      <c r="O179" s="213"/>
      <c r="P179" s="215"/>
      <c r="Q179" s="215"/>
      <c r="R179" s="616">
        <f t="shared" si="1"/>
        <v>100</v>
      </c>
      <c r="S179" s="633"/>
      <c r="T179" s="648"/>
      <c r="U179" s="648"/>
      <c r="V179" s="7"/>
      <c r="W179" s="699">
        <v>581</v>
      </c>
      <c r="X179" s="7"/>
      <c r="Y179" s="618"/>
      <c r="Z179" s="7"/>
      <c r="AA179" s="7"/>
      <c r="AB179" s="7"/>
      <c r="AC179" s="7"/>
      <c r="AD179" s="7"/>
      <c r="AE179" s="7"/>
    </row>
    <row r="180" spans="1:31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4"/>
      <c r="G180" s="213"/>
      <c r="H180" s="213"/>
      <c r="I180" s="215"/>
      <c r="J180" s="215"/>
      <c r="K180" s="215"/>
      <c r="L180" s="214"/>
      <c r="M180" s="647"/>
      <c r="N180" s="213"/>
      <c r="O180" s="213"/>
      <c r="P180" s="215"/>
      <c r="Q180" s="215"/>
      <c r="R180" s="616">
        <f t="shared" si="1"/>
        <v>0</v>
      </c>
      <c r="S180" s="633"/>
      <c r="T180" s="648"/>
      <c r="U180" s="648"/>
      <c r="V180" s="7"/>
      <c r="W180" s="699"/>
      <c r="X180" s="7"/>
      <c r="Y180" s="618"/>
      <c r="Z180" s="7"/>
      <c r="AA180" s="7"/>
      <c r="AB180" s="7"/>
      <c r="AC180" s="7"/>
      <c r="AD180" s="7"/>
      <c r="AE180" s="7"/>
    </row>
    <row r="181" spans="1:31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4"/>
      <c r="G181" s="213"/>
      <c r="H181" s="213"/>
      <c r="I181" s="215"/>
      <c r="J181" s="215"/>
      <c r="K181" s="215"/>
      <c r="L181" s="214"/>
      <c r="M181" s="647"/>
      <c r="N181" s="213"/>
      <c r="O181" s="213"/>
      <c r="P181" s="215"/>
      <c r="Q181" s="215"/>
      <c r="R181" s="616">
        <f t="shared" si="1"/>
        <v>0</v>
      </c>
      <c r="S181" s="633"/>
      <c r="T181" s="636"/>
      <c r="U181" s="636"/>
      <c r="V181" s="7"/>
      <c r="W181" s="699"/>
      <c r="X181" s="7"/>
      <c r="Y181" s="618">
        <f t="shared" ref="Y181:Y205" si="12">W181-R181</f>
        <v>0</v>
      </c>
      <c r="Z181" s="7"/>
      <c r="AA181" s="7"/>
      <c r="AB181" s="7"/>
      <c r="AC181" s="7"/>
      <c r="AD181" s="7"/>
      <c r="AE181" s="7"/>
    </row>
    <row r="182" spans="1:31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4"/>
      <c r="G182" s="213"/>
      <c r="H182" s="213"/>
      <c r="I182" s="215"/>
      <c r="J182" s="215"/>
      <c r="K182" s="215"/>
      <c r="L182" s="214"/>
      <c r="M182" s="620"/>
      <c r="N182" s="213"/>
      <c r="O182" s="213"/>
      <c r="P182" s="215"/>
      <c r="Q182" s="215"/>
      <c r="R182" s="616">
        <f t="shared" si="1"/>
        <v>0</v>
      </c>
      <c r="S182" s="633"/>
      <c r="T182" s="636"/>
      <c r="U182" s="636"/>
      <c r="V182" s="7"/>
      <c r="W182" s="699"/>
      <c r="X182" s="7"/>
      <c r="Y182" s="618">
        <f t="shared" si="12"/>
        <v>0</v>
      </c>
      <c r="Z182" s="7"/>
      <c r="AA182" s="7"/>
      <c r="AB182" s="7"/>
      <c r="AC182" s="7"/>
      <c r="AD182" s="7"/>
      <c r="AE182" s="7"/>
    </row>
    <row r="183" spans="1:31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4"/>
      <c r="G183" s="213"/>
      <c r="H183" s="213"/>
      <c r="I183" s="215"/>
      <c r="J183" s="215"/>
      <c r="K183" s="215"/>
      <c r="L183" s="214"/>
      <c r="M183" s="638"/>
      <c r="N183" s="213"/>
      <c r="O183" s="213"/>
      <c r="P183" s="215"/>
      <c r="Q183" s="215"/>
      <c r="R183" s="616">
        <f t="shared" si="1"/>
        <v>0</v>
      </c>
      <c r="S183" s="633"/>
      <c r="T183" s="636"/>
      <c r="U183" s="636"/>
      <c r="V183" s="7"/>
      <c r="W183" s="699"/>
      <c r="X183" s="7"/>
      <c r="Y183" s="618">
        <f t="shared" si="12"/>
        <v>0</v>
      </c>
      <c r="Z183" s="7"/>
      <c r="AA183" s="7"/>
      <c r="AB183" s="7"/>
      <c r="AC183" s="7"/>
      <c r="AD183" s="7"/>
      <c r="AE183" s="7"/>
    </row>
    <row r="184" spans="1:31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4"/>
      <c r="G184" s="213"/>
      <c r="H184" s="213"/>
      <c r="I184" s="215"/>
      <c r="J184" s="215"/>
      <c r="K184" s="215"/>
      <c r="L184" s="214"/>
      <c r="M184" s="638"/>
      <c r="N184" s="213"/>
      <c r="O184" s="213"/>
      <c r="P184" s="215"/>
      <c r="Q184" s="215"/>
      <c r="R184" s="616">
        <f t="shared" si="1"/>
        <v>0</v>
      </c>
      <c r="S184" s="633"/>
      <c r="T184" s="636"/>
      <c r="U184" s="636"/>
      <c r="V184" s="7"/>
      <c r="W184" s="699"/>
      <c r="X184" s="7"/>
      <c r="Y184" s="618">
        <f t="shared" si="12"/>
        <v>0</v>
      </c>
      <c r="Z184" s="7"/>
      <c r="AA184" s="7"/>
      <c r="AB184" s="7"/>
      <c r="AC184" s="7"/>
      <c r="AD184" s="7"/>
      <c r="AE184" s="7"/>
    </row>
    <row r="185" spans="1:31" ht="18.75" customHeight="1">
      <c r="A185" s="486">
        <v>7.7</v>
      </c>
      <c r="B185" s="487" t="s">
        <v>412</v>
      </c>
      <c r="C185" s="635" t="s">
        <v>413</v>
      </c>
      <c r="D185" s="412" t="s">
        <v>2305</v>
      </c>
      <c r="E185" s="213"/>
      <c r="F185" s="214"/>
      <c r="G185" s="213"/>
      <c r="H185" s="213"/>
      <c r="I185" s="215"/>
      <c r="J185" s="215"/>
      <c r="K185" s="215"/>
      <c r="L185" s="214"/>
      <c r="M185" s="620"/>
      <c r="N185" s="213"/>
      <c r="O185" s="213"/>
      <c r="P185" s="215"/>
      <c r="Q185" s="215"/>
      <c r="R185" s="616">
        <f t="shared" si="1"/>
        <v>0</v>
      </c>
      <c r="S185" s="633"/>
      <c r="T185" s="636"/>
      <c r="U185" s="636"/>
      <c r="V185" s="7"/>
      <c r="W185" s="699"/>
      <c r="X185" s="7"/>
      <c r="Y185" s="618">
        <f t="shared" si="12"/>
        <v>0</v>
      </c>
      <c r="Z185" s="7"/>
      <c r="AA185" s="7"/>
      <c r="AB185" s="7"/>
      <c r="AC185" s="7"/>
      <c r="AD185" s="7"/>
      <c r="AE185" s="7"/>
    </row>
    <row r="186" spans="1:31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4"/>
      <c r="G186" s="213"/>
      <c r="H186" s="213"/>
      <c r="I186" s="215"/>
      <c r="J186" s="215"/>
      <c r="K186" s="215"/>
      <c r="L186" s="214"/>
      <c r="M186" s="638"/>
      <c r="N186" s="213"/>
      <c r="O186" s="213"/>
      <c r="P186" s="215"/>
      <c r="Q186" s="215"/>
      <c r="R186" s="616">
        <f t="shared" si="1"/>
        <v>0</v>
      </c>
      <c r="S186" s="633"/>
      <c r="T186" s="636"/>
      <c r="U186" s="636"/>
      <c r="V186" s="7"/>
      <c r="W186" s="699"/>
      <c r="X186" s="7"/>
      <c r="Y186" s="618">
        <f t="shared" si="12"/>
        <v>0</v>
      </c>
      <c r="Z186" s="7"/>
      <c r="AA186" s="7"/>
      <c r="AB186" s="7"/>
      <c r="AC186" s="7"/>
      <c r="AD186" s="7"/>
      <c r="AE186" s="7"/>
    </row>
    <row r="187" spans="1:31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4"/>
      <c r="G187" s="213"/>
      <c r="H187" s="213"/>
      <c r="I187" s="215"/>
      <c r="J187" s="215"/>
      <c r="K187" s="215"/>
      <c r="L187" s="214"/>
      <c r="M187" s="638"/>
      <c r="N187" s="213"/>
      <c r="O187" s="213"/>
      <c r="P187" s="215"/>
      <c r="Q187" s="215"/>
      <c r="R187" s="616">
        <f t="shared" si="1"/>
        <v>0</v>
      </c>
      <c r="S187" s="633"/>
      <c r="T187" s="640"/>
      <c r="U187" s="640"/>
      <c r="V187" s="7"/>
      <c r="W187" s="699"/>
      <c r="X187" s="7"/>
      <c r="Y187" s="618">
        <f t="shared" si="12"/>
        <v>0</v>
      </c>
      <c r="Z187" s="7"/>
      <c r="AA187" s="7"/>
      <c r="AB187" s="7"/>
      <c r="AC187" s="7"/>
      <c r="AD187" s="7"/>
      <c r="AE187" s="7"/>
    </row>
    <row r="188" spans="1:31" ht="20.25" customHeight="1">
      <c r="A188" s="486"/>
      <c r="B188" s="487" t="s">
        <v>419</v>
      </c>
      <c r="C188" s="635" t="s">
        <v>420</v>
      </c>
      <c r="D188" s="512"/>
      <c r="E188" s="213"/>
      <c r="F188" s="214"/>
      <c r="G188" s="213"/>
      <c r="H188" s="213"/>
      <c r="I188" s="215"/>
      <c r="J188" s="215"/>
      <c r="K188" s="215"/>
      <c r="L188" s="214"/>
      <c r="M188" s="647"/>
      <c r="N188" s="213"/>
      <c r="O188" s="213"/>
      <c r="P188" s="215"/>
      <c r="Q188" s="215"/>
      <c r="R188" s="616">
        <f t="shared" si="1"/>
        <v>0</v>
      </c>
      <c r="S188" s="633"/>
      <c r="T188" s="636"/>
      <c r="U188" s="636"/>
      <c r="V188" s="7"/>
      <c r="W188" s="699"/>
      <c r="X188" s="7"/>
      <c r="Y188" s="618">
        <f t="shared" si="12"/>
        <v>0</v>
      </c>
      <c r="Z188" s="7"/>
      <c r="AA188" s="7"/>
      <c r="AB188" s="7"/>
      <c r="AC188" s="7"/>
      <c r="AD188" s="7"/>
      <c r="AE188" s="7"/>
    </row>
    <row r="189" spans="1:31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4"/>
      <c r="G189" s="213"/>
      <c r="H189" s="213"/>
      <c r="I189" s="215"/>
      <c r="J189" s="215"/>
      <c r="K189" s="215"/>
      <c r="L189" s="214"/>
      <c r="M189" s="647"/>
      <c r="N189" s="213"/>
      <c r="O189" s="213"/>
      <c r="P189" s="215"/>
      <c r="Q189" s="215"/>
      <c r="R189" s="616">
        <f t="shared" si="1"/>
        <v>0</v>
      </c>
      <c r="S189" s="633"/>
      <c r="T189" s="648"/>
      <c r="U189" s="648"/>
      <c r="V189" s="7"/>
      <c r="W189" s="699"/>
      <c r="X189" s="7"/>
      <c r="Y189" s="618">
        <f t="shared" si="12"/>
        <v>0</v>
      </c>
      <c r="Z189" s="7"/>
      <c r="AA189" s="7"/>
      <c r="AB189" s="7"/>
      <c r="AC189" s="7"/>
      <c r="AD189" s="7"/>
      <c r="AE189" s="7"/>
    </row>
    <row r="190" spans="1:31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4"/>
      <c r="G190" s="213"/>
      <c r="H190" s="213"/>
      <c r="I190" s="215"/>
      <c r="J190" s="215"/>
      <c r="K190" s="215"/>
      <c r="L190" s="214"/>
      <c r="M190" s="647"/>
      <c r="N190" s="213"/>
      <c r="O190" s="213"/>
      <c r="P190" s="215"/>
      <c r="Q190" s="215"/>
      <c r="R190" s="616">
        <f t="shared" si="1"/>
        <v>0</v>
      </c>
      <c r="S190" s="633"/>
      <c r="T190" s="648"/>
      <c r="U190" s="648"/>
      <c r="V190" s="7"/>
      <c r="W190" s="699"/>
      <c r="X190" s="7"/>
      <c r="Y190" s="618">
        <f t="shared" si="12"/>
        <v>0</v>
      </c>
      <c r="Z190" s="7"/>
      <c r="AA190" s="7"/>
      <c r="AB190" s="7"/>
      <c r="AC190" s="7"/>
      <c r="AD190" s="7"/>
      <c r="AE190" s="7"/>
    </row>
    <row r="191" spans="1:31" ht="20.25" customHeight="1">
      <c r="A191" s="503"/>
      <c r="B191" s="483" t="s">
        <v>428</v>
      </c>
      <c r="C191" s="658" t="s">
        <v>429</v>
      </c>
      <c r="D191" s="504" t="s">
        <v>2306</v>
      </c>
      <c r="E191" s="213"/>
      <c r="F191" s="214"/>
      <c r="G191" s="213"/>
      <c r="H191" s="213"/>
      <c r="I191" s="215"/>
      <c r="J191" s="215"/>
      <c r="K191" s="215"/>
      <c r="L191" s="214"/>
      <c r="M191" s="647"/>
      <c r="N191" s="213"/>
      <c r="O191" s="213"/>
      <c r="P191" s="215"/>
      <c r="Q191" s="215"/>
      <c r="R191" s="616">
        <f t="shared" si="1"/>
        <v>0</v>
      </c>
      <c r="S191" s="633"/>
      <c r="T191" s="648"/>
      <c r="U191" s="648"/>
      <c r="V191" s="7"/>
      <c r="W191" s="699"/>
      <c r="X191" s="7"/>
      <c r="Y191" s="618">
        <f t="shared" si="12"/>
        <v>0</v>
      </c>
      <c r="Z191" s="7"/>
      <c r="AA191" s="7"/>
      <c r="AB191" s="7"/>
      <c r="AC191" s="7"/>
      <c r="AD191" s="7"/>
      <c r="AE191" s="7"/>
    </row>
    <row r="192" spans="1:31" ht="20.25" customHeight="1">
      <c r="A192" s="503"/>
      <c r="B192" s="483" t="s">
        <v>426</v>
      </c>
      <c r="C192" s="658" t="s">
        <v>431</v>
      </c>
      <c r="D192" s="504" t="s">
        <v>2307</v>
      </c>
      <c r="E192" s="213"/>
      <c r="F192" s="214"/>
      <c r="G192" s="213"/>
      <c r="H192" s="213"/>
      <c r="I192" s="215"/>
      <c r="J192" s="215"/>
      <c r="K192" s="215"/>
      <c r="L192" s="214"/>
      <c r="M192" s="647"/>
      <c r="N192" s="213"/>
      <c r="O192" s="213"/>
      <c r="P192" s="215"/>
      <c r="Q192" s="215"/>
      <c r="R192" s="616">
        <f t="shared" si="1"/>
        <v>0</v>
      </c>
      <c r="S192" s="633"/>
      <c r="T192" s="636"/>
      <c r="U192" s="636"/>
      <c r="V192" s="7"/>
      <c r="W192" s="699"/>
      <c r="X192" s="7"/>
      <c r="Y192" s="618">
        <f t="shared" si="12"/>
        <v>0</v>
      </c>
      <c r="Z192" s="7"/>
      <c r="AA192" s="7"/>
      <c r="AB192" s="7"/>
      <c r="AC192" s="7"/>
      <c r="AD192" s="7"/>
      <c r="AE192" s="7"/>
    </row>
    <row r="193" spans="1:31" ht="20.25" customHeight="1">
      <c r="A193" s="503"/>
      <c r="B193" s="483" t="s">
        <v>428</v>
      </c>
      <c r="C193" s="658" t="s">
        <v>433</v>
      </c>
      <c r="D193" s="504" t="s">
        <v>2308</v>
      </c>
      <c r="E193" s="213"/>
      <c r="F193" s="214"/>
      <c r="G193" s="213"/>
      <c r="H193" s="213"/>
      <c r="I193" s="215"/>
      <c r="J193" s="215"/>
      <c r="K193" s="215"/>
      <c r="L193" s="214"/>
      <c r="M193" s="647"/>
      <c r="N193" s="213"/>
      <c r="O193" s="213"/>
      <c r="P193" s="215"/>
      <c r="Q193" s="215"/>
      <c r="R193" s="616">
        <f t="shared" si="1"/>
        <v>0</v>
      </c>
      <c r="S193" s="633"/>
      <c r="T193" s="648"/>
      <c r="U193" s="648"/>
      <c r="V193" s="7"/>
      <c r="W193" s="699"/>
      <c r="X193" s="7"/>
      <c r="Y193" s="618">
        <f t="shared" si="12"/>
        <v>0</v>
      </c>
      <c r="Z193" s="7"/>
      <c r="AA193" s="7"/>
      <c r="AB193" s="7"/>
      <c r="AC193" s="7"/>
      <c r="AD193" s="7"/>
      <c r="AE193" s="7"/>
    </row>
    <row r="194" spans="1:31" ht="15.75" customHeight="1">
      <c r="A194" s="486"/>
      <c r="B194" s="487" t="s">
        <v>435</v>
      </c>
      <c r="C194" s="656" t="s">
        <v>436</v>
      </c>
      <c r="D194" s="412"/>
      <c r="E194" s="213"/>
      <c r="F194" s="214"/>
      <c r="G194" s="213"/>
      <c r="H194" s="213"/>
      <c r="I194" s="215"/>
      <c r="J194" s="215"/>
      <c r="K194" s="215"/>
      <c r="L194" s="214"/>
      <c r="M194" s="620"/>
      <c r="N194" s="213"/>
      <c r="O194" s="213"/>
      <c r="P194" s="215"/>
      <c r="Q194" s="215"/>
      <c r="R194" s="616">
        <f t="shared" si="1"/>
        <v>0</v>
      </c>
      <c r="S194" s="633"/>
      <c r="T194" s="654"/>
      <c r="U194" s="654"/>
      <c r="V194" s="7"/>
      <c r="W194" s="699"/>
      <c r="X194" s="7"/>
      <c r="Y194" s="618">
        <f t="shared" si="12"/>
        <v>0</v>
      </c>
      <c r="Z194" s="7"/>
      <c r="AA194" s="7"/>
      <c r="AB194" s="7"/>
      <c r="AC194" s="7"/>
      <c r="AD194" s="7"/>
      <c r="AE194" s="7"/>
    </row>
    <row r="195" spans="1:31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4"/>
      <c r="G195" s="213"/>
      <c r="H195" s="213"/>
      <c r="I195" s="215"/>
      <c r="J195" s="215"/>
      <c r="K195" s="215"/>
      <c r="L195" s="214"/>
      <c r="M195" s="647"/>
      <c r="N195" s="213"/>
      <c r="O195" s="213"/>
      <c r="P195" s="215"/>
      <c r="Q195" s="215"/>
      <c r="R195" s="616">
        <f t="shared" si="1"/>
        <v>0</v>
      </c>
      <c r="S195" s="633"/>
      <c r="T195" s="648"/>
      <c r="U195" s="648"/>
      <c r="V195" s="7"/>
      <c r="W195" s="699"/>
      <c r="X195" s="7"/>
      <c r="Y195" s="618">
        <f t="shared" si="12"/>
        <v>0</v>
      </c>
      <c r="Z195" s="7"/>
      <c r="AA195" s="7"/>
      <c r="AB195" s="7"/>
      <c r="AC195" s="7"/>
      <c r="AD195" s="7"/>
      <c r="AE195" s="7"/>
    </row>
    <row r="196" spans="1:31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4"/>
      <c r="G196" s="213"/>
      <c r="H196" s="213"/>
      <c r="I196" s="215"/>
      <c r="J196" s="215"/>
      <c r="K196" s="215"/>
      <c r="L196" s="214"/>
      <c r="M196" s="647"/>
      <c r="N196" s="213"/>
      <c r="O196" s="213"/>
      <c r="P196" s="215"/>
      <c r="Q196" s="215"/>
      <c r="R196" s="616">
        <f t="shared" si="1"/>
        <v>0</v>
      </c>
      <c r="S196" s="633"/>
      <c r="T196" s="636"/>
      <c r="U196" s="636"/>
      <c r="V196" s="7"/>
      <c r="W196" s="699"/>
      <c r="X196" s="7"/>
      <c r="Y196" s="618">
        <f t="shared" si="12"/>
        <v>0</v>
      </c>
      <c r="Z196" s="7"/>
      <c r="AA196" s="7"/>
      <c r="AB196" s="7"/>
      <c r="AC196" s="7"/>
      <c r="AD196" s="7"/>
      <c r="AE196" s="7"/>
    </row>
    <row r="197" spans="1:31" ht="20.25" customHeight="1">
      <c r="A197" s="503"/>
      <c r="B197" s="483" t="s">
        <v>440</v>
      </c>
      <c r="C197" s="658" t="s">
        <v>429</v>
      </c>
      <c r="D197" s="504" t="s">
        <v>2309</v>
      </c>
      <c r="E197" s="213"/>
      <c r="F197" s="214"/>
      <c r="G197" s="213"/>
      <c r="H197" s="213"/>
      <c r="I197" s="215"/>
      <c r="J197" s="215"/>
      <c r="K197" s="215"/>
      <c r="L197" s="214"/>
      <c r="M197" s="647"/>
      <c r="N197" s="213"/>
      <c r="O197" s="213"/>
      <c r="P197" s="215"/>
      <c r="Q197" s="215"/>
      <c r="R197" s="616">
        <f t="shared" si="1"/>
        <v>0</v>
      </c>
      <c r="S197" s="633"/>
      <c r="T197" s="648"/>
      <c r="U197" s="648"/>
      <c r="V197" s="7"/>
      <c r="W197" s="699"/>
      <c r="X197" s="7"/>
      <c r="Y197" s="618">
        <f t="shared" si="12"/>
        <v>0</v>
      </c>
      <c r="Z197" s="7"/>
      <c r="AA197" s="7"/>
      <c r="AB197" s="7"/>
      <c r="AC197" s="7"/>
      <c r="AD197" s="7"/>
      <c r="AE197" s="7"/>
    </row>
    <row r="198" spans="1:31" ht="20.25" customHeight="1">
      <c r="A198" s="503"/>
      <c r="B198" s="483" t="s">
        <v>439</v>
      </c>
      <c r="C198" s="658" t="s">
        <v>431</v>
      </c>
      <c r="D198" s="504" t="s">
        <v>2310</v>
      </c>
      <c r="E198" s="213"/>
      <c r="F198" s="214"/>
      <c r="G198" s="213"/>
      <c r="H198" s="213"/>
      <c r="I198" s="215"/>
      <c r="J198" s="215"/>
      <c r="K198" s="215"/>
      <c r="L198" s="214"/>
      <c r="M198" s="647"/>
      <c r="N198" s="213"/>
      <c r="O198" s="213"/>
      <c r="P198" s="215"/>
      <c r="Q198" s="215"/>
      <c r="R198" s="616">
        <f t="shared" si="1"/>
        <v>0</v>
      </c>
      <c r="S198" s="633"/>
      <c r="T198" s="648"/>
      <c r="U198" s="648"/>
      <c r="V198" s="7"/>
      <c r="W198" s="699"/>
      <c r="X198" s="7"/>
      <c r="Y198" s="618">
        <f t="shared" si="12"/>
        <v>0</v>
      </c>
      <c r="Z198" s="7"/>
      <c r="AA198" s="7"/>
      <c r="AB198" s="7"/>
      <c r="AC198" s="7"/>
      <c r="AD198" s="7"/>
      <c r="AE198" s="7"/>
    </row>
    <row r="199" spans="1:31" ht="20.25" customHeight="1">
      <c r="A199" s="503"/>
      <c r="B199" s="483" t="s">
        <v>440</v>
      </c>
      <c r="C199" s="658" t="s">
        <v>433</v>
      </c>
      <c r="D199" s="504" t="s">
        <v>2311</v>
      </c>
      <c r="E199" s="213"/>
      <c r="F199" s="214"/>
      <c r="G199" s="213"/>
      <c r="H199" s="213"/>
      <c r="I199" s="215"/>
      <c r="J199" s="215"/>
      <c r="K199" s="215"/>
      <c r="L199" s="214"/>
      <c r="M199" s="647"/>
      <c r="N199" s="213"/>
      <c r="O199" s="213"/>
      <c r="P199" s="215"/>
      <c r="Q199" s="215"/>
      <c r="R199" s="616">
        <f t="shared" si="1"/>
        <v>0</v>
      </c>
      <c r="S199" s="633"/>
      <c r="T199" s="648"/>
      <c r="U199" s="648"/>
      <c r="V199" s="7"/>
      <c r="W199" s="699"/>
      <c r="X199" s="7"/>
      <c r="Y199" s="618">
        <f t="shared" si="12"/>
        <v>0</v>
      </c>
      <c r="Z199" s="7"/>
      <c r="AA199" s="7"/>
      <c r="AB199" s="7"/>
      <c r="AC199" s="7"/>
      <c r="AD199" s="7"/>
      <c r="AE199" s="7"/>
    </row>
    <row r="200" spans="1:31" ht="20.25" customHeight="1">
      <c r="A200" s="486"/>
      <c r="B200" s="487" t="s">
        <v>444</v>
      </c>
      <c r="C200" s="656" t="s">
        <v>445</v>
      </c>
      <c r="D200" s="412"/>
      <c r="E200" s="213"/>
      <c r="F200" s="214"/>
      <c r="G200" s="213"/>
      <c r="H200" s="213"/>
      <c r="I200" s="215"/>
      <c r="J200" s="215"/>
      <c r="K200" s="215"/>
      <c r="L200" s="214"/>
      <c r="M200" s="620"/>
      <c r="N200" s="213"/>
      <c r="O200" s="213"/>
      <c r="P200" s="215"/>
      <c r="Q200" s="215"/>
      <c r="R200" s="616">
        <f t="shared" si="1"/>
        <v>0</v>
      </c>
      <c r="S200" s="633"/>
      <c r="T200" s="636"/>
      <c r="U200" s="636"/>
      <c r="V200" s="7"/>
      <c r="W200" s="699"/>
      <c r="X200" s="7"/>
      <c r="Y200" s="618">
        <f t="shared" si="12"/>
        <v>0</v>
      </c>
      <c r="Z200" s="7"/>
      <c r="AA200" s="7"/>
      <c r="AB200" s="7"/>
      <c r="AC200" s="7"/>
      <c r="AD200" s="7"/>
      <c r="AE200" s="7"/>
    </row>
    <row r="201" spans="1:31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4"/>
      <c r="G201" s="213"/>
      <c r="H201" s="213"/>
      <c r="I201" s="215"/>
      <c r="J201" s="215"/>
      <c r="K201" s="215"/>
      <c r="L201" s="214"/>
      <c r="M201" s="647"/>
      <c r="N201" s="213"/>
      <c r="O201" s="213"/>
      <c r="P201" s="215"/>
      <c r="Q201" s="215"/>
      <c r="R201" s="616">
        <f t="shared" si="1"/>
        <v>0</v>
      </c>
      <c r="S201" s="633"/>
      <c r="T201" s="648"/>
      <c r="U201" s="648"/>
      <c r="V201" s="7"/>
      <c r="W201" s="699">
        <v>200</v>
      </c>
      <c r="X201" s="7"/>
      <c r="Y201" s="618">
        <f t="shared" si="12"/>
        <v>200</v>
      </c>
      <c r="Z201" s="7"/>
      <c r="AA201" s="7"/>
      <c r="AB201" s="7"/>
      <c r="AC201" s="7"/>
      <c r="AD201" s="7"/>
      <c r="AE201" s="7"/>
    </row>
    <row r="202" spans="1:31" ht="20.25" customHeight="1">
      <c r="A202" s="503"/>
      <c r="B202" s="483" t="s">
        <v>449</v>
      </c>
      <c r="C202" s="658" t="s">
        <v>450</v>
      </c>
      <c r="D202" s="504" t="s">
        <v>2312</v>
      </c>
      <c r="E202" s="213"/>
      <c r="F202" s="214"/>
      <c r="G202" s="213"/>
      <c r="H202" s="213"/>
      <c r="I202" s="215"/>
      <c r="J202" s="215"/>
      <c r="K202" s="215"/>
      <c r="L202" s="214"/>
      <c r="M202" s="647"/>
      <c r="N202" s="213"/>
      <c r="O202" s="213"/>
      <c r="P202" s="215"/>
      <c r="Q202" s="215"/>
      <c r="R202" s="616">
        <f t="shared" si="1"/>
        <v>0</v>
      </c>
      <c r="S202" s="633"/>
      <c r="T202" s="648"/>
      <c r="U202" s="648"/>
      <c r="V202" s="7"/>
      <c r="W202" s="699"/>
      <c r="X202" s="7"/>
      <c r="Y202" s="618">
        <f t="shared" si="12"/>
        <v>0</v>
      </c>
      <c r="Z202" s="7"/>
      <c r="AA202" s="7"/>
      <c r="AB202" s="7"/>
      <c r="AC202" s="7"/>
      <c r="AD202" s="7"/>
      <c r="AE202" s="7"/>
    </row>
    <row r="203" spans="1:31" ht="20.25" customHeight="1">
      <c r="A203" s="503"/>
      <c r="B203" s="483" t="s">
        <v>449</v>
      </c>
      <c r="C203" s="658" t="s">
        <v>431</v>
      </c>
      <c r="D203" s="504" t="s">
        <v>2313</v>
      </c>
      <c r="E203" s="213"/>
      <c r="F203" s="214"/>
      <c r="G203" s="213"/>
      <c r="H203" s="213"/>
      <c r="I203" s="215"/>
      <c r="J203" s="215"/>
      <c r="K203" s="215"/>
      <c r="L203" s="214"/>
      <c r="M203" s="647"/>
      <c r="N203" s="213"/>
      <c r="O203" s="213"/>
      <c r="P203" s="215"/>
      <c r="Q203" s="215"/>
      <c r="R203" s="616">
        <f t="shared" si="1"/>
        <v>0</v>
      </c>
      <c r="S203" s="633"/>
      <c r="T203" s="648"/>
      <c r="U203" s="648"/>
      <c r="V203" s="7"/>
      <c r="W203" s="699"/>
      <c r="X203" s="7"/>
      <c r="Y203" s="618">
        <f t="shared" si="12"/>
        <v>0</v>
      </c>
      <c r="Z203" s="7"/>
      <c r="AA203" s="7"/>
      <c r="AB203" s="7"/>
      <c r="AC203" s="7"/>
      <c r="AD203" s="7"/>
      <c r="AE203" s="7"/>
    </row>
    <row r="204" spans="1:31" ht="20.25" customHeight="1">
      <c r="A204" s="503"/>
      <c r="B204" s="483" t="s">
        <v>453</v>
      </c>
      <c r="C204" s="658" t="s">
        <v>433</v>
      </c>
      <c r="D204" s="504" t="s">
        <v>2314</v>
      </c>
      <c r="E204" s="213"/>
      <c r="F204" s="214"/>
      <c r="G204" s="213"/>
      <c r="H204" s="213"/>
      <c r="I204" s="215"/>
      <c r="J204" s="215"/>
      <c r="K204" s="215"/>
      <c r="L204" s="214"/>
      <c r="M204" s="647"/>
      <c r="N204" s="213"/>
      <c r="O204" s="213"/>
      <c r="P204" s="215"/>
      <c r="Q204" s="215"/>
      <c r="R204" s="616">
        <f t="shared" si="1"/>
        <v>0</v>
      </c>
      <c r="S204" s="633"/>
      <c r="T204" s="636"/>
      <c r="U204" s="636"/>
      <c r="V204" s="7"/>
      <c r="W204" s="699"/>
      <c r="X204" s="7"/>
      <c r="Y204" s="618">
        <f t="shared" si="12"/>
        <v>0</v>
      </c>
      <c r="Z204" s="7"/>
      <c r="AA204" s="7"/>
      <c r="AB204" s="7"/>
      <c r="AC204" s="7"/>
      <c r="AD204" s="7"/>
      <c r="AE204" s="7"/>
    </row>
    <row r="205" spans="1:31" ht="21" customHeight="1">
      <c r="A205" s="486"/>
      <c r="B205" s="487" t="s">
        <v>455</v>
      </c>
      <c r="C205" s="656" t="s">
        <v>456</v>
      </c>
      <c r="D205" s="512"/>
      <c r="E205" s="213"/>
      <c r="F205" s="214"/>
      <c r="G205" s="213"/>
      <c r="H205" s="213"/>
      <c r="I205" s="215"/>
      <c r="J205" s="215"/>
      <c r="K205" s="215"/>
      <c r="L205" s="214"/>
      <c r="M205" s="647"/>
      <c r="N205" s="213"/>
      <c r="O205" s="213"/>
      <c r="P205" s="215"/>
      <c r="Q205" s="215"/>
      <c r="R205" s="616">
        <f t="shared" si="1"/>
        <v>0</v>
      </c>
      <c r="S205" s="633"/>
      <c r="T205" s="636"/>
      <c r="U205" s="636"/>
      <c r="V205" s="7"/>
      <c r="W205" s="699"/>
      <c r="X205" s="7"/>
      <c r="Y205" s="618">
        <f t="shared" si="12"/>
        <v>0</v>
      </c>
      <c r="Z205" s="7"/>
      <c r="AA205" s="7"/>
      <c r="AB205" s="7"/>
      <c r="AC205" s="7"/>
      <c r="AD205" s="7"/>
      <c r="AE205" s="7"/>
    </row>
    <row r="206" spans="1:31" ht="20.25" customHeight="1">
      <c r="A206" s="503"/>
      <c r="B206" s="483" t="s">
        <v>458</v>
      </c>
      <c r="C206" s="658" t="s">
        <v>459</v>
      </c>
      <c r="D206" s="504" t="s">
        <v>424</v>
      </c>
      <c r="E206" s="213">
        <v>6</v>
      </c>
      <c r="F206" s="214"/>
      <c r="G206" s="213"/>
      <c r="H206" s="213"/>
      <c r="I206" s="215"/>
      <c r="J206" s="215"/>
      <c r="K206" s="215">
        <v>15</v>
      </c>
      <c r="L206" s="214"/>
      <c r="M206" s="647"/>
      <c r="N206" s="213"/>
      <c r="O206" s="213"/>
      <c r="P206" s="215"/>
      <c r="Q206" s="215"/>
      <c r="R206" s="616">
        <f t="shared" si="1"/>
        <v>21</v>
      </c>
      <c r="S206" s="633"/>
      <c r="T206" s="648"/>
      <c r="U206" s="648"/>
      <c r="V206" s="7"/>
      <c r="W206" s="702"/>
      <c r="X206" s="7"/>
      <c r="Y206" s="618"/>
      <c r="Z206" s="7"/>
      <c r="AA206" s="7"/>
      <c r="AB206" s="7"/>
      <c r="AC206" s="7"/>
      <c r="AD206" s="7"/>
      <c r="AE206" s="7"/>
    </row>
    <row r="207" spans="1:31" ht="20.25" customHeight="1">
      <c r="A207" s="503"/>
      <c r="B207" s="483" t="s">
        <v>461</v>
      </c>
      <c r="C207" s="658" t="s">
        <v>431</v>
      </c>
      <c r="D207" s="504" t="s">
        <v>2315</v>
      </c>
      <c r="E207" s="213"/>
      <c r="F207" s="214"/>
      <c r="G207" s="213"/>
      <c r="H207" s="213"/>
      <c r="I207" s="215"/>
      <c r="J207" s="215"/>
      <c r="K207" s="215"/>
      <c r="L207" s="214"/>
      <c r="M207" s="647"/>
      <c r="N207" s="213"/>
      <c r="O207" s="213"/>
      <c r="P207" s="215"/>
      <c r="Q207" s="215"/>
      <c r="R207" s="616">
        <f t="shared" si="1"/>
        <v>0</v>
      </c>
      <c r="S207" s="633"/>
      <c r="T207" s="648"/>
      <c r="U207" s="648"/>
      <c r="V207" s="7"/>
      <c r="W207" s="702"/>
      <c r="X207" s="7"/>
      <c r="Y207" s="618"/>
      <c r="Z207" s="7"/>
      <c r="AA207" s="7"/>
      <c r="AB207" s="7"/>
      <c r="AC207" s="7"/>
      <c r="AD207" s="7"/>
      <c r="AE207" s="7"/>
    </row>
    <row r="208" spans="1:31" ht="20.25" customHeight="1">
      <c r="A208" s="503"/>
      <c r="B208" s="483" t="s">
        <v>464</v>
      </c>
      <c r="C208" s="658" t="s">
        <v>433</v>
      </c>
      <c r="D208" s="504" t="s">
        <v>2316</v>
      </c>
      <c r="E208" s="213"/>
      <c r="F208" s="214"/>
      <c r="G208" s="213"/>
      <c r="H208" s="213"/>
      <c r="I208" s="215"/>
      <c r="J208" s="215"/>
      <c r="K208" s="215"/>
      <c r="L208" s="214"/>
      <c r="M208" s="647"/>
      <c r="N208" s="213"/>
      <c r="O208" s="213"/>
      <c r="P208" s="215"/>
      <c r="Q208" s="215"/>
      <c r="R208" s="616">
        <f t="shared" si="1"/>
        <v>0</v>
      </c>
      <c r="S208" s="633"/>
      <c r="T208" s="636"/>
      <c r="U208" s="636"/>
      <c r="V208" s="7"/>
      <c r="W208" s="702"/>
      <c r="X208" s="7"/>
      <c r="Y208" s="618">
        <f t="shared" ref="Y208:Y232" si="13">W208-R208</f>
        <v>0</v>
      </c>
      <c r="Z208" s="7"/>
      <c r="AA208" s="7"/>
      <c r="AB208" s="7"/>
      <c r="AC208" s="7"/>
      <c r="AD208" s="7"/>
      <c r="AE208" s="7"/>
    </row>
    <row r="209" spans="1:31" ht="20.25" customHeight="1">
      <c r="A209" s="486"/>
      <c r="B209" s="487" t="s">
        <v>455</v>
      </c>
      <c r="C209" s="635" t="s">
        <v>467</v>
      </c>
      <c r="D209" s="412"/>
      <c r="E209" s="213"/>
      <c r="F209" s="214"/>
      <c r="G209" s="213"/>
      <c r="H209" s="213"/>
      <c r="I209" s="215"/>
      <c r="J209" s="215"/>
      <c r="K209" s="215"/>
      <c r="L209" s="214"/>
      <c r="M209" s="620"/>
      <c r="N209" s="213"/>
      <c r="O209" s="213"/>
      <c r="P209" s="215"/>
      <c r="Q209" s="215"/>
      <c r="R209" s="616">
        <f t="shared" si="1"/>
        <v>0</v>
      </c>
      <c r="S209" s="633"/>
      <c r="T209" s="648"/>
      <c r="U209" s="648"/>
      <c r="V209" s="7"/>
      <c r="W209" s="699"/>
      <c r="X209" s="7"/>
      <c r="Y209" s="618">
        <f t="shared" si="13"/>
        <v>0</v>
      </c>
      <c r="Z209" s="7"/>
      <c r="AA209" s="7"/>
      <c r="AB209" s="7"/>
      <c r="AC209" s="7"/>
      <c r="AD209" s="7"/>
      <c r="AE209" s="7"/>
    </row>
    <row r="210" spans="1:31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4"/>
      <c r="G210" s="213"/>
      <c r="H210" s="213"/>
      <c r="I210" s="215"/>
      <c r="J210" s="215"/>
      <c r="K210" s="215"/>
      <c r="L210" s="214"/>
      <c r="M210" s="647"/>
      <c r="N210" s="213"/>
      <c r="O210" s="213"/>
      <c r="P210" s="215"/>
      <c r="Q210" s="215"/>
      <c r="R210" s="616">
        <f t="shared" si="1"/>
        <v>0</v>
      </c>
      <c r="S210" s="633"/>
      <c r="T210" s="648"/>
      <c r="U210" s="648"/>
      <c r="V210" s="7"/>
      <c r="W210" s="699"/>
      <c r="X210" s="7"/>
      <c r="Y210" s="618">
        <f t="shared" si="13"/>
        <v>0</v>
      </c>
      <c r="Z210" s="7"/>
      <c r="AA210" s="7"/>
      <c r="AB210" s="7"/>
      <c r="AC210" s="7"/>
      <c r="AD210" s="7"/>
      <c r="AE210" s="7"/>
    </row>
    <row r="211" spans="1:31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4"/>
      <c r="G211" s="213"/>
      <c r="H211" s="213"/>
      <c r="I211" s="215"/>
      <c r="J211" s="215"/>
      <c r="K211" s="215"/>
      <c r="L211" s="214"/>
      <c r="M211" s="647"/>
      <c r="N211" s="213"/>
      <c r="O211" s="213"/>
      <c r="P211" s="215"/>
      <c r="Q211" s="215"/>
      <c r="R211" s="616">
        <f t="shared" si="1"/>
        <v>0</v>
      </c>
      <c r="S211" s="633"/>
      <c r="T211" s="636"/>
      <c r="U211" s="636"/>
      <c r="V211" s="7"/>
      <c r="W211" s="699"/>
      <c r="X211" s="7"/>
      <c r="Y211" s="618">
        <f t="shared" si="13"/>
        <v>0</v>
      </c>
      <c r="Z211" s="7"/>
      <c r="AA211" s="7"/>
      <c r="AB211" s="7"/>
      <c r="AC211" s="7"/>
      <c r="AD211" s="7"/>
      <c r="AE211" s="7"/>
    </row>
    <row r="212" spans="1:31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4"/>
      <c r="G212" s="213"/>
      <c r="H212" s="213"/>
      <c r="I212" s="215"/>
      <c r="J212" s="215"/>
      <c r="K212" s="215"/>
      <c r="L212" s="214"/>
      <c r="M212" s="647"/>
      <c r="N212" s="213"/>
      <c r="O212" s="213"/>
      <c r="P212" s="215"/>
      <c r="Q212" s="215"/>
      <c r="R212" s="616">
        <f t="shared" si="1"/>
        <v>0</v>
      </c>
      <c r="S212" s="633"/>
      <c r="T212" s="636"/>
      <c r="U212" s="636"/>
      <c r="V212" s="7"/>
      <c r="W212" s="699"/>
      <c r="X212" s="7"/>
      <c r="Y212" s="618">
        <f t="shared" si="13"/>
        <v>0</v>
      </c>
      <c r="Z212" s="7"/>
      <c r="AA212" s="7"/>
      <c r="AB212" s="7"/>
      <c r="AC212" s="7"/>
      <c r="AD212" s="7"/>
      <c r="AE212" s="7"/>
    </row>
    <row r="213" spans="1:31" ht="20.25" customHeight="1">
      <c r="A213" s="486"/>
      <c r="B213" s="487" t="s">
        <v>475</v>
      </c>
      <c r="C213" s="635" t="s">
        <v>476</v>
      </c>
      <c r="D213" s="412"/>
      <c r="E213" s="213"/>
      <c r="F213" s="214"/>
      <c r="G213" s="213"/>
      <c r="H213" s="213"/>
      <c r="I213" s="215"/>
      <c r="J213" s="215"/>
      <c r="K213" s="215"/>
      <c r="L213" s="214"/>
      <c r="M213" s="620"/>
      <c r="N213" s="213"/>
      <c r="O213" s="213"/>
      <c r="P213" s="215"/>
      <c r="Q213" s="215"/>
      <c r="R213" s="616">
        <f t="shared" si="1"/>
        <v>0</v>
      </c>
      <c r="S213" s="633"/>
      <c r="T213" s="636"/>
      <c r="U213" s="636"/>
      <c r="V213" s="7"/>
      <c r="W213" s="703">
        <f>W214+W215</f>
        <v>0</v>
      </c>
      <c r="X213" s="7"/>
      <c r="Y213" s="618">
        <f t="shared" si="13"/>
        <v>0</v>
      </c>
      <c r="Z213" s="7"/>
      <c r="AA213" s="7"/>
      <c r="AB213" s="7"/>
      <c r="AC213" s="7"/>
      <c r="AD213" s="7"/>
      <c r="AE213" s="7"/>
    </row>
    <row r="214" spans="1:31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4"/>
      <c r="G214" s="213"/>
      <c r="H214" s="213"/>
      <c r="I214" s="215"/>
      <c r="J214" s="215"/>
      <c r="K214" s="215"/>
      <c r="L214" s="214"/>
      <c r="M214" s="647"/>
      <c r="N214" s="213"/>
      <c r="O214" s="213"/>
      <c r="P214" s="215"/>
      <c r="Q214" s="215"/>
      <c r="R214" s="616">
        <f t="shared" si="1"/>
        <v>0</v>
      </c>
      <c r="S214" s="633"/>
      <c r="T214" s="636"/>
      <c r="U214" s="636"/>
      <c r="V214" s="7"/>
      <c r="W214" s="699"/>
      <c r="X214" s="7"/>
      <c r="Y214" s="618">
        <f t="shared" si="13"/>
        <v>0</v>
      </c>
      <c r="Z214" s="7"/>
      <c r="AA214" s="7"/>
      <c r="AB214" s="7"/>
      <c r="AC214" s="7"/>
      <c r="AD214" s="7"/>
      <c r="AE214" s="7"/>
    </row>
    <row r="215" spans="1:31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4"/>
      <c r="G215" s="213"/>
      <c r="H215" s="213"/>
      <c r="I215" s="215"/>
      <c r="J215" s="215"/>
      <c r="K215" s="215"/>
      <c r="L215" s="214"/>
      <c r="M215" s="647"/>
      <c r="N215" s="213"/>
      <c r="O215" s="213"/>
      <c r="P215" s="215"/>
      <c r="Q215" s="215"/>
      <c r="R215" s="616">
        <f t="shared" si="1"/>
        <v>0</v>
      </c>
      <c r="S215" s="633"/>
      <c r="T215" s="636"/>
      <c r="U215" s="636"/>
      <c r="V215" s="7"/>
      <c r="W215" s="699"/>
      <c r="X215" s="7"/>
      <c r="Y215" s="618">
        <f t="shared" si="13"/>
        <v>0</v>
      </c>
      <c r="Z215" s="7"/>
      <c r="AA215" s="7"/>
      <c r="AB215" s="7"/>
      <c r="AC215" s="7"/>
      <c r="AD215" s="7"/>
      <c r="AE215" s="7"/>
    </row>
    <row r="216" spans="1:31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4"/>
      <c r="G216" s="213"/>
      <c r="H216" s="213"/>
      <c r="I216" s="215"/>
      <c r="J216" s="215"/>
      <c r="K216" s="215"/>
      <c r="L216" s="214"/>
      <c r="M216" s="647"/>
      <c r="N216" s="213"/>
      <c r="O216" s="213"/>
      <c r="P216" s="215"/>
      <c r="Q216" s="215"/>
      <c r="R216" s="616">
        <f t="shared" si="1"/>
        <v>0</v>
      </c>
      <c r="S216" s="633"/>
      <c r="T216" s="636"/>
      <c r="U216" s="636"/>
      <c r="V216" s="7"/>
      <c r="W216" s="699"/>
      <c r="X216" s="7"/>
      <c r="Y216" s="618">
        <f t="shared" si="13"/>
        <v>0</v>
      </c>
      <c r="Z216" s="7"/>
      <c r="AA216" s="7"/>
      <c r="AB216" s="7"/>
      <c r="AC216" s="7"/>
      <c r="AD216" s="7"/>
      <c r="AE216" s="7"/>
    </row>
    <row r="217" spans="1:31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4"/>
      <c r="G217" s="213"/>
      <c r="H217" s="213"/>
      <c r="I217" s="215"/>
      <c r="J217" s="215"/>
      <c r="K217" s="215"/>
      <c r="L217" s="214"/>
      <c r="M217" s="647"/>
      <c r="N217" s="213"/>
      <c r="O217" s="213"/>
      <c r="P217" s="215"/>
      <c r="Q217" s="215"/>
      <c r="R217" s="616">
        <f t="shared" si="1"/>
        <v>0</v>
      </c>
      <c r="S217" s="633"/>
      <c r="T217" s="636"/>
      <c r="U217" s="636"/>
      <c r="V217" s="7"/>
      <c r="W217" s="699"/>
      <c r="X217" s="7"/>
      <c r="Y217" s="618">
        <f t="shared" si="13"/>
        <v>0</v>
      </c>
      <c r="Z217" s="7"/>
      <c r="AA217" s="7"/>
      <c r="AB217" s="7"/>
      <c r="AC217" s="7"/>
      <c r="AD217" s="7"/>
      <c r="AE217" s="7"/>
    </row>
    <row r="218" spans="1:31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4"/>
      <c r="G218" s="213"/>
      <c r="H218" s="213"/>
      <c r="I218" s="215"/>
      <c r="J218" s="215"/>
      <c r="K218" s="215"/>
      <c r="L218" s="214"/>
      <c r="M218" s="647"/>
      <c r="N218" s="213"/>
      <c r="O218" s="213"/>
      <c r="P218" s="215"/>
      <c r="Q218" s="215"/>
      <c r="R218" s="616">
        <f t="shared" si="1"/>
        <v>0</v>
      </c>
      <c r="S218" s="633"/>
      <c r="T218" s="636"/>
      <c r="U218" s="636"/>
      <c r="V218" s="7"/>
      <c r="W218" s="699"/>
      <c r="X218" s="7"/>
      <c r="Y218" s="618">
        <f t="shared" si="13"/>
        <v>0</v>
      </c>
      <c r="Z218" s="7"/>
      <c r="AA218" s="7"/>
      <c r="AB218" s="7"/>
      <c r="AC218" s="7"/>
      <c r="AD218" s="7"/>
      <c r="AE218" s="7"/>
    </row>
    <row r="219" spans="1:31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4"/>
      <c r="G219" s="213"/>
      <c r="H219" s="213">
        <v>3</v>
      </c>
      <c r="I219" s="215"/>
      <c r="J219" s="215"/>
      <c r="K219" s="215"/>
      <c r="L219" s="214">
        <v>1</v>
      </c>
      <c r="M219" s="647"/>
      <c r="N219" s="213"/>
      <c r="O219" s="213"/>
      <c r="P219" s="215"/>
      <c r="Q219" s="215"/>
      <c r="R219" s="616">
        <f t="shared" si="1"/>
        <v>4</v>
      </c>
      <c r="S219" s="633"/>
      <c r="T219" s="636"/>
      <c r="U219" s="636"/>
      <c r="V219" s="7"/>
      <c r="W219" s="699">
        <v>9</v>
      </c>
      <c r="X219" s="7"/>
      <c r="Y219" s="618">
        <f t="shared" si="13"/>
        <v>5</v>
      </c>
      <c r="Z219" s="7"/>
      <c r="AA219" s="7"/>
      <c r="AB219" s="7"/>
      <c r="AC219" s="7"/>
      <c r="AD219" s="7"/>
      <c r="AE219" s="7"/>
    </row>
    <row r="220" spans="1:31" ht="20.25" customHeight="1">
      <c r="A220" s="486"/>
      <c r="B220" s="487" t="s">
        <v>496</v>
      </c>
      <c r="C220" s="635" t="s">
        <v>497</v>
      </c>
      <c r="D220" s="512"/>
      <c r="E220" s="213"/>
      <c r="F220" s="214"/>
      <c r="G220" s="213"/>
      <c r="H220" s="213"/>
      <c r="I220" s="215"/>
      <c r="J220" s="215"/>
      <c r="K220" s="215"/>
      <c r="L220" s="214"/>
      <c r="M220" s="647"/>
      <c r="N220" s="213"/>
      <c r="O220" s="213"/>
      <c r="P220" s="215"/>
      <c r="Q220" s="215"/>
      <c r="R220" s="616">
        <f t="shared" si="1"/>
        <v>0</v>
      </c>
      <c r="S220" s="633"/>
      <c r="T220" s="636"/>
      <c r="U220" s="636"/>
      <c r="V220" s="7"/>
      <c r="W220" s="699"/>
      <c r="X220" s="7"/>
      <c r="Y220" s="618">
        <f t="shared" si="13"/>
        <v>0</v>
      </c>
      <c r="Z220" s="7"/>
      <c r="AA220" s="7"/>
      <c r="AB220" s="7"/>
      <c r="AC220" s="7"/>
      <c r="AD220" s="7"/>
      <c r="AE220" s="7"/>
    </row>
    <row r="221" spans="1:31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4"/>
      <c r="G221" s="213"/>
      <c r="H221" s="213"/>
      <c r="I221" s="215"/>
      <c r="J221" s="215"/>
      <c r="K221" s="215"/>
      <c r="L221" s="214"/>
      <c r="M221" s="620"/>
      <c r="N221" s="213"/>
      <c r="O221" s="213"/>
      <c r="P221" s="215"/>
      <c r="Q221" s="215"/>
      <c r="R221" s="616">
        <f t="shared" si="1"/>
        <v>0</v>
      </c>
      <c r="S221" s="633"/>
      <c r="T221" s="634"/>
      <c r="U221" s="634"/>
      <c r="V221" s="7"/>
      <c r="W221" s="699">
        <v>2035</v>
      </c>
      <c r="X221" s="7"/>
      <c r="Y221" s="618">
        <f t="shared" si="13"/>
        <v>2035</v>
      </c>
      <c r="Z221" s="7"/>
      <c r="AA221" s="7"/>
      <c r="AB221" s="7"/>
      <c r="AC221" s="7"/>
      <c r="AD221" s="7"/>
      <c r="AE221" s="7"/>
    </row>
    <row r="222" spans="1:31" ht="20.25" customHeight="1">
      <c r="A222" s="482" t="s">
        <v>1007</v>
      </c>
      <c r="B222" s="483" t="s">
        <v>502</v>
      </c>
      <c r="C222" s="629" t="s">
        <v>503</v>
      </c>
      <c r="D222" s="504" t="s">
        <v>2317</v>
      </c>
      <c r="E222" s="213"/>
      <c r="F222" s="214"/>
      <c r="G222" s="213"/>
      <c r="H222" s="213"/>
      <c r="I222" s="215"/>
      <c r="J222" s="215"/>
      <c r="K222" s="215"/>
      <c r="L222" s="214"/>
      <c r="M222" s="647"/>
      <c r="N222" s="213"/>
      <c r="O222" s="213"/>
      <c r="P222" s="215"/>
      <c r="Q222" s="215"/>
      <c r="R222" s="616">
        <f t="shared" si="1"/>
        <v>0</v>
      </c>
      <c r="S222" s="633"/>
      <c r="T222" s="634"/>
      <c r="U222" s="634"/>
      <c r="V222" s="7"/>
      <c r="W222" s="699"/>
      <c r="X222" s="7"/>
      <c r="Y222" s="618">
        <f t="shared" si="13"/>
        <v>0</v>
      </c>
      <c r="Z222" s="7"/>
      <c r="AA222" s="7"/>
      <c r="AB222" s="7"/>
      <c r="AC222" s="7"/>
      <c r="AD222" s="7"/>
      <c r="AE222" s="7"/>
    </row>
    <row r="223" spans="1:31" ht="20.25" customHeight="1">
      <c r="A223" s="482"/>
      <c r="B223" s="483" t="s">
        <v>506</v>
      </c>
      <c r="C223" s="629" t="s">
        <v>507</v>
      </c>
      <c r="D223" s="485" t="s">
        <v>2318</v>
      </c>
      <c r="E223" s="213"/>
      <c r="F223" s="214"/>
      <c r="G223" s="213"/>
      <c r="H223" s="213"/>
      <c r="I223" s="215"/>
      <c r="J223" s="215"/>
      <c r="K223" s="215"/>
      <c r="L223" s="214"/>
      <c r="M223" s="620"/>
      <c r="N223" s="213"/>
      <c r="O223" s="213"/>
      <c r="P223" s="215"/>
      <c r="Q223" s="215"/>
      <c r="R223" s="616">
        <f t="shared" si="1"/>
        <v>0</v>
      </c>
      <c r="S223" s="633"/>
      <c r="T223" s="634"/>
      <c r="U223" s="634"/>
      <c r="V223" s="7"/>
      <c r="W223" s="699"/>
      <c r="X223" s="7"/>
      <c r="Y223" s="618">
        <f t="shared" si="13"/>
        <v>0</v>
      </c>
      <c r="Z223" s="7"/>
      <c r="AA223" s="7"/>
      <c r="AB223" s="7"/>
      <c r="AC223" s="7"/>
      <c r="AD223" s="7"/>
      <c r="AE223" s="7"/>
    </row>
    <row r="224" spans="1:31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4"/>
      <c r="G224" s="213"/>
      <c r="H224" s="213"/>
      <c r="I224" s="215"/>
      <c r="J224" s="215"/>
      <c r="K224" s="215"/>
      <c r="L224" s="214"/>
      <c r="M224" s="638"/>
      <c r="N224" s="213"/>
      <c r="O224" s="213"/>
      <c r="P224" s="215"/>
      <c r="Q224" s="215"/>
      <c r="R224" s="616">
        <f t="shared" si="1"/>
        <v>0</v>
      </c>
      <c r="S224" s="633"/>
      <c r="T224" s="636"/>
      <c r="U224" s="636"/>
      <c r="V224" s="7"/>
      <c r="W224" s="699"/>
      <c r="X224" s="7"/>
      <c r="Y224" s="618">
        <f t="shared" si="13"/>
        <v>0</v>
      </c>
      <c r="Z224" s="7"/>
      <c r="AA224" s="7"/>
      <c r="AB224" s="7"/>
      <c r="AC224" s="7"/>
      <c r="AD224" s="7"/>
      <c r="AE224" s="7"/>
    </row>
    <row r="225" spans="1:31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4"/>
      <c r="G225" s="213"/>
      <c r="H225" s="213"/>
      <c r="I225" s="215"/>
      <c r="J225" s="215"/>
      <c r="K225" s="215"/>
      <c r="L225" s="214"/>
      <c r="M225" s="638"/>
      <c r="N225" s="213"/>
      <c r="O225" s="213"/>
      <c r="P225" s="215"/>
      <c r="Q225" s="215"/>
      <c r="R225" s="616">
        <f t="shared" si="1"/>
        <v>0</v>
      </c>
      <c r="S225" s="660" t="s">
        <v>1594</v>
      </c>
      <c r="T225" s="640"/>
      <c r="U225" s="640"/>
      <c r="V225" s="7"/>
      <c r="W225" s="699"/>
      <c r="X225" s="7"/>
      <c r="Y225" s="618">
        <f t="shared" si="13"/>
        <v>0</v>
      </c>
      <c r="Z225" s="7"/>
      <c r="AA225" s="7"/>
      <c r="AB225" s="7"/>
      <c r="AC225" s="7"/>
      <c r="AD225" s="7"/>
      <c r="AE225" s="7"/>
    </row>
    <row r="226" spans="1:31" ht="15.75" customHeight="1">
      <c r="A226" s="486"/>
      <c r="B226" s="487" t="s">
        <v>515</v>
      </c>
      <c r="C226" s="635" t="s">
        <v>516</v>
      </c>
      <c r="D226" s="512"/>
      <c r="E226" s="213"/>
      <c r="F226" s="214"/>
      <c r="G226" s="213"/>
      <c r="H226" s="213"/>
      <c r="I226" s="215"/>
      <c r="J226" s="215"/>
      <c r="K226" s="215"/>
      <c r="L226" s="214"/>
      <c r="M226" s="647"/>
      <c r="N226" s="213"/>
      <c r="O226" s="213"/>
      <c r="P226" s="215" t="s">
        <v>2319</v>
      </c>
      <c r="Q226" s="215"/>
      <c r="R226" s="616">
        <f t="shared" si="1"/>
        <v>0</v>
      </c>
      <c r="S226" s="642">
        <f>R227+R237</f>
        <v>230</v>
      </c>
      <c r="T226" s="636"/>
      <c r="U226" s="636"/>
      <c r="V226" s="7"/>
      <c r="W226" s="699"/>
      <c r="X226" s="7"/>
      <c r="Y226" s="618">
        <f t="shared" si="13"/>
        <v>0</v>
      </c>
      <c r="Z226" s="7"/>
      <c r="AA226" s="7"/>
      <c r="AB226" s="7"/>
      <c r="AC226" s="7"/>
      <c r="AD226" s="7"/>
      <c r="AE226" s="7"/>
    </row>
    <row r="227" spans="1:31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4"/>
      <c r="G227" s="213"/>
      <c r="H227" s="213"/>
      <c r="I227" s="215"/>
      <c r="J227" s="215"/>
      <c r="K227" s="215"/>
      <c r="L227" s="214"/>
      <c r="M227" s="647"/>
      <c r="N227" s="213"/>
      <c r="O227" s="213"/>
      <c r="P227" s="215"/>
      <c r="Q227" s="215"/>
      <c r="R227" s="616">
        <f t="shared" si="1"/>
        <v>0</v>
      </c>
      <c r="S227" s="648"/>
      <c r="T227" s="648"/>
      <c r="U227" s="648"/>
      <c r="V227" s="7"/>
      <c r="W227" s="699"/>
      <c r="X227" s="7"/>
      <c r="Y227" s="618">
        <f t="shared" si="13"/>
        <v>0</v>
      </c>
      <c r="Z227" s="7"/>
      <c r="AA227" s="7"/>
      <c r="AB227" s="7"/>
      <c r="AC227" s="7"/>
      <c r="AD227" s="7"/>
      <c r="AE227" s="7"/>
    </row>
    <row r="228" spans="1:31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4"/>
      <c r="G228" s="213"/>
      <c r="H228" s="213"/>
      <c r="I228" s="215"/>
      <c r="J228" s="215"/>
      <c r="K228" s="215"/>
      <c r="L228" s="214" t="s">
        <v>2320</v>
      </c>
      <c r="M228" s="647"/>
      <c r="N228" s="213"/>
      <c r="O228" s="213"/>
      <c r="P228" s="215"/>
      <c r="Q228" s="215"/>
      <c r="R228" s="616">
        <f t="shared" si="1"/>
        <v>0</v>
      </c>
      <c r="S228" s="661" t="s">
        <v>1595</v>
      </c>
      <c r="T228" s="648"/>
      <c r="U228" s="648"/>
      <c r="V228" s="7"/>
      <c r="W228" s="699"/>
      <c r="X228" s="7"/>
      <c r="Y228" s="618">
        <f t="shared" si="13"/>
        <v>0</v>
      </c>
      <c r="Z228" s="7"/>
      <c r="AA228" s="7"/>
      <c r="AB228" s="7"/>
      <c r="AC228" s="7"/>
      <c r="AD228" s="7"/>
      <c r="AE228" s="7"/>
    </row>
    <row r="229" spans="1:31" ht="19.5" customHeight="1">
      <c r="A229" s="503"/>
      <c r="B229" s="483" t="s">
        <v>523</v>
      </c>
      <c r="C229" s="629" t="s">
        <v>524</v>
      </c>
      <c r="D229" s="504" t="s">
        <v>2321</v>
      </c>
      <c r="E229" s="213"/>
      <c r="F229" s="214"/>
      <c r="G229" s="213"/>
      <c r="H229" s="213"/>
      <c r="I229" s="215"/>
      <c r="J229" s="215"/>
      <c r="K229" s="215"/>
      <c r="L229" s="214"/>
      <c r="M229" s="647"/>
      <c r="N229" s="213"/>
      <c r="O229" s="213"/>
      <c r="P229" s="215"/>
      <c r="Q229" s="215"/>
      <c r="R229" s="616">
        <f t="shared" si="1"/>
        <v>0</v>
      </c>
      <c r="S229" s="642">
        <f>R229+R230+R239+R240</f>
        <v>2850</v>
      </c>
      <c r="T229" s="648"/>
      <c r="U229" s="648"/>
      <c r="V229" s="7"/>
      <c r="W229" s="699"/>
      <c r="X229" s="7"/>
      <c r="Y229" s="618">
        <f t="shared" si="13"/>
        <v>0</v>
      </c>
      <c r="Z229" s="7"/>
      <c r="AA229" s="7"/>
      <c r="AB229" s="7"/>
      <c r="AC229" s="7"/>
      <c r="AD229" s="7"/>
      <c r="AE229" s="7"/>
    </row>
    <row r="230" spans="1:31" ht="20.25" customHeight="1">
      <c r="A230" s="503"/>
      <c r="B230" s="483" t="s">
        <v>526</v>
      </c>
      <c r="C230" s="629" t="s">
        <v>527</v>
      </c>
      <c r="D230" s="504" t="s">
        <v>2322</v>
      </c>
      <c r="E230" s="213"/>
      <c r="F230" s="214"/>
      <c r="G230" s="213"/>
      <c r="H230" s="213"/>
      <c r="I230" s="215"/>
      <c r="J230" s="215"/>
      <c r="K230" s="215"/>
      <c r="L230" s="214"/>
      <c r="M230" s="647"/>
      <c r="N230" s="213"/>
      <c r="O230" s="213"/>
      <c r="P230" s="215"/>
      <c r="Q230" s="215"/>
      <c r="R230" s="616">
        <f t="shared" si="1"/>
        <v>0</v>
      </c>
      <c r="S230" s="633"/>
      <c r="T230" s="648"/>
      <c r="U230" s="648"/>
      <c r="V230" s="7"/>
      <c r="W230" s="699"/>
      <c r="X230" s="7"/>
      <c r="Y230" s="618">
        <f t="shared" si="13"/>
        <v>0</v>
      </c>
      <c r="Z230" s="7"/>
      <c r="AA230" s="7"/>
      <c r="AB230" s="7"/>
      <c r="AC230" s="7"/>
      <c r="AD230" s="7"/>
      <c r="AE230" s="7"/>
    </row>
    <row r="231" spans="1:31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4"/>
      <c r="G231" s="213"/>
      <c r="H231" s="213"/>
      <c r="I231" s="215"/>
      <c r="J231" s="215"/>
      <c r="K231" s="215"/>
      <c r="L231" s="214"/>
      <c r="M231" s="647"/>
      <c r="N231" s="213"/>
      <c r="O231" s="213"/>
      <c r="P231" s="215"/>
      <c r="Q231" s="215"/>
      <c r="R231" s="616">
        <f t="shared" si="1"/>
        <v>0</v>
      </c>
      <c r="S231" s="633"/>
      <c r="T231" s="648"/>
      <c r="U231" s="648"/>
      <c r="V231" s="7"/>
      <c r="W231" s="699"/>
      <c r="X231" s="7"/>
      <c r="Y231" s="618">
        <f t="shared" si="13"/>
        <v>0</v>
      </c>
      <c r="Z231" s="7"/>
      <c r="AA231" s="7"/>
      <c r="AB231" s="7"/>
      <c r="AC231" s="7"/>
      <c r="AD231" s="7"/>
      <c r="AE231" s="7"/>
    </row>
    <row r="232" spans="1:31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4"/>
      <c r="G232" s="213"/>
      <c r="H232" s="213"/>
      <c r="I232" s="215"/>
      <c r="J232" s="215"/>
      <c r="K232" s="215"/>
      <c r="L232" s="214"/>
      <c r="M232" s="647"/>
      <c r="N232" s="213"/>
      <c r="O232" s="213"/>
      <c r="P232" s="215"/>
      <c r="Q232" s="215"/>
      <c r="R232" s="616">
        <f t="shared" si="1"/>
        <v>0</v>
      </c>
      <c r="S232" s="633"/>
      <c r="T232" s="648"/>
      <c r="U232" s="648"/>
      <c r="V232" s="7"/>
      <c r="W232" s="699"/>
      <c r="X232" s="7"/>
      <c r="Y232" s="618">
        <f t="shared" si="13"/>
        <v>0</v>
      </c>
      <c r="Z232" s="7"/>
      <c r="AA232" s="7"/>
      <c r="AB232" s="7"/>
      <c r="AC232" s="7"/>
      <c r="AD232" s="7"/>
      <c r="AE232" s="7"/>
    </row>
    <row r="233" spans="1:31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4"/>
      <c r="G233" s="213"/>
      <c r="H233" s="213"/>
      <c r="I233" s="215"/>
      <c r="J233" s="215"/>
      <c r="K233" s="215"/>
      <c r="L233" s="214"/>
      <c r="M233" s="647"/>
      <c r="N233" s="213"/>
      <c r="O233" s="213"/>
      <c r="P233" s="215">
        <v>1</v>
      </c>
      <c r="Q233" s="215"/>
      <c r="R233" s="616">
        <f t="shared" si="1"/>
        <v>1</v>
      </c>
      <c r="S233" s="633"/>
      <c r="T233" s="648"/>
      <c r="U233" s="648"/>
      <c r="V233" s="7"/>
      <c r="W233" s="699"/>
      <c r="X233" s="7"/>
      <c r="Y233" s="618"/>
      <c r="Z233" s="7"/>
      <c r="AA233" s="7"/>
      <c r="AB233" s="7"/>
      <c r="AC233" s="7"/>
      <c r="AD233" s="7"/>
      <c r="AE233" s="7"/>
    </row>
    <row r="234" spans="1:31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4"/>
      <c r="G234" s="213"/>
      <c r="H234" s="213"/>
      <c r="I234" s="215"/>
      <c r="J234" s="215"/>
      <c r="K234" s="215"/>
      <c r="L234" s="214"/>
      <c r="M234" s="662"/>
      <c r="N234" s="213"/>
      <c r="O234" s="213"/>
      <c r="P234" s="215"/>
      <c r="Q234" s="215"/>
      <c r="R234" s="616">
        <f t="shared" si="1"/>
        <v>0</v>
      </c>
      <c r="S234" s="633"/>
      <c r="T234" s="648"/>
      <c r="U234" s="648"/>
      <c r="V234" s="7"/>
      <c r="W234" s="699"/>
      <c r="X234" s="7"/>
      <c r="Y234" s="618">
        <f t="shared" ref="Y234:Y235" si="14">W234-R234</f>
        <v>0</v>
      </c>
      <c r="Z234" s="7"/>
      <c r="AA234" s="7"/>
      <c r="AB234" s="7"/>
      <c r="AC234" s="7"/>
      <c r="AD234" s="7"/>
      <c r="AE234" s="7"/>
    </row>
    <row r="235" spans="1:31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4"/>
      <c r="G235" s="213"/>
      <c r="H235" s="213"/>
      <c r="I235" s="215"/>
      <c r="J235" s="215"/>
      <c r="K235" s="215"/>
      <c r="L235" s="214"/>
      <c r="M235" s="647"/>
      <c r="N235" s="213"/>
      <c r="O235" s="213"/>
      <c r="P235" s="215"/>
      <c r="Q235" s="215"/>
      <c r="R235" s="616">
        <f t="shared" si="1"/>
        <v>0</v>
      </c>
      <c r="S235" s="633"/>
      <c r="T235" s="648"/>
      <c r="U235" s="648"/>
      <c r="V235" s="7"/>
      <c r="W235" s="699"/>
      <c r="X235" s="7"/>
      <c r="Y235" s="618">
        <f t="shared" si="14"/>
        <v>0</v>
      </c>
      <c r="Z235" s="7"/>
      <c r="AA235" s="7"/>
      <c r="AB235" s="7"/>
      <c r="AC235" s="7"/>
      <c r="AD235" s="7"/>
      <c r="AE235" s="7"/>
    </row>
    <row r="236" spans="1:31" ht="15.75" customHeight="1">
      <c r="A236" s="486"/>
      <c r="B236" s="487" t="s">
        <v>545</v>
      </c>
      <c r="C236" s="635" t="s">
        <v>546</v>
      </c>
      <c r="D236" s="512"/>
      <c r="E236" s="213"/>
      <c r="F236" s="214"/>
      <c r="G236" s="213"/>
      <c r="H236" s="213"/>
      <c r="I236" s="215"/>
      <c r="J236" s="215"/>
      <c r="K236" s="215"/>
      <c r="L236" s="214"/>
      <c r="M236" s="647"/>
      <c r="N236" s="213"/>
      <c r="O236" s="213"/>
      <c r="P236" s="215"/>
      <c r="Q236" s="215"/>
      <c r="R236" s="616">
        <f t="shared" si="1"/>
        <v>0</v>
      </c>
      <c r="S236" s="633"/>
      <c r="T236" s="636"/>
      <c r="U236" s="636"/>
      <c r="V236" s="7"/>
      <c r="W236" s="699"/>
      <c r="X236" s="7"/>
      <c r="Y236" s="618"/>
      <c r="Z236" s="7"/>
      <c r="AA236" s="7"/>
      <c r="AB236" s="7"/>
      <c r="AC236" s="7"/>
      <c r="AD236" s="7"/>
      <c r="AE236" s="7"/>
    </row>
    <row r="237" spans="1:31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4"/>
      <c r="G237" s="213">
        <v>70</v>
      </c>
      <c r="H237" s="213"/>
      <c r="I237" s="215"/>
      <c r="J237" s="215"/>
      <c r="K237" s="215">
        <v>50</v>
      </c>
      <c r="L237" s="214">
        <f>40+20+50</f>
        <v>110</v>
      </c>
      <c r="M237" s="647"/>
      <c r="N237" s="213"/>
      <c r="O237" s="213"/>
      <c r="P237" s="215"/>
      <c r="Q237" s="215"/>
      <c r="R237" s="616">
        <f t="shared" si="1"/>
        <v>230</v>
      </c>
      <c r="S237" s="633"/>
      <c r="T237" s="648"/>
      <c r="U237" s="648"/>
      <c r="V237" s="7"/>
      <c r="W237" s="702">
        <v>234</v>
      </c>
      <c r="X237" s="7"/>
      <c r="Y237" s="618"/>
      <c r="Z237" s="7"/>
      <c r="AA237" s="7"/>
      <c r="AB237" s="7"/>
      <c r="AC237" s="7"/>
      <c r="AD237" s="7"/>
      <c r="AE237" s="7"/>
    </row>
    <row r="238" spans="1:31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4"/>
      <c r="G238" s="213"/>
      <c r="H238" s="213"/>
      <c r="I238" s="215"/>
      <c r="J238" s="215"/>
      <c r="K238" s="215"/>
      <c r="L238" s="214"/>
      <c r="M238" s="647"/>
      <c r="N238" s="213">
        <v>100</v>
      </c>
      <c r="O238" s="213"/>
      <c r="P238" s="215"/>
      <c r="Q238" s="215"/>
      <c r="R238" s="616">
        <f t="shared" si="1"/>
        <v>100</v>
      </c>
      <c r="S238" s="633"/>
      <c r="T238" s="648"/>
      <c r="U238" s="648"/>
      <c r="V238" s="7"/>
      <c r="W238" s="702"/>
      <c r="X238" s="7"/>
      <c r="Y238" s="618"/>
      <c r="Z238" s="7"/>
      <c r="AA238" s="7"/>
      <c r="AB238" s="7"/>
      <c r="AC238" s="7"/>
      <c r="AD238" s="7"/>
      <c r="AE238" s="7"/>
    </row>
    <row r="239" spans="1:31" ht="20.25" customHeight="1">
      <c r="A239" s="503"/>
      <c r="B239" s="483" t="s">
        <v>551</v>
      </c>
      <c r="C239" s="629" t="s">
        <v>524</v>
      </c>
      <c r="D239" s="504" t="s">
        <v>2323</v>
      </c>
      <c r="E239" s="213"/>
      <c r="F239" s="214"/>
      <c r="G239" s="213"/>
      <c r="H239" s="213"/>
      <c r="I239" s="215">
        <v>54</v>
      </c>
      <c r="J239" s="215"/>
      <c r="K239" s="215"/>
      <c r="L239" s="214">
        <v>1700</v>
      </c>
      <c r="M239" s="647"/>
      <c r="N239" s="213">
        <f>115+3+50+50+70+108+700</f>
        <v>1096</v>
      </c>
      <c r="O239" s="213"/>
      <c r="P239" s="215"/>
      <c r="Q239" s="215"/>
      <c r="R239" s="616">
        <f t="shared" si="1"/>
        <v>2850</v>
      </c>
      <c r="S239" s="633"/>
      <c r="T239" s="648"/>
      <c r="U239" s="648"/>
      <c r="V239" s="7"/>
      <c r="W239" s="702">
        <v>15485</v>
      </c>
      <c r="X239" s="7"/>
      <c r="Y239" s="618">
        <f t="shared" ref="Y239:Y240" si="15">W239-R239</f>
        <v>12635</v>
      </c>
      <c r="Z239" s="7"/>
      <c r="AA239" s="7"/>
      <c r="AB239" s="7"/>
      <c r="AC239" s="7"/>
      <c r="AD239" s="7"/>
      <c r="AE239" s="7"/>
    </row>
    <row r="240" spans="1:31" ht="20.25" customHeight="1">
      <c r="A240" s="503"/>
      <c r="B240" s="483" t="s">
        <v>553</v>
      </c>
      <c r="C240" s="629" t="s">
        <v>527</v>
      </c>
      <c r="D240" s="504" t="s">
        <v>2324</v>
      </c>
      <c r="E240" s="213"/>
      <c r="F240" s="214"/>
      <c r="G240" s="213"/>
      <c r="H240" s="213"/>
      <c r="I240" s="215"/>
      <c r="J240" s="215"/>
      <c r="K240" s="215"/>
      <c r="L240" s="214"/>
      <c r="M240" s="647"/>
      <c r="N240" s="213"/>
      <c r="O240" s="213"/>
      <c r="P240" s="215"/>
      <c r="Q240" s="215"/>
      <c r="R240" s="616">
        <f t="shared" si="1"/>
        <v>0</v>
      </c>
      <c r="S240" s="633"/>
      <c r="T240" s="648"/>
      <c r="U240" s="648"/>
      <c r="V240" s="7"/>
      <c r="W240" s="699"/>
      <c r="X240" s="7"/>
      <c r="Y240" s="618">
        <f t="shared" si="15"/>
        <v>0</v>
      </c>
      <c r="Z240" s="7"/>
      <c r="AA240" s="7"/>
      <c r="AB240" s="7"/>
      <c r="AC240" s="7"/>
      <c r="AD240" s="7"/>
      <c r="AE240" s="7"/>
    </row>
    <row r="241" spans="1:31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4">
        <v>2</v>
      </c>
      <c r="G241" s="213"/>
      <c r="H241" s="213"/>
      <c r="I241" s="215"/>
      <c r="J241" s="215"/>
      <c r="K241" s="215"/>
      <c r="L241" s="214"/>
      <c r="M241" s="647"/>
      <c r="N241" s="213"/>
      <c r="O241" s="213"/>
      <c r="P241" s="215"/>
      <c r="Q241" s="215"/>
      <c r="R241" s="616">
        <f t="shared" si="1"/>
        <v>2</v>
      </c>
      <c r="S241" s="633"/>
      <c r="T241" s="648"/>
      <c r="U241" s="648"/>
      <c r="V241" s="7"/>
      <c r="W241" s="702"/>
      <c r="X241" s="7"/>
      <c r="Y241" s="618"/>
      <c r="Z241" s="7"/>
      <c r="AA241" s="7"/>
      <c r="AB241" s="7"/>
      <c r="AC241" s="7"/>
      <c r="AD241" s="7"/>
      <c r="AE241" s="7"/>
    </row>
    <row r="242" spans="1:31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4"/>
      <c r="G242" s="213"/>
      <c r="H242" s="213"/>
      <c r="I242" s="215"/>
      <c r="J242" s="215"/>
      <c r="K242" s="215"/>
      <c r="L242" s="214"/>
      <c r="M242" s="647"/>
      <c r="N242" s="213"/>
      <c r="O242" s="213"/>
      <c r="P242" s="215"/>
      <c r="Q242" s="215"/>
      <c r="R242" s="616">
        <f t="shared" si="1"/>
        <v>0</v>
      </c>
      <c r="S242" s="633"/>
      <c r="T242" s="648"/>
      <c r="U242" s="648"/>
      <c r="V242" s="7"/>
      <c r="W242" s="702">
        <v>2</v>
      </c>
      <c r="X242" s="7"/>
      <c r="Y242" s="618">
        <f>W242-R242</f>
        <v>2</v>
      </c>
      <c r="Z242" s="7"/>
      <c r="AA242" s="7"/>
      <c r="AB242" s="7"/>
      <c r="AC242" s="7"/>
      <c r="AD242" s="7"/>
      <c r="AE242" s="7"/>
    </row>
    <row r="243" spans="1:31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4"/>
      <c r="G243" s="213"/>
      <c r="H243" s="213"/>
      <c r="I243" s="215">
        <v>1</v>
      </c>
      <c r="J243" s="215">
        <v>1</v>
      </c>
      <c r="K243" s="215"/>
      <c r="L243" s="214"/>
      <c r="M243" s="647"/>
      <c r="N243" s="213">
        <v>13</v>
      </c>
      <c r="O243" s="213"/>
      <c r="P243" s="215"/>
      <c r="Q243" s="215"/>
      <c r="R243" s="616">
        <f t="shared" si="1"/>
        <v>15</v>
      </c>
      <c r="S243" s="633"/>
      <c r="T243" s="648"/>
      <c r="U243" s="648"/>
      <c r="V243" s="7"/>
      <c r="W243" s="699"/>
      <c r="X243" s="7"/>
      <c r="Y243" s="618"/>
      <c r="Z243" s="7"/>
      <c r="AA243" s="7"/>
      <c r="AB243" s="7"/>
      <c r="AC243" s="7"/>
      <c r="AD243" s="7"/>
      <c r="AE243" s="7"/>
    </row>
    <row r="244" spans="1:31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4"/>
      <c r="G244" s="213"/>
      <c r="H244" s="213"/>
      <c r="I244" s="215"/>
      <c r="J244" s="215"/>
      <c r="K244" s="215"/>
      <c r="L244" s="214"/>
      <c r="M244" s="662"/>
      <c r="N244" s="213"/>
      <c r="O244" s="213"/>
      <c r="P244" s="215"/>
      <c r="Q244" s="215"/>
      <c r="R244" s="616">
        <f t="shared" si="1"/>
        <v>0</v>
      </c>
      <c r="S244" s="633"/>
      <c r="T244" s="648"/>
      <c r="U244" s="648"/>
      <c r="V244" s="7"/>
      <c r="W244" s="699"/>
      <c r="X244" s="7"/>
      <c r="Y244" s="618">
        <f t="shared" ref="Y244:Y250" si="16">W244-R244</f>
        <v>0</v>
      </c>
      <c r="Z244" s="7"/>
      <c r="AA244" s="7"/>
      <c r="AB244" s="7"/>
      <c r="AC244" s="7"/>
      <c r="AD244" s="7"/>
      <c r="AE244" s="7"/>
    </row>
    <row r="245" spans="1:31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4"/>
      <c r="G245" s="213"/>
      <c r="H245" s="213"/>
      <c r="I245" s="215"/>
      <c r="J245" s="215"/>
      <c r="K245" s="215"/>
      <c r="L245" s="214"/>
      <c r="M245" s="647"/>
      <c r="N245" s="213"/>
      <c r="O245" s="213"/>
      <c r="P245" s="215"/>
      <c r="Q245" s="215"/>
      <c r="R245" s="616">
        <f t="shared" si="1"/>
        <v>0</v>
      </c>
      <c r="S245" s="633"/>
      <c r="T245" s="648"/>
      <c r="U245" s="648"/>
      <c r="V245" s="7"/>
      <c r="W245" s="699">
        <v>5</v>
      </c>
      <c r="X245" s="7"/>
      <c r="Y245" s="618">
        <f t="shared" si="16"/>
        <v>5</v>
      </c>
      <c r="Z245" s="7"/>
      <c r="AA245" s="7"/>
      <c r="AB245" s="7"/>
      <c r="AC245" s="7"/>
      <c r="AD245" s="7"/>
      <c r="AE245" s="7"/>
    </row>
    <row r="246" spans="1:31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4"/>
      <c r="G246" s="213"/>
      <c r="H246" s="213"/>
      <c r="I246" s="215"/>
      <c r="J246" s="215"/>
      <c r="K246" s="215"/>
      <c r="L246" s="214"/>
      <c r="M246" s="620"/>
      <c r="N246" s="213"/>
      <c r="O246" s="213"/>
      <c r="P246" s="215"/>
      <c r="Q246" s="215"/>
      <c r="R246" s="616">
        <f t="shared" si="1"/>
        <v>0</v>
      </c>
      <c r="S246" s="633"/>
      <c r="T246" s="636"/>
      <c r="U246" s="636"/>
      <c r="V246" s="7"/>
      <c r="W246" s="699"/>
      <c r="X246" s="7"/>
      <c r="Y246" s="618">
        <f t="shared" si="16"/>
        <v>0</v>
      </c>
      <c r="Z246" s="7"/>
      <c r="AA246" s="7"/>
      <c r="AB246" s="7"/>
      <c r="AC246" s="7"/>
      <c r="AD246" s="7"/>
      <c r="AE246" s="7"/>
    </row>
    <row r="247" spans="1:31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4"/>
      <c r="G247" s="213"/>
      <c r="H247" s="213"/>
      <c r="I247" s="215"/>
      <c r="J247" s="215"/>
      <c r="K247" s="215"/>
      <c r="L247" s="214"/>
      <c r="M247" s="620"/>
      <c r="N247" s="213"/>
      <c r="O247" s="213"/>
      <c r="P247" s="215"/>
      <c r="Q247" s="215"/>
      <c r="R247" s="616">
        <f t="shared" si="1"/>
        <v>0</v>
      </c>
      <c r="S247" s="633"/>
      <c r="T247" s="636"/>
      <c r="U247" s="636"/>
      <c r="V247" s="7"/>
      <c r="W247" s="699"/>
      <c r="X247" s="7"/>
      <c r="Y247" s="618">
        <f t="shared" si="16"/>
        <v>0</v>
      </c>
      <c r="Z247" s="7"/>
      <c r="AA247" s="7"/>
      <c r="AB247" s="7"/>
      <c r="AC247" s="7"/>
      <c r="AD247" s="7"/>
      <c r="AE247" s="7"/>
    </row>
    <row r="248" spans="1:31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4"/>
      <c r="G248" s="213"/>
      <c r="H248" s="213"/>
      <c r="I248" s="215"/>
      <c r="J248" s="215"/>
      <c r="K248" s="215"/>
      <c r="L248" s="214"/>
      <c r="M248" s="620"/>
      <c r="N248" s="213"/>
      <c r="O248" s="213"/>
      <c r="P248" s="215"/>
      <c r="Q248" s="215"/>
      <c r="R248" s="616">
        <f t="shared" si="1"/>
        <v>0</v>
      </c>
      <c r="S248" s="633"/>
      <c r="T248" s="636"/>
      <c r="U248" s="636"/>
      <c r="V248" s="7"/>
      <c r="W248" s="699"/>
      <c r="X248" s="7"/>
      <c r="Y248" s="618">
        <f t="shared" si="16"/>
        <v>0</v>
      </c>
      <c r="Z248" s="7"/>
      <c r="AA248" s="7"/>
      <c r="AB248" s="7"/>
      <c r="AC248" s="7"/>
      <c r="AD248" s="7"/>
      <c r="AE248" s="7"/>
    </row>
    <row r="249" spans="1:31" ht="20.25" customHeight="1">
      <c r="A249" s="503" t="s">
        <v>1020</v>
      </c>
      <c r="B249" s="483" t="s">
        <v>566</v>
      </c>
      <c r="C249" s="629" t="s">
        <v>567</v>
      </c>
      <c r="D249" s="485" t="s">
        <v>2325</v>
      </c>
      <c r="E249" s="213"/>
      <c r="F249" s="214"/>
      <c r="G249" s="213"/>
      <c r="H249" s="213"/>
      <c r="I249" s="215"/>
      <c r="J249" s="215"/>
      <c r="K249" s="215"/>
      <c r="L249" s="214"/>
      <c r="M249" s="620"/>
      <c r="N249" s="213"/>
      <c r="O249" s="213"/>
      <c r="P249" s="215"/>
      <c r="Q249" s="215"/>
      <c r="R249" s="616">
        <f t="shared" si="1"/>
        <v>0</v>
      </c>
      <c r="S249" s="633"/>
      <c r="T249" s="636"/>
      <c r="U249" s="636"/>
      <c r="V249" s="7"/>
      <c r="W249" s="699"/>
      <c r="X249" s="7"/>
      <c r="Y249" s="618">
        <f t="shared" si="16"/>
        <v>0</v>
      </c>
      <c r="Z249" s="7"/>
      <c r="AA249" s="7"/>
      <c r="AB249" s="7"/>
      <c r="AC249" s="7"/>
      <c r="AD249" s="7"/>
      <c r="AE249" s="7"/>
    </row>
    <row r="250" spans="1:31" ht="20.25" customHeight="1">
      <c r="A250" s="503" t="s">
        <v>1022</v>
      </c>
      <c r="B250" s="483" t="s">
        <v>569</v>
      </c>
      <c r="C250" s="629" t="s">
        <v>570</v>
      </c>
      <c r="D250" s="485" t="s">
        <v>2326</v>
      </c>
      <c r="E250" s="213"/>
      <c r="F250" s="214"/>
      <c r="G250" s="213"/>
      <c r="H250" s="213"/>
      <c r="I250" s="215"/>
      <c r="J250" s="215"/>
      <c r="K250" s="215"/>
      <c r="L250" s="214"/>
      <c r="M250" s="620"/>
      <c r="N250" s="213"/>
      <c r="O250" s="213"/>
      <c r="P250" s="215"/>
      <c r="Q250" s="215"/>
      <c r="R250" s="616">
        <f t="shared" si="1"/>
        <v>0</v>
      </c>
      <c r="S250" s="633"/>
      <c r="T250" s="636"/>
      <c r="U250" s="636"/>
      <c r="V250" s="7"/>
      <c r="W250" s="699"/>
      <c r="X250" s="7"/>
      <c r="Y250" s="618">
        <f t="shared" si="16"/>
        <v>0</v>
      </c>
      <c r="Z250" s="7"/>
      <c r="AA250" s="7"/>
      <c r="AB250" s="7"/>
      <c r="AC250" s="7"/>
      <c r="AD250" s="7"/>
      <c r="AE250" s="7"/>
    </row>
    <row r="251" spans="1:31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4"/>
      <c r="G251" s="213"/>
      <c r="H251" s="213">
        <v>1</v>
      </c>
      <c r="I251" s="215"/>
      <c r="J251" s="215"/>
      <c r="K251" s="215"/>
      <c r="L251" s="214"/>
      <c r="M251" s="647"/>
      <c r="N251" s="213"/>
      <c r="O251" s="213"/>
      <c r="P251" s="215"/>
      <c r="Q251" s="215"/>
      <c r="R251" s="616">
        <f t="shared" si="1"/>
        <v>1</v>
      </c>
      <c r="S251" s="633"/>
      <c r="T251" s="636"/>
      <c r="U251" s="636"/>
      <c r="V251" s="7"/>
      <c r="W251" s="699"/>
      <c r="X251" s="7"/>
      <c r="Y251" s="618"/>
      <c r="Z251" s="7"/>
      <c r="AA251" s="7"/>
      <c r="AB251" s="7"/>
      <c r="AC251" s="7"/>
      <c r="AD251" s="7"/>
      <c r="AE251" s="7"/>
    </row>
    <row r="252" spans="1:31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4"/>
      <c r="G252" s="213"/>
      <c r="H252" s="213"/>
      <c r="I252" s="215"/>
      <c r="J252" s="215"/>
      <c r="K252" s="215"/>
      <c r="L252" s="214"/>
      <c r="M252" s="647"/>
      <c r="N252" s="213"/>
      <c r="O252" s="213"/>
      <c r="P252" s="215"/>
      <c r="Q252" s="215"/>
      <c r="R252" s="616">
        <f t="shared" si="1"/>
        <v>0</v>
      </c>
      <c r="S252" s="633"/>
      <c r="T252" s="636"/>
      <c r="U252" s="636"/>
      <c r="V252" s="7"/>
      <c r="W252" s="699"/>
      <c r="X252" s="7"/>
      <c r="Y252" s="618">
        <f t="shared" ref="Y252:Y283" si="17">W252-R252</f>
        <v>0</v>
      </c>
      <c r="Z252" s="7"/>
      <c r="AA252" s="7"/>
      <c r="AB252" s="7"/>
      <c r="AC252" s="7"/>
      <c r="AD252" s="7"/>
      <c r="AE252" s="7"/>
    </row>
    <row r="253" spans="1:31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4"/>
      <c r="G253" s="213"/>
      <c r="H253" s="213"/>
      <c r="I253" s="215"/>
      <c r="J253" s="215"/>
      <c r="K253" s="215"/>
      <c r="L253" s="214"/>
      <c r="M253" s="662"/>
      <c r="N253" s="213"/>
      <c r="O253" s="213"/>
      <c r="P253" s="215"/>
      <c r="Q253" s="215"/>
      <c r="R253" s="616">
        <f t="shared" si="1"/>
        <v>0</v>
      </c>
      <c r="S253" s="633"/>
      <c r="T253" s="636"/>
      <c r="U253" s="636"/>
      <c r="V253" s="7"/>
      <c r="W253" s="699"/>
      <c r="X253" s="7"/>
      <c r="Y253" s="618">
        <f t="shared" si="17"/>
        <v>0</v>
      </c>
      <c r="Z253" s="7"/>
      <c r="AA253" s="7"/>
      <c r="AB253" s="7"/>
      <c r="AC253" s="7"/>
      <c r="AD253" s="7"/>
      <c r="AE253" s="7"/>
    </row>
    <row r="254" spans="1:31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4"/>
      <c r="G254" s="213"/>
      <c r="H254" s="213"/>
      <c r="I254" s="215"/>
      <c r="J254" s="215"/>
      <c r="K254" s="215"/>
      <c r="L254" s="214"/>
      <c r="M254" s="620"/>
      <c r="N254" s="213"/>
      <c r="O254" s="213"/>
      <c r="P254" s="215"/>
      <c r="Q254" s="215"/>
      <c r="R254" s="616">
        <f t="shared" si="1"/>
        <v>0</v>
      </c>
      <c r="S254" s="633"/>
      <c r="T254" s="636"/>
      <c r="U254" s="636"/>
      <c r="V254" s="7"/>
      <c r="W254" s="699"/>
      <c r="X254" s="7"/>
      <c r="Y254" s="618">
        <f t="shared" si="17"/>
        <v>0</v>
      </c>
      <c r="Z254" s="7"/>
      <c r="AA254" s="7"/>
      <c r="AB254" s="7"/>
      <c r="AC254" s="7"/>
      <c r="AD254" s="7"/>
      <c r="AE254" s="7"/>
    </row>
    <row r="255" spans="1:31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4"/>
      <c r="G255" s="213"/>
      <c r="H255" s="213"/>
      <c r="I255" s="215"/>
      <c r="J255" s="215"/>
      <c r="K255" s="215"/>
      <c r="L255" s="214"/>
      <c r="M255" s="647"/>
      <c r="N255" s="213"/>
      <c r="O255" s="213"/>
      <c r="P255" s="215"/>
      <c r="Q255" s="215"/>
      <c r="R255" s="616">
        <f t="shared" si="1"/>
        <v>0</v>
      </c>
      <c r="S255" s="633"/>
      <c r="T255" s="636"/>
      <c r="U255" s="636"/>
      <c r="V255" s="7"/>
      <c r="W255" s="699"/>
      <c r="X255" s="7"/>
      <c r="Y255" s="618">
        <f t="shared" si="17"/>
        <v>0</v>
      </c>
      <c r="Z255" s="7"/>
      <c r="AA255" s="7"/>
      <c r="AB255" s="7"/>
      <c r="AC255" s="7"/>
      <c r="AD255" s="7"/>
      <c r="AE255" s="7"/>
    </row>
    <row r="256" spans="1:31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4"/>
      <c r="G256" s="213"/>
      <c r="H256" s="213"/>
      <c r="I256" s="215"/>
      <c r="J256" s="215"/>
      <c r="K256" s="215"/>
      <c r="L256" s="214"/>
      <c r="M256" s="647"/>
      <c r="N256" s="213"/>
      <c r="O256" s="213"/>
      <c r="P256" s="215"/>
      <c r="Q256" s="215"/>
      <c r="R256" s="616">
        <f t="shared" si="1"/>
        <v>0</v>
      </c>
      <c r="S256" s="633"/>
      <c r="T256" s="636"/>
      <c r="U256" s="636"/>
      <c r="V256" s="7"/>
      <c r="W256" s="699"/>
      <c r="X256" s="7"/>
      <c r="Y256" s="618">
        <f t="shared" si="17"/>
        <v>0</v>
      </c>
      <c r="Z256" s="7"/>
      <c r="AA256" s="7"/>
      <c r="AB256" s="7"/>
      <c r="AC256" s="7"/>
      <c r="AD256" s="7"/>
      <c r="AE256" s="7"/>
    </row>
    <row r="257" spans="1:31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4"/>
      <c r="G257" s="213"/>
      <c r="H257" s="213"/>
      <c r="I257" s="215"/>
      <c r="J257" s="215"/>
      <c r="K257" s="215"/>
      <c r="L257" s="214"/>
      <c r="M257" s="647"/>
      <c r="N257" s="213"/>
      <c r="O257" s="213"/>
      <c r="P257" s="215"/>
      <c r="Q257" s="215"/>
      <c r="R257" s="616">
        <f t="shared" si="1"/>
        <v>0</v>
      </c>
      <c r="S257" s="633"/>
      <c r="T257" s="648"/>
      <c r="U257" s="648"/>
      <c r="V257" s="7"/>
      <c r="W257" s="699"/>
      <c r="X257" s="7"/>
      <c r="Y257" s="618">
        <f t="shared" si="17"/>
        <v>0</v>
      </c>
      <c r="Z257" s="7"/>
      <c r="AA257" s="7"/>
      <c r="AB257" s="7"/>
      <c r="AC257" s="7"/>
      <c r="AD257" s="7"/>
      <c r="AE257" s="7"/>
    </row>
    <row r="258" spans="1:31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4"/>
      <c r="G258" s="213"/>
      <c r="H258" s="213"/>
      <c r="I258" s="215"/>
      <c r="J258" s="215"/>
      <c r="K258" s="215"/>
      <c r="L258" s="214"/>
      <c r="M258" s="647"/>
      <c r="N258" s="213"/>
      <c r="O258" s="213"/>
      <c r="P258" s="215"/>
      <c r="Q258" s="215"/>
      <c r="R258" s="616">
        <f t="shared" si="1"/>
        <v>0</v>
      </c>
      <c r="S258" s="633"/>
      <c r="T258" s="648"/>
      <c r="U258" s="648"/>
      <c r="V258" s="7"/>
      <c r="W258" s="699"/>
      <c r="X258" s="7"/>
      <c r="Y258" s="618">
        <f t="shared" si="17"/>
        <v>0</v>
      </c>
      <c r="Z258" s="7"/>
      <c r="AA258" s="7"/>
      <c r="AB258" s="7"/>
      <c r="AC258" s="7"/>
      <c r="AD258" s="7"/>
      <c r="AE258" s="7"/>
    </row>
    <row r="259" spans="1:31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4"/>
      <c r="G259" s="213"/>
      <c r="H259" s="213"/>
      <c r="I259" s="215"/>
      <c r="J259" s="215"/>
      <c r="K259" s="215"/>
      <c r="L259" s="214"/>
      <c r="M259" s="662"/>
      <c r="N259" s="213"/>
      <c r="O259" s="213"/>
      <c r="P259" s="215"/>
      <c r="Q259" s="215"/>
      <c r="R259" s="616">
        <f t="shared" si="1"/>
        <v>0</v>
      </c>
      <c r="S259" s="633"/>
      <c r="T259" s="648"/>
      <c r="U259" s="648"/>
      <c r="V259" s="7"/>
      <c r="W259" s="699"/>
      <c r="X259" s="7"/>
      <c r="Y259" s="618">
        <f t="shared" si="17"/>
        <v>0</v>
      </c>
      <c r="Z259" s="7"/>
      <c r="AA259" s="7"/>
      <c r="AB259" s="7"/>
      <c r="AC259" s="7"/>
      <c r="AD259" s="7"/>
      <c r="AE259" s="7"/>
    </row>
    <row r="260" spans="1:31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4"/>
      <c r="G260" s="213"/>
      <c r="H260" s="213"/>
      <c r="I260" s="215"/>
      <c r="J260" s="215"/>
      <c r="K260" s="215"/>
      <c r="L260" s="214"/>
      <c r="M260" s="647"/>
      <c r="N260" s="213"/>
      <c r="O260" s="213"/>
      <c r="P260" s="215"/>
      <c r="Q260" s="215"/>
      <c r="R260" s="616">
        <f t="shared" si="1"/>
        <v>0</v>
      </c>
      <c r="S260" s="633"/>
      <c r="T260" s="648"/>
      <c r="U260" s="648"/>
      <c r="V260" s="7"/>
      <c r="W260" s="699"/>
      <c r="X260" s="7"/>
      <c r="Y260" s="618">
        <f t="shared" si="17"/>
        <v>0</v>
      </c>
      <c r="Z260" s="7"/>
      <c r="AA260" s="7"/>
      <c r="AB260" s="7"/>
      <c r="AC260" s="7"/>
      <c r="AD260" s="7"/>
      <c r="AE260" s="7"/>
    </row>
    <row r="261" spans="1:31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4"/>
      <c r="G261" s="213"/>
      <c r="H261" s="213"/>
      <c r="I261" s="215"/>
      <c r="J261" s="215"/>
      <c r="K261" s="215"/>
      <c r="L261" s="214"/>
      <c r="M261" s="647"/>
      <c r="N261" s="213"/>
      <c r="O261" s="213"/>
      <c r="P261" s="215"/>
      <c r="Q261" s="215"/>
      <c r="R261" s="616">
        <f t="shared" si="1"/>
        <v>0</v>
      </c>
      <c r="S261" s="633"/>
      <c r="T261" s="648"/>
      <c r="U261" s="648"/>
      <c r="V261" s="7"/>
      <c r="W261" s="699"/>
      <c r="X261" s="7"/>
      <c r="Y261" s="618">
        <f t="shared" si="17"/>
        <v>0</v>
      </c>
      <c r="Z261" s="7"/>
      <c r="AA261" s="7"/>
      <c r="AB261" s="7"/>
      <c r="AC261" s="7"/>
      <c r="AD261" s="7"/>
      <c r="AE261" s="7"/>
    </row>
    <row r="262" spans="1:31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4"/>
      <c r="G262" s="213"/>
      <c r="H262" s="213"/>
      <c r="I262" s="215"/>
      <c r="J262" s="215"/>
      <c r="K262" s="215"/>
      <c r="L262" s="214"/>
      <c r="M262" s="647"/>
      <c r="N262" s="213"/>
      <c r="O262" s="213"/>
      <c r="P262" s="215"/>
      <c r="Q262" s="215"/>
      <c r="R262" s="616">
        <f t="shared" si="1"/>
        <v>0</v>
      </c>
      <c r="S262" s="633"/>
      <c r="T262" s="648"/>
      <c r="U262" s="648"/>
      <c r="V262" s="7"/>
      <c r="W262" s="699"/>
      <c r="X262" s="7"/>
      <c r="Y262" s="618">
        <f t="shared" si="17"/>
        <v>0</v>
      </c>
      <c r="Z262" s="7"/>
      <c r="AA262" s="7"/>
      <c r="AB262" s="7"/>
      <c r="AC262" s="7"/>
      <c r="AD262" s="7"/>
      <c r="AE262" s="7"/>
    </row>
    <row r="263" spans="1:31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4"/>
      <c r="G263" s="213"/>
      <c r="H263" s="213"/>
      <c r="I263" s="215"/>
      <c r="J263" s="215"/>
      <c r="K263" s="215"/>
      <c r="L263" s="214"/>
      <c r="M263" s="647"/>
      <c r="N263" s="213"/>
      <c r="O263" s="213"/>
      <c r="P263" s="215"/>
      <c r="Q263" s="215"/>
      <c r="R263" s="616">
        <f t="shared" si="1"/>
        <v>0</v>
      </c>
      <c r="S263" s="633"/>
      <c r="T263" s="636"/>
      <c r="U263" s="636"/>
      <c r="V263" s="7"/>
      <c r="W263" s="699"/>
      <c r="X263" s="7"/>
      <c r="Y263" s="618">
        <f t="shared" si="17"/>
        <v>0</v>
      </c>
      <c r="Z263" s="7"/>
      <c r="AA263" s="7"/>
      <c r="AB263" s="7"/>
      <c r="AC263" s="7"/>
      <c r="AD263" s="7"/>
      <c r="AE263" s="7"/>
    </row>
    <row r="264" spans="1:31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4"/>
      <c r="G264" s="213"/>
      <c r="H264" s="213"/>
      <c r="I264" s="215"/>
      <c r="J264" s="215"/>
      <c r="K264" s="215"/>
      <c r="L264" s="214"/>
      <c r="M264" s="647"/>
      <c r="N264" s="213"/>
      <c r="O264" s="213"/>
      <c r="P264" s="215"/>
      <c r="Q264" s="215"/>
      <c r="R264" s="616">
        <f t="shared" si="1"/>
        <v>0</v>
      </c>
      <c r="S264" s="633"/>
      <c r="T264" s="648"/>
      <c r="U264" s="648"/>
      <c r="V264" s="7"/>
      <c r="W264" s="699"/>
      <c r="X264" s="7"/>
      <c r="Y264" s="618">
        <f t="shared" si="17"/>
        <v>0</v>
      </c>
      <c r="Z264" s="7"/>
      <c r="AA264" s="7"/>
      <c r="AB264" s="7"/>
      <c r="AC264" s="7"/>
      <c r="AD264" s="7"/>
      <c r="AE264" s="7"/>
    </row>
    <row r="265" spans="1:31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4"/>
      <c r="G265" s="213"/>
      <c r="H265" s="213"/>
      <c r="I265" s="215"/>
      <c r="J265" s="215"/>
      <c r="K265" s="215"/>
      <c r="L265" s="214"/>
      <c r="M265" s="662"/>
      <c r="N265" s="213"/>
      <c r="O265" s="213"/>
      <c r="P265" s="215"/>
      <c r="Q265" s="215"/>
      <c r="R265" s="616">
        <f t="shared" si="1"/>
        <v>0</v>
      </c>
      <c r="S265" s="633"/>
      <c r="T265" s="648"/>
      <c r="U265" s="648"/>
      <c r="V265" s="7"/>
      <c r="W265" s="699"/>
      <c r="X265" s="7"/>
      <c r="Y265" s="618">
        <f t="shared" si="17"/>
        <v>0</v>
      </c>
      <c r="Z265" s="7"/>
      <c r="AA265" s="7"/>
      <c r="AB265" s="7"/>
      <c r="AC265" s="7"/>
      <c r="AD265" s="7"/>
      <c r="AE265" s="7"/>
    </row>
    <row r="266" spans="1:31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4"/>
      <c r="G266" s="213"/>
      <c r="H266" s="213"/>
      <c r="I266" s="215"/>
      <c r="J266" s="215"/>
      <c r="K266" s="215"/>
      <c r="L266" s="214"/>
      <c r="M266" s="647"/>
      <c r="N266" s="213"/>
      <c r="O266" s="213"/>
      <c r="P266" s="215"/>
      <c r="Q266" s="215"/>
      <c r="R266" s="616">
        <f t="shared" si="1"/>
        <v>0</v>
      </c>
      <c r="S266" s="633"/>
      <c r="T266" s="648"/>
      <c r="U266" s="648"/>
      <c r="V266" s="7"/>
      <c r="W266" s="699"/>
      <c r="X266" s="7"/>
      <c r="Y266" s="618">
        <f t="shared" si="17"/>
        <v>0</v>
      </c>
      <c r="Z266" s="7"/>
      <c r="AA266" s="7"/>
      <c r="AB266" s="7"/>
      <c r="AC266" s="7"/>
      <c r="AD266" s="7"/>
      <c r="AE266" s="7"/>
    </row>
    <row r="267" spans="1:31" ht="20.25" customHeight="1">
      <c r="A267" s="503" t="s">
        <v>605</v>
      </c>
      <c r="B267" s="483" t="s">
        <v>606</v>
      </c>
      <c r="C267" s="629" t="s">
        <v>593</v>
      </c>
      <c r="D267" s="485" t="s">
        <v>2327</v>
      </c>
      <c r="E267" s="213"/>
      <c r="F267" s="214"/>
      <c r="G267" s="213"/>
      <c r="H267" s="213"/>
      <c r="I267" s="215"/>
      <c r="J267" s="215"/>
      <c r="K267" s="215"/>
      <c r="L267" s="214"/>
      <c r="M267" s="620"/>
      <c r="N267" s="213"/>
      <c r="O267" s="213"/>
      <c r="P267" s="215"/>
      <c r="Q267" s="215"/>
      <c r="R267" s="616">
        <f t="shared" si="1"/>
        <v>0</v>
      </c>
      <c r="S267" s="633"/>
      <c r="T267" s="648"/>
      <c r="U267" s="648"/>
      <c r="V267" s="7"/>
      <c r="W267" s="699"/>
      <c r="X267" s="7"/>
      <c r="Y267" s="618">
        <f t="shared" si="17"/>
        <v>0</v>
      </c>
      <c r="Z267" s="7"/>
      <c r="AA267" s="7"/>
      <c r="AB267" s="7"/>
      <c r="AC267" s="7"/>
      <c r="AD267" s="7"/>
      <c r="AE267" s="7"/>
    </row>
    <row r="268" spans="1:31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4"/>
      <c r="G268" s="213"/>
      <c r="H268" s="213"/>
      <c r="I268" s="215"/>
      <c r="J268" s="215"/>
      <c r="K268" s="215"/>
      <c r="L268" s="214"/>
      <c r="M268" s="647"/>
      <c r="N268" s="213"/>
      <c r="O268" s="213"/>
      <c r="P268" s="215"/>
      <c r="Q268" s="215"/>
      <c r="R268" s="616">
        <f t="shared" si="1"/>
        <v>0</v>
      </c>
      <c r="S268" s="633"/>
      <c r="T268" s="648"/>
      <c r="U268" s="648"/>
      <c r="V268" s="7"/>
      <c r="W268" s="699"/>
      <c r="X268" s="7"/>
      <c r="Y268" s="618">
        <f t="shared" si="17"/>
        <v>0</v>
      </c>
      <c r="Z268" s="7"/>
      <c r="AA268" s="7"/>
      <c r="AB268" s="7"/>
      <c r="AC268" s="7"/>
      <c r="AD268" s="7"/>
      <c r="AE268" s="7"/>
    </row>
    <row r="269" spans="1:31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4"/>
      <c r="G269" s="213"/>
      <c r="H269" s="213"/>
      <c r="I269" s="215"/>
      <c r="J269" s="215"/>
      <c r="K269" s="215"/>
      <c r="L269" s="214"/>
      <c r="M269" s="647"/>
      <c r="N269" s="213"/>
      <c r="O269" s="213"/>
      <c r="P269" s="215"/>
      <c r="Q269" s="215"/>
      <c r="R269" s="616">
        <f t="shared" si="1"/>
        <v>0</v>
      </c>
      <c r="S269" s="633"/>
      <c r="T269" s="636"/>
      <c r="U269" s="636"/>
      <c r="V269" s="7"/>
      <c r="W269" s="699"/>
      <c r="X269" s="7"/>
      <c r="Y269" s="618">
        <f t="shared" si="17"/>
        <v>0</v>
      </c>
      <c r="Z269" s="7"/>
      <c r="AA269" s="7"/>
      <c r="AB269" s="7"/>
      <c r="AC269" s="7"/>
      <c r="AD269" s="7"/>
      <c r="AE269" s="7"/>
    </row>
    <row r="270" spans="1:31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4"/>
      <c r="G270" s="213"/>
      <c r="H270" s="213"/>
      <c r="I270" s="215"/>
      <c r="J270" s="215"/>
      <c r="K270" s="215"/>
      <c r="L270" s="214"/>
      <c r="M270" s="647"/>
      <c r="N270" s="213"/>
      <c r="O270" s="213"/>
      <c r="P270" s="215"/>
      <c r="Q270" s="215"/>
      <c r="R270" s="616">
        <f t="shared" si="1"/>
        <v>0</v>
      </c>
      <c r="S270" s="633"/>
      <c r="T270" s="648"/>
      <c r="U270" s="648"/>
      <c r="V270" s="7"/>
      <c r="W270" s="699"/>
      <c r="X270" s="7"/>
      <c r="Y270" s="618">
        <f t="shared" si="17"/>
        <v>0</v>
      </c>
      <c r="Z270" s="7"/>
      <c r="AA270" s="7"/>
      <c r="AB270" s="7"/>
      <c r="AC270" s="7"/>
      <c r="AD270" s="7"/>
      <c r="AE270" s="7"/>
    </row>
    <row r="271" spans="1:31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4"/>
      <c r="G271" s="213"/>
      <c r="H271" s="213"/>
      <c r="I271" s="215"/>
      <c r="J271" s="215"/>
      <c r="K271" s="215"/>
      <c r="L271" s="214"/>
      <c r="M271" s="647"/>
      <c r="N271" s="213"/>
      <c r="O271" s="213"/>
      <c r="P271" s="215"/>
      <c r="Q271" s="215"/>
      <c r="R271" s="616">
        <f t="shared" si="1"/>
        <v>0</v>
      </c>
      <c r="S271" s="633"/>
      <c r="T271" s="648"/>
      <c r="U271" s="648"/>
      <c r="V271" s="7"/>
      <c r="W271" s="699"/>
      <c r="X271" s="7"/>
      <c r="Y271" s="618">
        <f t="shared" si="17"/>
        <v>0</v>
      </c>
      <c r="Z271" s="7"/>
      <c r="AA271" s="7"/>
      <c r="AB271" s="7"/>
      <c r="AC271" s="7"/>
      <c r="AD271" s="7"/>
      <c r="AE271" s="7"/>
    </row>
    <row r="272" spans="1:31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4"/>
      <c r="G272" s="213"/>
      <c r="H272" s="213"/>
      <c r="I272" s="215"/>
      <c r="J272" s="215"/>
      <c r="K272" s="215"/>
      <c r="L272" s="214"/>
      <c r="M272" s="662"/>
      <c r="N272" s="213"/>
      <c r="O272" s="213"/>
      <c r="P272" s="215"/>
      <c r="Q272" s="215"/>
      <c r="R272" s="616">
        <f t="shared" si="1"/>
        <v>0</v>
      </c>
      <c r="S272" s="633"/>
      <c r="T272" s="648"/>
      <c r="U272" s="648"/>
      <c r="V272" s="7"/>
      <c r="W272" s="699"/>
      <c r="X272" s="7"/>
      <c r="Y272" s="618">
        <f t="shared" si="17"/>
        <v>0</v>
      </c>
      <c r="Z272" s="7"/>
      <c r="AA272" s="7"/>
      <c r="AB272" s="7"/>
      <c r="AC272" s="7"/>
      <c r="AD272" s="7"/>
      <c r="AE272" s="7"/>
    </row>
    <row r="273" spans="1:31" ht="20.25" customHeight="1">
      <c r="A273" s="503" t="s">
        <v>620</v>
      </c>
      <c r="B273" s="483" t="s">
        <v>621</v>
      </c>
      <c r="C273" s="629" t="s">
        <v>622</v>
      </c>
      <c r="D273" s="485" t="s">
        <v>2328</v>
      </c>
      <c r="E273" s="213"/>
      <c r="F273" s="214"/>
      <c r="G273" s="213"/>
      <c r="H273" s="213"/>
      <c r="I273" s="215"/>
      <c r="J273" s="215"/>
      <c r="K273" s="215"/>
      <c r="L273" s="214"/>
      <c r="M273" s="620"/>
      <c r="N273" s="213"/>
      <c r="O273" s="213"/>
      <c r="P273" s="215"/>
      <c r="Q273" s="215"/>
      <c r="R273" s="616">
        <f t="shared" si="1"/>
        <v>0</v>
      </c>
      <c r="S273" s="633"/>
      <c r="T273" s="648"/>
      <c r="U273" s="648"/>
      <c r="V273" s="7"/>
      <c r="W273" s="699"/>
      <c r="X273" s="7"/>
      <c r="Y273" s="618">
        <f t="shared" si="17"/>
        <v>0</v>
      </c>
      <c r="Z273" s="7"/>
      <c r="AA273" s="7"/>
      <c r="AB273" s="7"/>
      <c r="AC273" s="7"/>
      <c r="AD273" s="7"/>
      <c r="AE273" s="7"/>
    </row>
    <row r="274" spans="1:31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4"/>
      <c r="G274" s="213"/>
      <c r="H274" s="213"/>
      <c r="I274" s="215"/>
      <c r="J274" s="215"/>
      <c r="K274" s="215"/>
      <c r="L274" s="214"/>
      <c r="M274" s="647"/>
      <c r="N274" s="213"/>
      <c r="O274" s="213"/>
      <c r="P274" s="215"/>
      <c r="Q274" s="215"/>
      <c r="R274" s="616">
        <f t="shared" si="1"/>
        <v>0</v>
      </c>
      <c r="S274" s="633"/>
      <c r="T274" s="648"/>
      <c r="U274" s="648"/>
      <c r="V274" s="7"/>
      <c r="W274" s="699"/>
      <c r="X274" s="7"/>
      <c r="Y274" s="618">
        <f t="shared" si="17"/>
        <v>0</v>
      </c>
      <c r="Z274" s="7"/>
      <c r="AA274" s="7"/>
      <c r="AB274" s="7"/>
      <c r="AC274" s="7"/>
      <c r="AD274" s="7"/>
      <c r="AE274" s="7"/>
    </row>
    <row r="275" spans="1:31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4"/>
      <c r="G275" s="213"/>
      <c r="H275" s="213"/>
      <c r="I275" s="215"/>
      <c r="J275" s="215"/>
      <c r="K275" s="215"/>
      <c r="L275" s="214"/>
      <c r="M275" s="620"/>
      <c r="N275" s="213"/>
      <c r="O275" s="213"/>
      <c r="P275" s="215"/>
      <c r="Q275" s="215"/>
      <c r="R275" s="616">
        <f t="shared" ref="R275:R447" si="18">+SUM(E275:Q275)</f>
        <v>0</v>
      </c>
      <c r="S275" s="633"/>
      <c r="T275" s="636"/>
      <c r="U275" s="636"/>
      <c r="V275" s="7"/>
      <c r="W275" s="699"/>
      <c r="X275" s="7"/>
      <c r="Y275" s="618">
        <f t="shared" si="17"/>
        <v>0</v>
      </c>
      <c r="Z275" s="7"/>
      <c r="AA275" s="7"/>
      <c r="AB275" s="7"/>
      <c r="AC275" s="7"/>
      <c r="AD275" s="7"/>
      <c r="AE275" s="7"/>
    </row>
    <row r="276" spans="1:31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4"/>
      <c r="G276" s="213"/>
      <c r="H276" s="213"/>
      <c r="I276" s="215"/>
      <c r="J276" s="215"/>
      <c r="K276" s="215"/>
      <c r="L276" s="214"/>
      <c r="M276" s="647"/>
      <c r="N276" s="213"/>
      <c r="O276" s="213"/>
      <c r="P276" s="215"/>
      <c r="Q276" s="215"/>
      <c r="R276" s="616">
        <f t="shared" si="18"/>
        <v>0</v>
      </c>
      <c r="S276" s="633"/>
      <c r="T276" s="648"/>
      <c r="U276" s="648"/>
      <c r="V276" s="7"/>
      <c r="W276" s="699"/>
      <c r="X276" s="7"/>
      <c r="Y276" s="618">
        <f t="shared" si="17"/>
        <v>0</v>
      </c>
      <c r="Z276" s="7"/>
      <c r="AA276" s="7"/>
      <c r="AB276" s="7"/>
      <c r="AC276" s="7"/>
      <c r="AD276" s="7"/>
      <c r="AE276" s="7"/>
    </row>
    <row r="277" spans="1:31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4"/>
      <c r="G277" s="213"/>
      <c r="H277" s="213"/>
      <c r="I277" s="215"/>
      <c r="J277" s="215"/>
      <c r="K277" s="215"/>
      <c r="L277" s="214"/>
      <c r="M277" s="662"/>
      <c r="N277" s="213"/>
      <c r="O277" s="213"/>
      <c r="P277" s="215"/>
      <c r="Q277" s="215"/>
      <c r="R277" s="616">
        <f t="shared" si="18"/>
        <v>0</v>
      </c>
      <c r="S277" s="633"/>
      <c r="T277" s="648"/>
      <c r="U277" s="648"/>
      <c r="V277" s="7"/>
      <c r="W277" s="699"/>
      <c r="X277" s="7"/>
      <c r="Y277" s="618">
        <f t="shared" si="17"/>
        <v>0</v>
      </c>
      <c r="Z277" s="7"/>
      <c r="AA277" s="7"/>
      <c r="AB277" s="7"/>
      <c r="AC277" s="7"/>
      <c r="AD277" s="7"/>
      <c r="AE277" s="7"/>
    </row>
    <row r="278" spans="1:31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4"/>
      <c r="G278" s="213"/>
      <c r="H278" s="213"/>
      <c r="I278" s="215"/>
      <c r="J278" s="215"/>
      <c r="K278" s="215"/>
      <c r="L278" s="214"/>
      <c r="M278" s="647"/>
      <c r="N278" s="213"/>
      <c r="O278" s="213"/>
      <c r="P278" s="215"/>
      <c r="Q278" s="215"/>
      <c r="R278" s="616">
        <f t="shared" si="18"/>
        <v>0</v>
      </c>
      <c r="S278" s="633"/>
      <c r="T278" s="648"/>
      <c r="U278" s="648"/>
      <c r="V278" s="7"/>
      <c r="W278" s="699"/>
      <c r="X278" s="7"/>
      <c r="Y278" s="618">
        <f t="shared" si="17"/>
        <v>0</v>
      </c>
      <c r="Z278" s="7"/>
      <c r="AA278" s="7"/>
      <c r="AB278" s="7"/>
      <c r="AC278" s="7"/>
      <c r="AD278" s="7"/>
      <c r="AE278" s="7"/>
    </row>
    <row r="279" spans="1:31" ht="20.25" customHeight="1">
      <c r="A279" s="503" t="s">
        <v>636</v>
      </c>
      <c r="B279" s="483" t="s">
        <v>637</v>
      </c>
      <c r="C279" s="629" t="s">
        <v>638</v>
      </c>
      <c r="D279" s="485" t="s">
        <v>2329</v>
      </c>
      <c r="E279" s="213"/>
      <c r="F279" s="214"/>
      <c r="G279" s="213"/>
      <c r="H279" s="213"/>
      <c r="I279" s="215"/>
      <c r="J279" s="215"/>
      <c r="K279" s="215"/>
      <c r="L279" s="214"/>
      <c r="M279" s="620"/>
      <c r="N279" s="213"/>
      <c r="O279" s="213"/>
      <c r="P279" s="215"/>
      <c r="Q279" s="215"/>
      <c r="R279" s="616">
        <f t="shared" si="18"/>
        <v>0</v>
      </c>
      <c r="S279" s="633"/>
      <c r="T279" s="648"/>
      <c r="U279" s="648"/>
      <c r="V279" s="7"/>
      <c r="W279" s="699"/>
      <c r="X279" s="7"/>
      <c r="Y279" s="618">
        <f t="shared" si="17"/>
        <v>0</v>
      </c>
      <c r="Z279" s="7"/>
      <c r="AA279" s="7"/>
      <c r="AB279" s="7"/>
      <c r="AC279" s="7"/>
      <c r="AD279" s="7"/>
      <c r="AE279" s="7"/>
    </row>
    <row r="280" spans="1:31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4"/>
      <c r="G280" s="213"/>
      <c r="H280" s="213"/>
      <c r="I280" s="215"/>
      <c r="J280" s="215"/>
      <c r="K280" s="215"/>
      <c r="L280" s="214"/>
      <c r="M280" s="647"/>
      <c r="N280" s="213"/>
      <c r="O280" s="213"/>
      <c r="P280" s="215"/>
      <c r="Q280" s="215"/>
      <c r="R280" s="616">
        <f t="shared" si="18"/>
        <v>0</v>
      </c>
      <c r="S280" s="633"/>
      <c r="T280" s="648"/>
      <c r="U280" s="648"/>
      <c r="V280" s="7"/>
      <c r="W280" s="699"/>
      <c r="X280" s="7"/>
      <c r="Y280" s="618">
        <f t="shared" si="17"/>
        <v>0</v>
      </c>
      <c r="Z280" s="7"/>
      <c r="AA280" s="7"/>
      <c r="AB280" s="7"/>
      <c r="AC280" s="7"/>
      <c r="AD280" s="7"/>
      <c r="AE280" s="7"/>
    </row>
    <row r="281" spans="1:31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4"/>
      <c r="G281" s="213"/>
      <c r="H281" s="213"/>
      <c r="I281" s="215"/>
      <c r="J281" s="215"/>
      <c r="K281" s="215"/>
      <c r="L281" s="214"/>
      <c r="M281" s="662"/>
      <c r="N281" s="213"/>
      <c r="O281" s="213"/>
      <c r="P281" s="215"/>
      <c r="Q281" s="215"/>
      <c r="R281" s="616">
        <f t="shared" si="18"/>
        <v>0</v>
      </c>
      <c r="S281" s="633"/>
      <c r="T281" s="648"/>
      <c r="U281" s="648"/>
      <c r="V281" s="7"/>
      <c r="W281" s="699"/>
      <c r="X281" s="7"/>
      <c r="Y281" s="618">
        <f t="shared" si="17"/>
        <v>0</v>
      </c>
      <c r="Z281" s="7"/>
      <c r="AA281" s="7"/>
      <c r="AB281" s="7"/>
      <c r="AC281" s="7"/>
      <c r="AD281" s="7"/>
      <c r="AE281" s="7"/>
    </row>
    <row r="282" spans="1:31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4"/>
      <c r="G282" s="213"/>
      <c r="H282" s="213"/>
      <c r="I282" s="215"/>
      <c r="J282" s="215"/>
      <c r="K282" s="215"/>
      <c r="L282" s="214"/>
      <c r="M282" s="662"/>
      <c r="N282" s="213"/>
      <c r="O282" s="213"/>
      <c r="P282" s="215"/>
      <c r="Q282" s="215"/>
      <c r="R282" s="616">
        <f t="shared" si="18"/>
        <v>0</v>
      </c>
      <c r="S282" s="633"/>
      <c r="T282" s="640"/>
      <c r="U282" s="640"/>
      <c r="V282" s="7"/>
      <c r="W282" s="699"/>
      <c r="X282" s="7"/>
      <c r="Y282" s="618">
        <f t="shared" si="17"/>
        <v>0</v>
      </c>
      <c r="Z282" s="7"/>
      <c r="AA282" s="7"/>
      <c r="AB282" s="7"/>
      <c r="AC282" s="7"/>
      <c r="AD282" s="7"/>
      <c r="AE282" s="7"/>
    </row>
    <row r="283" spans="1:31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4"/>
      <c r="G283" s="213"/>
      <c r="H283" s="213">
        <v>0.7</v>
      </c>
      <c r="I283" s="215">
        <v>3.7499999999999999E-2</v>
      </c>
      <c r="J283" s="215"/>
      <c r="K283" s="215">
        <v>0.15</v>
      </c>
      <c r="L283" s="214">
        <v>0.16</v>
      </c>
      <c r="M283" s="620"/>
      <c r="N283" s="213">
        <v>0.5</v>
      </c>
      <c r="O283" s="213">
        <v>0.4</v>
      </c>
      <c r="P283" s="215"/>
      <c r="Q283" s="215"/>
      <c r="R283" s="616">
        <f t="shared" si="18"/>
        <v>1.9474999999999998</v>
      </c>
      <c r="S283" s="633"/>
      <c r="T283" s="636"/>
      <c r="U283" s="636"/>
      <c r="V283" s="7"/>
      <c r="W283" s="702">
        <v>27.54</v>
      </c>
      <c r="X283" s="7"/>
      <c r="Y283" s="618">
        <f t="shared" si="17"/>
        <v>25.592500000000001</v>
      </c>
      <c r="Z283" s="7"/>
      <c r="AA283" s="7"/>
      <c r="AB283" s="7"/>
      <c r="AC283" s="7"/>
      <c r="AD283" s="7"/>
      <c r="AE283" s="7"/>
    </row>
    <row r="284" spans="1:31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4"/>
      <c r="G284" s="213"/>
      <c r="H284" s="213"/>
      <c r="I284" s="215"/>
      <c r="J284" s="215"/>
      <c r="K284" s="215"/>
      <c r="L284" s="214"/>
      <c r="M284" s="647"/>
      <c r="N284" s="213"/>
      <c r="O284" s="213"/>
      <c r="P284" s="215"/>
      <c r="Q284" s="215"/>
      <c r="R284" s="616">
        <f t="shared" si="18"/>
        <v>0</v>
      </c>
      <c r="S284" s="633"/>
      <c r="T284" s="654"/>
      <c r="U284" s="654"/>
      <c r="V284" s="7"/>
      <c r="W284" s="702">
        <v>27.54</v>
      </c>
      <c r="X284" s="7"/>
      <c r="Y284" s="618"/>
      <c r="Z284" s="7"/>
      <c r="AA284" s="7"/>
      <c r="AB284" s="7"/>
      <c r="AC284" s="7"/>
      <c r="AD284" s="7"/>
      <c r="AE284" s="7"/>
    </row>
    <row r="285" spans="1:31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4"/>
      <c r="G285" s="213"/>
      <c r="H285" s="213"/>
      <c r="I285" s="215"/>
      <c r="J285" s="215"/>
      <c r="K285" s="215"/>
      <c r="L285" s="214"/>
      <c r="M285" s="647"/>
      <c r="N285" s="213"/>
      <c r="O285" s="213"/>
      <c r="P285" s="215"/>
      <c r="Q285" s="215"/>
      <c r="R285" s="616">
        <f t="shared" si="18"/>
        <v>0</v>
      </c>
      <c r="S285" s="633"/>
      <c r="T285" s="654"/>
      <c r="U285" s="654"/>
      <c r="V285" s="7"/>
      <c r="W285" s="702">
        <v>16.36</v>
      </c>
      <c r="X285" s="7"/>
      <c r="Y285" s="618"/>
      <c r="Z285" s="7"/>
      <c r="AA285" s="7"/>
      <c r="AB285" s="7"/>
      <c r="AC285" s="7"/>
      <c r="AD285" s="7"/>
      <c r="AE285" s="7"/>
    </row>
    <row r="286" spans="1:31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4"/>
      <c r="G286" s="213"/>
      <c r="H286" s="213"/>
      <c r="I286" s="215"/>
      <c r="J286" s="215"/>
      <c r="K286" s="215"/>
      <c r="L286" s="214"/>
      <c r="M286" s="647"/>
      <c r="N286" s="213"/>
      <c r="O286" s="213"/>
      <c r="P286" s="215"/>
      <c r="Q286" s="215"/>
      <c r="R286" s="616">
        <f t="shared" si="18"/>
        <v>0</v>
      </c>
      <c r="S286" s="633"/>
      <c r="T286" s="654"/>
      <c r="U286" s="654"/>
      <c r="V286" s="7"/>
      <c r="W286" s="702">
        <v>9.14</v>
      </c>
      <c r="X286" s="7"/>
      <c r="Y286" s="618"/>
      <c r="Z286" s="7"/>
      <c r="AA286" s="7"/>
      <c r="AB286" s="7"/>
      <c r="AC286" s="7"/>
      <c r="AD286" s="7"/>
      <c r="AE286" s="7"/>
    </row>
    <row r="287" spans="1:31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4"/>
      <c r="G287" s="213"/>
      <c r="H287" s="213"/>
      <c r="I287" s="215"/>
      <c r="J287" s="215"/>
      <c r="K287" s="215"/>
      <c r="L287" s="214"/>
      <c r="M287" s="647"/>
      <c r="N287" s="213"/>
      <c r="O287" s="213"/>
      <c r="P287" s="215"/>
      <c r="Q287" s="215"/>
      <c r="R287" s="616">
        <f t="shared" si="18"/>
        <v>0</v>
      </c>
      <c r="S287" s="633"/>
      <c r="T287" s="654"/>
      <c r="U287" s="654"/>
      <c r="V287" s="7"/>
      <c r="W287" s="702">
        <v>2.04</v>
      </c>
      <c r="X287" s="7"/>
      <c r="Y287" s="618"/>
      <c r="Z287" s="7"/>
      <c r="AA287" s="7"/>
      <c r="AB287" s="7"/>
      <c r="AC287" s="7"/>
      <c r="AD287" s="7"/>
      <c r="AE287" s="7"/>
    </row>
    <row r="288" spans="1:31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4"/>
      <c r="G288" s="213"/>
      <c r="H288" s="213"/>
      <c r="I288" s="215"/>
      <c r="J288" s="215"/>
      <c r="K288" s="215"/>
      <c r="L288" s="214"/>
      <c r="M288" s="647"/>
      <c r="N288" s="213"/>
      <c r="O288" s="213"/>
      <c r="P288" s="215"/>
      <c r="Q288" s="215"/>
      <c r="R288" s="616">
        <f t="shared" si="18"/>
        <v>0</v>
      </c>
      <c r="S288" s="633"/>
      <c r="T288" s="654"/>
      <c r="U288" s="654"/>
      <c r="V288" s="7"/>
      <c r="W288" s="702"/>
      <c r="X288" s="7"/>
      <c r="Y288" s="618">
        <f t="shared" ref="Y288:Y369" si="19">W288-R288</f>
        <v>0</v>
      </c>
      <c r="Z288" s="7"/>
      <c r="AA288" s="7"/>
      <c r="AB288" s="7"/>
      <c r="AC288" s="7"/>
      <c r="AD288" s="7"/>
      <c r="AE288" s="7"/>
    </row>
    <row r="289" spans="1:31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4"/>
      <c r="G289" s="213"/>
      <c r="H289" s="213"/>
      <c r="I289" s="215"/>
      <c r="J289" s="215"/>
      <c r="K289" s="215"/>
      <c r="L289" s="214"/>
      <c r="M289" s="647"/>
      <c r="N289" s="213"/>
      <c r="O289" s="213"/>
      <c r="P289" s="215"/>
      <c r="Q289" s="215"/>
      <c r="R289" s="616">
        <f t="shared" si="18"/>
        <v>0</v>
      </c>
      <c r="S289" s="633"/>
      <c r="T289" s="654"/>
      <c r="U289" s="654"/>
      <c r="V289" s="7"/>
      <c r="W289" s="699"/>
      <c r="X289" s="7"/>
      <c r="Y289" s="618">
        <f t="shared" si="19"/>
        <v>0</v>
      </c>
      <c r="Z289" s="7"/>
      <c r="AA289" s="7"/>
      <c r="AB289" s="7"/>
      <c r="AC289" s="7"/>
      <c r="AD289" s="7"/>
      <c r="AE289" s="7"/>
    </row>
    <row r="290" spans="1:31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4"/>
      <c r="G290" s="213"/>
      <c r="H290" s="213"/>
      <c r="I290" s="215"/>
      <c r="J290" s="215"/>
      <c r="K290" s="215"/>
      <c r="L290" s="214"/>
      <c r="M290" s="647"/>
      <c r="N290" s="213"/>
      <c r="O290" s="213"/>
      <c r="P290" s="215"/>
      <c r="Q290" s="215"/>
      <c r="R290" s="616">
        <f t="shared" si="18"/>
        <v>0</v>
      </c>
      <c r="S290" s="633"/>
      <c r="T290" s="648"/>
      <c r="U290" s="648"/>
      <c r="V290" s="7"/>
      <c r="W290" s="699"/>
      <c r="X290" s="7"/>
      <c r="Y290" s="618">
        <f t="shared" si="19"/>
        <v>0</v>
      </c>
      <c r="Z290" s="7"/>
      <c r="AA290" s="7"/>
      <c r="AB290" s="7"/>
      <c r="AC290" s="7"/>
      <c r="AD290" s="7"/>
      <c r="AE290" s="7"/>
    </row>
    <row r="291" spans="1:31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4"/>
      <c r="G291" s="213"/>
      <c r="H291" s="213"/>
      <c r="I291" s="215"/>
      <c r="J291" s="215"/>
      <c r="K291" s="215"/>
      <c r="L291" s="214"/>
      <c r="M291" s="647"/>
      <c r="N291" s="213"/>
      <c r="O291" s="213"/>
      <c r="P291" s="215"/>
      <c r="Q291" s="215"/>
      <c r="R291" s="616">
        <f t="shared" si="18"/>
        <v>0</v>
      </c>
      <c r="S291" s="633"/>
      <c r="T291" s="648"/>
      <c r="U291" s="648"/>
      <c r="V291" s="7"/>
      <c r="W291" s="699"/>
      <c r="X291" s="7"/>
      <c r="Y291" s="618">
        <f t="shared" si="19"/>
        <v>0</v>
      </c>
      <c r="Z291" s="7"/>
      <c r="AA291" s="7"/>
      <c r="AB291" s="7"/>
      <c r="AC291" s="7"/>
      <c r="AD291" s="7"/>
      <c r="AE291" s="7"/>
    </row>
    <row r="292" spans="1:31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4"/>
      <c r="G292" s="213"/>
      <c r="H292" s="213"/>
      <c r="I292" s="215"/>
      <c r="J292" s="215"/>
      <c r="K292" s="215"/>
      <c r="L292" s="214"/>
      <c r="M292" s="647"/>
      <c r="N292" s="213"/>
      <c r="O292" s="213"/>
      <c r="P292" s="215"/>
      <c r="Q292" s="215"/>
      <c r="R292" s="616">
        <f t="shared" si="18"/>
        <v>0</v>
      </c>
      <c r="S292" s="633"/>
      <c r="T292" s="648"/>
      <c r="U292" s="648"/>
      <c r="V292" s="7"/>
      <c r="W292" s="699"/>
      <c r="X292" s="7"/>
      <c r="Y292" s="618">
        <f t="shared" si="19"/>
        <v>0</v>
      </c>
      <c r="Z292" s="7"/>
      <c r="AA292" s="7"/>
      <c r="AB292" s="7"/>
      <c r="AC292" s="7"/>
      <c r="AD292" s="7"/>
      <c r="AE292" s="7"/>
    </row>
    <row r="293" spans="1:31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4"/>
      <c r="G293" s="213"/>
      <c r="H293" s="213"/>
      <c r="I293" s="215"/>
      <c r="J293" s="215"/>
      <c r="K293" s="215"/>
      <c r="L293" s="214"/>
      <c r="M293" s="647"/>
      <c r="N293" s="213"/>
      <c r="O293" s="213"/>
      <c r="P293" s="215"/>
      <c r="Q293" s="215"/>
      <c r="R293" s="616">
        <f t="shared" si="18"/>
        <v>0</v>
      </c>
      <c r="S293" s="633"/>
      <c r="T293" s="648"/>
      <c r="U293" s="648"/>
      <c r="V293" s="7"/>
      <c r="W293" s="699"/>
      <c r="X293" s="7"/>
      <c r="Y293" s="618">
        <f t="shared" si="19"/>
        <v>0</v>
      </c>
      <c r="Z293" s="7"/>
      <c r="AA293" s="7"/>
      <c r="AB293" s="7"/>
      <c r="AC293" s="7"/>
      <c r="AD293" s="7"/>
      <c r="AE293" s="7"/>
    </row>
    <row r="294" spans="1:31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4"/>
      <c r="G294" s="213"/>
      <c r="H294" s="213"/>
      <c r="I294" s="215"/>
      <c r="J294" s="215"/>
      <c r="K294" s="215"/>
      <c r="L294" s="214"/>
      <c r="M294" s="620"/>
      <c r="N294" s="213"/>
      <c r="O294" s="213"/>
      <c r="P294" s="215"/>
      <c r="Q294" s="215"/>
      <c r="R294" s="616">
        <f t="shared" si="18"/>
        <v>0</v>
      </c>
      <c r="S294" s="633"/>
      <c r="T294" s="654"/>
      <c r="U294" s="654"/>
      <c r="V294" s="7"/>
      <c r="W294" s="699"/>
      <c r="X294" s="7"/>
      <c r="Y294" s="618">
        <f t="shared" si="19"/>
        <v>0</v>
      </c>
      <c r="Z294" s="7"/>
      <c r="AA294" s="7"/>
      <c r="AB294" s="7"/>
      <c r="AC294" s="7"/>
      <c r="AD294" s="7"/>
      <c r="AE294" s="7"/>
    </row>
    <row r="295" spans="1:31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4"/>
      <c r="G295" s="213"/>
      <c r="H295" s="213"/>
      <c r="I295" s="215"/>
      <c r="J295" s="215"/>
      <c r="K295" s="215"/>
      <c r="L295" s="214"/>
      <c r="M295" s="647"/>
      <c r="N295" s="213"/>
      <c r="O295" s="213"/>
      <c r="P295" s="215"/>
      <c r="Q295" s="215"/>
      <c r="R295" s="616">
        <f t="shared" si="18"/>
        <v>0</v>
      </c>
      <c r="S295" s="633"/>
      <c r="T295" s="648"/>
      <c r="U295" s="648"/>
      <c r="V295" s="7"/>
      <c r="W295" s="699"/>
      <c r="X295" s="7"/>
      <c r="Y295" s="618">
        <f t="shared" si="19"/>
        <v>0</v>
      </c>
      <c r="Z295" s="7"/>
      <c r="AA295" s="7"/>
      <c r="AB295" s="7"/>
      <c r="AC295" s="7"/>
      <c r="AD295" s="7"/>
      <c r="AE295" s="7"/>
    </row>
    <row r="296" spans="1:31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4"/>
      <c r="G296" s="213"/>
      <c r="H296" s="213"/>
      <c r="I296" s="215"/>
      <c r="J296" s="215"/>
      <c r="K296" s="215"/>
      <c r="L296" s="214"/>
      <c r="M296" s="647"/>
      <c r="N296" s="213"/>
      <c r="O296" s="213"/>
      <c r="P296" s="215"/>
      <c r="Q296" s="215"/>
      <c r="R296" s="616">
        <f t="shared" si="18"/>
        <v>0</v>
      </c>
      <c r="S296" s="633"/>
      <c r="T296" s="648"/>
      <c r="U296" s="648"/>
      <c r="V296" s="7"/>
      <c r="W296" s="699"/>
      <c r="X296" s="7"/>
      <c r="Y296" s="618">
        <f t="shared" si="19"/>
        <v>0</v>
      </c>
      <c r="Z296" s="7"/>
      <c r="AA296" s="7"/>
      <c r="AB296" s="7"/>
      <c r="AC296" s="7"/>
      <c r="AD296" s="7"/>
      <c r="AE296" s="7"/>
    </row>
    <row r="297" spans="1:31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4"/>
      <c r="G297" s="213"/>
      <c r="H297" s="213"/>
      <c r="I297" s="215"/>
      <c r="J297" s="215"/>
      <c r="K297" s="215"/>
      <c r="L297" s="214"/>
      <c r="M297" s="647"/>
      <c r="N297" s="213"/>
      <c r="O297" s="213"/>
      <c r="P297" s="215"/>
      <c r="Q297" s="215"/>
      <c r="R297" s="616">
        <f t="shared" si="18"/>
        <v>0</v>
      </c>
      <c r="S297" s="633"/>
      <c r="T297" s="648"/>
      <c r="U297" s="648"/>
      <c r="V297" s="7"/>
      <c r="W297" s="699"/>
      <c r="X297" s="7"/>
      <c r="Y297" s="618">
        <f t="shared" si="19"/>
        <v>0</v>
      </c>
      <c r="Z297" s="7"/>
      <c r="AA297" s="7"/>
      <c r="AB297" s="7"/>
      <c r="AC297" s="7"/>
      <c r="AD297" s="7"/>
      <c r="AE297" s="7"/>
    </row>
    <row r="298" spans="1:31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4"/>
      <c r="G298" s="213"/>
      <c r="H298" s="213"/>
      <c r="I298" s="215"/>
      <c r="J298" s="215"/>
      <c r="K298" s="215"/>
      <c r="L298" s="214"/>
      <c r="M298" s="647"/>
      <c r="N298" s="213"/>
      <c r="O298" s="213"/>
      <c r="P298" s="215"/>
      <c r="Q298" s="215"/>
      <c r="R298" s="616">
        <f t="shared" si="18"/>
        <v>0</v>
      </c>
      <c r="S298" s="633"/>
      <c r="T298" s="648"/>
      <c r="U298" s="648"/>
      <c r="V298" s="7"/>
      <c r="W298" s="699"/>
      <c r="X298" s="7"/>
      <c r="Y298" s="618">
        <f t="shared" si="19"/>
        <v>0</v>
      </c>
      <c r="Z298" s="7"/>
      <c r="AA298" s="7"/>
      <c r="AB298" s="7"/>
      <c r="AC298" s="7"/>
      <c r="AD298" s="7"/>
      <c r="AE298" s="7"/>
    </row>
    <row r="299" spans="1:31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4"/>
      <c r="G299" s="213"/>
      <c r="H299" s="213"/>
      <c r="I299" s="215"/>
      <c r="J299" s="215"/>
      <c r="K299" s="215"/>
      <c r="L299" s="214"/>
      <c r="M299" s="620"/>
      <c r="N299" s="213"/>
      <c r="O299" s="213"/>
      <c r="P299" s="215"/>
      <c r="Q299" s="215"/>
      <c r="R299" s="616">
        <f t="shared" si="18"/>
        <v>0</v>
      </c>
      <c r="S299" s="633"/>
      <c r="T299" s="636"/>
      <c r="U299" s="636"/>
      <c r="V299" s="7"/>
      <c r="W299" s="699"/>
      <c r="X299" s="7"/>
      <c r="Y299" s="618">
        <f t="shared" si="19"/>
        <v>0</v>
      </c>
      <c r="Z299" s="7"/>
      <c r="AA299" s="7"/>
      <c r="AB299" s="7"/>
      <c r="AC299" s="7"/>
      <c r="AD299" s="7"/>
      <c r="AE299" s="7"/>
    </row>
    <row r="300" spans="1:31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4"/>
      <c r="G300" s="213"/>
      <c r="H300" s="213"/>
      <c r="I300" s="215"/>
      <c r="J300" s="215"/>
      <c r="K300" s="215"/>
      <c r="L300" s="214"/>
      <c r="M300" s="620"/>
      <c r="N300" s="213"/>
      <c r="O300" s="213"/>
      <c r="P300" s="215"/>
      <c r="Q300" s="215"/>
      <c r="R300" s="616">
        <f t="shared" si="18"/>
        <v>0</v>
      </c>
      <c r="S300" s="633"/>
      <c r="T300" s="636"/>
      <c r="U300" s="636"/>
      <c r="V300" s="7"/>
      <c r="W300" s="699"/>
      <c r="X300" s="7"/>
      <c r="Y300" s="618">
        <f t="shared" si="19"/>
        <v>0</v>
      </c>
      <c r="Z300" s="7"/>
      <c r="AA300" s="7"/>
      <c r="AB300" s="7"/>
      <c r="AC300" s="7"/>
      <c r="AD300" s="7"/>
      <c r="AE300" s="7"/>
    </row>
    <row r="301" spans="1:31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4"/>
      <c r="G301" s="213"/>
      <c r="H301" s="213"/>
      <c r="I301" s="215"/>
      <c r="J301" s="215"/>
      <c r="K301" s="215"/>
      <c r="L301" s="214"/>
      <c r="M301" s="647"/>
      <c r="N301" s="213"/>
      <c r="O301" s="213"/>
      <c r="P301" s="215"/>
      <c r="Q301" s="215"/>
      <c r="R301" s="616">
        <f t="shared" si="18"/>
        <v>0</v>
      </c>
      <c r="S301" s="633"/>
      <c r="T301" s="648"/>
      <c r="U301" s="648"/>
      <c r="V301" s="7"/>
      <c r="W301" s="699"/>
      <c r="X301" s="7"/>
      <c r="Y301" s="618">
        <f t="shared" si="19"/>
        <v>0</v>
      </c>
      <c r="Z301" s="7"/>
      <c r="AA301" s="7"/>
      <c r="AB301" s="7"/>
      <c r="AC301" s="7"/>
      <c r="AD301" s="7"/>
      <c r="AE301" s="7"/>
    </row>
    <row r="302" spans="1:31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4"/>
      <c r="G302" s="213"/>
      <c r="H302" s="213"/>
      <c r="I302" s="215"/>
      <c r="J302" s="215"/>
      <c r="K302" s="215"/>
      <c r="L302" s="214"/>
      <c r="M302" s="647"/>
      <c r="N302" s="213"/>
      <c r="O302" s="213"/>
      <c r="P302" s="215"/>
      <c r="Q302" s="215"/>
      <c r="R302" s="616">
        <f t="shared" si="18"/>
        <v>0</v>
      </c>
      <c r="S302" s="633"/>
      <c r="T302" s="648"/>
      <c r="U302" s="648"/>
      <c r="V302" s="7"/>
      <c r="W302" s="699"/>
      <c r="X302" s="7"/>
      <c r="Y302" s="618">
        <f t="shared" si="19"/>
        <v>0</v>
      </c>
      <c r="Z302" s="7"/>
      <c r="AA302" s="7"/>
      <c r="AB302" s="7"/>
      <c r="AC302" s="7"/>
      <c r="AD302" s="7"/>
      <c r="AE302" s="7"/>
    </row>
    <row r="303" spans="1:31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4"/>
      <c r="G303" s="213"/>
      <c r="H303" s="213"/>
      <c r="I303" s="215"/>
      <c r="J303" s="215"/>
      <c r="K303" s="215"/>
      <c r="L303" s="214"/>
      <c r="M303" s="647"/>
      <c r="N303" s="213"/>
      <c r="O303" s="213"/>
      <c r="P303" s="215"/>
      <c r="Q303" s="215"/>
      <c r="R303" s="616">
        <f t="shared" si="18"/>
        <v>0</v>
      </c>
      <c r="S303" s="633"/>
      <c r="T303" s="648"/>
      <c r="U303" s="648"/>
      <c r="V303" s="7"/>
      <c r="W303" s="699"/>
      <c r="X303" s="7"/>
      <c r="Y303" s="618">
        <f t="shared" si="19"/>
        <v>0</v>
      </c>
      <c r="Z303" s="7"/>
      <c r="AA303" s="7"/>
      <c r="AB303" s="7"/>
      <c r="AC303" s="7"/>
      <c r="AD303" s="7"/>
      <c r="AE303" s="7"/>
    </row>
    <row r="304" spans="1:31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4"/>
      <c r="G304" s="213"/>
      <c r="H304" s="213"/>
      <c r="I304" s="215"/>
      <c r="J304" s="215"/>
      <c r="K304" s="215"/>
      <c r="L304" s="214"/>
      <c r="M304" s="647"/>
      <c r="N304" s="213"/>
      <c r="O304" s="213"/>
      <c r="P304" s="215"/>
      <c r="Q304" s="215"/>
      <c r="R304" s="616">
        <f t="shared" si="18"/>
        <v>0</v>
      </c>
      <c r="S304" s="633"/>
      <c r="T304" s="648"/>
      <c r="U304" s="648"/>
      <c r="V304" s="7"/>
      <c r="W304" s="699"/>
      <c r="X304" s="7"/>
      <c r="Y304" s="618">
        <f t="shared" si="19"/>
        <v>0</v>
      </c>
      <c r="Z304" s="7"/>
      <c r="AA304" s="7"/>
      <c r="AB304" s="7"/>
      <c r="AC304" s="7"/>
      <c r="AD304" s="7"/>
      <c r="AE304" s="7"/>
    </row>
    <row r="305" spans="1:31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4"/>
      <c r="G305" s="213"/>
      <c r="H305" s="213"/>
      <c r="I305" s="215"/>
      <c r="J305" s="215"/>
      <c r="K305" s="215"/>
      <c r="L305" s="214"/>
      <c r="M305" s="620"/>
      <c r="N305" s="213"/>
      <c r="O305" s="213"/>
      <c r="P305" s="215"/>
      <c r="Q305" s="215"/>
      <c r="R305" s="616">
        <f t="shared" si="18"/>
        <v>0</v>
      </c>
      <c r="S305" s="633"/>
      <c r="T305" s="636"/>
      <c r="U305" s="636"/>
      <c r="V305" s="7"/>
      <c r="W305" s="699"/>
      <c r="X305" s="7"/>
      <c r="Y305" s="618">
        <f t="shared" si="19"/>
        <v>0</v>
      </c>
      <c r="Z305" s="7"/>
      <c r="AA305" s="7"/>
      <c r="AB305" s="7"/>
      <c r="AC305" s="7"/>
      <c r="AD305" s="7"/>
      <c r="AE305" s="7"/>
    </row>
    <row r="306" spans="1:31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4"/>
      <c r="G306" s="213"/>
      <c r="H306" s="213"/>
      <c r="I306" s="215"/>
      <c r="J306" s="215"/>
      <c r="K306" s="215"/>
      <c r="L306" s="214"/>
      <c r="M306" s="647"/>
      <c r="N306" s="213"/>
      <c r="O306" s="213"/>
      <c r="P306" s="215"/>
      <c r="Q306" s="215"/>
      <c r="R306" s="616">
        <f t="shared" si="18"/>
        <v>0</v>
      </c>
      <c r="S306" s="633"/>
      <c r="T306" s="648"/>
      <c r="U306" s="648"/>
      <c r="V306" s="7"/>
      <c r="W306" s="699"/>
      <c r="X306" s="7"/>
      <c r="Y306" s="618">
        <f t="shared" si="19"/>
        <v>0</v>
      </c>
      <c r="Z306" s="7"/>
      <c r="AA306" s="7"/>
      <c r="AB306" s="7"/>
      <c r="AC306" s="7"/>
      <c r="AD306" s="7"/>
      <c r="AE306" s="7"/>
    </row>
    <row r="307" spans="1:31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4"/>
      <c r="G307" s="213"/>
      <c r="H307" s="213"/>
      <c r="I307" s="215"/>
      <c r="J307" s="215"/>
      <c r="K307" s="215"/>
      <c r="L307" s="214"/>
      <c r="M307" s="647"/>
      <c r="N307" s="213"/>
      <c r="O307" s="213"/>
      <c r="P307" s="215"/>
      <c r="Q307" s="215"/>
      <c r="R307" s="616">
        <f t="shared" si="18"/>
        <v>0</v>
      </c>
      <c r="S307" s="633"/>
      <c r="T307" s="648"/>
      <c r="U307" s="648"/>
      <c r="V307" s="7"/>
      <c r="W307" s="699"/>
      <c r="X307" s="7"/>
      <c r="Y307" s="618">
        <f t="shared" si="19"/>
        <v>0</v>
      </c>
      <c r="Z307" s="7"/>
      <c r="AA307" s="7"/>
      <c r="AB307" s="7"/>
      <c r="AC307" s="7"/>
      <c r="AD307" s="7"/>
      <c r="AE307" s="7"/>
    </row>
    <row r="308" spans="1:31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4"/>
      <c r="G308" s="213"/>
      <c r="H308" s="213"/>
      <c r="I308" s="215"/>
      <c r="J308" s="215"/>
      <c r="K308" s="215"/>
      <c r="L308" s="214"/>
      <c r="M308" s="647"/>
      <c r="N308" s="213"/>
      <c r="O308" s="213"/>
      <c r="P308" s="215"/>
      <c r="Q308" s="215"/>
      <c r="R308" s="616">
        <f t="shared" si="18"/>
        <v>0</v>
      </c>
      <c r="S308" s="633"/>
      <c r="T308" s="648"/>
      <c r="U308" s="648"/>
      <c r="V308" s="7"/>
      <c r="W308" s="699"/>
      <c r="X308" s="7"/>
      <c r="Y308" s="618">
        <f t="shared" si="19"/>
        <v>0</v>
      </c>
      <c r="Z308" s="7"/>
      <c r="AA308" s="7"/>
      <c r="AB308" s="7"/>
      <c r="AC308" s="7"/>
      <c r="AD308" s="7"/>
      <c r="AE308" s="7"/>
    </row>
    <row r="309" spans="1:31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4"/>
      <c r="G309" s="213"/>
      <c r="H309" s="213"/>
      <c r="I309" s="215"/>
      <c r="J309" s="215"/>
      <c r="K309" s="215"/>
      <c r="L309" s="214"/>
      <c r="M309" s="647"/>
      <c r="N309" s="213"/>
      <c r="O309" s="213"/>
      <c r="P309" s="215"/>
      <c r="Q309" s="215"/>
      <c r="R309" s="616">
        <f t="shared" si="18"/>
        <v>0</v>
      </c>
      <c r="S309" s="633"/>
      <c r="T309" s="648"/>
      <c r="U309" s="648"/>
      <c r="V309" s="7"/>
      <c r="W309" s="699"/>
      <c r="X309" s="7"/>
      <c r="Y309" s="618">
        <f t="shared" si="19"/>
        <v>0</v>
      </c>
      <c r="Z309" s="7"/>
      <c r="AA309" s="7"/>
      <c r="AB309" s="7"/>
      <c r="AC309" s="7"/>
      <c r="AD309" s="7"/>
      <c r="AE309" s="7"/>
    </row>
    <row r="310" spans="1:31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4"/>
      <c r="G310" s="213"/>
      <c r="H310" s="213"/>
      <c r="I310" s="215"/>
      <c r="J310" s="215"/>
      <c r="K310" s="215"/>
      <c r="L310" s="214"/>
      <c r="M310" s="620"/>
      <c r="N310" s="213"/>
      <c r="O310" s="213"/>
      <c r="P310" s="215"/>
      <c r="Q310" s="215"/>
      <c r="R310" s="616">
        <f t="shared" si="18"/>
        <v>0</v>
      </c>
      <c r="S310" s="633"/>
      <c r="T310" s="636"/>
      <c r="U310" s="636"/>
      <c r="V310" s="7"/>
      <c r="W310" s="699"/>
      <c r="X310" s="7"/>
      <c r="Y310" s="618">
        <f t="shared" si="19"/>
        <v>0</v>
      </c>
      <c r="Z310" s="7"/>
      <c r="AA310" s="7"/>
      <c r="AB310" s="7"/>
      <c r="AC310" s="7"/>
      <c r="AD310" s="7"/>
      <c r="AE310" s="7"/>
    </row>
    <row r="311" spans="1:31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4"/>
      <c r="G311" s="213"/>
      <c r="H311" s="213"/>
      <c r="I311" s="215"/>
      <c r="J311" s="215"/>
      <c r="K311" s="215"/>
      <c r="L311" s="214"/>
      <c r="M311" s="647"/>
      <c r="N311" s="213"/>
      <c r="O311" s="213"/>
      <c r="P311" s="215"/>
      <c r="Q311" s="215"/>
      <c r="R311" s="616">
        <f t="shared" si="18"/>
        <v>0</v>
      </c>
      <c r="S311" s="633"/>
      <c r="T311" s="648"/>
      <c r="U311" s="648"/>
      <c r="V311" s="7"/>
      <c r="W311" s="699"/>
      <c r="X311" s="7"/>
      <c r="Y311" s="618">
        <f t="shared" si="19"/>
        <v>0</v>
      </c>
      <c r="Z311" s="7"/>
      <c r="AA311" s="7"/>
      <c r="AB311" s="7"/>
      <c r="AC311" s="7"/>
      <c r="AD311" s="7"/>
      <c r="AE311" s="7"/>
    </row>
    <row r="312" spans="1:31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4"/>
      <c r="G312" s="213"/>
      <c r="H312" s="213"/>
      <c r="I312" s="215"/>
      <c r="J312" s="215"/>
      <c r="K312" s="215"/>
      <c r="L312" s="214"/>
      <c r="M312" s="647"/>
      <c r="N312" s="213"/>
      <c r="O312" s="213"/>
      <c r="P312" s="215"/>
      <c r="Q312" s="215"/>
      <c r="R312" s="616">
        <f t="shared" si="18"/>
        <v>0</v>
      </c>
      <c r="S312" s="633"/>
      <c r="T312" s="648"/>
      <c r="U312" s="648"/>
      <c r="V312" s="7"/>
      <c r="W312" s="699"/>
      <c r="X312" s="7"/>
      <c r="Y312" s="618">
        <f t="shared" si="19"/>
        <v>0</v>
      </c>
      <c r="Z312" s="7"/>
      <c r="AA312" s="7"/>
      <c r="AB312" s="7"/>
      <c r="AC312" s="7"/>
      <c r="AD312" s="7"/>
      <c r="AE312" s="7"/>
    </row>
    <row r="313" spans="1:31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4"/>
      <c r="G313" s="213"/>
      <c r="H313" s="213"/>
      <c r="I313" s="215"/>
      <c r="J313" s="215"/>
      <c r="K313" s="215"/>
      <c r="L313" s="214"/>
      <c r="M313" s="647"/>
      <c r="N313" s="213"/>
      <c r="O313" s="213"/>
      <c r="P313" s="215"/>
      <c r="Q313" s="215"/>
      <c r="R313" s="616">
        <f t="shared" si="18"/>
        <v>0</v>
      </c>
      <c r="S313" s="633"/>
      <c r="T313" s="648"/>
      <c r="U313" s="648"/>
      <c r="V313" s="7"/>
      <c r="W313" s="699"/>
      <c r="X313" s="7"/>
      <c r="Y313" s="618">
        <f t="shared" si="19"/>
        <v>0</v>
      </c>
      <c r="Z313" s="7"/>
      <c r="AA313" s="7"/>
      <c r="AB313" s="7"/>
      <c r="AC313" s="7"/>
      <c r="AD313" s="7"/>
      <c r="AE313" s="7"/>
    </row>
    <row r="314" spans="1:31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4"/>
      <c r="G314" s="213"/>
      <c r="H314" s="213"/>
      <c r="I314" s="215"/>
      <c r="J314" s="215"/>
      <c r="K314" s="215"/>
      <c r="L314" s="214"/>
      <c r="M314" s="647"/>
      <c r="N314" s="213"/>
      <c r="O314" s="213"/>
      <c r="P314" s="215"/>
      <c r="Q314" s="215"/>
      <c r="R314" s="616">
        <f t="shared" si="18"/>
        <v>0</v>
      </c>
      <c r="S314" s="633"/>
      <c r="T314" s="648"/>
      <c r="U314" s="648"/>
      <c r="V314" s="7"/>
      <c r="W314" s="699"/>
      <c r="X314" s="7"/>
      <c r="Y314" s="618">
        <f t="shared" si="19"/>
        <v>0</v>
      </c>
      <c r="Z314" s="7"/>
      <c r="AA314" s="7"/>
      <c r="AB314" s="7"/>
      <c r="AC314" s="7"/>
      <c r="AD314" s="7"/>
      <c r="AE314" s="7"/>
    </row>
    <row r="315" spans="1:31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4"/>
      <c r="G315" s="213"/>
      <c r="H315" s="213"/>
      <c r="I315" s="215"/>
      <c r="J315" s="215"/>
      <c r="K315" s="215"/>
      <c r="L315" s="214"/>
      <c r="M315" s="647"/>
      <c r="N315" s="213"/>
      <c r="O315" s="213"/>
      <c r="P315" s="215"/>
      <c r="Q315" s="215"/>
      <c r="R315" s="616">
        <f t="shared" si="18"/>
        <v>0</v>
      </c>
      <c r="S315" s="633"/>
      <c r="T315" s="636"/>
      <c r="U315" s="636"/>
      <c r="V315" s="7"/>
      <c r="W315" s="699"/>
      <c r="X315" s="7"/>
      <c r="Y315" s="618">
        <f t="shared" si="19"/>
        <v>0</v>
      </c>
      <c r="Z315" s="7"/>
      <c r="AA315" s="7"/>
      <c r="AB315" s="7"/>
      <c r="AC315" s="7"/>
      <c r="AD315" s="7"/>
      <c r="AE315" s="7"/>
    </row>
    <row r="316" spans="1:31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4"/>
      <c r="G316" s="213"/>
      <c r="H316" s="213"/>
      <c r="I316" s="215"/>
      <c r="J316" s="215"/>
      <c r="K316" s="215"/>
      <c r="L316" s="214"/>
      <c r="M316" s="647"/>
      <c r="N316" s="213"/>
      <c r="O316" s="213"/>
      <c r="P316" s="215"/>
      <c r="Q316" s="215"/>
      <c r="R316" s="616">
        <f t="shared" si="18"/>
        <v>0</v>
      </c>
      <c r="S316" s="633"/>
      <c r="T316" s="648"/>
      <c r="U316" s="648"/>
      <c r="V316" s="7"/>
      <c r="W316" s="699"/>
      <c r="X316" s="7"/>
      <c r="Y316" s="618">
        <f t="shared" si="19"/>
        <v>0</v>
      </c>
      <c r="Z316" s="7"/>
      <c r="AA316" s="7"/>
      <c r="AB316" s="7"/>
      <c r="AC316" s="7"/>
      <c r="AD316" s="7"/>
      <c r="AE316" s="7"/>
    </row>
    <row r="317" spans="1:31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4"/>
      <c r="G317" s="213"/>
      <c r="H317" s="213"/>
      <c r="I317" s="215"/>
      <c r="J317" s="215"/>
      <c r="K317" s="215"/>
      <c r="L317" s="214"/>
      <c r="M317" s="647"/>
      <c r="N317" s="213"/>
      <c r="O317" s="213"/>
      <c r="P317" s="215"/>
      <c r="Q317" s="215"/>
      <c r="R317" s="616">
        <f t="shared" si="18"/>
        <v>0</v>
      </c>
      <c r="S317" s="633"/>
      <c r="T317" s="648"/>
      <c r="U317" s="648"/>
      <c r="V317" s="7"/>
      <c r="W317" s="699"/>
      <c r="X317" s="7"/>
      <c r="Y317" s="618">
        <f t="shared" si="19"/>
        <v>0</v>
      </c>
      <c r="Z317" s="7"/>
      <c r="AA317" s="7"/>
      <c r="AB317" s="7"/>
      <c r="AC317" s="7"/>
      <c r="AD317" s="7"/>
      <c r="AE317" s="7"/>
    </row>
    <row r="318" spans="1:31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4"/>
      <c r="G318" s="213"/>
      <c r="H318" s="213"/>
      <c r="I318" s="215"/>
      <c r="J318" s="215"/>
      <c r="K318" s="215"/>
      <c r="L318" s="214"/>
      <c r="M318" s="647"/>
      <c r="N318" s="213"/>
      <c r="O318" s="213"/>
      <c r="P318" s="215"/>
      <c r="Q318" s="215"/>
      <c r="R318" s="616">
        <f t="shared" si="18"/>
        <v>0</v>
      </c>
      <c r="S318" s="633"/>
      <c r="T318" s="648"/>
      <c r="U318" s="648"/>
      <c r="V318" s="7"/>
      <c r="W318" s="699"/>
      <c r="X318" s="7"/>
      <c r="Y318" s="618">
        <f t="shared" si="19"/>
        <v>0</v>
      </c>
      <c r="Z318" s="7"/>
      <c r="AA318" s="7"/>
      <c r="AB318" s="7"/>
      <c r="AC318" s="7"/>
      <c r="AD318" s="7"/>
      <c r="AE318" s="7"/>
    </row>
    <row r="319" spans="1:31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4"/>
      <c r="G319" s="213"/>
      <c r="H319" s="213"/>
      <c r="I319" s="215"/>
      <c r="J319" s="215"/>
      <c r="K319" s="215"/>
      <c r="L319" s="214"/>
      <c r="M319" s="647"/>
      <c r="N319" s="213"/>
      <c r="O319" s="213"/>
      <c r="P319" s="215"/>
      <c r="Q319" s="215"/>
      <c r="R319" s="616">
        <f t="shared" si="18"/>
        <v>0</v>
      </c>
      <c r="S319" s="633"/>
      <c r="T319" s="648"/>
      <c r="U319" s="648"/>
      <c r="V319" s="7"/>
      <c r="W319" s="699"/>
      <c r="X319" s="7"/>
      <c r="Y319" s="618">
        <f t="shared" si="19"/>
        <v>0</v>
      </c>
      <c r="Z319" s="7"/>
      <c r="AA319" s="7"/>
      <c r="AB319" s="7"/>
      <c r="AC319" s="7"/>
      <c r="AD319" s="7"/>
      <c r="AE319" s="7"/>
    </row>
    <row r="320" spans="1:31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4"/>
      <c r="G320" s="213"/>
      <c r="H320" s="213"/>
      <c r="I320" s="215"/>
      <c r="J320" s="215"/>
      <c r="K320" s="215"/>
      <c r="L320" s="214"/>
      <c r="M320" s="620"/>
      <c r="N320" s="213"/>
      <c r="O320" s="213"/>
      <c r="P320" s="215"/>
      <c r="Q320" s="215"/>
      <c r="R320" s="616">
        <f t="shared" si="18"/>
        <v>0</v>
      </c>
      <c r="S320" s="633"/>
      <c r="T320" s="636"/>
      <c r="U320" s="636"/>
      <c r="V320" s="7"/>
      <c r="W320" s="699"/>
      <c r="X320" s="7"/>
      <c r="Y320" s="618">
        <f t="shared" si="19"/>
        <v>0</v>
      </c>
      <c r="Z320" s="7"/>
      <c r="AA320" s="7"/>
      <c r="AB320" s="7"/>
      <c r="AC320" s="7"/>
      <c r="AD320" s="7"/>
      <c r="AE320" s="7"/>
    </row>
    <row r="321" spans="1:31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4"/>
      <c r="G321" s="213"/>
      <c r="H321" s="213"/>
      <c r="I321" s="215"/>
      <c r="J321" s="215"/>
      <c r="K321" s="215"/>
      <c r="L321" s="214"/>
      <c r="M321" s="647"/>
      <c r="N321" s="213"/>
      <c r="O321" s="213"/>
      <c r="P321" s="215"/>
      <c r="Q321" s="215"/>
      <c r="R321" s="616">
        <f t="shared" si="18"/>
        <v>0</v>
      </c>
      <c r="S321" s="633"/>
      <c r="T321" s="636"/>
      <c r="U321" s="636"/>
      <c r="V321" s="7"/>
      <c r="W321" s="699"/>
      <c r="X321" s="7"/>
      <c r="Y321" s="618">
        <f t="shared" si="19"/>
        <v>0</v>
      </c>
      <c r="Z321" s="7"/>
      <c r="AA321" s="7"/>
      <c r="AB321" s="7"/>
      <c r="AC321" s="7"/>
      <c r="AD321" s="7"/>
      <c r="AE321" s="7"/>
    </row>
    <row r="322" spans="1:31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4"/>
      <c r="G322" s="213"/>
      <c r="H322" s="213"/>
      <c r="I322" s="215"/>
      <c r="J322" s="215"/>
      <c r="K322" s="215"/>
      <c r="L322" s="214"/>
      <c r="M322" s="647"/>
      <c r="N322" s="213"/>
      <c r="O322" s="213"/>
      <c r="P322" s="215"/>
      <c r="Q322" s="215"/>
      <c r="R322" s="616">
        <f t="shared" si="18"/>
        <v>0</v>
      </c>
      <c r="S322" s="633"/>
      <c r="T322" s="636"/>
      <c r="U322" s="636"/>
      <c r="V322" s="7"/>
      <c r="W322" s="699"/>
      <c r="X322" s="7"/>
      <c r="Y322" s="618">
        <f t="shared" si="19"/>
        <v>0</v>
      </c>
      <c r="Z322" s="7"/>
      <c r="AA322" s="7"/>
      <c r="AB322" s="7"/>
      <c r="AC322" s="7"/>
      <c r="AD322" s="7"/>
      <c r="AE322" s="7"/>
    </row>
    <row r="323" spans="1:31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4"/>
      <c r="G323" s="213"/>
      <c r="H323" s="213"/>
      <c r="I323" s="215"/>
      <c r="J323" s="215"/>
      <c r="K323" s="215"/>
      <c r="L323" s="214"/>
      <c r="M323" s="647"/>
      <c r="N323" s="213"/>
      <c r="O323" s="213"/>
      <c r="P323" s="215"/>
      <c r="Q323" s="215"/>
      <c r="R323" s="616">
        <f t="shared" si="18"/>
        <v>0</v>
      </c>
      <c r="S323" s="633"/>
      <c r="T323" s="636"/>
      <c r="U323" s="636"/>
      <c r="V323" s="7"/>
      <c r="W323" s="699"/>
      <c r="X323" s="7"/>
      <c r="Y323" s="618">
        <f t="shared" si="19"/>
        <v>0</v>
      </c>
      <c r="Z323" s="7"/>
      <c r="AA323" s="7"/>
      <c r="AB323" s="7"/>
      <c r="AC323" s="7"/>
      <c r="AD323" s="7"/>
      <c r="AE323" s="7"/>
    </row>
    <row r="324" spans="1:31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4"/>
      <c r="G324" s="213"/>
      <c r="H324" s="213"/>
      <c r="I324" s="215"/>
      <c r="J324" s="215"/>
      <c r="K324" s="215"/>
      <c r="L324" s="214"/>
      <c r="M324" s="647"/>
      <c r="N324" s="213"/>
      <c r="O324" s="213"/>
      <c r="P324" s="215"/>
      <c r="Q324" s="215"/>
      <c r="R324" s="616">
        <f t="shared" si="18"/>
        <v>0</v>
      </c>
      <c r="S324" s="633"/>
      <c r="T324" s="636"/>
      <c r="U324" s="636"/>
      <c r="V324" s="7"/>
      <c r="W324" s="699"/>
      <c r="X324" s="7"/>
      <c r="Y324" s="618">
        <f t="shared" si="19"/>
        <v>0</v>
      </c>
      <c r="Z324" s="7"/>
      <c r="AA324" s="7"/>
      <c r="AB324" s="7"/>
      <c r="AC324" s="7"/>
      <c r="AD324" s="7"/>
      <c r="AE324" s="7"/>
    </row>
    <row r="325" spans="1:31" ht="33.75" customHeight="1">
      <c r="A325" s="486"/>
      <c r="B325" s="487" t="s">
        <v>703</v>
      </c>
      <c r="C325" s="656" t="s">
        <v>704</v>
      </c>
      <c r="D325" s="519" t="s">
        <v>2330</v>
      </c>
      <c r="E325" s="213"/>
      <c r="F325" s="214"/>
      <c r="G325" s="213"/>
      <c r="H325" s="213"/>
      <c r="I325" s="215"/>
      <c r="J325" s="215"/>
      <c r="K325" s="215"/>
      <c r="L325" s="214"/>
      <c r="M325" s="193"/>
      <c r="N325" s="213"/>
      <c r="O325" s="213"/>
      <c r="P325" s="215"/>
      <c r="Q325" s="215"/>
      <c r="R325" s="616">
        <f t="shared" si="18"/>
        <v>0</v>
      </c>
      <c r="S325" s="633"/>
      <c r="T325" s="636"/>
      <c r="U325" s="636"/>
      <c r="V325" s="7"/>
      <c r="W325" s="699">
        <v>115.5</v>
      </c>
      <c r="X325" s="7"/>
      <c r="Y325" s="618">
        <f t="shared" si="19"/>
        <v>115.5</v>
      </c>
      <c r="Z325" s="7"/>
      <c r="AA325" s="7"/>
      <c r="AB325" s="7"/>
      <c r="AC325" s="7"/>
      <c r="AD325" s="7"/>
      <c r="AE325" s="7"/>
    </row>
    <row r="326" spans="1:31" ht="25.5" customHeight="1">
      <c r="A326" s="503"/>
      <c r="B326" s="483" t="s">
        <v>707</v>
      </c>
      <c r="C326" s="629" t="s">
        <v>131</v>
      </c>
      <c r="D326" s="354" t="s">
        <v>2331</v>
      </c>
      <c r="E326" s="213"/>
      <c r="F326" s="214"/>
      <c r="G326" s="213"/>
      <c r="H326" s="213"/>
      <c r="I326" s="215"/>
      <c r="J326" s="215"/>
      <c r="K326" s="215"/>
      <c r="L326" s="214"/>
      <c r="M326" s="193"/>
      <c r="N326" s="213"/>
      <c r="O326" s="213"/>
      <c r="P326" s="215"/>
      <c r="Q326" s="215"/>
      <c r="R326" s="616">
        <f t="shared" si="18"/>
        <v>0</v>
      </c>
      <c r="S326" s="633"/>
      <c r="T326" s="634"/>
      <c r="U326" s="634"/>
      <c r="V326" s="7"/>
      <c r="W326" s="699">
        <v>115.5</v>
      </c>
      <c r="X326" s="7"/>
      <c r="Y326" s="618">
        <f t="shared" si="19"/>
        <v>115.5</v>
      </c>
      <c r="Z326" s="7"/>
      <c r="AA326" s="7"/>
      <c r="AB326" s="7"/>
      <c r="AC326" s="7"/>
      <c r="AD326" s="7"/>
      <c r="AE326" s="7"/>
    </row>
    <row r="327" spans="1:31" ht="21" customHeight="1">
      <c r="A327" s="503"/>
      <c r="B327" s="483" t="s">
        <v>709</v>
      </c>
      <c r="C327" s="629" t="s">
        <v>200</v>
      </c>
      <c r="D327" s="354" t="s">
        <v>2332</v>
      </c>
      <c r="E327" s="213"/>
      <c r="F327" s="214"/>
      <c r="G327" s="213"/>
      <c r="H327" s="213"/>
      <c r="I327" s="215"/>
      <c r="J327" s="215"/>
      <c r="K327" s="215"/>
      <c r="L327" s="214"/>
      <c r="M327" s="193"/>
      <c r="N327" s="213"/>
      <c r="O327" s="213"/>
      <c r="P327" s="215"/>
      <c r="Q327" s="215"/>
      <c r="R327" s="616">
        <f t="shared" si="18"/>
        <v>0</v>
      </c>
      <c r="S327" s="633"/>
      <c r="T327" s="636"/>
      <c r="U327" s="636"/>
      <c r="V327" s="7"/>
      <c r="W327" s="699"/>
      <c r="X327" s="7"/>
      <c r="Y327" s="618">
        <f t="shared" si="19"/>
        <v>0</v>
      </c>
      <c r="Z327" s="7"/>
      <c r="AA327" s="7"/>
      <c r="AB327" s="7"/>
      <c r="AC327" s="7"/>
      <c r="AD327" s="7"/>
      <c r="AE327" s="7"/>
    </row>
    <row r="328" spans="1:31" ht="21" customHeight="1">
      <c r="A328" s="503"/>
      <c r="B328" s="483" t="s">
        <v>711</v>
      </c>
      <c r="C328" s="629" t="s">
        <v>203</v>
      </c>
      <c r="D328" s="354" t="s">
        <v>2333</v>
      </c>
      <c r="E328" s="213"/>
      <c r="F328" s="214"/>
      <c r="G328" s="213"/>
      <c r="H328" s="213"/>
      <c r="I328" s="215"/>
      <c r="J328" s="215"/>
      <c r="K328" s="215"/>
      <c r="L328" s="214"/>
      <c r="M328" s="193"/>
      <c r="N328" s="213"/>
      <c r="O328" s="213"/>
      <c r="P328" s="215"/>
      <c r="Q328" s="215"/>
      <c r="R328" s="616">
        <f t="shared" si="18"/>
        <v>0</v>
      </c>
      <c r="S328" s="633"/>
      <c r="T328" s="636"/>
      <c r="U328" s="636"/>
      <c r="V328" s="7"/>
      <c r="W328" s="699"/>
      <c r="X328" s="7"/>
      <c r="Y328" s="618">
        <f t="shared" si="19"/>
        <v>0</v>
      </c>
      <c r="Z328" s="7"/>
      <c r="AA328" s="7"/>
      <c r="AB328" s="7"/>
      <c r="AC328" s="7"/>
      <c r="AD328" s="7"/>
      <c r="AE328" s="7"/>
    </row>
    <row r="329" spans="1:31" ht="21" customHeight="1">
      <c r="A329" s="503"/>
      <c r="B329" s="483" t="s">
        <v>713</v>
      </c>
      <c r="C329" s="629" t="s">
        <v>159</v>
      </c>
      <c r="D329" s="354" t="s">
        <v>2334</v>
      </c>
      <c r="E329" s="213"/>
      <c r="F329" s="214"/>
      <c r="G329" s="213"/>
      <c r="H329" s="213"/>
      <c r="I329" s="215"/>
      <c r="J329" s="215"/>
      <c r="K329" s="215"/>
      <c r="L329" s="214"/>
      <c r="M329" s="193"/>
      <c r="N329" s="213"/>
      <c r="O329" s="213"/>
      <c r="P329" s="215"/>
      <c r="Q329" s="215"/>
      <c r="R329" s="616">
        <f t="shared" si="18"/>
        <v>0</v>
      </c>
      <c r="S329" s="633"/>
      <c r="T329" s="636"/>
      <c r="U329" s="636"/>
      <c r="V329" s="7"/>
      <c r="W329" s="699"/>
      <c r="X329" s="7"/>
      <c r="Y329" s="618">
        <f t="shared" si="19"/>
        <v>0</v>
      </c>
      <c r="Z329" s="7"/>
      <c r="AA329" s="7"/>
      <c r="AB329" s="7"/>
      <c r="AC329" s="7"/>
      <c r="AD329" s="7"/>
      <c r="AE329" s="7"/>
    </row>
    <row r="330" spans="1:31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4"/>
      <c r="G330" s="213"/>
      <c r="H330" s="213"/>
      <c r="I330" s="215"/>
      <c r="J330" s="215"/>
      <c r="K330" s="215"/>
      <c r="L330" s="214"/>
      <c r="M330" s="620"/>
      <c r="N330" s="213"/>
      <c r="O330" s="213"/>
      <c r="P330" s="215"/>
      <c r="Q330" s="215"/>
      <c r="R330" s="616">
        <f t="shared" si="18"/>
        <v>0</v>
      </c>
      <c r="S330" s="633"/>
      <c r="T330" s="636"/>
      <c r="U330" s="636"/>
      <c r="V330" s="7"/>
      <c r="W330" s="699"/>
      <c r="X330" s="7"/>
      <c r="Y330" s="618">
        <f t="shared" si="19"/>
        <v>0</v>
      </c>
      <c r="Z330" s="7"/>
      <c r="AA330" s="7"/>
      <c r="AB330" s="7"/>
      <c r="AC330" s="7"/>
      <c r="AD330" s="7"/>
      <c r="AE330" s="7"/>
    </row>
    <row r="331" spans="1:31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4"/>
      <c r="G331" s="213"/>
      <c r="H331" s="213"/>
      <c r="I331" s="215"/>
      <c r="J331" s="215"/>
      <c r="K331" s="215"/>
      <c r="L331" s="214"/>
      <c r="M331" s="647"/>
      <c r="N331" s="213"/>
      <c r="O331" s="213"/>
      <c r="P331" s="215"/>
      <c r="Q331" s="215"/>
      <c r="R331" s="616">
        <f t="shared" si="18"/>
        <v>0</v>
      </c>
      <c r="S331" s="633"/>
      <c r="T331" s="654"/>
      <c r="U331" s="654"/>
      <c r="V331" s="7"/>
      <c r="W331" s="699"/>
      <c r="X331" s="7"/>
      <c r="Y331" s="618">
        <f t="shared" si="19"/>
        <v>0</v>
      </c>
      <c r="Z331" s="7"/>
      <c r="AA331" s="7"/>
      <c r="AB331" s="7"/>
      <c r="AC331" s="7"/>
      <c r="AD331" s="7"/>
      <c r="AE331" s="7"/>
    </row>
    <row r="332" spans="1:31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4"/>
      <c r="G332" s="213"/>
      <c r="H332" s="213"/>
      <c r="I332" s="215"/>
      <c r="J332" s="215"/>
      <c r="K332" s="215"/>
      <c r="L332" s="214"/>
      <c r="M332" s="647"/>
      <c r="N332" s="213"/>
      <c r="O332" s="213"/>
      <c r="P332" s="215"/>
      <c r="Q332" s="215"/>
      <c r="R332" s="616">
        <f t="shared" si="18"/>
        <v>0</v>
      </c>
      <c r="S332" s="633"/>
      <c r="T332" s="648"/>
      <c r="U332" s="648"/>
      <c r="V332" s="7"/>
      <c r="W332" s="699"/>
      <c r="X332" s="7"/>
      <c r="Y332" s="618">
        <f t="shared" si="19"/>
        <v>0</v>
      </c>
      <c r="Z332" s="7"/>
      <c r="AA332" s="7"/>
      <c r="AB332" s="7"/>
      <c r="AC332" s="7"/>
      <c r="AD332" s="7"/>
      <c r="AE332" s="7"/>
    </row>
    <row r="333" spans="1:31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4"/>
      <c r="G333" s="213"/>
      <c r="H333" s="213"/>
      <c r="I333" s="215"/>
      <c r="J333" s="215"/>
      <c r="K333" s="215"/>
      <c r="L333" s="214"/>
      <c r="M333" s="647"/>
      <c r="N333" s="213"/>
      <c r="O333" s="213"/>
      <c r="P333" s="215"/>
      <c r="Q333" s="215"/>
      <c r="R333" s="616">
        <f t="shared" si="18"/>
        <v>0</v>
      </c>
      <c r="S333" s="633"/>
      <c r="T333" s="648"/>
      <c r="U333" s="648"/>
      <c r="V333" s="7"/>
      <c r="W333" s="699"/>
      <c r="X333" s="7"/>
      <c r="Y333" s="618">
        <f t="shared" si="19"/>
        <v>0</v>
      </c>
      <c r="Z333" s="7"/>
      <c r="AA333" s="7"/>
      <c r="AB333" s="7"/>
      <c r="AC333" s="7"/>
      <c r="AD333" s="7"/>
      <c r="AE333" s="7"/>
    </row>
    <row r="334" spans="1:31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4"/>
      <c r="G334" s="213"/>
      <c r="H334" s="213"/>
      <c r="I334" s="215"/>
      <c r="J334" s="215"/>
      <c r="K334" s="215"/>
      <c r="L334" s="214"/>
      <c r="M334" s="647"/>
      <c r="N334" s="213"/>
      <c r="O334" s="213"/>
      <c r="P334" s="215"/>
      <c r="Q334" s="215"/>
      <c r="R334" s="616">
        <f t="shared" si="18"/>
        <v>0</v>
      </c>
      <c r="S334" s="633"/>
      <c r="T334" s="648"/>
      <c r="U334" s="648"/>
      <c r="V334" s="7"/>
      <c r="W334" s="699"/>
      <c r="X334" s="7"/>
      <c r="Y334" s="618">
        <f t="shared" si="19"/>
        <v>0</v>
      </c>
      <c r="Z334" s="7"/>
      <c r="AA334" s="7"/>
      <c r="AB334" s="7"/>
      <c r="AC334" s="7"/>
      <c r="AD334" s="7"/>
      <c r="AE334" s="7"/>
    </row>
    <row r="335" spans="1:31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4"/>
      <c r="G335" s="213"/>
      <c r="H335" s="213"/>
      <c r="I335" s="215"/>
      <c r="J335" s="215"/>
      <c r="K335" s="215"/>
      <c r="L335" s="214"/>
      <c r="M335" s="647"/>
      <c r="N335" s="213"/>
      <c r="O335" s="213"/>
      <c r="P335" s="215"/>
      <c r="Q335" s="215"/>
      <c r="R335" s="616">
        <f t="shared" si="18"/>
        <v>0</v>
      </c>
      <c r="S335" s="633"/>
      <c r="T335" s="648"/>
      <c r="U335" s="648"/>
      <c r="V335" s="7"/>
      <c r="W335" s="699"/>
      <c r="X335" s="7"/>
      <c r="Y335" s="618">
        <f t="shared" si="19"/>
        <v>0</v>
      </c>
      <c r="Z335" s="7"/>
      <c r="AA335" s="7"/>
      <c r="AB335" s="7"/>
      <c r="AC335" s="7"/>
      <c r="AD335" s="7"/>
      <c r="AE335" s="7"/>
    </row>
    <row r="336" spans="1:31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4"/>
      <c r="G336" s="213"/>
      <c r="H336" s="213"/>
      <c r="I336" s="215"/>
      <c r="J336" s="215"/>
      <c r="K336" s="215"/>
      <c r="L336" s="214"/>
      <c r="M336" s="647"/>
      <c r="N336" s="213"/>
      <c r="O336" s="213"/>
      <c r="P336" s="215"/>
      <c r="Q336" s="215"/>
      <c r="R336" s="616">
        <f t="shared" si="18"/>
        <v>0</v>
      </c>
      <c r="S336" s="633"/>
      <c r="T336" s="654"/>
      <c r="U336" s="654"/>
      <c r="V336" s="7"/>
      <c r="W336" s="699"/>
      <c r="X336" s="7"/>
      <c r="Y336" s="618">
        <f t="shared" si="19"/>
        <v>0</v>
      </c>
      <c r="Z336" s="7"/>
      <c r="AA336" s="7"/>
      <c r="AB336" s="7"/>
      <c r="AC336" s="7"/>
      <c r="AD336" s="7"/>
      <c r="AE336" s="7"/>
    </row>
    <row r="337" spans="1:31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4"/>
      <c r="G337" s="213"/>
      <c r="H337" s="213"/>
      <c r="I337" s="215"/>
      <c r="J337" s="215"/>
      <c r="K337" s="215"/>
      <c r="L337" s="214"/>
      <c r="M337" s="647"/>
      <c r="N337" s="213"/>
      <c r="O337" s="213"/>
      <c r="P337" s="215"/>
      <c r="Q337" s="215"/>
      <c r="R337" s="616">
        <f t="shared" si="18"/>
        <v>0</v>
      </c>
      <c r="S337" s="633"/>
      <c r="T337" s="654"/>
      <c r="U337" s="654"/>
      <c r="V337" s="7"/>
      <c r="W337" s="699"/>
      <c r="X337" s="7"/>
      <c r="Y337" s="618">
        <f t="shared" si="19"/>
        <v>0</v>
      </c>
      <c r="Z337" s="7"/>
      <c r="AA337" s="7"/>
      <c r="AB337" s="7"/>
      <c r="AC337" s="7"/>
      <c r="AD337" s="7"/>
      <c r="AE337" s="7"/>
    </row>
    <row r="338" spans="1:31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4"/>
      <c r="G338" s="213"/>
      <c r="H338" s="213"/>
      <c r="I338" s="215"/>
      <c r="J338" s="215"/>
      <c r="K338" s="215"/>
      <c r="L338" s="214"/>
      <c r="M338" s="647"/>
      <c r="N338" s="213"/>
      <c r="O338" s="213"/>
      <c r="P338" s="215"/>
      <c r="Q338" s="215"/>
      <c r="R338" s="616">
        <f t="shared" si="18"/>
        <v>0</v>
      </c>
      <c r="S338" s="633"/>
      <c r="T338" s="654"/>
      <c r="U338" s="654"/>
      <c r="V338" s="7"/>
      <c r="W338" s="699"/>
      <c r="X338" s="7"/>
      <c r="Y338" s="618">
        <f t="shared" si="19"/>
        <v>0</v>
      </c>
      <c r="Z338" s="7"/>
      <c r="AA338" s="7"/>
      <c r="AB338" s="7"/>
      <c r="AC338" s="7"/>
      <c r="AD338" s="7"/>
      <c r="AE338" s="7"/>
    </row>
    <row r="339" spans="1:31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4"/>
      <c r="G339" s="213"/>
      <c r="H339" s="213"/>
      <c r="I339" s="215"/>
      <c r="J339" s="215"/>
      <c r="K339" s="215"/>
      <c r="L339" s="214"/>
      <c r="M339" s="647"/>
      <c r="N339" s="213"/>
      <c r="O339" s="213"/>
      <c r="P339" s="215"/>
      <c r="Q339" s="215"/>
      <c r="R339" s="616">
        <f t="shared" si="18"/>
        <v>0</v>
      </c>
      <c r="S339" s="633"/>
      <c r="T339" s="654"/>
      <c r="U339" s="654"/>
      <c r="V339" s="7"/>
      <c r="W339" s="699"/>
      <c r="X339" s="7"/>
      <c r="Y339" s="618">
        <f t="shared" si="19"/>
        <v>0</v>
      </c>
      <c r="Z339" s="7"/>
      <c r="AA339" s="7"/>
      <c r="AB339" s="7"/>
      <c r="AC339" s="7"/>
      <c r="AD339" s="7"/>
      <c r="AE339" s="7"/>
    </row>
    <row r="340" spans="1:31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4"/>
      <c r="G340" s="213"/>
      <c r="H340" s="213"/>
      <c r="I340" s="215"/>
      <c r="J340" s="215"/>
      <c r="K340" s="215"/>
      <c r="L340" s="214"/>
      <c r="M340" s="647"/>
      <c r="N340" s="213"/>
      <c r="O340" s="213"/>
      <c r="P340" s="215"/>
      <c r="Q340" s="215"/>
      <c r="R340" s="616">
        <f t="shared" si="18"/>
        <v>0</v>
      </c>
      <c r="S340" s="633"/>
      <c r="T340" s="648"/>
      <c r="U340" s="648"/>
      <c r="V340" s="7"/>
      <c r="W340" s="699"/>
      <c r="X340" s="7"/>
      <c r="Y340" s="618">
        <f t="shared" si="19"/>
        <v>0</v>
      </c>
      <c r="Z340" s="7"/>
      <c r="AA340" s="7"/>
      <c r="AB340" s="7"/>
      <c r="AC340" s="7"/>
      <c r="AD340" s="7"/>
      <c r="AE340" s="7"/>
    </row>
    <row r="341" spans="1:31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4"/>
      <c r="G341" s="213"/>
      <c r="H341" s="213"/>
      <c r="I341" s="215"/>
      <c r="J341" s="215"/>
      <c r="K341" s="215"/>
      <c r="L341" s="214"/>
      <c r="M341" s="647"/>
      <c r="N341" s="213"/>
      <c r="O341" s="213"/>
      <c r="P341" s="215"/>
      <c r="Q341" s="215"/>
      <c r="R341" s="616">
        <f t="shared" si="18"/>
        <v>0</v>
      </c>
      <c r="S341" s="633"/>
      <c r="T341" s="654"/>
      <c r="U341" s="654"/>
      <c r="V341" s="7"/>
      <c r="W341" s="699"/>
      <c r="X341" s="7"/>
      <c r="Y341" s="618">
        <f t="shared" si="19"/>
        <v>0</v>
      </c>
      <c r="Z341" s="7"/>
      <c r="AA341" s="7"/>
      <c r="AB341" s="7"/>
      <c r="AC341" s="7"/>
      <c r="AD341" s="7"/>
      <c r="AE341" s="7"/>
    </row>
    <row r="342" spans="1:31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4"/>
      <c r="G342" s="213"/>
      <c r="H342" s="213"/>
      <c r="I342" s="215"/>
      <c r="J342" s="215"/>
      <c r="K342" s="215"/>
      <c r="L342" s="214"/>
      <c r="M342" s="647"/>
      <c r="N342" s="213"/>
      <c r="O342" s="213"/>
      <c r="P342" s="215"/>
      <c r="Q342" s="215"/>
      <c r="R342" s="616">
        <f t="shared" si="18"/>
        <v>0</v>
      </c>
      <c r="S342" s="633"/>
      <c r="T342" s="654"/>
      <c r="U342" s="654"/>
      <c r="V342" s="7"/>
      <c r="W342" s="699"/>
      <c r="X342" s="7"/>
      <c r="Y342" s="618">
        <f t="shared" si="19"/>
        <v>0</v>
      </c>
      <c r="Z342" s="7"/>
      <c r="AA342" s="7"/>
      <c r="AB342" s="7"/>
      <c r="AC342" s="7"/>
      <c r="AD342" s="7"/>
      <c r="AE342" s="7"/>
    </row>
    <row r="343" spans="1:31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4"/>
      <c r="G343" s="213"/>
      <c r="H343" s="213"/>
      <c r="I343" s="215"/>
      <c r="J343" s="215"/>
      <c r="K343" s="215"/>
      <c r="L343" s="214"/>
      <c r="M343" s="647"/>
      <c r="N343" s="213"/>
      <c r="O343" s="213"/>
      <c r="P343" s="215"/>
      <c r="Q343" s="215"/>
      <c r="R343" s="616">
        <f t="shared" si="18"/>
        <v>0</v>
      </c>
      <c r="S343" s="633"/>
      <c r="T343" s="654"/>
      <c r="U343" s="654"/>
      <c r="V343" s="7"/>
      <c r="W343" s="699"/>
      <c r="X343" s="7"/>
      <c r="Y343" s="618">
        <f t="shared" si="19"/>
        <v>0</v>
      </c>
      <c r="Z343" s="7"/>
      <c r="AA343" s="7"/>
      <c r="AB343" s="7"/>
      <c r="AC343" s="7"/>
      <c r="AD343" s="7"/>
      <c r="AE343" s="7"/>
    </row>
    <row r="344" spans="1:31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4"/>
      <c r="G344" s="213"/>
      <c r="H344" s="213"/>
      <c r="I344" s="215"/>
      <c r="J344" s="215"/>
      <c r="K344" s="215"/>
      <c r="L344" s="214"/>
      <c r="M344" s="647"/>
      <c r="N344" s="213"/>
      <c r="O344" s="213"/>
      <c r="P344" s="215"/>
      <c r="Q344" s="215"/>
      <c r="R344" s="616">
        <f t="shared" si="18"/>
        <v>0</v>
      </c>
      <c r="S344" s="633"/>
      <c r="T344" s="654"/>
      <c r="U344" s="654"/>
      <c r="V344" s="7"/>
      <c r="W344" s="699"/>
      <c r="X344" s="7"/>
      <c r="Y344" s="618">
        <f t="shared" si="19"/>
        <v>0</v>
      </c>
      <c r="Z344" s="7"/>
      <c r="AA344" s="7"/>
      <c r="AB344" s="7"/>
      <c r="AC344" s="7"/>
      <c r="AD344" s="7"/>
      <c r="AE344" s="7"/>
    </row>
    <row r="345" spans="1:31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4"/>
      <c r="G345" s="213"/>
      <c r="H345" s="213"/>
      <c r="I345" s="215"/>
      <c r="J345" s="215"/>
      <c r="K345" s="215"/>
      <c r="L345" s="214"/>
      <c r="M345" s="647"/>
      <c r="N345" s="213"/>
      <c r="O345" s="213"/>
      <c r="P345" s="215"/>
      <c r="Q345" s="215"/>
      <c r="R345" s="616">
        <f t="shared" si="18"/>
        <v>0</v>
      </c>
      <c r="S345" s="633"/>
      <c r="T345" s="654"/>
      <c r="U345" s="654"/>
      <c r="V345" s="7"/>
      <c r="W345" s="699"/>
      <c r="X345" s="7"/>
      <c r="Y345" s="618">
        <f t="shared" si="19"/>
        <v>0</v>
      </c>
      <c r="Z345" s="7"/>
      <c r="AA345" s="7"/>
      <c r="AB345" s="7"/>
      <c r="AC345" s="7"/>
      <c r="AD345" s="7"/>
      <c r="AE345" s="7"/>
    </row>
    <row r="346" spans="1:31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4"/>
      <c r="G346" s="213"/>
      <c r="H346" s="213"/>
      <c r="I346" s="215"/>
      <c r="J346" s="215"/>
      <c r="K346" s="215"/>
      <c r="L346" s="214"/>
      <c r="M346" s="662"/>
      <c r="N346" s="213"/>
      <c r="O346" s="213"/>
      <c r="P346" s="215"/>
      <c r="Q346" s="215"/>
      <c r="R346" s="616">
        <f t="shared" si="18"/>
        <v>0</v>
      </c>
      <c r="S346" s="633"/>
      <c r="T346" s="636"/>
      <c r="U346" s="636"/>
      <c r="V346" s="7"/>
      <c r="W346" s="699"/>
      <c r="X346" s="7"/>
      <c r="Y346" s="618">
        <f t="shared" si="19"/>
        <v>0</v>
      </c>
      <c r="Z346" s="7"/>
      <c r="AA346" s="7"/>
      <c r="AB346" s="7"/>
      <c r="AC346" s="7"/>
      <c r="AD346" s="7"/>
      <c r="AE346" s="7"/>
    </row>
    <row r="347" spans="1:31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4"/>
      <c r="G347" s="213"/>
      <c r="H347" s="213"/>
      <c r="I347" s="215"/>
      <c r="J347" s="215"/>
      <c r="K347" s="215"/>
      <c r="L347" s="214"/>
      <c r="M347" s="662"/>
      <c r="N347" s="213"/>
      <c r="O347" s="213"/>
      <c r="P347" s="215"/>
      <c r="Q347" s="215"/>
      <c r="R347" s="616">
        <f t="shared" si="18"/>
        <v>0</v>
      </c>
      <c r="S347" s="633"/>
      <c r="T347" s="636"/>
      <c r="U347" s="636"/>
      <c r="V347" s="7"/>
      <c r="W347" s="699"/>
      <c r="X347" s="7"/>
      <c r="Y347" s="618">
        <f t="shared" si="19"/>
        <v>0</v>
      </c>
      <c r="Z347" s="7"/>
      <c r="AA347" s="7"/>
      <c r="AB347" s="7"/>
      <c r="AC347" s="7"/>
      <c r="AD347" s="7"/>
      <c r="AE347" s="7"/>
    </row>
    <row r="348" spans="1:31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4"/>
      <c r="G348" s="213"/>
      <c r="H348" s="213"/>
      <c r="I348" s="215"/>
      <c r="J348" s="215"/>
      <c r="K348" s="215"/>
      <c r="L348" s="214"/>
      <c r="M348" s="662"/>
      <c r="N348" s="213"/>
      <c r="O348" s="213"/>
      <c r="P348" s="215"/>
      <c r="Q348" s="215"/>
      <c r="R348" s="616">
        <f t="shared" si="18"/>
        <v>0</v>
      </c>
      <c r="S348" s="633"/>
      <c r="T348" s="636"/>
      <c r="U348" s="636"/>
      <c r="V348" s="7"/>
      <c r="W348" s="699"/>
      <c r="X348" s="7"/>
      <c r="Y348" s="618">
        <f t="shared" si="19"/>
        <v>0</v>
      </c>
      <c r="Z348" s="7"/>
      <c r="AA348" s="7"/>
      <c r="AB348" s="7"/>
      <c r="AC348" s="7"/>
      <c r="AD348" s="7"/>
      <c r="AE348" s="7"/>
    </row>
    <row r="349" spans="1:31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4"/>
      <c r="G349" s="213"/>
      <c r="H349" s="213"/>
      <c r="I349" s="215"/>
      <c r="J349" s="215"/>
      <c r="K349" s="215"/>
      <c r="L349" s="214"/>
      <c r="M349" s="662"/>
      <c r="N349" s="213"/>
      <c r="O349" s="213"/>
      <c r="P349" s="215"/>
      <c r="Q349" s="215"/>
      <c r="R349" s="616">
        <f t="shared" si="18"/>
        <v>0</v>
      </c>
      <c r="S349" s="633"/>
      <c r="T349" s="636"/>
      <c r="U349" s="636"/>
      <c r="V349" s="7"/>
      <c r="W349" s="699"/>
      <c r="X349" s="7"/>
      <c r="Y349" s="618">
        <f t="shared" si="19"/>
        <v>0</v>
      </c>
      <c r="Z349" s="7"/>
      <c r="AA349" s="7"/>
      <c r="AB349" s="7"/>
      <c r="AC349" s="7"/>
      <c r="AD349" s="7"/>
      <c r="AE349" s="7"/>
    </row>
    <row r="350" spans="1:31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4"/>
      <c r="G350" s="213"/>
      <c r="H350" s="213"/>
      <c r="I350" s="215"/>
      <c r="J350" s="215"/>
      <c r="K350" s="215"/>
      <c r="L350" s="214"/>
      <c r="M350" s="662"/>
      <c r="N350" s="213"/>
      <c r="O350" s="213"/>
      <c r="P350" s="215"/>
      <c r="Q350" s="215"/>
      <c r="R350" s="616">
        <f t="shared" si="18"/>
        <v>0</v>
      </c>
      <c r="S350" s="633"/>
      <c r="T350" s="636"/>
      <c r="U350" s="636"/>
      <c r="V350" s="7"/>
      <c r="W350" s="699"/>
      <c r="X350" s="7"/>
      <c r="Y350" s="618">
        <f t="shared" si="19"/>
        <v>0</v>
      </c>
      <c r="Z350" s="7"/>
      <c r="AA350" s="7"/>
      <c r="AB350" s="7"/>
      <c r="AC350" s="7"/>
      <c r="AD350" s="7"/>
      <c r="AE350" s="7"/>
    </row>
    <row r="351" spans="1:31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4"/>
      <c r="G351" s="213"/>
      <c r="H351" s="213"/>
      <c r="I351" s="215"/>
      <c r="J351" s="215"/>
      <c r="K351" s="215"/>
      <c r="L351" s="214"/>
      <c r="M351" s="665"/>
      <c r="N351" s="213"/>
      <c r="O351" s="213"/>
      <c r="P351" s="215"/>
      <c r="Q351" s="215"/>
      <c r="R351" s="616">
        <f t="shared" si="18"/>
        <v>0</v>
      </c>
      <c r="S351" s="633"/>
      <c r="T351" s="636"/>
      <c r="U351" s="636"/>
      <c r="V351" s="7"/>
      <c r="W351" s="699"/>
      <c r="X351" s="7"/>
      <c r="Y351" s="618">
        <f t="shared" si="19"/>
        <v>0</v>
      </c>
      <c r="Z351" s="7"/>
      <c r="AA351" s="7"/>
      <c r="AB351" s="7"/>
      <c r="AC351" s="7"/>
      <c r="AD351" s="7"/>
      <c r="AE351" s="7"/>
    </row>
    <row r="352" spans="1:31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4"/>
      <c r="G352" s="213"/>
      <c r="H352" s="213"/>
      <c r="I352" s="215"/>
      <c r="J352" s="215"/>
      <c r="K352" s="215"/>
      <c r="L352" s="214"/>
      <c r="M352" s="662"/>
      <c r="N352" s="213"/>
      <c r="O352" s="213"/>
      <c r="P352" s="215"/>
      <c r="Q352" s="215"/>
      <c r="R352" s="616">
        <f t="shared" si="18"/>
        <v>0</v>
      </c>
      <c r="S352" s="633"/>
      <c r="T352" s="636"/>
      <c r="U352" s="636"/>
      <c r="V352" s="7"/>
      <c r="W352" s="699"/>
      <c r="X352" s="7"/>
      <c r="Y352" s="618">
        <f t="shared" si="19"/>
        <v>0</v>
      </c>
      <c r="Z352" s="7"/>
      <c r="AA352" s="7"/>
      <c r="AB352" s="7"/>
      <c r="AC352" s="7"/>
      <c r="AD352" s="7"/>
      <c r="AE352" s="7"/>
    </row>
    <row r="353" spans="1:31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4"/>
      <c r="G353" s="213"/>
      <c r="H353" s="213"/>
      <c r="I353" s="215"/>
      <c r="J353" s="215"/>
      <c r="K353" s="215"/>
      <c r="L353" s="214"/>
      <c r="M353" s="662"/>
      <c r="N353" s="213"/>
      <c r="O353" s="213"/>
      <c r="P353" s="215"/>
      <c r="Q353" s="215"/>
      <c r="R353" s="616">
        <f t="shared" si="18"/>
        <v>0</v>
      </c>
      <c r="S353" s="633"/>
      <c r="T353" s="640"/>
      <c r="U353" s="640"/>
      <c r="V353" s="7"/>
      <c r="W353" s="699"/>
      <c r="X353" s="7"/>
      <c r="Y353" s="618">
        <f t="shared" si="19"/>
        <v>0</v>
      </c>
      <c r="Z353" s="7"/>
      <c r="AA353" s="7"/>
      <c r="AB353" s="7"/>
      <c r="AC353" s="7"/>
      <c r="AD353" s="7"/>
      <c r="AE353" s="7"/>
    </row>
    <row r="354" spans="1:31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4"/>
      <c r="G354" s="213"/>
      <c r="H354" s="213"/>
      <c r="I354" s="215"/>
      <c r="J354" s="215"/>
      <c r="K354" s="215"/>
      <c r="L354" s="214"/>
      <c r="M354" s="649"/>
      <c r="N354" s="213"/>
      <c r="O354" s="213"/>
      <c r="P354" s="215"/>
      <c r="Q354" s="215"/>
      <c r="R354" s="616">
        <f t="shared" si="18"/>
        <v>0</v>
      </c>
      <c r="S354" s="633"/>
      <c r="T354" s="547"/>
      <c r="U354" s="547"/>
      <c r="V354" s="7"/>
      <c r="W354" s="699"/>
      <c r="X354" s="7"/>
      <c r="Y354" s="618">
        <f t="shared" si="19"/>
        <v>0</v>
      </c>
      <c r="Z354" s="7"/>
      <c r="AA354" s="7"/>
      <c r="AB354" s="7"/>
      <c r="AC354" s="7"/>
      <c r="AD354" s="7"/>
      <c r="AE354" s="7"/>
    </row>
    <row r="355" spans="1:31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4"/>
      <c r="G355" s="213"/>
      <c r="H355" s="213"/>
      <c r="I355" s="215"/>
      <c r="J355" s="215"/>
      <c r="K355" s="215"/>
      <c r="L355" s="214"/>
      <c r="M355" s="649"/>
      <c r="N355" s="213"/>
      <c r="O355" s="213"/>
      <c r="P355" s="215"/>
      <c r="Q355" s="215"/>
      <c r="R355" s="616">
        <f t="shared" si="18"/>
        <v>0</v>
      </c>
      <c r="S355" s="633"/>
      <c r="T355" s="666"/>
      <c r="U355" s="666"/>
      <c r="V355" s="7"/>
      <c r="W355" s="699"/>
      <c r="X355" s="7"/>
      <c r="Y355" s="618">
        <f t="shared" si="19"/>
        <v>0</v>
      </c>
      <c r="Z355" s="7"/>
      <c r="AA355" s="7"/>
      <c r="AB355" s="7"/>
      <c r="AC355" s="7"/>
      <c r="AD355" s="7"/>
      <c r="AE355" s="7"/>
    </row>
    <row r="356" spans="1:31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4"/>
      <c r="G356" s="213"/>
      <c r="H356" s="213"/>
      <c r="I356" s="215"/>
      <c r="J356" s="215"/>
      <c r="K356" s="215"/>
      <c r="L356" s="214"/>
      <c r="M356" s="649"/>
      <c r="N356" s="213"/>
      <c r="O356" s="213"/>
      <c r="P356" s="215"/>
      <c r="Q356" s="215"/>
      <c r="R356" s="616">
        <f t="shared" si="18"/>
        <v>0</v>
      </c>
      <c r="S356" s="633"/>
      <c r="T356" s="666"/>
      <c r="U356" s="666"/>
      <c r="V356" s="7"/>
      <c r="W356" s="699"/>
      <c r="X356" s="7"/>
      <c r="Y356" s="618">
        <f t="shared" si="19"/>
        <v>0</v>
      </c>
      <c r="Z356" s="7"/>
      <c r="AA356" s="7"/>
      <c r="AB356" s="7"/>
      <c r="AC356" s="7"/>
      <c r="AD356" s="7"/>
      <c r="AE356" s="7"/>
    </row>
    <row r="357" spans="1:31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4"/>
      <c r="G357" s="213"/>
      <c r="H357" s="213"/>
      <c r="I357" s="215"/>
      <c r="J357" s="215"/>
      <c r="K357" s="215"/>
      <c r="L357" s="214"/>
      <c r="M357" s="649"/>
      <c r="N357" s="213"/>
      <c r="O357" s="213"/>
      <c r="P357" s="215"/>
      <c r="Q357" s="215"/>
      <c r="R357" s="616">
        <f t="shared" si="18"/>
        <v>0</v>
      </c>
      <c r="S357" s="633"/>
      <c r="T357" s="542"/>
      <c r="U357" s="542"/>
      <c r="V357" s="7"/>
      <c r="W357" s="699"/>
      <c r="X357" s="7"/>
      <c r="Y357" s="618">
        <f t="shared" si="19"/>
        <v>0</v>
      </c>
      <c r="Z357" s="7"/>
      <c r="AA357" s="7"/>
      <c r="AB357" s="7"/>
      <c r="AC357" s="7"/>
      <c r="AD357" s="7"/>
      <c r="AE357" s="7"/>
    </row>
    <row r="358" spans="1:31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4"/>
      <c r="G358" s="213"/>
      <c r="H358" s="213"/>
      <c r="I358" s="215"/>
      <c r="J358" s="215"/>
      <c r="K358" s="215"/>
      <c r="L358" s="214"/>
      <c r="M358" s="649"/>
      <c r="N358" s="213"/>
      <c r="O358" s="213"/>
      <c r="P358" s="215"/>
      <c r="Q358" s="215"/>
      <c r="R358" s="616">
        <f t="shared" si="18"/>
        <v>0</v>
      </c>
      <c r="S358" s="633"/>
      <c r="T358" s="542"/>
      <c r="U358" s="542"/>
      <c r="V358" s="7"/>
      <c r="W358" s="699"/>
      <c r="X358" s="7"/>
      <c r="Y358" s="618">
        <f t="shared" si="19"/>
        <v>0</v>
      </c>
      <c r="Z358" s="7"/>
      <c r="AA358" s="7"/>
      <c r="AB358" s="7"/>
      <c r="AC358" s="7"/>
      <c r="AD358" s="7"/>
      <c r="AE358" s="7"/>
    </row>
    <row r="359" spans="1:31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4"/>
      <c r="G359" s="213"/>
      <c r="H359" s="213"/>
      <c r="I359" s="215"/>
      <c r="J359" s="215"/>
      <c r="K359" s="215"/>
      <c r="L359" s="214"/>
      <c r="M359" s="649"/>
      <c r="N359" s="213"/>
      <c r="O359" s="213"/>
      <c r="P359" s="215"/>
      <c r="Q359" s="215"/>
      <c r="R359" s="616">
        <f t="shared" si="18"/>
        <v>0</v>
      </c>
      <c r="S359" s="633"/>
      <c r="T359" s="542"/>
      <c r="U359" s="542"/>
      <c r="V359" s="7"/>
      <c r="W359" s="699"/>
      <c r="X359" s="7"/>
      <c r="Y359" s="618">
        <f t="shared" si="19"/>
        <v>0</v>
      </c>
      <c r="Z359" s="7"/>
      <c r="AA359" s="7"/>
      <c r="AB359" s="7"/>
      <c r="AC359" s="7"/>
      <c r="AD359" s="7"/>
      <c r="AE359" s="7"/>
    </row>
    <row r="360" spans="1:31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4"/>
      <c r="G360" s="213"/>
      <c r="H360" s="213"/>
      <c r="I360" s="215"/>
      <c r="J360" s="215"/>
      <c r="K360" s="215"/>
      <c r="L360" s="214"/>
      <c r="M360" s="649"/>
      <c r="N360" s="213"/>
      <c r="O360" s="213"/>
      <c r="P360" s="215"/>
      <c r="Q360" s="215"/>
      <c r="R360" s="616">
        <f t="shared" si="18"/>
        <v>0</v>
      </c>
      <c r="S360" s="633"/>
      <c r="T360" s="542"/>
      <c r="U360" s="542"/>
      <c r="V360" s="7"/>
      <c r="W360" s="699"/>
      <c r="X360" s="7"/>
      <c r="Y360" s="618">
        <f t="shared" si="19"/>
        <v>0</v>
      </c>
      <c r="Z360" s="7"/>
      <c r="AA360" s="7"/>
      <c r="AB360" s="7"/>
      <c r="AC360" s="7"/>
      <c r="AD360" s="7"/>
      <c r="AE360" s="7"/>
    </row>
    <row r="361" spans="1:31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4"/>
      <c r="G361" s="213"/>
      <c r="H361" s="213"/>
      <c r="I361" s="215"/>
      <c r="J361" s="215"/>
      <c r="K361" s="215"/>
      <c r="L361" s="214"/>
      <c r="M361" s="662"/>
      <c r="N361" s="213"/>
      <c r="O361" s="213"/>
      <c r="P361" s="215"/>
      <c r="Q361" s="215"/>
      <c r="R361" s="616">
        <f t="shared" si="18"/>
        <v>0</v>
      </c>
      <c r="S361" s="633"/>
      <c r="T361" s="547"/>
      <c r="U361" s="547"/>
      <c r="V361" s="7"/>
      <c r="W361" s="699"/>
      <c r="X361" s="7"/>
      <c r="Y361" s="618">
        <f t="shared" si="19"/>
        <v>0</v>
      </c>
      <c r="Z361" s="7"/>
      <c r="AA361" s="7"/>
      <c r="AB361" s="7"/>
      <c r="AC361" s="7"/>
      <c r="AD361" s="7"/>
      <c r="AE361" s="7"/>
    </row>
    <row r="362" spans="1:31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4"/>
      <c r="G362" s="213"/>
      <c r="H362" s="213"/>
      <c r="I362" s="215"/>
      <c r="J362" s="215"/>
      <c r="K362" s="215"/>
      <c r="L362" s="214"/>
      <c r="M362" s="662"/>
      <c r="N362" s="213"/>
      <c r="O362" s="213"/>
      <c r="P362" s="215"/>
      <c r="Q362" s="215"/>
      <c r="R362" s="616">
        <f t="shared" si="18"/>
        <v>0</v>
      </c>
      <c r="S362" s="633"/>
      <c r="T362" s="241"/>
      <c r="U362" s="241"/>
      <c r="V362" s="7"/>
      <c r="W362" s="699"/>
      <c r="X362" s="7"/>
      <c r="Y362" s="618">
        <f t="shared" si="19"/>
        <v>0</v>
      </c>
      <c r="Z362" s="7"/>
      <c r="AA362" s="7"/>
      <c r="AB362" s="7"/>
      <c r="AC362" s="7"/>
      <c r="AD362" s="7"/>
      <c r="AE362" s="7"/>
    </row>
    <row r="363" spans="1:31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4"/>
      <c r="G363" s="213"/>
      <c r="H363" s="213"/>
      <c r="I363" s="215"/>
      <c r="J363" s="215"/>
      <c r="K363" s="215"/>
      <c r="L363" s="214"/>
      <c r="M363" s="662"/>
      <c r="N363" s="213"/>
      <c r="O363" s="213"/>
      <c r="P363" s="215"/>
      <c r="Q363" s="215"/>
      <c r="R363" s="616">
        <f t="shared" si="18"/>
        <v>0</v>
      </c>
      <c r="S363" s="633"/>
      <c r="T363" s="241"/>
      <c r="U363" s="241"/>
      <c r="V363" s="7"/>
      <c r="W363" s="699"/>
      <c r="X363" s="7"/>
      <c r="Y363" s="618">
        <f t="shared" si="19"/>
        <v>0</v>
      </c>
      <c r="Z363" s="7"/>
      <c r="AA363" s="7"/>
      <c r="AB363" s="7"/>
      <c r="AC363" s="7"/>
      <c r="AD363" s="7"/>
      <c r="AE363" s="7"/>
    </row>
    <row r="364" spans="1:31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4"/>
      <c r="G364" s="213"/>
      <c r="H364" s="213"/>
      <c r="I364" s="215"/>
      <c r="J364" s="215"/>
      <c r="K364" s="215"/>
      <c r="L364" s="214"/>
      <c r="M364" s="662"/>
      <c r="N364" s="213"/>
      <c r="O364" s="213"/>
      <c r="P364" s="215"/>
      <c r="Q364" s="215"/>
      <c r="R364" s="616">
        <f t="shared" si="18"/>
        <v>0</v>
      </c>
      <c r="S364" s="633"/>
      <c r="T364" s="241"/>
      <c r="U364" s="241"/>
      <c r="V364" s="7"/>
      <c r="W364" s="699"/>
      <c r="X364" s="7"/>
      <c r="Y364" s="618">
        <f t="shared" si="19"/>
        <v>0</v>
      </c>
      <c r="Z364" s="7"/>
      <c r="AA364" s="7"/>
      <c r="AB364" s="7"/>
      <c r="AC364" s="7"/>
      <c r="AD364" s="7"/>
      <c r="AE364" s="7"/>
    </row>
    <row r="365" spans="1:31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4"/>
      <c r="G365" s="213"/>
      <c r="H365" s="213"/>
      <c r="I365" s="215"/>
      <c r="J365" s="215"/>
      <c r="K365" s="215"/>
      <c r="L365" s="214"/>
      <c r="M365" s="662"/>
      <c r="N365" s="213"/>
      <c r="O365" s="213"/>
      <c r="P365" s="215"/>
      <c r="Q365" s="215"/>
      <c r="R365" s="616">
        <f t="shared" si="18"/>
        <v>0</v>
      </c>
      <c r="S365" s="633"/>
      <c r="T365" s="241"/>
      <c r="U365" s="241"/>
      <c r="V365" s="7"/>
      <c r="W365" s="699"/>
      <c r="X365" s="7"/>
      <c r="Y365" s="618">
        <f t="shared" si="19"/>
        <v>0</v>
      </c>
      <c r="Z365" s="7"/>
      <c r="AA365" s="7"/>
      <c r="AB365" s="7"/>
      <c r="AC365" s="7"/>
      <c r="AD365" s="7"/>
      <c r="AE365" s="7"/>
    </row>
    <row r="366" spans="1:31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4"/>
      <c r="G366" s="213"/>
      <c r="H366" s="213"/>
      <c r="I366" s="215"/>
      <c r="J366" s="215"/>
      <c r="K366" s="215"/>
      <c r="L366" s="214"/>
      <c r="M366" s="662"/>
      <c r="N366" s="213"/>
      <c r="O366" s="213"/>
      <c r="P366" s="215"/>
      <c r="Q366" s="215"/>
      <c r="R366" s="616">
        <f t="shared" si="18"/>
        <v>0</v>
      </c>
      <c r="S366" s="633"/>
      <c r="T366" s="547"/>
      <c r="U366" s="547"/>
      <c r="V366" s="7"/>
      <c r="W366" s="699"/>
      <c r="X366" s="7"/>
      <c r="Y366" s="618">
        <f t="shared" si="19"/>
        <v>0</v>
      </c>
      <c r="Z366" s="7"/>
      <c r="AA366" s="7"/>
      <c r="AB366" s="7"/>
      <c r="AC366" s="7"/>
      <c r="AD366" s="7"/>
      <c r="AE366" s="7"/>
    </row>
    <row r="367" spans="1:31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4"/>
      <c r="G367" s="213"/>
      <c r="H367" s="213"/>
      <c r="I367" s="215"/>
      <c r="J367" s="215"/>
      <c r="K367" s="215"/>
      <c r="L367" s="214"/>
      <c r="M367" s="662"/>
      <c r="N367" s="213"/>
      <c r="O367" s="213"/>
      <c r="P367" s="215"/>
      <c r="Q367" s="215"/>
      <c r="R367" s="616">
        <f t="shared" si="18"/>
        <v>0</v>
      </c>
      <c r="S367" s="633"/>
      <c r="T367" s="547"/>
      <c r="U367" s="547"/>
      <c r="V367" s="7"/>
      <c r="W367" s="699"/>
      <c r="X367" s="7"/>
      <c r="Y367" s="618">
        <f t="shared" si="19"/>
        <v>0</v>
      </c>
      <c r="Z367" s="7"/>
      <c r="AA367" s="7"/>
      <c r="AB367" s="7"/>
      <c r="AC367" s="7"/>
      <c r="AD367" s="7"/>
      <c r="AE367" s="7"/>
    </row>
    <row r="368" spans="1:31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4"/>
      <c r="G368" s="213"/>
      <c r="H368" s="213"/>
      <c r="I368" s="215"/>
      <c r="J368" s="215"/>
      <c r="K368" s="215"/>
      <c r="L368" s="214"/>
      <c r="M368" s="662"/>
      <c r="N368" s="213"/>
      <c r="O368" s="213"/>
      <c r="P368" s="215"/>
      <c r="Q368" s="215"/>
      <c r="R368" s="616">
        <f t="shared" si="18"/>
        <v>0</v>
      </c>
      <c r="S368" s="633"/>
      <c r="T368" s="640"/>
      <c r="U368" s="640"/>
      <c r="V368" s="7"/>
      <c r="W368" s="699"/>
      <c r="X368" s="7"/>
      <c r="Y368" s="618">
        <f t="shared" si="19"/>
        <v>0</v>
      </c>
      <c r="Z368" s="7"/>
      <c r="AA368" s="7"/>
      <c r="AB368" s="7"/>
      <c r="AC368" s="7"/>
      <c r="AD368" s="7"/>
      <c r="AE368" s="7"/>
    </row>
    <row r="369" spans="1:31" ht="21.75" customHeight="1">
      <c r="A369" s="486"/>
      <c r="B369" s="487" t="s">
        <v>803</v>
      </c>
      <c r="C369" s="635" t="s">
        <v>1083</v>
      </c>
      <c r="D369" s="412" t="s">
        <v>805</v>
      </c>
      <c r="E369" s="213">
        <v>1</v>
      </c>
      <c r="F369" s="214"/>
      <c r="G369" s="213"/>
      <c r="H369" s="213"/>
      <c r="I369" s="215"/>
      <c r="J369" s="215"/>
      <c r="K369" s="215">
        <v>2</v>
      </c>
      <c r="L369" s="214"/>
      <c r="M369" s="620"/>
      <c r="N369" s="213"/>
      <c r="O369" s="213"/>
      <c r="P369" s="215"/>
      <c r="Q369" s="215"/>
      <c r="R369" s="616">
        <f t="shared" si="18"/>
        <v>3</v>
      </c>
      <c r="S369" s="633"/>
      <c r="T369" s="636"/>
      <c r="U369" s="636"/>
      <c r="V369" s="7"/>
      <c r="W369" s="699">
        <v>23</v>
      </c>
      <c r="X369" s="7"/>
      <c r="Y369" s="618">
        <f t="shared" si="19"/>
        <v>20</v>
      </c>
      <c r="Z369" s="7"/>
      <c r="AA369" s="7"/>
      <c r="AB369" s="7"/>
      <c r="AC369" s="7"/>
      <c r="AD369" s="7"/>
      <c r="AE369" s="7"/>
    </row>
    <row r="370" spans="1:31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4"/>
      <c r="G370" s="213"/>
      <c r="H370" s="213"/>
      <c r="I370" s="215"/>
      <c r="J370" s="215"/>
      <c r="K370" s="215"/>
      <c r="L370" s="214"/>
      <c r="M370" s="647"/>
      <c r="N370" s="213"/>
      <c r="O370" s="213"/>
      <c r="P370" s="215"/>
      <c r="Q370" s="315"/>
      <c r="R370" s="616">
        <f t="shared" si="18"/>
        <v>0</v>
      </c>
      <c r="S370" s="633"/>
      <c r="T370" s="648"/>
      <c r="U370" s="648"/>
      <c r="V370" s="7"/>
      <c r="W370" s="699">
        <v>8</v>
      </c>
      <c r="X370" s="7"/>
      <c r="Y370" s="618"/>
      <c r="Z370" s="7"/>
      <c r="AA370" s="7"/>
      <c r="AB370" s="7"/>
      <c r="AC370" s="7"/>
      <c r="AD370" s="7"/>
      <c r="AE370" s="7"/>
    </row>
    <row r="371" spans="1:31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4"/>
      <c r="G371" s="213"/>
      <c r="H371" s="213"/>
      <c r="I371" s="215"/>
      <c r="J371" s="215"/>
      <c r="K371" s="215"/>
      <c r="L371" s="214"/>
      <c r="M371" s="647"/>
      <c r="N371" s="213"/>
      <c r="O371" s="213"/>
      <c r="P371" s="215"/>
      <c r="Q371" s="315"/>
      <c r="R371" s="616">
        <f t="shared" si="18"/>
        <v>0</v>
      </c>
      <c r="S371" s="633"/>
      <c r="T371" s="648"/>
      <c r="U371" s="648"/>
      <c r="V371" s="7"/>
      <c r="W371" s="699">
        <v>15</v>
      </c>
      <c r="X371" s="7"/>
      <c r="Y371" s="618"/>
      <c r="Z371" s="7"/>
      <c r="AA371" s="7"/>
      <c r="AB371" s="7"/>
      <c r="AC371" s="7"/>
      <c r="AD371" s="7"/>
      <c r="AE371" s="7"/>
    </row>
    <row r="372" spans="1:31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4"/>
      <c r="G372" s="213"/>
      <c r="H372" s="213"/>
      <c r="I372" s="215"/>
      <c r="J372" s="215"/>
      <c r="K372" s="215"/>
      <c r="L372" s="214"/>
      <c r="M372" s="620"/>
      <c r="N372" s="213"/>
      <c r="O372" s="213"/>
      <c r="P372" s="215"/>
      <c r="Q372" s="315"/>
      <c r="R372" s="616">
        <f t="shared" si="18"/>
        <v>0</v>
      </c>
      <c r="S372" s="633"/>
      <c r="T372" s="636"/>
      <c r="U372" s="636"/>
      <c r="V372" s="7"/>
      <c r="W372" s="699"/>
      <c r="X372" s="7"/>
      <c r="Y372" s="618">
        <f t="shared" ref="Y372:Y447" si="20">W372-R372</f>
        <v>0</v>
      </c>
      <c r="Z372" s="7"/>
      <c r="AA372" s="7"/>
      <c r="AB372" s="7"/>
      <c r="AC372" s="7"/>
      <c r="AD372" s="7"/>
      <c r="AE372" s="7"/>
    </row>
    <row r="373" spans="1:31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4"/>
      <c r="G373" s="213"/>
      <c r="H373" s="213"/>
      <c r="I373" s="215"/>
      <c r="J373" s="215"/>
      <c r="K373" s="215"/>
      <c r="L373" s="214"/>
      <c r="M373" s="647"/>
      <c r="N373" s="213"/>
      <c r="O373" s="213"/>
      <c r="P373" s="215"/>
      <c r="Q373" s="315"/>
      <c r="R373" s="616">
        <f t="shared" si="18"/>
        <v>0</v>
      </c>
      <c r="S373" s="633"/>
      <c r="T373" s="648"/>
      <c r="U373" s="648"/>
      <c r="V373" s="7"/>
      <c r="W373" s="699"/>
      <c r="X373" s="7"/>
      <c r="Y373" s="618">
        <f t="shared" si="20"/>
        <v>0</v>
      </c>
      <c r="Z373" s="7"/>
      <c r="AA373" s="7"/>
      <c r="AB373" s="7"/>
      <c r="AC373" s="7"/>
      <c r="AD373" s="7"/>
      <c r="AE373" s="7"/>
    </row>
    <row r="374" spans="1:31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4"/>
      <c r="G374" s="213"/>
      <c r="H374" s="213"/>
      <c r="I374" s="215"/>
      <c r="J374" s="215"/>
      <c r="K374" s="215"/>
      <c r="L374" s="214"/>
      <c r="M374" s="647"/>
      <c r="N374" s="213"/>
      <c r="O374" s="213"/>
      <c r="P374" s="215"/>
      <c r="Q374" s="315"/>
      <c r="R374" s="616">
        <f t="shared" si="18"/>
        <v>0</v>
      </c>
      <c r="S374" s="633"/>
      <c r="T374" s="648"/>
      <c r="U374" s="648"/>
      <c r="V374" s="7"/>
      <c r="W374" s="699"/>
      <c r="X374" s="7"/>
      <c r="Y374" s="618">
        <f t="shared" si="20"/>
        <v>0</v>
      </c>
      <c r="Z374" s="7"/>
      <c r="AA374" s="7"/>
      <c r="AB374" s="7"/>
      <c r="AC374" s="7"/>
      <c r="AD374" s="7"/>
      <c r="AE374" s="7"/>
    </row>
    <row r="375" spans="1:31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4"/>
      <c r="G375" s="213"/>
      <c r="H375" s="213"/>
      <c r="I375" s="215"/>
      <c r="J375" s="215"/>
      <c r="K375" s="215"/>
      <c r="L375" s="214"/>
      <c r="M375" s="620"/>
      <c r="N375" s="213"/>
      <c r="O375" s="213"/>
      <c r="P375" s="215"/>
      <c r="Q375" s="315"/>
      <c r="R375" s="616">
        <f t="shared" si="18"/>
        <v>0</v>
      </c>
      <c r="S375" s="633"/>
      <c r="T375" s="636"/>
      <c r="U375" s="636"/>
      <c r="V375" s="7"/>
      <c r="W375" s="704"/>
      <c r="X375" s="7"/>
      <c r="Y375" s="618">
        <f t="shared" si="20"/>
        <v>0</v>
      </c>
      <c r="Z375" s="7"/>
      <c r="AA375" s="7"/>
      <c r="AB375" s="7"/>
      <c r="AC375" s="7"/>
      <c r="AD375" s="7"/>
      <c r="AE375" s="7"/>
    </row>
    <row r="376" spans="1:31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4"/>
      <c r="G376" s="213"/>
      <c r="H376" s="213"/>
      <c r="I376" s="215"/>
      <c r="J376" s="215"/>
      <c r="K376" s="215"/>
      <c r="L376" s="214"/>
      <c r="M376" s="647"/>
      <c r="N376" s="213"/>
      <c r="O376" s="213"/>
      <c r="P376" s="215"/>
      <c r="Q376" s="315"/>
      <c r="R376" s="616">
        <f t="shared" si="18"/>
        <v>0</v>
      </c>
      <c r="S376" s="633"/>
      <c r="T376" s="648"/>
      <c r="U376" s="648"/>
      <c r="V376" s="7"/>
      <c r="W376" s="704"/>
      <c r="X376" s="7"/>
      <c r="Y376" s="618">
        <f t="shared" si="20"/>
        <v>0</v>
      </c>
      <c r="Z376" s="7"/>
      <c r="AA376" s="7"/>
      <c r="AB376" s="7"/>
      <c r="AC376" s="7"/>
      <c r="AD376" s="7"/>
      <c r="AE376" s="7"/>
    </row>
    <row r="377" spans="1:31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4"/>
      <c r="G377" s="213"/>
      <c r="H377" s="213"/>
      <c r="I377" s="215"/>
      <c r="J377" s="215"/>
      <c r="K377" s="215"/>
      <c r="L377" s="214"/>
      <c r="M377" s="647"/>
      <c r="N377" s="213"/>
      <c r="O377" s="213"/>
      <c r="P377" s="215"/>
      <c r="Q377" s="315"/>
      <c r="R377" s="616">
        <f t="shared" si="18"/>
        <v>0</v>
      </c>
      <c r="S377" s="633"/>
      <c r="T377" s="648"/>
      <c r="U377" s="648"/>
      <c r="V377" s="7"/>
      <c r="W377" s="704"/>
      <c r="X377" s="7"/>
      <c r="Y377" s="618">
        <f t="shared" si="20"/>
        <v>0</v>
      </c>
      <c r="Z377" s="7"/>
      <c r="AA377" s="7"/>
      <c r="AB377" s="7"/>
      <c r="AC377" s="7"/>
      <c r="AD377" s="7"/>
      <c r="AE377" s="7"/>
    </row>
    <row r="378" spans="1:31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4"/>
      <c r="G378" s="213"/>
      <c r="H378" s="213"/>
      <c r="I378" s="215"/>
      <c r="J378" s="215"/>
      <c r="K378" s="215"/>
      <c r="L378" s="214"/>
      <c r="M378" s="620"/>
      <c r="N378" s="213"/>
      <c r="O378" s="213"/>
      <c r="P378" s="215"/>
      <c r="Q378" s="315"/>
      <c r="R378" s="616">
        <f t="shared" si="18"/>
        <v>0</v>
      </c>
      <c r="S378" s="633"/>
      <c r="T378" s="636"/>
      <c r="U378" s="636"/>
      <c r="V378" s="7"/>
      <c r="W378" s="704"/>
      <c r="X378" s="7"/>
      <c r="Y378" s="618">
        <f t="shared" si="20"/>
        <v>0</v>
      </c>
      <c r="Z378" s="7"/>
      <c r="AA378" s="7"/>
      <c r="AB378" s="7"/>
      <c r="AC378" s="7"/>
      <c r="AD378" s="7"/>
      <c r="AE378" s="7"/>
    </row>
    <row r="379" spans="1:31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4"/>
      <c r="G379" s="213"/>
      <c r="H379" s="213"/>
      <c r="I379" s="215"/>
      <c r="J379" s="215"/>
      <c r="K379" s="215"/>
      <c r="L379" s="214"/>
      <c r="M379" s="647"/>
      <c r="N379" s="213"/>
      <c r="O379" s="213"/>
      <c r="P379" s="215"/>
      <c r="Q379" s="315"/>
      <c r="R379" s="616">
        <f t="shared" si="18"/>
        <v>0</v>
      </c>
      <c r="S379" s="633"/>
      <c r="T379" s="648"/>
      <c r="U379" s="648"/>
      <c r="V379" s="7"/>
      <c r="W379" s="704"/>
      <c r="X379" s="7"/>
      <c r="Y379" s="618">
        <f t="shared" si="20"/>
        <v>0</v>
      </c>
      <c r="Z379" s="7"/>
      <c r="AA379" s="7"/>
      <c r="AB379" s="7"/>
      <c r="AC379" s="7"/>
      <c r="AD379" s="7"/>
      <c r="AE379" s="7"/>
    </row>
    <row r="380" spans="1:31" ht="21.75" customHeight="1">
      <c r="A380" s="503" t="s">
        <v>1499</v>
      </c>
      <c r="B380" s="483" t="s">
        <v>828</v>
      </c>
      <c r="C380" s="658" t="s">
        <v>829</v>
      </c>
      <c r="D380" s="504" t="s">
        <v>2335</v>
      </c>
      <c r="E380" s="213"/>
      <c r="F380" s="214"/>
      <c r="G380" s="213"/>
      <c r="H380" s="213"/>
      <c r="I380" s="215"/>
      <c r="J380" s="215"/>
      <c r="K380" s="215"/>
      <c r="L380" s="214"/>
      <c r="M380" s="647"/>
      <c r="N380" s="213"/>
      <c r="O380" s="213"/>
      <c r="P380" s="215"/>
      <c r="Q380" s="315"/>
      <c r="R380" s="616">
        <f t="shared" si="18"/>
        <v>0</v>
      </c>
      <c r="S380" s="633"/>
      <c r="T380" s="648"/>
      <c r="U380" s="648"/>
      <c r="V380" s="7"/>
      <c r="W380" s="704"/>
      <c r="X380" s="7"/>
      <c r="Y380" s="618">
        <f t="shared" si="20"/>
        <v>0</v>
      </c>
      <c r="Z380" s="7"/>
      <c r="AA380" s="7"/>
      <c r="AB380" s="7"/>
      <c r="AC380" s="7"/>
      <c r="AD380" s="7"/>
      <c r="AE380" s="7"/>
    </row>
    <row r="381" spans="1:31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4"/>
      <c r="G381" s="213"/>
      <c r="H381" s="213"/>
      <c r="I381" s="215"/>
      <c r="J381" s="215"/>
      <c r="K381" s="215"/>
      <c r="L381" s="214"/>
      <c r="M381" s="647"/>
      <c r="N381" s="213"/>
      <c r="O381" s="213"/>
      <c r="P381" s="215"/>
      <c r="Q381" s="315"/>
      <c r="R381" s="616">
        <f t="shared" si="18"/>
        <v>0</v>
      </c>
      <c r="S381" s="633"/>
      <c r="T381" s="648"/>
      <c r="U381" s="648"/>
      <c r="V381" s="7"/>
      <c r="W381" s="704"/>
      <c r="X381" s="7"/>
      <c r="Y381" s="618">
        <f t="shared" si="20"/>
        <v>0</v>
      </c>
      <c r="Z381" s="7"/>
      <c r="AA381" s="7"/>
      <c r="AB381" s="7"/>
      <c r="AC381" s="7"/>
      <c r="AD381" s="7"/>
      <c r="AE381" s="7"/>
    </row>
    <row r="382" spans="1:31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4"/>
      <c r="G382" s="213"/>
      <c r="H382" s="213"/>
      <c r="I382" s="215"/>
      <c r="J382" s="215"/>
      <c r="K382" s="215"/>
      <c r="L382" s="214"/>
      <c r="M382" s="620"/>
      <c r="N382" s="213"/>
      <c r="O382" s="213"/>
      <c r="P382" s="215"/>
      <c r="Q382" s="315"/>
      <c r="R382" s="616">
        <f t="shared" si="18"/>
        <v>0</v>
      </c>
      <c r="S382" s="633"/>
      <c r="T382" s="636"/>
      <c r="U382" s="636"/>
      <c r="V382" s="7"/>
      <c r="W382" s="704"/>
      <c r="X382" s="7"/>
      <c r="Y382" s="618">
        <f t="shared" si="20"/>
        <v>0</v>
      </c>
      <c r="Z382" s="7"/>
      <c r="AA382" s="7"/>
      <c r="AB382" s="7"/>
      <c r="AC382" s="7"/>
      <c r="AD382" s="7"/>
      <c r="AE382" s="7"/>
    </row>
    <row r="383" spans="1:31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4"/>
      <c r="G383" s="213"/>
      <c r="H383" s="213"/>
      <c r="I383" s="215"/>
      <c r="J383" s="215"/>
      <c r="K383" s="215"/>
      <c r="L383" s="214"/>
      <c r="M383" s="620"/>
      <c r="N383" s="213"/>
      <c r="O383" s="213"/>
      <c r="P383" s="215"/>
      <c r="Q383" s="315"/>
      <c r="R383" s="616">
        <f t="shared" si="18"/>
        <v>0</v>
      </c>
      <c r="S383" s="633"/>
      <c r="T383" s="636"/>
      <c r="U383" s="636"/>
      <c r="V383" s="7"/>
      <c r="W383" s="704"/>
      <c r="X383" s="7"/>
      <c r="Y383" s="618">
        <f t="shared" si="20"/>
        <v>0</v>
      </c>
      <c r="Z383" s="7"/>
      <c r="AA383" s="7"/>
      <c r="AB383" s="7"/>
      <c r="AC383" s="7"/>
      <c r="AD383" s="7"/>
      <c r="AE383" s="7"/>
    </row>
    <row r="384" spans="1:31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4"/>
      <c r="G384" s="213"/>
      <c r="H384" s="213"/>
      <c r="I384" s="215"/>
      <c r="J384" s="215"/>
      <c r="K384" s="215"/>
      <c r="L384" s="214"/>
      <c r="M384" s="620"/>
      <c r="N384" s="213"/>
      <c r="O384" s="213"/>
      <c r="P384" s="215"/>
      <c r="Q384" s="315"/>
      <c r="R384" s="616">
        <f t="shared" si="18"/>
        <v>0</v>
      </c>
      <c r="S384" s="633"/>
      <c r="T384" s="648"/>
      <c r="U384" s="648"/>
      <c r="V384" s="7"/>
      <c r="W384" s="704"/>
      <c r="X384" s="7"/>
      <c r="Y384" s="618">
        <f t="shared" si="20"/>
        <v>0</v>
      </c>
      <c r="Z384" s="7"/>
      <c r="AA384" s="7"/>
      <c r="AB384" s="7"/>
      <c r="AC384" s="7"/>
      <c r="AD384" s="7"/>
      <c r="AE384" s="7"/>
    </row>
    <row r="385" spans="1:31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4"/>
      <c r="G385" s="213"/>
      <c r="H385" s="213"/>
      <c r="I385" s="215"/>
      <c r="J385" s="215"/>
      <c r="K385" s="215"/>
      <c r="L385" s="214"/>
      <c r="M385" s="620"/>
      <c r="N385" s="213"/>
      <c r="O385" s="213"/>
      <c r="P385" s="215"/>
      <c r="Q385" s="315"/>
      <c r="R385" s="616">
        <f t="shared" si="18"/>
        <v>0</v>
      </c>
      <c r="S385" s="633"/>
      <c r="T385" s="648"/>
      <c r="U385" s="648"/>
      <c r="V385" s="7"/>
      <c r="W385" s="704"/>
      <c r="X385" s="7"/>
      <c r="Y385" s="618">
        <f t="shared" si="20"/>
        <v>0</v>
      </c>
      <c r="Z385" s="7"/>
      <c r="AA385" s="7"/>
      <c r="AB385" s="7"/>
      <c r="AC385" s="7"/>
      <c r="AD385" s="7"/>
      <c r="AE385" s="7"/>
    </row>
    <row r="386" spans="1:31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4"/>
      <c r="G386" s="213"/>
      <c r="H386" s="213"/>
      <c r="I386" s="215"/>
      <c r="J386" s="215"/>
      <c r="K386" s="215"/>
      <c r="L386" s="214"/>
      <c r="M386" s="620"/>
      <c r="N386" s="213"/>
      <c r="O386" s="213"/>
      <c r="P386" s="215"/>
      <c r="Q386" s="315"/>
      <c r="R386" s="616">
        <f t="shared" si="18"/>
        <v>0</v>
      </c>
      <c r="S386" s="633"/>
      <c r="T386" s="648"/>
      <c r="U386" s="648"/>
      <c r="V386" s="7"/>
      <c r="W386" s="704"/>
      <c r="X386" s="7"/>
      <c r="Y386" s="618">
        <f t="shared" si="20"/>
        <v>0</v>
      </c>
      <c r="Z386" s="7"/>
      <c r="AA386" s="7"/>
      <c r="AB386" s="7"/>
      <c r="AC386" s="7"/>
      <c r="AD386" s="7"/>
      <c r="AE386" s="7"/>
    </row>
    <row r="387" spans="1:31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4"/>
      <c r="G387" s="213"/>
      <c r="H387" s="213"/>
      <c r="I387" s="215"/>
      <c r="J387" s="215"/>
      <c r="K387" s="215"/>
      <c r="L387" s="214"/>
      <c r="M387" s="620"/>
      <c r="N387" s="213"/>
      <c r="O387" s="213"/>
      <c r="P387" s="215"/>
      <c r="Q387" s="315"/>
      <c r="R387" s="616">
        <f t="shared" si="18"/>
        <v>0</v>
      </c>
      <c r="S387" s="633"/>
      <c r="T387" s="648"/>
      <c r="U387" s="648"/>
      <c r="V387" s="7"/>
      <c r="W387" s="704"/>
      <c r="X387" s="7"/>
      <c r="Y387" s="618">
        <f t="shared" si="20"/>
        <v>0</v>
      </c>
      <c r="Z387" s="7"/>
      <c r="AA387" s="7"/>
      <c r="AB387" s="7"/>
      <c r="AC387" s="7"/>
      <c r="AD387" s="7"/>
      <c r="AE387" s="7"/>
    </row>
    <row r="388" spans="1:31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4"/>
      <c r="G388" s="213"/>
      <c r="H388" s="213"/>
      <c r="I388" s="215"/>
      <c r="J388" s="215"/>
      <c r="K388" s="215"/>
      <c r="L388" s="214"/>
      <c r="M388" s="620"/>
      <c r="N388" s="213"/>
      <c r="O388" s="213"/>
      <c r="P388" s="215"/>
      <c r="Q388" s="315"/>
      <c r="R388" s="616">
        <f t="shared" si="18"/>
        <v>0</v>
      </c>
      <c r="S388" s="633"/>
      <c r="T388" s="636"/>
      <c r="U388" s="636"/>
      <c r="V388" s="7"/>
      <c r="W388" s="704"/>
      <c r="X388" s="7"/>
      <c r="Y388" s="618">
        <f t="shared" si="20"/>
        <v>0</v>
      </c>
      <c r="Z388" s="7"/>
      <c r="AA388" s="7"/>
      <c r="AB388" s="7"/>
      <c r="AC388" s="7"/>
      <c r="AD388" s="7"/>
      <c r="AE388" s="7"/>
    </row>
    <row r="389" spans="1:31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4"/>
      <c r="G389" s="213"/>
      <c r="H389" s="213"/>
      <c r="I389" s="215"/>
      <c r="J389" s="215"/>
      <c r="K389" s="215"/>
      <c r="L389" s="214"/>
      <c r="M389" s="620"/>
      <c r="N389" s="213"/>
      <c r="O389" s="213"/>
      <c r="P389" s="215"/>
      <c r="Q389" s="315"/>
      <c r="R389" s="616">
        <f t="shared" si="18"/>
        <v>0</v>
      </c>
      <c r="S389" s="633"/>
      <c r="T389" s="636"/>
      <c r="U389" s="636"/>
      <c r="V389" s="7"/>
      <c r="W389" s="704"/>
      <c r="X389" s="7"/>
      <c r="Y389" s="618">
        <f t="shared" si="20"/>
        <v>0</v>
      </c>
      <c r="Z389" s="7"/>
      <c r="AA389" s="7"/>
      <c r="AB389" s="7"/>
      <c r="AC389" s="7"/>
      <c r="AD389" s="7"/>
      <c r="AE389" s="7"/>
    </row>
    <row r="390" spans="1:31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4"/>
      <c r="G390" s="213"/>
      <c r="H390" s="213"/>
      <c r="I390" s="215"/>
      <c r="J390" s="215"/>
      <c r="K390" s="215"/>
      <c r="L390" s="214"/>
      <c r="M390" s="662"/>
      <c r="N390" s="213"/>
      <c r="O390" s="213"/>
      <c r="P390" s="215"/>
      <c r="Q390" s="315"/>
      <c r="R390" s="616">
        <f t="shared" si="18"/>
        <v>0</v>
      </c>
      <c r="S390" s="633"/>
      <c r="T390" s="636"/>
      <c r="U390" s="636"/>
      <c r="V390" s="7"/>
      <c r="W390" s="704"/>
      <c r="X390" s="7"/>
      <c r="Y390" s="618">
        <f t="shared" si="20"/>
        <v>0</v>
      </c>
      <c r="Z390" s="7"/>
      <c r="AA390" s="7"/>
      <c r="AB390" s="7"/>
      <c r="AC390" s="7"/>
      <c r="AD390" s="7"/>
      <c r="AE390" s="7"/>
    </row>
    <row r="391" spans="1:31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4"/>
      <c r="G391" s="213"/>
      <c r="H391" s="213"/>
      <c r="I391" s="215"/>
      <c r="J391" s="215"/>
      <c r="K391" s="215"/>
      <c r="L391" s="214"/>
      <c r="M391" s="662"/>
      <c r="N391" s="213"/>
      <c r="O391" s="213"/>
      <c r="P391" s="215"/>
      <c r="Q391" s="315"/>
      <c r="R391" s="616">
        <f t="shared" si="18"/>
        <v>0</v>
      </c>
      <c r="S391" s="633"/>
      <c r="T391" s="636"/>
      <c r="U391" s="636"/>
      <c r="V391" s="7"/>
      <c r="W391" s="704"/>
      <c r="X391" s="7"/>
      <c r="Y391" s="618">
        <f t="shared" si="20"/>
        <v>0</v>
      </c>
      <c r="Z391" s="7"/>
      <c r="AA391" s="7"/>
      <c r="AB391" s="7"/>
      <c r="AC391" s="7"/>
      <c r="AD391" s="7"/>
      <c r="AE391" s="7"/>
    </row>
    <row r="392" spans="1:31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4"/>
      <c r="G392" s="213"/>
      <c r="H392" s="213"/>
      <c r="I392" s="215"/>
      <c r="J392" s="215"/>
      <c r="K392" s="215"/>
      <c r="L392" s="214"/>
      <c r="M392" s="662"/>
      <c r="N392" s="213"/>
      <c r="O392" s="213"/>
      <c r="P392" s="215"/>
      <c r="Q392" s="315"/>
      <c r="R392" s="616">
        <f t="shared" si="18"/>
        <v>0</v>
      </c>
      <c r="S392" s="633"/>
      <c r="T392" s="636"/>
      <c r="U392" s="636"/>
      <c r="V392" s="7"/>
      <c r="W392" s="704"/>
      <c r="X392" s="7"/>
      <c r="Y392" s="618">
        <f t="shared" si="20"/>
        <v>0</v>
      </c>
      <c r="Z392" s="7"/>
      <c r="AA392" s="7"/>
      <c r="AB392" s="7"/>
      <c r="AC392" s="7"/>
      <c r="AD392" s="7"/>
      <c r="AE392" s="7"/>
    </row>
    <row r="393" spans="1:31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4"/>
      <c r="G393" s="213"/>
      <c r="H393" s="213"/>
      <c r="I393" s="215"/>
      <c r="J393" s="215"/>
      <c r="K393" s="215"/>
      <c r="L393" s="214"/>
      <c r="M393" s="662"/>
      <c r="N393" s="213"/>
      <c r="O393" s="213"/>
      <c r="P393" s="215"/>
      <c r="Q393" s="315"/>
      <c r="R393" s="616">
        <f t="shared" si="18"/>
        <v>0</v>
      </c>
      <c r="S393" s="633"/>
      <c r="T393" s="636"/>
      <c r="U393" s="636"/>
      <c r="V393" s="7"/>
      <c r="W393" s="704"/>
      <c r="X393" s="7"/>
      <c r="Y393" s="618">
        <f t="shared" si="20"/>
        <v>0</v>
      </c>
      <c r="Z393" s="7"/>
      <c r="AA393" s="7"/>
      <c r="AB393" s="7"/>
      <c r="AC393" s="7"/>
      <c r="AD393" s="7"/>
      <c r="AE393" s="7"/>
    </row>
    <row r="394" spans="1:31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4"/>
      <c r="G394" s="213"/>
      <c r="H394" s="213"/>
      <c r="I394" s="215"/>
      <c r="J394" s="215"/>
      <c r="K394" s="215"/>
      <c r="L394" s="214"/>
      <c r="M394" s="620"/>
      <c r="N394" s="213"/>
      <c r="O394" s="213"/>
      <c r="P394" s="215"/>
      <c r="Q394" s="315"/>
      <c r="R394" s="616">
        <f t="shared" si="18"/>
        <v>0</v>
      </c>
      <c r="S394" s="633"/>
      <c r="T394" s="634"/>
      <c r="U394" s="634"/>
      <c r="V394" s="7"/>
      <c r="W394" s="704"/>
      <c r="X394" s="7"/>
      <c r="Y394" s="618">
        <f t="shared" si="20"/>
        <v>0</v>
      </c>
      <c r="Z394" s="7"/>
      <c r="AA394" s="7"/>
      <c r="AB394" s="7"/>
      <c r="AC394" s="7"/>
      <c r="AD394" s="7"/>
      <c r="AE394" s="7"/>
    </row>
    <row r="395" spans="1:31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4"/>
      <c r="G395" s="213"/>
      <c r="H395" s="213"/>
      <c r="I395" s="215"/>
      <c r="J395" s="215"/>
      <c r="K395" s="215"/>
      <c r="L395" s="214"/>
      <c r="M395" s="620"/>
      <c r="N395" s="213"/>
      <c r="O395" s="213"/>
      <c r="P395" s="215"/>
      <c r="Q395" s="315"/>
      <c r="R395" s="616">
        <f t="shared" si="18"/>
        <v>0</v>
      </c>
      <c r="S395" s="633"/>
      <c r="T395" s="634"/>
      <c r="U395" s="634"/>
      <c r="V395" s="7"/>
      <c r="W395" s="704"/>
      <c r="X395" s="7"/>
      <c r="Y395" s="618">
        <f t="shared" si="20"/>
        <v>0</v>
      </c>
      <c r="Z395" s="7"/>
      <c r="AA395" s="7"/>
      <c r="AB395" s="7"/>
      <c r="AC395" s="7"/>
      <c r="AD395" s="7"/>
      <c r="AE395" s="7"/>
    </row>
    <row r="396" spans="1:31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4"/>
      <c r="G396" s="213"/>
      <c r="H396" s="213"/>
      <c r="I396" s="215"/>
      <c r="J396" s="215"/>
      <c r="K396" s="215"/>
      <c r="L396" s="214"/>
      <c r="M396" s="620"/>
      <c r="N396" s="213"/>
      <c r="O396" s="213"/>
      <c r="P396" s="215"/>
      <c r="Q396" s="315"/>
      <c r="R396" s="616">
        <f t="shared" si="18"/>
        <v>0</v>
      </c>
      <c r="S396" s="633"/>
      <c r="T396" s="634"/>
      <c r="U396" s="634"/>
      <c r="V396" s="7"/>
      <c r="W396" s="704"/>
      <c r="X396" s="7"/>
      <c r="Y396" s="618">
        <f t="shared" si="20"/>
        <v>0</v>
      </c>
      <c r="Z396" s="7"/>
      <c r="AA396" s="7"/>
      <c r="AB396" s="7"/>
      <c r="AC396" s="7"/>
      <c r="AD396" s="7"/>
      <c r="AE396" s="7"/>
    </row>
    <row r="397" spans="1:31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4"/>
      <c r="G397" s="213"/>
      <c r="H397" s="213"/>
      <c r="I397" s="215"/>
      <c r="J397" s="215"/>
      <c r="K397" s="215"/>
      <c r="L397" s="214"/>
      <c r="M397" s="620"/>
      <c r="N397" s="213"/>
      <c r="O397" s="213"/>
      <c r="P397" s="215"/>
      <c r="Q397" s="315"/>
      <c r="R397" s="616">
        <f t="shared" si="18"/>
        <v>0</v>
      </c>
      <c r="S397" s="633"/>
      <c r="T397" s="636"/>
      <c r="U397" s="636"/>
      <c r="V397" s="7"/>
      <c r="W397" s="704"/>
      <c r="X397" s="7"/>
      <c r="Y397" s="618">
        <f t="shared" si="20"/>
        <v>0</v>
      </c>
      <c r="Z397" s="7"/>
      <c r="AA397" s="7"/>
      <c r="AB397" s="7"/>
      <c r="AC397" s="7"/>
      <c r="AD397" s="7"/>
      <c r="AE397" s="7"/>
    </row>
    <row r="398" spans="1:31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4"/>
      <c r="G398" s="213"/>
      <c r="H398" s="213"/>
      <c r="I398" s="215"/>
      <c r="J398" s="215"/>
      <c r="K398" s="215"/>
      <c r="L398" s="214"/>
      <c r="M398" s="620"/>
      <c r="N398" s="213"/>
      <c r="O398" s="213"/>
      <c r="P398" s="215"/>
      <c r="Q398" s="315"/>
      <c r="R398" s="616">
        <f t="shared" si="18"/>
        <v>0</v>
      </c>
      <c r="S398" s="633"/>
      <c r="T398" s="634"/>
      <c r="U398" s="634"/>
      <c r="V398" s="7"/>
      <c r="W398" s="704"/>
      <c r="X398" s="7"/>
      <c r="Y398" s="618">
        <f t="shared" si="20"/>
        <v>0</v>
      </c>
      <c r="Z398" s="7"/>
      <c r="AA398" s="7"/>
      <c r="AB398" s="7"/>
      <c r="AC398" s="7"/>
      <c r="AD398" s="7"/>
      <c r="AE398" s="7"/>
    </row>
    <row r="399" spans="1:31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4"/>
      <c r="G399" s="213"/>
      <c r="H399" s="213"/>
      <c r="I399" s="215"/>
      <c r="J399" s="215"/>
      <c r="K399" s="215"/>
      <c r="L399" s="214"/>
      <c r="M399" s="620"/>
      <c r="N399" s="213"/>
      <c r="O399" s="213"/>
      <c r="P399" s="215"/>
      <c r="Q399" s="315"/>
      <c r="R399" s="616">
        <f t="shared" si="18"/>
        <v>0</v>
      </c>
      <c r="S399" s="633"/>
      <c r="T399" s="634"/>
      <c r="U399" s="634"/>
      <c r="V399" s="7"/>
      <c r="W399" s="704"/>
      <c r="X399" s="7"/>
      <c r="Y399" s="618">
        <f t="shared" si="20"/>
        <v>0</v>
      </c>
      <c r="Z399" s="7"/>
      <c r="AA399" s="7"/>
      <c r="AB399" s="7"/>
      <c r="AC399" s="7"/>
      <c r="AD399" s="7"/>
      <c r="AE399" s="7"/>
    </row>
    <row r="400" spans="1:31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4"/>
      <c r="G400" s="213"/>
      <c r="H400" s="213"/>
      <c r="I400" s="215"/>
      <c r="J400" s="215"/>
      <c r="K400" s="215"/>
      <c r="L400" s="214"/>
      <c r="M400" s="620"/>
      <c r="N400" s="213"/>
      <c r="O400" s="213"/>
      <c r="P400" s="215"/>
      <c r="Q400" s="315"/>
      <c r="R400" s="616">
        <f t="shared" si="18"/>
        <v>0</v>
      </c>
      <c r="S400" s="633"/>
      <c r="T400" s="636"/>
      <c r="U400" s="636"/>
      <c r="V400" s="7"/>
      <c r="W400" s="704"/>
      <c r="X400" s="7"/>
      <c r="Y400" s="618">
        <f t="shared" si="20"/>
        <v>0</v>
      </c>
      <c r="Z400" s="7"/>
      <c r="AA400" s="7"/>
      <c r="AB400" s="7"/>
      <c r="AC400" s="7"/>
      <c r="AD400" s="7"/>
      <c r="AE400" s="7"/>
    </row>
    <row r="401" spans="1:31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4"/>
      <c r="G401" s="213"/>
      <c r="H401" s="213"/>
      <c r="I401" s="215"/>
      <c r="J401" s="215"/>
      <c r="K401" s="215"/>
      <c r="L401" s="214"/>
      <c r="M401" s="620"/>
      <c r="N401" s="213"/>
      <c r="O401" s="213"/>
      <c r="P401" s="215"/>
      <c r="Q401" s="315"/>
      <c r="R401" s="616">
        <f t="shared" si="18"/>
        <v>0</v>
      </c>
      <c r="S401" s="633"/>
      <c r="T401" s="634"/>
      <c r="U401" s="634"/>
      <c r="V401" s="7"/>
      <c r="W401" s="704"/>
      <c r="X401" s="7"/>
      <c r="Y401" s="618">
        <f t="shared" si="20"/>
        <v>0</v>
      </c>
      <c r="Z401" s="7"/>
      <c r="AA401" s="7"/>
      <c r="AB401" s="7"/>
      <c r="AC401" s="7"/>
      <c r="AD401" s="7"/>
      <c r="AE401" s="7"/>
    </row>
    <row r="402" spans="1:31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4"/>
      <c r="G402" s="213"/>
      <c r="H402" s="213"/>
      <c r="I402" s="215"/>
      <c r="J402" s="215"/>
      <c r="K402" s="215"/>
      <c r="L402" s="214"/>
      <c r="M402" s="620"/>
      <c r="N402" s="213"/>
      <c r="O402" s="213"/>
      <c r="P402" s="215"/>
      <c r="Q402" s="315"/>
      <c r="R402" s="616">
        <f t="shared" si="18"/>
        <v>0</v>
      </c>
      <c r="S402" s="633"/>
      <c r="T402" s="634"/>
      <c r="U402" s="634"/>
      <c r="V402" s="7"/>
      <c r="W402" s="704"/>
      <c r="X402" s="7"/>
      <c r="Y402" s="618">
        <f t="shared" si="20"/>
        <v>0</v>
      </c>
      <c r="Z402" s="7"/>
      <c r="AA402" s="7"/>
      <c r="AB402" s="7"/>
      <c r="AC402" s="7"/>
      <c r="AD402" s="7"/>
      <c r="AE402" s="7"/>
    </row>
    <row r="403" spans="1:31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4"/>
      <c r="G403" s="213"/>
      <c r="H403" s="213"/>
      <c r="I403" s="215"/>
      <c r="J403" s="215"/>
      <c r="K403" s="215"/>
      <c r="L403" s="214"/>
      <c r="M403" s="662"/>
      <c r="N403" s="213"/>
      <c r="O403" s="213"/>
      <c r="P403" s="215"/>
      <c r="Q403" s="315"/>
      <c r="R403" s="616">
        <f t="shared" si="18"/>
        <v>0</v>
      </c>
      <c r="S403" s="633"/>
      <c r="T403" s="634"/>
      <c r="U403" s="634"/>
      <c r="V403" s="7"/>
      <c r="W403" s="704"/>
      <c r="X403" s="7"/>
      <c r="Y403" s="618">
        <f t="shared" si="20"/>
        <v>0</v>
      </c>
      <c r="Z403" s="7"/>
      <c r="AA403" s="7"/>
      <c r="AB403" s="7"/>
      <c r="AC403" s="7"/>
      <c r="AD403" s="7"/>
      <c r="AE403" s="7"/>
    </row>
    <row r="404" spans="1:31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4"/>
      <c r="G404" s="213"/>
      <c r="H404" s="213"/>
      <c r="I404" s="215"/>
      <c r="J404" s="215"/>
      <c r="K404" s="215"/>
      <c r="L404" s="214"/>
      <c r="M404" s="662"/>
      <c r="N404" s="213"/>
      <c r="O404" s="213"/>
      <c r="P404" s="215"/>
      <c r="Q404" s="315"/>
      <c r="R404" s="616">
        <f t="shared" si="18"/>
        <v>0</v>
      </c>
      <c r="S404" s="633"/>
      <c r="T404" s="640"/>
      <c r="U404" s="640"/>
      <c r="V404" s="7"/>
      <c r="W404" s="704"/>
      <c r="X404" s="7"/>
      <c r="Y404" s="618">
        <f t="shared" si="20"/>
        <v>0</v>
      </c>
      <c r="Z404" s="7"/>
      <c r="AA404" s="7"/>
      <c r="AB404" s="7"/>
      <c r="AC404" s="7"/>
      <c r="AD404" s="7"/>
      <c r="AE404" s="7"/>
    </row>
    <row r="405" spans="1:31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4"/>
      <c r="G405" s="213"/>
      <c r="H405" s="213"/>
      <c r="I405" s="215"/>
      <c r="J405" s="215"/>
      <c r="K405" s="215"/>
      <c r="L405" s="214"/>
      <c r="M405" s="662"/>
      <c r="N405" s="213"/>
      <c r="O405" s="213"/>
      <c r="P405" s="215"/>
      <c r="Q405" s="315"/>
      <c r="R405" s="616">
        <f t="shared" si="18"/>
        <v>0</v>
      </c>
      <c r="S405" s="633"/>
      <c r="T405" s="636"/>
      <c r="U405" s="636"/>
      <c r="V405" s="7"/>
      <c r="W405" s="704"/>
      <c r="X405" s="7"/>
      <c r="Y405" s="618">
        <f t="shared" si="20"/>
        <v>0</v>
      </c>
      <c r="Z405" s="7"/>
      <c r="AA405" s="7"/>
      <c r="AB405" s="7"/>
      <c r="AC405" s="7"/>
      <c r="AD405" s="7"/>
      <c r="AE405" s="7"/>
    </row>
    <row r="406" spans="1:31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4"/>
      <c r="G406" s="213"/>
      <c r="H406" s="213"/>
      <c r="I406" s="215"/>
      <c r="J406" s="215"/>
      <c r="K406" s="215"/>
      <c r="L406" s="214"/>
      <c r="M406" s="662"/>
      <c r="N406" s="213"/>
      <c r="O406" s="213"/>
      <c r="P406" s="215"/>
      <c r="Q406" s="315"/>
      <c r="R406" s="616">
        <f t="shared" si="18"/>
        <v>0</v>
      </c>
      <c r="S406" s="633"/>
      <c r="T406" s="636"/>
      <c r="U406" s="636"/>
      <c r="V406" s="7"/>
      <c r="W406" s="704"/>
      <c r="X406" s="7"/>
      <c r="Y406" s="618">
        <f t="shared" si="20"/>
        <v>0</v>
      </c>
      <c r="Z406" s="7"/>
      <c r="AA406" s="7"/>
      <c r="AB406" s="7"/>
      <c r="AC406" s="7"/>
      <c r="AD406" s="7"/>
      <c r="AE406" s="7"/>
    </row>
    <row r="407" spans="1:31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4"/>
      <c r="G407" s="213"/>
      <c r="H407" s="213"/>
      <c r="I407" s="215"/>
      <c r="J407" s="215"/>
      <c r="K407" s="215"/>
      <c r="L407" s="214"/>
      <c r="M407" s="662"/>
      <c r="N407" s="213"/>
      <c r="O407" s="213"/>
      <c r="P407" s="215"/>
      <c r="Q407" s="315"/>
      <c r="R407" s="616">
        <f t="shared" si="18"/>
        <v>0</v>
      </c>
      <c r="S407" s="633"/>
      <c r="T407" s="636"/>
      <c r="U407" s="636"/>
      <c r="V407" s="7"/>
      <c r="W407" s="704"/>
      <c r="X407" s="7"/>
      <c r="Y407" s="618">
        <f t="shared" si="20"/>
        <v>0</v>
      </c>
      <c r="Z407" s="7"/>
      <c r="AA407" s="7"/>
      <c r="AB407" s="7"/>
      <c r="AC407" s="7"/>
      <c r="AD407" s="7"/>
      <c r="AE407" s="7"/>
    </row>
    <row r="408" spans="1:31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4"/>
      <c r="G408" s="213"/>
      <c r="H408" s="213"/>
      <c r="I408" s="215"/>
      <c r="J408" s="215"/>
      <c r="K408" s="215"/>
      <c r="L408" s="214"/>
      <c r="M408" s="662"/>
      <c r="N408" s="213"/>
      <c r="O408" s="213"/>
      <c r="P408" s="215"/>
      <c r="Q408" s="315"/>
      <c r="R408" s="616">
        <f t="shared" si="18"/>
        <v>0</v>
      </c>
      <c r="S408" s="633"/>
      <c r="T408" s="636"/>
      <c r="U408" s="636"/>
      <c r="V408" s="7"/>
      <c r="W408" s="704"/>
      <c r="X408" s="7"/>
      <c r="Y408" s="618">
        <f t="shared" si="20"/>
        <v>0</v>
      </c>
      <c r="Z408" s="7"/>
      <c r="AA408" s="7"/>
      <c r="AB408" s="7"/>
      <c r="AC408" s="7"/>
      <c r="AD408" s="7"/>
      <c r="AE408" s="7"/>
    </row>
    <row r="409" spans="1:31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4"/>
      <c r="G409" s="213"/>
      <c r="H409" s="213"/>
      <c r="I409" s="215"/>
      <c r="J409" s="215"/>
      <c r="K409" s="215"/>
      <c r="L409" s="214"/>
      <c r="M409" s="662"/>
      <c r="N409" s="213"/>
      <c r="O409" s="213"/>
      <c r="P409" s="215"/>
      <c r="Q409" s="315"/>
      <c r="R409" s="616">
        <f t="shared" si="18"/>
        <v>0</v>
      </c>
      <c r="S409" s="633"/>
      <c r="T409" s="636"/>
      <c r="U409" s="636"/>
      <c r="V409" s="7"/>
      <c r="W409" s="704"/>
      <c r="X409" s="7"/>
      <c r="Y409" s="618">
        <f t="shared" si="20"/>
        <v>0</v>
      </c>
      <c r="Z409" s="7"/>
      <c r="AA409" s="7"/>
      <c r="AB409" s="7"/>
      <c r="AC409" s="7"/>
      <c r="AD409" s="7"/>
      <c r="AE409" s="7"/>
    </row>
    <row r="410" spans="1:31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4"/>
      <c r="G410" s="213"/>
      <c r="H410" s="213"/>
      <c r="I410" s="215"/>
      <c r="J410" s="215"/>
      <c r="K410" s="215"/>
      <c r="L410" s="214"/>
      <c r="M410" s="662"/>
      <c r="N410" s="213"/>
      <c r="O410" s="213"/>
      <c r="P410" s="215"/>
      <c r="Q410" s="315"/>
      <c r="R410" s="616">
        <f t="shared" si="18"/>
        <v>0</v>
      </c>
      <c r="S410" s="633"/>
      <c r="T410" s="636"/>
      <c r="U410" s="636"/>
      <c r="V410" s="7"/>
      <c r="W410" s="704"/>
      <c r="X410" s="7"/>
      <c r="Y410" s="618">
        <f t="shared" si="20"/>
        <v>0</v>
      </c>
      <c r="Z410" s="7"/>
      <c r="AA410" s="7"/>
      <c r="AB410" s="7"/>
      <c r="AC410" s="7"/>
      <c r="AD410" s="7"/>
      <c r="AE410" s="7"/>
    </row>
    <row r="411" spans="1:31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4"/>
      <c r="G411" s="213"/>
      <c r="H411" s="213"/>
      <c r="I411" s="215"/>
      <c r="J411" s="215"/>
      <c r="K411" s="215"/>
      <c r="L411" s="214"/>
      <c r="M411" s="662"/>
      <c r="N411" s="213"/>
      <c r="O411" s="213"/>
      <c r="P411" s="215"/>
      <c r="Q411" s="315"/>
      <c r="R411" s="616">
        <f t="shared" si="18"/>
        <v>0</v>
      </c>
      <c r="S411" s="633"/>
      <c r="T411" s="636"/>
      <c r="U411" s="636"/>
      <c r="V411" s="7"/>
      <c r="W411" s="704"/>
      <c r="X411" s="7"/>
      <c r="Y411" s="618">
        <f t="shared" si="20"/>
        <v>0</v>
      </c>
      <c r="Z411" s="7"/>
      <c r="AA411" s="7"/>
      <c r="AB411" s="7"/>
      <c r="AC411" s="7"/>
      <c r="AD411" s="7"/>
      <c r="AE411" s="7"/>
    </row>
    <row r="412" spans="1:31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4"/>
      <c r="G412" s="213"/>
      <c r="H412" s="213"/>
      <c r="I412" s="215"/>
      <c r="J412" s="215"/>
      <c r="K412" s="215"/>
      <c r="L412" s="214"/>
      <c r="M412" s="662"/>
      <c r="N412" s="213"/>
      <c r="O412" s="213"/>
      <c r="P412" s="215"/>
      <c r="Q412" s="315"/>
      <c r="R412" s="616">
        <f t="shared" si="18"/>
        <v>0</v>
      </c>
      <c r="S412" s="633"/>
      <c r="T412" s="636"/>
      <c r="U412" s="636"/>
      <c r="V412" s="7"/>
      <c r="W412" s="704"/>
      <c r="X412" s="7"/>
      <c r="Y412" s="618">
        <f t="shared" si="20"/>
        <v>0</v>
      </c>
      <c r="Z412" s="7"/>
      <c r="AA412" s="7"/>
      <c r="AB412" s="7"/>
      <c r="AC412" s="7"/>
      <c r="AD412" s="7"/>
      <c r="AE412" s="7"/>
    </row>
    <row r="413" spans="1:31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4"/>
      <c r="G413" s="213"/>
      <c r="H413" s="213"/>
      <c r="I413" s="215"/>
      <c r="J413" s="215"/>
      <c r="K413" s="215"/>
      <c r="L413" s="214"/>
      <c r="M413" s="662"/>
      <c r="N413" s="213"/>
      <c r="O413" s="213"/>
      <c r="P413" s="215"/>
      <c r="Q413" s="315"/>
      <c r="R413" s="616">
        <f t="shared" si="18"/>
        <v>0</v>
      </c>
      <c r="S413" s="633"/>
      <c r="T413" s="636"/>
      <c r="U413" s="636"/>
      <c r="V413" s="7"/>
      <c r="W413" s="704"/>
      <c r="X413" s="7"/>
      <c r="Y413" s="618">
        <f t="shared" si="20"/>
        <v>0</v>
      </c>
      <c r="Z413" s="7"/>
      <c r="AA413" s="7"/>
      <c r="AB413" s="7"/>
      <c r="AC413" s="7"/>
      <c r="AD413" s="7"/>
      <c r="AE413" s="7"/>
    </row>
    <row r="414" spans="1:31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4"/>
      <c r="G414" s="213"/>
      <c r="H414" s="213"/>
      <c r="I414" s="215"/>
      <c r="J414" s="215"/>
      <c r="K414" s="215"/>
      <c r="L414" s="214"/>
      <c r="M414" s="662"/>
      <c r="N414" s="213"/>
      <c r="O414" s="213"/>
      <c r="P414" s="215"/>
      <c r="Q414" s="315"/>
      <c r="R414" s="616">
        <f t="shared" si="18"/>
        <v>0</v>
      </c>
      <c r="S414" s="633"/>
      <c r="T414" s="636"/>
      <c r="U414" s="636"/>
      <c r="V414" s="7"/>
      <c r="W414" s="704"/>
      <c r="X414" s="7"/>
      <c r="Y414" s="618">
        <f t="shared" si="20"/>
        <v>0</v>
      </c>
      <c r="Z414" s="7"/>
      <c r="AA414" s="7"/>
      <c r="AB414" s="7"/>
      <c r="AC414" s="7"/>
      <c r="AD414" s="7"/>
      <c r="AE414" s="7"/>
    </row>
    <row r="415" spans="1:31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4"/>
      <c r="G415" s="213"/>
      <c r="H415" s="213"/>
      <c r="I415" s="215"/>
      <c r="J415" s="215"/>
      <c r="K415" s="215"/>
      <c r="L415" s="214"/>
      <c r="M415" s="662"/>
      <c r="N415" s="213"/>
      <c r="O415" s="213"/>
      <c r="P415" s="215"/>
      <c r="Q415" s="315"/>
      <c r="R415" s="616">
        <f t="shared" si="18"/>
        <v>0</v>
      </c>
      <c r="S415" s="633"/>
      <c r="T415" s="636"/>
      <c r="U415" s="636"/>
      <c r="V415" s="7"/>
      <c r="W415" s="704"/>
      <c r="X415" s="7"/>
      <c r="Y415" s="618">
        <f t="shared" si="20"/>
        <v>0</v>
      </c>
      <c r="Z415" s="7"/>
      <c r="AA415" s="7"/>
      <c r="AB415" s="7"/>
      <c r="AC415" s="7"/>
      <c r="AD415" s="7"/>
      <c r="AE415" s="7"/>
    </row>
    <row r="416" spans="1:31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4"/>
      <c r="G416" s="213"/>
      <c r="H416" s="213"/>
      <c r="I416" s="215"/>
      <c r="J416" s="215"/>
      <c r="K416" s="215"/>
      <c r="L416" s="214"/>
      <c r="M416" s="662"/>
      <c r="N416" s="213"/>
      <c r="O416" s="213"/>
      <c r="P416" s="215"/>
      <c r="Q416" s="315"/>
      <c r="R416" s="616">
        <f t="shared" si="18"/>
        <v>0</v>
      </c>
      <c r="S416" s="633"/>
      <c r="T416" s="636"/>
      <c r="U416" s="636"/>
      <c r="V416" s="7"/>
      <c r="W416" s="704"/>
      <c r="X416" s="7"/>
      <c r="Y416" s="618">
        <f t="shared" si="20"/>
        <v>0</v>
      </c>
      <c r="Z416" s="7"/>
      <c r="AA416" s="7"/>
      <c r="AB416" s="7"/>
      <c r="AC416" s="7"/>
      <c r="AD416" s="7"/>
      <c r="AE416" s="7"/>
    </row>
    <row r="417" spans="1:31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4"/>
      <c r="G417" s="213"/>
      <c r="H417" s="213"/>
      <c r="I417" s="215"/>
      <c r="J417" s="215"/>
      <c r="K417" s="215"/>
      <c r="L417" s="214"/>
      <c r="M417" s="662"/>
      <c r="N417" s="213"/>
      <c r="O417" s="213"/>
      <c r="P417" s="215"/>
      <c r="Q417" s="315"/>
      <c r="R417" s="616">
        <f t="shared" si="18"/>
        <v>0</v>
      </c>
      <c r="S417" s="633"/>
      <c r="T417" s="636"/>
      <c r="U417" s="636"/>
      <c r="V417" s="7"/>
      <c r="W417" s="704"/>
      <c r="X417" s="7"/>
      <c r="Y417" s="618">
        <f t="shared" si="20"/>
        <v>0</v>
      </c>
      <c r="Z417" s="7"/>
      <c r="AA417" s="7"/>
      <c r="AB417" s="7"/>
      <c r="AC417" s="7"/>
      <c r="AD417" s="7"/>
      <c r="AE417" s="7"/>
    </row>
    <row r="418" spans="1:31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4"/>
      <c r="G418" s="213"/>
      <c r="H418" s="213"/>
      <c r="I418" s="215"/>
      <c r="J418" s="215"/>
      <c r="K418" s="215"/>
      <c r="L418" s="214"/>
      <c r="M418" s="662"/>
      <c r="N418" s="213"/>
      <c r="O418" s="213"/>
      <c r="P418" s="215"/>
      <c r="Q418" s="315"/>
      <c r="R418" s="616">
        <f t="shared" si="18"/>
        <v>0</v>
      </c>
      <c r="S418" s="633"/>
      <c r="T418" s="636"/>
      <c r="U418" s="636"/>
      <c r="V418" s="7"/>
      <c r="W418" s="704"/>
      <c r="X418" s="7"/>
      <c r="Y418" s="618">
        <f t="shared" si="20"/>
        <v>0</v>
      </c>
      <c r="Z418" s="7"/>
      <c r="AA418" s="7"/>
      <c r="AB418" s="7"/>
      <c r="AC418" s="7"/>
      <c r="AD418" s="7"/>
      <c r="AE418" s="7"/>
    </row>
    <row r="419" spans="1:31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4"/>
      <c r="G419" s="213"/>
      <c r="H419" s="213"/>
      <c r="I419" s="215"/>
      <c r="J419" s="215"/>
      <c r="K419" s="215"/>
      <c r="L419" s="214"/>
      <c r="M419" s="662"/>
      <c r="N419" s="213"/>
      <c r="O419" s="213"/>
      <c r="P419" s="215"/>
      <c r="Q419" s="315"/>
      <c r="R419" s="616">
        <f t="shared" si="18"/>
        <v>0</v>
      </c>
      <c r="S419" s="633"/>
      <c r="T419" s="636"/>
      <c r="U419" s="636"/>
      <c r="V419" s="7"/>
      <c r="W419" s="704"/>
      <c r="X419" s="7"/>
      <c r="Y419" s="618">
        <f t="shared" si="20"/>
        <v>0</v>
      </c>
      <c r="Z419" s="7"/>
      <c r="AA419" s="7"/>
      <c r="AB419" s="7"/>
      <c r="AC419" s="7"/>
      <c r="AD419" s="7"/>
      <c r="AE419" s="7"/>
    </row>
    <row r="420" spans="1:31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4"/>
      <c r="G420" s="213"/>
      <c r="H420" s="213"/>
      <c r="I420" s="215"/>
      <c r="J420" s="215"/>
      <c r="K420" s="215"/>
      <c r="L420" s="214"/>
      <c r="M420" s="662"/>
      <c r="N420" s="213"/>
      <c r="O420" s="213"/>
      <c r="P420" s="215"/>
      <c r="Q420" s="315"/>
      <c r="R420" s="616">
        <f t="shared" si="18"/>
        <v>0</v>
      </c>
      <c r="S420" s="633"/>
      <c r="T420" s="636"/>
      <c r="U420" s="636"/>
      <c r="V420" s="7"/>
      <c r="W420" s="704"/>
      <c r="X420" s="7"/>
      <c r="Y420" s="618">
        <f t="shared" si="20"/>
        <v>0</v>
      </c>
      <c r="Z420" s="7"/>
      <c r="AA420" s="7"/>
      <c r="AB420" s="7"/>
      <c r="AC420" s="7"/>
      <c r="AD420" s="7"/>
      <c r="AE420" s="7"/>
    </row>
    <row r="421" spans="1:31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4"/>
      <c r="G421" s="213"/>
      <c r="H421" s="213"/>
      <c r="I421" s="215"/>
      <c r="J421" s="215"/>
      <c r="K421" s="215"/>
      <c r="L421" s="214"/>
      <c r="M421" s="662"/>
      <c r="N421" s="213"/>
      <c r="O421" s="213"/>
      <c r="P421" s="215"/>
      <c r="Q421" s="315"/>
      <c r="R421" s="616">
        <f t="shared" si="18"/>
        <v>0</v>
      </c>
      <c r="S421" s="633"/>
      <c r="T421" s="640"/>
      <c r="U421" s="640"/>
      <c r="V421" s="7"/>
      <c r="W421" s="704"/>
      <c r="X421" s="7"/>
      <c r="Y421" s="618">
        <f t="shared" si="20"/>
        <v>0</v>
      </c>
      <c r="Z421" s="7"/>
      <c r="AA421" s="7"/>
      <c r="AB421" s="7"/>
      <c r="AC421" s="7"/>
      <c r="AD421" s="7"/>
      <c r="AE421" s="7"/>
    </row>
    <row r="422" spans="1:31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4"/>
      <c r="G422" s="213"/>
      <c r="H422" s="213"/>
      <c r="I422" s="215"/>
      <c r="J422" s="215"/>
      <c r="K422" s="215"/>
      <c r="L422" s="214"/>
      <c r="M422" s="672"/>
      <c r="N422" s="213"/>
      <c r="O422" s="213"/>
      <c r="P422" s="215"/>
      <c r="Q422" s="316"/>
      <c r="R422" s="616">
        <f t="shared" si="18"/>
        <v>0</v>
      </c>
      <c r="S422" s="633"/>
      <c r="T422" s="634"/>
      <c r="U422" s="634"/>
      <c r="V422" s="7"/>
      <c r="W422" s="704"/>
      <c r="X422" s="7"/>
      <c r="Y422" s="618">
        <f t="shared" si="20"/>
        <v>0</v>
      </c>
      <c r="Z422" s="7"/>
      <c r="AA422" s="7"/>
      <c r="AB422" s="7"/>
      <c r="AC422" s="7"/>
      <c r="AD422" s="7"/>
      <c r="AE422" s="7"/>
    </row>
    <row r="423" spans="1:31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4"/>
      <c r="G423" s="213"/>
      <c r="H423" s="213"/>
      <c r="I423" s="215"/>
      <c r="J423" s="215"/>
      <c r="K423" s="215"/>
      <c r="L423" s="214"/>
      <c r="M423" s="672"/>
      <c r="N423" s="213"/>
      <c r="O423" s="213"/>
      <c r="P423" s="215"/>
      <c r="Q423" s="316"/>
      <c r="R423" s="616">
        <f t="shared" si="18"/>
        <v>0</v>
      </c>
      <c r="S423" s="633"/>
      <c r="T423" s="634"/>
      <c r="U423" s="634"/>
      <c r="V423" s="7"/>
      <c r="W423" s="704"/>
      <c r="X423" s="7"/>
      <c r="Y423" s="618">
        <f t="shared" si="20"/>
        <v>0</v>
      </c>
      <c r="Z423" s="7"/>
      <c r="AA423" s="7"/>
      <c r="AB423" s="7"/>
      <c r="AC423" s="7"/>
      <c r="AD423" s="7"/>
      <c r="AE423" s="7"/>
    </row>
    <row r="424" spans="1:31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4"/>
      <c r="G424" s="213"/>
      <c r="H424" s="213"/>
      <c r="I424" s="215"/>
      <c r="J424" s="215"/>
      <c r="K424" s="215"/>
      <c r="L424" s="214"/>
      <c r="M424" s="672"/>
      <c r="N424" s="213"/>
      <c r="O424" s="213"/>
      <c r="P424" s="215"/>
      <c r="Q424" s="316"/>
      <c r="R424" s="616">
        <f t="shared" si="18"/>
        <v>0</v>
      </c>
      <c r="S424" s="633"/>
      <c r="T424" s="634"/>
      <c r="U424" s="634"/>
      <c r="V424" s="7"/>
      <c r="W424" s="704"/>
      <c r="X424" s="7"/>
      <c r="Y424" s="618">
        <f t="shared" si="20"/>
        <v>0</v>
      </c>
      <c r="Z424" s="7"/>
      <c r="AA424" s="7"/>
      <c r="AB424" s="7"/>
      <c r="AC424" s="7"/>
      <c r="AD424" s="7"/>
      <c r="AE424" s="7"/>
    </row>
    <row r="425" spans="1:31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4"/>
      <c r="G425" s="213"/>
      <c r="H425" s="213"/>
      <c r="I425" s="215"/>
      <c r="J425" s="215"/>
      <c r="K425" s="215"/>
      <c r="L425" s="214"/>
      <c r="M425" s="672"/>
      <c r="N425" s="213"/>
      <c r="O425" s="213"/>
      <c r="P425" s="215"/>
      <c r="Q425" s="316"/>
      <c r="R425" s="616">
        <f t="shared" si="18"/>
        <v>0</v>
      </c>
      <c r="S425" s="633"/>
      <c r="T425" s="636"/>
      <c r="U425" s="636"/>
      <c r="V425" s="7"/>
      <c r="W425" s="704"/>
      <c r="X425" s="7"/>
      <c r="Y425" s="618">
        <f t="shared" si="20"/>
        <v>0</v>
      </c>
      <c r="Z425" s="7"/>
      <c r="AA425" s="7"/>
      <c r="AB425" s="7"/>
      <c r="AC425" s="7"/>
      <c r="AD425" s="7"/>
      <c r="AE425" s="7"/>
    </row>
    <row r="426" spans="1:31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4"/>
      <c r="G426" s="213"/>
      <c r="H426" s="213"/>
      <c r="I426" s="215"/>
      <c r="J426" s="215"/>
      <c r="K426" s="215"/>
      <c r="L426" s="214"/>
      <c r="M426" s="662"/>
      <c r="N426" s="213"/>
      <c r="O426" s="213"/>
      <c r="P426" s="215"/>
      <c r="Q426" s="315"/>
      <c r="R426" s="616">
        <f t="shared" si="18"/>
        <v>0</v>
      </c>
      <c r="S426" s="633"/>
      <c r="T426" s="634"/>
      <c r="U426" s="634"/>
      <c r="V426" s="7"/>
      <c r="W426" s="704"/>
      <c r="X426" s="7"/>
      <c r="Y426" s="618">
        <f t="shared" si="20"/>
        <v>0</v>
      </c>
      <c r="Z426" s="7"/>
      <c r="AA426" s="7"/>
      <c r="AB426" s="7"/>
      <c r="AC426" s="7"/>
      <c r="AD426" s="7"/>
      <c r="AE426" s="7"/>
    </row>
    <row r="427" spans="1:31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4"/>
      <c r="G427" s="213"/>
      <c r="H427" s="213"/>
      <c r="I427" s="215"/>
      <c r="J427" s="215"/>
      <c r="K427" s="215"/>
      <c r="L427" s="214"/>
      <c r="M427" s="662"/>
      <c r="N427" s="213"/>
      <c r="O427" s="213"/>
      <c r="P427" s="215"/>
      <c r="Q427" s="315"/>
      <c r="R427" s="616">
        <f t="shared" si="18"/>
        <v>0</v>
      </c>
      <c r="S427" s="633"/>
      <c r="T427" s="640"/>
      <c r="U427" s="640"/>
      <c r="V427" s="7"/>
      <c r="W427" s="704"/>
      <c r="X427" s="7"/>
      <c r="Y427" s="618">
        <f t="shared" si="20"/>
        <v>0</v>
      </c>
      <c r="Z427" s="7"/>
      <c r="AA427" s="7"/>
      <c r="AB427" s="7"/>
      <c r="AC427" s="7"/>
      <c r="AD427" s="7"/>
      <c r="AE427" s="7"/>
    </row>
    <row r="428" spans="1:31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4"/>
      <c r="G428" s="213"/>
      <c r="H428" s="213"/>
      <c r="I428" s="215"/>
      <c r="J428" s="215"/>
      <c r="K428" s="215"/>
      <c r="L428" s="214"/>
      <c r="M428" s="620"/>
      <c r="N428" s="213"/>
      <c r="O428" s="213"/>
      <c r="P428" s="215"/>
      <c r="Q428" s="315"/>
      <c r="R428" s="616">
        <f t="shared" si="18"/>
        <v>0</v>
      </c>
      <c r="S428" s="633"/>
      <c r="T428" s="636"/>
      <c r="U428" s="636"/>
      <c r="V428" s="7"/>
      <c r="W428" s="704"/>
      <c r="X428" s="7"/>
      <c r="Y428" s="618">
        <f t="shared" si="20"/>
        <v>0</v>
      </c>
      <c r="Z428" s="7"/>
      <c r="AA428" s="7"/>
      <c r="AB428" s="7"/>
      <c r="AC428" s="7"/>
      <c r="AD428" s="7"/>
      <c r="AE428" s="7"/>
    </row>
    <row r="429" spans="1:31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4"/>
      <c r="G429" s="213"/>
      <c r="H429" s="213"/>
      <c r="I429" s="215"/>
      <c r="J429" s="215"/>
      <c r="K429" s="215"/>
      <c r="L429" s="214"/>
      <c r="M429" s="620"/>
      <c r="N429" s="213"/>
      <c r="O429" s="213"/>
      <c r="P429" s="215"/>
      <c r="Q429" s="315"/>
      <c r="R429" s="616">
        <f t="shared" si="18"/>
        <v>0</v>
      </c>
      <c r="S429" s="633"/>
      <c r="T429" s="636"/>
      <c r="U429" s="636"/>
      <c r="V429" s="7"/>
      <c r="W429" s="704"/>
      <c r="X429" s="7"/>
      <c r="Y429" s="618">
        <f t="shared" si="20"/>
        <v>0</v>
      </c>
      <c r="Z429" s="7"/>
      <c r="AA429" s="7"/>
      <c r="AB429" s="7"/>
      <c r="AC429" s="7"/>
      <c r="AD429" s="7"/>
      <c r="AE429" s="7"/>
    </row>
    <row r="430" spans="1:31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4"/>
      <c r="G430" s="213"/>
      <c r="H430" s="213"/>
      <c r="I430" s="215"/>
      <c r="J430" s="215"/>
      <c r="K430" s="215"/>
      <c r="L430" s="214"/>
      <c r="M430" s="620"/>
      <c r="N430" s="213"/>
      <c r="O430" s="213"/>
      <c r="P430" s="215"/>
      <c r="Q430" s="315"/>
      <c r="R430" s="616">
        <f t="shared" si="18"/>
        <v>0</v>
      </c>
      <c r="S430" s="633"/>
      <c r="T430" s="636"/>
      <c r="U430" s="636"/>
      <c r="V430" s="7"/>
      <c r="W430" s="704"/>
      <c r="X430" s="7"/>
      <c r="Y430" s="618">
        <f t="shared" si="20"/>
        <v>0</v>
      </c>
      <c r="Z430" s="7"/>
      <c r="AA430" s="7"/>
      <c r="AB430" s="7"/>
      <c r="AC430" s="7"/>
      <c r="AD430" s="7"/>
      <c r="AE430" s="7"/>
    </row>
    <row r="431" spans="1:31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4"/>
      <c r="G431" s="213"/>
      <c r="H431" s="213"/>
      <c r="I431" s="215"/>
      <c r="J431" s="215"/>
      <c r="K431" s="215"/>
      <c r="L431" s="214"/>
      <c r="M431" s="620"/>
      <c r="N431" s="213"/>
      <c r="O431" s="213"/>
      <c r="P431" s="215"/>
      <c r="Q431" s="315"/>
      <c r="R431" s="616">
        <f t="shared" si="18"/>
        <v>0</v>
      </c>
      <c r="S431" s="633"/>
      <c r="T431" s="636"/>
      <c r="U431" s="636"/>
      <c r="V431" s="7"/>
      <c r="W431" s="704"/>
      <c r="X431" s="7"/>
      <c r="Y431" s="618">
        <f t="shared" si="20"/>
        <v>0</v>
      </c>
      <c r="Z431" s="7"/>
      <c r="AA431" s="7"/>
      <c r="AB431" s="7"/>
      <c r="AC431" s="7"/>
      <c r="AD431" s="7"/>
      <c r="AE431" s="7"/>
    </row>
    <row r="432" spans="1:31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4"/>
      <c r="G432" s="213"/>
      <c r="H432" s="213"/>
      <c r="I432" s="215"/>
      <c r="J432" s="215"/>
      <c r="K432" s="215"/>
      <c r="L432" s="214"/>
      <c r="M432" s="620"/>
      <c r="N432" s="213"/>
      <c r="O432" s="213"/>
      <c r="P432" s="215"/>
      <c r="Q432" s="315"/>
      <c r="R432" s="616">
        <f t="shared" si="18"/>
        <v>0</v>
      </c>
      <c r="S432" s="633"/>
      <c r="T432" s="636"/>
      <c r="U432" s="636"/>
      <c r="V432" s="7"/>
      <c r="W432" s="704"/>
      <c r="X432" s="7"/>
      <c r="Y432" s="618">
        <f t="shared" si="20"/>
        <v>0</v>
      </c>
      <c r="Z432" s="7"/>
      <c r="AA432" s="7"/>
      <c r="AB432" s="7"/>
      <c r="AC432" s="7"/>
      <c r="AD432" s="7"/>
      <c r="AE432" s="7"/>
    </row>
    <row r="433" spans="1:31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4"/>
      <c r="G433" s="213"/>
      <c r="H433" s="213"/>
      <c r="I433" s="215"/>
      <c r="J433" s="215"/>
      <c r="K433" s="215"/>
      <c r="L433" s="214"/>
      <c r="M433" s="620"/>
      <c r="N433" s="213"/>
      <c r="O433" s="213"/>
      <c r="P433" s="215"/>
      <c r="Q433" s="315"/>
      <c r="R433" s="616">
        <f t="shared" si="18"/>
        <v>0</v>
      </c>
      <c r="S433" s="633"/>
      <c r="T433" s="636"/>
      <c r="U433" s="636"/>
      <c r="V433" s="7"/>
      <c r="W433" s="704"/>
      <c r="X433" s="7"/>
      <c r="Y433" s="618">
        <f t="shared" si="20"/>
        <v>0</v>
      </c>
      <c r="Z433" s="7"/>
      <c r="AA433" s="7"/>
      <c r="AB433" s="7"/>
      <c r="AC433" s="7"/>
      <c r="AD433" s="7"/>
      <c r="AE433" s="7"/>
    </row>
    <row r="434" spans="1:31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4"/>
      <c r="G434" s="213"/>
      <c r="H434" s="213"/>
      <c r="I434" s="215"/>
      <c r="J434" s="215"/>
      <c r="K434" s="215"/>
      <c r="L434" s="214"/>
      <c r="M434" s="620"/>
      <c r="N434" s="213"/>
      <c r="O434" s="213"/>
      <c r="P434" s="215"/>
      <c r="Q434" s="315"/>
      <c r="R434" s="616">
        <f t="shared" si="18"/>
        <v>0</v>
      </c>
      <c r="S434" s="633"/>
      <c r="T434" s="636"/>
      <c r="U434" s="636"/>
      <c r="V434" s="7"/>
      <c r="W434" s="704"/>
      <c r="X434" s="7"/>
      <c r="Y434" s="618">
        <f t="shared" si="20"/>
        <v>0</v>
      </c>
      <c r="Z434" s="7"/>
      <c r="AA434" s="7"/>
      <c r="AB434" s="7"/>
      <c r="AC434" s="7"/>
      <c r="AD434" s="7"/>
      <c r="AE434" s="7"/>
    </row>
    <row r="435" spans="1:31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4"/>
      <c r="G435" s="213"/>
      <c r="H435" s="213"/>
      <c r="I435" s="215"/>
      <c r="J435" s="215"/>
      <c r="K435" s="215"/>
      <c r="L435" s="214"/>
      <c r="M435" s="620"/>
      <c r="N435" s="213"/>
      <c r="O435" s="213"/>
      <c r="P435" s="215"/>
      <c r="Q435" s="315"/>
      <c r="R435" s="616">
        <f t="shared" si="18"/>
        <v>0</v>
      </c>
      <c r="S435" s="633"/>
      <c r="T435" s="636"/>
      <c r="U435" s="636"/>
      <c r="V435" s="7"/>
      <c r="W435" s="704"/>
      <c r="X435" s="7"/>
      <c r="Y435" s="618">
        <f t="shared" si="20"/>
        <v>0</v>
      </c>
      <c r="Z435" s="7"/>
      <c r="AA435" s="7"/>
      <c r="AB435" s="7"/>
      <c r="AC435" s="7"/>
      <c r="AD435" s="7"/>
      <c r="AE435" s="7"/>
    </row>
    <row r="436" spans="1:31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4"/>
      <c r="G436" s="213"/>
      <c r="H436" s="213"/>
      <c r="I436" s="215"/>
      <c r="J436" s="215"/>
      <c r="K436" s="215"/>
      <c r="L436" s="214"/>
      <c r="M436" s="620"/>
      <c r="N436" s="213"/>
      <c r="O436" s="213"/>
      <c r="P436" s="215"/>
      <c r="Q436" s="315"/>
      <c r="R436" s="616">
        <f t="shared" si="18"/>
        <v>0</v>
      </c>
      <c r="S436" s="633"/>
      <c r="T436" s="636"/>
      <c r="U436" s="636"/>
      <c r="V436" s="7"/>
      <c r="W436" s="704"/>
      <c r="X436" s="7"/>
      <c r="Y436" s="618">
        <f t="shared" si="20"/>
        <v>0</v>
      </c>
      <c r="Z436" s="7"/>
      <c r="AA436" s="7"/>
      <c r="AB436" s="7"/>
      <c r="AC436" s="7"/>
      <c r="AD436" s="7"/>
      <c r="AE436" s="7"/>
    </row>
    <row r="437" spans="1:31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4"/>
      <c r="G437" s="213"/>
      <c r="H437" s="213"/>
      <c r="I437" s="215"/>
      <c r="J437" s="215"/>
      <c r="K437" s="215"/>
      <c r="L437" s="214"/>
      <c r="M437" s="620"/>
      <c r="N437" s="213"/>
      <c r="O437" s="213"/>
      <c r="P437" s="215"/>
      <c r="Q437" s="315"/>
      <c r="R437" s="616">
        <f t="shared" si="18"/>
        <v>0</v>
      </c>
      <c r="S437" s="633"/>
      <c r="T437" s="636"/>
      <c r="U437" s="636"/>
      <c r="V437" s="7"/>
      <c r="W437" s="704"/>
      <c r="X437" s="7"/>
      <c r="Y437" s="618">
        <f t="shared" si="20"/>
        <v>0</v>
      </c>
      <c r="Z437" s="7"/>
      <c r="AA437" s="7"/>
      <c r="AB437" s="7"/>
      <c r="AC437" s="7"/>
      <c r="AD437" s="7"/>
      <c r="AE437" s="7"/>
    </row>
    <row r="438" spans="1:31" ht="21.75" customHeight="1">
      <c r="A438" s="486">
        <v>15.3</v>
      </c>
      <c r="B438" s="487" t="s">
        <v>947</v>
      </c>
      <c r="C438" s="635" t="s">
        <v>948</v>
      </c>
      <c r="D438" s="412" t="s">
        <v>2336</v>
      </c>
      <c r="E438" s="213"/>
      <c r="F438" s="214"/>
      <c r="G438" s="213"/>
      <c r="H438" s="213"/>
      <c r="I438" s="215"/>
      <c r="J438" s="215"/>
      <c r="K438" s="215"/>
      <c r="L438" s="214"/>
      <c r="M438" s="620"/>
      <c r="N438" s="213"/>
      <c r="O438" s="213"/>
      <c r="P438" s="215"/>
      <c r="Q438" s="315"/>
      <c r="R438" s="616">
        <f t="shared" si="18"/>
        <v>0</v>
      </c>
      <c r="S438" s="633"/>
      <c r="T438" s="636"/>
      <c r="U438" s="636"/>
      <c r="V438" s="7"/>
      <c r="W438" s="704"/>
      <c r="X438" s="7"/>
      <c r="Y438" s="618">
        <f t="shared" si="20"/>
        <v>0</v>
      </c>
      <c r="Z438" s="7"/>
      <c r="AA438" s="7"/>
      <c r="AB438" s="7"/>
      <c r="AC438" s="7"/>
      <c r="AD438" s="7"/>
      <c r="AE438" s="7"/>
    </row>
    <row r="439" spans="1:31" ht="21.75" customHeight="1">
      <c r="A439" s="503" t="s">
        <v>1515</v>
      </c>
      <c r="B439" s="483" t="s">
        <v>951</v>
      </c>
      <c r="C439" s="629" t="s">
        <v>131</v>
      </c>
      <c r="D439" s="485" t="s">
        <v>2337</v>
      </c>
      <c r="E439" s="213"/>
      <c r="F439" s="214"/>
      <c r="G439" s="213"/>
      <c r="H439" s="213"/>
      <c r="I439" s="215"/>
      <c r="J439" s="215"/>
      <c r="K439" s="215"/>
      <c r="L439" s="214"/>
      <c r="M439" s="620"/>
      <c r="N439" s="213"/>
      <c r="O439" s="213"/>
      <c r="P439" s="215"/>
      <c r="Q439" s="315"/>
      <c r="R439" s="616">
        <f t="shared" si="18"/>
        <v>0</v>
      </c>
      <c r="S439" s="633"/>
      <c r="T439" s="636"/>
      <c r="U439" s="636"/>
      <c r="V439" s="7"/>
      <c r="W439" s="704"/>
      <c r="X439" s="7"/>
      <c r="Y439" s="618">
        <f t="shared" si="20"/>
        <v>0</v>
      </c>
      <c r="Z439" s="7"/>
      <c r="AA439" s="7"/>
      <c r="AB439" s="7"/>
      <c r="AC439" s="7"/>
      <c r="AD439" s="7"/>
      <c r="AE439" s="7"/>
    </row>
    <row r="440" spans="1:31" ht="21.75" customHeight="1">
      <c r="A440" s="503" t="s">
        <v>1517</v>
      </c>
      <c r="B440" s="483" t="s">
        <v>953</v>
      </c>
      <c r="C440" s="629" t="s">
        <v>200</v>
      </c>
      <c r="D440" s="485" t="s">
        <v>2338</v>
      </c>
      <c r="E440" s="213"/>
      <c r="F440" s="214"/>
      <c r="G440" s="213"/>
      <c r="H440" s="213"/>
      <c r="I440" s="215"/>
      <c r="J440" s="215"/>
      <c r="K440" s="215"/>
      <c r="L440" s="214"/>
      <c r="M440" s="620"/>
      <c r="N440" s="213"/>
      <c r="O440" s="213"/>
      <c r="P440" s="215"/>
      <c r="Q440" s="315"/>
      <c r="R440" s="616">
        <f t="shared" si="18"/>
        <v>0</v>
      </c>
      <c r="S440" s="633"/>
      <c r="T440" s="636"/>
      <c r="U440" s="636"/>
      <c r="V440" s="7"/>
      <c r="W440" s="704"/>
      <c r="X440" s="7"/>
      <c r="Y440" s="618">
        <f t="shared" si="20"/>
        <v>0</v>
      </c>
      <c r="Z440" s="7"/>
      <c r="AA440" s="7"/>
      <c r="AB440" s="7"/>
      <c r="AC440" s="7"/>
      <c r="AD440" s="7"/>
      <c r="AE440" s="7"/>
    </row>
    <row r="441" spans="1:31" ht="21.75" customHeight="1">
      <c r="A441" s="503" t="s">
        <v>1519</v>
      </c>
      <c r="B441" s="483" t="s">
        <v>955</v>
      </c>
      <c r="C441" s="629" t="s">
        <v>203</v>
      </c>
      <c r="D441" s="485" t="s">
        <v>2339</v>
      </c>
      <c r="E441" s="213"/>
      <c r="F441" s="214"/>
      <c r="G441" s="213"/>
      <c r="H441" s="213"/>
      <c r="I441" s="215"/>
      <c r="J441" s="215"/>
      <c r="K441" s="215"/>
      <c r="L441" s="214"/>
      <c r="M441" s="620"/>
      <c r="N441" s="213"/>
      <c r="O441" s="213"/>
      <c r="P441" s="215"/>
      <c r="Q441" s="315"/>
      <c r="R441" s="616">
        <f t="shared" si="18"/>
        <v>0</v>
      </c>
      <c r="S441" s="633"/>
      <c r="T441" s="636"/>
      <c r="U441" s="636"/>
      <c r="V441" s="7"/>
      <c r="W441" s="704"/>
      <c r="X441" s="7"/>
      <c r="Y441" s="618">
        <f t="shared" si="20"/>
        <v>0</v>
      </c>
      <c r="Z441" s="7"/>
      <c r="AA441" s="7"/>
      <c r="AB441" s="7"/>
      <c r="AC441" s="7"/>
      <c r="AD441" s="7"/>
      <c r="AE441" s="7"/>
    </row>
    <row r="442" spans="1:31" ht="21.75" customHeight="1">
      <c r="A442" s="503" t="s">
        <v>1521</v>
      </c>
      <c r="B442" s="483" t="s">
        <v>957</v>
      </c>
      <c r="C442" s="629" t="s">
        <v>159</v>
      </c>
      <c r="D442" s="485" t="s">
        <v>2340</v>
      </c>
      <c r="E442" s="213"/>
      <c r="F442" s="214"/>
      <c r="G442" s="213"/>
      <c r="H442" s="213"/>
      <c r="I442" s="215"/>
      <c r="J442" s="215"/>
      <c r="K442" s="215"/>
      <c r="L442" s="214"/>
      <c r="M442" s="620"/>
      <c r="N442" s="213"/>
      <c r="O442" s="213"/>
      <c r="P442" s="215"/>
      <c r="Q442" s="315"/>
      <c r="R442" s="616">
        <f t="shared" si="18"/>
        <v>0</v>
      </c>
      <c r="S442" s="633"/>
      <c r="T442" s="636"/>
      <c r="U442" s="636"/>
      <c r="V442" s="7"/>
      <c r="W442" s="704"/>
      <c r="X442" s="7"/>
      <c r="Y442" s="618">
        <f t="shared" si="20"/>
        <v>0</v>
      </c>
      <c r="Z442" s="7"/>
      <c r="AA442" s="7"/>
      <c r="AB442" s="7"/>
      <c r="AC442" s="7"/>
      <c r="AD442" s="7"/>
      <c r="AE442" s="7"/>
    </row>
    <row r="443" spans="1:31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4"/>
      <c r="G443" s="213"/>
      <c r="H443" s="213"/>
      <c r="I443" s="215"/>
      <c r="J443" s="215"/>
      <c r="K443" s="215"/>
      <c r="L443" s="214"/>
      <c r="M443" s="620"/>
      <c r="N443" s="213"/>
      <c r="O443" s="213"/>
      <c r="P443" s="215"/>
      <c r="Q443" s="315"/>
      <c r="R443" s="616">
        <f t="shared" si="18"/>
        <v>0</v>
      </c>
      <c r="S443" s="633"/>
      <c r="T443" s="636"/>
      <c r="U443" s="636"/>
      <c r="V443" s="7"/>
      <c r="W443" s="704"/>
      <c r="X443" s="7"/>
      <c r="Y443" s="618">
        <f t="shared" si="20"/>
        <v>0</v>
      </c>
      <c r="Z443" s="7"/>
      <c r="AA443" s="7"/>
      <c r="AB443" s="7"/>
      <c r="AC443" s="7"/>
      <c r="AD443" s="7"/>
      <c r="AE443" s="7"/>
    </row>
    <row r="444" spans="1:31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4"/>
      <c r="G444" s="213"/>
      <c r="H444" s="213"/>
      <c r="I444" s="215"/>
      <c r="J444" s="215"/>
      <c r="K444" s="215"/>
      <c r="L444" s="214"/>
      <c r="M444" s="662"/>
      <c r="N444" s="213"/>
      <c r="O444" s="213"/>
      <c r="P444" s="215"/>
      <c r="Q444" s="315"/>
      <c r="R444" s="616">
        <f t="shared" si="18"/>
        <v>0</v>
      </c>
      <c r="S444" s="633"/>
      <c r="T444" s="636"/>
      <c r="U444" s="636"/>
      <c r="V444" s="7"/>
      <c r="W444" s="704"/>
      <c r="X444" s="7"/>
      <c r="Y444" s="618">
        <f t="shared" si="20"/>
        <v>0</v>
      </c>
      <c r="Z444" s="7"/>
      <c r="AA444" s="7"/>
      <c r="AB444" s="7"/>
      <c r="AC444" s="7"/>
      <c r="AD444" s="7"/>
      <c r="AE444" s="7"/>
    </row>
    <row r="445" spans="1:31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4"/>
      <c r="G445" s="213"/>
      <c r="H445" s="213"/>
      <c r="I445" s="215"/>
      <c r="J445" s="215"/>
      <c r="K445" s="215"/>
      <c r="L445" s="214"/>
      <c r="M445" s="662"/>
      <c r="N445" s="213"/>
      <c r="O445" s="213"/>
      <c r="P445" s="215"/>
      <c r="Q445" s="315"/>
      <c r="R445" s="616">
        <f t="shared" si="18"/>
        <v>0</v>
      </c>
      <c r="S445" s="633"/>
      <c r="T445" s="636"/>
      <c r="U445" s="636"/>
      <c r="V445" s="7"/>
      <c r="W445" s="704"/>
      <c r="X445" s="7"/>
      <c r="Y445" s="618">
        <f t="shared" si="20"/>
        <v>0</v>
      </c>
      <c r="Z445" s="7"/>
      <c r="AA445" s="7"/>
      <c r="AB445" s="7"/>
      <c r="AC445" s="7"/>
      <c r="AD445" s="7"/>
      <c r="AE445" s="7"/>
    </row>
    <row r="446" spans="1:31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4"/>
      <c r="G446" s="213"/>
      <c r="H446" s="213"/>
      <c r="I446" s="215"/>
      <c r="J446" s="215"/>
      <c r="K446" s="215"/>
      <c r="L446" s="214"/>
      <c r="M446" s="662"/>
      <c r="N446" s="213"/>
      <c r="O446" s="213"/>
      <c r="P446" s="215"/>
      <c r="Q446" s="315"/>
      <c r="R446" s="616">
        <f t="shared" si="18"/>
        <v>0</v>
      </c>
      <c r="S446" s="633"/>
      <c r="T446" s="636"/>
      <c r="U446" s="636"/>
      <c r="V446" s="7"/>
      <c r="W446" s="704"/>
      <c r="X446" s="7"/>
      <c r="Y446" s="618">
        <f t="shared" si="20"/>
        <v>0</v>
      </c>
      <c r="Z446" s="7"/>
      <c r="AA446" s="7"/>
      <c r="AB446" s="7"/>
      <c r="AC446" s="7"/>
      <c r="AD446" s="7"/>
      <c r="AE446" s="7"/>
    </row>
    <row r="447" spans="1:31" ht="42" customHeight="1">
      <c r="A447" s="519"/>
      <c r="B447" s="801" t="s">
        <v>969</v>
      </c>
      <c r="C447" s="771"/>
      <c r="D447" s="491" t="s">
        <v>970</v>
      </c>
      <c r="E447" s="231">
        <v>500</v>
      </c>
      <c r="F447" s="374"/>
      <c r="G447" s="231">
        <v>1500</v>
      </c>
      <c r="H447" s="219">
        <v>1000</v>
      </c>
      <c r="I447" s="235">
        <v>50</v>
      </c>
      <c r="J447" s="235">
        <v>160</v>
      </c>
      <c r="K447" s="235">
        <v>120</v>
      </c>
      <c r="L447" s="374">
        <v>600</v>
      </c>
      <c r="M447" s="675">
        <v>1600</v>
      </c>
      <c r="N447" s="219">
        <v>1200</v>
      </c>
      <c r="O447" s="219">
        <v>70</v>
      </c>
      <c r="P447" s="235"/>
      <c r="Q447" s="219"/>
      <c r="R447" s="616">
        <f t="shared" si="18"/>
        <v>6800</v>
      </c>
      <c r="S447" s="633"/>
      <c r="T447" s="537"/>
      <c r="U447" s="537"/>
      <c r="V447" s="7"/>
      <c r="W447" s="679">
        <v>157136</v>
      </c>
      <c r="X447" s="7"/>
      <c r="Y447" s="618">
        <f t="shared" si="20"/>
        <v>150336</v>
      </c>
      <c r="Z447" s="7"/>
      <c r="AA447" s="7"/>
      <c r="AB447" s="7"/>
      <c r="AC447" s="7"/>
      <c r="AD447" s="7"/>
      <c r="AE447" s="7"/>
    </row>
    <row r="448" spans="1:31" ht="21.75" customHeight="1">
      <c r="A448" s="534"/>
      <c r="B448" s="535"/>
      <c r="C448" s="680"/>
      <c r="D448" s="536"/>
      <c r="E448" s="158"/>
      <c r="F448" s="174"/>
      <c r="M448" s="536"/>
    </row>
    <row r="449" spans="1:13" ht="15.75" customHeight="1">
      <c r="A449" s="541"/>
      <c r="B449" s="542" t="s">
        <v>1523</v>
      </c>
      <c r="C449" s="542"/>
      <c r="D449" s="541"/>
      <c r="E449" s="158"/>
      <c r="F449" s="174"/>
      <c r="M449" s="541"/>
    </row>
    <row r="450" spans="1:13" ht="15.75" customHeight="1">
      <c r="A450" s="541"/>
      <c r="B450" s="545" t="s">
        <v>1524</v>
      </c>
      <c r="C450" s="542" t="s">
        <v>1525</v>
      </c>
      <c r="D450" s="541"/>
      <c r="E450" s="158"/>
      <c r="F450" s="174"/>
      <c r="M450" s="541"/>
    </row>
    <row r="451" spans="1:13" ht="15.75" customHeight="1">
      <c r="A451" s="541"/>
      <c r="B451" s="545" t="s">
        <v>1526</v>
      </c>
      <c r="C451" s="542" t="s">
        <v>1527</v>
      </c>
      <c r="D451" s="541"/>
      <c r="E451" s="151"/>
      <c r="F451" s="174"/>
      <c r="M451" s="541"/>
    </row>
    <row r="452" spans="1:13" ht="15.75" customHeight="1">
      <c r="A452" s="541"/>
      <c r="B452" s="545"/>
      <c r="C452" s="542"/>
      <c r="D452" s="541"/>
      <c r="E452" s="151"/>
      <c r="F452" s="174"/>
      <c r="M452" s="541"/>
    </row>
    <row r="453" spans="1:13" ht="15.75" customHeight="1">
      <c r="A453" s="541"/>
      <c r="B453" s="802" t="s">
        <v>1528</v>
      </c>
      <c r="C453" s="791"/>
      <c r="D453" s="541"/>
      <c r="E453" s="151"/>
      <c r="F453" s="174"/>
      <c r="M453" s="541"/>
    </row>
    <row r="454" spans="1:13" ht="15.75" customHeight="1">
      <c r="A454" s="541"/>
      <c r="B454" s="790" t="s">
        <v>1529</v>
      </c>
      <c r="C454" s="791"/>
      <c r="D454" s="541" t="s">
        <v>1530</v>
      </c>
      <c r="E454" s="151"/>
      <c r="F454" s="174"/>
      <c r="M454" s="541"/>
    </row>
    <row r="455" spans="1:13" ht="15.75" customHeight="1">
      <c r="A455" s="541"/>
      <c r="B455" s="545"/>
      <c r="C455" s="542"/>
      <c r="D455" s="541"/>
      <c r="E455" s="151"/>
      <c r="F455" s="174"/>
      <c r="M455" s="541"/>
    </row>
    <row r="456" spans="1:13" ht="15.75" customHeight="1">
      <c r="A456" s="546" t="s">
        <v>971</v>
      </c>
      <c r="B456" s="547"/>
      <c r="C456" s="547"/>
      <c r="D456" s="547"/>
      <c r="E456" s="733"/>
      <c r="F456" s="174"/>
      <c r="M456" s="547"/>
    </row>
    <row r="457" spans="1:13" ht="15.75" customHeight="1">
      <c r="A457" s="549" t="s">
        <v>972</v>
      </c>
      <c r="B457" s="550"/>
      <c r="C457" s="550"/>
      <c r="D457" s="550"/>
      <c r="E457" s="734"/>
      <c r="F457" s="174"/>
      <c r="M457" s="550"/>
    </row>
    <row r="458" spans="1:13" ht="15.75" customHeight="1">
      <c r="A458" s="546"/>
      <c r="B458" s="547"/>
      <c r="C458" s="241" t="s">
        <v>12</v>
      </c>
      <c r="D458" s="242">
        <f>COUNTIF($D$11:$R$11,"Hà Giang")</f>
        <v>0</v>
      </c>
      <c r="E458" s="158"/>
      <c r="F458" s="174"/>
      <c r="M458" s="546"/>
    </row>
    <row r="459" spans="1:13" ht="15.75" customHeight="1">
      <c r="A459" s="546"/>
      <c r="B459" s="547"/>
      <c r="C459" s="241" t="s">
        <v>14</v>
      </c>
      <c r="D459" s="242">
        <f>COUNTIF($D$11:$R$11,"Lào Cai")</f>
        <v>0</v>
      </c>
      <c r="E459" s="158"/>
      <c r="F459" s="174"/>
      <c r="M459" s="546"/>
    </row>
    <row r="460" spans="1:13" ht="15.75" customHeight="1">
      <c r="A460" s="546"/>
      <c r="B460" s="552"/>
      <c r="C460" s="241" t="s">
        <v>23</v>
      </c>
      <c r="D460" s="242">
        <f>COUNTIF($D$11:$R$11,"Lai Châu")</f>
        <v>0</v>
      </c>
      <c r="E460" s="158"/>
      <c r="F460" s="174"/>
      <c r="M460" s="546"/>
    </row>
    <row r="461" spans="1:13" ht="15.75" customHeight="1">
      <c r="A461" s="686"/>
      <c r="B461" s="687"/>
      <c r="C461" s="243" t="s">
        <v>17</v>
      </c>
      <c r="D461" s="242">
        <f>COUNTIF($D$11:$R$11,"Điện Biên")</f>
        <v>0</v>
      </c>
      <c r="E461" s="164"/>
      <c r="F461" s="174"/>
      <c r="M461" s="244"/>
    </row>
    <row r="462" spans="1:13" ht="15.75" customHeight="1">
      <c r="A462" s="686"/>
      <c r="B462" s="687"/>
      <c r="C462" s="243" t="s">
        <v>16</v>
      </c>
      <c r="D462" s="242">
        <f>COUNTIF($D$11:$R$11,"Lạng Sơn")</f>
        <v>0</v>
      </c>
      <c r="E462" s="164"/>
      <c r="F462" s="174"/>
      <c r="M462" s="244"/>
    </row>
    <row r="463" spans="1:13" ht="15.75" customHeight="1">
      <c r="A463" s="686"/>
      <c r="B463" s="687"/>
      <c r="C463" s="243" t="s">
        <v>13</v>
      </c>
      <c r="D463" s="242">
        <f>COUNTIF($D$11:$R$11,"Cao Bằng")</f>
        <v>0</v>
      </c>
      <c r="E463" s="164"/>
      <c r="F463" s="174"/>
      <c r="M463" s="244"/>
    </row>
    <row r="464" spans="1:13" ht="15.75" customHeight="1">
      <c r="A464" s="686"/>
      <c r="B464" s="687"/>
      <c r="C464" s="243" t="s">
        <v>1090</v>
      </c>
      <c r="D464" s="242">
        <f>COUNTIF($D$11:$R$11,"Sơn La")</f>
        <v>0</v>
      </c>
      <c r="E464" s="164"/>
      <c r="F464" s="174"/>
      <c r="M464" s="244"/>
    </row>
    <row r="465" spans="1:13" ht="15.75" customHeight="1">
      <c r="A465" s="686"/>
      <c r="B465" s="687"/>
      <c r="C465" s="243" t="s">
        <v>19</v>
      </c>
      <c r="D465" s="242">
        <f>COUNTIF($D$11:$R$11,"Yên Bái")</f>
        <v>12</v>
      </c>
      <c r="E465" s="164"/>
      <c r="F465" s="174"/>
      <c r="M465" s="244"/>
    </row>
    <row r="466" spans="1:13" ht="15.75" customHeight="1">
      <c r="A466" s="686"/>
      <c r="B466" s="687"/>
      <c r="C466" s="243" t="s">
        <v>18</v>
      </c>
      <c r="D466" s="242">
        <f>COUNTIF($D$11:$R$11,"Tuyên Quang")</f>
        <v>0</v>
      </c>
      <c r="E466" s="164"/>
      <c r="F466" s="174"/>
      <c r="M466" s="244"/>
    </row>
    <row r="467" spans="1:13" ht="15.75" customHeight="1">
      <c r="A467" s="686"/>
      <c r="B467" s="687"/>
      <c r="C467" s="243" t="s">
        <v>1091</v>
      </c>
      <c r="D467" s="242">
        <f>COUNTIF($D$11:$R$11,"Thái Nguyên")</f>
        <v>0</v>
      </c>
      <c r="E467" s="164"/>
      <c r="F467" s="174"/>
      <c r="M467" s="244"/>
    </row>
    <row r="468" spans="1:13" ht="15.75" customHeight="1">
      <c r="A468" s="686"/>
      <c r="B468" s="687"/>
      <c r="C468" s="243" t="s">
        <v>15</v>
      </c>
      <c r="D468" s="242">
        <f>COUNTIF($D$11:$R$11,"Bắc Kạn")</f>
        <v>0</v>
      </c>
      <c r="E468" s="164"/>
      <c r="F468" s="174"/>
      <c r="M468" s="244"/>
    </row>
    <row r="469" spans="1:13" ht="15.75" customHeight="1">
      <c r="A469" s="686"/>
      <c r="B469" s="687"/>
      <c r="C469" s="243" t="s">
        <v>25</v>
      </c>
      <c r="D469" s="242">
        <f>COUNTIF($D$11:$R$11,"Hoà Bình")</f>
        <v>0</v>
      </c>
      <c r="E469" s="164"/>
      <c r="F469" s="174"/>
      <c r="M469" s="244"/>
    </row>
    <row r="470" spans="1:13" ht="15.75" customHeight="1">
      <c r="A470" s="686"/>
      <c r="B470" s="687"/>
      <c r="C470" s="243" t="s">
        <v>1092</v>
      </c>
      <c r="D470" s="242">
        <f>COUNTIF($D$11:$R$11,"Bắc Giang")</f>
        <v>0</v>
      </c>
      <c r="E470" s="164"/>
      <c r="F470" s="174"/>
      <c r="M470" s="244"/>
    </row>
    <row r="471" spans="1:13" ht="15.75" customHeight="1">
      <c r="A471" s="686"/>
      <c r="B471" s="687"/>
      <c r="C471" s="243" t="s">
        <v>28</v>
      </c>
      <c r="D471" s="242">
        <f>COUNTIF($D$11:$R$11,"Quảng Ninh")</f>
        <v>0</v>
      </c>
      <c r="E471" s="164"/>
      <c r="F471" s="174"/>
      <c r="M471" s="244"/>
    </row>
    <row r="472" spans="1:13" ht="15.75" customHeight="1">
      <c r="A472" s="686"/>
      <c r="B472" s="687"/>
      <c r="C472" s="243" t="s">
        <v>26</v>
      </c>
      <c r="D472" s="242">
        <f>COUNTIF($D$11:$R$11,"Hà Nội")</f>
        <v>0</v>
      </c>
      <c r="E472" s="164"/>
      <c r="F472" s="174"/>
      <c r="M472" s="244"/>
    </row>
    <row r="473" spans="1:13" ht="15.75" customHeight="1">
      <c r="A473" s="686"/>
      <c r="B473" s="687"/>
      <c r="C473" s="243" t="s">
        <v>21</v>
      </c>
      <c r="D473" s="242">
        <f>COUNTIF($D$11:$R$11,"Phú Thọ")</f>
        <v>0</v>
      </c>
      <c r="E473" s="164"/>
      <c r="F473" s="174"/>
      <c r="M473" s="244"/>
    </row>
    <row r="474" spans="1:13" ht="15.75" customHeight="1">
      <c r="A474" s="686"/>
      <c r="B474" s="687"/>
      <c r="C474" s="243" t="s">
        <v>1093</v>
      </c>
      <c r="D474" s="242">
        <f>COUNTIF($D$11:$R$11,"Vĩnh Phúc")</f>
        <v>0</v>
      </c>
      <c r="E474" s="164"/>
      <c r="F474" s="174"/>
      <c r="M474" s="244"/>
    </row>
    <row r="475" spans="1:13" ht="15.75" customHeight="1">
      <c r="A475" s="686"/>
      <c r="B475" s="687"/>
      <c r="C475" s="243" t="s">
        <v>32</v>
      </c>
      <c r="D475" s="242">
        <f>COUNTIF($D$11:$R$11,"Bắc Ninh")</f>
        <v>0</v>
      </c>
      <c r="E475" s="164"/>
      <c r="F475" s="174"/>
      <c r="M475" s="244"/>
    </row>
    <row r="476" spans="1:13" ht="15.75" customHeight="1">
      <c r="A476" s="686"/>
      <c r="B476" s="687"/>
      <c r="C476" s="243" t="s">
        <v>29</v>
      </c>
      <c r="D476" s="242">
        <f>COUNTIF($D$11:$R$11,"Hải Dương")</f>
        <v>0</v>
      </c>
      <c r="E476" s="164"/>
      <c r="F476" s="174"/>
      <c r="M476" s="244"/>
    </row>
    <row r="477" spans="1:13" ht="15.75" customHeight="1">
      <c r="A477" s="686"/>
      <c r="B477" s="687"/>
      <c r="C477" s="243" t="s">
        <v>30</v>
      </c>
      <c r="D477" s="242">
        <f>COUNTIF($D$11:$R$11,"Hưng Yên")</f>
        <v>0</v>
      </c>
      <c r="E477" s="164"/>
      <c r="F477" s="174"/>
      <c r="M477" s="244"/>
    </row>
    <row r="478" spans="1:13" ht="15.75" customHeight="1">
      <c r="A478" s="686"/>
      <c r="B478" s="687"/>
      <c r="C478" s="243" t="s">
        <v>27</v>
      </c>
      <c r="D478" s="242">
        <f>COUNTIF($D$11:$R$11,"Hải Phòng")</f>
        <v>0</v>
      </c>
      <c r="E478" s="164"/>
      <c r="F478" s="174"/>
      <c r="M478" s="244"/>
    </row>
    <row r="479" spans="1:13" ht="15.75" customHeight="1">
      <c r="A479" s="686"/>
      <c r="B479" s="687"/>
      <c r="C479" s="243" t="s">
        <v>33</v>
      </c>
      <c r="D479" s="242">
        <f>COUNTIF($D$11:$R$11,"Hà Nam")</f>
        <v>0</v>
      </c>
      <c r="E479" s="164"/>
      <c r="F479" s="174"/>
      <c r="M479" s="244"/>
    </row>
    <row r="480" spans="1:13" ht="15.75" customHeight="1">
      <c r="A480" s="686"/>
      <c r="B480" s="687"/>
      <c r="C480" s="243" t="s">
        <v>36</v>
      </c>
      <c r="D480" s="242">
        <f>COUNTIF($D$11:$R$11,"Nam Định")</f>
        <v>0</v>
      </c>
      <c r="E480" s="164"/>
      <c r="F480" s="174"/>
      <c r="M480" s="244"/>
    </row>
    <row r="481" spans="1:13" ht="15.75" customHeight="1">
      <c r="A481" s="686"/>
      <c r="B481" s="687"/>
      <c r="C481" s="243" t="s">
        <v>1094</v>
      </c>
      <c r="D481" s="242">
        <f>COUNTIF($D$11:$R$11,"Thái Bình")</f>
        <v>0</v>
      </c>
      <c r="E481" s="164"/>
      <c r="F481" s="174"/>
      <c r="M481" s="244"/>
    </row>
    <row r="482" spans="1:13" ht="15.75" customHeight="1">
      <c r="A482" s="686"/>
      <c r="B482" s="687"/>
      <c r="C482" s="243" t="s">
        <v>34</v>
      </c>
      <c r="D482" s="242">
        <f>COUNTIF($D$11:$R$11,"Ninh Bình")</f>
        <v>0</v>
      </c>
      <c r="E482" s="164"/>
      <c r="F482" s="174"/>
      <c r="M482" s="244"/>
    </row>
    <row r="483" spans="1:13" ht="15.75" customHeight="1">
      <c r="A483" s="686"/>
      <c r="B483" s="687"/>
      <c r="C483" s="243" t="s">
        <v>37</v>
      </c>
      <c r="D483" s="242">
        <f>COUNTIF($D$11:$R$11,"Thanh Hoá")</f>
        <v>0</v>
      </c>
      <c r="E483" s="164"/>
      <c r="F483" s="174"/>
      <c r="M483" s="244"/>
    </row>
    <row r="484" spans="1:13" ht="15.75" customHeight="1">
      <c r="A484" s="686"/>
      <c r="B484" s="687"/>
      <c r="C484" s="243" t="s">
        <v>1095</v>
      </c>
      <c r="D484" s="242">
        <f>COUNTIF($D$11:$R$11,"Nghệ An")</f>
        <v>0</v>
      </c>
      <c r="E484" s="164"/>
      <c r="F484" s="174"/>
      <c r="M484" s="244"/>
    </row>
    <row r="485" spans="1:13" ht="15.75" customHeight="1">
      <c r="A485" s="686"/>
      <c r="B485" s="687"/>
      <c r="C485" s="243" t="s">
        <v>1096</v>
      </c>
      <c r="D485" s="242">
        <f>COUNTIF($D$11:$R$11,"Hà Tĩnh")</f>
        <v>0</v>
      </c>
      <c r="E485" s="164"/>
      <c r="F485" s="174"/>
      <c r="M485" s="244"/>
    </row>
    <row r="486" spans="1:13" ht="15.75" customHeight="1">
      <c r="A486" s="686"/>
      <c r="B486" s="687"/>
      <c r="C486" s="243" t="s">
        <v>1097</v>
      </c>
      <c r="D486" s="242">
        <f>COUNTIF($D$11:$R$11,"Quảng Bình")</f>
        <v>0</v>
      </c>
      <c r="E486" s="164"/>
      <c r="F486" s="174"/>
      <c r="M486" s="244"/>
    </row>
    <row r="487" spans="1:13" ht="15.75" customHeight="1">
      <c r="A487" s="686"/>
      <c r="B487" s="687"/>
      <c r="C487" s="243" t="s">
        <v>1098</v>
      </c>
      <c r="D487" s="242">
        <f>COUNTIF($D$11:$R$11,"Quảng Trị")</f>
        <v>0</v>
      </c>
      <c r="E487" s="164"/>
      <c r="F487" s="174"/>
      <c r="M487" s="244"/>
    </row>
    <row r="488" spans="1:13" ht="15.75" customHeight="1">
      <c r="A488" s="686"/>
      <c r="B488" s="687"/>
      <c r="C488" s="243" t="s">
        <v>1099</v>
      </c>
      <c r="D488" s="242">
        <f>COUNTIF($D$11:$R$11,"Thừa Thiên Huế")</f>
        <v>0</v>
      </c>
      <c r="E488" s="164"/>
      <c r="F488" s="174"/>
      <c r="M488" s="244"/>
    </row>
    <row r="489" spans="1:13" ht="15.75" customHeight="1">
      <c r="A489" s="686"/>
      <c r="B489" s="687"/>
      <c r="C489" s="243" t="s">
        <v>1100</v>
      </c>
      <c r="D489" s="242">
        <f>COUNTIF($D$11:$R$11,"Đà Nẵng")</f>
        <v>0</v>
      </c>
      <c r="E489" s="164"/>
      <c r="F489" s="174"/>
      <c r="M489" s="244"/>
    </row>
    <row r="490" spans="1:13" ht="15.75" customHeight="1">
      <c r="A490" s="686"/>
      <c r="B490" s="687"/>
      <c r="C490" s="243" t="s">
        <v>1101</v>
      </c>
      <c r="D490" s="242">
        <f>COUNTIF($D$11:$R$11,"Quảng Nam")</f>
        <v>0</v>
      </c>
      <c r="E490" s="164"/>
      <c r="F490" s="174"/>
      <c r="M490" s="244"/>
    </row>
    <row r="491" spans="1:13" ht="15.75" customHeight="1">
      <c r="A491" s="686"/>
      <c r="B491" s="687"/>
      <c r="C491" s="243" t="s">
        <v>1102</v>
      </c>
      <c r="D491" s="242">
        <f>COUNTIF($D$11:$R$11,"Quảng Ngãi")</f>
        <v>0</v>
      </c>
      <c r="E491" s="164"/>
      <c r="F491" s="174"/>
      <c r="M491" s="244"/>
    </row>
    <row r="492" spans="1:13" ht="15.75" customHeight="1">
      <c r="A492" s="686"/>
      <c r="B492" s="687"/>
      <c r="C492" s="243" t="s">
        <v>1103</v>
      </c>
      <c r="D492" s="242">
        <f>COUNTIF($D$11:$R$11,"Bình Định")</f>
        <v>0</v>
      </c>
      <c r="E492" s="164"/>
      <c r="F492" s="174"/>
      <c r="M492" s="244"/>
    </row>
    <row r="493" spans="1:13" ht="15.75" customHeight="1">
      <c r="A493" s="686"/>
      <c r="B493" s="687"/>
      <c r="C493" s="243" t="s">
        <v>1104</v>
      </c>
      <c r="D493" s="242">
        <f>COUNTIF($D$11:$R$11,"Phú Yên")</f>
        <v>0</v>
      </c>
      <c r="E493" s="164"/>
      <c r="F493" s="174"/>
      <c r="M493" s="244"/>
    </row>
    <row r="494" spans="1:13" ht="15.75" customHeight="1">
      <c r="A494" s="686"/>
      <c r="B494" s="687"/>
      <c r="C494" s="243" t="s">
        <v>1105</v>
      </c>
      <c r="D494" s="242">
        <f>COUNTIF($D$11:$R$11,"Khánh Hoà")</f>
        <v>0</v>
      </c>
      <c r="E494" s="164"/>
      <c r="F494" s="174"/>
      <c r="M494" s="244"/>
    </row>
    <row r="495" spans="1:13" ht="15.75" customHeight="1">
      <c r="A495" s="686"/>
      <c r="B495" s="687"/>
      <c r="C495" s="243" t="s">
        <v>1106</v>
      </c>
      <c r="D495" s="242">
        <f>COUNTIF($D$11:$R$11,"Ninh Thuận")</f>
        <v>0</v>
      </c>
      <c r="E495" s="164"/>
      <c r="F495" s="174"/>
      <c r="M495" s="244"/>
    </row>
    <row r="496" spans="1:13" ht="15.75" customHeight="1">
      <c r="A496" s="686"/>
      <c r="B496" s="687"/>
      <c r="C496" s="243" t="s">
        <v>1107</v>
      </c>
      <c r="D496" s="242">
        <f>COUNTIF($D$11:$R$11,"Bình Thuận")</f>
        <v>0</v>
      </c>
      <c r="E496" s="164"/>
      <c r="F496" s="174"/>
      <c r="M496" s="244"/>
    </row>
    <row r="497" spans="1:13" ht="15.75" customHeight="1">
      <c r="A497" s="686"/>
      <c r="B497" s="687"/>
      <c r="C497" s="243" t="s">
        <v>1108</v>
      </c>
      <c r="D497" s="242">
        <f>COUNTIF($D$11:$R$11,"Kon Tum")</f>
        <v>0</v>
      </c>
      <c r="E497" s="164"/>
      <c r="F497" s="174"/>
      <c r="M497" s="244"/>
    </row>
    <row r="498" spans="1:13" ht="15.75" customHeight="1">
      <c r="A498" s="686"/>
      <c r="B498" s="687"/>
      <c r="C498" s="243" t="s">
        <v>1109</v>
      </c>
      <c r="D498" s="242">
        <f>COUNTIF($D$11:$R$11,"Gia Lai")</f>
        <v>0</v>
      </c>
      <c r="E498" s="164"/>
      <c r="F498" s="174"/>
      <c r="M498" s="244"/>
    </row>
    <row r="499" spans="1:13" ht="15.75" customHeight="1">
      <c r="A499" s="686"/>
      <c r="B499" s="687"/>
      <c r="C499" s="243" t="s">
        <v>1110</v>
      </c>
      <c r="D499" s="242">
        <f>COUNTIF($D$11:$R$11,"Đắk Lắk")</f>
        <v>0</v>
      </c>
      <c r="E499" s="164"/>
      <c r="F499" s="174"/>
      <c r="M499" s="244"/>
    </row>
    <row r="500" spans="1:13" ht="15.75" customHeight="1">
      <c r="A500" s="686"/>
      <c r="B500" s="687"/>
      <c r="C500" s="243" t="s">
        <v>1111</v>
      </c>
      <c r="D500" s="242">
        <f>COUNTIF($D$11:$R$11,"Đắk Nông")</f>
        <v>0</v>
      </c>
      <c r="E500" s="164"/>
      <c r="F500" s="174"/>
      <c r="M500" s="244"/>
    </row>
    <row r="501" spans="1:13" ht="15.75" customHeight="1">
      <c r="A501" s="686"/>
      <c r="B501" s="687"/>
      <c r="C501" s="243" t="s">
        <v>1112</v>
      </c>
      <c r="D501" s="242">
        <f>COUNTIF($D$11:$R$11,"Lâm Đồng")</f>
        <v>0</v>
      </c>
      <c r="E501" s="164"/>
      <c r="F501" s="174"/>
      <c r="M501" s="244"/>
    </row>
    <row r="502" spans="1:13" ht="15.75" customHeight="1">
      <c r="A502" s="686"/>
      <c r="B502" s="687"/>
      <c r="C502" s="243" t="s">
        <v>1113</v>
      </c>
      <c r="D502" s="242">
        <f>COUNTIF($D$11:$R$11,"Tây Ninh")</f>
        <v>0</v>
      </c>
      <c r="E502" s="164"/>
      <c r="F502" s="174"/>
      <c r="M502" s="244"/>
    </row>
    <row r="503" spans="1:13" ht="15.75" customHeight="1">
      <c r="A503" s="686"/>
      <c r="B503" s="687"/>
      <c r="C503" s="243" t="s">
        <v>1114</v>
      </c>
      <c r="D503" s="242">
        <f>COUNTIF($D$11:$R$11,"Bình Phước")</f>
        <v>0</v>
      </c>
      <c r="E503" s="164"/>
      <c r="F503" s="174"/>
      <c r="M503" s="244"/>
    </row>
    <row r="504" spans="1:13" ht="15.75" customHeight="1">
      <c r="A504" s="686"/>
      <c r="B504" s="687"/>
      <c r="C504" s="243" t="s">
        <v>1115</v>
      </c>
      <c r="D504" s="242">
        <f>COUNTIF($D$11:$R$11,"Bình Dương")</f>
        <v>0</v>
      </c>
      <c r="E504" s="164"/>
      <c r="F504" s="174"/>
      <c r="M504" s="244"/>
    </row>
    <row r="505" spans="1:13" ht="15.75" customHeight="1">
      <c r="A505" s="686"/>
      <c r="B505" s="687"/>
      <c r="C505" s="243" t="s">
        <v>1116</v>
      </c>
      <c r="D505" s="242">
        <f>COUNTIF($D$11:$R$11,"Bà Rịa - Vũng Tàu")</f>
        <v>0</v>
      </c>
      <c r="E505" s="164"/>
      <c r="F505" s="174"/>
      <c r="M505" s="244"/>
    </row>
    <row r="506" spans="1:13" ht="15.75" customHeight="1">
      <c r="A506" s="686"/>
      <c r="B506" s="687"/>
      <c r="C506" s="243" t="s">
        <v>1117</v>
      </c>
      <c r="D506" s="242">
        <f>COUNTIF($D$11:$R$11,"Bến Tre")</f>
        <v>0</v>
      </c>
      <c r="E506" s="164"/>
      <c r="F506" s="174"/>
      <c r="M506" s="244"/>
    </row>
    <row r="507" spans="1:13" ht="15.75" customHeight="1">
      <c r="A507" s="686"/>
      <c r="B507" s="687"/>
      <c r="C507" s="243" t="s">
        <v>1118</v>
      </c>
      <c r="D507" s="242">
        <f>COUNTIF($D$11:$R$11,"An Giang")</f>
        <v>0</v>
      </c>
      <c r="E507" s="164"/>
      <c r="F507" s="174"/>
      <c r="M507" s="244"/>
    </row>
    <row r="508" spans="1:13" ht="15.75" customHeight="1">
      <c r="A508" s="686"/>
      <c r="B508" s="687"/>
      <c r="C508" s="243" t="s">
        <v>1119</v>
      </c>
      <c r="D508" s="242">
        <f>COUNTIF($D$11:$R$11,"Vĩnh Long")</f>
        <v>0</v>
      </c>
      <c r="E508" s="164"/>
      <c r="F508" s="174"/>
      <c r="M508" s="244"/>
    </row>
    <row r="509" spans="1:13" ht="15.75" customHeight="1">
      <c r="A509" s="686"/>
      <c r="B509" s="687"/>
      <c r="C509" s="243" t="s">
        <v>1120</v>
      </c>
      <c r="D509" s="242">
        <f>COUNTIF($D$11:$R$11,"Cần Thơ")</f>
        <v>0</v>
      </c>
      <c r="E509" s="164"/>
      <c r="F509" s="174"/>
      <c r="M509" s="244"/>
    </row>
    <row r="510" spans="1:13" ht="15.75" customHeight="1">
      <c r="A510" s="686"/>
      <c r="B510" s="687"/>
      <c r="C510" s="243" t="s">
        <v>1121</v>
      </c>
      <c r="D510" s="242">
        <f>COUNTIF($D$11:$R$11,"Hậu Giang")</f>
        <v>0</v>
      </c>
      <c r="E510" s="164"/>
      <c r="F510" s="174"/>
      <c r="M510" s="244"/>
    </row>
    <row r="511" spans="1:13" ht="15.75" customHeight="1">
      <c r="A511" s="686"/>
      <c r="B511" s="687"/>
      <c r="C511" s="243" t="s">
        <v>1122</v>
      </c>
      <c r="D511" s="242">
        <f>COUNTIF($D$11:$R$11,"Sóc Trăng")</f>
        <v>0</v>
      </c>
      <c r="E511" s="164"/>
      <c r="F511" s="174"/>
      <c r="M511" s="244"/>
    </row>
    <row r="512" spans="1:13" ht="15.75" customHeight="1">
      <c r="A512" s="686"/>
      <c r="B512" s="687"/>
      <c r="C512" s="243" t="s">
        <v>1123</v>
      </c>
      <c r="D512" s="242">
        <f>COUNTIF($D$11:$R$11,"Bạc Liêu")</f>
        <v>0</v>
      </c>
      <c r="E512" s="164"/>
      <c r="F512" s="174"/>
      <c r="M512" s="244"/>
    </row>
    <row r="513" spans="1:13" ht="15.75" customHeight="1">
      <c r="A513" s="686"/>
      <c r="B513" s="687"/>
      <c r="C513" s="243" t="s">
        <v>1124</v>
      </c>
      <c r="D513" s="242">
        <f>COUNTIF($D$11:$R$11,"Cà Mau")</f>
        <v>0</v>
      </c>
      <c r="E513" s="164"/>
      <c r="F513" s="174"/>
      <c r="M513" s="244"/>
    </row>
    <row r="514" spans="1:13" ht="15.75" customHeight="1">
      <c r="A514" s="686"/>
      <c r="B514" s="687"/>
      <c r="C514" s="243" t="s">
        <v>1125</v>
      </c>
      <c r="D514" s="242">
        <f>COUNTIF($D$11:$R$11,"Kiên Giang")</f>
        <v>0</v>
      </c>
      <c r="E514" s="164"/>
      <c r="F514" s="174"/>
      <c r="M514" s="244"/>
    </row>
    <row r="515" spans="1:13" ht="15.75" customHeight="1">
      <c r="A515" s="686"/>
      <c r="B515" s="687"/>
      <c r="C515" s="243" t="s">
        <v>1126</v>
      </c>
      <c r="D515" s="242">
        <f>COUNTIF($D$11:$R$11,"Đồng Tháp")</f>
        <v>0</v>
      </c>
      <c r="E515" s="164"/>
      <c r="F515" s="174"/>
      <c r="M515" s="244"/>
    </row>
    <row r="516" spans="1:13" ht="15.75" customHeight="1">
      <c r="A516" s="686"/>
      <c r="B516" s="687"/>
      <c r="C516" s="243" t="s">
        <v>1127</v>
      </c>
      <c r="D516" s="242">
        <f>COUNTIF($D$11:$R$11,"Trà Vinh")</f>
        <v>0</v>
      </c>
      <c r="E516" s="164"/>
      <c r="F516" s="174"/>
      <c r="M516" s="244"/>
    </row>
    <row r="517" spans="1:13" ht="15.75" customHeight="1">
      <c r="A517" s="686"/>
      <c r="B517" s="687"/>
      <c r="C517" s="243" t="s">
        <v>1128</v>
      </c>
      <c r="D517" s="242">
        <f>COUNTIF($D$11:$R$11,"Tiền Giang")</f>
        <v>0</v>
      </c>
      <c r="E517" s="164"/>
      <c r="F517" s="174"/>
      <c r="M517" s="244"/>
    </row>
    <row r="518" spans="1:13" ht="15.75" customHeight="1">
      <c r="A518" s="686"/>
      <c r="B518" s="687"/>
      <c r="C518" s="243" t="s">
        <v>1129</v>
      </c>
      <c r="D518" s="242">
        <f>COUNTIF($D$11:$R$11,"Long An")</f>
        <v>0</v>
      </c>
      <c r="E518" s="164"/>
      <c r="F518" s="174"/>
      <c r="M518" s="244"/>
    </row>
    <row r="519" spans="1:13" ht="15.75" customHeight="1">
      <c r="A519" s="686"/>
      <c r="B519" s="687"/>
      <c r="C519" s="243" t="s">
        <v>1130</v>
      </c>
      <c r="D519" s="242">
        <f>COUNTIF($D$11:$R$11,"Đồng Nai")</f>
        <v>0</v>
      </c>
      <c r="E519" s="164"/>
      <c r="F519" s="174"/>
      <c r="M519" s="244"/>
    </row>
    <row r="520" spans="1:13" ht="15.75" customHeight="1">
      <c r="A520" s="686"/>
      <c r="B520" s="687"/>
      <c r="C520" s="243" t="s">
        <v>1131</v>
      </c>
      <c r="D520" s="242">
        <f>COUNTIF($D$11:$R$11,"TP Hồ Chí Minh")</f>
        <v>0</v>
      </c>
      <c r="E520" s="164"/>
      <c r="F520" s="174"/>
      <c r="M520" s="244"/>
    </row>
    <row r="521" spans="1:13" ht="15.75" customHeight="1">
      <c r="A521" s="686"/>
      <c r="B521" s="687"/>
      <c r="C521" s="243"/>
      <c r="D521" s="244"/>
      <c r="E521" s="164"/>
      <c r="F521" s="174"/>
      <c r="M521" s="244"/>
    </row>
    <row r="522" spans="1:13" ht="15.75" customHeight="1">
      <c r="A522" s="686"/>
      <c r="B522" s="687"/>
      <c r="C522" s="243"/>
      <c r="D522" s="245">
        <f>SUM(D458:D520)</f>
        <v>12</v>
      </c>
      <c r="E522" s="164"/>
      <c r="F522" s="174"/>
      <c r="M522" s="244"/>
    </row>
    <row r="523" spans="1:13" ht="15.75" customHeight="1">
      <c r="A523" s="686"/>
      <c r="B523" s="687"/>
      <c r="C523" s="243"/>
      <c r="D523" s="244"/>
      <c r="E523" s="164"/>
      <c r="F523" s="174"/>
      <c r="M523" s="244"/>
    </row>
    <row r="524" spans="1:13" ht="15.75" customHeight="1">
      <c r="A524" s="686"/>
      <c r="B524" s="687"/>
      <c r="C524" s="243"/>
      <c r="D524" s="244"/>
      <c r="E524" s="164"/>
      <c r="F524" s="174"/>
      <c r="M524" s="244"/>
    </row>
    <row r="525" spans="1:13" ht="15.75" customHeight="1">
      <c r="A525" s="686"/>
      <c r="B525" s="687"/>
      <c r="C525" s="243"/>
      <c r="D525" s="244"/>
      <c r="E525" s="164"/>
      <c r="F525" s="174"/>
      <c r="M525" s="244"/>
    </row>
    <row r="526" spans="1:13" ht="15.75" customHeight="1">
      <c r="A526" s="686"/>
      <c r="B526" s="687"/>
      <c r="C526" s="243"/>
      <c r="D526" s="244"/>
      <c r="E526" s="164"/>
      <c r="F526" s="174"/>
      <c r="M526" s="244"/>
    </row>
    <row r="527" spans="1:13" ht="15.75" customHeight="1">
      <c r="A527" s="686"/>
      <c r="B527" s="687"/>
      <c r="C527" s="243"/>
      <c r="D527" s="244"/>
      <c r="E527" s="164"/>
      <c r="F527" s="174"/>
      <c r="M527" s="244"/>
    </row>
    <row r="528" spans="1:13" ht="15.75" customHeight="1">
      <c r="A528" s="686"/>
      <c r="B528" s="687"/>
      <c r="C528" s="243"/>
      <c r="D528" s="244"/>
      <c r="E528" s="164"/>
      <c r="F528" s="174"/>
      <c r="M528" s="244"/>
    </row>
    <row r="529" spans="1:13" ht="15.75" customHeight="1">
      <c r="A529" s="686"/>
      <c r="B529" s="687"/>
      <c r="C529" s="243"/>
      <c r="D529" s="244"/>
      <c r="E529" s="164"/>
      <c r="F529" s="174"/>
      <c r="M529" s="244"/>
    </row>
    <row r="530" spans="1:13" ht="15.75" customHeight="1">
      <c r="A530" s="686"/>
      <c r="B530" s="687"/>
      <c r="C530" s="243"/>
      <c r="D530" s="244"/>
      <c r="E530" s="164"/>
      <c r="F530" s="174"/>
      <c r="M530" s="244"/>
    </row>
    <row r="531" spans="1:13" ht="15.75" customHeight="1">
      <c r="A531" s="686"/>
      <c r="B531" s="687"/>
      <c r="C531" s="243"/>
      <c r="D531" s="244"/>
      <c r="E531" s="164"/>
      <c r="F531" s="174"/>
      <c r="M531" s="244"/>
    </row>
    <row r="532" spans="1:13" ht="15.75" customHeight="1">
      <c r="A532" s="686"/>
      <c r="B532" s="687"/>
      <c r="C532" s="243"/>
      <c r="D532" s="244"/>
      <c r="E532" s="164"/>
      <c r="F532" s="174"/>
      <c r="M532" s="244"/>
    </row>
    <row r="533" spans="1:13" ht="15.75" customHeight="1">
      <c r="A533" s="686"/>
      <c r="B533" s="687"/>
      <c r="C533" s="243"/>
      <c r="D533" s="244"/>
      <c r="E533" s="164"/>
      <c r="F533" s="174"/>
      <c r="M533" s="244"/>
    </row>
    <row r="534" spans="1:13" ht="15.75" customHeight="1">
      <c r="A534" s="686"/>
      <c r="B534" s="687"/>
      <c r="C534" s="243"/>
      <c r="D534" s="244"/>
      <c r="E534" s="164"/>
      <c r="F534" s="174"/>
      <c r="M534" s="244"/>
    </row>
    <row r="535" spans="1:13" ht="15.75" customHeight="1">
      <c r="A535" s="686"/>
      <c r="B535" s="687"/>
      <c r="C535" s="243"/>
      <c r="D535" s="244"/>
      <c r="E535" s="164"/>
      <c r="F535" s="174"/>
      <c r="M535" s="244"/>
    </row>
    <row r="536" spans="1:13" ht="15.75" customHeight="1">
      <c r="A536" s="686"/>
      <c r="B536" s="687"/>
      <c r="C536" s="243"/>
      <c r="D536" s="244"/>
      <c r="E536" s="164"/>
      <c r="F536" s="174"/>
      <c r="M536" s="244"/>
    </row>
    <row r="537" spans="1:13" ht="15.75" customHeight="1">
      <c r="A537" s="686"/>
      <c r="B537" s="687"/>
      <c r="C537" s="243"/>
      <c r="D537" s="244"/>
      <c r="E537" s="164"/>
      <c r="F537" s="174"/>
      <c r="M537" s="244"/>
    </row>
    <row r="538" spans="1:13" ht="15.75" customHeight="1">
      <c r="A538" s="686"/>
      <c r="B538" s="687"/>
      <c r="C538" s="243"/>
      <c r="D538" s="244"/>
      <c r="E538" s="164"/>
      <c r="F538" s="174"/>
      <c r="M538" s="244"/>
    </row>
    <row r="539" spans="1:13" ht="15.75" customHeight="1">
      <c r="A539" s="686"/>
      <c r="B539" s="687"/>
      <c r="C539" s="243"/>
      <c r="D539" s="244"/>
      <c r="E539" s="164"/>
      <c r="F539" s="174"/>
      <c r="M539" s="244"/>
    </row>
    <row r="540" spans="1:13" ht="15.75" customHeight="1">
      <c r="A540" s="686"/>
      <c r="B540" s="687"/>
      <c r="C540" s="243"/>
      <c r="D540" s="244"/>
      <c r="E540" s="164"/>
      <c r="F540" s="174"/>
      <c r="M540" s="244"/>
    </row>
    <row r="541" spans="1:13" ht="15.75" customHeight="1">
      <c r="A541" s="686"/>
      <c r="B541" s="687"/>
      <c r="C541" s="243"/>
      <c r="D541" s="244"/>
      <c r="E541" s="164"/>
      <c r="F541" s="174"/>
      <c r="M541" s="244"/>
    </row>
    <row r="542" spans="1:13" ht="15.75" customHeight="1">
      <c r="A542" s="686"/>
      <c r="B542" s="687"/>
      <c r="C542" s="243"/>
      <c r="D542" s="244"/>
      <c r="E542" s="164"/>
      <c r="F542" s="174"/>
      <c r="M542" s="244"/>
    </row>
    <row r="543" spans="1:13" ht="15.75" customHeight="1">
      <c r="A543" s="686"/>
      <c r="B543" s="687"/>
      <c r="C543" s="243"/>
      <c r="D543" s="244"/>
      <c r="E543" s="164"/>
      <c r="F543" s="174"/>
      <c r="M543" s="244"/>
    </row>
    <row r="544" spans="1:13" ht="15.75" customHeight="1">
      <c r="A544" s="686"/>
      <c r="B544" s="687"/>
      <c r="C544" s="243"/>
      <c r="D544" s="244"/>
      <c r="E544" s="164"/>
      <c r="F544" s="174"/>
      <c r="M544" s="244"/>
    </row>
    <row r="545" spans="1:13" ht="15.75" customHeight="1">
      <c r="A545" s="686"/>
      <c r="B545" s="687"/>
      <c r="C545" s="243"/>
      <c r="D545" s="244"/>
      <c r="E545" s="164"/>
      <c r="F545" s="174"/>
      <c r="M545" s="244"/>
    </row>
    <row r="546" spans="1:13" ht="15.75" customHeight="1">
      <c r="A546" s="686"/>
      <c r="B546" s="687"/>
      <c r="C546" s="243"/>
      <c r="D546" s="244"/>
      <c r="E546" s="164"/>
      <c r="F546" s="174"/>
      <c r="M546" s="244"/>
    </row>
    <row r="547" spans="1:13" ht="15.75" customHeight="1">
      <c r="A547" s="686"/>
      <c r="B547" s="687"/>
      <c r="C547" s="243"/>
      <c r="D547" s="244"/>
      <c r="E547" s="164"/>
      <c r="F547" s="174"/>
      <c r="M547" s="244"/>
    </row>
    <row r="548" spans="1:13" ht="15.75" customHeight="1">
      <c r="A548" s="686"/>
      <c r="B548" s="687"/>
      <c r="C548" s="243"/>
      <c r="D548" s="244"/>
      <c r="E548" s="164"/>
      <c r="F548" s="174"/>
      <c r="M548" s="244"/>
    </row>
    <row r="549" spans="1:13" ht="15.75" customHeight="1">
      <c r="A549" s="686"/>
      <c r="B549" s="687"/>
      <c r="C549" s="243"/>
      <c r="D549" s="244"/>
      <c r="E549" s="164"/>
      <c r="F549" s="174"/>
      <c r="M549" s="244"/>
    </row>
    <row r="550" spans="1:13" ht="15.75" customHeight="1">
      <c r="A550" s="686"/>
      <c r="B550" s="687"/>
      <c r="C550" s="243"/>
      <c r="D550" s="244"/>
      <c r="E550" s="164"/>
      <c r="F550" s="174"/>
      <c r="M550" s="244"/>
    </row>
    <row r="551" spans="1:13" ht="15.75" customHeight="1">
      <c r="A551" s="686"/>
      <c r="B551" s="687"/>
      <c r="C551" s="243"/>
      <c r="D551" s="244"/>
      <c r="E551" s="164"/>
      <c r="F551" s="174"/>
      <c r="M551" s="244"/>
    </row>
    <row r="552" spans="1:13" ht="15.75" customHeight="1">
      <c r="A552" s="686"/>
      <c r="B552" s="687"/>
      <c r="C552" s="243"/>
      <c r="D552" s="244"/>
      <c r="E552" s="164"/>
      <c r="F552" s="174"/>
      <c r="M552" s="244"/>
    </row>
    <row r="553" spans="1:13" ht="15.75" customHeight="1">
      <c r="A553" s="686"/>
      <c r="B553" s="687"/>
      <c r="C553" s="243"/>
      <c r="D553" s="244"/>
      <c r="E553" s="164"/>
      <c r="F553" s="174"/>
      <c r="M553" s="244"/>
    </row>
    <row r="554" spans="1:13" ht="15.75" customHeight="1">
      <c r="A554" s="686"/>
      <c r="B554" s="687"/>
      <c r="C554" s="243"/>
      <c r="D554" s="244"/>
      <c r="E554" s="164"/>
      <c r="F554" s="174"/>
      <c r="M554" s="244"/>
    </row>
    <row r="555" spans="1:13" ht="15.75" customHeight="1">
      <c r="A555" s="686"/>
      <c r="B555" s="687"/>
      <c r="C555" s="243"/>
      <c r="D555" s="244"/>
      <c r="E555" s="164"/>
      <c r="F555" s="174"/>
      <c r="M555" s="244"/>
    </row>
    <row r="556" spans="1:13" ht="15.75" customHeight="1">
      <c r="A556" s="686"/>
      <c r="B556" s="687"/>
      <c r="C556" s="243"/>
      <c r="D556" s="244"/>
      <c r="E556" s="164"/>
      <c r="F556" s="174"/>
      <c r="M556" s="244"/>
    </row>
    <row r="557" spans="1:13" ht="15.75" customHeight="1">
      <c r="A557" s="686"/>
      <c r="B557" s="687"/>
      <c r="C557" s="243"/>
      <c r="D557" s="244"/>
      <c r="E557" s="164"/>
      <c r="F557" s="174"/>
      <c r="M557" s="244"/>
    </row>
    <row r="558" spans="1:13" ht="15.75" customHeight="1">
      <c r="A558" s="686"/>
      <c r="B558" s="687"/>
      <c r="C558" s="243"/>
      <c r="D558" s="244"/>
      <c r="E558" s="164"/>
      <c r="F558" s="174"/>
      <c r="M558" s="244"/>
    </row>
    <row r="559" spans="1:13" ht="15.75" customHeight="1">
      <c r="A559" s="686"/>
      <c r="B559" s="687"/>
      <c r="C559" s="243"/>
      <c r="D559" s="244"/>
      <c r="E559" s="164"/>
      <c r="F559" s="174"/>
      <c r="M559" s="244"/>
    </row>
    <row r="560" spans="1:13" ht="15.75" customHeight="1">
      <c r="A560" s="686"/>
      <c r="B560" s="687"/>
      <c r="C560" s="243"/>
      <c r="D560" s="244"/>
      <c r="E560" s="164"/>
      <c r="F560" s="174"/>
      <c r="M560" s="244"/>
    </row>
    <row r="561" spans="1:13" ht="15.75" customHeight="1">
      <c r="A561" s="686"/>
      <c r="B561" s="687"/>
      <c r="C561" s="243"/>
      <c r="D561" s="244"/>
      <c r="E561" s="164"/>
      <c r="F561" s="174"/>
      <c r="M561" s="244"/>
    </row>
    <row r="562" spans="1:13" ht="15.75" customHeight="1">
      <c r="A562" s="686"/>
      <c r="B562" s="687"/>
      <c r="C562" s="243"/>
      <c r="D562" s="244"/>
      <c r="E562" s="164"/>
      <c r="F562" s="174"/>
      <c r="M562" s="244"/>
    </row>
    <row r="563" spans="1:13" ht="15.75" customHeight="1">
      <c r="A563" s="686"/>
      <c r="B563" s="687"/>
      <c r="C563" s="243"/>
      <c r="D563" s="244"/>
      <c r="E563" s="164"/>
      <c r="F563" s="174"/>
      <c r="M563" s="244"/>
    </row>
    <row r="564" spans="1:13" ht="15.75" customHeight="1">
      <c r="A564" s="686"/>
      <c r="B564" s="687"/>
      <c r="C564" s="243"/>
      <c r="D564" s="244"/>
      <c r="E564" s="164"/>
      <c r="F564" s="174"/>
      <c r="M564" s="244"/>
    </row>
    <row r="565" spans="1:13" ht="15.75" customHeight="1">
      <c r="A565" s="686"/>
      <c r="B565" s="687"/>
      <c r="C565" s="243"/>
      <c r="D565" s="244"/>
      <c r="E565" s="164"/>
      <c r="F565" s="174"/>
      <c r="M565" s="244"/>
    </row>
    <row r="566" spans="1:13" ht="15.75" customHeight="1">
      <c r="A566" s="686"/>
      <c r="B566" s="687"/>
      <c r="C566" s="243"/>
      <c r="D566" s="244"/>
      <c r="E566" s="164"/>
      <c r="F566" s="174"/>
      <c r="M566" s="244"/>
    </row>
    <row r="567" spans="1:13" ht="15.75" customHeight="1">
      <c r="A567" s="686"/>
      <c r="B567" s="687"/>
      <c r="C567" s="243"/>
      <c r="D567" s="244"/>
      <c r="E567" s="164"/>
      <c r="F567" s="174"/>
      <c r="M567" s="244"/>
    </row>
    <row r="568" spans="1:13" ht="15.75" customHeight="1">
      <c r="A568" s="686"/>
      <c r="B568" s="687"/>
      <c r="C568" s="243"/>
      <c r="D568" s="244"/>
      <c r="E568" s="164"/>
      <c r="F568" s="174"/>
      <c r="M568" s="244"/>
    </row>
    <row r="569" spans="1:13" ht="15.75" customHeight="1">
      <c r="A569" s="686"/>
      <c r="B569" s="687"/>
      <c r="C569" s="243"/>
      <c r="D569" s="244"/>
      <c r="E569" s="164"/>
      <c r="F569" s="174"/>
      <c r="M569" s="244"/>
    </row>
    <row r="570" spans="1:13" ht="15.75" customHeight="1">
      <c r="A570" s="686"/>
      <c r="B570" s="687"/>
      <c r="C570" s="243"/>
      <c r="D570" s="244"/>
      <c r="E570" s="164"/>
      <c r="F570" s="174"/>
      <c r="M570" s="244"/>
    </row>
    <row r="571" spans="1:13" ht="15.75" customHeight="1">
      <c r="A571" s="686"/>
      <c r="B571" s="687"/>
      <c r="C571" s="243"/>
      <c r="D571" s="244"/>
      <c r="E571" s="164"/>
      <c r="F571" s="174"/>
      <c r="M571" s="244"/>
    </row>
    <row r="572" spans="1:13" ht="15.75" customHeight="1">
      <c r="A572" s="686"/>
      <c r="B572" s="687"/>
      <c r="C572" s="243"/>
      <c r="D572" s="244"/>
      <c r="E572" s="164"/>
      <c r="F572" s="174"/>
      <c r="M572" s="244"/>
    </row>
    <row r="573" spans="1:13" ht="15.75" customHeight="1">
      <c r="A573" s="686"/>
      <c r="B573" s="687"/>
      <c r="C573" s="243"/>
      <c r="D573" s="244"/>
      <c r="E573" s="164"/>
      <c r="F573" s="174"/>
      <c r="M573" s="244"/>
    </row>
    <row r="574" spans="1:13" ht="15.75" customHeight="1">
      <c r="A574" s="686"/>
      <c r="B574" s="687"/>
      <c r="C574" s="243"/>
      <c r="D574" s="244"/>
      <c r="E574" s="164"/>
      <c r="F574" s="174"/>
      <c r="M574" s="244"/>
    </row>
    <row r="575" spans="1:13" ht="15.75" customHeight="1">
      <c r="A575" s="686"/>
      <c r="B575" s="687"/>
      <c r="C575" s="243"/>
      <c r="D575" s="244"/>
      <c r="E575" s="164"/>
      <c r="F575" s="174"/>
      <c r="M575" s="244"/>
    </row>
    <row r="576" spans="1:13" ht="15.75" customHeight="1">
      <c r="A576" s="686"/>
      <c r="B576" s="687"/>
      <c r="C576" s="243"/>
      <c r="D576" s="244"/>
      <c r="E576" s="164"/>
      <c r="F576" s="174"/>
      <c r="M576" s="244"/>
    </row>
    <row r="577" spans="1:13" ht="15.75" customHeight="1">
      <c r="A577" s="686"/>
      <c r="B577" s="687"/>
      <c r="C577" s="243"/>
      <c r="D577" s="244"/>
      <c r="E577" s="164"/>
      <c r="F577" s="174"/>
      <c r="M577" s="244"/>
    </row>
    <row r="578" spans="1:13" ht="15.75" customHeight="1">
      <c r="A578" s="686"/>
      <c r="B578" s="687"/>
      <c r="C578" s="243"/>
      <c r="D578" s="244"/>
      <c r="E578" s="164"/>
      <c r="F578" s="174"/>
      <c r="M578" s="244"/>
    </row>
    <row r="579" spans="1:13" ht="15.75" customHeight="1">
      <c r="A579" s="686"/>
      <c r="B579" s="687"/>
      <c r="C579" s="243"/>
      <c r="D579" s="244"/>
      <c r="E579" s="164"/>
      <c r="F579" s="174"/>
      <c r="M579" s="244"/>
    </row>
    <row r="580" spans="1:13" ht="15.75" customHeight="1">
      <c r="A580" s="686"/>
      <c r="B580" s="687"/>
      <c r="C580" s="243"/>
      <c r="D580" s="244"/>
      <c r="E580" s="164"/>
      <c r="F580" s="174"/>
      <c r="M580" s="244"/>
    </row>
    <row r="581" spans="1:13" ht="15.75" customHeight="1">
      <c r="A581" s="686"/>
      <c r="B581" s="687"/>
      <c r="C581" s="243"/>
      <c r="D581" s="244"/>
      <c r="E581" s="164"/>
      <c r="F581" s="174"/>
      <c r="M581" s="244"/>
    </row>
    <row r="582" spans="1:13" ht="15.75" customHeight="1">
      <c r="A582" s="686"/>
      <c r="B582" s="687"/>
      <c r="C582" s="243"/>
      <c r="D582" s="244"/>
      <c r="E582" s="164"/>
      <c r="F582" s="174"/>
      <c r="M582" s="244"/>
    </row>
    <row r="583" spans="1:13" ht="15.75" customHeight="1">
      <c r="A583" s="686"/>
      <c r="B583" s="687"/>
      <c r="C583" s="243"/>
      <c r="D583" s="244"/>
      <c r="E583" s="164"/>
      <c r="F583" s="174"/>
      <c r="M583" s="244"/>
    </row>
    <row r="584" spans="1:13" ht="15.75" customHeight="1">
      <c r="A584" s="686"/>
      <c r="B584" s="687"/>
      <c r="C584" s="243"/>
      <c r="D584" s="244"/>
      <c r="E584" s="164"/>
      <c r="F584" s="174"/>
      <c r="M584" s="244"/>
    </row>
    <row r="585" spans="1:13" ht="15.75" customHeight="1">
      <c r="A585" s="686"/>
      <c r="B585" s="687"/>
      <c r="C585" s="243"/>
      <c r="D585" s="244"/>
      <c r="E585" s="164"/>
      <c r="F585" s="174"/>
      <c r="M585" s="244"/>
    </row>
    <row r="586" spans="1:13" ht="15.75" customHeight="1">
      <c r="A586" s="686"/>
      <c r="B586" s="687"/>
      <c r="C586" s="243"/>
      <c r="D586" s="244"/>
      <c r="E586" s="164"/>
      <c r="F586" s="174"/>
      <c r="M586" s="244"/>
    </row>
    <row r="587" spans="1:13" ht="15.75" customHeight="1">
      <c r="A587" s="686"/>
      <c r="B587" s="687"/>
      <c r="C587" s="243"/>
      <c r="D587" s="244"/>
      <c r="E587" s="164"/>
      <c r="F587" s="174"/>
      <c r="M587" s="244"/>
    </row>
    <row r="588" spans="1:13" ht="15.75" customHeight="1">
      <c r="A588" s="686"/>
      <c r="B588" s="687"/>
      <c r="C588" s="243"/>
      <c r="D588" s="244"/>
      <c r="E588" s="164"/>
      <c r="F588" s="174"/>
      <c r="M588" s="244"/>
    </row>
    <row r="589" spans="1:13" ht="15.75" customHeight="1">
      <c r="A589" s="686"/>
      <c r="B589" s="687"/>
      <c r="C589" s="243"/>
      <c r="D589" s="244"/>
      <c r="E589" s="164"/>
      <c r="F589" s="174"/>
      <c r="M589" s="244"/>
    </row>
    <row r="590" spans="1:13" ht="15.75" customHeight="1">
      <c r="A590" s="686"/>
      <c r="B590" s="687"/>
      <c r="C590" s="243"/>
      <c r="D590" s="244"/>
      <c r="E590" s="164"/>
      <c r="F590" s="174"/>
      <c r="M590" s="244"/>
    </row>
    <row r="591" spans="1:13" ht="15.75" customHeight="1">
      <c r="A591" s="686"/>
      <c r="B591" s="687"/>
      <c r="C591" s="243"/>
      <c r="D591" s="244"/>
      <c r="E591" s="164"/>
      <c r="F591" s="174"/>
      <c r="M591" s="244"/>
    </row>
    <row r="592" spans="1:13" ht="15.75" customHeight="1">
      <c r="A592" s="686"/>
      <c r="B592" s="687"/>
      <c r="C592" s="243"/>
      <c r="D592" s="244"/>
      <c r="E592" s="164"/>
      <c r="F592" s="174"/>
      <c r="M592" s="244"/>
    </row>
    <row r="593" spans="1:13" ht="15.75" customHeight="1">
      <c r="A593" s="686"/>
      <c r="B593" s="687"/>
      <c r="C593" s="243"/>
      <c r="D593" s="244"/>
      <c r="E593" s="164"/>
      <c r="F593" s="174"/>
      <c r="M593" s="244"/>
    </row>
    <row r="594" spans="1:13" ht="15.75" customHeight="1">
      <c r="A594" s="686"/>
      <c r="B594" s="687"/>
      <c r="C594" s="243"/>
      <c r="D594" s="244"/>
      <c r="E594" s="164"/>
      <c r="F594" s="174"/>
      <c r="M594" s="244"/>
    </row>
    <row r="595" spans="1:13" ht="15.75" customHeight="1">
      <c r="A595" s="686"/>
      <c r="B595" s="687"/>
      <c r="C595" s="243"/>
      <c r="D595" s="244"/>
      <c r="E595" s="164"/>
      <c r="F595" s="174"/>
      <c r="M595" s="244"/>
    </row>
    <row r="596" spans="1:13" ht="15.75" customHeight="1">
      <c r="A596" s="686"/>
      <c r="B596" s="687"/>
      <c r="C596" s="243"/>
      <c r="D596" s="244"/>
      <c r="E596" s="164"/>
      <c r="F596" s="174"/>
      <c r="M596" s="244"/>
    </row>
    <row r="597" spans="1:13" ht="15.75" customHeight="1">
      <c r="A597" s="686"/>
      <c r="B597" s="687"/>
      <c r="C597" s="243"/>
      <c r="D597" s="244"/>
      <c r="E597" s="164"/>
      <c r="F597" s="174"/>
      <c r="M597" s="244"/>
    </row>
    <row r="598" spans="1:13" ht="15.75" customHeight="1">
      <c r="A598" s="686"/>
      <c r="B598" s="687"/>
      <c r="C598" s="243"/>
      <c r="D598" s="244"/>
      <c r="E598" s="164"/>
      <c r="F598" s="174"/>
      <c r="M598" s="244"/>
    </row>
    <row r="599" spans="1:13" ht="15.75" customHeight="1">
      <c r="A599" s="686"/>
      <c r="B599" s="687"/>
      <c r="C599" s="243"/>
      <c r="D599" s="244"/>
      <c r="E599" s="164"/>
      <c r="F599" s="174"/>
      <c r="M599" s="244"/>
    </row>
    <row r="600" spans="1:13" ht="15.75" customHeight="1">
      <c r="A600" s="686"/>
      <c r="B600" s="687"/>
      <c r="C600" s="243"/>
      <c r="D600" s="244"/>
      <c r="E600" s="164"/>
      <c r="F600" s="174"/>
      <c r="M600" s="244"/>
    </row>
    <row r="601" spans="1:13" ht="15.75" customHeight="1">
      <c r="A601" s="686"/>
      <c r="B601" s="687"/>
      <c r="C601" s="243"/>
      <c r="D601" s="244"/>
      <c r="E601" s="164"/>
      <c r="F601" s="174"/>
      <c r="M601" s="244"/>
    </row>
    <row r="602" spans="1:13" ht="15.75" customHeight="1">
      <c r="A602" s="686"/>
      <c r="B602" s="687"/>
      <c r="C602" s="243"/>
      <c r="D602" s="244"/>
      <c r="E602" s="164"/>
      <c r="F602" s="174"/>
      <c r="M602" s="244"/>
    </row>
    <row r="603" spans="1:13" ht="15.75" customHeight="1">
      <c r="A603" s="686"/>
      <c r="B603" s="687"/>
      <c r="C603" s="243"/>
      <c r="D603" s="244"/>
      <c r="E603" s="164"/>
      <c r="F603" s="174"/>
      <c r="M603" s="244"/>
    </row>
    <row r="604" spans="1:13" ht="15.75" customHeight="1">
      <c r="A604" s="686"/>
      <c r="B604" s="687"/>
      <c r="C604" s="243"/>
      <c r="D604" s="244"/>
      <c r="E604" s="164"/>
      <c r="F604" s="174"/>
      <c r="M604" s="244"/>
    </row>
    <row r="605" spans="1:13" ht="15.75" customHeight="1">
      <c r="A605" s="686"/>
      <c r="B605" s="687"/>
      <c r="C605" s="243"/>
      <c r="D605" s="244"/>
      <c r="E605" s="164"/>
      <c r="F605" s="174"/>
      <c r="M605" s="244"/>
    </row>
    <row r="606" spans="1:13" ht="15.75" customHeight="1">
      <c r="A606" s="686"/>
      <c r="B606" s="687"/>
      <c r="C606" s="243"/>
      <c r="D606" s="244"/>
      <c r="E606" s="164"/>
      <c r="F606" s="174"/>
      <c r="M606" s="244"/>
    </row>
    <row r="607" spans="1:13" ht="15.75" customHeight="1">
      <c r="A607" s="686"/>
      <c r="B607" s="687"/>
      <c r="C607" s="243"/>
      <c r="D607" s="244"/>
      <c r="E607" s="164"/>
      <c r="F607" s="174"/>
      <c r="M607" s="244"/>
    </row>
    <row r="608" spans="1:13" ht="15.75" customHeight="1">
      <c r="A608" s="686"/>
      <c r="B608" s="687"/>
      <c r="C608" s="243"/>
      <c r="D608" s="244"/>
      <c r="E608" s="164"/>
      <c r="F608" s="174"/>
      <c r="M608" s="244"/>
    </row>
    <row r="609" spans="1:13" ht="15.75" customHeight="1">
      <c r="A609" s="686"/>
      <c r="B609" s="687"/>
      <c r="C609" s="243"/>
      <c r="D609" s="244"/>
      <c r="E609" s="164"/>
      <c r="F609" s="174"/>
      <c r="M609" s="244"/>
    </row>
    <row r="610" spans="1:13" ht="15.75" customHeight="1">
      <c r="A610" s="686"/>
      <c r="B610" s="687"/>
      <c r="C610" s="243"/>
      <c r="D610" s="244"/>
      <c r="E610" s="164"/>
      <c r="F610" s="174"/>
      <c r="M610" s="244"/>
    </row>
    <row r="611" spans="1:13" ht="15.75" customHeight="1">
      <c r="A611" s="686"/>
      <c r="B611" s="687"/>
      <c r="C611" s="243"/>
      <c r="D611" s="244"/>
      <c r="E611" s="164"/>
      <c r="F611" s="174"/>
      <c r="M611" s="244"/>
    </row>
    <row r="612" spans="1:13" ht="15.75" customHeight="1">
      <c r="A612" s="686"/>
      <c r="B612" s="687"/>
      <c r="C612" s="243"/>
      <c r="D612" s="244"/>
      <c r="E612" s="164"/>
      <c r="F612" s="174"/>
      <c r="M612" s="244"/>
    </row>
    <row r="613" spans="1:13" ht="15.75" customHeight="1">
      <c r="A613" s="686"/>
      <c r="B613" s="687"/>
      <c r="C613" s="243"/>
      <c r="D613" s="244"/>
      <c r="E613" s="164"/>
      <c r="F613" s="174"/>
      <c r="M613" s="244"/>
    </row>
    <row r="614" spans="1:13" ht="15.75" customHeight="1">
      <c r="A614" s="686"/>
      <c r="B614" s="687"/>
      <c r="C614" s="243"/>
      <c r="D614" s="244"/>
      <c r="E614" s="164"/>
      <c r="F614" s="174"/>
      <c r="M614" s="244"/>
    </row>
    <row r="615" spans="1:13" ht="15.75" customHeight="1">
      <c r="A615" s="686"/>
      <c r="B615" s="687"/>
      <c r="C615" s="243"/>
      <c r="D615" s="244"/>
      <c r="E615" s="164"/>
      <c r="F615" s="174"/>
      <c r="M615" s="244"/>
    </row>
    <row r="616" spans="1:13" ht="15.75" customHeight="1">
      <c r="A616" s="686"/>
      <c r="B616" s="687"/>
      <c r="C616" s="243"/>
      <c r="D616" s="244"/>
      <c r="E616" s="164"/>
      <c r="F616" s="174"/>
      <c r="M616" s="244"/>
    </row>
    <row r="617" spans="1:13" ht="15.75" customHeight="1">
      <c r="A617" s="686"/>
      <c r="B617" s="687"/>
      <c r="C617" s="243"/>
      <c r="D617" s="244"/>
      <c r="E617" s="164"/>
      <c r="F617" s="174"/>
      <c r="M617" s="244"/>
    </row>
    <row r="618" spans="1:13" ht="15.75" customHeight="1">
      <c r="A618" s="686"/>
      <c r="B618" s="687"/>
      <c r="C618" s="243"/>
      <c r="D618" s="244"/>
      <c r="E618" s="164"/>
      <c r="F618" s="174"/>
      <c r="M618" s="244"/>
    </row>
    <row r="619" spans="1:13" ht="15.75" customHeight="1">
      <c r="A619" s="686"/>
      <c r="B619" s="687"/>
      <c r="C619" s="243"/>
      <c r="D619" s="244"/>
      <c r="E619" s="164"/>
      <c r="F619" s="174"/>
      <c r="M619" s="244"/>
    </row>
    <row r="620" spans="1:13" ht="15.75" customHeight="1">
      <c r="A620" s="686"/>
      <c r="B620" s="687"/>
      <c r="C620" s="243"/>
      <c r="D620" s="244"/>
      <c r="E620" s="164"/>
      <c r="F620" s="174"/>
      <c r="M620" s="244"/>
    </row>
    <row r="621" spans="1:13" ht="15.75" customHeight="1">
      <c r="A621" s="686"/>
      <c r="B621" s="687"/>
      <c r="C621" s="243"/>
      <c r="D621" s="244"/>
      <c r="E621" s="164"/>
      <c r="F621" s="174"/>
      <c r="M621" s="244"/>
    </row>
    <row r="622" spans="1:13" ht="15.75" customHeight="1">
      <c r="A622" s="686"/>
      <c r="B622" s="687"/>
      <c r="C622" s="243"/>
      <c r="D622" s="244"/>
      <c r="E622" s="164"/>
      <c r="F622" s="174"/>
      <c r="M622" s="244"/>
    </row>
    <row r="623" spans="1:13" ht="15.75" customHeight="1">
      <c r="A623" s="686"/>
      <c r="B623" s="687"/>
      <c r="C623" s="243"/>
      <c r="D623" s="244"/>
      <c r="E623" s="164"/>
      <c r="F623" s="174"/>
      <c r="M623" s="244"/>
    </row>
    <row r="624" spans="1:13" ht="15.75" customHeight="1">
      <c r="A624" s="686"/>
      <c r="B624" s="687"/>
      <c r="C624" s="243"/>
      <c r="D624" s="244"/>
      <c r="E624" s="164"/>
      <c r="F624" s="174"/>
      <c r="M624" s="244"/>
    </row>
    <row r="625" spans="1:13" ht="15.75" customHeight="1">
      <c r="A625" s="686"/>
      <c r="B625" s="687"/>
      <c r="C625" s="243"/>
      <c r="D625" s="244"/>
      <c r="E625" s="164"/>
      <c r="F625" s="174"/>
      <c r="M625" s="244"/>
    </row>
    <row r="626" spans="1:13" ht="15.75" customHeight="1">
      <c r="A626" s="686"/>
      <c r="B626" s="687"/>
      <c r="C626" s="243"/>
      <c r="D626" s="244"/>
      <c r="E626" s="164"/>
      <c r="F626" s="174"/>
      <c r="M626" s="244"/>
    </row>
    <row r="627" spans="1:13" ht="15.75" customHeight="1">
      <c r="A627" s="686"/>
      <c r="B627" s="687"/>
      <c r="C627" s="243"/>
      <c r="D627" s="244"/>
      <c r="E627" s="164"/>
      <c r="F627" s="174"/>
      <c r="M627" s="244"/>
    </row>
    <row r="628" spans="1:13" ht="15.75" customHeight="1">
      <c r="A628" s="686"/>
      <c r="B628" s="687"/>
      <c r="C628" s="243"/>
      <c r="D628" s="244"/>
      <c r="E628" s="164"/>
      <c r="F628" s="174"/>
      <c r="M628" s="244"/>
    </row>
    <row r="629" spans="1:13" ht="15.75" customHeight="1">
      <c r="A629" s="686"/>
      <c r="B629" s="687"/>
      <c r="C629" s="243"/>
      <c r="D629" s="244"/>
      <c r="E629" s="164"/>
      <c r="F629" s="174"/>
      <c r="M629" s="244"/>
    </row>
    <row r="630" spans="1:13" ht="15.75" customHeight="1">
      <c r="A630" s="686"/>
      <c r="B630" s="687"/>
      <c r="C630" s="243"/>
      <c r="D630" s="244"/>
      <c r="E630" s="164"/>
      <c r="F630" s="174"/>
      <c r="M630" s="244"/>
    </row>
    <row r="631" spans="1:13" ht="15.75" customHeight="1">
      <c r="A631" s="686"/>
      <c r="B631" s="687"/>
      <c r="C631" s="243"/>
      <c r="D631" s="244"/>
      <c r="E631" s="164"/>
      <c r="F631" s="174"/>
      <c r="M631" s="244"/>
    </row>
    <row r="632" spans="1:13" ht="15.75" customHeight="1">
      <c r="A632" s="686"/>
      <c r="B632" s="687"/>
      <c r="C632" s="243"/>
      <c r="D632" s="244"/>
      <c r="E632" s="164"/>
      <c r="F632" s="174"/>
      <c r="M632" s="244"/>
    </row>
    <row r="633" spans="1:13" ht="15.75" customHeight="1">
      <c r="A633" s="686"/>
      <c r="B633" s="687"/>
      <c r="C633" s="243"/>
      <c r="D633" s="244"/>
      <c r="E633" s="164"/>
      <c r="F633" s="174"/>
      <c r="M633" s="244"/>
    </row>
    <row r="634" spans="1:13" ht="15.75" customHeight="1">
      <c r="A634" s="686"/>
      <c r="B634" s="687"/>
      <c r="C634" s="243"/>
      <c r="D634" s="244"/>
      <c r="E634" s="164"/>
      <c r="F634" s="174"/>
      <c r="M634" s="244"/>
    </row>
    <row r="635" spans="1:13" ht="15.75" customHeight="1">
      <c r="A635" s="686"/>
      <c r="B635" s="687"/>
      <c r="C635" s="243"/>
      <c r="D635" s="244"/>
      <c r="E635" s="164"/>
      <c r="F635" s="174"/>
      <c r="M635" s="244"/>
    </row>
    <row r="636" spans="1:13" ht="15.75" customHeight="1">
      <c r="A636" s="686"/>
      <c r="B636" s="687"/>
      <c r="C636" s="243"/>
      <c r="D636" s="244"/>
      <c r="E636" s="164"/>
      <c r="F636" s="174"/>
      <c r="M636" s="244"/>
    </row>
    <row r="637" spans="1:13" ht="15.75" customHeight="1">
      <c r="A637" s="686"/>
      <c r="B637" s="687"/>
      <c r="C637" s="243"/>
      <c r="D637" s="244"/>
      <c r="E637" s="164"/>
      <c r="F637" s="174"/>
      <c r="M637" s="244"/>
    </row>
    <row r="638" spans="1:13" ht="15.75" customHeight="1">
      <c r="A638" s="686"/>
      <c r="B638" s="687"/>
      <c r="C638" s="243"/>
      <c r="D638" s="244"/>
      <c r="E638" s="164"/>
      <c r="F638" s="174"/>
      <c r="M638" s="244"/>
    </row>
    <row r="639" spans="1:13" ht="15.75" customHeight="1">
      <c r="A639" s="686"/>
      <c r="B639" s="687"/>
      <c r="C639" s="243"/>
      <c r="D639" s="244"/>
      <c r="E639" s="164"/>
      <c r="F639" s="174"/>
      <c r="M639" s="244"/>
    </row>
    <row r="640" spans="1:13" ht="15.75" customHeight="1">
      <c r="A640" s="686"/>
      <c r="B640" s="687"/>
      <c r="C640" s="243"/>
      <c r="D640" s="244"/>
      <c r="E640" s="164"/>
      <c r="F640" s="174"/>
      <c r="M640" s="244"/>
    </row>
    <row r="641" spans="1:13" ht="15.75" customHeight="1">
      <c r="A641" s="686"/>
      <c r="B641" s="687"/>
      <c r="C641" s="243"/>
      <c r="D641" s="244"/>
      <c r="E641" s="164"/>
      <c r="F641" s="174"/>
      <c r="M641" s="244"/>
    </row>
    <row r="642" spans="1:13" ht="15.75" customHeight="1">
      <c r="A642" s="686"/>
      <c r="B642" s="687"/>
      <c r="C642" s="243"/>
      <c r="D642" s="244"/>
      <c r="E642" s="164"/>
      <c r="F642" s="174"/>
      <c r="M642" s="244"/>
    </row>
    <row r="643" spans="1:13" ht="15.75" customHeight="1">
      <c r="A643" s="686"/>
      <c r="B643" s="687"/>
      <c r="C643" s="243"/>
      <c r="D643" s="244"/>
      <c r="E643" s="164"/>
      <c r="F643" s="174"/>
      <c r="M643" s="244"/>
    </row>
    <row r="644" spans="1:13" ht="15.75" customHeight="1">
      <c r="A644" s="686"/>
      <c r="B644" s="687"/>
      <c r="C644" s="243"/>
      <c r="D644" s="244"/>
      <c r="E644" s="164"/>
      <c r="F644" s="174"/>
      <c r="M644" s="244"/>
    </row>
    <row r="645" spans="1:13" ht="15.75" customHeight="1">
      <c r="A645" s="686"/>
      <c r="B645" s="687"/>
      <c r="C645" s="243"/>
      <c r="D645" s="244"/>
      <c r="E645" s="164"/>
      <c r="F645" s="174"/>
      <c r="M645" s="244"/>
    </row>
    <row r="646" spans="1:13" ht="15.75" customHeight="1">
      <c r="A646" s="686"/>
      <c r="B646" s="687"/>
      <c r="C646" s="243"/>
      <c r="D646" s="244"/>
      <c r="E646" s="164"/>
      <c r="F646" s="174"/>
      <c r="M646" s="244"/>
    </row>
    <row r="647" spans="1:13" ht="15.75" customHeight="1">
      <c r="A647" s="686"/>
      <c r="B647" s="687"/>
      <c r="C647" s="243"/>
      <c r="D647" s="244"/>
      <c r="E647" s="164"/>
      <c r="F647" s="174"/>
      <c r="M647" s="244"/>
    </row>
    <row r="648" spans="1:13" ht="15.75" customHeight="1">
      <c r="A648" s="686"/>
      <c r="B648" s="687"/>
      <c r="C648" s="243"/>
      <c r="D648" s="244"/>
      <c r="E648" s="164"/>
      <c r="F648" s="174"/>
      <c r="M648" s="244"/>
    </row>
    <row r="649" spans="1:13" ht="15.75" customHeight="1">
      <c r="A649" s="686"/>
      <c r="B649" s="687"/>
      <c r="C649" s="243"/>
      <c r="D649" s="244"/>
      <c r="E649" s="164"/>
      <c r="F649" s="174"/>
      <c r="M649" s="244"/>
    </row>
    <row r="650" spans="1:13" ht="15.75" customHeight="1">
      <c r="A650" s="686"/>
      <c r="B650" s="687"/>
      <c r="C650" s="243"/>
      <c r="D650" s="244"/>
      <c r="E650" s="164"/>
      <c r="F650" s="174"/>
      <c r="M650" s="244"/>
    </row>
    <row r="651" spans="1:13" ht="15.75" customHeight="1">
      <c r="A651" s="686"/>
      <c r="B651" s="687"/>
      <c r="C651" s="243"/>
      <c r="D651" s="244"/>
      <c r="E651" s="164"/>
      <c r="F651" s="174"/>
      <c r="M651" s="244"/>
    </row>
    <row r="652" spans="1:13" ht="15.75" customHeight="1">
      <c r="A652" s="686"/>
      <c r="B652" s="687"/>
      <c r="C652" s="243"/>
      <c r="D652" s="244"/>
      <c r="E652" s="164"/>
      <c r="F652" s="174"/>
      <c r="M652" s="244"/>
    </row>
    <row r="653" spans="1:13" ht="15.75" customHeight="1">
      <c r="A653" s="686"/>
      <c r="B653" s="687"/>
      <c r="C653" s="243"/>
      <c r="D653" s="244"/>
      <c r="E653" s="164"/>
      <c r="F653" s="174"/>
      <c r="M653" s="244"/>
    </row>
    <row r="654" spans="1:13" ht="15.75" customHeight="1">
      <c r="A654" s="686"/>
      <c r="B654" s="687"/>
      <c r="C654" s="243"/>
      <c r="D654" s="244"/>
      <c r="E654" s="164"/>
      <c r="F654" s="174"/>
      <c r="M654" s="244"/>
    </row>
    <row r="655" spans="1:13" ht="15.75" customHeight="1">
      <c r="A655" s="686"/>
      <c r="B655" s="687"/>
      <c r="C655" s="243"/>
      <c r="D655" s="244"/>
      <c r="E655" s="164"/>
      <c r="F655" s="174"/>
      <c r="M655" s="244"/>
    </row>
    <row r="656" spans="1:13" ht="15.75" customHeight="1">
      <c r="A656" s="686"/>
      <c r="B656" s="687"/>
      <c r="C656" s="243"/>
      <c r="D656" s="244"/>
      <c r="E656" s="164"/>
      <c r="F656" s="174"/>
      <c r="M656" s="244"/>
    </row>
    <row r="657" spans="1:13" ht="15.75" customHeight="1">
      <c r="A657" s="686"/>
      <c r="B657" s="687"/>
      <c r="C657" s="243"/>
      <c r="D657" s="244"/>
      <c r="E657" s="164"/>
      <c r="F657" s="174"/>
      <c r="M657" s="244"/>
    </row>
    <row r="658" spans="1:13" ht="14.25" customHeight="1">
      <c r="A658" s="7"/>
      <c r="B658" s="7"/>
      <c r="C658" s="7"/>
      <c r="D658" s="7"/>
      <c r="E658" s="174"/>
      <c r="F658" s="174"/>
      <c r="M658" s="244"/>
    </row>
    <row r="659" spans="1:13" ht="14.25" customHeight="1">
      <c r="A659" s="7"/>
      <c r="B659" s="7"/>
      <c r="C659" s="7"/>
      <c r="D659" s="7"/>
      <c r="E659" s="174"/>
      <c r="F659" s="174"/>
      <c r="M659" s="244"/>
    </row>
    <row r="660" spans="1:13" ht="14.25" customHeight="1">
      <c r="A660" s="7"/>
      <c r="B660" s="7"/>
      <c r="C660" s="7"/>
      <c r="D660" s="7"/>
      <c r="E660" s="174"/>
      <c r="F660" s="174"/>
      <c r="M660" s="244"/>
    </row>
    <row r="661" spans="1:13" ht="14.25" customHeight="1">
      <c r="A661" s="7"/>
      <c r="B661" s="7"/>
      <c r="C661" s="7"/>
      <c r="D661" s="7"/>
      <c r="E661" s="174"/>
      <c r="F661" s="174"/>
      <c r="M661" s="244"/>
    </row>
    <row r="662" spans="1:13" ht="14.25" customHeight="1">
      <c r="A662" s="7"/>
      <c r="B662" s="7"/>
      <c r="C662" s="7"/>
      <c r="D662" s="7"/>
      <c r="E662" s="174"/>
      <c r="F662" s="174"/>
      <c r="M662" s="244"/>
    </row>
    <row r="663" spans="1:13" ht="14.25" customHeight="1">
      <c r="A663" s="7"/>
      <c r="B663" s="7"/>
      <c r="C663" s="7"/>
      <c r="D663" s="7"/>
      <c r="E663" s="174"/>
      <c r="F663" s="174"/>
      <c r="M663" s="244"/>
    </row>
    <row r="664" spans="1:13" ht="14.25" customHeight="1">
      <c r="A664" s="7"/>
      <c r="B664" s="7"/>
      <c r="C664" s="7"/>
      <c r="D664" s="7"/>
      <c r="E664" s="174"/>
      <c r="F664" s="174"/>
      <c r="M664" s="244"/>
    </row>
    <row r="665" spans="1:13" ht="14.25" customHeight="1">
      <c r="A665" s="7"/>
      <c r="B665" s="7"/>
      <c r="C665" s="7"/>
      <c r="D665" s="7"/>
      <c r="E665" s="174"/>
      <c r="F665" s="174"/>
      <c r="M665" s="244"/>
    </row>
    <row r="666" spans="1:13" ht="14.25" customHeight="1">
      <c r="A666" s="7"/>
      <c r="B666" s="7"/>
      <c r="C666" s="7"/>
      <c r="D666" s="7"/>
      <c r="E666" s="174"/>
      <c r="F666" s="174"/>
      <c r="M666" s="244"/>
    </row>
    <row r="667" spans="1:13" ht="14.25" customHeight="1">
      <c r="A667" s="7"/>
      <c r="B667" s="7"/>
      <c r="C667" s="7"/>
      <c r="D667" s="7"/>
      <c r="E667" s="174"/>
      <c r="F667" s="174"/>
      <c r="M667" s="244"/>
    </row>
    <row r="668" spans="1:13" ht="14.25" customHeight="1">
      <c r="A668" s="7"/>
      <c r="B668" s="7"/>
      <c r="C668" s="7"/>
      <c r="D668" s="7"/>
      <c r="E668" s="174"/>
      <c r="F668" s="174"/>
      <c r="M668" s="244"/>
    </row>
    <row r="669" spans="1:13" ht="14.25" customHeight="1">
      <c r="A669" s="7"/>
      <c r="B669" s="7"/>
      <c r="C669" s="7"/>
      <c r="D669" s="7"/>
      <c r="E669" s="174"/>
      <c r="F669" s="174"/>
      <c r="M669" s="244"/>
    </row>
    <row r="670" spans="1:13" ht="14.25" customHeight="1">
      <c r="A670" s="7"/>
      <c r="B670" s="7"/>
      <c r="C670" s="7"/>
      <c r="D670" s="7"/>
      <c r="E670" s="174"/>
      <c r="F670" s="174"/>
      <c r="M670" s="244"/>
    </row>
    <row r="671" spans="1:13" ht="14.25" customHeight="1">
      <c r="A671" s="7"/>
      <c r="B671" s="7"/>
      <c r="C671" s="7"/>
      <c r="D671" s="7"/>
      <c r="E671" s="174"/>
      <c r="F671" s="174"/>
      <c r="M671" s="244"/>
    </row>
    <row r="672" spans="1:13" ht="14.25" customHeight="1">
      <c r="A672" s="7"/>
      <c r="B672" s="7"/>
      <c r="C672" s="7"/>
      <c r="D672" s="7"/>
      <c r="E672" s="174"/>
      <c r="F672" s="174"/>
      <c r="M672" s="244"/>
    </row>
    <row r="673" spans="1:13" ht="14.25" customHeight="1">
      <c r="A673" s="7"/>
      <c r="B673" s="7"/>
      <c r="C673" s="7"/>
      <c r="D673" s="7"/>
      <c r="E673" s="174"/>
      <c r="F673" s="174"/>
      <c r="M673" s="244"/>
    </row>
    <row r="674" spans="1:13" ht="14.25" customHeight="1">
      <c r="A674" s="7"/>
      <c r="B674" s="7"/>
      <c r="C674" s="7"/>
      <c r="D674" s="7"/>
      <c r="E674" s="174"/>
      <c r="F674" s="174"/>
      <c r="M674" s="244"/>
    </row>
    <row r="675" spans="1:13" ht="14.25" customHeight="1">
      <c r="A675" s="7"/>
      <c r="B675" s="7"/>
      <c r="C675" s="7"/>
      <c r="D675" s="7"/>
      <c r="E675" s="174"/>
      <c r="F675" s="174"/>
      <c r="M675" s="244"/>
    </row>
    <row r="676" spans="1:13" ht="14.25" customHeight="1">
      <c r="A676" s="7"/>
      <c r="B676" s="7"/>
      <c r="C676" s="7"/>
      <c r="D676" s="7"/>
      <c r="E676" s="174"/>
      <c r="F676" s="174"/>
      <c r="M676" s="244"/>
    </row>
    <row r="677" spans="1:13" ht="14.25" customHeight="1">
      <c r="A677" s="7"/>
      <c r="B677" s="7"/>
      <c r="C677" s="7"/>
      <c r="D677" s="7"/>
      <c r="E677" s="174"/>
      <c r="F677" s="174"/>
      <c r="M677" s="244"/>
    </row>
    <row r="678" spans="1:13" ht="14.25" customHeight="1">
      <c r="A678" s="7"/>
      <c r="B678" s="7"/>
      <c r="C678" s="7"/>
      <c r="D678" s="7"/>
      <c r="E678" s="174"/>
      <c r="F678" s="174"/>
      <c r="M678" s="244"/>
    </row>
    <row r="679" spans="1:13" ht="14.25" customHeight="1">
      <c r="A679" s="7"/>
      <c r="B679" s="7"/>
      <c r="C679" s="7"/>
      <c r="D679" s="7"/>
      <c r="E679" s="174"/>
      <c r="F679" s="174"/>
      <c r="M679" s="244"/>
    </row>
    <row r="680" spans="1:13" ht="14.25" customHeight="1">
      <c r="A680" s="7"/>
      <c r="B680" s="7"/>
      <c r="C680" s="7"/>
      <c r="D680" s="7"/>
      <c r="E680" s="174"/>
      <c r="F680" s="174"/>
      <c r="M680" s="244"/>
    </row>
    <row r="681" spans="1:13" ht="14.25" customHeight="1">
      <c r="A681" s="7"/>
      <c r="B681" s="7"/>
      <c r="C681" s="7"/>
      <c r="D681" s="7"/>
      <c r="E681" s="174"/>
      <c r="F681" s="174"/>
      <c r="M681" s="244"/>
    </row>
    <row r="682" spans="1:13" ht="14.25" customHeight="1">
      <c r="A682" s="7"/>
      <c r="B682" s="7"/>
      <c r="C682" s="7"/>
      <c r="D682" s="7"/>
      <c r="E682" s="174"/>
      <c r="F682" s="174"/>
      <c r="M682" s="244"/>
    </row>
    <row r="683" spans="1:13" ht="14.25" customHeight="1">
      <c r="A683" s="7"/>
      <c r="B683" s="7"/>
      <c r="C683" s="7"/>
      <c r="D683" s="7"/>
      <c r="E683" s="174"/>
      <c r="F683" s="174"/>
      <c r="M683" s="244"/>
    </row>
    <row r="684" spans="1:13" ht="14.25" customHeight="1">
      <c r="A684" s="7"/>
      <c r="B684" s="7"/>
      <c r="C684" s="7"/>
      <c r="D684" s="7"/>
      <c r="E684" s="174"/>
      <c r="F684" s="174"/>
      <c r="M684" s="244"/>
    </row>
    <row r="685" spans="1:13" ht="14.25" customHeight="1">
      <c r="A685" s="7"/>
      <c r="B685" s="7"/>
      <c r="C685" s="7"/>
      <c r="D685" s="7"/>
      <c r="E685" s="174"/>
      <c r="F685" s="174"/>
      <c r="M685" s="244"/>
    </row>
    <row r="686" spans="1:13" ht="14.25" customHeight="1">
      <c r="A686" s="7"/>
      <c r="B686" s="7"/>
      <c r="C686" s="7"/>
      <c r="D686" s="7"/>
      <c r="E686" s="174"/>
      <c r="F686" s="174"/>
      <c r="M686" s="244"/>
    </row>
    <row r="687" spans="1:13" ht="14.25" customHeight="1">
      <c r="A687" s="7"/>
      <c r="B687" s="7"/>
      <c r="C687" s="7"/>
      <c r="D687" s="7"/>
      <c r="E687" s="174"/>
      <c r="F687" s="174"/>
      <c r="M687" s="244"/>
    </row>
    <row r="688" spans="1:13" ht="14.25" customHeight="1">
      <c r="A688" s="7"/>
      <c r="B688" s="7"/>
      <c r="C688" s="7"/>
      <c r="D688" s="7"/>
      <c r="E688" s="174"/>
      <c r="F688" s="174"/>
      <c r="M688" s="244"/>
    </row>
    <row r="689" spans="1:13" ht="14.25" customHeight="1">
      <c r="A689" s="7"/>
      <c r="B689" s="7"/>
      <c r="C689" s="7"/>
      <c r="D689" s="7"/>
      <c r="E689" s="174"/>
      <c r="F689" s="174"/>
      <c r="M689" s="244"/>
    </row>
    <row r="690" spans="1:13" ht="14.25" customHeight="1">
      <c r="A690" s="7"/>
      <c r="B690" s="7"/>
      <c r="C690" s="7"/>
      <c r="D690" s="7"/>
      <c r="E690" s="174"/>
      <c r="F690" s="174"/>
      <c r="M690" s="244"/>
    </row>
    <row r="691" spans="1:13" ht="14.25" customHeight="1">
      <c r="A691" s="7"/>
      <c r="B691" s="7"/>
      <c r="C691" s="7"/>
      <c r="D691" s="7"/>
      <c r="E691" s="174"/>
      <c r="F691" s="174"/>
      <c r="M691" s="244"/>
    </row>
    <row r="692" spans="1:13" ht="14.25" customHeight="1">
      <c r="A692" s="7"/>
      <c r="B692" s="7"/>
      <c r="C692" s="7"/>
      <c r="D692" s="7"/>
      <c r="E692" s="174"/>
      <c r="F692" s="174"/>
      <c r="M692" s="244"/>
    </row>
    <row r="693" spans="1:13" ht="14.25" customHeight="1">
      <c r="A693" s="7"/>
      <c r="B693" s="7"/>
      <c r="C693" s="7"/>
      <c r="D693" s="7"/>
      <c r="E693" s="174"/>
      <c r="F693" s="174"/>
      <c r="M693" s="244"/>
    </row>
    <row r="694" spans="1:13" ht="14.25" customHeight="1">
      <c r="A694" s="7"/>
      <c r="B694" s="7"/>
      <c r="C694" s="7"/>
      <c r="D694" s="7"/>
      <c r="E694" s="174"/>
      <c r="F694" s="174"/>
      <c r="M694" s="244"/>
    </row>
    <row r="695" spans="1:13" ht="14.25" customHeight="1">
      <c r="A695" s="7"/>
      <c r="B695" s="7"/>
      <c r="C695" s="7"/>
      <c r="D695" s="7"/>
      <c r="E695" s="174"/>
      <c r="F695" s="174"/>
      <c r="M695" s="244"/>
    </row>
    <row r="696" spans="1:13" ht="14.25" customHeight="1">
      <c r="A696" s="7"/>
      <c r="B696" s="7"/>
      <c r="C696" s="7"/>
      <c r="D696" s="7"/>
      <c r="E696" s="174"/>
      <c r="F696" s="174"/>
      <c r="M696" s="244"/>
    </row>
    <row r="697" spans="1:13" ht="14.25" customHeight="1">
      <c r="A697" s="7"/>
      <c r="B697" s="7"/>
      <c r="C697" s="7"/>
      <c r="D697" s="7"/>
      <c r="E697" s="174"/>
      <c r="F697" s="174"/>
      <c r="M697" s="244"/>
    </row>
    <row r="698" spans="1:13" ht="14.25" customHeight="1">
      <c r="A698" s="7"/>
      <c r="B698" s="7"/>
      <c r="C698" s="7"/>
      <c r="D698" s="7"/>
      <c r="E698" s="174"/>
      <c r="F698" s="174"/>
      <c r="M698" s="244"/>
    </row>
    <row r="699" spans="1:13" ht="14.25" customHeight="1">
      <c r="A699" s="7"/>
      <c r="B699" s="7"/>
      <c r="C699" s="7"/>
      <c r="D699" s="7"/>
      <c r="E699" s="174"/>
      <c r="F699" s="174"/>
      <c r="M699" s="244"/>
    </row>
    <row r="700" spans="1:13" ht="14.25" customHeight="1">
      <c r="A700" s="7"/>
      <c r="B700" s="7"/>
      <c r="C700" s="7"/>
      <c r="D700" s="7"/>
      <c r="E700" s="174"/>
      <c r="F700" s="174"/>
      <c r="M700" s="244"/>
    </row>
    <row r="701" spans="1:13" ht="14.25" customHeight="1">
      <c r="A701" s="7"/>
      <c r="B701" s="7"/>
      <c r="C701" s="7"/>
      <c r="D701" s="7"/>
      <c r="E701" s="174"/>
      <c r="F701" s="174"/>
      <c r="M701" s="244"/>
    </row>
    <row r="702" spans="1:13" ht="14.25" customHeight="1">
      <c r="A702" s="7"/>
      <c r="B702" s="7"/>
      <c r="C702" s="7"/>
      <c r="D702" s="7"/>
      <c r="E702" s="174"/>
      <c r="F702" s="174"/>
      <c r="M702" s="244"/>
    </row>
    <row r="703" spans="1:13" ht="14.25" customHeight="1">
      <c r="A703" s="7"/>
      <c r="B703" s="7"/>
      <c r="C703" s="7"/>
      <c r="D703" s="7"/>
      <c r="E703" s="174"/>
      <c r="F703" s="174"/>
      <c r="M703" s="244"/>
    </row>
    <row r="704" spans="1:13" ht="14.25" customHeight="1">
      <c r="A704" s="7"/>
      <c r="B704" s="7"/>
      <c r="C704" s="7"/>
      <c r="D704" s="7"/>
      <c r="E704" s="174"/>
      <c r="F704" s="174"/>
      <c r="M704" s="244"/>
    </row>
    <row r="705" spans="1:13" ht="14.25" customHeight="1">
      <c r="A705" s="7"/>
      <c r="B705" s="7"/>
      <c r="C705" s="7"/>
      <c r="D705" s="7"/>
      <c r="E705" s="174"/>
      <c r="F705" s="174"/>
      <c r="M705" s="244"/>
    </row>
    <row r="706" spans="1:13" ht="14.25" customHeight="1">
      <c r="A706" s="7"/>
      <c r="B706" s="7"/>
      <c r="C706" s="7"/>
      <c r="D706" s="7"/>
      <c r="E706" s="174"/>
      <c r="F706" s="174"/>
      <c r="M706" s="244"/>
    </row>
    <row r="707" spans="1:13" ht="14.25" customHeight="1">
      <c r="A707" s="7"/>
      <c r="B707" s="7"/>
      <c r="C707" s="7"/>
      <c r="D707" s="7"/>
      <c r="E707" s="174"/>
      <c r="F707" s="174"/>
      <c r="M707" s="244"/>
    </row>
    <row r="708" spans="1:13" ht="14.25" customHeight="1">
      <c r="A708" s="7"/>
      <c r="B708" s="7"/>
      <c r="C708" s="7"/>
      <c r="D708" s="7"/>
      <c r="E708" s="174"/>
      <c r="F708" s="174"/>
      <c r="M708" s="244"/>
    </row>
    <row r="709" spans="1:13" ht="14.25" customHeight="1">
      <c r="A709" s="7"/>
      <c r="B709" s="7"/>
      <c r="C709" s="7"/>
      <c r="D709" s="7"/>
      <c r="E709" s="174"/>
      <c r="F709" s="174"/>
      <c r="M709" s="244"/>
    </row>
    <row r="710" spans="1:13" ht="14.25" customHeight="1">
      <c r="A710" s="7"/>
      <c r="B710" s="7"/>
      <c r="C710" s="7"/>
      <c r="D710" s="7"/>
      <c r="E710" s="174"/>
      <c r="F710" s="174"/>
      <c r="M710" s="244"/>
    </row>
    <row r="711" spans="1:13" ht="14.25" customHeight="1">
      <c r="A711" s="7"/>
      <c r="B711" s="7"/>
      <c r="C711" s="7"/>
      <c r="D711" s="7"/>
      <c r="E711" s="174"/>
      <c r="F711" s="174"/>
      <c r="M711" s="244"/>
    </row>
    <row r="712" spans="1:13" ht="14.25" customHeight="1">
      <c r="A712" s="7"/>
      <c r="B712" s="7"/>
      <c r="C712" s="7"/>
      <c r="D712" s="7"/>
      <c r="E712" s="174"/>
      <c r="F712" s="174"/>
      <c r="M712" s="244"/>
    </row>
    <row r="713" spans="1:13" ht="14.25" customHeight="1">
      <c r="A713" s="7"/>
      <c r="B713" s="7"/>
      <c r="C713" s="7"/>
      <c r="D713" s="7"/>
      <c r="E713" s="174"/>
      <c r="F713" s="174"/>
      <c r="M713" s="244"/>
    </row>
    <row r="714" spans="1:13" ht="14.25" customHeight="1">
      <c r="A714" s="7"/>
      <c r="B714" s="7"/>
      <c r="C714" s="7"/>
      <c r="D714" s="7"/>
      <c r="E714" s="174"/>
      <c r="F714" s="174"/>
      <c r="M714" s="244"/>
    </row>
    <row r="715" spans="1:13" ht="14.25" customHeight="1">
      <c r="A715" s="7"/>
      <c r="B715" s="7"/>
      <c r="C715" s="7"/>
      <c r="D715" s="7"/>
      <c r="E715" s="174"/>
      <c r="F715" s="174"/>
      <c r="M715" s="244"/>
    </row>
    <row r="716" spans="1:13" ht="14.25" customHeight="1">
      <c r="A716" s="7"/>
      <c r="B716" s="7"/>
      <c r="C716" s="7"/>
      <c r="D716" s="7"/>
      <c r="E716" s="174"/>
      <c r="F716" s="174"/>
      <c r="M716" s="244"/>
    </row>
    <row r="717" spans="1:13" ht="14.25" customHeight="1">
      <c r="A717" s="7"/>
      <c r="B717" s="7"/>
      <c r="C717" s="7"/>
      <c r="D717" s="7"/>
      <c r="E717" s="174"/>
      <c r="F717" s="174"/>
      <c r="M717" s="244"/>
    </row>
    <row r="718" spans="1:13" ht="14.25" customHeight="1">
      <c r="A718" s="7"/>
      <c r="B718" s="7"/>
      <c r="C718" s="7"/>
      <c r="D718" s="7"/>
      <c r="E718" s="174"/>
      <c r="F718" s="174"/>
      <c r="M718" s="244"/>
    </row>
    <row r="719" spans="1:13" ht="14.25" customHeight="1">
      <c r="A719" s="7"/>
      <c r="B719" s="7"/>
      <c r="C719" s="7"/>
      <c r="D719" s="7"/>
      <c r="E719" s="174"/>
      <c r="F719" s="174"/>
      <c r="M719" s="244"/>
    </row>
    <row r="720" spans="1:13" ht="14.25" customHeight="1">
      <c r="A720" s="7"/>
      <c r="B720" s="7"/>
      <c r="C720" s="7"/>
      <c r="D720" s="7"/>
      <c r="E720" s="174"/>
      <c r="F720" s="174"/>
      <c r="M720" s="244"/>
    </row>
    <row r="721" spans="1:13" ht="14.25" customHeight="1">
      <c r="A721" s="7"/>
      <c r="B721" s="7"/>
      <c r="C721" s="7"/>
      <c r="D721" s="7"/>
      <c r="E721" s="174"/>
      <c r="F721" s="174"/>
      <c r="M721" s="244"/>
    </row>
    <row r="722" spans="1:13" ht="14.25" customHeight="1">
      <c r="A722" s="7"/>
      <c r="B722" s="7"/>
      <c r="C722" s="7"/>
      <c r="D722" s="7"/>
      <c r="E722" s="174"/>
      <c r="F722" s="174"/>
      <c r="M722" s="244"/>
    </row>
    <row r="723" spans="1:13" ht="15.75" customHeight="1"/>
    <row r="724" spans="1:13" ht="15.75" customHeight="1"/>
    <row r="725" spans="1:13" ht="15.75" customHeight="1"/>
    <row r="726" spans="1:13" ht="15.75" customHeight="1"/>
    <row r="727" spans="1:13" ht="15.75" customHeight="1"/>
    <row r="728" spans="1:13" ht="15.75" customHeight="1"/>
    <row r="729" spans="1:13" ht="15.75" customHeight="1"/>
    <row r="730" spans="1:13" ht="15.75" customHeight="1"/>
    <row r="731" spans="1:13" ht="15.75" customHeight="1"/>
    <row r="732" spans="1:13" ht="15.75" customHeight="1"/>
    <row r="733" spans="1:13" ht="15.75" customHeight="1"/>
    <row r="734" spans="1:13" ht="15.75" customHeight="1"/>
    <row r="735" spans="1:13" ht="15.75" customHeight="1"/>
    <row r="736" spans="1:13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E11:L11">
    <cfRule type="containsText" dxfId="15" priority="1" operator="containsText" text="yên bái">
      <formula>NOT(ISERROR(SEARCH(("yên bái"),(E11))))</formula>
    </cfRule>
  </conditionalFormatting>
  <conditionalFormatting sqref="M11:Q11">
    <cfRule type="containsText" dxfId="14" priority="2" operator="containsText" text="điện biên">
      <formula>NOT(ISERROR(SEARCH(("điện biên"),(M11))))</formula>
    </cfRule>
  </conditionalFormatting>
  <conditionalFormatting sqref="Y17:Y447">
    <cfRule type="cellIs" dxfId="13" priority="3" operator="lessThan">
      <formula>0</formula>
    </cfRule>
  </conditionalFormatting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33" ht="24.75" hidden="1" customHeight="1">
      <c r="A1" s="397" t="s">
        <v>0</v>
      </c>
      <c r="B1" s="398"/>
      <c r="C1" s="398"/>
      <c r="D1" s="399"/>
      <c r="E1" s="562"/>
      <c r="F1" s="7"/>
    </row>
    <row r="2" spans="1:33" ht="33" hidden="1" customHeight="1">
      <c r="A2" s="792" t="s">
        <v>1</v>
      </c>
      <c r="B2" s="793"/>
      <c r="C2" s="791"/>
      <c r="D2" s="399"/>
      <c r="E2" s="562"/>
      <c r="F2" s="7"/>
    </row>
    <row r="3" spans="1:33" ht="23.25" hidden="1" customHeight="1">
      <c r="A3" s="794" t="s">
        <v>2</v>
      </c>
      <c r="B3" s="793"/>
      <c r="C3" s="791"/>
      <c r="D3" s="399"/>
      <c r="E3" s="562"/>
      <c r="F3" s="7"/>
    </row>
    <row r="4" spans="1:33" ht="39.75" customHeight="1">
      <c r="A4" s="803" t="s">
        <v>1537</v>
      </c>
      <c r="B4" s="793"/>
      <c r="C4" s="793"/>
      <c r="D4" s="793"/>
      <c r="E4" s="791"/>
      <c r="F4" s="7"/>
    </row>
    <row r="5" spans="1:33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</row>
    <row r="6" spans="1:33" ht="21" hidden="1" customHeight="1">
      <c r="A6" s="804" t="s">
        <v>1338</v>
      </c>
      <c r="B6" s="793"/>
      <c r="C6" s="793"/>
      <c r="D6" s="793"/>
      <c r="E6" s="791"/>
      <c r="F6" s="7"/>
    </row>
    <row r="7" spans="1:33" ht="18.75" hidden="1" customHeight="1">
      <c r="A7" s="244"/>
      <c r="B7" s="401"/>
      <c r="C7" s="564" t="s">
        <v>1339</v>
      </c>
      <c r="D7" s="403"/>
      <c r="E7" s="565"/>
      <c r="F7" s="7"/>
    </row>
    <row r="8" spans="1:33" ht="14.25" hidden="1" customHeight="1">
      <c r="A8" s="244"/>
      <c r="B8" s="404"/>
      <c r="C8" s="564" t="s">
        <v>1340</v>
      </c>
      <c r="D8" s="405"/>
      <c r="E8" s="566"/>
      <c r="F8" s="7"/>
    </row>
    <row r="9" spans="1:33" ht="14.25" hidden="1" customHeight="1">
      <c r="A9" s="244"/>
      <c r="B9" s="404"/>
      <c r="C9" s="798" t="s">
        <v>1341</v>
      </c>
      <c r="D9" s="791"/>
      <c r="E9" s="567"/>
      <c r="F9" s="7"/>
    </row>
    <row r="10" spans="1:33" ht="25.5" customHeight="1">
      <c r="A10" s="568"/>
      <c r="B10" s="569"/>
      <c r="C10" s="570"/>
      <c r="D10" s="571"/>
      <c r="E10" s="572"/>
      <c r="F10" s="7"/>
    </row>
    <row r="11" spans="1:33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18</v>
      </c>
      <c r="F11" s="414" t="s">
        <v>18</v>
      </c>
      <c r="G11" s="414" t="s">
        <v>18</v>
      </c>
      <c r="H11" s="20" t="s">
        <v>18</v>
      </c>
      <c r="I11" s="21" t="s">
        <v>18</v>
      </c>
      <c r="J11" s="21" t="s">
        <v>18</v>
      </c>
      <c r="K11" s="22" t="s">
        <v>18</v>
      </c>
      <c r="L11" s="289" t="s">
        <v>18</v>
      </c>
      <c r="M11" s="22" t="s">
        <v>18</v>
      </c>
      <c r="N11" s="289" t="s">
        <v>18</v>
      </c>
      <c r="O11" s="180" t="s">
        <v>18</v>
      </c>
      <c r="P11" s="22" t="s">
        <v>18</v>
      </c>
      <c r="Q11" s="574" t="s">
        <v>18</v>
      </c>
      <c r="R11" s="289"/>
      <c r="S11" s="22"/>
      <c r="T11" s="576" t="s">
        <v>38</v>
      </c>
      <c r="U11" s="577"/>
      <c r="V11" s="535"/>
      <c r="W11" s="535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29.25" customHeight="1">
      <c r="A12" s="578"/>
      <c r="B12" s="430"/>
      <c r="C12" s="579" t="s">
        <v>39</v>
      </c>
      <c r="D12" s="186"/>
      <c r="E12" s="29">
        <v>1</v>
      </c>
      <c r="F12" s="293">
        <v>1</v>
      </c>
      <c r="G12" s="293">
        <v>1</v>
      </c>
      <c r="H12" s="580">
        <v>1</v>
      </c>
      <c r="I12" s="191">
        <v>1</v>
      </c>
      <c r="J12" s="293">
        <v>1</v>
      </c>
      <c r="K12" s="29">
        <v>1</v>
      </c>
      <c r="L12" s="187">
        <v>1</v>
      </c>
      <c r="M12" s="29">
        <v>1</v>
      </c>
      <c r="N12" s="190">
        <v>1</v>
      </c>
      <c r="O12" s="185"/>
      <c r="P12" s="247"/>
      <c r="Q12" s="185">
        <v>1</v>
      </c>
      <c r="R12" s="187"/>
      <c r="S12" s="29"/>
      <c r="T12" s="581">
        <f>SUM(E12:S12)</f>
        <v>11</v>
      </c>
      <c r="U12" s="582"/>
      <c r="V12" s="582"/>
      <c r="W12" s="582"/>
      <c r="X12" s="7"/>
      <c r="Y12" s="7"/>
      <c r="Z12" s="7"/>
      <c r="AA12" s="7">
        <v>6</v>
      </c>
      <c r="AB12" s="7"/>
      <c r="AC12" s="7"/>
      <c r="AD12" s="7"/>
      <c r="AE12" s="7"/>
      <c r="AF12" s="7"/>
      <c r="AG12" s="7"/>
    </row>
    <row r="13" spans="1:33" ht="37.5" customHeight="1">
      <c r="A13" s="583"/>
      <c r="B13" s="584"/>
      <c r="C13" s="585" t="s">
        <v>40</v>
      </c>
      <c r="D13" s="584"/>
      <c r="E13" s="32" t="s">
        <v>2341</v>
      </c>
      <c r="F13" s="189" t="s">
        <v>2342</v>
      </c>
      <c r="G13" s="189">
        <v>44688</v>
      </c>
      <c r="H13" s="586" t="s">
        <v>2225</v>
      </c>
      <c r="I13" s="32" t="s">
        <v>2278</v>
      </c>
      <c r="J13" s="32" t="s">
        <v>2343</v>
      </c>
      <c r="K13" s="587" t="s">
        <v>2344</v>
      </c>
      <c r="L13" s="587" t="s">
        <v>2281</v>
      </c>
      <c r="M13" s="189" t="s">
        <v>2345</v>
      </c>
      <c r="N13" s="189" t="s">
        <v>2346</v>
      </c>
      <c r="O13" s="40" t="s">
        <v>2347</v>
      </c>
      <c r="P13" s="192" t="s">
        <v>1545</v>
      </c>
      <c r="Q13" s="191" t="s">
        <v>1542</v>
      </c>
      <c r="R13" s="189"/>
      <c r="S13" s="189"/>
      <c r="T13" s="581"/>
      <c r="U13" s="591"/>
      <c r="V13" s="582"/>
      <c r="W13" s="591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53.25" customHeight="1">
      <c r="A14" s="578"/>
      <c r="B14" s="430"/>
      <c r="C14" s="579" t="s">
        <v>41</v>
      </c>
      <c r="D14" s="430"/>
      <c r="E14" s="30"/>
      <c r="F14" s="185"/>
      <c r="G14" s="185"/>
      <c r="H14" s="186"/>
      <c r="I14" s="30"/>
      <c r="J14" s="185"/>
      <c r="K14" s="30" t="s">
        <v>2348</v>
      </c>
      <c r="L14" s="190"/>
      <c r="M14" s="30"/>
      <c r="N14" s="190"/>
      <c r="O14" s="185"/>
      <c r="P14" s="247"/>
      <c r="Q14" s="592"/>
      <c r="R14" s="190"/>
      <c r="S14" s="30"/>
      <c r="T14" s="581"/>
      <c r="U14" s="582"/>
      <c r="V14" s="582"/>
      <c r="W14" s="582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51" customHeight="1">
      <c r="A15" s="578"/>
      <c r="B15" s="430"/>
      <c r="C15" s="579" t="s">
        <v>42</v>
      </c>
      <c r="D15" s="430"/>
      <c r="E15" s="30" t="s">
        <v>1640</v>
      </c>
      <c r="F15" s="191" t="s">
        <v>2349</v>
      </c>
      <c r="G15" s="191" t="s">
        <v>1642</v>
      </c>
      <c r="H15" s="186" t="s">
        <v>2350</v>
      </c>
      <c r="I15" s="30" t="s">
        <v>1394</v>
      </c>
      <c r="J15" s="185" t="s">
        <v>1394</v>
      </c>
      <c r="K15" s="30" t="s">
        <v>2351</v>
      </c>
      <c r="L15" s="30" t="s">
        <v>1641</v>
      </c>
      <c r="M15" s="30" t="s">
        <v>1394</v>
      </c>
      <c r="N15" s="190" t="s">
        <v>1394</v>
      </c>
      <c r="O15" s="191" t="s">
        <v>1712</v>
      </c>
      <c r="P15" s="247"/>
      <c r="Q15" s="185" t="s">
        <v>1556</v>
      </c>
      <c r="R15" s="30"/>
      <c r="S15" s="30"/>
      <c r="T15" s="576"/>
      <c r="U15" s="582"/>
      <c r="V15" s="582"/>
      <c r="W15" s="582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30.75" customHeight="1">
      <c r="A16" s="579"/>
      <c r="B16" s="186"/>
      <c r="C16" s="579" t="s">
        <v>43</v>
      </c>
      <c r="D16" s="186"/>
      <c r="E16" s="34" t="s">
        <v>2352</v>
      </c>
      <c r="F16" s="193" t="s">
        <v>1989</v>
      </c>
      <c r="G16" s="193" t="s">
        <v>2353</v>
      </c>
      <c r="H16" s="354" t="s">
        <v>2354</v>
      </c>
      <c r="I16" s="34" t="s">
        <v>2355</v>
      </c>
      <c r="J16" s="354" t="s">
        <v>2356</v>
      </c>
      <c r="K16" s="34" t="s">
        <v>2357</v>
      </c>
      <c r="L16" s="194" t="s">
        <v>2358</v>
      </c>
      <c r="M16" s="34" t="s">
        <v>2359</v>
      </c>
      <c r="N16" s="190" t="s">
        <v>1987</v>
      </c>
      <c r="O16" s="193" t="s">
        <v>1992</v>
      </c>
      <c r="P16" s="247"/>
      <c r="Q16" s="185" t="s">
        <v>2360</v>
      </c>
      <c r="R16" s="190"/>
      <c r="S16" s="34"/>
      <c r="T16" s="598"/>
      <c r="U16" s="599"/>
      <c r="V16" s="599"/>
      <c r="W16" s="599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33.75" customHeight="1">
      <c r="A17" s="583"/>
      <c r="B17" s="584"/>
      <c r="C17" s="585" t="s">
        <v>70</v>
      </c>
      <c r="D17" s="584"/>
      <c r="E17" s="32" t="s">
        <v>2361</v>
      </c>
      <c r="F17" s="189" t="s">
        <v>2362</v>
      </c>
      <c r="G17" s="189">
        <v>44688</v>
      </c>
      <c r="H17" s="586" t="s">
        <v>2363</v>
      </c>
      <c r="I17" s="32" t="s">
        <v>2182</v>
      </c>
      <c r="J17" s="601" t="s">
        <v>2102</v>
      </c>
      <c r="K17" s="587" t="s">
        <v>2344</v>
      </c>
      <c r="L17" s="587" t="s">
        <v>2303</v>
      </c>
      <c r="M17" s="32" t="s">
        <v>2364</v>
      </c>
      <c r="N17" s="189">
        <v>44748</v>
      </c>
      <c r="O17" s="40" t="s">
        <v>1573</v>
      </c>
      <c r="P17" s="40" t="s">
        <v>1574</v>
      </c>
      <c r="Q17" s="30" t="s">
        <v>1571</v>
      </c>
      <c r="R17" s="189"/>
      <c r="S17" s="189"/>
      <c r="T17" s="581"/>
      <c r="U17" s="591"/>
      <c r="V17" s="591"/>
      <c r="W17" s="591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196"/>
      <c r="I18" s="196"/>
      <c r="J18" s="196"/>
      <c r="K18" s="43"/>
      <c r="L18" s="198"/>
      <c r="M18" s="43"/>
      <c r="N18" s="198"/>
      <c r="O18" s="43"/>
      <c r="P18" s="462"/>
      <c r="Q18" s="197"/>
      <c r="R18" s="198"/>
      <c r="S18" s="302"/>
      <c r="T18" s="607"/>
      <c r="U18" s="608"/>
      <c r="V18" s="609"/>
      <c r="W18" s="609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2"/>
      <c r="I19" s="202"/>
      <c r="J19" s="202"/>
      <c r="K19" s="201"/>
      <c r="L19" s="204"/>
      <c r="M19" s="201"/>
      <c r="N19" s="204"/>
      <c r="O19" s="201"/>
      <c r="P19" s="363"/>
      <c r="Q19" s="611"/>
      <c r="R19" s="204"/>
      <c r="S19" s="21"/>
      <c r="T19" s="616"/>
      <c r="U19" s="617"/>
      <c r="V19" s="577"/>
      <c r="W19" s="577"/>
      <c r="X19" s="7"/>
      <c r="Y19" s="363"/>
      <c r="Z19" s="7"/>
      <c r="AA19" s="618">
        <f t="shared" ref="AA19:AA29" si="0">Y19-T19</f>
        <v>0</v>
      </c>
      <c r="AB19" s="7"/>
      <c r="AC19" s="7"/>
      <c r="AD19" s="7"/>
      <c r="AE19" s="7"/>
      <c r="AF19" s="7"/>
      <c r="AG19" s="7"/>
    </row>
    <row r="20" spans="1:33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209"/>
      <c r="H20" s="210"/>
      <c r="I20" s="210"/>
      <c r="J20" s="210"/>
      <c r="K20" s="209">
        <v>2</v>
      </c>
      <c r="L20" s="211"/>
      <c r="M20" s="731">
        <v>2</v>
      </c>
      <c r="N20" s="364"/>
      <c r="O20" s="209">
        <v>1</v>
      </c>
      <c r="P20" s="372"/>
      <c r="Q20" s="620"/>
      <c r="R20" s="215"/>
      <c r="S20" s="215"/>
      <c r="T20" s="625">
        <f t="shared" ref="T20:T274" si="1">+SUM(E20:S20)</f>
        <v>5</v>
      </c>
      <c r="U20" s="626"/>
      <c r="V20" s="627"/>
      <c r="W20" s="627"/>
      <c r="X20" s="7"/>
      <c r="Y20" s="723">
        <v>5</v>
      </c>
      <c r="Z20" s="7"/>
      <c r="AA20" s="618">
        <f t="shared" si="0"/>
        <v>0</v>
      </c>
      <c r="AB20" s="7"/>
      <c r="AC20" s="7"/>
      <c r="AD20" s="7"/>
      <c r="AE20" s="7"/>
      <c r="AF20" s="7"/>
      <c r="AG20" s="7"/>
    </row>
    <row r="21" spans="1:33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4"/>
      <c r="I21" s="214"/>
      <c r="J21" s="214"/>
      <c r="K21" s="213"/>
      <c r="L21" s="215"/>
      <c r="M21" s="213"/>
      <c r="N21" s="292"/>
      <c r="O21" s="213"/>
      <c r="P21" s="370"/>
      <c r="Q21" s="620"/>
      <c r="R21" s="215"/>
      <c r="S21" s="215"/>
      <c r="T21" s="616">
        <f t="shared" si="1"/>
        <v>0</v>
      </c>
      <c r="U21" s="633"/>
      <c r="V21" s="634"/>
      <c r="W21" s="634"/>
      <c r="X21" s="7"/>
      <c r="Y21" s="699"/>
      <c r="Z21" s="7"/>
      <c r="AA21" s="618">
        <f t="shared" si="0"/>
        <v>0</v>
      </c>
      <c r="AB21" s="7"/>
      <c r="AC21" s="7"/>
      <c r="AD21" s="7"/>
      <c r="AE21" s="7"/>
      <c r="AF21" s="7"/>
      <c r="AG21" s="7"/>
    </row>
    <row r="22" spans="1:33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4"/>
      <c r="I22" s="214"/>
      <c r="J22" s="214"/>
      <c r="K22" s="213"/>
      <c r="L22" s="215"/>
      <c r="M22" s="213"/>
      <c r="N22" s="292"/>
      <c r="O22" s="213"/>
      <c r="P22" s="370"/>
      <c r="Q22" s="620"/>
      <c r="R22" s="215"/>
      <c r="S22" s="215"/>
      <c r="T22" s="616">
        <f t="shared" si="1"/>
        <v>0</v>
      </c>
      <c r="U22" s="633"/>
      <c r="V22" s="634"/>
      <c r="W22" s="634"/>
      <c r="X22" s="7"/>
      <c r="Y22" s="699"/>
      <c r="Z22" s="7"/>
      <c r="AA22" s="618">
        <f t="shared" si="0"/>
        <v>0</v>
      </c>
      <c r="AB22" s="7"/>
      <c r="AC22" s="7"/>
      <c r="AD22" s="7"/>
      <c r="AE22" s="7"/>
      <c r="AF22" s="7"/>
      <c r="AG22" s="7"/>
    </row>
    <row r="23" spans="1:33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4"/>
      <c r="I23" s="214"/>
      <c r="J23" s="214"/>
      <c r="K23" s="213"/>
      <c r="L23" s="215"/>
      <c r="M23" s="213"/>
      <c r="N23" s="292"/>
      <c r="O23" s="213"/>
      <c r="P23" s="370"/>
      <c r="Q23" s="620"/>
      <c r="R23" s="215"/>
      <c r="S23" s="215"/>
      <c r="T23" s="616">
        <f t="shared" si="1"/>
        <v>0</v>
      </c>
      <c r="U23" s="633"/>
      <c r="V23" s="634"/>
      <c r="W23" s="634"/>
      <c r="X23" s="7"/>
      <c r="Y23" s="699"/>
      <c r="Z23" s="7"/>
      <c r="AA23" s="618">
        <f t="shared" si="0"/>
        <v>0</v>
      </c>
      <c r="AB23" s="7"/>
      <c r="AC23" s="7"/>
      <c r="AD23" s="7"/>
      <c r="AE23" s="7"/>
      <c r="AF23" s="7"/>
      <c r="AG23" s="7"/>
    </row>
    <row r="24" spans="1:33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4"/>
      <c r="I24" s="214"/>
      <c r="J24" s="214"/>
      <c r="K24" s="213"/>
      <c r="L24" s="215"/>
      <c r="M24" s="213"/>
      <c r="N24" s="292"/>
      <c r="O24" s="213"/>
      <c r="P24" s="370"/>
      <c r="Q24" s="620"/>
      <c r="R24" s="215"/>
      <c r="S24" s="215"/>
      <c r="T24" s="616">
        <f t="shared" si="1"/>
        <v>0</v>
      </c>
      <c r="U24" s="633"/>
      <c r="V24" s="634"/>
      <c r="W24" s="634"/>
      <c r="X24" s="7"/>
      <c r="Y24" s="699"/>
      <c r="Z24" s="7"/>
      <c r="AA24" s="618">
        <f t="shared" si="0"/>
        <v>0</v>
      </c>
      <c r="AB24" s="7"/>
      <c r="AC24" s="7"/>
      <c r="AD24" s="7"/>
      <c r="AE24" s="7"/>
      <c r="AF24" s="7"/>
      <c r="AG24" s="7"/>
    </row>
    <row r="25" spans="1:33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10"/>
      <c r="I25" s="210"/>
      <c r="J25" s="210"/>
      <c r="K25" s="209"/>
      <c r="L25" s="211"/>
      <c r="M25" s="209"/>
      <c r="N25" s="364"/>
      <c r="O25" s="209"/>
      <c r="P25" s="370"/>
      <c r="Q25" s="620"/>
      <c r="R25" s="215"/>
      <c r="S25" s="215"/>
      <c r="T25" s="625">
        <f t="shared" si="1"/>
        <v>0</v>
      </c>
      <c r="U25" s="626"/>
      <c r="V25" s="627"/>
      <c r="W25" s="627"/>
      <c r="X25" s="7"/>
      <c r="Y25" s="699"/>
      <c r="Z25" s="7"/>
      <c r="AA25" s="618">
        <f t="shared" si="0"/>
        <v>0</v>
      </c>
      <c r="AB25" s="7"/>
      <c r="AC25" s="7"/>
      <c r="AD25" s="7"/>
      <c r="AE25" s="7"/>
      <c r="AF25" s="7"/>
      <c r="AG25" s="7"/>
    </row>
    <row r="26" spans="1:33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4"/>
      <c r="I26" s="214"/>
      <c r="J26" s="214"/>
      <c r="K26" s="213"/>
      <c r="L26" s="215"/>
      <c r="M26" s="213"/>
      <c r="N26" s="292"/>
      <c r="O26" s="213"/>
      <c r="P26" s="370"/>
      <c r="Q26" s="620"/>
      <c r="R26" s="215"/>
      <c r="S26" s="215"/>
      <c r="T26" s="616">
        <f t="shared" si="1"/>
        <v>0</v>
      </c>
      <c r="U26" s="633"/>
      <c r="V26" s="634"/>
      <c r="W26" s="634"/>
      <c r="X26" s="7"/>
      <c r="Y26" s="699"/>
      <c r="Z26" s="7"/>
      <c r="AA26" s="618">
        <f t="shared" si="0"/>
        <v>0</v>
      </c>
      <c r="AB26" s="7"/>
      <c r="AC26" s="7"/>
      <c r="AD26" s="7"/>
      <c r="AE26" s="7"/>
      <c r="AF26" s="7"/>
      <c r="AG26" s="7"/>
    </row>
    <row r="27" spans="1:33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4"/>
      <c r="I27" s="214"/>
      <c r="J27" s="214"/>
      <c r="K27" s="213"/>
      <c r="L27" s="215"/>
      <c r="M27" s="213"/>
      <c r="N27" s="292"/>
      <c r="O27" s="213"/>
      <c r="P27" s="370"/>
      <c r="Q27" s="620"/>
      <c r="R27" s="215"/>
      <c r="S27" s="215"/>
      <c r="T27" s="616">
        <f t="shared" si="1"/>
        <v>0</v>
      </c>
      <c r="U27" s="633"/>
      <c r="V27" s="634"/>
      <c r="W27" s="634"/>
      <c r="X27" s="7"/>
      <c r="Y27" s="699"/>
      <c r="Z27" s="7"/>
      <c r="AA27" s="618">
        <f t="shared" si="0"/>
        <v>0</v>
      </c>
      <c r="AB27" s="7"/>
      <c r="AC27" s="7"/>
      <c r="AD27" s="7"/>
      <c r="AE27" s="7"/>
      <c r="AF27" s="7"/>
      <c r="AG27" s="7"/>
    </row>
    <row r="28" spans="1:33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4"/>
      <c r="I28" s="214"/>
      <c r="J28" s="214"/>
      <c r="K28" s="213"/>
      <c r="L28" s="215"/>
      <c r="M28" s="213"/>
      <c r="N28" s="292"/>
      <c r="O28" s="213"/>
      <c r="P28" s="370"/>
      <c r="Q28" s="620"/>
      <c r="R28" s="215"/>
      <c r="S28" s="215"/>
      <c r="T28" s="616">
        <f t="shared" si="1"/>
        <v>0</v>
      </c>
      <c r="U28" s="633"/>
      <c r="V28" s="634"/>
      <c r="W28" s="634"/>
      <c r="X28" s="7"/>
      <c r="Y28" s="699"/>
      <c r="Z28" s="7"/>
      <c r="AA28" s="618">
        <f t="shared" si="0"/>
        <v>0</v>
      </c>
      <c r="AB28" s="7"/>
      <c r="AC28" s="7"/>
      <c r="AD28" s="7"/>
      <c r="AE28" s="7"/>
      <c r="AF28" s="7"/>
      <c r="AG28" s="7"/>
    </row>
    <row r="29" spans="1:33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4"/>
      <c r="I29" s="214"/>
      <c r="J29" s="214"/>
      <c r="K29" s="213"/>
      <c r="L29" s="215"/>
      <c r="M29" s="213"/>
      <c r="N29" s="292"/>
      <c r="O29" s="213"/>
      <c r="P29" s="370"/>
      <c r="Q29" s="620"/>
      <c r="R29" s="215"/>
      <c r="S29" s="215"/>
      <c r="T29" s="616">
        <f t="shared" si="1"/>
        <v>0</v>
      </c>
      <c r="U29" s="633"/>
      <c r="V29" s="634"/>
      <c r="W29" s="634"/>
      <c r="X29" s="7"/>
      <c r="Y29" s="699"/>
      <c r="Z29" s="7"/>
      <c r="AA29" s="618">
        <f t="shared" si="0"/>
        <v>0</v>
      </c>
      <c r="AB29" s="7"/>
      <c r="AC29" s="7"/>
      <c r="AD29" s="7"/>
      <c r="AE29" s="7"/>
      <c r="AF29" s="7"/>
      <c r="AG29" s="7"/>
    </row>
    <row r="30" spans="1:33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10"/>
      <c r="I30" s="210"/>
      <c r="J30" s="210"/>
      <c r="K30" s="209">
        <v>1</v>
      </c>
      <c r="L30" s="211">
        <v>1</v>
      </c>
      <c r="M30" s="209">
        <v>4</v>
      </c>
      <c r="N30" s="364"/>
      <c r="O30" s="209"/>
      <c r="P30" s="370"/>
      <c r="Q30" s="620"/>
      <c r="R30" s="215"/>
      <c r="S30" s="215"/>
      <c r="T30" s="625">
        <f t="shared" si="1"/>
        <v>6</v>
      </c>
      <c r="U30" s="626"/>
      <c r="V30" s="627"/>
      <c r="W30" s="627"/>
      <c r="X30" s="7"/>
      <c r="Y30" s="699">
        <v>6</v>
      </c>
      <c r="Z30" s="7"/>
      <c r="AA30" s="618"/>
      <c r="AB30" s="7"/>
      <c r="AC30" s="7"/>
      <c r="AD30" s="7"/>
      <c r="AE30" s="7"/>
      <c r="AF30" s="7"/>
      <c r="AG30" s="7"/>
    </row>
    <row r="31" spans="1:33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4"/>
      <c r="I31" s="214"/>
      <c r="J31" s="214"/>
      <c r="K31" s="213"/>
      <c r="L31" s="215"/>
      <c r="M31" s="213"/>
      <c r="N31" s="292"/>
      <c r="O31" s="213"/>
      <c r="P31" s="370"/>
      <c r="Q31" s="620"/>
      <c r="R31" s="215"/>
      <c r="S31" s="215"/>
      <c r="T31" s="616">
        <f t="shared" si="1"/>
        <v>0</v>
      </c>
      <c r="U31" s="633"/>
      <c r="V31" s="634"/>
      <c r="W31" s="634"/>
      <c r="X31" s="7"/>
      <c r="Y31" s="699"/>
      <c r="Z31" s="7"/>
      <c r="AA31" s="618">
        <f t="shared" ref="AA31:AA36" si="2">Y31-T31</f>
        <v>0</v>
      </c>
      <c r="AB31" s="7"/>
      <c r="AC31" s="7"/>
      <c r="AD31" s="7"/>
      <c r="AE31" s="7"/>
      <c r="AF31" s="7"/>
      <c r="AG31" s="7"/>
    </row>
    <row r="32" spans="1:33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4"/>
      <c r="I32" s="214"/>
      <c r="J32" s="214"/>
      <c r="K32" s="213"/>
      <c r="L32" s="215"/>
      <c r="M32" s="213"/>
      <c r="N32" s="292"/>
      <c r="O32" s="213"/>
      <c r="P32" s="370"/>
      <c r="Q32" s="620"/>
      <c r="R32" s="215"/>
      <c r="S32" s="215"/>
      <c r="T32" s="616">
        <f t="shared" si="1"/>
        <v>0</v>
      </c>
      <c r="U32" s="633"/>
      <c r="V32" s="634"/>
      <c r="W32" s="634"/>
      <c r="X32" s="7"/>
      <c r="Y32" s="699"/>
      <c r="Z32" s="7"/>
      <c r="AA32" s="618">
        <f t="shared" si="2"/>
        <v>0</v>
      </c>
      <c r="AB32" s="7"/>
      <c r="AC32" s="7"/>
      <c r="AD32" s="7"/>
      <c r="AE32" s="7"/>
      <c r="AF32" s="7"/>
      <c r="AG32" s="7"/>
    </row>
    <row r="33" spans="1:33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4"/>
      <c r="I33" s="214"/>
      <c r="J33" s="214"/>
      <c r="K33" s="213"/>
      <c r="L33" s="215"/>
      <c r="M33" s="213"/>
      <c r="N33" s="292"/>
      <c r="O33" s="213"/>
      <c r="P33" s="370"/>
      <c r="Q33" s="620"/>
      <c r="R33" s="215"/>
      <c r="S33" s="215"/>
      <c r="T33" s="616">
        <f t="shared" si="1"/>
        <v>0</v>
      </c>
      <c r="U33" s="633"/>
      <c r="V33" s="634"/>
      <c r="W33" s="634"/>
      <c r="X33" s="7"/>
      <c r="Y33" s="699"/>
      <c r="Z33" s="7"/>
      <c r="AA33" s="618">
        <f t="shared" si="2"/>
        <v>0</v>
      </c>
      <c r="AB33" s="7"/>
      <c r="AC33" s="7"/>
      <c r="AD33" s="7"/>
      <c r="AE33" s="7"/>
      <c r="AF33" s="7"/>
      <c r="AG33" s="7"/>
    </row>
    <row r="34" spans="1:33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4"/>
      <c r="I34" s="214"/>
      <c r="J34" s="214"/>
      <c r="K34" s="213"/>
      <c r="L34" s="215"/>
      <c r="M34" s="213"/>
      <c r="N34" s="292"/>
      <c r="O34" s="213"/>
      <c r="P34" s="370"/>
      <c r="Q34" s="620"/>
      <c r="R34" s="215"/>
      <c r="S34" s="215"/>
      <c r="T34" s="616">
        <f t="shared" si="1"/>
        <v>0</v>
      </c>
      <c r="U34" s="633"/>
      <c r="V34" s="634"/>
      <c r="W34" s="634"/>
      <c r="X34" s="7"/>
      <c r="Y34" s="699"/>
      <c r="Z34" s="7"/>
      <c r="AA34" s="618">
        <f t="shared" si="2"/>
        <v>0</v>
      </c>
      <c r="AB34" s="7"/>
      <c r="AC34" s="7"/>
      <c r="AD34" s="7"/>
      <c r="AE34" s="7"/>
      <c r="AF34" s="7"/>
      <c r="AG34" s="7"/>
    </row>
    <row r="35" spans="1:33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4"/>
      <c r="I35" s="214"/>
      <c r="J35" s="214"/>
      <c r="K35" s="213"/>
      <c r="L35" s="215"/>
      <c r="M35" s="213"/>
      <c r="N35" s="292"/>
      <c r="O35" s="213"/>
      <c r="P35" s="370"/>
      <c r="Q35" s="620"/>
      <c r="R35" s="215"/>
      <c r="S35" s="215"/>
      <c r="T35" s="616">
        <f t="shared" si="1"/>
        <v>0</v>
      </c>
      <c r="U35" s="633"/>
      <c r="V35" s="636"/>
      <c r="W35" s="636"/>
      <c r="X35" s="7"/>
      <c r="Y35" s="699"/>
      <c r="Z35" s="7"/>
      <c r="AA35" s="618">
        <f t="shared" si="2"/>
        <v>0</v>
      </c>
      <c r="AB35" s="7"/>
      <c r="AC35" s="7"/>
      <c r="AD35" s="7"/>
      <c r="AE35" s="7"/>
      <c r="AF35" s="7"/>
      <c r="AG35" s="7"/>
    </row>
    <row r="36" spans="1:33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4"/>
      <c r="I36" s="214"/>
      <c r="J36" s="214"/>
      <c r="K36" s="213"/>
      <c r="L36" s="215"/>
      <c r="M36" s="213"/>
      <c r="N36" s="292"/>
      <c r="O36" s="213"/>
      <c r="P36" s="370"/>
      <c r="Q36" s="620"/>
      <c r="R36" s="215"/>
      <c r="S36" s="215"/>
      <c r="T36" s="616">
        <f t="shared" si="1"/>
        <v>0</v>
      </c>
      <c r="U36" s="633"/>
      <c r="V36" s="547" t="s">
        <v>1576</v>
      </c>
      <c r="W36" s="636"/>
      <c r="X36" s="7"/>
      <c r="Y36" s="699"/>
      <c r="Z36" s="7"/>
      <c r="AA36" s="618">
        <f t="shared" si="2"/>
        <v>0</v>
      </c>
      <c r="AB36" s="7"/>
      <c r="AC36" s="7"/>
      <c r="AD36" s="7"/>
      <c r="AE36" s="7"/>
      <c r="AF36" s="7"/>
      <c r="AG36" s="7"/>
    </row>
    <row r="37" spans="1:33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4"/>
      <c r="I37" s="214"/>
      <c r="J37" s="214"/>
      <c r="K37" s="213"/>
      <c r="L37" s="215"/>
      <c r="M37" s="677">
        <f>SUM(M38:M53)+M62</f>
        <v>626</v>
      </c>
      <c r="N37" s="292"/>
      <c r="O37" s="213"/>
      <c r="P37" s="372"/>
      <c r="Q37" s="638"/>
      <c r="R37" s="215"/>
      <c r="S37" s="215"/>
      <c r="T37" s="616">
        <f t="shared" si="1"/>
        <v>626</v>
      </c>
      <c r="U37" s="633"/>
      <c r="V37" s="640"/>
      <c r="W37" s="640"/>
      <c r="X37" s="7"/>
      <c r="Y37" s="699"/>
      <c r="Z37" s="7"/>
      <c r="AA37" s="618"/>
      <c r="AB37" s="7"/>
      <c r="AC37" s="7"/>
      <c r="AD37" s="7"/>
      <c r="AE37" s="7"/>
      <c r="AF37" s="7"/>
      <c r="AG37" s="7"/>
    </row>
    <row r="38" spans="1:33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1</v>
      </c>
      <c r="F38" s="209"/>
      <c r="G38" s="209"/>
      <c r="H38" s="210"/>
      <c r="I38" s="210">
        <v>1</v>
      </c>
      <c r="J38" s="210"/>
      <c r="K38" s="209"/>
      <c r="L38" s="211"/>
      <c r="M38" s="209">
        <v>2</v>
      </c>
      <c r="N38" s="364"/>
      <c r="O38" s="209">
        <v>1</v>
      </c>
      <c r="P38" s="372"/>
      <c r="Q38" s="620"/>
      <c r="R38" s="215"/>
      <c r="S38" s="215"/>
      <c r="T38" s="625">
        <f t="shared" si="1"/>
        <v>5</v>
      </c>
      <c r="U38" s="626"/>
      <c r="V38" s="627" t="s">
        <v>1577</v>
      </c>
      <c r="W38" s="642">
        <f>T38</f>
        <v>5</v>
      </c>
      <c r="X38" s="7"/>
      <c r="Y38" s="699">
        <v>20</v>
      </c>
      <c r="Z38" s="7"/>
      <c r="AA38" s="618">
        <f t="shared" ref="AA38:AA42" si="3">Y38-T38</f>
        <v>15</v>
      </c>
      <c r="AB38" s="7"/>
      <c r="AC38" s="7"/>
      <c r="AD38" s="7"/>
      <c r="AE38" s="7"/>
      <c r="AF38" s="7"/>
      <c r="AG38" s="7"/>
    </row>
    <row r="39" spans="1:33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4"/>
      <c r="I39" s="214"/>
      <c r="J39" s="214"/>
      <c r="K39" s="213"/>
      <c r="L39" s="215"/>
      <c r="M39" s="213"/>
      <c r="N39" s="292"/>
      <c r="O39" s="213"/>
      <c r="P39" s="370"/>
      <c r="Q39" s="620"/>
      <c r="R39" s="215"/>
      <c r="S39" s="215"/>
      <c r="T39" s="616">
        <f t="shared" si="1"/>
        <v>0</v>
      </c>
      <c r="U39" s="633"/>
      <c r="V39" s="644" t="s">
        <v>1578</v>
      </c>
      <c r="W39" s="645">
        <f>U43</f>
        <v>842</v>
      </c>
      <c r="X39" s="7"/>
      <c r="Y39" s="699"/>
      <c r="Z39" s="7"/>
      <c r="AA39" s="618">
        <f t="shared" si="3"/>
        <v>0</v>
      </c>
      <c r="AB39" s="7"/>
      <c r="AC39" s="7"/>
      <c r="AD39" s="7"/>
      <c r="AE39" s="7"/>
      <c r="AF39" s="7"/>
      <c r="AG39" s="7"/>
    </row>
    <row r="40" spans="1:33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4"/>
      <c r="I40" s="214"/>
      <c r="J40" s="214"/>
      <c r="K40" s="213"/>
      <c r="L40" s="215"/>
      <c r="M40" s="213"/>
      <c r="N40" s="292"/>
      <c r="O40" s="213"/>
      <c r="P40" s="370"/>
      <c r="Q40" s="620"/>
      <c r="R40" s="215"/>
      <c r="S40" s="215"/>
      <c r="T40" s="616">
        <f t="shared" si="1"/>
        <v>0</v>
      </c>
      <c r="U40" s="633"/>
      <c r="V40" s="636"/>
      <c r="W40" s="636"/>
      <c r="X40" s="7"/>
      <c r="Y40" s="699"/>
      <c r="Z40" s="7"/>
      <c r="AA40" s="618">
        <f t="shared" si="3"/>
        <v>0</v>
      </c>
      <c r="AB40" s="7"/>
      <c r="AC40" s="7"/>
      <c r="AD40" s="7"/>
      <c r="AE40" s="7"/>
      <c r="AF40" s="7"/>
      <c r="AG40" s="7"/>
    </row>
    <row r="41" spans="1:33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4"/>
      <c r="I41" s="214"/>
      <c r="J41" s="214"/>
      <c r="K41" s="213"/>
      <c r="L41" s="215"/>
      <c r="M41" s="213"/>
      <c r="N41" s="292"/>
      <c r="O41" s="213"/>
      <c r="P41" s="370"/>
      <c r="Q41" s="620"/>
      <c r="R41" s="215"/>
      <c r="S41" s="215"/>
      <c r="T41" s="616">
        <f t="shared" si="1"/>
        <v>0</v>
      </c>
      <c r="U41" s="633"/>
      <c r="V41" s="636"/>
      <c r="W41" s="636"/>
      <c r="X41" s="7"/>
      <c r="Y41" s="699"/>
      <c r="Z41" s="7"/>
      <c r="AA41" s="618">
        <f t="shared" si="3"/>
        <v>0</v>
      </c>
      <c r="AB41" s="7"/>
      <c r="AC41" s="7"/>
      <c r="AD41" s="7"/>
      <c r="AE41" s="7"/>
      <c r="AF41" s="7"/>
      <c r="AG41" s="7"/>
    </row>
    <row r="42" spans="1:33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4"/>
      <c r="I42" s="214"/>
      <c r="J42" s="214"/>
      <c r="K42" s="213"/>
      <c r="L42" s="215"/>
      <c r="M42" s="213"/>
      <c r="N42" s="292"/>
      <c r="O42" s="213"/>
      <c r="P42" s="370"/>
      <c r="Q42" s="620"/>
      <c r="R42" s="215"/>
      <c r="S42" s="215"/>
      <c r="T42" s="616">
        <f t="shared" si="1"/>
        <v>0</v>
      </c>
      <c r="U42" s="633"/>
      <c r="V42" s="636"/>
      <c r="W42" s="636"/>
      <c r="X42" s="7"/>
      <c r="Y42" s="699"/>
      <c r="Z42" s="7"/>
      <c r="AA42" s="618">
        <f t="shared" si="3"/>
        <v>0</v>
      </c>
      <c r="AB42" s="7"/>
      <c r="AC42" s="7"/>
      <c r="AD42" s="7"/>
      <c r="AE42" s="7"/>
      <c r="AF42" s="7"/>
      <c r="AG42" s="7"/>
    </row>
    <row r="43" spans="1:33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>
        <v>1</v>
      </c>
      <c r="G43" s="213"/>
      <c r="H43" s="214"/>
      <c r="I43" s="214"/>
      <c r="J43" s="214"/>
      <c r="K43" s="213">
        <v>1</v>
      </c>
      <c r="L43" s="215">
        <v>2</v>
      </c>
      <c r="M43" s="213"/>
      <c r="N43" s="292"/>
      <c r="O43" s="213"/>
      <c r="P43" s="372"/>
      <c r="Q43" s="620"/>
      <c r="R43" s="215"/>
      <c r="S43" s="215"/>
      <c r="T43" s="616">
        <f t="shared" si="1"/>
        <v>4</v>
      </c>
      <c r="U43" s="633">
        <f>T43+T48+T53+T62</f>
        <v>842</v>
      </c>
      <c r="V43" s="634"/>
      <c r="W43" s="634"/>
      <c r="X43" s="7"/>
      <c r="Y43" s="699"/>
      <c r="Z43" s="7"/>
      <c r="AA43" s="618"/>
      <c r="AB43" s="7"/>
      <c r="AC43" s="618">
        <f>SUM(AA43:AA53)</f>
        <v>0</v>
      </c>
      <c r="AD43" s="7"/>
      <c r="AE43" s="7"/>
      <c r="AF43" s="7"/>
      <c r="AG43" s="7"/>
    </row>
    <row r="44" spans="1:33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4"/>
      <c r="I44" s="214"/>
      <c r="J44" s="214"/>
      <c r="K44" s="213"/>
      <c r="L44" s="215"/>
      <c r="M44" s="213"/>
      <c r="N44" s="292"/>
      <c r="O44" s="213"/>
      <c r="P44" s="370"/>
      <c r="Q44" s="620"/>
      <c r="R44" s="215"/>
      <c r="S44" s="215"/>
      <c r="T44" s="616">
        <f t="shared" si="1"/>
        <v>0</v>
      </c>
      <c r="U44" s="633"/>
      <c r="V44" s="634"/>
      <c r="W44" s="634"/>
      <c r="X44" s="7"/>
      <c r="Y44" s="699"/>
      <c r="Z44" s="7"/>
      <c r="AA44" s="618"/>
      <c r="AB44" s="7"/>
      <c r="AC44" s="7"/>
      <c r="AD44" s="7"/>
      <c r="AE44" s="7"/>
      <c r="AF44" s="7"/>
      <c r="AG44" s="7"/>
    </row>
    <row r="45" spans="1:33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4"/>
      <c r="I45" s="214"/>
      <c r="J45" s="214"/>
      <c r="K45" s="213"/>
      <c r="L45" s="215"/>
      <c r="M45" s="213"/>
      <c r="N45" s="292"/>
      <c r="O45" s="213"/>
      <c r="P45" s="370"/>
      <c r="Q45" s="620"/>
      <c r="R45" s="215"/>
      <c r="S45" s="215"/>
      <c r="T45" s="616">
        <f t="shared" si="1"/>
        <v>0</v>
      </c>
      <c r="U45" s="633"/>
      <c r="V45" s="634"/>
      <c r="W45" s="634"/>
      <c r="X45" s="7"/>
      <c r="Y45" s="699"/>
      <c r="Z45" s="7"/>
      <c r="AA45" s="618"/>
      <c r="AB45" s="7"/>
      <c r="AC45" s="7"/>
      <c r="AD45" s="7"/>
      <c r="AE45" s="7"/>
      <c r="AF45" s="7"/>
      <c r="AG45" s="7"/>
    </row>
    <row r="46" spans="1:33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4"/>
      <c r="I46" s="214"/>
      <c r="J46" s="214"/>
      <c r="K46" s="213"/>
      <c r="L46" s="215"/>
      <c r="M46" s="213"/>
      <c r="N46" s="292"/>
      <c r="O46" s="213"/>
      <c r="P46" s="370"/>
      <c r="Q46" s="620"/>
      <c r="R46" s="215"/>
      <c r="S46" s="215"/>
      <c r="T46" s="616">
        <f t="shared" si="1"/>
        <v>0</v>
      </c>
      <c r="U46" s="633"/>
      <c r="V46" s="634"/>
      <c r="W46" s="634"/>
      <c r="X46" s="7"/>
      <c r="Y46" s="699"/>
      <c r="Z46" s="7"/>
      <c r="AA46" s="618"/>
      <c r="AB46" s="7"/>
      <c r="AC46" s="7"/>
      <c r="AD46" s="7"/>
      <c r="AE46" s="7"/>
      <c r="AF46" s="7"/>
      <c r="AG46" s="7"/>
    </row>
    <row r="47" spans="1:33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4"/>
      <c r="I47" s="214"/>
      <c r="J47" s="214"/>
      <c r="K47" s="213"/>
      <c r="L47" s="215"/>
      <c r="M47" s="213"/>
      <c r="N47" s="292"/>
      <c r="O47" s="213"/>
      <c r="P47" s="370"/>
      <c r="Q47" s="620"/>
      <c r="R47" s="215"/>
      <c r="S47" s="215"/>
      <c r="T47" s="616">
        <f t="shared" si="1"/>
        <v>0</v>
      </c>
      <c r="U47" s="633"/>
      <c r="V47" s="634"/>
      <c r="W47" s="634"/>
      <c r="X47" s="7"/>
      <c r="Y47" s="699"/>
      <c r="Z47" s="7"/>
      <c r="AA47" s="618"/>
      <c r="AB47" s="7"/>
      <c r="AC47" s="7"/>
      <c r="AD47" s="7"/>
      <c r="AE47" s="7"/>
      <c r="AF47" s="7"/>
      <c r="AG47" s="7"/>
    </row>
    <row r="48" spans="1:33" ht="20.25" customHeight="1">
      <c r="A48" s="482"/>
      <c r="B48" s="496" t="s">
        <v>151</v>
      </c>
      <c r="C48" s="555" t="s">
        <v>152</v>
      </c>
      <c r="D48" s="485" t="s">
        <v>132</v>
      </c>
      <c r="E48" s="213"/>
      <c r="F48" s="213">
        <v>46</v>
      </c>
      <c r="G48" s="213">
        <v>7</v>
      </c>
      <c r="H48" s="214">
        <v>8</v>
      </c>
      <c r="I48" s="214"/>
      <c r="J48" s="214"/>
      <c r="K48" s="213"/>
      <c r="L48" s="215"/>
      <c r="M48" s="213">
        <v>9</v>
      </c>
      <c r="N48" s="292"/>
      <c r="O48" s="213"/>
      <c r="P48" s="372"/>
      <c r="Q48" s="620"/>
      <c r="R48" s="215"/>
      <c r="S48" s="215"/>
      <c r="T48" s="616">
        <f t="shared" si="1"/>
        <v>70</v>
      </c>
      <c r="U48" s="633"/>
      <c r="V48" s="634"/>
      <c r="W48" s="634"/>
      <c r="X48" s="7"/>
      <c r="Y48" s="699">
        <v>62</v>
      </c>
      <c r="Z48" s="7"/>
      <c r="AA48" s="618"/>
      <c r="AB48" s="7"/>
      <c r="AC48" s="7"/>
      <c r="AD48" s="7"/>
      <c r="AE48" s="7"/>
      <c r="AF48" s="7"/>
      <c r="AG48" s="7"/>
    </row>
    <row r="49" spans="1:33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4"/>
      <c r="I49" s="214"/>
      <c r="J49" s="214"/>
      <c r="K49" s="213"/>
      <c r="L49" s="215"/>
      <c r="M49" s="213"/>
      <c r="N49" s="292"/>
      <c r="O49" s="213"/>
      <c r="P49" s="370"/>
      <c r="Q49" s="620"/>
      <c r="R49" s="215"/>
      <c r="S49" s="215"/>
      <c r="T49" s="616">
        <f t="shared" si="1"/>
        <v>0</v>
      </c>
      <c r="U49" s="633"/>
      <c r="V49" s="634"/>
      <c r="W49" s="634"/>
      <c r="X49" s="7"/>
      <c r="Y49" s="699"/>
      <c r="Z49" s="7"/>
      <c r="AA49" s="618"/>
      <c r="AB49" s="7"/>
      <c r="AC49" s="7"/>
      <c r="AD49" s="7"/>
      <c r="AE49" s="7"/>
      <c r="AF49" s="7"/>
      <c r="AG49" s="7"/>
    </row>
    <row r="50" spans="1:33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4"/>
      <c r="I50" s="214"/>
      <c r="J50" s="214"/>
      <c r="K50" s="213"/>
      <c r="L50" s="215"/>
      <c r="M50" s="213"/>
      <c r="N50" s="292"/>
      <c r="O50" s="213"/>
      <c r="P50" s="370"/>
      <c r="Q50" s="620"/>
      <c r="R50" s="215"/>
      <c r="S50" s="215"/>
      <c r="T50" s="616">
        <f t="shared" si="1"/>
        <v>0</v>
      </c>
      <c r="U50" s="633"/>
      <c r="V50" s="634"/>
      <c r="W50" s="634"/>
      <c r="X50" s="7"/>
      <c r="Y50" s="699"/>
      <c r="Z50" s="7"/>
      <c r="AA50" s="618"/>
      <c r="AB50" s="7"/>
      <c r="AC50" s="7"/>
      <c r="AD50" s="7"/>
      <c r="AE50" s="7"/>
      <c r="AF50" s="7"/>
      <c r="AG50" s="7"/>
    </row>
    <row r="51" spans="1:33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4"/>
      <c r="I51" s="214"/>
      <c r="J51" s="214"/>
      <c r="K51" s="213"/>
      <c r="L51" s="215"/>
      <c r="M51" s="213"/>
      <c r="N51" s="292"/>
      <c r="O51" s="213"/>
      <c r="P51" s="370"/>
      <c r="Q51" s="620"/>
      <c r="R51" s="215"/>
      <c r="S51" s="215"/>
      <c r="T51" s="616">
        <f t="shared" si="1"/>
        <v>0</v>
      </c>
      <c r="U51" s="633"/>
      <c r="V51" s="634"/>
      <c r="W51" s="634"/>
      <c r="X51" s="7"/>
      <c r="Y51" s="699"/>
      <c r="Z51" s="7"/>
      <c r="AA51" s="618"/>
      <c r="AB51" s="7"/>
      <c r="AC51" s="7"/>
      <c r="AD51" s="7"/>
      <c r="AE51" s="7"/>
      <c r="AF51" s="7"/>
      <c r="AG51" s="7"/>
    </row>
    <row r="52" spans="1:33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4"/>
      <c r="I52" s="214"/>
      <c r="J52" s="214"/>
      <c r="K52" s="213"/>
      <c r="L52" s="215"/>
      <c r="M52" s="213"/>
      <c r="N52" s="292"/>
      <c r="O52" s="213"/>
      <c r="P52" s="370"/>
      <c r="Q52" s="620"/>
      <c r="R52" s="215"/>
      <c r="S52" s="215"/>
      <c r="T52" s="616">
        <f t="shared" si="1"/>
        <v>0</v>
      </c>
      <c r="U52" s="633"/>
      <c r="V52" s="634"/>
      <c r="W52" s="634"/>
      <c r="X52" s="7"/>
      <c r="Y52" s="699"/>
      <c r="Z52" s="7"/>
      <c r="AA52" s="618"/>
      <c r="AB52" s="7"/>
      <c r="AC52" s="7"/>
      <c r="AD52" s="7"/>
      <c r="AE52" s="7"/>
      <c r="AF52" s="7"/>
      <c r="AG52" s="7"/>
    </row>
    <row r="53" spans="1:33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3">
        <v>57</v>
      </c>
      <c r="G53" s="213"/>
      <c r="H53" s="214">
        <v>27</v>
      </c>
      <c r="I53" s="214">
        <v>2</v>
      </c>
      <c r="J53" s="214"/>
      <c r="K53" s="213"/>
      <c r="L53" s="215">
        <v>43</v>
      </c>
      <c r="M53" s="213">
        <f>317+267</f>
        <v>584</v>
      </c>
      <c r="N53" s="292"/>
      <c r="O53" s="213">
        <v>3</v>
      </c>
      <c r="P53" s="499">
        <v>21</v>
      </c>
      <c r="Q53" s="620"/>
      <c r="R53" s="215"/>
      <c r="S53" s="215"/>
      <c r="T53" s="616">
        <f t="shared" si="1"/>
        <v>737</v>
      </c>
      <c r="U53" s="633"/>
      <c r="V53" s="634"/>
      <c r="W53" s="634"/>
      <c r="X53" s="7"/>
      <c r="Y53" s="699">
        <v>564</v>
      </c>
      <c r="Z53" s="7"/>
      <c r="AA53" s="618"/>
      <c r="AB53" s="7"/>
      <c r="AC53" s="7"/>
      <c r="AD53" s="7"/>
      <c r="AE53" s="7"/>
      <c r="AF53" s="7"/>
      <c r="AG53" s="7"/>
    </row>
    <row r="54" spans="1:33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4"/>
      <c r="I54" s="214"/>
      <c r="J54" s="214"/>
      <c r="K54" s="213"/>
      <c r="L54" s="215"/>
      <c r="M54" s="213"/>
      <c r="N54" s="292"/>
      <c r="O54" s="213"/>
      <c r="P54" s="370"/>
      <c r="Q54" s="620"/>
      <c r="R54" s="215"/>
      <c r="S54" s="215"/>
      <c r="T54" s="616">
        <f t="shared" si="1"/>
        <v>0</v>
      </c>
      <c r="U54" s="633"/>
      <c r="V54" s="634"/>
      <c r="W54" s="634"/>
      <c r="X54" s="7"/>
      <c r="Y54" s="699"/>
      <c r="Z54" s="7"/>
      <c r="AA54" s="618"/>
      <c r="AB54" s="7"/>
      <c r="AC54" s="7"/>
      <c r="AD54" s="7"/>
      <c r="AE54" s="7"/>
      <c r="AF54" s="7"/>
      <c r="AG54" s="7"/>
    </row>
    <row r="55" spans="1:33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4"/>
      <c r="I55" s="214"/>
      <c r="J55" s="214"/>
      <c r="K55" s="213"/>
      <c r="L55" s="215"/>
      <c r="M55" s="213"/>
      <c r="N55" s="292"/>
      <c r="O55" s="213"/>
      <c r="P55" s="370"/>
      <c r="Q55" s="620"/>
      <c r="R55" s="215"/>
      <c r="S55" s="215"/>
      <c r="T55" s="616">
        <f t="shared" si="1"/>
        <v>0</v>
      </c>
      <c r="U55" s="633"/>
      <c r="V55" s="634"/>
      <c r="W55" s="634"/>
      <c r="X55" s="7"/>
      <c r="Y55" s="699"/>
      <c r="Z55" s="7"/>
      <c r="AA55" s="618"/>
      <c r="AB55" s="7"/>
      <c r="AC55" s="7"/>
      <c r="AD55" s="7"/>
      <c r="AE55" s="7"/>
      <c r="AF55" s="7"/>
      <c r="AG55" s="7"/>
    </row>
    <row r="56" spans="1:33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4"/>
      <c r="I56" s="214"/>
      <c r="J56" s="214"/>
      <c r="K56" s="213"/>
      <c r="L56" s="215"/>
      <c r="M56" s="213"/>
      <c r="N56" s="292"/>
      <c r="O56" s="213"/>
      <c r="P56" s="370"/>
      <c r="Q56" s="620"/>
      <c r="R56" s="215"/>
      <c r="S56" s="215"/>
      <c r="T56" s="616">
        <f t="shared" si="1"/>
        <v>0</v>
      </c>
      <c r="U56" s="633"/>
      <c r="V56" s="634"/>
      <c r="W56" s="634"/>
      <c r="X56" s="7"/>
      <c r="Y56" s="699"/>
      <c r="Z56" s="7"/>
      <c r="AA56" s="618"/>
      <c r="AB56" s="7"/>
      <c r="AC56" s="7"/>
      <c r="AD56" s="7"/>
      <c r="AE56" s="7"/>
      <c r="AF56" s="7"/>
      <c r="AG56" s="7"/>
    </row>
    <row r="57" spans="1:33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4"/>
      <c r="I57" s="214"/>
      <c r="J57" s="214"/>
      <c r="K57" s="213"/>
      <c r="L57" s="215"/>
      <c r="M57" s="213"/>
      <c r="N57" s="292"/>
      <c r="O57" s="213"/>
      <c r="P57" s="370"/>
      <c r="Q57" s="620"/>
      <c r="R57" s="215"/>
      <c r="S57" s="215"/>
      <c r="T57" s="616">
        <f t="shared" si="1"/>
        <v>0</v>
      </c>
      <c r="U57" s="633"/>
      <c r="V57" s="634"/>
      <c r="W57" s="634"/>
      <c r="X57" s="7"/>
      <c r="Y57" s="699"/>
      <c r="Z57" s="7"/>
      <c r="AA57" s="618"/>
      <c r="AB57" s="7"/>
      <c r="AC57" s="7"/>
      <c r="AD57" s="7"/>
      <c r="AE57" s="7"/>
      <c r="AF57" s="7"/>
      <c r="AG57" s="7"/>
    </row>
    <row r="58" spans="1:33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374"/>
      <c r="I58" s="374"/>
      <c r="J58" s="374"/>
      <c r="K58" s="219"/>
      <c r="L58" s="215"/>
      <c r="M58" s="209"/>
      <c r="N58" s="292"/>
      <c r="O58" s="213"/>
      <c r="P58" s="372"/>
      <c r="Q58" s="620"/>
      <c r="R58" s="215"/>
      <c r="S58" s="215"/>
      <c r="T58" s="616">
        <f t="shared" si="1"/>
        <v>0</v>
      </c>
      <c r="U58" s="633"/>
      <c r="V58" s="634"/>
      <c r="W58" s="634"/>
      <c r="X58" s="7"/>
      <c r="Y58" s="699">
        <v>8</v>
      </c>
      <c r="Z58" s="7"/>
      <c r="AA58" s="618"/>
      <c r="AB58" s="7"/>
      <c r="AC58" s="7"/>
      <c r="AD58" s="7"/>
      <c r="AE58" s="7"/>
      <c r="AF58" s="7"/>
      <c r="AG58" s="7"/>
    </row>
    <row r="59" spans="1:33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4"/>
      <c r="I59" s="214"/>
      <c r="J59" s="214"/>
      <c r="K59" s="213"/>
      <c r="L59" s="215"/>
      <c r="M59" s="213"/>
      <c r="N59" s="292"/>
      <c r="O59" s="213"/>
      <c r="P59" s="370"/>
      <c r="Q59" s="647"/>
      <c r="R59" s="215"/>
      <c r="S59" s="215"/>
      <c r="T59" s="616">
        <f t="shared" si="1"/>
        <v>0</v>
      </c>
      <c r="U59" s="633"/>
      <c r="V59" s="648"/>
      <c r="W59" s="648"/>
      <c r="X59" s="7"/>
      <c r="Y59" s="699"/>
      <c r="Z59" s="7"/>
      <c r="AA59" s="618">
        <f t="shared" ref="AA59:AA65" si="4">Y59-T59</f>
        <v>0</v>
      </c>
      <c r="AB59" s="7"/>
      <c r="AC59" s="7"/>
      <c r="AD59" s="7"/>
      <c r="AE59" s="7"/>
      <c r="AF59" s="7"/>
      <c r="AG59" s="7"/>
    </row>
    <row r="60" spans="1:33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4"/>
      <c r="I60" s="214"/>
      <c r="J60" s="214"/>
      <c r="K60" s="213"/>
      <c r="L60" s="215"/>
      <c r="M60" s="213"/>
      <c r="N60" s="292"/>
      <c r="O60" s="213"/>
      <c r="P60" s="370"/>
      <c r="Q60" s="647"/>
      <c r="R60" s="215"/>
      <c r="S60" s="215"/>
      <c r="T60" s="616">
        <f t="shared" si="1"/>
        <v>0</v>
      </c>
      <c r="U60" s="633"/>
      <c r="V60" s="648"/>
      <c r="W60" s="648"/>
      <c r="X60" s="7"/>
      <c r="Y60" s="699"/>
      <c r="Z60" s="7"/>
      <c r="AA60" s="618">
        <f t="shared" si="4"/>
        <v>0</v>
      </c>
      <c r="AB60" s="7"/>
      <c r="AC60" s="7"/>
      <c r="AD60" s="7"/>
      <c r="AE60" s="7"/>
      <c r="AF60" s="7"/>
      <c r="AG60" s="7"/>
    </row>
    <row r="61" spans="1:33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4"/>
      <c r="I61" s="214"/>
      <c r="J61" s="214"/>
      <c r="K61" s="213"/>
      <c r="L61" s="215"/>
      <c r="M61" s="213"/>
      <c r="N61" s="292"/>
      <c r="O61" s="213"/>
      <c r="P61" s="370"/>
      <c r="Q61" s="647"/>
      <c r="R61" s="215"/>
      <c r="S61" s="215"/>
      <c r="T61" s="616">
        <f t="shared" si="1"/>
        <v>0</v>
      </c>
      <c r="U61" s="633"/>
      <c r="V61" s="648"/>
      <c r="W61" s="648"/>
      <c r="X61" s="7"/>
      <c r="Y61" s="699"/>
      <c r="Z61" s="7"/>
      <c r="AA61" s="618">
        <f t="shared" si="4"/>
        <v>0</v>
      </c>
      <c r="AB61" s="7"/>
      <c r="AC61" s="7"/>
      <c r="AD61" s="7"/>
      <c r="AE61" s="7"/>
      <c r="AF61" s="7"/>
      <c r="AG61" s="7"/>
    </row>
    <row r="62" spans="1:33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4"/>
      <c r="I62" s="214"/>
      <c r="J62" s="214"/>
      <c r="K62" s="213"/>
      <c r="L62" s="215"/>
      <c r="M62" s="213">
        <v>31</v>
      </c>
      <c r="N62" s="292"/>
      <c r="O62" s="213"/>
      <c r="P62" s="372"/>
      <c r="Q62" s="620"/>
      <c r="R62" s="215"/>
      <c r="S62" s="215"/>
      <c r="T62" s="616">
        <f t="shared" si="1"/>
        <v>31</v>
      </c>
      <c r="U62" s="633"/>
      <c r="V62" s="636"/>
      <c r="W62" s="636"/>
      <c r="X62" s="7"/>
      <c r="Y62" s="699">
        <v>31</v>
      </c>
      <c r="Z62" s="7"/>
      <c r="AA62" s="618">
        <f t="shared" si="4"/>
        <v>0</v>
      </c>
      <c r="AB62" s="7"/>
      <c r="AC62" s="7"/>
      <c r="AD62" s="7"/>
      <c r="AE62" s="7"/>
      <c r="AF62" s="7"/>
      <c r="AG62" s="7"/>
    </row>
    <row r="63" spans="1:33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4"/>
      <c r="I63" s="214"/>
      <c r="J63" s="214"/>
      <c r="K63" s="213"/>
      <c r="L63" s="215"/>
      <c r="M63" s="213"/>
      <c r="N63" s="292"/>
      <c r="O63" s="213"/>
      <c r="P63" s="372"/>
      <c r="Q63" s="638"/>
      <c r="R63" s="215"/>
      <c r="S63" s="215"/>
      <c r="T63" s="616">
        <f t="shared" si="1"/>
        <v>0</v>
      </c>
      <c r="U63" s="633"/>
      <c r="V63" s="636"/>
      <c r="W63" s="636"/>
      <c r="X63" s="7"/>
      <c r="Y63" s="699"/>
      <c r="Z63" s="7"/>
      <c r="AA63" s="618">
        <f t="shared" si="4"/>
        <v>0</v>
      </c>
      <c r="AB63" s="7"/>
      <c r="AC63" s="7"/>
      <c r="AD63" s="7"/>
      <c r="AE63" s="7"/>
      <c r="AF63" s="7"/>
      <c r="AG63" s="7"/>
    </row>
    <row r="64" spans="1:33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4"/>
      <c r="I64" s="214"/>
      <c r="J64" s="214"/>
      <c r="K64" s="213"/>
      <c r="L64" s="215"/>
      <c r="M64" s="213"/>
      <c r="N64" s="292"/>
      <c r="O64" s="213"/>
      <c r="P64" s="372"/>
      <c r="Q64" s="638"/>
      <c r="R64" s="215"/>
      <c r="S64" s="215"/>
      <c r="T64" s="616">
        <f t="shared" si="1"/>
        <v>0</v>
      </c>
      <c r="U64" s="633"/>
      <c r="V64" s="640"/>
      <c r="W64" s="640"/>
      <c r="X64" s="7"/>
      <c r="Y64" s="699"/>
      <c r="Z64" s="7"/>
      <c r="AA64" s="618">
        <f t="shared" si="4"/>
        <v>0</v>
      </c>
      <c r="AB64" s="7"/>
      <c r="AC64" s="7"/>
      <c r="AD64" s="7"/>
      <c r="AE64" s="7"/>
      <c r="AF64" s="7"/>
      <c r="AG64" s="7"/>
    </row>
    <row r="65" spans="1:33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>
        <v>5</v>
      </c>
      <c r="G65" s="213">
        <v>1</v>
      </c>
      <c r="H65" s="214"/>
      <c r="I65" s="214"/>
      <c r="J65" s="214">
        <v>2</v>
      </c>
      <c r="K65" s="213"/>
      <c r="L65" s="215"/>
      <c r="M65" s="213">
        <v>3</v>
      </c>
      <c r="N65" s="292"/>
      <c r="O65" s="213"/>
      <c r="P65" s="372"/>
      <c r="Q65" s="620"/>
      <c r="R65" s="215"/>
      <c r="S65" s="215"/>
      <c r="T65" s="616">
        <f t="shared" si="1"/>
        <v>11</v>
      </c>
      <c r="U65" s="633"/>
      <c r="V65" s="636"/>
      <c r="W65" s="636"/>
      <c r="X65" s="7"/>
      <c r="Y65" s="699">
        <v>12</v>
      </c>
      <c r="Z65" s="7"/>
      <c r="AA65" s="618">
        <f t="shared" si="4"/>
        <v>1</v>
      </c>
      <c r="AB65" s="7"/>
      <c r="AC65" s="7"/>
      <c r="AD65" s="7"/>
      <c r="AE65" s="7"/>
      <c r="AF65" s="7"/>
      <c r="AG65" s="7"/>
    </row>
    <row r="66" spans="1:33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>
        <v>8</v>
      </c>
      <c r="G66" s="213"/>
      <c r="H66" s="214"/>
      <c r="I66" s="214"/>
      <c r="J66" s="214"/>
      <c r="K66" s="213"/>
      <c r="L66" s="215"/>
      <c r="M66" s="213"/>
      <c r="N66" s="292"/>
      <c r="O66" s="213"/>
      <c r="P66" s="372"/>
      <c r="Q66" s="620"/>
      <c r="R66" s="215"/>
      <c r="S66" s="215"/>
      <c r="T66" s="616">
        <f t="shared" si="1"/>
        <v>8</v>
      </c>
      <c r="U66" s="633"/>
      <c r="V66" s="636"/>
      <c r="W66" s="636"/>
      <c r="X66" s="7"/>
      <c r="Y66" s="699"/>
      <c r="Z66" s="7"/>
      <c r="AA66" s="618"/>
      <c r="AB66" s="7"/>
      <c r="AC66" s="7"/>
      <c r="AD66" s="7"/>
      <c r="AE66" s="7"/>
      <c r="AF66" s="7"/>
      <c r="AG66" s="7"/>
    </row>
    <row r="67" spans="1:33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4"/>
      <c r="I67" s="214"/>
      <c r="J67" s="214"/>
      <c r="K67" s="213"/>
      <c r="L67" s="215"/>
      <c r="M67" s="213"/>
      <c r="N67" s="292"/>
      <c r="O67" s="213"/>
      <c r="P67" s="370"/>
      <c r="Q67" s="620"/>
      <c r="R67" s="215"/>
      <c r="S67" s="215"/>
      <c r="T67" s="616">
        <f t="shared" si="1"/>
        <v>0</v>
      </c>
      <c r="U67" s="633"/>
      <c r="V67" s="634"/>
      <c r="W67" s="634"/>
      <c r="X67" s="7"/>
      <c r="Y67" s="699"/>
      <c r="Z67" s="7"/>
      <c r="AA67" s="618">
        <f t="shared" ref="AA67:AA103" si="5">Y67-T67</f>
        <v>0</v>
      </c>
      <c r="AB67" s="7"/>
      <c r="AC67" s="7"/>
      <c r="AD67" s="7"/>
      <c r="AE67" s="7"/>
      <c r="AF67" s="7"/>
      <c r="AG67" s="7"/>
    </row>
    <row r="68" spans="1:33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4"/>
      <c r="I68" s="214"/>
      <c r="J68" s="214"/>
      <c r="K68" s="213"/>
      <c r="L68" s="215"/>
      <c r="M68" s="213"/>
      <c r="N68" s="292"/>
      <c r="O68" s="213"/>
      <c r="P68" s="370"/>
      <c r="Q68" s="620"/>
      <c r="R68" s="215"/>
      <c r="S68" s="215"/>
      <c r="T68" s="616">
        <f t="shared" si="1"/>
        <v>0</v>
      </c>
      <c r="U68" s="633"/>
      <c r="V68" s="634"/>
      <c r="W68" s="634"/>
      <c r="X68" s="7"/>
      <c r="Y68" s="699"/>
      <c r="Z68" s="7"/>
      <c r="AA68" s="618">
        <f t="shared" si="5"/>
        <v>0</v>
      </c>
      <c r="AB68" s="7"/>
      <c r="AC68" s="7"/>
      <c r="AD68" s="7"/>
      <c r="AE68" s="7"/>
      <c r="AF68" s="7"/>
      <c r="AG68" s="7"/>
    </row>
    <row r="69" spans="1:33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4"/>
      <c r="I69" s="214"/>
      <c r="J69" s="214"/>
      <c r="K69" s="213"/>
      <c r="L69" s="215"/>
      <c r="M69" s="213"/>
      <c r="N69" s="292"/>
      <c r="O69" s="213"/>
      <c r="P69" s="370"/>
      <c r="Q69" s="620"/>
      <c r="R69" s="215"/>
      <c r="S69" s="215"/>
      <c r="T69" s="616">
        <f t="shared" si="1"/>
        <v>0</v>
      </c>
      <c r="U69" s="633"/>
      <c r="V69" s="634"/>
      <c r="W69" s="634"/>
      <c r="X69" s="7"/>
      <c r="Y69" s="699"/>
      <c r="Z69" s="7"/>
      <c r="AA69" s="618">
        <f t="shared" si="5"/>
        <v>0</v>
      </c>
      <c r="AB69" s="7"/>
      <c r="AC69" s="7"/>
      <c r="AD69" s="7"/>
      <c r="AE69" s="7"/>
      <c r="AF69" s="7"/>
      <c r="AG69" s="7"/>
    </row>
    <row r="70" spans="1:33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4"/>
      <c r="I70" s="214"/>
      <c r="J70" s="214"/>
      <c r="K70" s="213"/>
      <c r="L70" s="215"/>
      <c r="M70" s="213"/>
      <c r="N70" s="292"/>
      <c r="O70" s="213"/>
      <c r="P70" s="370"/>
      <c r="Q70" s="620"/>
      <c r="R70" s="215"/>
      <c r="S70" s="215"/>
      <c r="T70" s="616">
        <f t="shared" si="1"/>
        <v>0</v>
      </c>
      <c r="U70" s="633"/>
      <c r="V70" s="634"/>
      <c r="W70" s="634"/>
      <c r="X70" s="7"/>
      <c r="Y70" s="699"/>
      <c r="Z70" s="7"/>
      <c r="AA70" s="618">
        <f t="shared" si="5"/>
        <v>0</v>
      </c>
      <c r="AB70" s="7"/>
      <c r="AC70" s="7"/>
      <c r="AD70" s="7"/>
      <c r="AE70" s="7"/>
      <c r="AF70" s="7"/>
      <c r="AG70" s="7"/>
    </row>
    <row r="71" spans="1:33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4"/>
      <c r="I71" s="214"/>
      <c r="J71" s="214"/>
      <c r="K71" s="213"/>
      <c r="L71" s="215"/>
      <c r="M71" s="213"/>
      <c r="N71" s="292"/>
      <c r="O71" s="213"/>
      <c r="P71" s="370"/>
      <c r="Q71" s="620"/>
      <c r="R71" s="215"/>
      <c r="S71" s="215"/>
      <c r="T71" s="616">
        <f t="shared" si="1"/>
        <v>0</v>
      </c>
      <c r="U71" s="633"/>
      <c r="V71" s="636"/>
      <c r="W71" s="636"/>
      <c r="X71" s="7"/>
      <c r="Y71" s="699"/>
      <c r="Z71" s="7"/>
      <c r="AA71" s="618">
        <f t="shared" si="5"/>
        <v>0</v>
      </c>
      <c r="AB71" s="7"/>
      <c r="AC71" s="7"/>
      <c r="AD71" s="7"/>
      <c r="AE71" s="7"/>
      <c r="AF71" s="7"/>
      <c r="AG71" s="7"/>
    </row>
    <row r="72" spans="1:33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4"/>
      <c r="I72" s="214"/>
      <c r="J72" s="214"/>
      <c r="K72" s="213"/>
      <c r="L72" s="215"/>
      <c r="M72" s="213"/>
      <c r="N72" s="292"/>
      <c r="O72" s="213"/>
      <c r="P72" s="370"/>
      <c r="Q72" s="647"/>
      <c r="R72" s="215"/>
      <c r="S72" s="215"/>
      <c r="T72" s="616">
        <f t="shared" si="1"/>
        <v>0</v>
      </c>
      <c r="U72" s="633"/>
      <c r="V72" s="648"/>
      <c r="W72" s="648"/>
      <c r="X72" s="7"/>
      <c r="Y72" s="699"/>
      <c r="Z72" s="7"/>
      <c r="AA72" s="618">
        <f t="shared" si="5"/>
        <v>0</v>
      </c>
      <c r="AB72" s="7"/>
      <c r="AC72" s="7"/>
      <c r="AD72" s="7"/>
      <c r="AE72" s="7"/>
      <c r="AF72" s="7"/>
      <c r="AG72" s="7"/>
    </row>
    <row r="73" spans="1:33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4"/>
      <c r="I73" s="214"/>
      <c r="J73" s="214"/>
      <c r="K73" s="213"/>
      <c r="L73" s="215"/>
      <c r="M73" s="213"/>
      <c r="N73" s="292"/>
      <c r="O73" s="213"/>
      <c r="P73" s="370"/>
      <c r="Q73" s="647"/>
      <c r="R73" s="215"/>
      <c r="S73" s="215"/>
      <c r="T73" s="616">
        <f t="shared" si="1"/>
        <v>0</v>
      </c>
      <c r="U73" s="633"/>
      <c r="V73" s="648"/>
      <c r="W73" s="648"/>
      <c r="X73" s="7"/>
      <c r="Y73" s="699"/>
      <c r="Z73" s="7"/>
      <c r="AA73" s="618">
        <f t="shared" si="5"/>
        <v>0</v>
      </c>
      <c r="AB73" s="7"/>
      <c r="AC73" s="7"/>
      <c r="AD73" s="7"/>
      <c r="AE73" s="7"/>
      <c r="AF73" s="7"/>
      <c r="AG73" s="7"/>
    </row>
    <row r="74" spans="1:33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4"/>
      <c r="I74" s="214"/>
      <c r="J74" s="214"/>
      <c r="K74" s="213"/>
      <c r="L74" s="215"/>
      <c r="M74" s="213"/>
      <c r="N74" s="292"/>
      <c r="O74" s="213"/>
      <c r="P74" s="370"/>
      <c r="Q74" s="647"/>
      <c r="R74" s="215"/>
      <c r="S74" s="215"/>
      <c r="T74" s="616">
        <f t="shared" si="1"/>
        <v>0</v>
      </c>
      <c r="U74" s="633"/>
      <c r="V74" s="648"/>
      <c r="W74" s="648"/>
      <c r="X74" s="7"/>
      <c r="Y74" s="699"/>
      <c r="Z74" s="7"/>
      <c r="AA74" s="618">
        <f t="shared" si="5"/>
        <v>0</v>
      </c>
      <c r="AB74" s="7"/>
      <c r="AC74" s="7"/>
      <c r="AD74" s="7"/>
      <c r="AE74" s="7"/>
      <c r="AF74" s="7"/>
      <c r="AG74" s="7"/>
    </row>
    <row r="75" spans="1:33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4"/>
      <c r="I75" s="214"/>
      <c r="J75" s="214"/>
      <c r="K75" s="213"/>
      <c r="L75" s="215"/>
      <c r="M75" s="213"/>
      <c r="N75" s="292"/>
      <c r="O75" s="213"/>
      <c r="P75" s="370"/>
      <c r="Q75" s="638"/>
      <c r="R75" s="215"/>
      <c r="S75" s="215"/>
      <c r="T75" s="616">
        <f t="shared" si="1"/>
        <v>0</v>
      </c>
      <c r="U75" s="633"/>
      <c r="V75" s="636"/>
      <c r="W75" s="636"/>
      <c r="X75" s="7"/>
      <c r="Y75" s="699"/>
      <c r="Z75" s="7"/>
      <c r="AA75" s="618">
        <f t="shared" si="5"/>
        <v>0</v>
      </c>
      <c r="AB75" s="7"/>
      <c r="AC75" s="7"/>
      <c r="AD75" s="7"/>
      <c r="AE75" s="7"/>
      <c r="AF75" s="7"/>
      <c r="AG75" s="7"/>
    </row>
    <row r="76" spans="1:33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4"/>
      <c r="I76" s="214"/>
      <c r="J76" s="214"/>
      <c r="K76" s="213"/>
      <c r="L76" s="215"/>
      <c r="M76" s="213"/>
      <c r="N76" s="292"/>
      <c r="O76" s="213"/>
      <c r="P76" s="372"/>
      <c r="Q76" s="638"/>
      <c r="R76" s="215"/>
      <c r="S76" s="215"/>
      <c r="T76" s="616">
        <f t="shared" si="1"/>
        <v>0</v>
      </c>
      <c r="U76" s="633"/>
      <c r="V76" s="636"/>
      <c r="W76" s="636"/>
      <c r="X76" s="7"/>
      <c r="Y76" s="699"/>
      <c r="Z76" s="7"/>
      <c r="AA76" s="618">
        <f t="shared" si="5"/>
        <v>0</v>
      </c>
      <c r="AB76" s="7"/>
      <c r="AC76" s="7"/>
      <c r="AD76" s="7"/>
      <c r="AE76" s="7"/>
      <c r="AF76" s="7"/>
      <c r="AG76" s="7"/>
    </row>
    <row r="77" spans="1:33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4"/>
      <c r="I77" s="214"/>
      <c r="J77" s="214"/>
      <c r="K77" s="213"/>
      <c r="L77" s="215"/>
      <c r="M77" s="213"/>
      <c r="N77" s="292"/>
      <c r="O77" s="213"/>
      <c r="P77" s="372"/>
      <c r="Q77" s="638"/>
      <c r="R77" s="215"/>
      <c r="S77" s="215"/>
      <c r="T77" s="616">
        <f t="shared" si="1"/>
        <v>0</v>
      </c>
      <c r="U77" s="633"/>
      <c r="V77" s="640"/>
      <c r="W77" s="640"/>
      <c r="X77" s="7"/>
      <c r="Y77" s="699"/>
      <c r="Z77" s="7"/>
      <c r="AA77" s="618">
        <f t="shared" si="5"/>
        <v>0</v>
      </c>
      <c r="AB77" s="7"/>
      <c r="AC77" s="7"/>
      <c r="AD77" s="7"/>
      <c r="AE77" s="7"/>
      <c r="AF77" s="7"/>
      <c r="AG77" s="7"/>
    </row>
    <row r="78" spans="1:33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4"/>
      <c r="I78" s="214"/>
      <c r="J78" s="214"/>
      <c r="K78" s="213"/>
      <c r="L78" s="215"/>
      <c r="M78" s="213"/>
      <c r="N78" s="292"/>
      <c r="O78" s="213"/>
      <c r="P78" s="372"/>
      <c r="Q78" s="649"/>
      <c r="R78" s="215"/>
      <c r="S78" s="215"/>
      <c r="T78" s="616">
        <f t="shared" si="1"/>
        <v>0</v>
      </c>
      <c r="U78" s="633"/>
      <c r="V78" s="636"/>
      <c r="W78" s="636"/>
      <c r="X78" s="7"/>
      <c r="Y78" s="699"/>
      <c r="Z78" s="7"/>
      <c r="AA78" s="618">
        <f t="shared" si="5"/>
        <v>0</v>
      </c>
      <c r="AB78" s="7"/>
      <c r="AC78" s="7"/>
      <c r="AD78" s="7"/>
      <c r="AE78" s="7"/>
      <c r="AF78" s="7"/>
      <c r="AG78" s="7"/>
    </row>
    <row r="79" spans="1:33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4"/>
      <c r="I79" s="214"/>
      <c r="J79" s="214"/>
      <c r="K79" s="213"/>
      <c r="L79" s="215"/>
      <c r="M79" s="213"/>
      <c r="N79" s="292"/>
      <c r="O79" s="213"/>
      <c r="P79" s="372"/>
      <c r="Q79" s="620"/>
      <c r="R79" s="215"/>
      <c r="S79" s="215"/>
      <c r="T79" s="616">
        <f t="shared" si="1"/>
        <v>0</v>
      </c>
      <c r="U79" s="633"/>
      <c r="V79" s="634"/>
      <c r="W79" s="634"/>
      <c r="X79" s="7"/>
      <c r="Y79" s="699"/>
      <c r="Z79" s="7"/>
      <c r="AA79" s="618">
        <f t="shared" si="5"/>
        <v>0</v>
      </c>
      <c r="AB79" s="7"/>
      <c r="AC79" s="7"/>
      <c r="AD79" s="7"/>
      <c r="AE79" s="7"/>
      <c r="AF79" s="7"/>
      <c r="AG79" s="7"/>
    </row>
    <row r="80" spans="1:33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4"/>
      <c r="I80" s="214"/>
      <c r="J80" s="214"/>
      <c r="K80" s="213"/>
      <c r="L80" s="215"/>
      <c r="M80" s="213"/>
      <c r="N80" s="292"/>
      <c r="O80" s="213"/>
      <c r="P80" s="372"/>
      <c r="Q80" s="620"/>
      <c r="R80" s="215"/>
      <c r="S80" s="215"/>
      <c r="T80" s="616">
        <f t="shared" si="1"/>
        <v>0</v>
      </c>
      <c r="U80" s="633"/>
      <c r="V80" s="634"/>
      <c r="W80" s="634"/>
      <c r="X80" s="7"/>
      <c r="Y80" s="699"/>
      <c r="Z80" s="7"/>
      <c r="AA80" s="618">
        <f t="shared" si="5"/>
        <v>0</v>
      </c>
      <c r="AB80" s="7"/>
      <c r="AC80" s="7"/>
      <c r="AD80" s="7"/>
      <c r="AE80" s="7"/>
      <c r="AF80" s="7"/>
      <c r="AG80" s="7"/>
    </row>
    <row r="81" spans="1:33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4"/>
      <c r="I81" s="214"/>
      <c r="J81" s="214"/>
      <c r="K81" s="213"/>
      <c r="L81" s="215"/>
      <c r="M81" s="213"/>
      <c r="N81" s="292"/>
      <c r="O81" s="213"/>
      <c r="P81" s="372"/>
      <c r="Q81" s="620"/>
      <c r="R81" s="215"/>
      <c r="S81" s="215"/>
      <c r="T81" s="616">
        <f t="shared" si="1"/>
        <v>0</v>
      </c>
      <c r="U81" s="633"/>
      <c r="V81" s="634"/>
      <c r="W81" s="634"/>
      <c r="X81" s="7"/>
      <c r="Y81" s="699"/>
      <c r="Z81" s="7"/>
      <c r="AA81" s="618">
        <f t="shared" si="5"/>
        <v>0</v>
      </c>
      <c r="AB81" s="7"/>
      <c r="AC81" s="7"/>
      <c r="AD81" s="7"/>
      <c r="AE81" s="7"/>
      <c r="AF81" s="7"/>
      <c r="AG81" s="7"/>
    </row>
    <row r="82" spans="1:33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4"/>
      <c r="I82" s="214"/>
      <c r="J82" s="214"/>
      <c r="K82" s="213"/>
      <c r="L82" s="215"/>
      <c r="M82" s="213"/>
      <c r="N82" s="292"/>
      <c r="O82" s="213"/>
      <c r="P82" s="372"/>
      <c r="Q82" s="620"/>
      <c r="R82" s="215"/>
      <c r="S82" s="215"/>
      <c r="T82" s="616">
        <f t="shared" si="1"/>
        <v>0</v>
      </c>
      <c r="U82" s="633"/>
      <c r="V82" s="634"/>
      <c r="W82" s="634"/>
      <c r="X82" s="7"/>
      <c r="Y82" s="699"/>
      <c r="Z82" s="7"/>
      <c r="AA82" s="618">
        <f t="shared" si="5"/>
        <v>0</v>
      </c>
      <c r="AB82" s="7"/>
      <c r="AC82" s="7"/>
      <c r="AD82" s="7"/>
      <c r="AE82" s="7"/>
      <c r="AF82" s="7"/>
      <c r="AG82" s="7"/>
    </row>
    <row r="83" spans="1:33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4"/>
      <c r="I83" s="214"/>
      <c r="J83" s="214"/>
      <c r="K83" s="213"/>
      <c r="L83" s="215"/>
      <c r="M83" s="213"/>
      <c r="N83" s="292"/>
      <c r="O83" s="213"/>
      <c r="P83" s="372"/>
      <c r="Q83" s="649"/>
      <c r="R83" s="215"/>
      <c r="S83" s="215"/>
      <c r="T83" s="616">
        <f t="shared" si="1"/>
        <v>0</v>
      </c>
      <c r="U83" s="633"/>
      <c r="V83" s="636"/>
      <c r="W83" s="636"/>
      <c r="X83" s="7"/>
      <c r="Y83" s="699"/>
      <c r="Z83" s="7"/>
      <c r="AA83" s="618">
        <f t="shared" si="5"/>
        <v>0</v>
      </c>
      <c r="AB83" s="7"/>
      <c r="AC83" s="7"/>
      <c r="AD83" s="7"/>
      <c r="AE83" s="7"/>
      <c r="AF83" s="7"/>
      <c r="AG83" s="7"/>
    </row>
    <row r="84" spans="1:33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4"/>
      <c r="I84" s="214"/>
      <c r="J84" s="214"/>
      <c r="K84" s="213"/>
      <c r="L84" s="215"/>
      <c r="M84" s="213"/>
      <c r="N84" s="292"/>
      <c r="O84" s="213"/>
      <c r="P84" s="372"/>
      <c r="Q84" s="647"/>
      <c r="R84" s="215"/>
      <c r="S84" s="215"/>
      <c r="T84" s="616">
        <f t="shared" si="1"/>
        <v>0</v>
      </c>
      <c r="U84" s="633"/>
      <c r="V84" s="648"/>
      <c r="W84" s="648"/>
      <c r="X84" s="7"/>
      <c r="Y84" s="699"/>
      <c r="Z84" s="7"/>
      <c r="AA84" s="618">
        <f t="shared" si="5"/>
        <v>0</v>
      </c>
      <c r="AB84" s="7"/>
      <c r="AC84" s="7"/>
      <c r="AD84" s="7"/>
      <c r="AE84" s="7"/>
      <c r="AF84" s="7"/>
      <c r="AG84" s="7"/>
    </row>
    <row r="85" spans="1:33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4"/>
      <c r="I85" s="214"/>
      <c r="J85" s="214"/>
      <c r="K85" s="213"/>
      <c r="L85" s="215"/>
      <c r="M85" s="213"/>
      <c r="N85" s="292"/>
      <c r="O85" s="213"/>
      <c r="P85" s="372"/>
      <c r="Q85" s="647"/>
      <c r="R85" s="215"/>
      <c r="S85" s="215"/>
      <c r="T85" s="616">
        <f t="shared" si="1"/>
        <v>0</v>
      </c>
      <c r="U85" s="633"/>
      <c r="V85" s="648"/>
      <c r="W85" s="648"/>
      <c r="X85" s="7"/>
      <c r="Y85" s="699"/>
      <c r="Z85" s="7"/>
      <c r="AA85" s="618">
        <f t="shared" si="5"/>
        <v>0</v>
      </c>
      <c r="AB85" s="7"/>
      <c r="AC85" s="7"/>
      <c r="AD85" s="7"/>
      <c r="AE85" s="7"/>
      <c r="AF85" s="7"/>
      <c r="AG85" s="7"/>
    </row>
    <row r="86" spans="1:33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4"/>
      <c r="I86" s="214"/>
      <c r="J86" s="214"/>
      <c r="K86" s="213"/>
      <c r="L86" s="215"/>
      <c r="M86" s="213"/>
      <c r="N86" s="292"/>
      <c r="O86" s="213"/>
      <c r="P86" s="372"/>
      <c r="Q86" s="647"/>
      <c r="R86" s="215"/>
      <c r="S86" s="215"/>
      <c r="T86" s="616">
        <f t="shared" si="1"/>
        <v>0</v>
      </c>
      <c r="U86" s="633"/>
      <c r="V86" s="648"/>
      <c r="W86" s="648"/>
      <c r="X86" s="7"/>
      <c r="Y86" s="699"/>
      <c r="Z86" s="7"/>
      <c r="AA86" s="618">
        <f t="shared" si="5"/>
        <v>0</v>
      </c>
      <c r="AB86" s="7"/>
      <c r="AC86" s="7"/>
      <c r="AD86" s="7"/>
      <c r="AE86" s="7"/>
      <c r="AF86" s="7"/>
      <c r="AG86" s="7"/>
    </row>
    <row r="87" spans="1:33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4"/>
      <c r="I87" s="214"/>
      <c r="J87" s="214"/>
      <c r="K87" s="213"/>
      <c r="L87" s="215"/>
      <c r="M87" s="213"/>
      <c r="N87" s="292"/>
      <c r="O87" s="213"/>
      <c r="P87" s="370"/>
      <c r="Q87" s="638"/>
      <c r="R87" s="215"/>
      <c r="S87" s="215"/>
      <c r="T87" s="616">
        <f t="shared" si="1"/>
        <v>0</v>
      </c>
      <c r="U87" s="633"/>
      <c r="V87" s="636"/>
      <c r="W87" s="636"/>
      <c r="X87" s="7"/>
      <c r="Y87" s="699"/>
      <c r="Z87" s="7"/>
      <c r="AA87" s="618">
        <f t="shared" si="5"/>
        <v>0</v>
      </c>
      <c r="AB87" s="7"/>
      <c r="AC87" s="7"/>
      <c r="AD87" s="7"/>
      <c r="AE87" s="7"/>
      <c r="AF87" s="7"/>
      <c r="AG87" s="7"/>
    </row>
    <row r="88" spans="1:33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4"/>
      <c r="I88" s="214"/>
      <c r="J88" s="214"/>
      <c r="K88" s="213"/>
      <c r="L88" s="215"/>
      <c r="M88" s="213"/>
      <c r="N88" s="292"/>
      <c r="O88" s="213"/>
      <c r="P88" s="370"/>
      <c r="Q88" s="638"/>
      <c r="R88" s="215"/>
      <c r="S88" s="215"/>
      <c r="T88" s="616">
        <f t="shared" si="1"/>
        <v>0</v>
      </c>
      <c r="U88" s="633"/>
      <c r="V88" s="636"/>
      <c r="W88" s="636"/>
      <c r="X88" s="7"/>
      <c r="Y88" s="699"/>
      <c r="Z88" s="7"/>
      <c r="AA88" s="618">
        <f t="shared" si="5"/>
        <v>0</v>
      </c>
      <c r="AB88" s="7"/>
      <c r="AC88" s="7"/>
      <c r="AD88" s="7"/>
      <c r="AE88" s="7"/>
      <c r="AF88" s="7"/>
      <c r="AG88" s="7"/>
    </row>
    <row r="89" spans="1:33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4"/>
      <c r="I89" s="214"/>
      <c r="J89" s="214"/>
      <c r="K89" s="213"/>
      <c r="L89" s="215"/>
      <c r="M89" s="213"/>
      <c r="N89" s="292"/>
      <c r="O89" s="213"/>
      <c r="P89" s="372"/>
      <c r="Q89" s="638"/>
      <c r="R89" s="215"/>
      <c r="S89" s="215"/>
      <c r="T89" s="616">
        <f t="shared" si="1"/>
        <v>0</v>
      </c>
      <c r="U89" s="633"/>
      <c r="V89" s="636"/>
      <c r="W89" s="636"/>
      <c r="X89" s="7"/>
      <c r="Y89" s="699"/>
      <c r="Z89" s="7"/>
      <c r="AA89" s="618">
        <f t="shared" si="5"/>
        <v>0</v>
      </c>
      <c r="AB89" s="7"/>
      <c r="AC89" s="7"/>
      <c r="AD89" s="7"/>
      <c r="AE89" s="7"/>
      <c r="AF89" s="7"/>
      <c r="AG89" s="7"/>
    </row>
    <row r="90" spans="1:33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4"/>
      <c r="I90" s="214"/>
      <c r="J90" s="214"/>
      <c r="K90" s="213"/>
      <c r="L90" s="215"/>
      <c r="M90" s="213"/>
      <c r="N90" s="292"/>
      <c r="O90" s="213"/>
      <c r="P90" s="372"/>
      <c r="Q90" s="638"/>
      <c r="R90" s="215"/>
      <c r="S90" s="215"/>
      <c r="T90" s="616">
        <f t="shared" si="1"/>
        <v>0</v>
      </c>
      <c r="U90" s="633"/>
      <c r="V90" s="640"/>
      <c r="W90" s="640"/>
      <c r="X90" s="7"/>
      <c r="Y90" s="699"/>
      <c r="Z90" s="7"/>
      <c r="AA90" s="618">
        <f t="shared" si="5"/>
        <v>0</v>
      </c>
      <c r="AB90" s="7"/>
      <c r="AC90" s="7"/>
      <c r="AD90" s="7"/>
      <c r="AE90" s="7"/>
      <c r="AF90" s="7"/>
      <c r="AG90" s="7"/>
    </row>
    <row r="91" spans="1:33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4"/>
      <c r="I91" s="214"/>
      <c r="J91" s="214"/>
      <c r="K91" s="213"/>
      <c r="L91" s="215"/>
      <c r="M91" s="213"/>
      <c r="N91" s="292"/>
      <c r="O91" s="213"/>
      <c r="P91" s="372"/>
      <c r="Q91" s="620"/>
      <c r="R91" s="215"/>
      <c r="S91" s="215"/>
      <c r="T91" s="616">
        <f t="shared" si="1"/>
        <v>0</v>
      </c>
      <c r="U91" s="633"/>
      <c r="V91" s="636"/>
      <c r="W91" s="636"/>
      <c r="X91" s="7"/>
      <c r="Y91" s="699"/>
      <c r="Z91" s="7"/>
      <c r="AA91" s="618">
        <f t="shared" si="5"/>
        <v>0</v>
      </c>
      <c r="AB91" s="7"/>
      <c r="AC91" s="7"/>
      <c r="AD91" s="7"/>
      <c r="AE91" s="7"/>
      <c r="AF91" s="7"/>
      <c r="AG91" s="7"/>
    </row>
    <row r="92" spans="1:33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4"/>
      <c r="I92" s="214"/>
      <c r="J92" s="214"/>
      <c r="K92" s="213"/>
      <c r="L92" s="215"/>
      <c r="M92" s="213"/>
      <c r="N92" s="292"/>
      <c r="O92" s="213"/>
      <c r="P92" s="372"/>
      <c r="Q92" s="620"/>
      <c r="R92" s="215"/>
      <c r="S92" s="215"/>
      <c r="T92" s="616">
        <f t="shared" si="1"/>
        <v>0</v>
      </c>
      <c r="U92" s="633"/>
      <c r="V92" s="636"/>
      <c r="W92" s="636"/>
      <c r="X92" s="7"/>
      <c r="Y92" s="699"/>
      <c r="Z92" s="7"/>
      <c r="AA92" s="618">
        <f t="shared" si="5"/>
        <v>0</v>
      </c>
      <c r="AB92" s="7"/>
      <c r="AC92" s="7"/>
      <c r="AD92" s="7"/>
      <c r="AE92" s="7"/>
      <c r="AF92" s="7"/>
      <c r="AG92" s="7"/>
    </row>
    <row r="93" spans="1:33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4"/>
      <c r="I93" s="214"/>
      <c r="J93" s="214"/>
      <c r="K93" s="213"/>
      <c r="L93" s="215"/>
      <c r="M93" s="213"/>
      <c r="N93" s="292"/>
      <c r="O93" s="213"/>
      <c r="P93" s="372"/>
      <c r="Q93" s="620"/>
      <c r="R93" s="215"/>
      <c r="S93" s="215"/>
      <c r="T93" s="616">
        <f t="shared" si="1"/>
        <v>0</v>
      </c>
      <c r="U93" s="633"/>
      <c r="V93" s="636"/>
      <c r="W93" s="636"/>
      <c r="X93" s="7"/>
      <c r="Y93" s="699"/>
      <c r="Z93" s="7"/>
      <c r="AA93" s="618">
        <f t="shared" si="5"/>
        <v>0</v>
      </c>
      <c r="AB93" s="7"/>
      <c r="AC93" s="7"/>
      <c r="AD93" s="7"/>
      <c r="AE93" s="7"/>
      <c r="AF93" s="7"/>
      <c r="AG93" s="7"/>
    </row>
    <row r="94" spans="1:33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4"/>
      <c r="I94" s="214"/>
      <c r="J94" s="214"/>
      <c r="K94" s="213"/>
      <c r="L94" s="215"/>
      <c r="M94" s="213"/>
      <c r="N94" s="292"/>
      <c r="O94" s="213"/>
      <c r="P94" s="372"/>
      <c r="Q94" s="620"/>
      <c r="R94" s="215"/>
      <c r="S94" s="215"/>
      <c r="T94" s="616">
        <f t="shared" si="1"/>
        <v>0</v>
      </c>
      <c r="U94" s="633"/>
      <c r="V94" s="636"/>
      <c r="W94" s="636"/>
      <c r="X94" s="7"/>
      <c r="Y94" s="699"/>
      <c r="Z94" s="7"/>
      <c r="AA94" s="618">
        <f t="shared" si="5"/>
        <v>0</v>
      </c>
      <c r="AB94" s="7"/>
      <c r="AC94" s="7"/>
      <c r="AD94" s="7"/>
      <c r="AE94" s="7"/>
      <c r="AF94" s="7"/>
      <c r="AG94" s="7"/>
    </row>
    <row r="95" spans="1:33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4"/>
      <c r="I95" s="214"/>
      <c r="J95" s="214"/>
      <c r="K95" s="213"/>
      <c r="L95" s="215"/>
      <c r="M95" s="213"/>
      <c r="N95" s="292"/>
      <c r="O95" s="213"/>
      <c r="P95" s="372"/>
      <c r="Q95" s="620"/>
      <c r="R95" s="215"/>
      <c r="S95" s="215"/>
      <c r="T95" s="616">
        <f t="shared" si="1"/>
        <v>0</v>
      </c>
      <c r="U95" s="633"/>
      <c r="V95" s="636"/>
      <c r="W95" s="636"/>
      <c r="X95" s="7"/>
      <c r="Y95" s="699"/>
      <c r="Z95" s="7"/>
      <c r="AA95" s="618">
        <f t="shared" si="5"/>
        <v>0</v>
      </c>
      <c r="AB95" s="7"/>
      <c r="AC95" s="7"/>
      <c r="AD95" s="7"/>
      <c r="AE95" s="7"/>
      <c r="AF95" s="7"/>
      <c r="AG95" s="7"/>
    </row>
    <row r="96" spans="1:33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4"/>
      <c r="I96" s="214"/>
      <c r="J96" s="214"/>
      <c r="K96" s="213"/>
      <c r="L96" s="215"/>
      <c r="M96" s="213"/>
      <c r="N96" s="292"/>
      <c r="O96" s="213"/>
      <c r="P96" s="372"/>
      <c r="Q96" s="620"/>
      <c r="R96" s="215"/>
      <c r="S96" s="215"/>
      <c r="T96" s="616">
        <f t="shared" si="1"/>
        <v>0</v>
      </c>
      <c r="U96" s="633"/>
      <c r="V96" s="636"/>
      <c r="W96" s="636"/>
      <c r="X96" s="7"/>
      <c r="Y96" s="699"/>
      <c r="Z96" s="7"/>
      <c r="AA96" s="618">
        <f t="shared" si="5"/>
        <v>0</v>
      </c>
      <c r="AB96" s="7"/>
      <c r="AC96" s="7"/>
      <c r="AD96" s="7"/>
      <c r="AE96" s="7"/>
      <c r="AF96" s="7"/>
      <c r="AG96" s="7"/>
    </row>
    <row r="97" spans="1:33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4"/>
      <c r="I97" s="214"/>
      <c r="J97" s="214"/>
      <c r="K97" s="213"/>
      <c r="L97" s="215"/>
      <c r="M97" s="213"/>
      <c r="N97" s="292"/>
      <c r="O97" s="213"/>
      <c r="P97" s="372"/>
      <c r="Q97" s="620"/>
      <c r="R97" s="215"/>
      <c r="S97" s="215"/>
      <c r="T97" s="616">
        <f t="shared" si="1"/>
        <v>0</v>
      </c>
      <c r="U97" s="633"/>
      <c r="V97" s="636"/>
      <c r="W97" s="636"/>
      <c r="X97" s="7"/>
      <c r="Y97" s="699"/>
      <c r="Z97" s="7"/>
      <c r="AA97" s="618">
        <f t="shared" si="5"/>
        <v>0</v>
      </c>
      <c r="AB97" s="7"/>
      <c r="AC97" s="7"/>
      <c r="AD97" s="7"/>
      <c r="AE97" s="7"/>
      <c r="AF97" s="7"/>
      <c r="AG97" s="7"/>
    </row>
    <row r="98" spans="1:33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4"/>
      <c r="I98" s="214"/>
      <c r="J98" s="214"/>
      <c r="K98" s="213"/>
      <c r="L98" s="215"/>
      <c r="M98" s="213"/>
      <c r="N98" s="292"/>
      <c r="O98" s="213"/>
      <c r="P98" s="372"/>
      <c r="Q98" s="620"/>
      <c r="R98" s="215"/>
      <c r="S98" s="215"/>
      <c r="T98" s="616">
        <f t="shared" si="1"/>
        <v>0</v>
      </c>
      <c r="U98" s="633"/>
      <c r="V98" s="636"/>
      <c r="W98" s="636"/>
      <c r="X98" s="7"/>
      <c r="Y98" s="699"/>
      <c r="Z98" s="7"/>
      <c r="AA98" s="618">
        <f t="shared" si="5"/>
        <v>0</v>
      </c>
      <c r="AB98" s="7"/>
      <c r="AC98" s="7"/>
      <c r="AD98" s="7"/>
      <c r="AE98" s="7"/>
      <c r="AF98" s="7"/>
      <c r="AG98" s="7"/>
    </row>
    <row r="99" spans="1:33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4"/>
      <c r="I99" s="214"/>
      <c r="J99" s="214"/>
      <c r="K99" s="213"/>
      <c r="L99" s="215"/>
      <c r="M99" s="213"/>
      <c r="N99" s="292"/>
      <c r="O99" s="213"/>
      <c r="P99" s="372"/>
      <c r="Q99" s="620"/>
      <c r="R99" s="215"/>
      <c r="S99" s="215"/>
      <c r="T99" s="616">
        <f t="shared" si="1"/>
        <v>0</v>
      </c>
      <c r="U99" s="633"/>
      <c r="V99" s="636"/>
      <c r="W99" s="636"/>
      <c r="X99" s="7"/>
      <c r="Y99" s="699"/>
      <c r="Z99" s="7"/>
      <c r="AA99" s="618">
        <f t="shared" si="5"/>
        <v>0</v>
      </c>
      <c r="AB99" s="7"/>
      <c r="AC99" s="7"/>
      <c r="AD99" s="7"/>
      <c r="AE99" s="7"/>
      <c r="AF99" s="7"/>
      <c r="AG99" s="7"/>
    </row>
    <row r="100" spans="1:33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4"/>
      <c r="I100" s="214"/>
      <c r="J100" s="214"/>
      <c r="K100" s="213"/>
      <c r="L100" s="215"/>
      <c r="M100" s="213"/>
      <c r="N100" s="292"/>
      <c r="O100" s="213"/>
      <c r="P100" s="372"/>
      <c r="Q100" s="620"/>
      <c r="R100" s="215"/>
      <c r="S100" s="215"/>
      <c r="T100" s="616">
        <f t="shared" si="1"/>
        <v>0</v>
      </c>
      <c r="U100" s="633"/>
      <c r="V100" s="636"/>
      <c r="W100" s="636"/>
      <c r="X100" s="7"/>
      <c r="Y100" s="699"/>
      <c r="Z100" s="7"/>
      <c r="AA100" s="618">
        <f t="shared" si="5"/>
        <v>0</v>
      </c>
      <c r="AB100" s="7"/>
      <c r="AC100" s="7"/>
      <c r="AD100" s="7"/>
      <c r="AE100" s="7"/>
      <c r="AF100" s="7"/>
      <c r="AG100" s="7"/>
    </row>
    <row r="101" spans="1:33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4"/>
      <c r="I101" s="214"/>
      <c r="J101" s="214"/>
      <c r="K101" s="213"/>
      <c r="L101" s="215"/>
      <c r="M101" s="213"/>
      <c r="N101" s="292"/>
      <c r="O101" s="213"/>
      <c r="P101" s="372"/>
      <c r="Q101" s="638"/>
      <c r="R101" s="215"/>
      <c r="S101" s="215"/>
      <c r="T101" s="616">
        <f t="shared" si="1"/>
        <v>0</v>
      </c>
      <c r="U101" s="633"/>
      <c r="V101" s="636"/>
      <c r="W101" s="636"/>
      <c r="X101" s="7"/>
      <c r="Y101" s="699"/>
      <c r="Z101" s="7"/>
      <c r="AA101" s="618">
        <f t="shared" si="5"/>
        <v>0</v>
      </c>
      <c r="AB101" s="7"/>
      <c r="AC101" s="7"/>
      <c r="AD101" s="7"/>
      <c r="AE101" s="7"/>
      <c r="AF101" s="7"/>
      <c r="AG101" s="7"/>
    </row>
    <row r="102" spans="1:33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4"/>
      <c r="I102" s="214"/>
      <c r="J102" s="214"/>
      <c r="K102" s="213"/>
      <c r="L102" s="215"/>
      <c r="M102" s="213"/>
      <c r="N102" s="292"/>
      <c r="O102" s="213"/>
      <c r="P102" s="372"/>
      <c r="Q102" s="638"/>
      <c r="R102" s="215"/>
      <c r="S102" s="215"/>
      <c r="T102" s="616">
        <f t="shared" si="1"/>
        <v>0</v>
      </c>
      <c r="U102" s="633"/>
      <c r="V102" s="636"/>
      <c r="W102" s="636"/>
      <c r="X102" s="7"/>
      <c r="Y102" s="699"/>
      <c r="Z102" s="7"/>
      <c r="AA102" s="618">
        <f t="shared" si="5"/>
        <v>0</v>
      </c>
      <c r="AB102" s="7"/>
      <c r="AC102" s="7"/>
      <c r="AD102" s="7"/>
      <c r="AE102" s="7"/>
      <c r="AF102" s="7"/>
      <c r="AG102" s="7"/>
    </row>
    <row r="103" spans="1:33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4"/>
      <c r="I103" s="214"/>
      <c r="J103" s="214"/>
      <c r="K103" s="213"/>
      <c r="L103" s="215"/>
      <c r="M103" s="213"/>
      <c r="N103" s="292"/>
      <c r="O103" s="213"/>
      <c r="P103" s="372"/>
      <c r="Q103" s="638"/>
      <c r="R103" s="215"/>
      <c r="S103" s="215"/>
      <c r="T103" s="616">
        <f t="shared" si="1"/>
        <v>0</v>
      </c>
      <c r="U103" s="650" t="s">
        <v>1579</v>
      </c>
      <c r="V103" s="640"/>
      <c r="W103" s="640"/>
      <c r="X103" s="7"/>
      <c r="Y103" s="699"/>
      <c r="Z103" s="7"/>
      <c r="AA103" s="618">
        <f t="shared" si="5"/>
        <v>0</v>
      </c>
      <c r="AB103" s="7"/>
      <c r="AC103" s="7"/>
      <c r="AD103" s="7"/>
      <c r="AE103" s="7"/>
      <c r="AF103" s="7"/>
      <c r="AG103" s="7"/>
    </row>
    <row r="104" spans="1:33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/>
      <c r="G104" s="213"/>
      <c r="H104" s="214">
        <v>20</v>
      </c>
      <c r="I104" s="214">
        <v>8.3000000000000007</v>
      </c>
      <c r="J104" s="214">
        <v>71</v>
      </c>
      <c r="K104" s="213"/>
      <c r="L104" s="215"/>
      <c r="M104" s="213">
        <v>1254.3</v>
      </c>
      <c r="N104" s="729">
        <v>1.56</v>
      </c>
      <c r="O104" s="213">
        <v>28.1</v>
      </c>
      <c r="P104" s="651">
        <v>733.6</v>
      </c>
      <c r="Q104" s="620">
        <v>92.9</v>
      </c>
      <c r="R104" s="215"/>
      <c r="S104" s="215"/>
      <c r="T104" s="616">
        <f t="shared" si="1"/>
        <v>2209.7599999999998</v>
      </c>
      <c r="U104" s="633">
        <f>T104+T126+T115</f>
        <v>3092.21</v>
      </c>
      <c r="V104" s="636"/>
      <c r="W104" s="636"/>
      <c r="X104" s="7"/>
      <c r="Y104" s="699">
        <v>1502</v>
      </c>
      <c r="Z104" s="7"/>
      <c r="AA104" s="618"/>
      <c r="AB104" s="7"/>
      <c r="AC104" s="7"/>
      <c r="AD104" s="7"/>
      <c r="AE104" s="7"/>
      <c r="AF104" s="7"/>
      <c r="AG104" s="7"/>
    </row>
    <row r="105" spans="1:33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4"/>
      <c r="I105" s="214"/>
      <c r="J105" s="214"/>
      <c r="K105" s="213"/>
      <c r="L105" s="215"/>
      <c r="M105" s="213"/>
      <c r="N105" s="204"/>
      <c r="O105" s="213"/>
      <c r="P105" s="663"/>
      <c r="Q105" s="620">
        <v>92.9</v>
      </c>
      <c r="R105" s="215"/>
      <c r="S105" s="215"/>
      <c r="T105" s="616">
        <f t="shared" si="1"/>
        <v>92.9</v>
      </c>
      <c r="U105" s="633"/>
      <c r="V105" s="654"/>
      <c r="W105" s="654"/>
      <c r="X105" s="7"/>
      <c r="Y105" s="699"/>
      <c r="Z105" s="7"/>
      <c r="AA105" s="618"/>
      <c r="AB105" s="7"/>
      <c r="AC105" s="7"/>
      <c r="AD105" s="7"/>
      <c r="AE105" s="7"/>
      <c r="AF105" s="7"/>
      <c r="AG105" s="7"/>
    </row>
    <row r="106" spans="1:33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4"/>
      <c r="I106" s="214"/>
      <c r="J106" s="214"/>
      <c r="K106" s="213"/>
      <c r="L106" s="215"/>
      <c r="M106" s="213"/>
      <c r="N106" s="204"/>
      <c r="O106" s="213"/>
      <c r="P106" s="663"/>
      <c r="Q106" s="647"/>
      <c r="R106" s="215"/>
      <c r="S106" s="215"/>
      <c r="T106" s="616">
        <f t="shared" si="1"/>
        <v>0</v>
      </c>
      <c r="U106" s="633"/>
      <c r="V106" s="648"/>
      <c r="W106" s="648"/>
      <c r="X106" s="7"/>
      <c r="Y106" s="699"/>
      <c r="Z106" s="7"/>
      <c r="AA106" s="618"/>
      <c r="AB106" s="7"/>
      <c r="AC106" s="7"/>
      <c r="AD106" s="7"/>
      <c r="AE106" s="7"/>
      <c r="AF106" s="7"/>
      <c r="AG106" s="7"/>
    </row>
    <row r="107" spans="1:33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4"/>
      <c r="I107" s="214"/>
      <c r="J107" s="214"/>
      <c r="K107" s="213"/>
      <c r="L107" s="215"/>
      <c r="M107" s="213"/>
      <c r="N107" s="292"/>
      <c r="O107" s="213"/>
      <c r="P107" s="663"/>
      <c r="Q107" s="647"/>
      <c r="R107" s="215"/>
      <c r="S107" s="215"/>
      <c r="T107" s="616">
        <f t="shared" si="1"/>
        <v>0</v>
      </c>
      <c r="U107" s="633"/>
      <c r="V107" s="648"/>
      <c r="W107" s="648"/>
      <c r="X107" s="7"/>
      <c r="Y107" s="699"/>
      <c r="Z107" s="7"/>
      <c r="AA107" s="618"/>
      <c r="AB107" s="7"/>
      <c r="AC107" s="7"/>
      <c r="AD107" s="7"/>
      <c r="AE107" s="7"/>
      <c r="AF107" s="7"/>
      <c r="AG107" s="7"/>
    </row>
    <row r="108" spans="1:33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4"/>
      <c r="I108" s="214"/>
      <c r="J108" s="214"/>
      <c r="K108" s="213"/>
      <c r="L108" s="215"/>
      <c r="M108" s="213"/>
      <c r="N108" s="292"/>
      <c r="O108" s="213"/>
      <c r="P108" s="663"/>
      <c r="Q108" s="647"/>
      <c r="R108" s="215"/>
      <c r="S108" s="215"/>
      <c r="T108" s="616">
        <f t="shared" si="1"/>
        <v>0</v>
      </c>
      <c r="U108" s="633"/>
      <c r="V108" s="648"/>
      <c r="W108" s="648"/>
      <c r="X108" s="7"/>
      <c r="Y108" s="699"/>
      <c r="Z108" s="7"/>
      <c r="AA108" s="618"/>
      <c r="AB108" s="7"/>
      <c r="AC108" s="7"/>
      <c r="AD108" s="7"/>
      <c r="AE108" s="7"/>
      <c r="AF108" s="7"/>
      <c r="AG108" s="7"/>
    </row>
    <row r="109" spans="1:33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4"/>
      <c r="I109" s="214"/>
      <c r="J109" s="214"/>
      <c r="K109" s="213"/>
      <c r="L109" s="215"/>
      <c r="M109" s="213"/>
      <c r="N109" s="292"/>
      <c r="O109" s="213"/>
      <c r="P109" s="663"/>
      <c r="Q109" s="620">
        <v>92.9</v>
      </c>
      <c r="R109" s="215"/>
      <c r="S109" s="215"/>
      <c r="T109" s="616">
        <f t="shared" si="1"/>
        <v>92.9</v>
      </c>
      <c r="U109" s="633"/>
      <c r="V109" s="648"/>
      <c r="W109" s="648"/>
      <c r="X109" s="7"/>
      <c r="Y109" s="699"/>
      <c r="Z109" s="7"/>
      <c r="AA109" s="618"/>
      <c r="AB109" s="7"/>
      <c r="AC109" s="7"/>
      <c r="AD109" s="7"/>
      <c r="AE109" s="7"/>
      <c r="AF109" s="7"/>
      <c r="AG109" s="7"/>
    </row>
    <row r="110" spans="1:33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4"/>
      <c r="I110" s="214"/>
      <c r="J110" s="214"/>
      <c r="K110" s="213"/>
      <c r="L110" s="215"/>
      <c r="M110" s="213"/>
      <c r="N110" s="292"/>
      <c r="O110" s="213"/>
      <c r="P110" s="663"/>
      <c r="Q110" s="647"/>
      <c r="R110" s="215"/>
      <c r="S110" s="215"/>
      <c r="T110" s="616">
        <f t="shared" si="1"/>
        <v>0</v>
      </c>
      <c r="U110" s="633"/>
      <c r="V110" s="654"/>
      <c r="W110" s="654"/>
      <c r="X110" s="7"/>
      <c r="Y110" s="699"/>
      <c r="Z110" s="7"/>
      <c r="AA110" s="618"/>
      <c r="AB110" s="7"/>
      <c r="AC110" s="7"/>
      <c r="AD110" s="7"/>
      <c r="AE110" s="7"/>
      <c r="AF110" s="7"/>
      <c r="AG110" s="7"/>
    </row>
    <row r="111" spans="1:33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4"/>
      <c r="I111" s="214"/>
      <c r="J111" s="214"/>
      <c r="K111" s="213"/>
      <c r="L111" s="215"/>
      <c r="M111" s="213"/>
      <c r="N111" s="292"/>
      <c r="O111" s="213"/>
      <c r="P111" s="663"/>
      <c r="Q111" s="647"/>
      <c r="R111" s="215"/>
      <c r="S111" s="215"/>
      <c r="T111" s="616">
        <f t="shared" si="1"/>
        <v>0</v>
      </c>
      <c r="U111" s="633"/>
      <c r="V111" s="634"/>
      <c r="W111" s="634"/>
      <c r="X111" s="7"/>
      <c r="Y111" s="699"/>
      <c r="Z111" s="7"/>
      <c r="AA111" s="618"/>
      <c r="AB111" s="7"/>
      <c r="AC111" s="7"/>
      <c r="AD111" s="7"/>
      <c r="AE111" s="7"/>
      <c r="AF111" s="7"/>
      <c r="AG111" s="7"/>
    </row>
    <row r="112" spans="1:33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4"/>
      <c r="I112" s="214"/>
      <c r="J112" s="214"/>
      <c r="K112" s="213"/>
      <c r="L112" s="215"/>
      <c r="M112" s="213"/>
      <c r="N112" s="292"/>
      <c r="O112" s="213"/>
      <c r="P112" s="663"/>
      <c r="Q112" s="647"/>
      <c r="R112" s="215"/>
      <c r="S112" s="215"/>
      <c r="T112" s="616">
        <f t="shared" si="1"/>
        <v>0</v>
      </c>
      <c r="U112" s="633"/>
      <c r="V112" s="634"/>
      <c r="W112" s="634"/>
      <c r="X112" s="7"/>
      <c r="Y112" s="699"/>
      <c r="Z112" s="7"/>
      <c r="AA112" s="618"/>
      <c r="AB112" s="7"/>
      <c r="AC112" s="7"/>
      <c r="AD112" s="7"/>
      <c r="AE112" s="7"/>
      <c r="AF112" s="7"/>
      <c r="AG112" s="7"/>
    </row>
    <row r="113" spans="1:33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4"/>
      <c r="I113" s="214"/>
      <c r="J113" s="214"/>
      <c r="K113" s="213"/>
      <c r="L113" s="215"/>
      <c r="M113" s="213"/>
      <c r="N113" s="292"/>
      <c r="O113" s="213"/>
      <c r="P113" s="663"/>
      <c r="Q113" s="647"/>
      <c r="R113" s="215"/>
      <c r="S113" s="215"/>
      <c r="T113" s="616">
        <f t="shared" si="1"/>
        <v>0</v>
      </c>
      <c r="U113" s="633"/>
      <c r="V113" s="634"/>
      <c r="W113" s="634"/>
      <c r="X113" s="7"/>
      <c r="Y113" s="699"/>
      <c r="Z113" s="7"/>
      <c r="AA113" s="618"/>
      <c r="AB113" s="7"/>
      <c r="AC113" s="7"/>
      <c r="AD113" s="7"/>
      <c r="AE113" s="7"/>
      <c r="AF113" s="7"/>
      <c r="AG113" s="7"/>
    </row>
    <row r="114" spans="1:33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4"/>
      <c r="I114" s="214"/>
      <c r="J114" s="214"/>
      <c r="K114" s="213"/>
      <c r="L114" s="215"/>
      <c r="M114" s="213"/>
      <c r="N114" s="292"/>
      <c r="O114" s="213"/>
      <c r="P114" s="663"/>
      <c r="Q114" s="647"/>
      <c r="R114" s="215"/>
      <c r="S114" s="215"/>
      <c r="T114" s="616">
        <f t="shared" si="1"/>
        <v>0</v>
      </c>
      <c r="U114" s="633"/>
      <c r="V114" s="634"/>
      <c r="W114" s="634"/>
      <c r="X114" s="7"/>
      <c r="Y114" s="699"/>
      <c r="Z114" s="7"/>
      <c r="AA114" s="618"/>
      <c r="AB114" s="7"/>
      <c r="AC114" s="7"/>
      <c r="AD114" s="7"/>
      <c r="AE114" s="7"/>
      <c r="AF114" s="7"/>
      <c r="AG114" s="7"/>
    </row>
    <row r="115" spans="1:33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4"/>
      <c r="I115" s="214"/>
      <c r="J115" s="214"/>
      <c r="K115" s="213"/>
      <c r="L115" s="215"/>
      <c r="M115" s="213"/>
      <c r="N115" s="292"/>
      <c r="O115" s="213"/>
      <c r="P115" s="663"/>
      <c r="Q115" s="647">
        <v>6.9</v>
      </c>
      <c r="R115" s="215"/>
      <c r="S115" s="215"/>
      <c r="T115" s="616">
        <f t="shared" si="1"/>
        <v>6.9</v>
      </c>
      <c r="U115" s="633"/>
      <c r="V115" s="636"/>
      <c r="W115" s="636"/>
      <c r="X115" s="7"/>
      <c r="Y115" s="699">
        <v>0.3</v>
      </c>
      <c r="Z115" s="7"/>
      <c r="AA115" s="618"/>
      <c r="AB115" s="7"/>
      <c r="AC115" s="7"/>
      <c r="AD115" s="7"/>
      <c r="AE115" s="7"/>
      <c r="AF115" s="7"/>
      <c r="AG115" s="7"/>
    </row>
    <row r="116" spans="1:33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4"/>
      <c r="I116" s="214"/>
      <c r="J116" s="214"/>
      <c r="K116" s="213"/>
      <c r="L116" s="215"/>
      <c r="M116" s="213"/>
      <c r="N116" s="292"/>
      <c r="O116" s="213"/>
      <c r="P116" s="663"/>
      <c r="Q116" s="647"/>
      <c r="R116" s="215"/>
      <c r="S116" s="215"/>
      <c r="T116" s="616">
        <f t="shared" si="1"/>
        <v>0</v>
      </c>
      <c r="U116" s="633"/>
      <c r="V116" s="654"/>
      <c r="W116" s="654"/>
      <c r="X116" s="7"/>
      <c r="Y116" s="699"/>
      <c r="Z116" s="7"/>
      <c r="AA116" s="618">
        <f t="shared" ref="AA116:AA126" si="6">Y116-T116</f>
        <v>0</v>
      </c>
      <c r="AB116" s="7"/>
      <c r="AC116" s="7"/>
      <c r="AD116" s="7"/>
      <c r="AE116" s="7"/>
      <c r="AF116" s="7"/>
      <c r="AG116" s="7"/>
    </row>
    <row r="117" spans="1:33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4"/>
      <c r="I117" s="214"/>
      <c r="J117" s="214"/>
      <c r="K117" s="213"/>
      <c r="L117" s="215"/>
      <c r="M117" s="213"/>
      <c r="N117" s="292"/>
      <c r="O117" s="213"/>
      <c r="P117" s="663"/>
      <c r="Q117" s="647"/>
      <c r="R117" s="215"/>
      <c r="S117" s="215"/>
      <c r="T117" s="616">
        <f t="shared" si="1"/>
        <v>0</v>
      </c>
      <c r="U117" s="633"/>
      <c r="V117" s="648"/>
      <c r="W117" s="648"/>
      <c r="X117" s="7"/>
      <c r="Y117" s="699"/>
      <c r="Z117" s="7"/>
      <c r="AA117" s="618">
        <f t="shared" si="6"/>
        <v>0</v>
      </c>
      <c r="AB117" s="7"/>
      <c r="AC117" s="7"/>
      <c r="AD117" s="7"/>
      <c r="AE117" s="7"/>
      <c r="AF117" s="7"/>
      <c r="AG117" s="7"/>
    </row>
    <row r="118" spans="1:33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4"/>
      <c r="I118" s="214"/>
      <c r="J118" s="214"/>
      <c r="K118" s="213"/>
      <c r="L118" s="215"/>
      <c r="M118" s="213"/>
      <c r="N118" s="292"/>
      <c r="O118" s="213"/>
      <c r="P118" s="663"/>
      <c r="Q118" s="647"/>
      <c r="R118" s="215"/>
      <c r="S118" s="215"/>
      <c r="T118" s="616">
        <f t="shared" si="1"/>
        <v>0</v>
      </c>
      <c r="U118" s="633"/>
      <c r="V118" s="648"/>
      <c r="W118" s="648"/>
      <c r="X118" s="7"/>
      <c r="Y118" s="699"/>
      <c r="Z118" s="7"/>
      <c r="AA118" s="618">
        <f t="shared" si="6"/>
        <v>0</v>
      </c>
      <c r="AB118" s="7"/>
      <c r="AC118" s="7"/>
      <c r="AD118" s="7"/>
      <c r="AE118" s="7"/>
      <c r="AF118" s="7"/>
      <c r="AG118" s="7"/>
    </row>
    <row r="119" spans="1:33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4"/>
      <c r="I119" s="214"/>
      <c r="J119" s="214"/>
      <c r="K119" s="213"/>
      <c r="L119" s="215"/>
      <c r="M119" s="213"/>
      <c r="N119" s="292"/>
      <c r="O119" s="213"/>
      <c r="P119" s="663"/>
      <c r="Q119" s="647"/>
      <c r="R119" s="215"/>
      <c r="S119" s="215"/>
      <c r="T119" s="616">
        <f t="shared" si="1"/>
        <v>0</v>
      </c>
      <c r="U119" s="633"/>
      <c r="V119" s="648"/>
      <c r="W119" s="648"/>
      <c r="X119" s="7"/>
      <c r="Y119" s="699"/>
      <c r="Z119" s="7"/>
      <c r="AA119" s="618">
        <f t="shared" si="6"/>
        <v>0</v>
      </c>
      <c r="AB119" s="7"/>
      <c r="AC119" s="7"/>
      <c r="AD119" s="7"/>
      <c r="AE119" s="7"/>
      <c r="AF119" s="7"/>
      <c r="AG119" s="7"/>
    </row>
    <row r="120" spans="1:33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4"/>
      <c r="I120" s="214"/>
      <c r="J120" s="214"/>
      <c r="K120" s="213"/>
      <c r="L120" s="215"/>
      <c r="M120" s="213"/>
      <c r="N120" s="292"/>
      <c r="O120" s="213"/>
      <c r="P120" s="663"/>
      <c r="Q120" s="647"/>
      <c r="R120" s="215"/>
      <c r="S120" s="215"/>
      <c r="T120" s="616">
        <f t="shared" si="1"/>
        <v>0</v>
      </c>
      <c r="U120" s="633"/>
      <c r="V120" s="648"/>
      <c r="W120" s="648"/>
      <c r="X120" s="7"/>
      <c r="Y120" s="699"/>
      <c r="Z120" s="7"/>
      <c r="AA120" s="618">
        <f t="shared" si="6"/>
        <v>0</v>
      </c>
      <c r="AB120" s="7"/>
      <c r="AC120" s="7"/>
      <c r="AD120" s="7"/>
      <c r="AE120" s="7"/>
      <c r="AF120" s="7"/>
      <c r="AG120" s="7"/>
    </row>
    <row r="121" spans="1:33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4"/>
      <c r="I121" s="214"/>
      <c r="J121" s="214"/>
      <c r="K121" s="213"/>
      <c r="L121" s="215"/>
      <c r="M121" s="213"/>
      <c r="N121" s="292"/>
      <c r="O121" s="213"/>
      <c r="P121" s="663"/>
      <c r="Q121" s="647"/>
      <c r="R121" s="215"/>
      <c r="S121" s="215"/>
      <c r="T121" s="616">
        <f t="shared" si="1"/>
        <v>0</v>
      </c>
      <c r="U121" s="633"/>
      <c r="V121" s="654"/>
      <c r="W121" s="654"/>
      <c r="X121" s="7"/>
      <c r="Y121" s="699"/>
      <c r="Z121" s="7"/>
      <c r="AA121" s="618">
        <f t="shared" si="6"/>
        <v>0</v>
      </c>
      <c r="AB121" s="7"/>
      <c r="AC121" s="7"/>
      <c r="AD121" s="7"/>
      <c r="AE121" s="7"/>
      <c r="AF121" s="7"/>
      <c r="AG121" s="7"/>
    </row>
    <row r="122" spans="1:33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4"/>
      <c r="I122" s="214"/>
      <c r="J122" s="214"/>
      <c r="K122" s="213"/>
      <c r="L122" s="215"/>
      <c r="M122" s="213"/>
      <c r="N122" s="292"/>
      <c r="O122" s="213"/>
      <c r="P122" s="663"/>
      <c r="Q122" s="647"/>
      <c r="R122" s="215"/>
      <c r="S122" s="215"/>
      <c r="T122" s="616">
        <f t="shared" si="1"/>
        <v>0</v>
      </c>
      <c r="U122" s="633"/>
      <c r="V122" s="648"/>
      <c r="W122" s="648"/>
      <c r="X122" s="7"/>
      <c r="Y122" s="699"/>
      <c r="Z122" s="7"/>
      <c r="AA122" s="618">
        <f t="shared" si="6"/>
        <v>0</v>
      </c>
      <c r="AB122" s="7"/>
      <c r="AC122" s="7"/>
      <c r="AD122" s="7"/>
      <c r="AE122" s="7"/>
      <c r="AF122" s="7"/>
      <c r="AG122" s="7"/>
    </row>
    <row r="123" spans="1:33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4"/>
      <c r="I123" s="214"/>
      <c r="J123" s="214"/>
      <c r="K123" s="213"/>
      <c r="L123" s="215"/>
      <c r="M123" s="213"/>
      <c r="N123" s="292"/>
      <c r="O123" s="213"/>
      <c r="P123" s="663"/>
      <c r="Q123" s="647"/>
      <c r="R123" s="215"/>
      <c r="S123" s="215"/>
      <c r="T123" s="616">
        <f t="shared" si="1"/>
        <v>0</v>
      </c>
      <c r="U123" s="633"/>
      <c r="V123" s="648"/>
      <c r="W123" s="648"/>
      <c r="X123" s="7"/>
      <c r="Y123" s="699"/>
      <c r="Z123" s="7"/>
      <c r="AA123" s="618">
        <f t="shared" si="6"/>
        <v>0</v>
      </c>
      <c r="AB123" s="7"/>
      <c r="AC123" s="7"/>
      <c r="AD123" s="7"/>
      <c r="AE123" s="7"/>
      <c r="AF123" s="7"/>
      <c r="AG123" s="7"/>
    </row>
    <row r="124" spans="1:33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4"/>
      <c r="I124" s="214"/>
      <c r="J124" s="214"/>
      <c r="K124" s="213"/>
      <c r="L124" s="215"/>
      <c r="M124" s="213"/>
      <c r="N124" s="292"/>
      <c r="O124" s="213"/>
      <c r="P124" s="663"/>
      <c r="Q124" s="647"/>
      <c r="R124" s="215"/>
      <c r="S124" s="215"/>
      <c r="T124" s="616">
        <f t="shared" si="1"/>
        <v>0</v>
      </c>
      <c r="U124" s="633"/>
      <c r="V124" s="648"/>
      <c r="W124" s="648"/>
      <c r="X124" s="7"/>
      <c r="Y124" s="699"/>
      <c r="Z124" s="7"/>
      <c r="AA124" s="618">
        <f t="shared" si="6"/>
        <v>0</v>
      </c>
      <c r="AB124" s="7"/>
      <c r="AC124" s="7"/>
      <c r="AD124" s="7"/>
      <c r="AE124" s="7"/>
      <c r="AF124" s="7"/>
      <c r="AG124" s="7"/>
    </row>
    <row r="125" spans="1:33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4"/>
      <c r="I125" s="214"/>
      <c r="J125" s="214"/>
      <c r="K125" s="213"/>
      <c r="L125" s="215"/>
      <c r="M125" s="213"/>
      <c r="N125" s="292"/>
      <c r="O125" s="213"/>
      <c r="P125" s="663"/>
      <c r="Q125" s="647"/>
      <c r="R125" s="215"/>
      <c r="S125" s="215"/>
      <c r="T125" s="616">
        <f t="shared" si="1"/>
        <v>0</v>
      </c>
      <c r="U125" s="633"/>
      <c r="V125" s="648"/>
      <c r="W125" s="648"/>
      <c r="X125" s="7"/>
      <c r="Y125" s="699"/>
      <c r="Z125" s="7"/>
      <c r="AA125" s="618">
        <f t="shared" si="6"/>
        <v>0</v>
      </c>
      <c r="AB125" s="7"/>
      <c r="AC125" s="7"/>
      <c r="AD125" s="7"/>
      <c r="AE125" s="7"/>
      <c r="AF125" s="7"/>
      <c r="AG125" s="7"/>
    </row>
    <row r="126" spans="1:33" ht="20.25" customHeight="1">
      <c r="A126" s="486"/>
      <c r="B126" s="487" t="s">
        <v>299</v>
      </c>
      <c r="C126" s="635" t="s">
        <v>300</v>
      </c>
      <c r="D126" s="412" t="s">
        <v>271</v>
      </c>
      <c r="E126" s="213"/>
      <c r="F126" s="213">
        <v>2.59</v>
      </c>
      <c r="G126" s="213">
        <v>0.5</v>
      </c>
      <c r="H126" s="214"/>
      <c r="I126" s="214">
        <v>129.6</v>
      </c>
      <c r="J126" s="214"/>
      <c r="K126" s="213"/>
      <c r="L126" s="215">
        <v>7.49</v>
      </c>
      <c r="M126" s="213">
        <v>665.7</v>
      </c>
      <c r="N126" s="739">
        <f>29.15+0.02</f>
        <v>29.169999999999998</v>
      </c>
      <c r="O126" s="213">
        <v>11.8</v>
      </c>
      <c r="P126" s="651">
        <v>28.7</v>
      </c>
      <c r="Q126" s="620"/>
      <c r="R126" s="215"/>
      <c r="S126" s="215"/>
      <c r="T126" s="616">
        <f t="shared" si="1"/>
        <v>875.55000000000007</v>
      </c>
      <c r="U126" s="633"/>
      <c r="V126" s="636"/>
      <c r="W126" s="636"/>
      <c r="X126" s="7"/>
      <c r="Y126" s="699">
        <v>877</v>
      </c>
      <c r="Z126" s="7"/>
      <c r="AA126" s="618">
        <f t="shared" si="6"/>
        <v>1.4499999999999318</v>
      </c>
      <c r="AB126" s="7"/>
      <c r="AC126" s="7"/>
      <c r="AD126" s="7"/>
      <c r="AE126" s="7"/>
      <c r="AF126" s="7"/>
      <c r="AG126" s="7"/>
    </row>
    <row r="127" spans="1:33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4"/>
      <c r="I127" s="214"/>
      <c r="J127" s="214"/>
      <c r="K127" s="213"/>
      <c r="L127" s="215"/>
      <c r="M127" s="213"/>
      <c r="N127" s="292"/>
      <c r="O127" s="213"/>
      <c r="P127" s="370"/>
      <c r="Q127" s="647"/>
      <c r="R127" s="215"/>
      <c r="S127" s="215"/>
      <c r="T127" s="616">
        <f t="shared" si="1"/>
        <v>0</v>
      </c>
      <c r="U127" s="633"/>
      <c r="V127" s="634"/>
      <c r="W127" s="634"/>
      <c r="X127" s="7"/>
      <c r="Y127" s="699"/>
      <c r="Z127" s="7"/>
      <c r="AA127" s="618"/>
      <c r="AB127" s="7"/>
      <c r="AC127" s="7"/>
      <c r="AD127" s="7"/>
      <c r="AE127" s="7"/>
      <c r="AF127" s="7"/>
      <c r="AG127" s="7"/>
    </row>
    <row r="128" spans="1:33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4"/>
      <c r="I128" s="214"/>
      <c r="J128" s="214"/>
      <c r="K128" s="213"/>
      <c r="L128" s="215"/>
      <c r="M128" s="213"/>
      <c r="N128" s="292"/>
      <c r="O128" s="213"/>
      <c r="P128" s="370"/>
      <c r="Q128" s="647"/>
      <c r="R128" s="215"/>
      <c r="S128" s="215"/>
      <c r="T128" s="616">
        <f t="shared" si="1"/>
        <v>0</v>
      </c>
      <c r="U128" s="633"/>
      <c r="V128" s="634"/>
      <c r="W128" s="634"/>
      <c r="X128" s="7"/>
      <c r="Y128" s="699"/>
      <c r="Z128" s="7"/>
      <c r="AA128" s="618"/>
      <c r="AB128" s="7"/>
      <c r="AC128" s="7"/>
      <c r="AD128" s="7"/>
      <c r="AE128" s="7"/>
      <c r="AF128" s="7"/>
      <c r="AG128" s="7"/>
    </row>
    <row r="129" spans="1:33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4"/>
      <c r="I129" s="214"/>
      <c r="J129" s="214"/>
      <c r="K129" s="213"/>
      <c r="L129" s="215"/>
      <c r="M129" s="213"/>
      <c r="N129" s="292"/>
      <c r="O129" s="213"/>
      <c r="P129" s="370"/>
      <c r="Q129" s="647"/>
      <c r="R129" s="215"/>
      <c r="S129" s="215"/>
      <c r="T129" s="616">
        <f t="shared" si="1"/>
        <v>0</v>
      </c>
      <c r="U129" s="633"/>
      <c r="V129" s="634"/>
      <c r="W129" s="634"/>
      <c r="X129" s="7"/>
      <c r="Y129" s="699"/>
      <c r="Z129" s="7"/>
      <c r="AA129" s="618"/>
      <c r="AB129" s="7"/>
      <c r="AC129" s="7"/>
      <c r="AD129" s="7"/>
      <c r="AE129" s="7"/>
      <c r="AF129" s="7"/>
      <c r="AG129" s="7"/>
    </row>
    <row r="130" spans="1:33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4"/>
      <c r="I130" s="214"/>
      <c r="J130" s="214"/>
      <c r="K130" s="213"/>
      <c r="L130" s="215"/>
      <c r="M130" s="213"/>
      <c r="N130" s="292"/>
      <c r="O130" s="213"/>
      <c r="P130" s="370"/>
      <c r="Q130" s="647"/>
      <c r="R130" s="215"/>
      <c r="S130" s="215"/>
      <c r="T130" s="616">
        <f t="shared" si="1"/>
        <v>0</v>
      </c>
      <c r="U130" s="633"/>
      <c r="V130" s="634"/>
      <c r="W130" s="634"/>
      <c r="X130" s="7"/>
      <c r="Y130" s="699"/>
      <c r="Z130" s="7"/>
      <c r="AA130" s="618"/>
      <c r="AB130" s="7"/>
      <c r="AC130" s="7"/>
      <c r="AD130" s="7"/>
      <c r="AE130" s="7"/>
      <c r="AF130" s="7"/>
      <c r="AG130" s="7"/>
    </row>
    <row r="131" spans="1:33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4"/>
      <c r="I131" s="214"/>
      <c r="J131" s="214"/>
      <c r="K131" s="213"/>
      <c r="L131" s="215"/>
      <c r="M131" s="213"/>
      <c r="N131" s="292"/>
      <c r="O131" s="213"/>
      <c r="P131" s="370"/>
      <c r="Q131" s="620"/>
      <c r="R131" s="215"/>
      <c r="S131" s="215"/>
      <c r="T131" s="616">
        <f t="shared" si="1"/>
        <v>0</v>
      </c>
      <c r="U131" s="633"/>
      <c r="V131" s="636"/>
      <c r="W131" s="636"/>
      <c r="X131" s="7"/>
      <c r="Y131" s="699"/>
      <c r="Z131" s="7"/>
      <c r="AA131" s="618">
        <f t="shared" ref="AA131:AA135" si="7">Y131-T131</f>
        <v>0</v>
      </c>
      <c r="AB131" s="7"/>
      <c r="AC131" s="7"/>
      <c r="AD131" s="7"/>
      <c r="AE131" s="7"/>
      <c r="AF131" s="7"/>
      <c r="AG131" s="7"/>
    </row>
    <row r="132" spans="1:33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4"/>
      <c r="I132" s="214"/>
      <c r="J132" s="214"/>
      <c r="K132" s="213"/>
      <c r="L132" s="215"/>
      <c r="M132" s="213"/>
      <c r="N132" s="292"/>
      <c r="O132" s="213"/>
      <c r="P132" s="370"/>
      <c r="Q132" s="647"/>
      <c r="R132" s="215"/>
      <c r="S132" s="215"/>
      <c r="T132" s="616">
        <f t="shared" si="1"/>
        <v>0</v>
      </c>
      <c r="U132" s="633"/>
      <c r="V132" s="634"/>
      <c r="W132" s="634"/>
      <c r="X132" s="7"/>
      <c r="Y132" s="699"/>
      <c r="Z132" s="7"/>
      <c r="AA132" s="618">
        <f t="shared" si="7"/>
        <v>0</v>
      </c>
      <c r="AB132" s="7"/>
      <c r="AC132" s="7"/>
      <c r="AD132" s="7"/>
      <c r="AE132" s="7"/>
      <c r="AF132" s="7"/>
      <c r="AG132" s="7"/>
    </row>
    <row r="133" spans="1:33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4"/>
      <c r="I133" s="214"/>
      <c r="J133" s="214"/>
      <c r="K133" s="213"/>
      <c r="L133" s="215"/>
      <c r="M133" s="213"/>
      <c r="N133" s="292"/>
      <c r="O133" s="213"/>
      <c r="P133" s="370"/>
      <c r="Q133" s="647"/>
      <c r="R133" s="215"/>
      <c r="S133" s="215"/>
      <c r="T133" s="616">
        <f t="shared" si="1"/>
        <v>0</v>
      </c>
      <c r="U133" s="633"/>
      <c r="V133" s="634"/>
      <c r="W133" s="634"/>
      <c r="X133" s="7"/>
      <c r="Y133" s="699"/>
      <c r="Z133" s="7"/>
      <c r="AA133" s="618">
        <f t="shared" si="7"/>
        <v>0</v>
      </c>
      <c r="AB133" s="7"/>
      <c r="AC133" s="7"/>
      <c r="AD133" s="7"/>
      <c r="AE133" s="7"/>
      <c r="AF133" s="7"/>
      <c r="AG133" s="7"/>
    </row>
    <row r="134" spans="1:33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4"/>
      <c r="I134" s="214"/>
      <c r="J134" s="214"/>
      <c r="K134" s="213"/>
      <c r="L134" s="215"/>
      <c r="M134" s="213"/>
      <c r="N134" s="292"/>
      <c r="O134" s="213"/>
      <c r="P134" s="370"/>
      <c r="Q134" s="647"/>
      <c r="R134" s="215"/>
      <c r="S134" s="215"/>
      <c r="T134" s="616">
        <f t="shared" si="1"/>
        <v>0</v>
      </c>
      <c r="U134" s="633"/>
      <c r="V134" s="634"/>
      <c r="W134" s="634"/>
      <c r="X134" s="7"/>
      <c r="Y134" s="699"/>
      <c r="Z134" s="7"/>
      <c r="AA134" s="618">
        <f t="shared" si="7"/>
        <v>0</v>
      </c>
      <c r="AB134" s="7"/>
      <c r="AC134" s="7"/>
      <c r="AD134" s="7"/>
      <c r="AE134" s="7"/>
      <c r="AF134" s="7"/>
      <c r="AG134" s="7"/>
    </row>
    <row r="135" spans="1:33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4"/>
      <c r="I135" s="214"/>
      <c r="J135" s="214"/>
      <c r="K135" s="213"/>
      <c r="L135" s="215"/>
      <c r="M135" s="213"/>
      <c r="N135" s="292"/>
      <c r="O135" s="213"/>
      <c r="P135" s="370"/>
      <c r="Q135" s="647"/>
      <c r="R135" s="215"/>
      <c r="S135" s="215"/>
      <c r="T135" s="616">
        <f t="shared" si="1"/>
        <v>0</v>
      </c>
      <c r="U135" s="633"/>
      <c r="V135" s="634"/>
      <c r="W135" s="634"/>
      <c r="X135" s="7"/>
      <c r="Y135" s="699"/>
      <c r="Z135" s="7"/>
      <c r="AA135" s="618">
        <f t="shared" si="7"/>
        <v>0</v>
      </c>
      <c r="AB135" s="7"/>
      <c r="AC135" s="7"/>
      <c r="AD135" s="7"/>
      <c r="AE135" s="7"/>
      <c r="AF135" s="7"/>
      <c r="AG135" s="7"/>
    </row>
    <row r="136" spans="1:33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4"/>
      <c r="I136" s="214"/>
      <c r="J136" s="214"/>
      <c r="K136" s="213"/>
      <c r="L136" s="215"/>
      <c r="M136" s="213"/>
      <c r="N136" s="292"/>
      <c r="O136" s="213"/>
      <c r="P136" s="372"/>
      <c r="Q136" s="620"/>
      <c r="R136" s="215"/>
      <c r="S136" s="215"/>
      <c r="T136" s="616">
        <f t="shared" si="1"/>
        <v>0</v>
      </c>
      <c r="U136" s="633"/>
      <c r="V136" s="636"/>
      <c r="W136" s="636"/>
      <c r="X136" s="7"/>
      <c r="Y136" s="699">
        <v>2.5</v>
      </c>
      <c r="Z136" s="7"/>
      <c r="AA136" s="618"/>
      <c r="AB136" s="7"/>
      <c r="AC136" s="7"/>
      <c r="AD136" s="7"/>
      <c r="AE136" s="7"/>
      <c r="AF136" s="7"/>
      <c r="AG136" s="7"/>
    </row>
    <row r="137" spans="1:33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4"/>
      <c r="I137" s="214"/>
      <c r="J137" s="214"/>
      <c r="K137" s="213"/>
      <c r="L137" s="215"/>
      <c r="M137" s="213"/>
      <c r="N137" s="292"/>
      <c r="O137" s="213"/>
      <c r="P137" s="370"/>
      <c r="Q137" s="647"/>
      <c r="R137" s="215"/>
      <c r="S137" s="215"/>
      <c r="T137" s="616">
        <f t="shared" si="1"/>
        <v>0</v>
      </c>
      <c r="U137" s="633"/>
      <c r="V137" s="648"/>
      <c r="W137" s="648"/>
      <c r="X137" s="7"/>
      <c r="Y137" s="699"/>
      <c r="Z137" s="7"/>
      <c r="AA137" s="618">
        <f t="shared" ref="AA137:AA139" si="8">Y137-T137</f>
        <v>0</v>
      </c>
      <c r="AB137" s="7"/>
      <c r="AC137" s="7"/>
      <c r="AD137" s="7"/>
      <c r="AE137" s="7"/>
      <c r="AF137" s="7"/>
      <c r="AG137" s="7"/>
    </row>
    <row r="138" spans="1:33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4"/>
      <c r="I138" s="214"/>
      <c r="J138" s="214"/>
      <c r="K138" s="213"/>
      <c r="L138" s="215"/>
      <c r="M138" s="213"/>
      <c r="N138" s="292"/>
      <c r="O138" s="213"/>
      <c r="P138" s="370"/>
      <c r="Q138" s="647"/>
      <c r="R138" s="215"/>
      <c r="S138" s="215"/>
      <c r="T138" s="616">
        <f t="shared" si="1"/>
        <v>0</v>
      </c>
      <c r="U138" s="633"/>
      <c r="V138" s="648"/>
      <c r="W138" s="648"/>
      <c r="X138" s="7"/>
      <c r="Y138" s="699"/>
      <c r="Z138" s="7"/>
      <c r="AA138" s="618">
        <f t="shared" si="8"/>
        <v>0</v>
      </c>
      <c r="AB138" s="7"/>
      <c r="AC138" s="7"/>
      <c r="AD138" s="7"/>
      <c r="AE138" s="7"/>
      <c r="AF138" s="7"/>
      <c r="AG138" s="7"/>
    </row>
    <row r="139" spans="1:33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4"/>
      <c r="I139" s="214"/>
      <c r="J139" s="214"/>
      <c r="K139" s="213"/>
      <c r="L139" s="215"/>
      <c r="M139" s="213"/>
      <c r="N139" s="292"/>
      <c r="O139" s="213"/>
      <c r="P139" s="370"/>
      <c r="Q139" s="647"/>
      <c r="R139" s="215"/>
      <c r="S139" s="215"/>
      <c r="T139" s="616">
        <f t="shared" si="1"/>
        <v>0</v>
      </c>
      <c r="U139" s="633"/>
      <c r="V139" s="648"/>
      <c r="W139" s="648"/>
      <c r="X139" s="7"/>
      <c r="Y139" s="699"/>
      <c r="Z139" s="7"/>
      <c r="AA139" s="618">
        <f t="shared" si="8"/>
        <v>0</v>
      </c>
      <c r="AB139" s="7"/>
      <c r="AC139" s="7"/>
      <c r="AD139" s="7"/>
      <c r="AE139" s="7"/>
      <c r="AF139" s="7"/>
      <c r="AG139" s="7"/>
    </row>
    <row r="140" spans="1:33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4"/>
      <c r="I140" s="214"/>
      <c r="J140" s="214"/>
      <c r="K140" s="213"/>
      <c r="L140" s="215"/>
      <c r="M140" s="213"/>
      <c r="N140" s="292"/>
      <c r="O140" s="213"/>
      <c r="P140" s="370"/>
      <c r="Q140" s="647"/>
      <c r="R140" s="215"/>
      <c r="S140" s="215"/>
      <c r="T140" s="616">
        <f t="shared" si="1"/>
        <v>0</v>
      </c>
      <c r="U140" s="633"/>
      <c r="V140" s="648"/>
      <c r="W140" s="648"/>
      <c r="X140" s="7"/>
      <c r="Y140" s="699"/>
      <c r="Z140" s="7"/>
      <c r="AA140" s="618"/>
      <c r="AB140" s="7"/>
      <c r="AC140" s="7"/>
      <c r="AD140" s="7"/>
      <c r="AE140" s="7"/>
      <c r="AF140" s="7"/>
      <c r="AG140" s="7"/>
    </row>
    <row r="141" spans="1:33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4"/>
      <c r="I141" s="214"/>
      <c r="J141" s="214"/>
      <c r="K141" s="213"/>
      <c r="L141" s="215"/>
      <c r="M141" s="213"/>
      <c r="N141" s="292"/>
      <c r="O141" s="213"/>
      <c r="P141" s="372">
        <v>162.80000000000001</v>
      </c>
      <c r="Q141" s="620"/>
      <c r="R141" s="215"/>
      <c r="S141" s="215"/>
      <c r="T141" s="616">
        <f t="shared" si="1"/>
        <v>162.80000000000001</v>
      </c>
      <c r="U141" s="633"/>
      <c r="V141" s="636"/>
      <c r="W141" s="636"/>
      <c r="X141" s="7"/>
      <c r="Y141" s="699">
        <v>1</v>
      </c>
      <c r="Z141" s="7"/>
      <c r="AA141" s="618"/>
      <c r="AB141" s="7"/>
      <c r="AC141" s="7"/>
      <c r="AD141" s="7"/>
      <c r="AE141" s="7"/>
      <c r="AF141" s="7"/>
      <c r="AG141" s="7"/>
    </row>
    <row r="142" spans="1:33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4"/>
      <c r="I142" s="214"/>
      <c r="J142" s="214"/>
      <c r="K142" s="213"/>
      <c r="L142" s="215"/>
      <c r="M142" s="213"/>
      <c r="N142" s="292"/>
      <c r="O142" s="213"/>
      <c r="P142" s="370"/>
      <c r="Q142" s="647"/>
      <c r="R142" s="215"/>
      <c r="S142" s="215"/>
      <c r="T142" s="616">
        <f t="shared" si="1"/>
        <v>0</v>
      </c>
      <c r="U142" s="633"/>
      <c r="V142" s="648"/>
      <c r="W142" s="648"/>
      <c r="X142" s="7"/>
      <c r="Y142" s="699"/>
      <c r="Z142" s="7"/>
      <c r="AA142" s="618">
        <f t="shared" ref="AA142:AA163" si="9">Y142-T142</f>
        <v>0</v>
      </c>
      <c r="AB142" s="7"/>
      <c r="AC142" s="7"/>
      <c r="AD142" s="7"/>
      <c r="AE142" s="7"/>
      <c r="AF142" s="7"/>
      <c r="AG142" s="7"/>
    </row>
    <row r="143" spans="1:33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4"/>
      <c r="I143" s="214"/>
      <c r="J143" s="214"/>
      <c r="K143" s="213"/>
      <c r="L143" s="215"/>
      <c r="M143" s="213"/>
      <c r="N143" s="292"/>
      <c r="O143" s="213"/>
      <c r="P143" s="370"/>
      <c r="Q143" s="647"/>
      <c r="R143" s="215"/>
      <c r="S143" s="215"/>
      <c r="T143" s="616">
        <f t="shared" si="1"/>
        <v>0</v>
      </c>
      <c r="U143" s="633"/>
      <c r="V143" s="648"/>
      <c r="W143" s="648"/>
      <c r="X143" s="7"/>
      <c r="Y143" s="699"/>
      <c r="Z143" s="7"/>
      <c r="AA143" s="618">
        <f t="shared" si="9"/>
        <v>0</v>
      </c>
      <c r="AB143" s="7"/>
      <c r="AC143" s="7"/>
      <c r="AD143" s="7"/>
      <c r="AE143" s="7"/>
      <c r="AF143" s="7"/>
      <c r="AG143" s="7"/>
    </row>
    <row r="144" spans="1:33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4"/>
      <c r="I144" s="214"/>
      <c r="J144" s="214"/>
      <c r="K144" s="213"/>
      <c r="L144" s="215"/>
      <c r="M144" s="213"/>
      <c r="N144" s="292"/>
      <c r="O144" s="213"/>
      <c r="P144" s="370"/>
      <c r="Q144" s="647"/>
      <c r="R144" s="215"/>
      <c r="S144" s="215"/>
      <c r="T144" s="616">
        <f t="shared" si="1"/>
        <v>0</v>
      </c>
      <c r="U144" s="633"/>
      <c r="V144" s="648"/>
      <c r="W144" s="648"/>
      <c r="X144" s="7"/>
      <c r="Y144" s="699"/>
      <c r="Z144" s="7"/>
      <c r="AA144" s="618">
        <f t="shared" si="9"/>
        <v>0</v>
      </c>
      <c r="AB144" s="7"/>
      <c r="AC144" s="7"/>
      <c r="AD144" s="7"/>
      <c r="AE144" s="7"/>
      <c r="AF144" s="7"/>
      <c r="AG144" s="7"/>
    </row>
    <row r="145" spans="1:33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4"/>
      <c r="I145" s="214"/>
      <c r="J145" s="214"/>
      <c r="K145" s="213"/>
      <c r="L145" s="215"/>
      <c r="M145" s="213"/>
      <c r="N145" s="292"/>
      <c r="O145" s="213"/>
      <c r="P145" s="370"/>
      <c r="Q145" s="647"/>
      <c r="R145" s="215"/>
      <c r="S145" s="215"/>
      <c r="T145" s="616">
        <f t="shared" si="1"/>
        <v>0</v>
      </c>
      <c r="U145" s="633"/>
      <c r="V145" s="648"/>
      <c r="W145" s="648"/>
      <c r="X145" s="7"/>
      <c r="Y145" s="699"/>
      <c r="Z145" s="7"/>
      <c r="AA145" s="618">
        <f t="shared" si="9"/>
        <v>0</v>
      </c>
      <c r="AB145" s="7"/>
      <c r="AC145" s="7"/>
      <c r="AD145" s="7"/>
      <c r="AE145" s="7"/>
      <c r="AF145" s="7"/>
      <c r="AG145" s="7"/>
    </row>
    <row r="146" spans="1:33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>
        <v>1.55</v>
      </c>
      <c r="G146" s="213"/>
      <c r="H146" s="214"/>
      <c r="I146" s="214"/>
      <c r="J146" s="214"/>
      <c r="K146" s="213"/>
      <c r="L146" s="215">
        <v>2.8</v>
      </c>
      <c r="M146" s="213">
        <v>49</v>
      </c>
      <c r="N146" s="292"/>
      <c r="O146" s="213"/>
      <c r="P146" s="372"/>
      <c r="Q146" s="620"/>
      <c r="R146" s="215"/>
      <c r="S146" s="215"/>
      <c r="T146" s="616">
        <f t="shared" si="1"/>
        <v>53.35</v>
      </c>
      <c r="U146" s="633"/>
      <c r="V146" s="636"/>
      <c r="W146" s="636"/>
      <c r="X146" s="7"/>
      <c r="Y146" s="699">
        <v>54.4</v>
      </c>
      <c r="Z146" s="7"/>
      <c r="AA146" s="618">
        <f t="shared" si="9"/>
        <v>1.0499999999999972</v>
      </c>
      <c r="AB146" s="7"/>
      <c r="AC146" s="7"/>
      <c r="AD146" s="7"/>
      <c r="AE146" s="7"/>
      <c r="AF146" s="7"/>
      <c r="AG146" s="7"/>
    </row>
    <row r="147" spans="1:33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4"/>
      <c r="I147" s="214"/>
      <c r="J147" s="214"/>
      <c r="K147" s="213"/>
      <c r="L147" s="215"/>
      <c r="M147" s="213"/>
      <c r="N147" s="292"/>
      <c r="O147" s="213"/>
      <c r="P147" s="372"/>
      <c r="Q147" s="647"/>
      <c r="R147" s="215"/>
      <c r="S147" s="215"/>
      <c r="T147" s="616">
        <f t="shared" si="1"/>
        <v>0</v>
      </c>
      <c r="U147" s="633"/>
      <c r="V147" s="634"/>
      <c r="W147" s="634"/>
      <c r="X147" s="7"/>
      <c r="Y147" s="699"/>
      <c r="Z147" s="7"/>
      <c r="AA147" s="618">
        <f t="shared" si="9"/>
        <v>0</v>
      </c>
      <c r="AB147" s="7"/>
      <c r="AC147" s="7"/>
      <c r="AD147" s="7"/>
      <c r="AE147" s="7"/>
      <c r="AF147" s="7"/>
      <c r="AG147" s="7"/>
    </row>
    <row r="148" spans="1:33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4"/>
      <c r="I148" s="214"/>
      <c r="J148" s="214"/>
      <c r="K148" s="213"/>
      <c r="L148" s="215"/>
      <c r="M148" s="213"/>
      <c r="N148" s="292"/>
      <c r="O148" s="213"/>
      <c r="P148" s="372"/>
      <c r="Q148" s="647"/>
      <c r="R148" s="215"/>
      <c r="S148" s="215"/>
      <c r="T148" s="616">
        <f t="shared" si="1"/>
        <v>0</v>
      </c>
      <c r="U148" s="633"/>
      <c r="V148" s="634"/>
      <c r="W148" s="634"/>
      <c r="X148" s="7"/>
      <c r="Y148" s="699"/>
      <c r="Z148" s="7"/>
      <c r="AA148" s="618">
        <f t="shared" si="9"/>
        <v>0</v>
      </c>
      <c r="AB148" s="7"/>
      <c r="AC148" s="7"/>
      <c r="AD148" s="7"/>
      <c r="AE148" s="7"/>
      <c r="AF148" s="7"/>
      <c r="AG148" s="7"/>
    </row>
    <row r="149" spans="1:33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4"/>
      <c r="I149" s="214"/>
      <c r="J149" s="214"/>
      <c r="K149" s="213"/>
      <c r="L149" s="215"/>
      <c r="M149" s="213"/>
      <c r="N149" s="292"/>
      <c r="O149" s="213"/>
      <c r="P149" s="372"/>
      <c r="Q149" s="647"/>
      <c r="R149" s="215"/>
      <c r="S149" s="215"/>
      <c r="T149" s="616">
        <f t="shared" si="1"/>
        <v>0</v>
      </c>
      <c r="U149" s="633"/>
      <c r="V149" s="634"/>
      <c r="W149" s="634"/>
      <c r="X149" s="7"/>
      <c r="Y149" s="699"/>
      <c r="Z149" s="7"/>
      <c r="AA149" s="618">
        <f t="shared" si="9"/>
        <v>0</v>
      </c>
      <c r="AB149" s="7"/>
      <c r="AC149" s="7"/>
      <c r="AD149" s="7"/>
      <c r="AE149" s="7"/>
      <c r="AF149" s="7"/>
      <c r="AG149" s="7"/>
    </row>
    <row r="150" spans="1:33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4"/>
      <c r="I150" s="214"/>
      <c r="J150" s="214"/>
      <c r="K150" s="213"/>
      <c r="L150" s="215"/>
      <c r="M150" s="213"/>
      <c r="N150" s="292"/>
      <c r="O150" s="213"/>
      <c r="P150" s="372"/>
      <c r="Q150" s="647"/>
      <c r="R150" s="215"/>
      <c r="S150" s="215"/>
      <c r="T150" s="616">
        <f t="shared" si="1"/>
        <v>0</v>
      </c>
      <c r="U150" s="633"/>
      <c r="V150" s="634"/>
      <c r="W150" s="634"/>
      <c r="X150" s="7"/>
      <c r="Y150" s="699"/>
      <c r="Z150" s="7"/>
      <c r="AA150" s="618">
        <f t="shared" si="9"/>
        <v>0</v>
      </c>
      <c r="AB150" s="7"/>
      <c r="AC150" s="7"/>
      <c r="AD150" s="7"/>
      <c r="AE150" s="7"/>
      <c r="AF150" s="7"/>
      <c r="AG150" s="7"/>
    </row>
    <row r="151" spans="1:33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>
        <v>19.3</v>
      </c>
      <c r="G151" s="213"/>
      <c r="H151" s="214"/>
      <c r="I151" s="214"/>
      <c r="J151" s="214"/>
      <c r="K151" s="213"/>
      <c r="L151" s="215">
        <v>2.2999999999999998</v>
      </c>
      <c r="M151" s="213"/>
      <c r="N151" s="292"/>
      <c r="O151" s="213"/>
      <c r="P151" s="372"/>
      <c r="Q151" s="620"/>
      <c r="R151" s="215"/>
      <c r="S151" s="215"/>
      <c r="T151" s="616">
        <f t="shared" si="1"/>
        <v>21.6</v>
      </c>
      <c r="U151" s="633"/>
      <c r="V151" s="636"/>
      <c r="W151" s="636"/>
      <c r="X151" s="7"/>
      <c r="Y151" s="699">
        <v>35.299999999999997</v>
      </c>
      <c r="Z151" s="7"/>
      <c r="AA151" s="618">
        <f t="shared" si="9"/>
        <v>13.699999999999996</v>
      </c>
      <c r="AB151" s="7"/>
      <c r="AC151" s="7"/>
      <c r="AD151" s="7"/>
      <c r="AE151" s="7"/>
      <c r="AF151" s="7"/>
      <c r="AG151" s="7"/>
    </row>
    <row r="152" spans="1:33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4"/>
      <c r="I152" s="214"/>
      <c r="J152" s="214"/>
      <c r="K152" s="213"/>
      <c r="L152" s="215"/>
      <c r="M152" s="213"/>
      <c r="N152" s="292"/>
      <c r="O152" s="213"/>
      <c r="P152" s="372"/>
      <c r="Q152" s="647"/>
      <c r="R152" s="215"/>
      <c r="S152" s="215"/>
      <c r="T152" s="616">
        <f t="shared" si="1"/>
        <v>0</v>
      </c>
      <c r="U152" s="633"/>
      <c r="V152" s="634"/>
      <c r="W152" s="634"/>
      <c r="X152" s="7"/>
      <c r="Y152" s="699"/>
      <c r="Z152" s="7"/>
      <c r="AA152" s="618">
        <f t="shared" si="9"/>
        <v>0</v>
      </c>
      <c r="AB152" s="7"/>
      <c r="AC152" s="7"/>
      <c r="AD152" s="7"/>
      <c r="AE152" s="7"/>
      <c r="AF152" s="7"/>
      <c r="AG152" s="7"/>
    </row>
    <row r="153" spans="1:33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4"/>
      <c r="I153" s="214"/>
      <c r="J153" s="214"/>
      <c r="K153" s="213"/>
      <c r="L153" s="215"/>
      <c r="M153" s="213"/>
      <c r="N153" s="292"/>
      <c r="O153" s="213"/>
      <c r="P153" s="372"/>
      <c r="Q153" s="647"/>
      <c r="R153" s="215"/>
      <c r="S153" s="215"/>
      <c r="T153" s="616">
        <f t="shared" si="1"/>
        <v>0</v>
      </c>
      <c r="U153" s="633"/>
      <c r="V153" s="634"/>
      <c r="W153" s="634"/>
      <c r="X153" s="7"/>
      <c r="Y153" s="699"/>
      <c r="Z153" s="7"/>
      <c r="AA153" s="618">
        <f t="shared" si="9"/>
        <v>0</v>
      </c>
      <c r="AB153" s="7"/>
      <c r="AC153" s="7"/>
      <c r="AD153" s="7"/>
      <c r="AE153" s="7"/>
      <c r="AF153" s="7"/>
      <c r="AG153" s="7"/>
    </row>
    <row r="154" spans="1:33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4"/>
      <c r="I154" s="214"/>
      <c r="J154" s="214"/>
      <c r="K154" s="213"/>
      <c r="L154" s="215"/>
      <c r="M154" s="213"/>
      <c r="N154" s="292"/>
      <c r="O154" s="213"/>
      <c r="P154" s="372"/>
      <c r="Q154" s="647"/>
      <c r="R154" s="215"/>
      <c r="S154" s="215"/>
      <c r="T154" s="616">
        <f t="shared" si="1"/>
        <v>0</v>
      </c>
      <c r="U154" s="633"/>
      <c r="V154" s="634"/>
      <c r="W154" s="634"/>
      <c r="X154" s="7"/>
      <c r="Y154" s="699"/>
      <c r="Z154" s="7"/>
      <c r="AA154" s="618">
        <f t="shared" si="9"/>
        <v>0</v>
      </c>
      <c r="AB154" s="7"/>
      <c r="AC154" s="7"/>
      <c r="AD154" s="7"/>
      <c r="AE154" s="7"/>
      <c r="AF154" s="7"/>
      <c r="AG154" s="7"/>
    </row>
    <row r="155" spans="1:33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4"/>
      <c r="I155" s="214"/>
      <c r="J155" s="214"/>
      <c r="K155" s="213"/>
      <c r="L155" s="215"/>
      <c r="M155" s="213"/>
      <c r="N155" s="292"/>
      <c r="O155" s="213"/>
      <c r="P155" s="372"/>
      <c r="Q155" s="647"/>
      <c r="R155" s="215"/>
      <c r="S155" s="215"/>
      <c r="T155" s="616">
        <f t="shared" si="1"/>
        <v>0</v>
      </c>
      <c r="U155" s="633"/>
      <c r="V155" s="634"/>
      <c r="W155" s="634"/>
      <c r="X155" s="7"/>
      <c r="Y155" s="699"/>
      <c r="Z155" s="7"/>
      <c r="AA155" s="618">
        <f t="shared" si="9"/>
        <v>0</v>
      </c>
      <c r="AB155" s="7"/>
      <c r="AC155" s="7"/>
      <c r="AD155" s="7"/>
      <c r="AE155" s="7"/>
      <c r="AF155" s="7"/>
      <c r="AG155" s="7"/>
    </row>
    <row r="156" spans="1:33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4"/>
      <c r="I156" s="214"/>
      <c r="J156" s="214"/>
      <c r="K156" s="213"/>
      <c r="L156" s="215"/>
      <c r="M156" s="213"/>
      <c r="N156" s="292"/>
      <c r="O156" s="213"/>
      <c r="P156" s="372"/>
      <c r="Q156" s="620"/>
      <c r="R156" s="215"/>
      <c r="S156" s="215"/>
      <c r="T156" s="616">
        <f t="shared" si="1"/>
        <v>0</v>
      </c>
      <c r="U156" s="633"/>
      <c r="V156" s="636"/>
      <c r="W156" s="636"/>
      <c r="X156" s="7"/>
      <c r="Y156" s="699"/>
      <c r="Z156" s="7"/>
      <c r="AA156" s="618">
        <f t="shared" si="9"/>
        <v>0</v>
      </c>
      <c r="AB156" s="7"/>
      <c r="AC156" s="7"/>
      <c r="AD156" s="7"/>
      <c r="AE156" s="7"/>
      <c r="AF156" s="7"/>
      <c r="AG156" s="7"/>
    </row>
    <row r="157" spans="1:33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4"/>
      <c r="I157" s="214"/>
      <c r="J157" s="214"/>
      <c r="K157" s="213"/>
      <c r="L157" s="215"/>
      <c r="M157" s="213"/>
      <c r="N157" s="292"/>
      <c r="O157" s="213"/>
      <c r="P157" s="372"/>
      <c r="Q157" s="647"/>
      <c r="R157" s="215"/>
      <c r="S157" s="215"/>
      <c r="T157" s="616">
        <f t="shared" si="1"/>
        <v>0</v>
      </c>
      <c r="U157" s="633"/>
      <c r="V157" s="648"/>
      <c r="W157" s="648"/>
      <c r="X157" s="7"/>
      <c r="Y157" s="699"/>
      <c r="Z157" s="7"/>
      <c r="AA157" s="618">
        <f t="shared" si="9"/>
        <v>0</v>
      </c>
      <c r="AB157" s="7"/>
      <c r="AC157" s="7"/>
      <c r="AD157" s="7"/>
      <c r="AE157" s="7"/>
      <c r="AF157" s="7"/>
      <c r="AG157" s="7"/>
    </row>
    <row r="158" spans="1:33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4"/>
      <c r="I158" s="214"/>
      <c r="J158" s="214"/>
      <c r="K158" s="213"/>
      <c r="L158" s="215"/>
      <c r="M158" s="213"/>
      <c r="N158" s="292"/>
      <c r="O158" s="213"/>
      <c r="P158" s="372"/>
      <c r="Q158" s="647"/>
      <c r="R158" s="215"/>
      <c r="S158" s="215"/>
      <c r="T158" s="616">
        <f t="shared" si="1"/>
        <v>0</v>
      </c>
      <c r="U158" s="633"/>
      <c r="V158" s="648"/>
      <c r="W158" s="648"/>
      <c r="X158" s="7"/>
      <c r="Y158" s="699"/>
      <c r="Z158" s="7"/>
      <c r="AA158" s="618">
        <f t="shared" si="9"/>
        <v>0</v>
      </c>
      <c r="AB158" s="7"/>
      <c r="AC158" s="7"/>
      <c r="AD158" s="7"/>
      <c r="AE158" s="7"/>
      <c r="AF158" s="7"/>
      <c r="AG158" s="7"/>
    </row>
    <row r="159" spans="1:33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4"/>
      <c r="I159" s="214"/>
      <c r="J159" s="214"/>
      <c r="K159" s="213"/>
      <c r="L159" s="215"/>
      <c r="M159" s="213"/>
      <c r="N159" s="292"/>
      <c r="O159" s="213"/>
      <c r="P159" s="372"/>
      <c r="Q159" s="647"/>
      <c r="R159" s="215"/>
      <c r="S159" s="215"/>
      <c r="T159" s="616">
        <f t="shared" si="1"/>
        <v>0</v>
      </c>
      <c r="U159" s="633"/>
      <c r="V159" s="648"/>
      <c r="W159" s="648"/>
      <c r="X159" s="7"/>
      <c r="Y159" s="699"/>
      <c r="Z159" s="7"/>
      <c r="AA159" s="618">
        <f t="shared" si="9"/>
        <v>0</v>
      </c>
      <c r="AB159" s="7"/>
      <c r="AC159" s="7"/>
      <c r="AD159" s="7"/>
      <c r="AE159" s="7"/>
      <c r="AF159" s="7"/>
      <c r="AG159" s="7"/>
    </row>
    <row r="160" spans="1:33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4"/>
      <c r="I160" s="214"/>
      <c r="J160" s="214"/>
      <c r="K160" s="213"/>
      <c r="L160" s="215"/>
      <c r="M160" s="213"/>
      <c r="N160" s="292"/>
      <c r="O160" s="213"/>
      <c r="P160" s="372"/>
      <c r="Q160" s="647"/>
      <c r="R160" s="215"/>
      <c r="S160" s="215"/>
      <c r="T160" s="616">
        <f t="shared" si="1"/>
        <v>0</v>
      </c>
      <c r="U160" s="633"/>
      <c r="V160" s="648"/>
      <c r="W160" s="648"/>
      <c r="X160" s="7"/>
      <c r="Y160" s="699"/>
      <c r="Z160" s="7"/>
      <c r="AA160" s="618">
        <f t="shared" si="9"/>
        <v>0</v>
      </c>
      <c r="AB160" s="7"/>
      <c r="AC160" s="7"/>
      <c r="AD160" s="7"/>
      <c r="AE160" s="7"/>
      <c r="AF160" s="7"/>
      <c r="AG160" s="7"/>
    </row>
    <row r="161" spans="1:33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4"/>
      <c r="I161" s="214"/>
      <c r="J161" s="214"/>
      <c r="K161" s="213"/>
      <c r="L161" s="215">
        <v>9</v>
      </c>
      <c r="M161" s="213"/>
      <c r="N161" s="292"/>
      <c r="O161" s="213"/>
      <c r="P161" s="372"/>
      <c r="Q161" s="620"/>
      <c r="R161" s="215"/>
      <c r="S161" s="215"/>
      <c r="T161" s="616">
        <f t="shared" si="1"/>
        <v>9</v>
      </c>
      <c r="U161" s="633"/>
      <c r="V161" s="636"/>
      <c r="W161" s="636"/>
      <c r="X161" s="7"/>
      <c r="Y161" s="699">
        <v>9</v>
      </c>
      <c r="Z161" s="7"/>
      <c r="AA161" s="618">
        <f t="shared" si="9"/>
        <v>0</v>
      </c>
      <c r="AB161" s="7"/>
      <c r="AC161" s="7"/>
      <c r="AD161" s="7"/>
      <c r="AE161" s="7"/>
      <c r="AF161" s="7"/>
      <c r="AG161" s="7"/>
    </row>
    <row r="162" spans="1:33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4"/>
      <c r="I162" s="214"/>
      <c r="J162" s="214"/>
      <c r="K162" s="213"/>
      <c r="L162" s="215"/>
      <c r="M162" s="213"/>
      <c r="N162" s="292"/>
      <c r="O162" s="213"/>
      <c r="P162" s="370"/>
      <c r="Q162" s="620"/>
      <c r="R162" s="215"/>
      <c r="S162" s="215"/>
      <c r="T162" s="616">
        <f t="shared" si="1"/>
        <v>0</v>
      </c>
      <c r="U162" s="633"/>
      <c r="V162" s="636"/>
      <c r="W162" s="636"/>
      <c r="X162" s="7"/>
      <c r="Y162" s="699"/>
      <c r="Z162" s="7"/>
      <c r="AA162" s="618">
        <f t="shared" si="9"/>
        <v>0</v>
      </c>
      <c r="AB162" s="7"/>
      <c r="AC162" s="7"/>
      <c r="AD162" s="7"/>
      <c r="AE162" s="7"/>
      <c r="AF162" s="7"/>
      <c r="AG162" s="7"/>
    </row>
    <row r="163" spans="1:33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4"/>
      <c r="I163" s="214"/>
      <c r="J163" s="214"/>
      <c r="K163" s="213"/>
      <c r="L163" s="215"/>
      <c r="M163" s="213"/>
      <c r="N163" s="292"/>
      <c r="O163" s="213"/>
      <c r="P163" s="370"/>
      <c r="Q163" s="620"/>
      <c r="R163" s="215"/>
      <c r="S163" s="215"/>
      <c r="T163" s="616">
        <f t="shared" si="1"/>
        <v>0</v>
      </c>
      <c r="U163" s="633"/>
      <c r="V163" s="636"/>
      <c r="W163" s="636"/>
      <c r="X163" s="7"/>
      <c r="Y163" s="699"/>
      <c r="Z163" s="7"/>
      <c r="AA163" s="618">
        <f t="shared" si="9"/>
        <v>0</v>
      </c>
      <c r="AB163" s="7"/>
      <c r="AC163" s="7"/>
      <c r="AD163" s="7"/>
      <c r="AE163" s="7"/>
      <c r="AF163" s="7"/>
      <c r="AG163" s="7"/>
    </row>
    <row r="164" spans="1:33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4"/>
      <c r="I164" s="214"/>
      <c r="J164" s="214"/>
      <c r="K164" s="213"/>
      <c r="L164" s="215"/>
      <c r="M164" s="213"/>
      <c r="N164" s="292"/>
      <c r="O164" s="213"/>
      <c r="P164" s="370"/>
      <c r="Q164" s="620"/>
      <c r="R164" s="215"/>
      <c r="S164" s="215"/>
      <c r="T164" s="616">
        <f t="shared" si="1"/>
        <v>0</v>
      </c>
      <c r="U164" s="633"/>
      <c r="V164" s="636"/>
      <c r="W164" s="636"/>
      <c r="X164" s="7"/>
      <c r="Y164" s="699"/>
      <c r="Z164" s="7"/>
      <c r="AA164" s="618"/>
      <c r="AB164" s="7"/>
      <c r="AC164" s="7"/>
      <c r="AD164" s="7"/>
      <c r="AE164" s="7"/>
      <c r="AF164" s="7"/>
      <c r="AG164" s="7"/>
    </row>
    <row r="165" spans="1:33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4"/>
      <c r="I165" s="214"/>
      <c r="J165" s="214"/>
      <c r="K165" s="213"/>
      <c r="L165" s="215"/>
      <c r="M165" s="213"/>
      <c r="N165" s="292"/>
      <c r="O165" s="213"/>
      <c r="P165" s="370"/>
      <c r="Q165" s="620"/>
      <c r="R165" s="215"/>
      <c r="S165" s="215"/>
      <c r="T165" s="616">
        <f t="shared" si="1"/>
        <v>0</v>
      </c>
      <c r="U165" s="633"/>
      <c r="V165" s="636"/>
      <c r="W165" s="636"/>
      <c r="X165" s="7"/>
      <c r="Y165" s="699"/>
      <c r="Z165" s="7"/>
      <c r="AA165" s="618">
        <f t="shared" ref="AA165:AA173" si="10">Y165-T165</f>
        <v>0</v>
      </c>
      <c r="AB165" s="7"/>
      <c r="AC165" s="7"/>
      <c r="AD165" s="7"/>
      <c r="AE165" s="7"/>
      <c r="AF165" s="7"/>
      <c r="AG165" s="7"/>
    </row>
    <row r="166" spans="1:33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4"/>
      <c r="I166" s="214"/>
      <c r="J166" s="214"/>
      <c r="K166" s="213"/>
      <c r="L166" s="215"/>
      <c r="M166" s="213"/>
      <c r="N166" s="292"/>
      <c r="O166" s="213"/>
      <c r="P166" s="370"/>
      <c r="Q166" s="620"/>
      <c r="R166" s="215"/>
      <c r="S166" s="215"/>
      <c r="T166" s="616">
        <f t="shared" si="1"/>
        <v>0</v>
      </c>
      <c r="U166" s="633"/>
      <c r="V166" s="636"/>
      <c r="W166" s="636"/>
      <c r="X166" s="7"/>
      <c r="Y166" s="699"/>
      <c r="Z166" s="7"/>
      <c r="AA166" s="618">
        <f t="shared" si="10"/>
        <v>0</v>
      </c>
      <c r="AB166" s="7"/>
      <c r="AC166" s="7"/>
      <c r="AD166" s="7"/>
      <c r="AE166" s="7"/>
      <c r="AF166" s="7"/>
      <c r="AG166" s="7"/>
    </row>
    <row r="167" spans="1:33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4"/>
      <c r="I167" s="214"/>
      <c r="J167" s="214"/>
      <c r="K167" s="213"/>
      <c r="L167" s="215"/>
      <c r="M167" s="213"/>
      <c r="N167" s="292"/>
      <c r="O167" s="213"/>
      <c r="P167" s="370"/>
      <c r="Q167" s="620"/>
      <c r="R167" s="215"/>
      <c r="S167" s="215"/>
      <c r="T167" s="616">
        <f t="shared" si="1"/>
        <v>0</v>
      </c>
      <c r="U167" s="633"/>
      <c r="V167" s="636"/>
      <c r="W167" s="636"/>
      <c r="X167" s="7"/>
      <c r="Y167" s="699"/>
      <c r="Z167" s="7"/>
      <c r="AA167" s="618">
        <f t="shared" si="10"/>
        <v>0</v>
      </c>
      <c r="AB167" s="7"/>
      <c r="AC167" s="7"/>
      <c r="AD167" s="7"/>
      <c r="AE167" s="7"/>
      <c r="AF167" s="7"/>
      <c r="AG167" s="7"/>
    </row>
    <row r="168" spans="1:33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4"/>
      <c r="I168" s="214"/>
      <c r="J168" s="214"/>
      <c r="K168" s="213"/>
      <c r="L168" s="215"/>
      <c r="M168" s="213"/>
      <c r="N168" s="292"/>
      <c r="O168" s="213"/>
      <c r="P168" s="370"/>
      <c r="Q168" s="620"/>
      <c r="R168" s="215"/>
      <c r="S168" s="215"/>
      <c r="T168" s="616">
        <f t="shared" si="1"/>
        <v>0</v>
      </c>
      <c r="U168" s="633"/>
      <c r="V168" s="636"/>
      <c r="W168" s="636"/>
      <c r="X168" s="7"/>
      <c r="Y168" s="699"/>
      <c r="Z168" s="7"/>
      <c r="AA168" s="618">
        <f t="shared" si="10"/>
        <v>0</v>
      </c>
      <c r="AB168" s="7"/>
      <c r="AC168" s="7"/>
      <c r="AD168" s="7"/>
      <c r="AE168" s="7"/>
      <c r="AF168" s="7"/>
      <c r="AG168" s="7"/>
    </row>
    <row r="169" spans="1:33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4"/>
      <c r="I169" s="214"/>
      <c r="J169" s="214"/>
      <c r="K169" s="213"/>
      <c r="L169" s="215"/>
      <c r="M169" s="213"/>
      <c r="N169" s="292"/>
      <c r="O169" s="213"/>
      <c r="P169" s="370"/>
      <c r="Q169" s="620"/>
      <c r="R169" s="215"/>
      <c r="S169" s="215"/>
      <c r="T169" s="616">
        <f t="shared" si="1"/>
        <v>0</v>
      </c>
      <c r="U169" s="633"/>
      <c r="V169" s="636"/>
      <c r="W169" s="636"/>
      <c r="X169" s="7"/>
      <c r="Y169" s="699"/>
      <c r="Z169" s="7"/>
      <c r="AA169" s="618">
        <f t="shared" si="10"/>
        <v>0</v>
      </c>
      <c r="AB169" s="7"/>
      <c r="AC169" s="7"/>
      <c r="AD169" s="7"/>
      <c r="AE169" s="7"/>
      <c r="AF169" s="7"/>
      <c r="AG169" s="7"/>
    </row>
    <row r="170" spans="1:33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4"/>
      <c r="I170" s="214"/>
      <c r="J170" s="214"/>
      <c r="K170" s="213"/>
      <c r="L170" s="215"/>
      <c r="M170" s="213"/>
      <c r="N170" s="292"/>
      <c r="O170" s="213"/>
      <c r="P170" s="370"/>
      <c r="Q170" s="620"/>
      <c r="R170" s="215"/>
      <c r="S170" s="215"/>
      <c r="T170" s="616">
        <f t="shared" si="1"/>
        <v>0</v>
      </c>
      <c r="U170" s="633"/>
      <c r="V170" s="636"/>
      <c r="W170" s="636"/>
      <c r="X170" s="7"/>
      <c r="Y170" s="699"/>
      <c r="Z170" s="7"/>
      <c r="AA170" s="618">
        <f t="shared" si="10"/>
        <v>0</v>
      </c>
      <c r="AB170" s="7"/>
      <c r="AC170" s="7"/>
      <c r="AD170" s="7"/>
      <c r="AE170" s="7"/>
      <c r="AF170" s="7"/>
      <c r="AG170" s="7"/>
    </row>
    <row r="171" spans="1:33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4"/>
      <c r="I171" s="214"/>
      <c r="J171" s="214"/>
      <c r="K171" s="213"/>
      <c r="L171" s="215"/>
      <c r="M171" s="213"/>
      <c r="N171" s="292"/>
      <c r="O171" s="213"/>
      <c r="P171" s="370"/>
      <c r="Q171" s="638"/>
      <c r="R171" s="215"/>
      <c r="S171" s="215"/>
      <c r="T171" s="616">
        <f t="shared" si="1"/>
        <v>0</v>
      </c>
      <c r="U171" s="633"/>
      <c r="V171" s="636"/>
      <c r="W171" s="636"/>
      <c r="X171" s="7"/>
      <c r="Y171" s="699">
        <v>55</v>
      </c>
      <c r="Z171" s="7"/>
      <c r="AA171" s="618">
        <f t="shared" si="10"/>
        <v>55</v>
      </c>
      <c r="AB171" s="7"/>
      <c r="AC171" s="7"/>
      <c r="AD171" s="7"/>
      <c r="AE171" s="7"/>
      <c r="AF171" s="7"/>
      <c r="AG171" s="7"/>
    </row>
    <row r="172" spans="1:33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4"/>
      <c r="I172" s="214"/>
      <c r="J172" s="214"/>
      <c r="K172" s="213"/>
      <c r="L172" s="215"/>
      <c r="M172" s="213"/>
      <c r="N172" s="292"/>
      <c r="O172" s="213"/>
      <c r="P172" s="372"/>
      <c r="Q172" s="638"/>
      <c r="R172" s="215"/>
      <c r="S172" s="215"/>
      <c r="T172" s="616">
        <f t="shared" si="1"/>
        <v>0</v>
      </c>
      <c r="U172" s="633"/>
      <c r="V172" s="640"/>
      <c r="W172" s="640"/>
      <c r="X172" s="7"/>
      <c r="Y172" s="699"/>
      <c r="Z172" s="7"/>
      <c r="AA172" s="618">
        <f t="shared" si="10"/>
        <v>0</v>
      </c>
      <c r="AB172" s="7"/>
      <c r="AC172" s="7"/>
      <c r="AD172" s="7"/>
      <c r="AE172" s="7"/>
      <c r="AF172" s="7"/>
      <c r="AG172" s="7"/>
    </row>
    <row r="173" spans="1:33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4"/>
      <c r="I173" s="214"/>
      <c r="J173" s="214"/>
      <c r="K173" s="213"/>
      <c r="L173" s="215">
        <v>2</v>
      </c>
      <c r="M173" s="213">
        <v>28</v>
      </c>
      <c r="N173" s="292"/>
      <c r="O173" s="213"/>
      <c r="P173" s="372"/>
      <c r="Q173" s="620">
        <v>12</v>
      </c>
      <c r="R173" s="215"/>
      <c r="S173" s="215"/>
      <c r="T173" s="616">
        <f t="shared" si="1"/>
        <v>42</v>
      </c>
      <c r="U173" s="633"/>
      <c r="V173" s="636"/>
      <c r="W173" s="636"/>
      <c r="X173" s="7"/>
      <c r="Y173" s="699">
        <v>71</v>
      </c>
      <c r="Z173" s="7"/>
      <c r="AA173" s="618">
        <f t="shared" si="10"/>
        <v>29</v>
      </c>
      <c r="AB173" s="7"/>
      <c r="AC173" s="7"/>
      <c r="AD173" s="7"/>
      <c r="AE173" s="7"/>
      <c r="AF173" s="7"/>
      <c r="AG173" s="7"/>
    </row>
    <row r="174" spans="1:33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4"/>
      <c r="I174" s="214"/>
      <c r="J174" s="214"/>
      <c r="K174" s="213"/>
      <c r="L174" s="215"/>
      <c r="M174" s="213"/>
      <c r="N174" s="292"/>
      <c r="O174" s="213"/>
      <c r="P174" s="372"/>
      <c r="Q174" s="647">
        <v>12</v>
      </c>
      <c r="R174" s="215"/>
      <c r="S174" s="215"/>
      <c r="T174" s="616">
        <f t="shared" si="1"/>
        <v>12</v>
      </c>
      <c r="U174" s="633"/>
      <c r="V174" s="648"/>
      <c r="W174" s="648"/>
      <c r="X174" s="7"/>
      <c r="Y174" s="699">
        <v>37</v>
      </c>
      <c r="Z174" s="7"/>
      <c r="AA174" s="618"/>
      <c r="AB174" s="7"/>
      <c r="AC174" s="7"/>
      <c r="AD174" s="7"/>
      <c r="AE174" s="7"/>
      <c r="AF174" s="7"/>
      <c r="AG174" s="7"/>
    </row>
    <row r="175" spans="1:33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4"/>
      <c r="I175" s="214"/>
      <c r="J175" s="214"/>
      <c r="K175" s="213"/>
      <c r="L175" s="215"/>
      <c r="M175" s="213"/>
      <c r="N175" s="292"/>
      <c r="O175" s="213"/>
      <c r="P175" s="372"/>
      <c r="Q175" s="647"/>
      <c r="R175" s="215"/>
      <c r="S175" s="215"/>
      <c r="T175" s="616">
        <f t="shared" si="1"/>
        <v>0</v>
      </c>
      <c r="U175" s="633"/>
      <c r="V175" s="648"/>
      <c r="W175" s="648"/>
      <c r="X175" s="7"/>
      <c r="Y175" s="699">
        <v>2</v>
      </c>
      <c r="Z175" s="7"/>
      <c r="AA175" s="618"/>
      <c r="AB175" s="7"/>
      <c r="AC175" s="7"/>
      <c r="AD175" s="7"/>
      <c r="AE175" s="7"/>
      <c r="AF175" s="7"/>
      <c r="AG175" s="7"/>
    </row>
    <row r="176" spans="1:33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4"/>
      <c r="I176" s="214"/>
      <c r="J176" s="214"/>
      <c r="K176" s="213"/>
      <c r="L176" s="215"/>
      <c r="M176" s="213"/>
      <c r="N176" s="292"/>
      <c r="O176" s="213"/>
      <c r="P176" s="372"/>
      <c r="Q176" s="647"/>
      <c r="R176" s="215"/>
      <c r="S176" s="215"/>
      <c r="T176" s="616">
        <f t="shared" si="1"/>
        <v>0</v>
      </c>
      <c r="U176" s="633"/>
      <c r="V176" s="648"/>
      <c r="W176" s="648"/>
      <c r="X176" s="7"/>
      <c r="Y176" s="699">
        <v>32</v>
      </c>
      <c r="Z176" s="7"/>
      <c r="AA176" s="618"/>
      <c r="AB176" s="7"/>
      <c r="AC176" s="7"/>
      <c r="AD176" s="7"/>
      <c r="AE176" s="7"/>
      <c r="AF176" s="7"/>
      <c r="AG176" s="7"/>
    </row>
    <row r="177" spans="1:33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4"/>
      <c r="I177" s="214"/>
      <c r="J177" s="214"/>
      <c r="K177" s="213"/>
      <c r="L177" s="215"/>
      <c r="M177" s="213"/>
      <c r="N177" s="292"/>
      <c r="O177" s="213"/>
      <c r="P177" s="372"/>
      <c r="Q177" s="647"/>
      <c r="R177" s="215"/>
      <c r="S177" s="215"/>
      <c r="T177" s="616">
        <f t="shared" si="1"/>
        <v>0</v>
      </c>
      <c r="U177" s="633"/>
      <c r="V177" s="648"/>
      <c r="W177" s="648"/>
      <c r="X177" s="7"/>
      <c r="Y177" s="699"/>
      <c r="Z177" s="7"/>
      <c r="AA177" s="618">
        <f t="shared" ref="AA177:AA178" si="11">Y177-T177</f>
        <v>0</v>
      </c>
      <c r="AB177" s="7"/>
      <c r="AC177" s="7"/>
      <c r="AD177" s="7"/>
      <c r="AE177" s="7"/>
      <c r="AF177" s="7"/>
      <c r="AG177" s="7"/>
    </row>
    <row r="178" spans="1:33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4"/>
      <c r="I178" s="214"/>
      <c r="J178" s="214"/>
      <c r="K178" s="213"/>
      <c r="L178" s="215"/>
      <c r="M178" s="213">
        <v>699</v>
      </c>
      <c r="N178" s="292"/>
      <c r="O178" s="213"/>
      <c r="P178" s="372">
        <f>SUM(P179:P180)</f>
        <v>0</v>
      </c>
      <c r="Q178" s="620"/>
      <c r="R178" s="215"/>
      <c r="S178" s="215"/>
      <c r="T178" s="616">
        <f t="shared" si="1"/>
        <v>699</v>
      </c>
      <c r="U178" s="633"/>
      <c r="V178" s="636"/>
      <c r="W178" s="636"/>
      <c r="X178" s="7"/>
      <c r="Y178" s="699">
        <v>780</v>
      </c>
      <c r="Z178" s="7"/>
      <c r="AA178" s="618">
        <f t="shared" si="11"/>
        <v>81</v>
      </c>
      <c r="AB178" s="7"/>
      <c r="AC178" s="7"/>
      <c r="AD178" s="7"/>
      <c r="AE178" s="7"/>
      <c r="AF178" s="7"/>
      <c r="AG178" s="7"/>
    </row>
    <row r="179" spans="1:33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4"/>
      <c r="I179" s="214"/>
      <c r="J179" s="214"/>
      <c r="K179" s="213"/>
      <c r="L179" s="215"/>
      <c r="M179" s="213"/>
      <c r="N179" s="292"/>
      <c r="O179" s="213"/>
      <c r="P179" s="372"/>
      <c r="Q179" s="647"/>
      <c r="R179" s="215"/>
      <c r="S179" s="215"/>
      <c r="T179" s="616">
        <f t="shared" si="1"/>
        <v>0</v>
      </c>
      <c r="U179" s="633"/>
      <c r="V179" s="648"/>
      <c r="W179" s="648"/>
      <c r="X179" s="7"/>
      <c r="Y179" s="699"/>
      <c r="Z179" s="7"/>
      <c r="AA179" s="618"/>
      <c r="AB179" s="7"/>
      <c r="AC179" s="7"/>
      <c r="AD179" s="7"/>
      <c r="AE179" s="7"/>
      <c r="AF179" s="7"/>
      <c r="AG179" s="7"/>
    </row>
    <row r="180" spans="1:33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4"/>
      <c r="I180" s="214"/>
      <c r="J180" s="214"/>
      <c r="K180" s="213"/>
      <c r="L180" s="215"/>
      <c r="M180" s="213"/>
      <c r="N180" s="292"/>
      <c r="O180" s="213"/>
      <c r="P180" s="372"/>
      <c r="Q180" s="647"/>
      <c r="R180" s="215"/>
      <c r="S180" s="215"/>
      <c r="T180" s="616">
        <f t="shared" si="1"/>
        <v>0</v>
      </c>
      <c r="U180" s="633"/>
      <c r="V180" s="648"/>
      <c r="W180" s="648"/>
      <c r="X180" s="7"/>
      <c r="Y180" s="699"/>
      <c r="Z180" s="7"/>
      <c r="AA180" s="618"/>
      <c r="AB180" s="7"/>
      <c r="AC180" s="7"/>
      <c r="AD180" s="7"/>
      <c r="AE180" s="7"/>
      <c r="AF180" s="7"/>
      <c r="AG180" s="7"/>
    </row>
    <row r="181" spans="1:33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4"/>
      <c r="I181" s="214"/>
      <c r="J181" s="214"/>
      <c r="K181" s="213"/>
      <c r="L181" s="215"/>
      <c r="M181" s="213"/>
      <c r="N181" s="292"/>
      <c r="O181" s="213"/>
      <c r="P181" s="372"/>
      <c r="Q181" s="647"/>
      <c r="R181" s="215"/>
      <c r="S181" s="215"/>
      <c r="T181" s="616">
        <f t="shared" si="1"/>
        <v>0</v>
      </c>
      <c r="U181" s="633"/>
      <c r="V181" s="636"/>
      <c r="W181" s="636"/>
      <c r="X181" s="7"/>
      <c r="Y181" s="699"/>
      <c r="Z181" s="7"/>
      <c r="AA181" s="618">
        <f t="shared" ref="AA181:AA205" si="12">Y181-T181</f>
        <v>0</v>
      </c>
      <c r="AB181" s="7"/>
      <c r="AC181" s="7"/>
      <c r="AD181" s="7"/>
      <c r="AE181" s="7"/>
      <c r="AF181" s="7"/>
      <c r="AG181" s="7"/>
    </row>
    <row r="182" spans="1:33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4"/>
      <c r="I182" s="214"/>
      <c r="J182" s="214"/>
      <c r="K182" s="213"/>
      <c r="L182" s="215"/>
      <c r="M182" s="213"/>
      <c r="N182" s="292"/>
      <c r="O182" s="213"/>
      <c r="P182" s="372"/>
      <c r="Q182" s="620"/>
      <c r="R182" s="215"/>
      <c r="S182" s="215"/>
      <c r="T182" s="616">
        <f t="shared" si="1"/>
        <v>0</v>
      </c>
      <c r="U182" s="633"/>
      <c r="V182" s="636"/>
      <c r="W182" s="636"/>
      <c r="X182" s="7"/>
      <c r="Y182" s="699"/>
      <c r="Z182" s="7"/>
      <c r="AA182" s="618">
        <f t="shared" si="12"/>
        <v>0</v>
      </c>
      <c r="AB182" s="7"/>
      <c r="AC182" s="7"/>
      <c r="AD182" s="7"/>
      <c r="AE182" s="7"/>
      <c r="AF182" s="7"/>
      <c r="AG182" s="7"/>
    </row>
    <row r="183" spans="1:33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4"/>
      <c r="I183" s="214"/>
      <c r="J183" s="214"/>
      <c r="K183" s="213"/>
      <c r="L183" s="215"/>
      <c r="M183" s="213"/>
      <c r="N183" s="292"/>
      <c r="O183" s="213"/>
      <c r="P183" s="372"/>
      <c r="Q183" s="638"/>
      <c r="R183" s="215"/>
      <c r="S183" s="215"/>
      <c r="T183" s="616">
        <f t="shared" si="1"/>
        <v>0</v>
      </c>
      <c r="U183" s="633"/>
      <c r="V183" s="636"/>
      <c r="W183" s="636"/>
      <c r="X183" s="7"/>
      <c r="Y183" s="699"/>
      <c r="Z183" s="7"/>
      <c r="AA183" s="618">
        <f t="shared" si="12"/>
        <v>0</v>
      </c>
      <c r="AB183" s="7"/>
      <c r="AC183" s="7"/>
      <c r="AD183" s="7"/>
      <c r="AE183" s="7"/>
      <c r="AF183" s="7"/>
      <c r="AG183" s="7"/>
    </row>
    <row r="184" spans="1:33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4"/>
      <c r="I184" s="214"/>
      <c r="J184" s="214"/>
      <c r="K184" s="213"/>
      <c r="L184" s="215"/>
      <c r="M184" s="213"/>
      <c r="N184" s="292"/>
      <c r="O184" s="213"/>
      <c r="P184" s="372"/>
      <c r="Q184" s="638"/>
      <c r="R184" s="215"/>
      <c r="S184" s="215"/>
      <c r="T184" s="616">
        <f t="shared" si="1"/>
        <v>0</v>
      </c>
      <c r="U184" s="633"/>
      <c r="V184" s="636"/>
      <c r="W184" s="636"/>
      <c r="X184" s="7"/>
      <c r="Y184" s="699"/>
      <c r="Z184" s="7"/>
      <c r="AA184" s="618">
        <f t="shared" si="12"/>
        <v>0</v>
      </c>
      <c r="AB184" s="7"/>
      <c r="AC184" s="7"/>
      <c r="AD184" s="7"/>
      <c r="AE184" s="7"/>
      <c r="AF184" s="7"/>
      <c r="AG184" s="7"/>
    </row>
    <row r="185" spans="1:33" ht="18.75" customHeight="1">
      <c r="A185" s="486">
        <v>7.7</v>
      </c>
      <c r="B185" s="487" t="s">
        <v>412</v>
      </c>
      <c r="C185" s="635" t="s">
        <v>413</v>
      </c>
      <c r="D185" s="412" t="s">
        <v>2365</v>
      </c>
      <c r="E185" s="213"/>
      <c r="F185" s="213"/>
      <c r="G185" s="213"/>
      <c r="H185" s="214"/>
      <c r="I185" s="214"/>
      <c r="J185" s="214"/>
      <c r="K185" s="213"/>
      <c r="L185" s="215"/>
      <c r="M185" s="213"/>
      <c r="N185" s="292"/>
      <c r="O185" s="213"/>
      <c r="P185" s="372"/>
      <c r="Q185" s="620"/>
      <c r="R185" s="215"/>
      <c r="S185" s="215"/>
      <c r="T185" s="616">
        <f t="shared" si="1"/>
        <v>0</v>
      </c>
      <c r="U185" s="633"/>
      <c r="V185" s="636"/>
      <c r="W185" s="636"/>
      <c r="X185" s="7"/>
      <c r="Y185" s="699"/>
      <c r="Z185" s="7"/>
      <c r="AA185" s="618">
        <f t="shared" si="12"/>
        <v>0</v>
      </c>
      <c r="AB185" s="7"/>
      <c r="AC185" s="7"/>
      <c r="AD185" s="7"/>
      <c r="AE185" s="7"/>
      <c r="AF185" s="7"/>
      <c r="AG185" s="7"/>
    </row>
    <row r="186" spans="1:33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4"/>
      <c r="I186" s="214"/>
      <c r="J186" s="214"/>
      <c r="K186" s="213"/>
      <c r="L186" s="215"/>
      <c r="M186" s="213"/>
      <c r="N186" s="292"/>
      <c r="O186" s="213"/>
      <c r="P186" s="372"/>
      <c r="Q186" s="638"/>
      <c r="R186" s="215"/>
      <c r="S186" s="215"/>
      <c r="T186" s="616">
        <f t="shared" si="1"/>
        <v>0</v>
      </c>
      <c r="U186" s="633"/>
      <c r="V186" s="636"/>
      <c r="W186" s="636"/>
      <c r="X186" s="7"/>
      <c r="Y186" s="699"/>
      <c r="Z186" s="7"/>
      <c r="AA186" s="618">
        <f t="shared" si="12"/>
        <v>0</v>
      </c>
      <c r="AB186" s="7"/>
      <c r="AC186" s="7"/>
      <c r="AD186" s="7"/>
      <c r="AE186" s="7"/>
      <c r="AF186" s="7"/>
      <c r="AG186" s="7"/>
    </row>
    <row r="187" spans="1:33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4"/>
      <c r="I187" s="214"/>
      <c r="J187" s="214"/>
      <c r="K187" s="213"/>
      <c r="L187" s="215"/>
      <c r="M187" s="213"/>
      <c r="N187" s="292"/>
      <c r="O187" s="213"/>
      <c r="P187" s="372"/>
      <c r="Q187" s="638"/>
      <c r="R187" s="215"/>
      <c r="S187" s="215"/>
      <c r="T187" s="616">
        <f t="shared" si="1"/>
        <v>0</v>
      </c>
      <c r="U187" s="633"/>
      <c r="V187" s="640"/>
      <c r="W187" s="640"/>
      <c r="X187" s="7"/>
      <c r="Y187" s="699"/>
      <c r="Z187" s="7"/>
      <c r="AA187" s="618">
        <f t="shared" si="12"/>
        <v>0</v>
      </c>
      <c r="AB187" s="7"/>
      <c r="AC187" s="7"/>
      <c r="AD187" s="7"/>
      <c r="AE187" s="7"/>
      <c r="AF187" s="7"/>
      <c r="AG187" s="7"/>
    </row>
    <row r="188" spans="1:33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4"/>
      <c r="I188" s="214"/>
      <c r="J188" s="214"/>
      <c r="K188" s="213"/>
      <c r="L188" s="215"/>
      <c r="M188" s="213"/>
      <c r="N188" s="292"/>
      <c r="O188" s="213"/>
      <c r="P188" s="372"/>
      <c r="Q188" s="647"/>
      <c r="R188" s="215"/>
      <c r="S188" s="215"/>
      <c r="T188" s="616">
        <f t="shared" si="1"/>
        <v>0</v>
      </c>
      <c r="U188" s="633"/>
      <c r="V188" s="636"/>
      <c r="W188" s="636"/>
      <c r="X188" s="7"/>
      <c r="Y188" s="699"/>
      <c r="Z188" s="7"/>
      <c r="AA188" s="618">
        <f t="shared" si="12"/>
        <v>0</v>
      </c>
      <c r="AB188" s="7"/>
      <c r="AC188" s="7"/>
      <c r="AD188" s="7"/>
      <c r="AE188" s="7"/>
      <c r="AF188" s="7"/>
      <c r="AG188" s="7"/>
    </row>
    <row r="189" spans="1:33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4"/>
      <c r="I189" s="214"/>
      <c r="J189" s="214"/>
      <c r="K189" s="213"/>
      <c r="L189" s="215"/>
      <c r="M189" s="213"/>
      <c r="N189" s="292"/>
      <c r="O189" s="213"/>
      <c r="P189" s="372"/>
      <c r="Q189" s="647"/>
      <c r="R189" s="215"/>
      <c r="S189" s="215"/>
      <c r="T189" s="616">
        <f t="shared" si="1"/>
        <v>0</v>
      </c>
      <c r="U189" s="633"/>
      <c r="V189" s="648"/>
      <c r="W189" s="648"/>
      <c r="X189" s="7"/>
      <c r="Y189" s="699"/>
      <c r="Z189" s="7"/>
      <c r="AA189" s="618">
        <f t="shared" si="12"/>
        <v>0</v>
      </c>
      <c r="AB189" s="7"/>
      <c r="AC189" s="7"/>
      <c r="AD189" s="7"/>
      <c r="AE189" s="7"/>
      <c r="AF189" s="7"/>
      <c r="AG189" s="7"/>
    </row>
    <row r="190" spans="1:33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4"/>
      <c r="I190" s="214"/>
      <c r="J190" s="214"/>
      <c r="K190" s="213"/>
      <c r="L190" s="215"/>
      <c r="M190" s="213"/>
      <c r="N190" s="292"/>
      <c r="O190" s="213"/>
      <c r="P190" s="372"/>
      <c r="Q190" s="647"/>
      <c r="R190" s="215"/>
      <c r="S190" s="215"/>
      <c r="T190" s="616">
        <f t="shared" si="1"/>
        <v>0</v>
      </c>
      <c r="U190" s="633"/>
      <c r="V190" s="648"/>
      <c r="W190" s="648"/>
      <c r="X190" s="7"/>
      <c r="Y190" s="699"/>
      <c r="Z190" s="7"/>
      <c r="AA190" s="618">
        <f t="shared" si="12"/>
        <v>0</v>
      </c>
      <c r="AB190" s="7"/>
      <c r="AC190" s="7"/>
      <c r="AD190" s="7"/>
      <c r="AE190" s="7"/>
      <c r="AF190" s="7"/>
      <c r="AG190" s="7"/>
    </row>
    <row r="191" spans="1:33" ht="20.25" customHeight="1">
      <c r="A191" s="503"/>
      <c r="B191" s="483" t="s">
        <v>428</v>
      </c>
      <c r="C191" s="658" t="s">
        <v>429</v>
      </c>
      <c r="D191" s="504" t="s">
        <v>2366</v>
      </c>
      <c r="E191" s="213"/>
      <c r="F191" s="213"/>
      <c r="G191" s="213"/>
      <c r="H191" s="214"/>
      <c r="I191" s="214"/>
      <c r="J191" s="214"/>
      <c r="K191" s="213"/>
      <c r="L191" s="215"/>
      <c r="M191" s="213"/>
      <c r="N191" s="292"/>
      <c r="O191" s="213"/>
      <c r="P191" s="372"/>
      <c r="Q191" s="647"/>
      <c r="R191" s="215"/>
      <c r="S191" s="215"/>
      <c r="T191" s="616">
        <f t="shared" si="1"/>
        <v>0</v>
      </c>
      <c r="U191" s="633"/>
      <c r="V191" s="648"/>
      <c r="W191" s="648"/>
      <c r="X191" s="7"/>
      <c r="Y191" s="699"/>
      <c r="Z191" s="7"/>
      <c r="AA191" s="618">
        <f t="shared" si="12"/>
        <v>0</v>
      </c>
      <c r="AB191" s="7"/>
      <c r="AC191" s="7"/>
      <c r="AD191" s="7"/>
      <c r="AE191" s="7"/>
      <c r="AF191" s="7"/>
      <c r="AG191" s="7"/>
    </row>
    <row r="192" spans="1:33" ht="20.25" customHeight="1">
      <c r="A192" s="503"/>
      <c r="B192" s="483" t="s">
        <v>426</v>
      </c>
      <c r="C192" s="658" t="s">
        <v>431</v>
      </c>
      <c r="D192" s="504" t="s">
        <v>2367</v>
      </c>
      <c r="E192" s="213"/>
      <c r="F192" s="213"/>
      <c r="G192" s="213"/>
      <c r="H192" s="214"/>
      <c r="I192" s="214"/>
      <c r="J192" s="214"/>
      <c r="K192" s="213"/>
      <c r="L192" s="215"/>
      <c r="M192" s="213"/>
      <c r="N192" s="292"/>
      <c r="O192" s="213"/>
      <c r="P192" s="372"/>
      <c r="Q192" s="647"/>
      <c r="R192" s="215"/>
      <c r="S192" s="215"/>
      <c r="T192" s="616">
        <f t="shared" si="1"/>
        <v>0</v>
      </c>
      <c r="U192" s="633"/>
      <c r="V192" s="636"/>
      <c r="W192" s="636"/>
      <c r="X192" s="7"/>
      <c r="Y192" s="699"/>
      <c r="Z192" s="7"/>
      <c r="AA192" s="618">
        <f t="shared" si="12"/>
        <v>0</v>
      </c>
      <c r="AB192" s="7"/>
      <c r="AC192" s="7"/>
      <c r="AD192" s="7"/>
      <c r="AE192" s="7"/>
      <c r="AF192" s="7"/>
      <c r="AG192" s="7"/>
    </row>
    <row r="193" spans="1:33" ht="20.25" customHeight="1">
      <c r="A193" s="503"/>
      <c r="B193" s="483" t="s">
        <v>428</v>
      </c>
      <c r="C193" s="658" t="s">
        <v>433</v>
      </c>
      <c r="D193" s="504" t="s">
        <v>2368</v>
      </c>
      <c r="E193" s="213"/>
      <c r="F193" s="213"/>
      <c r="G193" s="213"/>
      <c r="H193" s="214"/>
      <c r="I193" s="214"/>
      <c r="J193" s="214"/>
      <c r="K193" s="213"/>
      <c r="L193" s="215"/>
      <c r="M193" s="213"/>
      <c r="N193" s="292"/>
      <c r="O193" s="213"/>
      <c r="P193" s="372"/>
      <c r="Q193" s="647"/>
      <c r="R193" s="215"/>
      <c r="S193" s="215"/>
      <c r="T193" s="616">
        <f t="shared" si="1"/>
        <v>0</v>
      </c>
      <c r="U193" s="633"/>
      <c r="V193" s="648"/>
      <c r="W193" s="648"/>
      <c r="X193" s="7"/>
      <c r="Y193" s="699"/>
      <c r="Z193" s="7"/>
      <c r="AA193" s="618">
        <f t="shared" si="12"/>
        <v>0</v>
      </c>
      <c r="AB193" s="7"/>
      <c r="AC193" s="7"/>
      <c r="AD193" s="7"/>
      <c r="AE193" s="7"/>
      <c r="AF193" s="7"/>
      <c r="AG193" s="7"/>
    </row>
    <row r="194" spans="1:33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4"/>
      <c r="I194" s="214"/>
      <c r="J194" s="214"/>
      <c r="K194" s="213"/>
      <c r="L194" s="215"/>
      <c r="M194" s="213"/>
      <c r="N194" s="292"/>
      <c r="O194" s="213"/>
      <c r="P194" s="372"/>
      <c r="Q194" s="620"/>
      <c r="R194" s="215"/>
      <c r="S194" s="215"/>
      <c r="T194" s="616">
        <f t="shared" si="1"/>
        <v>0</v>
      </c>
      <c r="U194" s="633"/>
      <c r="V194" s="654"/>
      <c r="W194" s="654"/>
      <c r="X194" s="7"/>
      <c r="Y194" s="699"/>
      <c r="Z194" s="7"/>
      <c r="AA194" s="618">
        <f t="shared" si="12"/>
        <v>0</v>
      </c>
      <c r="AB194" s="7"/>
      <c r="AC194" s="7"/>
      <c r="AD194" s="7"/>
      <c r="AE194" s="7"/>
      <c r="AF194" s="7"/>
      <c r="AG194" s="7"/>
    </row>
    <row r="195" spans="1:33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4"/>
      <c r="I195" s="214"/>
      <c r="J195" s="214"/>
      <c r="K195" s="213"/>
      <c r="L195" s="215"/>
      <c r="M195" s="213"/>
      <c r="N195" s="292"/>
      <c r="O195" s="213"/>
      <c r="P195" s="372"/>
      <c r="Q195" s="647"/>
      <c r="R195" s="215"/>
      <c r="S195" s="215"/>
      <c r="T195" s="616">
        <f t="shared" si="1"/>
        <v>0</v>
      </c>
      <c r="U195" s="633"/>
      <c r="V195" s="648"/>
      <c r="W195" s="648"/>
      <c r="X195" s="7"/>
      <c r="Y195" s="699"/>
      <c r="Z195" s="7"/>
      <c r="AA195" s="618">
        <f t="shared" si="12"/>
        <v>0</v>
      </c>
      <c r="AB195" s="7"/>
      <c r="AC195" s="7"/>
      <c r="AD195" s="7"/>
      <c r="AE195" s="7"/>
      <c r="AF195" s="7"/>
      <c r="AG195" s="7"/>
    </row>
    <row r="196" spans="1:33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4"/>
      <c r="I196" s="214"/>
      <c r="J196" s="214"/>
      <c r="K196" s="213"/>
      <c r="L196" s="215"/>
      <c r="M196" s="213"/>
      <c r="N196" s="292"/>
      <c r="O196" s="213"/>
      <c r="P196" s="372"/>
      <c r="Q196" s="647"/>
      <c r="R196" s="215"/>
      <c r="S196" s="215"/>
      <c r="T196" s="616">
        <f t="shared" si="1"/>
        <v>0</v>
      </c>
      <c r="U196" s="633"/>
      <c r="V196" s="636"/>
      <c r="W196" s="636"/>
      <c r="X196" s="7"/>
      <c r="Y196" s="699"/>
      <c r="Z196" s="7"/>
      <c r="AA196" s="618">
        <f t="shared" si="12"/>
        <v>0</v>
      </c>
      <c r="AB196" s="7"/>
      <c r="AC196" s="7"/>
      <c r="AD196" s="7"/>
      <c r="AE196" s="7"/>
      <c r="AF196" s="7"/>
      <c r="AG196" s="7"/>
    </row>
    <row r="197" spans="1:33" ht="20.25" customHeight="1">
      <c r="A197" s="503"/>
      <c r="B197" s="483" t="s">
        <v>440</v>
      </c>
      <c r="C197" s="658" t="s">
        <v>429</v>
      </c>
      <c r="D197" s="504" t="s">
        <v>2369</v>
      </c>
      <c r="E197" s="213"/>
      <c r="F197" s="213"/>
      <c r="G197" s="213"/>
      <c r="H197" s="214"/>
      <c r="I197" s="214"/>
      <c r="J197" s="214"/>
      <c r="K197" s="213"/>
      <c r="L197" s="215"/>
      <c r="M197" s="213"/>
      <c r="N197" s="292"/>
      <c r="O197" s="213"/>
      <c r="P197" s="372"/>
      <c r="Q197" s="647"/>
      <c r="R197" s="215"/>
      <c r="S197" s="215"/>
      <c r="T197" s="616">
        <f t="shared" si="1"/>
        <v>0</v>
      </c>
      <c r="U197" s="633"/>
      <c r="V197" s="648"/>
      <c r="W197" s="648"/>
      <c r="X197" s="7"/>
      <c r="Y197" s="699"/>
      <c r="Z197" s="7"/>
      <c r="AA197" s="618">
        <f t="shared" si="12"/>
        <v>0</v>
      </c>
      <c r="AB197" s="7"/>
      <c r="AC197" s="7"/>
      <c r="AD197" s="7"/>
      <c r="AE197" s="7"/>
      <c r="AF197" s="7"/>
      <c r="AG197" s="7"/>
    </row>
    <row r="198" spans="1:33" ht="20.25" customHeight="1">
      <c r="A198" s="503"/>
      <c r="B198" s="483" t="s">
        <v>439</v>
      </c>
      <c r="C198" s="658" t="s">
        <v>431</v>
      </c>
      <c r="D198" s="504" t="s">
        <v>2370</v>
      </c>
      <c r="E198" s="213"/>
      <c r="F198" s="213"/>
      <c r="G198" s="213"/>
      <c r="H198" s="214"/>
      <c r="I198" s="214"/>
      <c r="J198" s="214"/>
      <c r="K198" s="213"/>
      <c r="L198" s="215"/>
      <c r="M198" s="213"/>
      <c r="N198" s="292"/>
      <c r="O198" s="213"/>
      <c r="P198" s="372"/>
      <c r="Q198" s="647"/>
      <c r="R198" s="215"/>
      <c r="S198" s="215"/>
      <c r="T198" s="616">
        <f t="shared" si="1"/>
        <v>0</v>
      </c>
      <c r="U198" s="633"/>
      <c r="V198" s="648"/>
      <c r="W198" s="648"/>
      <c r="X198" s="7"/>
      <c r="Y198" s="699"/>
      <c r="Z198" s="7"/>
      <c r="AA198" s="618">
        <f t="shared" si="12"/>
        <v>0</v>
      </c>
      <c r="AB198" s="7"/>
      <c r="AC198" s="7"/>
      <c r="AD198" s="7"/>
      <c r="AE198" s="7"/>
      <c r="AF198" s="7"/>
      <c r="AG198" s="7"/>
    </row>
    <row r="199" spans="1:33" ht="20.25" customHeight="1">
      <c r="A199" s="503"/>
      <c r="B199" s="483" t="s">
        <v>440</v>
      </c>
      <c r="C199" s="658" t="s">
        <v>433</v>
      </c>
      <c r="D199" s="504" t="s">
        <v>2371</v>
      </c>
      <c r="E199" s="213"/>
      <c r="F199" s="213"/>
      <c r="G199" s="213"/>
      <c r="H199" s="214"/>
      <c r="I199" s="214"/>
      <c r="J199" s="214"/>
      <c r="K199" s="213"/>
      <c r="L199" s="215"/>
      <c r="M199" s="213"/>
      <c r="N199" s="292"/>
      <c r="O199" s="213"/>
      <c r="P199" s="372"/>
      <c r="Q199" s="647"/>
      <c r="R199" s="215"/>
      <c r="S199" s="215"/>
      <c r="T199" s="616">
        <f t="shared" si="1"/>
        <v>0</v>
      </c>
      <c r="U199" s="633"/>
      <c r="V199" s="648"/>
      <c r="W199" s="648"/>
      <c r="X199" s="7"/>
      <c r="Y199" s="699"/>
      <c r="Z199" s="7"/>
      <c r="AA199" s="618">
        <f t="shared" si="12"/>
        <v>0</v>
      </c>
      <c r="AB199" s="7"/>
      <c r="AC199" s="7"/>
      <c r="AD199" s="7"/>
      <c r="AE199" s="7"/>
      <c r="AF199" s="7"/>
      <c r="AG199" s="7"/>
    </row>
    <row r="200" spans="1:33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4"/>
      <c r="I200" s="214"/>
      <c r="J200" s="214"/>
      <c r="K200" s="213"/>
      <c r="L200" s="215"/>
      <c r="M200" s="213"/>
      <c r="N200" s="292"/>
      <c r="O200" s="213"/>
      <c r="P200" s="372"/>
      <c r="Q200" s="620"/>
      <c r="R200" s="215"/>
      <c r="S200" s="215"/>
      <c r="T200" s="616">
        <f t="shared" si="1"/>
        <v>0</v>
      </c>
      <c r="U200" s="633"/>
      <c r="V200" s="636"/>
      <c r="W200" s="636"/>
      <c r="X200" s="7"/>
      <c r="Y200" s="699"/>
      <c r="Z200" s="7"/>
      <c r="AA200" s="618">
        <f t="shared" si="12"/>
        <v>0</v>
      </c>
      <c r="AB200" s="7"/>
      <c r="AC200" s="7"/>
      <c r="AD200" s="7"/>
      <c r="AE200" s="7"/>
      <c r="AF200" s="7"/>
      <c r="AG200" s="7"/>
    </row>
    <row r="201" spans="1:33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4"/>
      <c r="I201" s="214"/>
      <c r="J201" s="214">
        <v>20</v>
      </c>
      <c r="K201" s="213"/>
      <c r="L201" s="215"/>
      <c r="M201" s="213">
        <v>400</v>
      </c>
      <c r="N201" s="292"/>
      <c r="O201" s="213"/>
      <c r="P201" s="372"/>
      <c r="Q201" s="647"/>
      <c r="R201" s="215"/>
      <c r="S201" s="215"/>
      <c r="T201" s="616">
        <f t="shared" si="1"/>
        <v>420</v>
      </c>
      <c r="U201" s="633"/>
      <c r="V201" s="648"/>
      <c r="W201" s="648"/>
      <c r="X201" s="7"/>
      <c r="Y201" s="699">
        <v>795</v>
      </c>
      <c r="Z201" s="7"/>
      <c r="AA201" s="618">
        <f t="shared" si="12"/>
        <v>375</v>
      </c>
      <c r="AB201" s="7"/>
      <c r="AC201" s="7"/>
      <c r="AD201" s="7"/>
      <c r="AE201" s="7"/>
      <c r="AF201" s="7"/>
      <c r="AG201" s="7"/>
    </row>
    <row r="202" spans="1:33" ht="20.25" customHeight="1">
      <c r="A202" s="503"/>
      <c r="B202" s="483" t="s">
        <v>449</v>
      </c>
      <c r="C202" s="658" t="s">
        <v>450</v>
      </c>
      <c r="D202" s="504" t="s">
        <v>2372</v>
      </c>
      <c r="E202" s="213"/>
      <c r="F202" s="213"/>
      <c r="G202" s="213"/>
      <c r="H202" s="214"/>
      <c r="I202" s="214"/>
      <c r="J202" s="214"/>
      <c r="K202" s="213"/>
      <c r="L202" s="215"/>
      <c r="M202" s="213"/>
      <c r="N202" s="292"/>
      <c r="O202" s="213"/>
      <c r="P202" s="372"/>
      <c r="Q202" s="647"/>
      <c r="R202" s="215"/>
      <c r="S202" s="215"/>
      <c r="T202" s="616">
        <f t="shared" si="1"/>
        <v>0</v>
      </c>
      <c r="U202" s="633"/>
      <c r="V202" s="648"/>
      <c r="W202" s="648"/>
      <c r="X202" s="7"/>
      <c r="Y202" s="699"/>
      <c r="Z202" s="7"/>
      <c r="AA202" s="618">
        <f t="shared" si="12"/>
        <v>0</v>
      </c>
      <c r="AB202" s="7"/>
      <c r="AC202" s="7"/>
      <c r="AD202" s="7"/>
      <c r="AE202" s="7"/>
      <c r="AF202" s="7"/>
      <c r="AG202" s="7"/>
    </row>
    <row r="203" spans="1:33" ht="20.25" customHeight="1">
      <c r="A203" s="503"/>
      <c r="B203" s="483" t="s">
        <v>449</v>
      </c>
      <c r="C203" s="658" t="s">
        <v>431</v>
      </c>
      <c r="D203" s="504" t="s">
        <v>2373</v>
      </c>
      <c r="E203" s="213"/>
      <c r="F203" s="213"/>
      <c r="G203" s="213"/>
      <c r="H203" s="214"/>
      <c r="I203" s="214"/>
      <c r="J203" s="214"/>
      <c r="K203" s="213"/>
      <c r="L203" s="215"/>
      <c r="M203" s="213"/>
      <c r="N203" s="292"/>
      <c r="O203" s="213"/>
      <c r="P203" s="372"/>
      <c r="Q203" s="647"/>
      <c r="R203" s="215"/>
      <c r="S203" s="215"/>
      <c r="T203" s="616">
        <f t="shared" si="1"/>
        <v>0</v>
      </c>
      <c r="U203" s="633"/>
      <c r="V203" s="648"/>
      <c r="W203" s="648"/>
      <c r="X203" s="7"/>
      <c r="Y203" s="699"/>
      <c r="Z203" s="7"/>
      <c r="AA203" s="618">
        <f t="shared" si="12"/>
        <v>0</v>
      </c>
      <c r="AB203" s="7"/>
      <c r="AC203" s="7"/>
      <c r="AD203" s="7"/>
      <c r="AE203" s="7"/>
      <c r="AF203" s="7"/>
      <c r="AG203" s="7"/>
    </row>
    <row r="204" spans="1:33" ht="20.25" customHeight="1">
      <c r="A204" s="503"/>
      <c r="B204" s="483" t="s">
        <v>453</v>
      </c>
      <c r="C204" s="658" t="s">
        <v>433</v>
      </c>
      <c r="D204" s="504" t="s">
        <v>2374</v>
      </c>
      <c r="E204" s="213"/>
      <c r="F204" s="213"/>
      <c r="G204" s="213"/>
      <c r="H204" s="214"/>
      <c r="I204" s="214"/>
      <c r="J204" s="214"/>
      <c r="K204" s="213"/>
      <c r="L204" s="215"/>
      <c r="M204" s="213"/>
      <c r="N204" s="292"/>
      <c r="O204" s="213"/>
      <c r="P204" s="372"/>
      <c r="Q204" s="647"/>
      <c r="R204" s="215"/>
      <c r="S204" s="215"/>
      <c r="T204" s="616">
        <f t="shared" si="1"/>
        <v>0</v>
      </c>
      <c r="U204" s="633"/>
      <c r="V204" s="636"/>
      <c r="W204" s="636"/>
      <c r="X204" s="7"/>
      <c r="Y204" s="699"/>
      <c r="Z204" s="7"/>
      <c r="AA204" s="618">
        <f t="shared" si="12"/>
        <v>0</v>
      </c>
      <c r="AB204" s="7"/>
      <c r="AC204" s="7"/>
      <c r="AD204" s="7"/>
      <c r="AE204" s="7"/>
      <c r="AF204" s="7"/>
      <c r="AG204" s="7"/>
    </row>
    <row r="205" spans="1:33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4"/>
      <c r="I205" s="214"/>
      <c r="J205" s="214"/>
      <c r="K205" s="213"/>
      <c r="L205" s="215"/>
      <c r="M205" s="213"/>
      <c r="N205" s="292"/>
      <c r="O205" s="213"/>
      <c r="P205" s="372"/>
      <c r="Q205" s="647"/>
      <c r="R205" s="215"/>
      <c r="S205" s="215"/>
      <c r="T205" s="616">
        <f t="shared" si="1"/>
        <v>0</v>
      </c>
      <c r="U205" s="633"/>
      <c r="V205" s="636"/>
      <c r="W205" s="636"/>
      <c r="X205" s="7"/>
      <c r="Y205" s="699"/>
      <c r="Z205" s="7"/>
      <c r="AA205" s="618">
        <f t="shared" si="12"/>
        <v>0</v>
      </c>
      <c r="AB205" s="7"/>
      <c r="AC205" s="7"/>
      <c r="AD205" s="7"/>
      <c r="AE205" s="7"/>
      <c r="AF205" s="7"/>
      <c r="AG205" s="7"/>
    </row>
    <row r="206" spans="1:33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4"/>
      <c r="I206" s="214"/>
      <c r="J206" s="214">
        <v>30</v>
      </c>
      <c r="K206" s="213"/>
      <c r="L206" s="215"/>
      <c r="M206" s="213">
        <v>656</v>
      </c>
      <c r="N206" s="292"/>
      <c r="O206" s="213">
        <v>17</v>
      </c>
      <c r="P206" s="372">
        <v>150</v>
      </c>
      <c r="Q206" s="647"/>
      <c r="R206" s="215"/>
      <c r="S206" s="215"/>
      <c r="T206" s="616">
        <f t="shared" si="1"/>
        <v>853</v>
      </c>
      <c r="U206" s="633"/>
      <c r="V206" s="648"/>
      <c r="W206" s="648"/>
      <c r="X206" s="7"/>
      <c r="Y206" s="699">
        <v>598</v>
      </c>
      <c r="Z206" s="7"/>
      <c r="AA206" s="618"/>
      <c r="AB206" s="7"/>
      <c r="AC206" s="7"/>
      <c r="AD206" s="7"/>
      <c r="AE206" s="7"/>
      <c r="AF206" s="7"/>
      <c r="AG206" s="7"/>
    </row>
    <row r="207" spans="1:33" ht="20.25" customHeight="1">
      <c r="A207" s="503"/>
      <c r="B207" s="483" t="s">
        <v>461</v>
      </c>
      <c r="C207" s="658" t="s">
        <v>431</v>
      </c>
      <c r="D207" s="504" t="s">
        <v>2375</v>
      </c>
      <c r="E207" s="213"/>
      <c r="F207" s="213"/>
      <c r="G207" s="213"/>
      <c r="H207" s="214"/>
      <c r="I207" s="214"/>
      <c r="J207" s="214"/>
      <c r="K207" s="213"/>
      <c r="L207" s="215"/>
      <c r="M207" s="213"/>
      <c r="N207" s="292"/>
      <c r="O207" s="213"/>
      <c r="P207" s="372"/>
      <c r="Q207" s="647"/>
      <c r="R207" s="215"/>
      <c r="S207" s="215"/>
      <c r="T207" s="616">
        <f t="shared" si="1"/>
        <v>0</v>
      </c>
      <c r="U207" s="633"/>
      <c r="V207" s="648"/>
      <c r="W207" s="648"/>
      <c r="X207" s="7"/>
      <c r="Y207" s="699"/>
      <c r="Z207" s="7"/>
      <c r="AA207" s="618"/>
      <c r="AB207" s="7"/>
      <c r="AC207" s="7"/>
      <c r="AD207" s="7"/>
      <c r="AE207" s="7"/>
      <c r="AF207" s="7"/>
      <c r="AG207" s="7"/>
    </row>
    <row r="208" spans="1:33" ht="20.25" customHeight="1">
      <c r="A208" s="503"/>
      <c r="B208" s="483" t="s">
        <v>464</v>
      </c>
      <c r="C208" s="658" t="s">
        <v>433</v>
      </c>
      <c r="D208" s="504" t="s">
        <v>2376</v>
      </c>
      <c r="E208" s="213"/>
      <c r="F208" s="213"/>
      <c r="G208" s="213"/>
      <c r="H208" s="214"/>
      <c r="I208" s="214"/>
      <c r="J208" s="214"/>
      <c r="K208" s="213"/>
      <c r="L208" s="215"/>
      <c r="M208" s="213"/>
      <c r="N208" s="292"/>
      <c r="O208" s="213"/>
      <c r="P208" s="372"/>
      <c r="Q208" s="647"/>
      <c r="R208" s="215"/>
      <c r="S208" s="215"/>
      <c r="T208" s="616">
        <f t="shared" si="1"/>
        <v>0</v>
      </c>
      <c r="U208" s="633"/>
      <c r="V208" s="636"/>
      <c r="W208" s="636"/>
      <c r="X208" s="7"/>
      <c r="Y208" s="699"/>
      <c r="Z208" s="7"/>
      <c r="AA208" s="618">
        <f t="shared" ref="AA208:AA218" si="13">Y208-T208</f>
        <v>0</v>
      </c>
      <c r="AB208" s="7"/>
      <c r="AC208" s="7"/>
      <c r="AD208" s="7"/>
      <c r="AE208" s="7"/>
      <c r="AF208" s="7"/>
      <c r="AG208" s="7"/>
    </row>
    <row r="209" spans="1:33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4"/>
      <c r="I209" s="214"/>
      <c r="J209" s="214"/>
      <c r="K209" s="213"/>
      <c r="L209" s="215"/>
      <c r="M209" s="213"/>
      <c r="N209" s="292"/>
      <c r="O209" s="213"/>
      <c r="P209" s="372"/>
      <c r="Q209" s="620"/>
      <c r="R209" s="215"/>
      <c r="S209" s="215"/>
      <c r="T209" s="616">
        <f t="shared" si="1"/>
        <v>0</v>
      </c>
      <c r="U209" s="633"/>
      <c r="V209" s="648"/>
      <c r="W209" s="648"/>
      <c r="X209" s="7"/>
      <c r="Y209" s="699"/>
      <c r="Z209" s="7"/>
      <c r="AA209" s="618">
        <f t="shared" si="13"/>
        <v>0</v>
      </c>
      <c r="AB209" s="7"/>
      <c r="AC209" s="7"/>
      <c r="AD209" s="7"/>
      <c r="AE209" s="7"/>
      <c r="AF209" s="7"/>
      <c r="AG209" s="7"/>
    </row>
    <row r="210" spans="1:33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4"/>
      <c r="I210" s="214"/>
      <c r="J210" s="214"/>
      <c r="K210" s="213"/>
      <c r="L210" s="215"/>
      <c r="M210" s="213"/>
      <c r="N210" s="292"/>
      <c r="O210" s="213"/>
      <c r="P210" s="372"/>
      <c r="Q210" s="647"/>
      <c r="R210" s="215"/>
      <c r="S210" s="215"/>
      <c r="T210" s="616">
        <f t="shared" si="1"/>
        <v>0</v>
      </c>
      <c r="U210" s="633"/>
      <c r="V210" s="648"/>
      <c r="W210" s="648"/>
      <c r="X210" s="7"/>
      <c r="Y210" s="699"/>
      <c r="Z210" s="7"/>
      <c r="AA210" s="618">
        <f t="shared" si="13"/>
        <v>0</v>
      </c>
      <c r="AB210" s="7"/>
      <c r="AC210" s="7"/>
      <c r="AD210" s="7"/>
      <c r="AE210" s="7"/>
      <c r="AF210" s="7"/>
      <c r="AG210" s="7"/>
    </row>
    <row r="211" spans="1:33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4"/>
      <c r="I211" s="214"/>
      <c r="J211" s="214"/>
      <c r="K211" s="213"/>
      <c r="L211" s="215"/>
      <c r="M211" s="213"/>
      <c r="N211" s="292"/>
      <c r="O211" s="213"/>
      <c r="P211" s="372"/>
      <c r="Q211" s="647"/>
      <c r="R211" s="215"/>
      <c r="S211" s="215"/>
      <c r="T211" s="616">
        <f t="shared" si="1"/>
        <v>0</v>
      </c>
      <c r="U211" s="633"/>
      <c r="V211" s="636"/>
      <c r="W211" s="636"/>
      <c r="X211" s="7"/>
      <c r="Y211" s="699"/>
      <c r="Z211" s="7"/>
      <c r="AA211" s="618">
        <f t="shared" si="13"/>
        <v>0</v>
      </c>
      <c r="AB211" s="7"/>
      <c r="AC211" s="7"/>
      <c r="AD211" s="7"/>
      <c r="AE211" s="7"/>
      <c r="AF211" s="7"/>
      <c r="AG211" s="7"/>
    </row>
    <row r="212" spans="1:33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4"/>
      <c r="I212" s="214"/>
      <c r="J212" s="214"/>
      <c r="K212" s="213"/>
      <c r="L212" s="215"/>
      <c r="M212" s="213"/>
      <c r="N212" s="292"/>
      <c r="O212" s="213"/>
      <c r="P212" s="372"/>
      <c r="Q212" s="647"/>
      <c r="R212" s="215"/>
      <c r="S212" s="215"/>
      <c r="T212" s="616">
        <f t="shared" si="1"/>
        <v>0</v>
      </c>
      <c r="U212" s="633"/>
      <c r="V212" s="636"/>
      <c r="W212" s="636"/>
      <c r="X212" s="7"/>
      <c r="Y212" s="699"/>
      <c r="Z212" s="7"/>
      <c r="AA212" s="618">
        <f t="shared" si="13"/>
        <v>0</v>
      </c>
      <c r="AB212" s="7"/>
      <c r="AC212" s="7"/>
      <c r="AD212" s="7"/>
      <c r="AE212" s="7"/>
      <c r="AF212" s="7"/>
      <c r="AG212" s="7"/>
    </row>
    <row r="213" spans="1:33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4"/>
      <c r="I213" s="214"/>
      <c r="J213" s="214"/>
      <c r="K213" s="213"/>
      <c r="L213" s="215"/>
      <c r="M213" s="213"/>
      <c r="N213" s="292"/>
      <c r="O213" s="213"/>
      <c r="P213" s="372"/>
      <c r="Q213" s="620"/>
      <c r="R213" s="215"/>
      <c r="S213" s="215"/>
      <c r="T213" s="616">
        <f t="shared" si="1"/>
        <v>0</v>
      </c>
      <c r="U213" s="633"/>
      <c r="V213" s="636"/>
      <c r="W213" s="636"/>
      <c r="X213" s="7"/>
      <c r="Y213" s="703"/>
      <c r="Z213" s="7"/>
      <c r="AA213" s="618">
        <f t="shared" si="13"/>
        <v>0</v>
      </c>
      <c r="AB213" s="7"/>
      <c r="AC213" s="7"/>
      <c r="AD213" s="7"/>
      <c r="AE213" s="7"/>
      <c r="AF213" s="7"/>
      <c r="AG213" s="7"/>
    </row>
    <row r="214" spans="1:33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4"/>
      <c r="I214" s="214"/>
      <c r="J214" s="214"/>
      <c r="K214" s="213"/>
      <c r="L214" s="215"/>
      <c r="M214" s="213"/>
      <c r="N214" s="292"/>
      <c r="O214" s="213"/>
      <c r="P214" s="372"/>
      <c r="Q214" s="647"/>
      <c r="R214" s="215"/>
      <c r="S214" s="215"/>
      <c r="T214" s="616">
        <f t="shared" si="1"/>
        <v>0</v>
      </c>
      <c r="U214" s="633"/>
      <c r="V214" s="636"/>
      <c r="W214" s="636"/>
      <c r="X214" s="7"/>
      <c r="Y214" s="699">
        <v>4</v>
      </c>
      <c r="Z214" s="7"/>
      <c r="AA214" s="618">
        <f t="shared" si="13"/>
        <v>4</v>
      </c>
      <c r="AB214" s="7"/>
      <c r="AC214" s="7"/>
      <c r="AD214" s="7"/>
      <c r="AE214" s="7"/>
      <c r="AF214" s="7"/>
      <c r="AG214" s="7"/>
    </row>
    <row r="215" spans="1:33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4"/>
      <c r="I215" s="214"/>
      <c r="J215" s="214"/>
      <c r="K215" s="213"/>
      <c r="L215" s="215"/>
      <c r="M215" s="213"/>
      <c r="N215" s="292"/>
      <c r="O215" s="213"/>
      <c r="P215" s="372"/>
      <c r="Q215" s="647"/>
      <c r="R215" s="215"/>
      <c r="S215" s="215"/>
      <c r="T215" s="616">
        <f t="shared" si="1"/>
        <v>0</v>
      </c>
      <c r="U215" s="633"/>
      <c r="V215" s="636"/>
      <c r="W215" s="636"/>
      <c r="X215" s="7"/>
      <c r="Y215" s="699"/>
      <c r="Z215" s="7"/>
      <c r="AA215" s="618">
        <f t="shared" si="13"/>
        <v>0</v>
      </c>
      <c r="AB215" s="7"/>
      <c r="AC215" s="7"/>
      <c r="AD215" s="7"/>
      <c r="AE215" s="7"/>
      <c r="AF215" s="7"/>
      <c r="AG215" s="7"/>
    </row>
    <row r="216" spans="1:33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4"/>
      <c r="I216" s="214"/>
      <c r="J216" s="214"/>
      <c r="K216" s="213"/>
      <c r="L216" s="215"/>
      <c r="M216" s="213"/>
      <c r="N216" s="292"/>
      <c r="O216" s="213"/>
      <c r="P216" s="372"/>
      <c r="Q216" s="647"/>
      <c r="R216" s="215"/>
      <c r="S216" s="215"/>
      <c r="T216" s="616">
        <f t="shared" si="1"/>
        <v>0</v>
      </c>
      <c r="U216" s="633"/>
      <c r="V216" s="636"/>
      <c r="W216" s="636"/>
      <c r="X216" s="7"/>
      <c r="Y216" s="699"/>
      <c r="Z216" s="7"/>
      <c r="AA216" s="618">
        <f t="shared" si="13"/>
        <v>0</v>
      </c>
      <c r="AB216" s="7"/>
      <c r="AC216" s="7"/>
      <c r="AD216" s="7"/>
      <c r="AE216" s="7"/>
      <c r="AF216" s="7"/>
      <c r="AG216" s="7"/>
    </row>
    <row r="217" spans="1:33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4"/>
      <c r="I217" s="214"/>
      <c r="J217" s="214"/>
      <c r="K217" s="213"/>
      <c r="L217" s="215"/>
      <c r="M217" s="213"/>
      <c r="N217" s="292"/>
      <c r="O217" s="213"/>
      <c r="P217" s="372"/>
      <c r="Q217" s="647"/>
      <c r="R217" s="215"/>
      <c r="S217" s="215"/>
      <c r="T217" s="616">
        <f t="shared" si="1"/>
        <v>0</v>
      </c>
      <c r="U217" s="633"/>
      <c r="V217" s="636"/>
      <c r="W217" s="636"/>
      <c r="X217" s="7"/>
      <c r="Y217" s="699"/>
      <c r="Z217" s="7"/>
      <c r="AA217" s="618">
        <f t="shared" si="13"/>
        <v>0</v>
      </c>
      <c r="AB217" s="7"/>
      <c r="AC217" s="7"/>
      <c r="AD217" s="7"/>
      <c r="AE217" s="7"/>
      <c r="AF217" s="7"/>
      <c r="AG217" s="7"/>
    </row>
    <row r="218" spans="1:33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4"/>
      <c r="I218" s="214"/>
      <c r="J218" s="214"/>
      <c r="K218" s="213"/>
      <c r="L218" s="215"/>
      <c r="M218" s="213"/>
      <c r="N218" s="292"/>
      <c r="O218" s="213"/>
      <c r="P218" s="372"/>
      <c r="Q218" s="647"/>
      <c r="R218" s="215"/>
      <c r="S218" s="215"/>
      <c r="T218" s="616">
        <f t="shared" si="1"/>
        <v>0</v>
      </c>
      <c r="U218" s="633"/>
      <c r="V218" s="636"/>
      <c r="W218" s="636"/>
      <c r="X218" s="7"/>
      <c r="Y218" s="699"/>
      <c r="Z218" s="7"/>
      <c r="AA218" s="618">
        <f t="shared" si="13"/>
        <v>0</v>
      </c>
      <c r="AB218" s="7"/>
      <c r="AC218" s="7"/>
      <c r="AD218" s="7"/>
      <c r="AE218" s="7"/>
      <c r="AF218" s="7"/>
      <c r="AG218" s="7"/>
    </row>
    <row r="219" spans="1:33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4"/>
      <c r="I219" s="214"/>
      <c r="J219" s="214"/>
      <c r="K219" s="213"/>
      <c r="L219" s="215"/>
      <c r="M219" s="213">
        <v>3</v>
      </c>
      <c r="N219" s="292"/>
      <c r="O219" s="213"/>
      <c r="P219" s="372"/>
      <c r="Q219" s="647"/>
      <c r="R219" s="215"/>
      <c r="S219" s="215"/>
      <c r="T219" s="616">
        <f t="shared" si="1"/>
        <v>3</v>
      </c>
      <c r="U219" s="633"/>
      <c r="V219" s="636"/>
      <c r="W219" s="636"/>
      <c r="X219" s="7"/>
      <c r="Y219" s="699"/>
      <c r="Z219" s="7"/>
      <c r="AA219" s="618"/>
      <c r="AB219" s="7"/>
      <c r="AC219" s="7"/>
      <c r="AD219" s="7"/>
      <c r="AE219" s="7"/>
      <c r="AF219" s="7"/>
      <c r="AG219" s="7"/>
    </row>
    <row r="220" spans="1:33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4"/>
      <c r="I220" s="214"/>
      <c r="J220" s="214"/>
      <c r="K220" s="213"/>
      <c r="L220" s="215"/>
      <c r="M220" s="213"/>
      <c r="N220" s="292"/>
      <c r="O220" s="213"/>
      <c r="P220" s="372"/>
      <c r="Q220" s="647"/>
      <c r="R220" s="215"/>
      <c r="S220" s="215"/>
      <c r="T220" s="616">
        <f t="shared" si="1"/>
        <v>0</v>
      </c>
      <c r="U220" s="633"/>
      <c r="V220" s="636"/>
      <c r="W220" s="636"/>
      <c r="X220" s="7"/>
      <c r="Y220" s="699"/>
      <c r="Z220" s="7"/>
      <c r="AA220" s="618">
        <f>Y220-T220</f>
        <v>0</v>
      </c>
      <c r="AB220" s="7"/>
      <c r="AC220" s="7"/>
      <c r="AD220" s="7"/>
      <c r="AE220" s="7"/>
      <c r="AF220" s="7"/>
      <c r="AG220" s="7"/>
    </row>
    <row r="221" spans="1:33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4"/>
      <c r="I221" s="214"/>
      <c r="J221" s="214">
        <v>1000</v>
      </c>
      <c r="K221" s="213"/>
      <c r="L221" s="215"/>
      <c r="M221" s="213">
        <v>700</v>
      </c>
      <c r="N221" s="292"/>
      <c r="O221" s="213"/>
      <c r="P221" s="372">
        <v>600</v>
      </c>
      <c r="Q221" s="620"/>
      <c r="R221" s="215"/>
      <c r="S221" s="215"/>
      <c r="T221" s="616">
        <f t="shared" si="1"/>
        <v>2300</v>
      </c>
      <c r="U221" s="633"/>
      <c r="V221" s="634"/>
      <c r="W221" s="634"/>
      <c r="X221" s="7"/>
      <c r="Y221" s="699">
        <v>1700</v>
      </c>
      <c r="Z221" s="7"/>
      <c r="AA221" s="618"/>
      <c r="AB221" s="7"/>
      <c r="AC221" s="7"/>
      <c r="AD221" s="7"/>
      <c r="AE221" s="7"/>
      <c r="AF221" s="7"/>
      <c r="AG221" s="7"/>
    </row>
    <row r="222" spans="1:33" ht="20.25" customHeight="1">
      <c r="A222" s="482" t="s">
        <v>1007</v>
      </c>
      <c r="B222" s="483" t="s">
        <v>502</v>
      </c>
      <c r="C222" s="629" t="s">
        <v>503</v>
      </c>
      <c r="D222" s="504" t="s">
        <v>2377</v>
      </c>
      <c r="E222" s="213"/>
      <c r="F222" s="213"/>
      <c r="G222" s="213"/>
      <c r="H222" s="214"/>
      <c r="I222" s="214"/>
      <c r="J222" s="214"/>
      <c r="K222" s="213"/>
      <c r="L222" s="215"/>
      <c r="M222" s="213"/>
      <c r="N222" s="292"/>
      <c r="O222" s="213"/>
      <c r="P222" s="372"/>
      <c r="Q222" s="647"/>
      <c r="R222" s="215"/>
      <c r="S222" s="215"/>
      <c r="T222" s="616">
        <f t="shared" si="1"/>
        <v>0</v>
      </c>
      <c r="U222" s="633"/>
      <c r="V222" s="634"/>
      <c r="W222" s="634"/>
      <c r="X222" s="7"/>
      <c r="Y222" s="699"/>
      <c r="Z222" s="7"/>
      <c r="AA222" s="618">
        <f t="shared" ref="AA222:AA232" si="14">Y222-T222</f>
        <v>0</v>
      </c>
      <c r="AB222" s="7"/>
      <c r="AC222" s="7"/>
      <c r="AD222" s="7"/>
      <c r="AE222" s="7"/>
      <c r="AF222" s="7"/>
      <c r="AG222" s="7"/>
    </row>
    <row r="223" spans="1:33" ht="20.25" customHeight="1">
      <c r="A223" s="482"/>
      <c r="B223" s="483" t="s">
        <v>506</v>
      </c>
      <c r="C223" s="629" t="s">
        <v>507</v>
      </c>
      <c r="D223" s="485" t="s">
        <v>2378</v>
      </c>
      <c r="E223" s="213"/>
      <c r="F223" s="213"/>
      <c r="G223" s="213"/>
      <c r="H223" s="214"/>
      <c r="I223" s="214"/>
      <c r="J223" s="214"/>
      <c r="K223" s="213"/>
      <c r="L223" s="215"/>
      <c r="M223" s="213"/>
      <c r="N223" s="292"/>
      <c r="O223" s="213"/>
      <c r="P223" s="372"/>
      <c r="Q223" s="620"/>
      <c r="R223" s="215"/>
      <c r="S223" s="215"/>
      <c r="T223" s="616">
        <f t="shared" si="1"/>
        <v>0</v>
      </c>
      <c r="U223" s="633"/>
      <c r="V223" s="634"/>
      <c r="W223" s="634"/>
      <c r="X223" s="7"/>
      <c r="Y223" s="699"/>
      <c r="Z223" s="7"/>
      <c r="AA223" s="618">
        <f t="shared" si="14"/>
        <v>0</v>
      </c>
      <c r="AB223" s="7"/>
      <c r="AC223" s="7"/>
      <c r="AD223" s="7"/>
      <c r="AE223" s="7"/>
      <c r="AF223" s="7"/>
      <c r="AG223" s="7"/>
    </row>
    <row r="224" spans="1:33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4"/>
      <c r="I224" s="214"/>
      <c r="J224" s="214"/>
      <c r="K224" s="213"/>
      <c r="L224" s="215"/>
      <c r="M224" s="213"/>
      <c r="N224" s="292"/>
      <c r="O224" s="213"/>
      <c r="P224" s="372"/>
      <c r="Q224" s="638"/>
      <c r="R224" s="215"/>
      <c r="S224" s="215"/>
      <c r="T224" s="616">
        <f t="shared" si="1"/>
        <v>0</v>
      </c>
      <c r="U224" s="633"/>
      <c r="V224" s="636"/>
      <c r="W224" s="636"/>
      <c r="X224" s="7"/>
      <c r="Y224" s="699"/>
      <c r="Z224" s="7"/>
      <c r="AA224" s="618">
        <f t="shared" si="14"/>
        <v>0</v>
      </c>
      <c r="AB224" s="7"/>
      <c r="AC224" s="7"/>
      <c r="AD224" s="7"/>
      <c r="AE224" s="7"/>
      <c r="AF224" s="7"/>
      <c r="AG224" s="7"/>
    </row>
    <row r="225" spans="1:33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4"/>
      <c r="I225" s="214"/>
      <c r="J225" s="214"/>
      <c r="K225" s="213"/>
      <c r="L225" s="215"/>
      <c r="M225" s="213"/>
      <c r="N225" s="292"/>
      <c r="O225" s="213"/>
      <c r="P225" s="372"/>
      <c r="Q225" s="638"/>
      <c r="R225" s="215"/>
      <c r="S225" s="215"/>
      <c r="T225" s="616">
        <f t="shared" si="1"/>
        <v>0</v>
      </c>
      <c r="U225" s="660" t="s">
        <v>1594</v>
      </c>
      <c r="V225" s="640"/>
      <c r="W225" s="640"/>
      <c r="X225" s="7"/>
      <c r="Y225" s="699"/>
      <c r="Z225" s="7"/>
      <c r="AA225" s="618">
        <f t="shared" si="14"/>
        <v>0</v>
      </c>
      <c r="AB225" s="7"/>
      <c r="AC225" s="7"/>
      <c r="AD225" s="7"/>
      <c r="AE225" s="7"/>
      <c r="AF225" s="7"/>
      <c r="AG225" s="7"/>
    </row>
    <row r="226" spans="1:33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4"/>
      <c r="I226" s="214"/>
      <c r="J226" s="214"/>
      <c r="K226" s="213"/>
      <c r="L226" s="215"/>
      <c r="M226" s="213" t="s">
        <v>2379</v>
      </c>
      <c r="N226" s="292"/>
      <c r="O226" s="213"/>
      <c r="P226" s="372"/>
      <c r="Q226" s="647"/>
      <c r="R226" s="215"/>
      <c r="S226" s="215"/>
      <c r="T226" s="616">
        <f t="shared" si="1"/>
        <v>0</v>
      </c>
      <c r="U226" s="642">
        <f>T227+T237</f>
        <v>1231</v>
      </c>
      <c r="V226" s="636"/>
      <c r="W226" s="636"/>
      <c r="X226" s="7"/>
      <c r="Y226" s="699"/>
      <c r="Z226" s="7"/>
      <c r="AA226" s="618">
        <f t="shared" si="14"/>
        <v>0</v>
      </c>
      <c r="AB226" s="7"/>
      <c r="AC226" s="7"/>
      <c r="AD226" s="7"/>
      <c r="AE226" s="7"/>
      <c r="AF226" s="7"/>
      <c r="AG226" s="7"/>
    </row>
    <row r="227" spans="1:33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4"/>
      <c r="I227" s="214"/>
      <c r="J227" s="214"/>
      <c r="K227" s="213"/>
      <c r="L227" s="215"/>
      <c r="M227" s="213"/>
      <c r="N227" s="292"/>
      <c r="O227" s="213"/>
      <c r="P227" s="372"/>
      <c r="Q227" s="647"/>
      <c r="R227" s="215"/>
      <c r="S227" s="215"/>
      <c r="T227" s="616">
        <f t="shared" si="1"/>
        <v>0</v>
      </c>
      <c r="U227" s="648"/>
      <c r="V227" s="648"/>
      <c r="W227" s="648"/>
      <c r="X227" s="7"/>
      <c r="Y227" s="699"/>
      <c r="Z227" s="7"/>
      <c r="AA227" s="618">
        <f t="shared" si="14"/>
        <v>0</v>
      </c>
      <c r="AB227" s="7"/>
      <c r="AC227" s="7"/>
      <c r="AD227" s="7"/>
      <c r="AE227" s="7"/>
      <c r="AF227" s="7"/>
      <c r="AG227" s="7"/>
    </row>
    <row r="228" spans="1:33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4"/>
      <c r="I228" s="214"/>
      <c r="J228" s="214"/>
      <c r="K228" s="213"/>
      <c r="L228" s="215"/>
      <c r="M228" s="213"/>
      <c r="N228" s="292"/>
      <c r="O228" s="213"/>
      <c r="P228" s="372"/>
      <c r="Q228" s="647"/>
      <c r="R228" s="215"/>
      <c r="S228" s="215"/>
      <c r="T228" s="616">
        <f t="shared" si="1"/>
        <v>0</v>
      </c>
      <c r="U228" s="661" t="s">
        <v>1595</v>
      </c>
      <c r="V228" s="648"/>
      <c r="W228" s="648"/>
      <c r="X228" s="7"/>
      <c r="Y228" s="699"/>
      <c r="Z228" s="7"/>
      <c r="AA228" s="618">
        <f t="shared" si="14"/>
        <v>0</v>
      </c>
      <c r="AB228" s="7"/>
      <c r="AC228" s="7"/>
      <c r="AD228" s="7"/>
      <c r="AE228" s="7"/>
      <c r="AF228" s="7"/>
      <c r="AG228" s="7"/>
    </row>
    <row r="229" spans="1:33" ht="19.5" customHeight="1">
      <c r="A229" s="503"/>
      <c r="B229" s="483" t="s">
        <v>523</v>
      </c>
      <c r="C229" s="629" t="s">
        <v>524</v>
      </c>
      <c r="D229" s="504" t="s">
        <v>2380</v>
      </c>
      <c r="E229" s="213"/>
      <c r="F229" s="213"/>
      <c r="G229" s="213"/>
      <c r="H229" s="214"/>
      <c r="I229" s="214"/>
      <c r="J229" s="214"/>
      <c r="K229" s="213"/>
      <c r="L229" s="215"/>
      <c r="M229" s="213"/>
      <c r="N229" s="292"/>
      <c r="O229" s="213"/>
      <c r="P229" s="372"/>
      <c r="Q229" s="647"/>
      <c r="R229" s="215"/>
      <c r="S229" s="215"/>
      <c r="T229" s="616">
        <f t="shared" si="1"/>
        <v>0</v>
      </c>
      <c r="U229" s="642">
        <f>T229+T230+T239+T240</f>
        <v>128027.2</v>
      </c>
      <c r="V229" s="648"/>
      <c r="W229" s="648"/>
      <c r="X229" s="7"/>
      <c r="Y229" s="699">
        <v>33769</v>
      </c>
      <c r="Z229" s="7"/>
      <c r="AA229" s="618">
        <f t="shared" si="14"/>
        <v>33769</v>
      </c>
      <c r="AB229" s="7"/>
      <c r="AC229" s="7"/>
      <c r="AD229" s="7"/>
      <c r="AE229" s="7"/>
      <c r="AF229" s="7"/>
      <c r="AG229" s="7"/>
    </row>
    <row r="230" spans="1:33" ht="20.25" customHeight="1">
      <c r="A230" s="503"/>
      <c r="B230" s="483" t="s">
        <v>526</v>
      </c>
      <c r="C230" s="629" t="s">
        <v>527</v>
      </c>
      <c r="D230" s="504" t="s">
        <v>2381</v>
      </c>
      <c r="E230" s="213"/>
      <c r="F230" s="213"/>
      <c r="G230" s="213"/>
      <c r="H230" s="214"/>
      <c r="I230" s="214"/>
      <c r="J230" s="214"/>
      <c r="K230" s="213"/>
      <c r="L230" s="215"/>
      <c r="M230" s="213"/>
      <c r="N230" s="292"/>
      <c r="O230" s="213"/>
      <c r="P230" s="372"/>
      <c r="Q230" s="647"/>
      <c r="R230" s="215"/>
      <c r="S230" s="215"/>
      <c r="T230" s="616">
        <f t="shared" si="1"/>
        <v>0</v>
      </c>
      <c r="U230" s="633"/>
      <c r="V230" s="648"/>
      <c r="W230" s="648"/>
      <c r="X230" s="7"/>
      <c r="Y230" s="699"/>
      <c r="Z230" s="7"/>
      <c r="AA230" s="618">
        <f t="shared" si="14"/>
        <v>0</v>
      </c>
      <c r="AB230" s="7"/>
      <c r="AC230" s="7"/>
      <c r="AD230" s="7"/>
      <c r="AE230" s="7"/>
      <c r="AF230" s="7"/>
      <c r="AG230" s="7"/>
    </row>
    <row r="231" spans="1:33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4"/>
      <c r="I231" s="214"/>
      <c r="J231" s="214"/>
      <c r="K231" s="213"/>
      <c r="L231" s="215"/>
      <c r="M231" s="213"/>
      <c r="N231" s="292"/>
      <c r="O231" s="213"/>
      <c r="P231" s="372"/>
      <c r="Q231" s="647"/>
      <c r="R231" s="215"/>
      <c r="S231" s="215"/>
      <c r="T231" s="616">
        <f t="shared" si="1"/>
        <v>0</v>
      </c>
      <c r="U231" s="633"/>
      <c r="V231" s="648"/>
      <c r="W231" s="648"/>
      <c r="X231" s="7"/>
      <c r="Y231" s="699"/>
      <c r="Z231" s="7"/>
      <c r="AA231" s="618">
        <f t="shared" si="14"/>
        <v>0</v>
      </c>
      <c r="AB231" s="7"/>
      <c r="AC231" s="7"/>
      <c r="AD231" s="7"/>
      <c r="AE231" s="7"/>
      <c r="AF231" s="7"/>
      <c r="AG231" s="7"/>
    </row>
    <row r="232" spans="1:33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4"/>
      <c r="I232" s="214"/>
      <c r="J232" s="214"/>
      <c r="K232" s="213"/>
      <c r="L232" s="215"/>
      <c r="M232" s="213"/>
      <c r="N232" s="292"/>
      <c r="O232" s="213"/>
      <c r="P232" s="372"/>
      <c r="Q232" s="647"/>
      <c r="R232" s="215"/>
      <c r="S232" s="215"/>
      <c r="T232" s="616">
        <f t="shared" si="1"/>
        <v>0</v>
      </c>
      <c r="U232" s="633"/>
      <c r="V232" s="648"/>
      <c r="W232" s="648"/>
      <c r="X232" s="7"/>
      <c r="Y232" s="699"/>
      <c r="Z232" s="7"/>
      <c r="AA232" s="618">
        <f t="shared" si="14"/>
        <v>0</v>
      </c>
      <c r="AB232" s="7"/>
      <c r="AC232" s="7"/>
      <c r="AD232" s="7"/>
      <c r="AE232" s="7"/>
      <c r="AF232" s="7"/>
      <c r="AG232" s="7"/>
    </row>
    <row r="233" spans="1:33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4"/>
      <c r="I233" s="214"/>
      <c r="J233" s="214"/>
      <c r="K233" s="213"/>
      <c r="L233" s="215"/>
      <c r="M233" s="213">
        <v>5</v>
      </c>
      <c r="N233" s="292"/>
      <c r="O233" s="213"/>
      <c r="P233" s="372"/>
      <c r="Q233" s="647"/>
      <c r="R233" s="215"/>
      <c r="S233" s="215"/>
      <c r="T233" s="616">
        <f t="shared" si="1"/>
        <v>5</v>
      </c>
      <c r="U233" s="633"/>
      <c r="V233" s="648"/>
      <c r="W233" s="648"/>
      <c r="X233" s="7"/>
      <c r="Y233" s="699">
        <v>5</v>
      </c>
      <c r="Z233" s="7"/>
      <c r="AA233" s="618"/>
      <c r="AB233" s="7"/>
      <c r="AC233" s="7"/>
      <c r="AD233" s="7"/>
      <c r="AE233" s="7"/>
      <c r="AF233" s="7"/>
      <c r="AG233" s="7"/>
    </row>
    <row r="234" spans="1:33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4"/>
      <c r="I234" s="214"/>
      <c r="J234" s="214"/>
      <c r="K234" s="213"/>
      <c r="L234" s="215"/>
      <c r="M234" s="213"/>
      <c r="N234" s="292"/>
      <c r="O234" s="213"/>
      <c r="P234" s="372"/>
      <c r="Q234" s="662"/>
      <c r="R234" s="215"/>
      <c r="S234" s="215"/>
      <c r="T234" s="616">
        <f t="shared" si="1"/>
        <v>0</v>
      </c>
      <c r="U234" s="633"/>
      <c r="V234" s="648"/>
      <c r="W234" s="648"/>
      <c r="X234" s="7"/>
      <c r="Y234" s="699"/>
      <c r="Z234" s="7"/>
      <c r="AA234" s="618">
        <f t="shared" ref="AA234:AA235" si="15">Y234-T234</f>
        <v>0</v>
      </c>
      <c r="AB234" s="7"/>
      <c r="AC234" s="7"/>
      <c r="AD234" s="7"/>
      <c r="AE234" s="7"/>
      <c r="AF234" s="7"/>
      <c r="AG234" s="7"/>
    </row>
    <row r="235" spans="1:33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4"/>
      <c r="I235" s="214"/>
      <c r="J235" s="214"/>
      <c r="K235" s="213"/>
      <c r="L235" s="215"/>
      <c r="M235" s="213"/>
      <c r="N235" s="292"/>
      <c r="O235" s="213"/>
      <c r="P235" s="372"/>
      <c r="Q235" s="647"/>
      <c r="R235" s="215"/>
      <c r="S235" s="215"/>
      <c r="T235" s="616">
        <f t="shared" si="1"/>
        <v>0</v>
      </c>
      <c r="U235" s="633"/>
      <c r="V235" s="648"/>
      <c r="W235" s="648"/>
      <c r="X235" s="7"/>
      <c r="Y235" s="699">
        <v>1</v>
      </c>
      <c r="Z235" s="7"/>
      <c r="AA235" s="618">
        <f t="shared" si="15"/>
        <v>1</v>
      </c>
      <c r="AB235" s="7"/>
      <c r="AC235" s="7"/>
      <c r="AD235" s="7"/>
      <c r="AE235" s="7"/>
      <c r="AF235" s="7"/>
      <c r="AG235" s="7"/>
    </row>
    <row r="236" spans="1:33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4"/>
      <c r="I236" s="214"/>
      <c r="J236" s="214"/>
      <c r="K236" s="213"/>
      <c r="L236" s="215"/>
      <c r="M236" s="213"/>
      <c r="N236" s="292">
        <v>3</v>
      </c>
      <c r="O236" s="213"/>
      <c r="P236" s="372"/>
      <c r="Q236" s="647"/>
      <c r="R236" s="215"/>
      <c r="S236" s="215"/>
      <c r="T236" s="616">
        <f t="shared" si="1"/>
        <v>3</v>
      </c>
      <c r="U236" s="633"/>
      <c r="V236" s="636"/>
      <c r="W236" s="636"/>
      <c r="X236" s="7"/>
      <c r="Y236" s="699"/>
      <c r="Z236" s="7"/>
      <c r="AA236" s="618"/>
      <c r="AB236" s="7"/>
      <c r="AC236" s="7"/>
      <c r="AD236" s="7"/>
      <c r="AE236" s="7"/>
      <c r="AF236" s="7"/>
      <c r="AG236" s="7"/>
    </row>
    <row r="237" spans="1:33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213"/>
      <c r="H237" s="214"/>
      <c r="I237" s="214"/>
      <c r="J237" s="214"/>
      <c r="K237" s="213"/>
      <c r="L237" s="215"/>
      <c r="M237" s="213">
        <v>906</v>
      </c>
      <c r="N237" s="292"/>
      <c r="O237" s="213"/>
      <c r="P237" s="372">
        <v>325</v>
      </c>
      <c r="Q237" s="647"/>
      <c r="R237" s="215"/>
      <c r="S237" s="215"/>
      <c r="T237" s="616">
        <f t="shared" si="1"/>
        <v>1231</v>
      </c>
      <c r="U237" s="633"/>
      <c r="V237" s="648"/>
      <c r="W237" s="648"/>
      <c r="X237" s="7"/>
      <c r="Y237" s="699">
        <v>2494</v>
      </c>
      <c r="Z237" s="7"/>
      <c r="AA237" s="618"/>
      <c r="AB237" s="7"/>
      <c r="AC237" s="7"/>
      <c r="AD237" s="7"/>
      <c r="AE237" s="7"/>
      <c r="AF237" s="7"/>
      <c r="AG237" s="7"/>
    </row>
    <row r="238" spans="1:33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4"/>
      <c r="I238" s="214"/>
      <c r="J238" s="214"/>
      <c r="K238" s="213"/>
      <c r="L238" s="215"/>
      <c r="M238" s="213"/>
      <c r="N238" s="292"/>
      <c r="O238" s="213"/>
      <c r="P238" s="372"/>
      <c r="Q238" s="647"/>
      <c r="R238" s="215"/>
      <c r="S238" s="215"/>
      <c r="T238" s="616">
        <f t="shared" si="1"/>
        <v>0</v>
      </c>
      <c r="U238" s="633"/>
      <c r="V238" s="648"/>
      <c r="W238" s="648"/>
      <c r="X238" s="7"/>
      <c r="Y238" s="699"/>
      <c r="Z238" s="7"/>
      <c r="AA238" s="618"/>
      <c r="AB238" s="7"/>
      <c r="AC238" s="7"/>
      <c r="AD238" s="7"/>
      <c r="AE238" s="7"/>
      <c r="AF238" s="7"/>
      <c r="AG238" s="7"/>
    </row>
    <row r="239" spans="1:33" ht="20.25" customHeight="1">
      <c r="A239" s="503"/>
      <c r="B239" s="483" t="s">
        <v>551</v>
      </c>
      <c r="C239" s="629" t="s">
        <v>524</v>
      </c>
      <c r="D239" s="504" t="s">
        <v>2382</v>
      </c>
      <c r="E239" s="213"/>
      <c r="F239" s="213"/>
      <c r="G239" s="213"/>
      <c r="H239" s="214"/>
      <c r="I239" s="214"/>
      <c r="J239" s="214">
        <v>1000</v>
      </c>
      <c r="K239" s="213"/>
      <c r="L239" s="215"/>
      <c r="M239" s="213">
        <v>125004</v>
      </c>
      <c r="N239" s="292">
        <v>560</v>
      </c>
      <c r="O239" s="213">
        <v>500</v>
      </c>
      <c r="P239" s="740">
        <v>963.2</v>
      </c>
      <c r="Q239" s="647"/>
      <c r="R239" s="215"/>
      <c r="S239" s="215"/>
      <c r="T239" s="616">
        <f t="shared" si="1"/>
        <v>128027.2</v>
      </c>
      <c r="U239" s="633"/>
      <c r="V239" s="648"/>
      <c r="W239" s="648"/>
      <c r="X239" s="7"/>
      <c r="Y239" s="699">
        <v>123004</v>
      </c>
      <c r="Z239" s="7"/>
      <c r="AA239" s="618"/>
      <c r="AB239" s="7"/>
      <c r="AC239" s="7"/>
      <c r="AD239" s="7"/>
      <c r="AE239" s="7"/>
      <c r="AF239" s="7"/>
      <c r="AG239" s="7"/>
    </row>
    <row r="240" spans="1:33" ht="20.25" customHeight="1">
      <c r="A240" s="503"/>
      <c r="B240" s="483" t="s">
        <v>553</v>
      </c>
      <c r="C240" s="629" t="s">
        <v>527</v>
      </c>
      <c r="D240" s="504" t="s">
        <v>2383</v>
      </c>
      <c r="E240" s="213"/>
      <c r="F240" s="213"/>
      <c r="G240" s="213"/>
      <c r="H240" s="214"/>
      <c r="I240" s="214"/>
      <c r="J240" s="214"/>
      <c r="K240" s="213"/>
      <c r="L240" s="215"/>
      <c r="M240" s="213"/>
      <c r="N240" s="292"/>
      <c r="O240" s="213"/>
      <c r="P240" s="372"/>
      <c r="Q240" s="647"/>
      <c r="R240" s="215"/>
      <c r="S240" s="215"/>
      <c r="T240" s="616">
        <f t="shared" si="1"/>
        <v>0</v>
      </c>
      <c r="U240" s="633"/>
      <c r="V240" s="648"/>
      <c r="W240" s="648"/>
      <c r="X240" s="7"/>
      <c r="Y240" s="699"/>
      <c r="Z240" s="7"/>
      <c r="AA240" s="618">
        <f>Y240-T240</f>
        <v>0</v>
      </c>
      <c r="AB240" s="7"/>
      <c r="AC240" s="7"/>
      <c r="AD240" s="7"/>
      <c r="AE240" s="7"/>
      <c r="AF240" s="7"/>
      <c r="AG240" s="7"/>
    </row>
    <row r="241" spans="1:33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4"/>
      <c r="I241" s="214"/>
      <c r="J241" s="214"/>
      <c r="K241" s="213"/>
      <c r="L241" s="215"/>
      <c r="M241" s="213"/>
      <c r="N241" s="292"/>
      <c r="O241" s="213"/>
      <c r="P241" s="372"/>
      <c r="Q241" s="647"/>
      <c r="R241" s="215"/>
      <c r="S241" s="215"/>
      <c r="T241" s="616">
        <f t="shared" si="1"/>
        <v>0</v>
      </c>
      <c r="U241" s="633"/>
      <c r="V241" s="648"/>
      <c r="W241" s="648"/>
      <c r="X241" s="7"/>
      <c r="Y241" s="699"/>
      <c r="Z241" s="7"/>
      <c r="AA241" s="618"/>
      <c r="AB241" s="7"/>
      <c r="AC241" s="7"/>
      <c r="AD241" s="7"/>
      <c r="AE241" s="7"/>
      <c r="AF241" s="7"/>
      <c r="AG241" s="7"/>
    </row>
    <row r="242" spans="1:33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4"/>
      <c r="I242" s="214"/>
      <c r="J242" s="214"/>
      <c r="K242" s="213"/>
      <c r="L242" s="215"/>
      <c r="M242" s="213"/>
      <c r="N242" s="292"/>
      <c r="O242" s="213"/>
      <c r="P242" s="372"/>
      <c r="Q242" s="647"/>
      <c r="R242" s="215"/>
      <c r="S242" s="215"/>
      <c r="T242" s="616">
        <f t="shared" si="1"/>
        <v>0</v>
      </c>
      <c r="U242" s="633"/>
      <c r="V242" s="648"/>
      <c r="W242" s="648"/>
      <c r="X242" s="7"/>
      <c r="Y242" s="699"/>
      <c r="Z242" s="7"/>
      <c r="AA242" s="618">
        <f>Y242-T242</f>
        <v>0</v>
      </c>
      <c r="AB242" s="7"/>
      <c r="AC242" s="7"/>
      <c r="AD242" s="7"/>
      <c r="AE242" s="7"/>
      <c r="AF242" s="7"/>
      <c r="AG242" s="7"/>
    </row>
    <row r="243" spans="1:33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4"/>
      <c r="I243" s="214"/>
      <c r="J243" s="214"/>
      <c r="K243" s="213"/>
      <c r="L243" s="215"/>
      <c r="M243" s="213"/>
      <c r="N243" s="292">
        <v>3</v>
      </c>
      <c r="O243" s="213"/>
      <c r="P243" s="372">
        <v>70</v>
      </c>
      <c r="Q243" s="647"/>
      <c r="R243" s="215"/>
      <c r="S243" s="215"/>
      <c r="T243" s="616">
        <f t="shared" si="1"/>
        <v>73</v>
      </c>
      <c r="U243" s="633"/>
      <c r="V243" s="648"/>
      <c r="W243" s="648"/>
      <c r="X243" s="7"/>
      <c r="Y243" s="699"/>
      <c r="Z243" s="7"/>
      <c r="AA243" s="618"/>
      <c r="AB243" s="7"/>
      <c r="AC243" s="7"/>
      <c r="AD243" s="7"/>
      <c r="AE243" s="7"/>
      <c r="AF243" s="7"/>
      <c r="AG243" s="7"/>
    </row>
    <row r="244" spans="1:33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4"/>
      <c r="I244" s="214"/>
      <c r="J244" s="214"/>
      <c r="K244" s="213"/>
      <c r="L244" s="215"/>
      <c r="M244" s="213"/>
      <c r="N244" s="292"/>
      <c r="O244" s="213"/>
      <c r="P244" s="372"/>
      <c r="Q244" s="662"/>
      <c r="R244" s="215"/>
      <c r="S244" s="215"/>
      <c r="T244" s="616">
        <f t="shared" si="1"/>
        <v>0</v>
      </c>
      <c r="U244" s="633"/>
      <c r="V244" s="648"/>
      <c r="W244" s="648"/>
      <c r="X244" s="7"/>
      <c r="Y244" s="699"/>
      <c r="Z244" s="7"/>
      <c r="AA244" s="618">
        <f t="shared" ref="AA244:AA250" si="16">Y244-T244</f>
        <v>0</v>
      </c>
      <c r="AB244" s="7"/>
      <c r="AC244" s="7"/>
      <c r="AD244" s="7"/>
      <c r="AE244" s="7"/>
      <c r="AF244" s="7"/>
      <c r="AG244" s="7"/>
    </row>
    <row r="245" spans="1:33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4"/>
      <c r="I245" s="214"/>
      <c r="J245" s="214"/>
      <c r="K245" s="213"/>
      <c r="L245" s="215"/>
      <c r="M245" s="213"/>
      <c r="N245" s="292"/>
      <c r="O245" s="213"/>
      <c r="P245" s="372"/>
      <c r="Q245" s="647"/>
      <c r="R245" s="215"/>
      <c r="S245" s="215"/>
      <c r="T245" s="616">
        <f t="shared" si="1"/>
        <v>0</v>
      </c>
      <c r="U245" s="633"/>
      <c r="V245" s="648"/>
      <c r="W245" s="648"/>
      <c r="X245" s="7"/>
      <c r="Y245" s="699"/>
      <c r="Z245" s="7"/>
      <c r="AA245" s="618">
        <f t="shared" si="16"/>
        <v>0</v>
      </c>
      <c r="AB245" s="7"/>
      <c r="AC245" s="7"/>
      <c r="AD245" s="7"/>
      <c r="AE245" s="7"/>
      <c r="AF245" s="7"/>
      <c r="AG245" s="7"/>
    </row>
    <row r="246" spans="1:33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4"/>
      <c r="I246" s="214"/>
      <c r="J246" s="214"/>
      <c r="K246" s="213"/>
      <c r="L246" s="215"/>
      <c r="M246" s="213"/>
      <c r="N246" s="292"/>
      <c r="O246" s="213"/>
      <c r="P246" s="372"/>
      <c r="Q246" s="620"/>
      <c r="R246" s="215"/>
      <c r="S246" s="215"/>
      <c r="T246" s="616">
        <f t="shared" si="1"/>
        <v>0</v>
      </c>
      <c r="U246" s="633"/>
      <c r="V246" s="636"/>
      <c r="W246" s="636"/>
      <c r="X246" s="7"/>
      <c r="Y246" s="699"/>
      <c r="Z246" s="7"/>
      <c r="AA246" s="618">
        <f t="shared" si="16"/>
        <v>0</v>
      </c>
      <c r="AB246" s="7"/>
      <c r="AC246" s="7"/>
      <c r="AD246" s="7"/>
      <c r="AE246" s="7"/>
      <c r="AF246" s="7"/>
      <c r="AG246" s="7"/>
    </row>
    <row r="247" spans="1:33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4"/>
      <c r="I247" s="214"/>
      <c r="J247" s="214"/>
      <c r="K247" s="213"/>
      <c r="L247" s="215"/>
      <c r="M247" s="213"/>
      <c r="N247" s="292"/>
      <c r="O247" s="213"/>
      <c r="P247" s="372"/>
      <c r="Q247" s="620"/>
      <c r="R247" s="215"/>
      <c r="S247" s="215"/>
      <c r="T247" s="616">
        <f t="shared" si="1"/>
        <v>0</v>
      </c>
      <c r="U247" s="633"/>
      <c r="V247" s="636"/>
      <c r="W247" s="636"/>
      <c r="X247" s="7"/>
      <c r="Y247" s="699"/>
      <c r="Z247" s="7"/>
      <c r="AA247" s="618">
        <f t="shared" si="16"/>
        <v>0</v>
      </c>
      <c r="AB247" s="7"/>
      <c r="AC247" s="7"/>
      <c r="AD247" s="7"/>
      <c r="AE247" s="7"/>
      <c r="AF247" s="7"/>
      <c r="AG247" s="7"/>
    </row>
    <row r="248" spans="1:33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4"/>
      <c r="I248" s="214"/>
      <c r="J248" s="214"/>
      <c r="K248" s="213"/>
      <c r="L248" s="215"/>
      <c r="M248" s="213"/>
      <c r="N248" s="292"/>
      <c r="O248" s="213"/>
      <c r="P248" s="372"/>
      <c r="Q248" s="620"/>
      <c r="R248" s="215"/>
      <c r="S248" s="215"/>
      <c r="T248" s="616">
        <f t="shared" si="1"/>
        <v>0</v>
      </c>
      <c r="U248" s="633"/>
      <c r="V248" s="636"/>
      <c r="W248" s="636"/>
      <c r="X248" s="7"/>
      <c r="Y248" s="699"/>
      <c r="Z248" s="7"/>
      <c r="AA248" s="618">
        <f t="shared" si="16"/>
        <v>0</v>
      </c>
      <c r="AB248" s="7"/>
      <c r="AC248" s="7"/>
      <c r="AD248" s="7"/>
      <c r="AE248" s="7"/>
      <c r="AF248" s="7"/>
      <c r="AG248" s="7"/>
    </row>
    <row r="249" spans="1:33" ht="20.25" customHeight="1">
      <c r="A249" s="503" t="s">
        <v>1020</v>
      </c>
      <c r="B249" s="483" t="s">
        <v>566</v>
      </c>
      <c r="C249" s="629" t="s">
        <v>567</v>
      </c>
      <c r="D249" s="485" t="s">
        <v>2384</v>
      </c>
      <c r="E249" s="213"/>
      <c r="F249" s="213"/>
      <c r="G249" s="213"/>
      <c r="H249" s="214"/>
      <c r="I249" s="214"/>
      <c r="J249" s="214"/>
      <c r="K249" s="213"/>
      <c r="L249" s="215"/>
      <c r="M249" s="213"/>
      <c r="N249" s="292"/>
      <c r="O249" s="213"/>
      <c r="P249" s="372"/>
      <c r="Q249" s="620"/>
      <c r="R249" s="215"/>
      <c r="S249" s="215"/>
      <c r="T249" s="616">
        <f t="shared" si="1"/>
        <v>0</v>
      </c>
      <c r="U249" s="633"/>
      <c r="V249" s="636"/>
      <c r="W249" s="636"/>
      <c r="X249" s="7"/>
      <c r="Y249" s="699"/>
      <c r="Z249" s="7"/>
      <c r="AA249" s="618">
        <f t="shared" si="16"/>
        <v>0</v>
      </c>
      <c r="AB249" s="7"/>
      <c r="AC249" s="7"/>
      <c r="AD249" s="7"/>
      <c r="AE249" s="7"/>
      <c r="AF249" s="7"/>
      <c r="AG249" s="7"/>
    </row>
    <row r="250" spans="1:33" ht="20.25" customHeight="1">
      <c r="A250" s="503" t="s">
        <v>1022</v>
      </c>
      <c r="B250" s="483" t="s">
        <v>569</v>
      </c>
      <c r="C250" s="629" t="s">
        <v>570</v>
      </c>
      <c r="D250" s="485" t="s">
        <v>2385</v>
      </c>
      <c r="E250" s="213"/>
      <c r="F250" s="213"/>
      <c r="G250" s="213"/>
      <c r="H250" s="214"/>
      <c r="I250" s="214"/>
      <c r="J250" s="214"/>
      <c r="K250" s="213"/>
      <c r="L250" s="215"/>
      <c r="M250" s="213"/>
      <c r="N250" s="292"/>
      <c r="O250" s="213"/>
      <c r="P250" s="372"/>
      <c r="Q250" s="620"/>
      <c r="R250" s="215"/>
      <c r="S250" s="215"/>
      <c r="T250" s="616">
        <f t="shared" si="1"/>
        <v>0</v>
      </c>
      <c r="U250" s="633"/>
      <c r="V250" s="636"/>
      <c r="W250" s="636"/>
      <c r="X250" s="7"/>
      <c r="Y250" s="699"/>
      <c r="Z250" s="7"/>
      <c r="AA250" s="618">
        <f t="shared" si="16"/>
        <v>0</v>
      </c>
      <c r="AB250" s="7"/>
      <c r="AC250" s="7"/>
      <c r="AD250" s="7"/>
      <c r="AE250" s="7"/>
      <c r="AF250" s="7"/>
      <c r="AG250" s="7"/>
    </row>
    <row r="251" spans="1:33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4"/>
      <c r="I251" s="214"/>
      <c r="J251" s="214"/>
      <c r="K251" s="213"/>
      <c r="L251" s="215"/>
      <c r="M251" s="213"/>
      <c r="N251" s="292"/>
      <c r="O251" s="213"/>
      <c r="P251" s="372"/>
      <c r="Q251" s="647"/>
      <c r="R251" s="215"/>
      <c r="S251" s="215"/>
      <c r="T251" s="616">
        <f t="shared" si="1"/>
        <v>0</v>
      </c>
      <c r="U251" s="633"/>
      <c r="V251" s="636"/>
      <c r="W251" s="636"/>
      <c r="X251" s="7"/>
      <c r="Y251" s="699"/>
      <c r="Z251" s="7"/>
      <c r="AA251" s="618"/>
      <c r="AB251" s="7"/>
      <c r="AC251" s="7"/>
      <c r="AD251" s="7"/>
      <c r="AE251" s="7"/>
      <c r="AF251" s="7"/>
      <c r="AG251" s="7"/>
    </row>
    <row r="252" spans="1:33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4"/>
      <c r="I252" s="214"/>
      <c r="J252" s="214"/>
      <c r="K252" s="213"/>
      <c r="L252" s="215"/>
      <c r="M252" s="213"/>
      <c r="N252" s="292"/>
      <c r="O252" s="213"/>
      <c r="P252" s="372"/>
      <c r="Q252" s="647"/>
      <c r="R252" s="215"/>
      <c r="S252" s="215"/>
      <c r="T252" s="616">
        <f t="shared" si="1"/>
        <v>0</v>
      </c>
      <c r="U252" s="633"/>
      <c r="V252" s="636"/>
      <c r="W252" s="636"/>
      <c r="X252" s="7"/>
      <c r="Y252" s="699"/>
      <c r="Z252" s="7"/>
      <c r="AA252" s="618">
        <f t="shared" ref="AA252:AA282" si="17">Y252-T252</f>
        <v>0</v>
      </c>
      <c r="AB252" s="7"/>
      <c r="AC252" s="7"/>
      <c r="AD252" s="7"/>
      <c r="AE252" s="7"/>
      <c r="AF252" s="7"/>
      <c r="AG252" s="7"/>
    </row>
    <row r="253" spans="1:33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4"/>
      <c r="I253" s="214"/>
      <c r="J253" s="214"/>
      <c r="K253" s="213"/>
      <c r="L253" s="215"/>
      <c r="M253" s="213"/>
      <c r="N253" s="292"/>
      <c r="O253" s="213"/>
      <c r="P253" s="372"/>
      <c r="Q253" s="662"/>
      <c r="R253" s="215"/>
      <c r="S253" s="215"/>
      <c r="T253" s="616">
        <f t="shared" si="1"/>
        <v>0</v>
      </c>
      <c r="U253" s="633"/>
      <c r="V253" s="636"/>
      <c r="W253" s="636"/>
      <c r="X253" s="7"/>
      <c r="Y253" s="699"/>
      <c r="Z253" s="7"/>
      <c r="AA253" s="618">
        <f t="shared" si="17"/>
        <v>0</v>
      </c>
      <c r="AB253" s="7"/>
      <c r="AC253" s="7"/>
      <c r="AD253" s="7"/>
      <c r="AE253" s="7"/>
      <c r="AF253" s="7"/>
      <c r="AG253" s="7"/>
    </row>
    <row r="254" spans="1:33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4"/>
      <c r="I254" s="214"/>
      <c r="J254" s="214"/>
      <c r="K254" s="213"/>
      <c r="L254" s="215"/>
      <c r="M254" s="213"/>
      <c r="N254" s="292"/>
      <c r="O254" s="213"/>
      <c r="P254" s="372"/>
      <c r="Q254" s="620"/>
      <c r="R254" s="215"/>
      <c r="S254" s="215"/>
      <c r="T254" s="616">
        <f t="shared" si="1"/>
        <v>0</v>
      </c>
      <c r="U254" s="633"/>
      <c r="V254" s="636"/>
      <c r="W254" s="636"/>
      <c r="X254" s="7"/>
      <c r="Y254" s="699"/>
      <c r="Z254" s="7"/>
      <c r="AA254" s="618">
        <f t="shared" si="17"/>
        <v>0</v>
      </c>
      <c r="AB254" s="7"/>
      <c r="AC254" s="7"/>
      <c r="AD254" s="7"/>
      <c r="AE254" s="7"/>
      <c r="AF254" s="7"/>
      <c r="AG254" s="7"/>
    </row>
    <row r="255" spans="1:33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4"/>
      <c r="I255" s="214"/>
      <c r="J255" s="214"/>
      <c r="K255" s="213"/>
      <c r="L255" s="215"/>
      <c r="M255" s="213"/>
      <c r="N255" s="292"/>
      <c r="O255" s="213"/>
      <c r="P255" s="372"/>
      <c r="Q255" s="647"/>
      <c r="R255" s="215"/>
      <c r="S255" s="215"/>
      <c r="T255" s="616">
        <f t="shared" si="1"/>
        <v>0</v>
      </c>
      <c r="U255" s="633"/>
      <c r="V255" s="636"/>
      <c r="W255" s="636"/>
      <c r="X255" s="7"/>
      <c r="Y255" s="699"/>
      <c r="Z255" s="7"/>
      <c r="AA255" s="618">
        <f t="shared" si="17"/>
        <v>0</v>
      </c>
      <c r="AB255" s="7"/>
      <c r="AC255" s="7"/>
      <c r="AD255" s="7"/>
      <c r="AE255" s="7"/>
      <c r="AF255" s="7"/>
      <c r="AG255" s="7"/>
    </row>
    <row r="256" spans="1:33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4"/>
      <c r="I256" s="214"/>
      <c r="J256" s="214"/>
      <c r="K256" s="213"/>
      <c r="L256" s="215"/>
      <c r="M256" s="213"/>
      <c r="N256" s="292"/>
      <c r="O256" s="213"/>
      <c r="P256" s="372"/>
      <c r="Q256" s="647"/>
      <c r="R256" s="215"/>
      <c r="S256" s="215"/>
      <c r="T256" s="616">
        <f t="shared" si="1"/>
        <v>0</v>
      </c>
      <c r="U256" s="633"/>
      <c r="V256" s="636"/>
      <c r="W256" s="636"/>
      <c r="X256" s="7"/>
      <c r="Y256" s="699"/>
      <c r="Z256" s="7"/>
      <c r="AA256" s="618">
        <f t="shared" si="17"/>
        <v>0</v>
      </c>
      <c r="AB256" s="7"/>
      <c r="AC256" s="7"/>
      <c r="AD256" s="7"/>
      <c r="AE256" s="7"/>
      <c r="AF256" s="7"/>
      <c r="AG256" s="7"/>
    </row>
    <row r="257" spans="1:33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4"/>
      <c r="I257" s="214"/>
      <c r="J257" s="214"/>
      <c r="K257" s="213"/>
      <c r="L257" s="215"/>
      <c r="M257" s="213"/>
      <c r="N257" s="292"/>
      <c r="O257" s="213"/>
      <c r="P257" s="372"/>
      <c r="Q257" s="647"/>
      <c r="R257" s="215"/>
      <c r="S257" s="215"/>
      <c r="T257" s="616">
        <f t="shared" si="1"/>
        <v>0</v>
      </c>
      <c r="U257" s="633"/>
      <c r="V257" s="648"/>
      <c r="W257" s="648"/>
      <c r="X257" s="7"/>
      <c r="Y257" s="699"/>
      <c r="Z257" s="7"/>
      <c r="AA257" s="618">
        <f t="shared" si="17"/>
        <v>0</v>
      </c>
      <c r="AB257" s="7"/>
      <c r="AC257" s="7"/>
      <c r="AD257" s="7"/>
      <c r="AE257" s="7"/>
      <c r="AF257" s="7"/>
      <c r="AG257" s="7"/>
    </row>
    <row r="258" spans="1:33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4"/>
      <c r="I258" s="214"/>
      <c r="J258" s="214"/>
      <c r="K258" s="213"/>
      <c r="L258" s="215"/>
      <c r="M258" s="213"/>
      <c r="N258" s="292"/>
      <c r="O258" s="213"/>
      <c r="P258" s="372"/>
      <c r="Q258" s="647"/>
      <c r="R258" s="215"/>
      <c r="S258" s="215"/>
      <c r="T258" s="616">
        <f t="shared" si="1"/>
        <v>0</v>
      </c>
      <c r="U258" s="633"/>
      <c r="V258" s="648"/>
      <c r="W258" s="648"/>
      <c r="X258" s="7"/>
      <c r="Y258" s="699"/>
      <c r="Z258" s="7"/>
      <c r="AA258" s="618">
        <f t="shared" si="17"/>
        <v>0</v>
      </c>
      <c r="AB258" s="7"/>
      <c r="AC258" s="7"/>
      <c r="AD258" s="7"/>
      <c r="AE258" s="7"/>
      <c r="AF258" s="7"/>
      <c r="AG258" s="7"/>
    </row>
    <row r="259" spans="1:33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4"/>
      <c r="I259" s="214"/>
      <c r="J259" s="214"/>
      <c r="K259" s="213"/>
      <c r="L259" s="215"/>
      <c r="M259" s="213"/>
      <c r="N259" s="292"/>
      <c r="O259" s="213"/>
      <c r="P259" s="372"/>
      <c r="Q259" s="662"/>
      <c r="R259" s="215"/>
      <c r="S259" s="215"/>
      <c r="T259" s="616">
        <f t="shared" si="1"/>
        <v>0</v>
      </c>
      <c r="U259" s="633"/>
      <c r="V259" s="648"/>
      <c r="W259" s="648"/>
      <c r="X259" s="7"/>
      <c r="Y259" s="699"/>
      <c r="Z259" s="7"/>
      <c r="AA259" s="618">
        <f t="shared" si="17"/>
        <v>0</v>
      </c>
      <c r="AB259" s="7"/>
      <c r="AC259" s="7"/>
      <c r="AD259" s="7"/>
      <c r="AE259" s="7"/>
      <c r="AF259" s="7"/>
      <c r="AG259" s="7"/>
    </row>
    <row r="260" spans="1:33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4"/>
      <c r="I260" s="214"/>
      <c r="J260" s="214"/>
      <c r="K260" s="213"/>
      <c r="L260" s="215"/>
      <c r="M260" s="213"/>
      <c r="N260" s="292"/>
      <c r="O260" s="213"/>
      <c r="P260" s="372"/>
      <c r="Q260" s="647"/>
      <c r="R260" s="215"/>
      <c r="S260" s="215"/>
      <c r="T260" s="616">
        <f t="shared" si="1"/>
        <v>0</v>
      </c>
      <c r="U260" s="633"/>
      <c r="V260" s="648"/>
      <c r="W260" s="648"/>
      <c r="X260" s="7"/>
      <c r="Y260" s="699"/>
      <c r="Z260" s="7"/>
      <c r="AA260" s="618">
        <f t="shared" si="17"/>
        <v>0</v>
      </c>
      <c r="AB260" s="7"/>
      <c r="AC260" s="7"/>
      <c r="AD260" s="7"/>
      <c r="AE260" s="7"/>
      <c r="AF260" s="7"/>
      <c r="AG260" s="7"/>
    </row>
    <row r="261" spans="1:33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4"/>
      <c r="I261" s="214"/>
      <c r="J261" s="214"/>
      <c r="K261" s="213"/>
      <c r="L261" s="215"/>
      <c r="M261" s="213"/>
      <c r="N261" s="292"/>
      <c r="O261" s="213"/>
      <c r="P261" s="372"/>
      <c r="Q261" s="647"/>
      <c r="R261" s="215"/>
      <c r="S261" s="215"/>
      <c r="T261" s="616">
        <f t="shared" si="1"/>
        <v>0</v>
      </c>
      <c r="U261" s="633"/>
      <c r="V261" s="648"/>
      <c r="W261" s="648"/>
      <c r="X261" s="7"/>
      <c r="Y261" s="699"/>
      <c r="Z261" s="7"/>
      <c r="AA261" s="618">
        <f t="shared" si="17"/>
        <v>0</v>
      </c>
      <c r="AB261" s="7"/>
      <c r="AC261" s="7"/>
      <c r="AD261" s="7"/>
      <c r="AE261" s="7"/>
      <c r="AF261" s="7"/>
      <c r="AG261" s="7"/>
    </row>
    <row r="262" spans="1:33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4"/>
      <c r="I262" s="214"/>
      <c r="J262" s="214"/>
      <c r="K262" s="213"/>
      <c r="L262" s="215"/>
      <c r="M262" s="213"/>
      <c r="N262" s="292"/>
      <c r="O262" s="213"/>
      <c r="P262" s="372"/>
      <c r="Q262" s="647"/>
      <c r="R262" s="215"/>
      <c r="S262" s="215"/>
      <c r="T262" s="616">
        <f t="shared" si="1"/>
        <v>0</v>
      </c>
      <c r="U262" s="633"/>
      <c r="V262" s="648"/>
      <c r="W262" s="648"/>
      <c r="X262" s="7"/>
      <c r="Y262" s="699"/>
      <c r="Z262" s="7"/>
      <c r="AA262" s="618">
        <f t="shared" si="17"/>
        <v>0</v>
      </c>
      <c r="AB262" s="7"/>
      <c r="AC262" s="7"/>
      <c r="AD262" s="7"/>
      <c r="AE262" s="7"/>
      <c r="AF262" s="7"/>
      <c r="AG262" s="7"/>
    </row>
    <row r="263" spans="1:33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4"/>
      <c r="I263" s="214"/>
      <c r="J263" s="214"/>
      <c r="K263" s="213"/>
      <c r="L263" s="215"/>
      <c r="M263" s="213"/>
      <c r="N263" s="292"/>
      <c r="O263" s="213"/>
      <c r="P263" s="372"/>
      <c r="Q263" s="647"/>
      <c r="R263" s="215"/>
      <c r="S263" s="215"/>
      <c r="T263" s="616">
        <f t="shared" si="1"/>
        <v>0</v>
      </c>
      <c r="U263" s="633"/>
      <c r="V263" s="636"/>
      <c r="W263" s="636"/>
      <c r="X263" s="7"/>
      <c r="Y263" s="699"/>
      <c r="Z263" s="7"/>
      <c r="AA263" s="618">
        <f t="shared" si="17"/>
        <v>0</v>
      </c>
      <c r="AB263" s="7"/>
      <c r="AC263" s="7"/>
      <c r="AD263" s="7"/>
      <c r="AE263" s="7"/>
      <c r="AF263" s="7"/>
      <c r="AG263" s="7"/>
    </row>
    <row r="264" spans="1:33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4"/>
      <c r="I264" s="214"/>
      <c r="J264" s="214"/>
      <c r="K264" s="213"/>
      <c r="L264" s="215"/>
      <c r="M264" s="213"/>
      <c r="N264" s="292"/>
      <c r="O264" s="213"/>
      <c r="P264" s="372"/>
      <c r="Q264" s="647"/>
      <c r="R264" s="215"/>
      <c r="S264" s="215"/>
      <c r="T264" s="616">
        <f t="shared" si="1"/>
        <v>0</v>
      </c>
      <c r="U264" s="633"/>
      <c r="V264" s="648"/>
      <c r="W264" s="648"/>
      <c r="X264" s="7"/>
      <c r="Y264" s="699"/>
      <c r="Z264" s="7"/>
      <c r="AA264" s="618">
        <f t="shared" si="17"/>
        <v>0</v>
      </c>
      <c r="AB264" s="7"/>
      <c r="AC264" s="7"/>
      <c r="AD264" s="7"/>
      <c r="AE264" s="7"/>
      <c r="AF264" s="7"/>
      <c r="AG264" s="7"/>
    </row>
    <row r="265" spans="1:33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4"/>
      <c r="I265" s="214"/>
      <c r="J265" s="214"/>
      <c r="K265" s="213"/>
      <c r="L265" s="215"/>
      <c r="M265" s="213"/>
      <c r="N265" s="292"/>
      <c r="O265" s="213"/>
      <c r="P265" s="372"/>
      <c r="Q265" s="662"/>
      <c r="R265" s="215"/>
      <c r="S265" s="215"/>
      <c r="T265" s="616">
        <f t="shared" si="1"/>
        <v>0</v>
      </c>
      <c r="U265" s="633"/>
      <c r="V265" s="648"/>
      <c r="W265" s="648"/>
      <c r="X265" s="7"/>
      <c r="Y265" s="699"/>
      <c r="Z265" s="7"/>
      <c r="AA265" s="618">
        <f t="shared" si="17"/>
        <v>0</v>
      </c>
      <c r="AB265" s="7"/>
      <c r="AC265" s="7"/>
      <c r="AD265" s="7"/>
      <c r="AE265" s="7"/>
      <c r="AF265" s="7"/>
      <c r="AG265" s="7"/>
    </row>
    <row r="266" spans="1:33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4"/>
      <c r="I266" s="214"/>
      <c r="J266" s="214"/>
      <c r="K266" s="213"/>
      <c r="L266" s="215"/>
      <c r="M266" s="213"/>
      <c r="N266" s="292"/>
      <c r="O266" s="213"/>
      <c r="P266" s="372"/>
      <c r="Q266" s="647"/>
      <c r="R266" s="215"/>
      <c r="S266" s="215"/>
      <c r="T266" s="616">
        <f t="shared" si="1"/>
        <v>0</v>
      </c>
      <c r="U266" s="633"/>
      <c r="V266" s="648"/>
      <c r="W266" s="648"/>
      <c r="X266" s="7"/>
      <c r="Y266" s="699"/>
      <c r="Z266" s="7"/>
      <c r="AA266" s="618">
        <f t="shared" si="17"/>
        <v>0</v>
      </c>
      <c r="AB266" s="7"/>
      <c r="AC266" s="7"/>
      <c r="AD266" s="7"/>
      <c r="AE266" s="7"/>
      <c r="AF266" s="7"/>
      <c r="AG266" s="7"/>
    </row>
    <row r="267" spans="1:33" ht="20.25" customHeight="1">
      <c r="A267" s="503" t="s">
        <v>605</v>
      </c>
      <c r="B267" s="483" t="s">
        <v>606</v>
      </c>
      <c r="C267" s="629" t="s">
        <v>593</v>
      </c>
      <c r="D267" s="485" t="s">
        <v>2386</v>
      </c>
      <c r="E267" s="213"/>
      <c r="F267" s="213"/>
      <c r="G267" s="213"/>
      <c r="H267" s="214"/>
      <c r="I267" s="214"/>
      <c r="J267" s="214"/>
      <c r="K267" s="213"/>
      <c r="L267" s="215"/>
      <c r="M267" s="213"/>
      <c r="N267" s="292"/>
      <c r="O267" s="213"/>
      <c r="P267" s="372"/>
      <c r="Q267" s="620"/>
      <c r="R267" s="215"/>
      <c r="S267" s="215"/>
      <c r="T267" s="616">
        <f t="shared" si="1"/>
        <v>0</v>
      </c>
      <c r="U267" s="633"/>
      <c r="V267" s="648"/>
      <c r="W267" s="648"/>
      <c r="X267" s="7"/>
      <c r="Y267" s="699"/>
      <c r="Z267" s="7"/>
      <c r="AA267" s="618">
        <f t="shared" si="17"/>
        <v>0</v>
      </c>
      <c r="AB267" s="7"/>
      <c r="AC267" s="7"/>
      <c r="AD267" s="7"/>
      <c r="AE267" s="7"/>
      <c r="AF267" s="7"/>
      <c r="AG267" s="7"/>
    </row>
    <row r="268" spans="1:33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4"/>
      <c r="I268" s="214"/>
      <c r="J268" s="214"/>
      <c r="K268" s="213"/>
      <c r="L268" s="215"/>
      <c r="M268" s="213"/>
      <c r="N268" s="292"/>
      <c r="O268" s="213"/>
      <c r="P268" s="372"/>
      <c r="Q268" s="647"/>
      <c r="R268" s="215"/>
      <c r="S268" s="215"/>
      <c r="T268" s="616">
        <f t="shared" si="1"/>
        <v>0</v>
      </c>
      <c r="U268" s="633"/>
      <c r="V268" s="648"/>
      <c r="W268" s="648"/>
      <c r="X268" s="7"/>
      <c r="Y268" s="699"/>
      <c r="Z268" s="7"/>
      <c r="AA268" s="618">
        <f t="shared" si="17"/>
        <v>0</v>
      </c>
      <c r="AB268" s="7"/>
      <c r="AC268" s="7"/>
      <c r="AD268" s="7"/>
      <c r="AE268" s="7"/>
      <c r="AF268" s="7"/>
      <c r="AG268" s="7"/>
    </row>
    <row r="269" spans="1:33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4"/>
      <c r="I269" s="214"/>
      <c r="J269" s="214"/>
      <c r="K269" s="213"/>
      <c r="L269" s="215"/>
      <c r="M269" s="213"/>
      <c r="N269" s="292"/>
      <c r="O269" s="213"/>
      <c r="P269" s="372"/>
      <c r="Q269" s="647"/>
      <c r="R269" s="215"/>
      <c r="S269" s="215"/>
      <c r="T269" s="616">
        <f t="shared" si="1"/>
        <v>0</v>
      </c>
      <c r="U269" s="633"/>
      <c r="V269" s="636"/>
      <c r="W269" s="636"/>
      <c r="X269" s="7"/>
      <c r="Y269" s="699"/>
      <c r="Z269" s="7"/>
      <c r="AA269" s="618">
        <f t="shared" si="17"/>
        <v>0</v>
      </c>
      <c r="AB269" s="7"/>
      <c r="AC269" s="7"/>
      <c r="AD269" s="7"/>
      <c r="AE269" s="7"/>
      <c r="AF269" s="7"/>
      <c r="AG269" s="7"/>
    </row>
    <row r="270" spans="1:33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4"/>
      <c r="I270" s="214"/>
      <c r="J270" s="214"/>
      <c r="K270" s="213"/>
      <c r="L270" s="215"/>
      <c r="M270" s="213"/>
      <c r="N270" s="292"/>
      <c r="O270" s="213"/>
      <c r="P270" s="372"/>
      <c r="Q270" s="647"/>
      <c r="R270" s="215"/>
      <c r="S270" s="215"/>
      <c r="T270" s="616">
        <f t="shared" si="1"/>
        <v>0</v>
      </c>
      <c r="U270" s="633"/>
      <c r="V270" s="648"/>
      <c r="W270" s="648"/>
      <c r="X270" s="7"/>
      <c r="Y270" s="699"/>
      <c r="Z270" s="7"/>
      <c r="AA270" s="618">
        <f t="shared" si="17"/>
        <v>0</v>
      </c>
      <c r="AB270" s="7"/>
      <c r="AC270" s="7"/>
      <c r="AD270" s="7"/>
      <c r="AE270" s="7"/>
      <c r="AF270" s="7"/>
      <c r="AG270" s="7"/>
    </row>
    <row r="271" spans="1:33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4"/>
      <c r="I271" s="214"/>
      <c r="J271" s="214"/>
      <c r="K271" s="213"/>
      <c r="L271" s="215"/>
      <c r="M271" s="213"/>
      <c r="N271" s="292"/>
      <c r="O271" s="213"/>
      <c r="P271" s="372"/>
      <c r="Q271" s="647"/>
      <c r="R271" s="215"/>
      <c r="S271" s="215"/>
      <c r="T271" s="616">
        <f t="shared" si="1"/>
        <v>0</v>
      </c>
      <c r="U271" s="633"/>
      <c r="V271" s="648"/>
      <c r="W271" s="648"/>
      <c r="X271" s="7"/>
      <c r="Y271" s="699"/>
      <c r="Z271" s="7"/>
      <c r="AA271" s="618">
        <f t="shared" si="17"/>
        <v>0</v>
      </c>
      <c r="AB271" s="7"/>
      <c r="AC271" s="7"/>
      <c r="AD271" s="7"/>
      <c r="AE271" s="7"/>
      <c r="AF271" s="7"/>
      <c r="AG271" s="7"/>
    </row>
    <row r="272" spans="1:33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4"/>
      <c r="I272" s="214"/>
      <c r="J272" s="214"/>
      <c r="K272" s="213"/>
      <c r="L272" s="215"/>
      <c r="M272" s="213"/>
      <c r="N272" s="292"/>
      <c r="O272" s="213"/>
      <c r="P272" s="372"/>
      <c r="Q272" s="662"/>
      <c r="R272" s="215"/>
      <c r="S272" s="215"/>
      <c r="T272" s="616">
        <f t="shared" si="1"/>
        <v>0</v>
      </c>
      <c r="U272" s="633"/>
      <c r="V272" s="648"/>
      <c r="W272" s="648"/>
      <c r="X272" s="7"/>
      <c r="Y272" s="699"/>
      <c r="Z272" s="7"/>
      <c r="AA272" s="618">
        <f t="shared" si="17"/>
        <v>0</v>
      </c>
      <c r="AB272" s="7"/>
      <c r="AC272" s="7"/>
      <c r="AD272" s="7"/>
      <c r="AE272" s="7"/>
      <c r="AF272" s="7"/>
      <c r="AG272" s="7"/>
    </row>
    <row r="273" spans="1:33" ht="20.25" customHeight="1">
      <c r="A273" s="503" t="s">
        <v>620</v>
      </c>
      <c r="B273" s="483" t="s">
        <v>621</v>
      </c>
      <c r="C273" s="629" t="s">
        <v>622</v>
      </c>
      <c r="D273" s="485" t="s">
        <v>2387</v>
      </c>
      <c r="E273" s="213"/>
      <c r="F273" s="213"/>
      <c r="G273" s="213"/>
      <c r="H273" s="214"/>
      <c r="I273" s="214"/>
      <c r="J273" s="214"/>
      <c r="K273" s="213"/>
      <c r="L273" s="215"/>
      <c r="M273" s="213"/>
      <c r="N273" s="292"/>
      <c r="O273" s="213"/>
      <c r="P273" s="372"/>
      <c r="Q273" s="620"/>
      <c r="R273" s="215"/>
      <c r="S273" s="215"/>
      <c r="T273" s="616">
        <f t="shared" si="1"/>
        <v>0</v>
      </c>
      <c r="U273" s="633"/>
      <c r="V273" s="648"/>
      <c r="W273" s="648"/>
      <c r="X273" s="7"/>
      <c r="Y273" s="699"/>
      <c r="Z273" s="7"/>
      <c r="AA273" s="618">
        <f t="shared" si="17"/>
        <v>0</v>
      </c>
      <c r="AB273" s="7"/>
      <c r="AC273" s="7"/>
      <c r="AD273" s="7"/>
      <c r="AE273" s="7"/>
      <c r="AF273" s="7"/>
      <c r="AG273" s="7"/>
    </row>
    <row r="274" spans="1:33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4"/>
      <c r="I274" s="214"/>
      <c r="J274" s="214"/>
      <c r="K274" s="213"/>
      <c r="L274" s="215"/>
      <c r="M274" s="213"/>
      <c r="N274" s="292"/>
      <c r="O274" s="213"/>
      <c r="P274" s="372"/>
      <c r="Q274" s="647"/>
      <c r="R274" s="215"/>
      <c r="S274" s="215"/>
      <c r="T274" s="616">
        <f t="shared" si="1"/>
        <v>0</v>
      </c>
      <c r="U274" s="633"/>
      <c r="V274" s="648"/>
      <c r="W274" s="648"/>
      <c r="X274" s="7"/>
      <c r="Y274" s="699"/>
      <c r="Z274" s="7"/>
      <c r="AA274" s="618">
        <f t="shared" si="17"/>
        <v>0</v>
      </c>
      <c r="AB274" s="7"/>
      <c r="AC274" s="7"/>
      <c r="AD274" s="7"/>
      <c r="AE274" s="7"/>
      <c r="AF274" s="7"/>
      <c r="AG274" s="7"/>
    </row>
    <row r="275" spans="1:33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4"/>
      <c r="I275" s="214"/>
      <c r="J275" s="214"/>
      <c r="K275" s="213"/>
      <c r="L275" s="215"/>
      <c r="M275" s="213"/>
      <c r="N275" s="292"/>
      <c r="O275" s="213"/>
      <c r="P275" s="372"/>
      <c r="Q275" s="620"/>
      <c r="R275" s="215"/>
      <c r="S275" s="215"/>
      <c r="T275" s="616">
        <f t="shared" ref="T275:T447" si="18">+SUM(E275:S275)</f>
        <v>0</v>
      </c>
      <c r="U275" s="633"/>
      <c r="V275" s="636"/>
      <c r="W275" s="636"/>
      <c r="X275" s="7"/>
      <c r="Y275" s="699"/>
      <c r="Z275" s="7"/>
      <c r="AA275" s="618">
        <f t="shared" si="17"/>
        <v>0</v>
      </c>
      <c r="AB275" s="7"/>
      <c r="AC275" s="7"/>
      <c r="AD275" s="7"/>
      <c r="AE275" s="7"/>
      <c r="AF275" s="7"/>
      <c r="AG275" s="7"/>
    </row>
    <row r="276" spans="1:33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4"/>
      <c r="I276" s="214"/>
      <c r="J276" s="214"/>
      <c r="K276" s="213"/>
      <c r="L276" s="215"/>
      <c r="M276" s="213"/>
      <c r="N276" s="292"/>
      <c r="O276" s="213"/>
      <c r="P276" s="372"/>
      <c r="Q276" s="647"/>
      <c r="R276" s="215"/>
      <c r="S276" s="215"/>
      <c r="T276" s="616">
        <f t="shared" si="18"/>
        <v>0</v>
      </c>
      <c r="U276" s="633"/>
      <c r="V276" s="648"/>
      <c r="W276" s="648"/>
      <c r="X276" s="7"/>
      <c r="Y276" s="699"/>
      <c r="Z276" s="7"/>
      <c r="AA276" s="618">
        <f t="shared" si="17"/>
        <v>0</v>
      </c>
      <c r="AB276" s="7"/>
      <c r="AC276" s="7"/>
      <c r="AD276" s="7"/>
      <c r="AE276" s="7"/>
      <c r="AF276" s="7"/>
      <c r="AG276" s="7"/>
    </row>
    <row r="277" spans="1:33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4"/>
      <c r="I277" s="214"/>
      <c r="J277" s="214"/>
      <c r="K277" s="213"/>
      <c r="L277" s="215"/>
      <c r="M277" s="213"/>
      <c r="N277" s="292"/>
      <c r="O277" s="213"/>
      <c r="P277" s="372"/>
      <c r="Q277" s="662"/>
      <c r="R277" s="215"/>
      <c r="S277" s="215"/>
      <c r="T277" s="616">
        <f t="shared" si="18"/>
        <v>0</v>
      </c>
      <c r="U277" s="633"/>
      <c r="V277" s="648"/>
      <c r="W277" s="648"/>
      <c r="X277" s="7"/>
      <c r="Y277" s="699"/>
      <c r="Z277" s="7"/>
      <c r="AA277" s="618">
        <f t="shared" si="17"/>
        <v>0</v>
      </c>
      <c r="AB277" s="7"/>
      <c r="AC277" s="7"/>
      <c r="AD277" s="7"/>
      <c r="AE277" s="7"/>
      <c r="AF277" s="7"/>
      <c r="AG277" s="7"/>
    </row>
    <row r="278" spans="1:33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4"/>
      <c r="I278" s="214"/>
      <c r="J278" s="214"/>
      <c r="K278" s="213"/>
      <c r="L278" s="215"/>
      <c r="M278" s="213"/>
      <c r="N278" s="292"/>
      <c r="O278" s="213"/>
      <c r="P278" s="372"/>
      <c r="Q278" s="647"/>
      <c r="R278" s="215"/>
      <c r="S278" s="215"/>
      <c r="T278" s="616">
        <f t="shared" si="18"/>
        <v>0</v>
      </c>
      <c r="U278" s="633"/>
      <c r="V278" s="648"/>
      <c r="W278" s="648"/>
      <c r="X278" s="7"/>
      <c r="Y278" s="699"/>
      <c r="Z278" s="7"/>
      <c r="AA278" s="618">
        <f t="shared" si="17"/>
        <v>0</v>
      </c>
      <c r="AB278" s="7"/>
      <c r="AC278" s="7"/>
      <c r="AD278" s="7"/>
      <c r="AE278" s="7"/>
      <c r="AF278" s="7"/>
      <c r="AG278" s="7"/>
    </row>
    <row r="279" spans="1:33" ht="20.25" customHeight="1">
      <c r="A279" s="503" t="s">
        <v>636</v>
      </c>
      <c r="B279" s="483" t="s">
        <v>637</v>
      </c>
      <c r="C279" s="629" t="s">
        <v>638</v>
      </c>
      <c r="D279" s="485" t="s">
        <v>2388</v>
      </c>
      <c r="E279" s="213"/>
      <c r="F279" s="213"/>
      <c r="G279" s="213"/>
      <c r="H279" s="214"/>
      <c r="I279" s="214"/>
      <c r="J279" s="214"/>
      <c r="K279" s="213"/>
      <c r="L279" s="215"/>
      <c r="M279" s="213"/>
      <c r="N279" s="292"/>
      <c r="O279" s="213"/>
      <c r="P279" s="372"/>
      <c r="Q279" s="620"/>
      <c r="R279" s="215"/>
      <c r="S279" s="215"/>
      <c r="T279" s="616">
        <f t="shared" si="18"/>
        <v>0</v>
      </c>
      <c r="U279" s="633"/>
      <c r="V279" s="648"/>
      <c r="W279" s="648"/>
      <c r="X279" s="7"/>
      <c r="Y279" s="699"/>
      <c r="Z279" s="7"/>
      <c r="AA279" s="618">
        <f t="shared" si="17"/>
        <v>0</v>
      </c>
      <c r="AB279" s="7"/>
      <c r="AC279" s="7"/>
      <c r="AD279" s="7"/>
      <c r="AE279" s="7"/>
      <c r="AF279" s="7"/>
      <c r="AG279" s="7"/>
    </row>
    <row r="280" spans="1:33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4"/>
      <c r="I280" s="214"/>
      <c r="J280" s="214"/>
      <c r="K280" s="213"/>
      <c r="L280" s="215"/>
      <c r="M280" s="213"/>
      <c r="N280" s="292"/>
      <c r="O280" s="213"/>
      <c r="P280" s="372"/>
      <c r="Q280" s="647"/>
      <c r="R280" s="215"/>
      <c r="S280" s="215"/>
      <c r="T280" s="616">
        <f t="shared" si="18"/>
        <v>0</v>
      </c>
      <c r="U280" s="633"/>
      <c r="V280" s="648"/>
      <c r="W280" s="648"/>
      <c r="X280" s="7"/>
      <c r="Y280" s="699"/>
      <c r="Z280" s="7"/>
      <c r="AA280" s="618">
        <f t="shared" si="17"/>
        <v>0</v>
      </c>
      <c r="AB280" s="7"/>
      <c r="AC280" s="7"/>
      <c r="AD280" s="7"/>
      <c r="AE280" s="7"/>
      <c r="AF280" s="7"/>
      <c r="AG280" s="7"/>
    </row>
    <row r="281" spans="1:33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4"/>
      <c r="I281" s="214"/>
      <c r="J281" s="214"/>
      <c r="K281" s="213"/>
      <c r="L281" s="215"/>
      <c r="M281" s="213"/>
      <c r="N281" s="292"/>
      <c r="O281" s="213"/>
      <c r="P281" s="372"/>
      <c r="Q281" s="662"/>
      <c r="R281" s="215"/>
      <c r="S281" s="215"/>
      <c r="T281" s="616">
        <f t="shared" si="18"/>
        <v>0</v>
      </c>
      <c r="U281" s="633"/>
      <c r="V281" s="648"/>
      <c r="W281" s="648"/>
      <c r="X281" s="7"/>
      <c r="Y281" s="699"/>
      <c r="Z281" s="7"/>
      <c r="AA281" s="618">
        <f t="shared" si="17"/>
        <v>0</v>
      </c>
      <c r="AB281" s="7"/>
      <c r="AC281" s="7"/>
      <c r="AD281" s="7"/>
      <c r="AE281" s="7"/>
      <c r="AF281" s="7"/>
      <c r="AG281" s="7"/>
    </row>
    <row r="282" spans="1:33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4"/>
      <c r="I282" s="214"/>
      <c r="J282" s="214"/>
      <c r="K282" s="213"/>
      <c r="L282" s="215"/>
      <c r="M282" s="213"/>
      <c r="N282" s="292"/>
      <c r="O282" s="213"/>
      <c r="P282" s="372"/>
      <c r="Q282" s="662"/>
      <c r="R282" s="215"/>
      <c r="S282" s="215"/>
      <c r="T282" s="616">
        <f t="shared" si="18"/>
        <v>0</v>
      </c>
      <c r="U282" s="633"/>
      <c r="V282" s="640"/>
      <c r="W282" s="640"/>
      <c r="X282" s="7"/>
      <c r="Y282" s="699"/>
      <c r="Z282" s="7"/>
      <c r="AA282" s="618">
        <f t="shared" si="17"/>
        <v>0</v>
      </c>
      <c r="AB282" s="7"/>
      <c r="AC282" s="7"/>
      <c r="AD282" s="7"/>
      <c r="AE282" s="7"/>
      <c r="AF282" s="7"/>
      <c r="AG282" s="7"/>
    </row>
    <row r="283" spans="1:33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4"/>
      <c r="I283" s="214"/>
      <c r="J283" s="214">
        <v>0.2</v>
      </c>
      <c r="K283" s="213"/>
      <c r="L283" s="215"/>
      <c r="M283" s="213">
        <v>40.1</v>
      </c>
      <c r="N283" s="292">
        <v>0.15</v>
      </c>
      <c r="O283" s="213"/>
      <c r="P283" s="663">
        <v>8.5</v>
      </c>
      <c r="Q283" s="620"/>
      <c r="R283" s="215"/>
      <c r="S283" s="215"/>
      <c r="T283" s="616">
        <f t="shared" si="18"/>
        <v>48.95</v>
      </c>
      <c r="U283" s="633"/>
      <c r="V283" s="636"/>
      <c r="W283" s="636"/>
      <c r="X283" s="7"/>
      <c r="Y283" s="699">
        <v>40.700000000000003</v>
      </c>
      <c r="Z283" s="7"/>
      <c r="AA283" s="618"/>
      <c r="AB283" s="7"/>
      <c r="AC283" s="7"/>
      <c r="AD283" s="7"/>
      <c r="AE283" s="7"/>
      <c r="AF283" s="7"/>
      <c r="AG283" s="7"/>
    </row>
    <row r="284" spans="1:33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4"/>
      <c r="I284" s="214"/>
      <c r="J284" s="214"/>
      <c r="K284" s="213"/>
      <c r="L284" s="215"/>
      <c r="M284" s="213"/>
      <c r="N284" s="292"/>
      <c r="O284" s="213"/>
      <c r="P284" s="372"/>
      <c r="Q284" s="647"/>
      <c r="R284" s="215"/>
      <c r="S284" s="215"/>
      <c r="T284" s="616">
        <f t="shared" si="18"/>
        <v>0</v>
      </c>
      <c r="U284" s="633"/>
      <c r="V284" s="654"/>
      <c r="W284" s="654"/>
      <c r="X284" s="7"/>
      <c r="Y284" s="699">
        <v>40.700000000000003</v>
      </c>
      <c r="Z284" s="7"/>
      <c r="AA284" s="618"/>
      <c r="AB284" s="7"/>
      <c r="AC284" s="7"/>
      <c r="AD284" s="7"/>
      <c r="AE284" s="7"/>
      <c r="AF284" s="7"/>
      <c r="AG284" s="7"/>
    </row>
    <row r="285" spans="1:33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4"/>
      <c r="I285" s="214"/>
      <c r="J285" s="214"/>
      <c r="K285" s="213"/>
      <c r="L285" s="215"/>
      <c r="M285" s="213"/>
      <c r="N285" s="292"/>
      <c r="O285" s="213"/>
      <c r="P285" s="372"/>
      <c r="Q285" s="647"/>
      <c r="R285" s="215"/>
      <c r="S285" s="215"/>
      <c r="T285" s="616">
        <f t="shared" si="18"/>
        <v>0</v>
      </c>
      <c r="U285" s="633"/>
      <c r="V285" s="654"/>
      <c r="W285" s="654"/>
      <c r="X285" s="7"/>
      <c r="Y285" s="699"/>
      <c r="Z285" s="7"/>
      <c r="AA285" s="618"/>
      <c r="AB285" s="7"/>
      <c r="AC285" s="7"/>
      <c r="AD285" s="7"/>
      <c r="AE285" s="7"/>
      <c r="AF285" s="7"/>
      <c r="AG285" s="7"/>
    </row>
    <row r="286" spans="1:33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4"/>
      <c r="I286" s="214"/>
      <c r="J286" s="214"/>
      <c r="K286" s="213"/>
      <c r="L286" s="215"/>
      <c r="M286" s="213"/>
      <c r="N286" s="292"/>
      <c r="O286" s="213"/>
      <c r="P286" s="372"/>
      <c r="Q286" s="647"/>
      <c r="R286" s="215"/>
      <c r="S286" s="215"/>
      <c r="T286" s="616">
        <f t="shared" si="18"/>
        <v>0</v>
      </c>
      <c r="U286" s="633"/>
      <c r="V286" s="654"/>
      <c r="W286" s="654"/>
      <c r="X286" s="7"/>
      <c r="Y286" s="699">
        <v>40.700000000000003</v>
      </c>
      <c r="Z286" s="7"/>
      <c r="AA286" s="618"/>
      <c r="AB286" s="7"/>
      <c r="AC286" s="7"/>
      <c r="AD286" s="7"/>
      <c r="AE286" s="7"/>
      <c r="AF286" s="7"/>
      <c r="AG286" s="7"/>
    </row>
    <row r="287" spans="1:33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4"/>
      <c r="I287" s="214"/>
      <c r="J287" s="214"/>
      <c r="K287" s="213"/>
      <c r="L287" s="215"/>
      <c r="M287" s="213"/>
      <c r="N287" s="292"/>
      <c r="O287" s="213"/>
      <c r="P287" s="372"/>
      <c r="Q287" s="647"/>
      <c r="R287" s="215"/>
      <c r="S287" s="215"/>
      <c r="T287" s="616">
        <f t="shared" si="18"/>
        <v>0</v>
      </c>
      <c r="U287" s="633"/>
      <c r="V287" s="654"/>
      <c r="W287" s="654"/>
      <c r="X287" s="7"/>
      <c r="Y287" s="699"/>
      <c r="Z287" s="7"/>
      <c r="AA287" s="618"/>
      <c r="AB287" s="7"/>
      <c r="AC287" s="7"/>
      <c r="AD287" s="7"/>
      <c r="AE287" s="7"/>
      <c r="AF287" s="7"/>
      <c r="AG287" s="7"/>
    </row>
    <row r="288" spans="1:33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4"/>
      <c r="I288" s="214"/>
      <c r="J288" s="214"/>
      <c r="K288" s="213"/>
      <c r="L288" s="215"/>
      <c r="M288" s="213"/>
      <c r="N288" s="292"/>
      <c r="O288" s="213"/>
      <c r="P288" s="372"/>
      <c r="Q288" s="647"/>
      <c r="R288" s="215"/>
      <c r="S288" s="215"/>
      <c r="T288" s="616">
        <f t="shared" si="18"/>
        <v>0</v>
      </c>
      <c r="U288" s="633"/>
      <c r="V288" s="654"/>
      <c r="W288" s="654"/>
      <c r="X288" s="7"/>
      <c r="Y288" s="699"/>
      <c r="Z288" s="7"/>
      <c r="AA288" s="618">
        <f t="shared" ref="AA288:AA329" si="19">Y288-T288</f>
        <v>0</v>
      </c>
      <c r="AB288" s="7"/>
      <c r="AC288" s="7"/>
      <c r="AD288" s="7"/>
      <c r="AE288" s="7"/>
      <c r="AF288" s="7"/>
      <c r="AG288" s="7"/>
    </row>
    <row r="289" spans="1:33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4"/>
      <c r="I289" s="214"/>
      <c r="J289" s="214"/>
      <c r="K289" s="213"/>
      <c r="L289" s="215"/>
      <c r="M289" s="213"/>
      <c r="N289" s="292"/>
      <c r="O289" s="213"/>
      <c r="P289" s="372"/>
      <c r="Q289" s="647"/>
      <c r="R289" s="215"/>
      <c r="S289" s="215"/>
      <c r="T289" s="616">
        <f t="shared" si="18"/>
        <v>0</v>
      </c>
      <c r="U289" s="633"/>
      <c r="V289" s="654"/>
      <c r="W289" s="654"/>
      <c r="X289" s="7"/>
      <c r="Y289" s="699"/>
      <c r="Z289" s="7"/>
      <c r="AA289" s="618">
        <f t="shared" si="19"/>
        <v>0</v>
      </c>
      <c r="AB289" s="7"/>
      <c r="AC289" s="7"/>
      <c r="AD289" s="7"/>
      <c r="AE289" s="7"/>
      <c r="AF289" s="7"/>
      <c r="AG289" s="7"/>
    </row>
    <row r="290" spans="1:33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4"/>
      <c r="I290" s="214"/>
      <c r="J290" s="214"/>
      <c r="K290" s="213"/>
      <c r="L290" s="215"/>
      <c r="M290" s="213"/>
      <c r="N290" s="292"/>
      <c r="O290" s="213"/>
      <c r="P290" s="372"/>
      <c r="Q290" s="647"/>
      <c r="R290" s="215"/>
      <c r="S290" s="215"/>
      <c r="T290" s="616">
        <f t="shared" si="18"/>
        <v>0</v>
      </c>
      <c r="U290" s="633"/>
      <c r="V290" s="648"/>
      <c r="W290" s="648"/>
      <c r="X290" s="7"/>
      <c r="Y290" s="699"/>
      <c r="Z290" s="7"/>
      <c r="AA290" s="618">
        <f t="shared" si="19"/>
        <v>0</v>
      </c>
      <c r="AB290" s="7"/>
      <c r="AC290" s="7"/>
      <c r="AD290" s="7"/>
      <c r="AE290" s="7"/>
      <c r="AF290" s="7"/>
      <c r="AG290" s="7"/>
    </row>
    <row r="291" spans="1:33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4"/>
      <c r="I291" s="214"/>
      <c r="J291" s="214"/>
      <c r="K291" s="213"/>
      <c r="L291" s="215"/>
      <c r="M291" s="213"/>
      <c r="N291" s="292"/>
      <c r="O291" s="213"/>
      <c r="P291" s="372"/>
      <c r="Q291" s="647"/>
      <c r="R291" s="215"/>
      <c r="S291" s="215"/>
      <c r="T291" s="616">
        <f t="shared" si="18"/>
        <v>0</v>
      </c>
      <c r="U291" s="633"/>
      <c r="V291" s="648"/>
      <c r="W291" s="648"/>
      <c r="X291" s="7"/>
      <c r="Y291" s="699"/>
      <c r="Z291" s="7"/>
      <c r="AA291" s="618">
        <f t="shared" si="19"/>
        <v>0</v>
      </c>
      <c r="AB291" s="7"/>
      <c r="AC291" s="7"/>
      <c r="AD291" s="7"/>
      <c r="AE291" s="7"/>
      <c r="AF291" s="7"/>
      <c r="AG291" s="7"/>
    </row>
    <row r="292" spans="1:33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4"/>
      <c r="I292" s="214"/>
      <c r="J292" s="214"/>
      <c r="K292" s="213"/>
      <c r="L292" s="215"/>
      <c r="M292" s="213"/>
      <c r="N292" s="292"/>
      <c r="O292" s="213"/>
      <c r="P292" s="372"/>
      <c r="Q292" s="647"/>
      <c r="R292" s="215"/>
      <c r="S292" s="215"/>
      <c r="T292" s="616">
        <f t="shared" si="18"/>
        <v>0</v>
      </c>
      <c r="U292" s="633"/>
      <c r="V292" s="648"/>
      <c r="W292" s="648"/>
      <c r="X292" s="7"/>
      <c r="Y292" s="699"/>
      <c r="Z292" s="7"/>
      <c r="AA292" s="618">
        <f t="shared" si="19"/>
        <v>0</v>
      </c>
      <c r="AB292" s="7"/>
      <c r="AC292" s="7"/>
      <c r="AD292" s="7"/>
      <c r="AE292" s="7"/>
      <c r="AF292" s="7"/>
      <c r="AG292" s="7"/>
    </row>
    <row r="293" spans="1:33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4"/>
      <c r="I293" s="214"/>
      <c r="J293" s="214"/>
      <c r="K293" s="213"/>
      <c r="L293" s="215"/>
      <c r="M293" s="213"/>
      <c r="N293" s="292"/>
      <c r="O293" s="213"/>
      <c r="P293" s="372"/>
      <c r="Q293" s="647"/>
      <c r="R293" s="215"/>
      <c r="S293" s="215"/>
      <c r="T293" s="616">
        <f t="shared" si="18"/>
        <v>0</v>
      </c>
      <c r="U293" s="633"/>
      <c r="V293" s="648"/>
      <c r="W293" s="648"/>
      <c r="X293" s="7"/>
      <c r="Y293" s="699"/>
      <c r="Z293" s="7"/>
      <c r="AA293" s="618">
        <f t="shared" si="19"/>
        <v>0</v>
      </c>
      <c r="AB293" s="7"/>
      <c r="AC293" s="7"/>
      <c r="AD293" s="7"/>
      <c r="AE293" s="7"/>
      <c r="AF293" s="7"/>
      <c r="AG293" s="7"/>
    </row>
    <row r="294" spans="1:33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4"/>
      <c r="I294" s="214"/>
      <c r="J294" s="214"/>
      <c r="K294" s="213"/>
      <c r="L294" s="215"/>
      <c r="M294" s="213"/>
      <c r="N294" s="292"/>
      <c r="O294" s="213"/>
      <c r="P294" s="372"/>
      <c r="Q294" s="620"/>
      <c r="R294" s="215"/>
      <c r="S294" s="215"/>
      <c r="T294" s="616">
        <f t="shared" si="18"/>
        <v>0</v>
      </c>
      <c r="U294" s="633"/>
      <c r="V294" s="654"/>
      <c r="W294" s="654"/>
      <c r="X294" s="7"/>
      <c r="Y294" s="699"/>
      <c r="Z294" s="7"/>
      <c r="AA294" s="618">
        <f t="shared" si="19"/>
        <v>0</v>
      </c>
      <c r="AB294" s="7"/>
      <c r="AC294" s="7"/>
      <c r="AD294" s="7"/>
      <c r="AE294" s="7"/>
      <c r="AF294" s="7"/>
      <c r="AG294" s="7"/>
    </row>
    <row r="295" spans="1:33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4"/>
      <c r="I295" s="214"/>
      <c r="J295" s="214"/>
      <c r="K295" s="213"/>
      <c r="L295" s="215"/>
      <c r="M295" s="213"/>
      <c r="N295" s="292"/>
      <c r="O295" s="213"/>
      <c r="P295" s="372"/>
      <c r="Q295" s="647"/>
      <c r="R295" s="215"/>
      <c r="S295" s="215"/>
      <c r="T295" s="616">
        <f t="shared" si="18"/>
        <v>0</v>
      </c>
      <c r="U295" s="633"/>
      <c r="V295" s="648"/>
      <c r="W295" s="648"/>
      <c r="X295" s="7"/>
      <c r="Y295" s="699"/>
      <c r="Z295" s="7"/>
      <c r="AA295" s="618">
        <f t="shared" si="19"/>
        <v>0</v>
      </c>
      <c r="AB295" s="7"/>
      <c r="AC295" s="7"/>
      <c r="AD295" s="7"/>
      <c r="AE295" s="7"/>
      <c r="AF295" s="7"/>
      <c r="AG295" s="7"/>
    </row>
    <row r="296" spans="1:33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4"/>
      <c r="I296" s="214"/>
      <c r="J296" s="214"/>
      <c r="K296" s="213"/>
      <c r="L296" s="215"/>
      <c r="M296" s="213"/>
      <c r="N296" s="292"/>
      <c r="O296" s="213"/>
      <c r="P296" s="372"/>
      <c r="Q296" s="647"/>
      <c r="R296" s="215"/>
      <c r="S296" s="215"/>
      <c r="T296" s="616">
        <f t="shared" si="18"/>
        <v>0</v>
      </c>
      <c r="U296" s="633"/>
      <c r="V296" s="648"/>
      <c r="W296" s="648"/>
      <c r="X296" s="7"/>
      <c r="Y296" s="699"/>
      <c r="Z296" s="7"/>
      <c r="AA296" s="618">
        <f t="shared" si="19"/>
        <v>0</v>
      </c>
      <c r="AB296" s="7"/>
      <c r="AC296" s="7"/>
      <c r="AD296" s="7"/>
      <c r="AE296" s="7"/>
      <c r="AF296" s="7"/>
      <c r="AG296" s="7"/>
    </row>
    <row r="297" spans="1:33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4"/>
      <c r="I297" s="214"/>
      <c r="J297" s="214"/>
      <c r="K297" s="213"/>
      <c r="L297" s="215"/>
      <c r="M297" s="213"/>
      <c r="N297" s="292"/>
      <c r="O297" s="213"/>
      <c r="P297" s="372"/>
      <c r="Q297" s="647"/>
      <c r="R297" s="215"/>
      <c r="S297" s="215"/>
      <c r="T297" s="616">
        <f t="shared" si="18"/>
        <v>0</v>
      </c>
      <c r="U297" s="633"/>
      <c r="V297" s="648"/>
      <c r="W297" s="648"/>
      <c r="X297" s="7"/>
      <c r="Y297" s="699"/>
      <c r="Z297" s="7"/>
      <c r="AA297" s="618">
        <f t="shared" si="19"/>
        <v>0</v>
      </c>
      <c r="AB297" s="7"/>
      <c r="AC297" s="7"/>
      <c r="AD297" s="7"/>
      <c r="AE297" s="7"/>
      <c r="AF297" s="7"/>
      <c r="AG297" s="7"/>
    </row>
    <row r="298" spans="1:33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4"/>
      <c r="I298" s="214"/>
      <c r="J298" s="214"/>
      <c r="K298" s="213"/>
      <c r="L298" s="215"/>
      <c r="M298" s="213"/>
      <c r="N298" s="292"/>
      <c r="O298" s="213"/>
      <c r="P298" s="372"/>
      <c r="Q298" s="647"/>
      <c r="R298" s="215"/>
      <c r="S298" s="215"/>
      <c r="T298" s="616">
        <f t="shared" si="18"/>
        <v>0</v>
      </c>
      <c r="U298" s="633"/>
      <c r="V298" s="648"/>
      <c r="W298" s="648"/>
      <c r="X298" s="7"/>
      <c r="Y298" s="699"/>
      <c r="Z298" s="7"/>
      <c r="AA298" s="618">
        <f t="shared" si="19"/>
        <v>0</v>
      </c>
      <c r="AB298" s="7"/>
      <c r="AC298" s="7"/>
      <c r="AD298" s="7"/>
      <c r="AE298" s="7"/>
      <c r="AF298" s="7"/>
      <c r="AG298" s="7"/>
    </row>
    <row r="299" spans="1:33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4"/>
      <c r="I299" s="214"/>
      <c r="J299" s="214"/>
      <c r="K299" s="213"/>
      <c r="L299" s="215"/>
      <c r="M299" s="213"/>
      <c r="N299" s="292"/>
      <c r="O299" s="213"/>
      <c r="P299" s="372"/>
      <c r="Q299" s="620"/>
      <c r="R299" s="215"/>
      <c r="S299" s="215"/>
      <c r="T299" s="616">
        <f t="shared" si="18"/>
        <v>0</v>
      </c>
      <c r="U299" s="633"/>
      <c r="V299" s="636"/>
      <c r="W299" s="636"/>
      <c r="X299" s="7"/>
      <c r="Y299" s="699"/>
      <c r="Z299" s="7"/>
      <c r="AA299" s="618">
        <f t="shared" si="19"/>
        <v>0</v>
      </c>
      <c r="AB299" s="7"/>
      <c r="AC299" s="7"/>
      <c r="AD299" s="7"/>
      <c r="AE299" s="7"/>
      <c r="AF299" s="7"/>
      <c r="AG299" s="7"/>
    </row>
    <row r="300" spans="1:33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4"/>
      <c r="I300" s="214"/>
      <c r="J300" s="214"/>
      <c r="K300" s="213"/>
      <c r="L300" s="215"/>
      <c r="M300" s="213"/>
      <c r="N300" s="292"/>
      <c r="O300" s="213"/>
      <c r="P300" s="372"/>
      <c r="Q300" s="620"/>
      <c r="R300" s="215"/>
      <c r="S300" s="215"/>
      <c r="T300" s="616">
        <f t="shared" si="18"/>
        <v>0</v>
      </c>
      <c r="U300" s="633"/>
      <c r="V300" s="636"/>
      <c r="W300" s="636"/>
      <c r="X300" s="7"/>
      <c r="Y300" s="699"/>
      <c r="Z300" s="7"/>
      <c r="AA300" s="618">
        <f t="shared" si="19"/>
        <v>0</v>
      </c>
      <c r="AB300" s="7"/>
      <c r="AC300" s="7"/>
      <c r="AD300" s="7"/>
      <c r="AE300" s="7"/>
      <c r="AF300" s="7"/>
      <c r="AG300" s="7"/>
    </row>
    <row r="301" spans="1:33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4"/>
      <c r="I301" s="214"/>
      <c r="J301" s="214"/>
      <c r="K301" s="213"/>
      <c r="L301" s="215"/>
      <c r="M301" s="213"/>
      <c r="N301" s="292"/>
      <c r="O301" s="213"/>
      <c r="P301" s="372"/>
      <c r="Q301" s="647"/>
      <c r="R301" s="215"/>
      <c r="S301" s="215"/>
      <c r="T301" s="616">
        <f t="shared" si="18"/>
        <v>0</v>
      </c>
      <c r="U301" s="633"/>
      <c r="V301" s="648"/>
      <c r="W301" s="648"/>
      <c r="X301" s="7"/>
      <c r="Y301" s="699"/>
      <c r="Z301" s="7"/>
      <c r="AA301" s="618">
        <f t="shared" si="19"/>
        <v>0</v>
      </c>
      <c r="AB301" s="7"/>
      <c r="AC301" s="7"/>
      <c r="AD301" s="7"/>
      <c r="AE301" s="7"/>
      <c r="AF301" s="7"/>
      <c r="AG301" s="7"/>
    </row>
    <row r="302" spans="1:33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4"/>
      <c r="I302" s="214"/>
      <c r="J302" s="214"/>
      <c r="K302" s="213"/>
      <c r="L302" s="215"/>
      <c r="M302" s="213"/>
      <c r="N302" s="292"/>
      <c r="O302" s="213"/>
      <c r="P302" s="372"/>
      <c r="Q302" s="647"/>
      <c r="R302" s="215"/>
      <c r="S302" s="215"/>
      <c r="T302" s="616">
        <f t="shared" si="18"/>
        <v>0</v>
      </c>
      <c r="U302" s="633"/>
      <c r="V302" s="648"/>
      <c r="W302" s="648"/>
      <c r="X302" s="7"/>
      <c r="Y302" s="699"/>
      <c r="Z302" s="7"/>
      <c r="AA302" s="618">
        <f t="shared" si="19"/>
        <v>0</v>
      </c>
      <c r="AB302" s="7"/>
      <c r="AC302" s="7"/>
      <c r="AD302" s="7"/>
      <c r="AE302" s="7"/>
      <c r="AF302" s="7"/>
      <c r="AG302" s="7"/>
    </row>
    <row r="303" spans="1:33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4"/>
      <c r="I303" s="214"/>
      <c r="J303" s="214"/>
      <c r="K303" s="213"/>
      <c r="L303" s="215"/>
      <c r="M303" s="213"/>
      <c r="N303" s="292"/>
      <c r="O303" s="213"/>
      <c r="P303" s="372"/>
      <c r="Q303" s="647"/>
      <c r="R303" s="215"/>
      <c r="S303" s="215"/>
      <c r="T303" s="616">
        <f t="shared" si="18"/>
        <v>0</v>
      </c>
      <c r="U303" s="633"/>
      <c r="V303" s="648"/>
      <c r="W303" s="648"/>
      <c r="X303" s="7"/>
      <c r="Y303" s="699"/>
      <c r="Z303" s="7"/>
      <c r="AA303" s="618">
        <f t="shared" si="19"/>
        <v>0</v>
      </c>
      <c r="AB303" s="7"/>
      <c r="AC303" s="7"/>
      <c r="AD303" s="7"/>
      <c r="AE303" s="7"/>
      <c r="AF303" s="7"/>
      <c r="AG303" s="7"/>
    </row>
    <row r="304" spans="1:33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4"/>
      <c r="I304" s="214"/>
      <c r="J304" s="214"/>
      <c r="K304" s="213"/>
      <c r="L304" s="215"/>
      <c r="M304" s="213"/>
      <c r="N304" s="292"/>
      <c r="O304" s="213"/>
      <c r="P304" s="372"/>
      <c r="Q304" s="647"/>
      <c r="R304" s="215"/>
      <c r="S304" s="215"/>
      <c r="T304" s="616">
        <f t="shared" si="18"/>
        <v>0</v>
      </c>
      <c r="U304" s="633"/>
      <c r="V304" s="648"/>
      <c r="W304" s="648"/>
      <c r="X304" s="7"/>
      <c r="Y304" s="699"/>
      <c r="Z304" s="7"/>
      <c r="AA304" s="618">
        <f t="shared" si="19"/>
        <v>0</v>
      </c>
      <c r="AB304" s="7"/>
      <c r="AC304" s="7"/>
      <c r="AD304" s="7"/>
      <c r="AE304" s="7"/>
      <c r="AF304" s="7"/>
      <c r="AG304" s="7"/>
    </row>
    <row r="305" spans="1:33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4"/>
      <c r="I305" s="214"/>
      <c r="J305" s="214"/>
      <c r="K305" s="213"/>
      <c r="L305" s="215"/>
      <c r="M305" s="213"/>
      <c r="N305" s="292"/>
      <c r="O305" s="213"/>
      <c r="P305" s="372"/>
      <c r="Q305" s="620"/>
      <c r="R305" s="215"/>
      <c r="S305" s="215"/>
      <c r="T305" s="616">
        <f t="shared" si="18"/>
        <v>0</v>
      </c>
      <c r="U305" s="633"/>
      <c r="V305" s="636"/>
      <c r="W305" s="636"/>
      <c r="X305" s="7"/>
      <c r="Y305" s="699"/>
      <c r="Z305" s="7"/>
      <c r="AA305" s="618">
        <f t="shared" si="19"/>
        <v>0</v>
      </c>
      <c r="AB305" s="7"/>
      <c r="AC305" s="7"/>
      <c r="AD305" s="7"/>
      <c r="AE305" s="7"/>
      <c r="AF305" s="7"/>
      <c r="AG305" s="7"/>
    </row>
    <row r="306" spans="1:33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4"/>
      <c r="I306" s="214"/>
      <c r="J306" s="214"/>
      <c r="K306" s="213"/>
      <c r="L306" s="215"/>
      <c r="M306" s="213"/>
      <c r="N306" s="292"/>
      <c r="O306" s="213"/>
      <c r="P306" s="372"/>
      <c r="Q306" s="647"/>
      <c r="R306" s="215"/>
      <c r="S306" s="215"/>
      <c r="T306" s="616">
        <f t="shared" si="18"/>
        <v>0</v>
      </c>
      <c r="U306" s="633"/>
      <c r="V306" s="648"/>
      <c r="W306" s="648"/>
      <c r="X306" s="7"/>
      <c r="Y306" s="699"/>
      <c r="Z306" s="7"/>
      <c r="AA306" s="618">
        <f t="shared" si="19"/>
        <v>0</v>
      </c>
      <c r="AB306" s="7"/>
      <c r="AC306" s="7"/>
      <c r="AD306" s="7"/>
      <c r="AE306" s="7"/>
      <c r="AF306" s="7"/>
      <c r="AG306" s="7"/>
    </row>
    <row r="307" spans="1:33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4"/>
      <c r="I307" s="214"/>
      <c r="J307" s="214"/>
      <c r="K307" s="213"/>
      <c r="L307" s="215"/>
      <c r="M307" s="213"/>
      <c r="N307" s="292"/>
      <c r="O307" s="213"/>
      <c r="P307" s="372"/>
      <c r="Q307" s="647"/>
      <c r="R307" s="215"/>
      <c r="S307" s="215"/>
      <c r="T307" s="616">
        <f t="shared" si="18"/>
        <v>0</v>
      </c>
      <c r="U307" s="633"/>
      <c r="V307" s="648"/>
      <c r="W307" s="648"/>
      <c r="X307" s="7"/>
      <c r="Y307" s="699"/>
      <c r="Z307" s="7"/>
      <c r="AA307" s="618">
        <f t="shared" si="19"/>
        <v>0</v>
      </c>
      <c r="AB307" s="7"/>
      <c r="AC307" s="7"/>
      <c r="AD307" s="7"/>
      <c r="AE307" s="7"/>
      <c r="AF307" s="7"/>
      <c r="AG307" s="7"/>
    </row>
    <row r="308" spans="1:33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4"/>
      <c r="I308" s="214"/>
      <c r="J308" s="214"/>
      <c r="K308" s="213"/>
      <c r="L308" s="215"/>
      <c r="M308" s="213"/>
      <c r="N308" s="292"/>
      <c r="O308" s="213"/>
      <c r="P308" s="372"/>
      <c r="Q308" s="647"/>
      <c r="R308" s="215"/>
      <c r="S308" s="215"/>
      <c r="T308" s="616">
        <f t="shared" si="18"/>
        <v>0</v>
      </c>
      <c r="U308" s="633"/>
      <c r="V308" s="648"/>
      <c r="W308" s="648"/>
      <c r="X308" s="7"/>
      <c r="Y308" s="699"/>
      <c r="Z308" s="7"/>
      <c r="AA308" s="618">
        <f t="shared" si="19"/>
        <v>0</v>
      </c>
      <c r="AB308" s="7"/>
      <c r="AC308" s="7"/>
      <c r="AD308" s="7"/>
      <c r="AE308" s="7"/>
      <c r="AF308" s="7"/>
      <c r="AG308" s="7"/>
    </row>
    <row r="309" spans="1:33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4"/>
      <c r="I309" s="214"/>
      <c r="J309" s="214"/>
      <c r="K309" s="213"/>
      <c r="L309" s="215"/>
      <c r="M309" s="213"/>
      <c r="N309" s="292"/>
      <c r="O309" s="213"/>
      <c r="P309" s="372"/>
      <c r="Q309" s="647"/>
      <c r="R309" s="215"/>
      <c r="S309" s="215"/>
      <c r="T309" s="616">
        <f t="shared" si="18"/>
        <v>0</v>
      </c>
      <c r="U309" s="633"/>
      <c r="V309" s="648"/>
      <c r="W309" s="648"/>
      <c r="X309" s="7"/>
      <c r="Y309" s="699"/>
      <c r="Z309" s="7"/>
      <c r="AA309" s="618">
        <f t="shared" si="19"/>
        <v>0</v>
      </c>
      <c r="AB309" s="7"/>
      <c r="AC309" s="7"/>
      <c r="AD309" s="7"/>
      <c r="AE309" s="7"/>
      <c r="AF309" s="7"/>
      <c r="AG309" s="7"/>
    </row>
    <row r="310" spans="1:33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4"/>
      <c r="I310" s="214"/>
      <c r="J310" s="214"/>
      <c r="K310" s="213"/>
      <c r="L310" s="215"/>
      <c r="M310" s="213"/>
      <c r="N310" s="292"/>
      <c r="O310" s="213"/>
      <c r="P310" s="372"/>
      <c r="Q310" s="620"/>
      <c r="R310" s="215"/>
      <c r="S310" s="215"/>
      <c r="T310" s="616">
        <f t="shared" si="18"/>
        <v>0</v>
      </c>
      <c r="U310" s="633"/>
      <c r="V310" s="636"/>
      <c r="W310" s="636"/>
      <c r="X310" s="7"/>
      <c r="Y310" s="699"/>
      <c r="Z310" s="7"/>
      <c r="AA310" s="618">
        <f t="shared" si="19"/>
        <v>0</v>
      </c>
      <c r="AB310" s="7"/>
      <c r="AC310" s="7"/>
      <c r="AD310" s="7"/>
      <c r="AE310" s="7"/>
      <c r="AF310" s="7"/>
      <c r="AG310" s="7"/>
    </row>
    <row r="311" spans="1:33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4"/>
      <c r="I311" s="214"/>
      <c r="J311" s="214"/>
      <c r="K311" s="213"/>
      <c r="L311" s="215"/>
      <c r="M311" s="213"/>
      <c r="N311" s="292"/>
      <c r="O311" s="213"/>
      <c r="P311" s="372"/>
      <c r="Q311" s="647"/>
      <c r="R311" s="215"/>
      <c r="S311" s="215"/>
      <c r="T311" s="616">
        <f t="shared" si="18"/>
        <v>0</v>
      </c>
      <c r="U311" s="633"/>
      <c r="V311" s="648"/>
      <c r="W311" s="648"/>
      <c r="X311" s="7"/>
      <c r="Y311" s="699"/>
      <c r="Z311" s="7"/>
      <c r="AA311" s="618">
        <f t="shared" si="19"/>
        <v>0</v>
      </c>
      <c r="AB311" s="7"/>
      <c r="AC311" s="7"/>
      <c r="AD311" s="7"/>
      <c r="AE311" s="7"/>
      <c r="AF311" s="7"/>
      <c r="AG311" s="7"/>
    </row>
    <row r="312" spans="1:33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4"/>
      <c r="I312" s="214"/>
      <c r="J312" s="214"/>
      <c r="K312" s="213"/>
      <c r="L312" s="215"/>
      <c r="M312" s="213"/>
      <c r="N312" s="292"/>
      <c r="O312" s="213"/>
      <c r="P312" s="372"/>
      <c r="Q312" s="647"/>
      <c r="R312" s="215"/>
      <c r="S312" s="215"/>
      <c r="T312" s="616">
        <f t="shared" si="18"/>
        <v>0</v>
      </c>
      <c r="U312" s="633"/>
      <c r="V312" s="648"/>
      <c r="W312" s="648"/>
      <c r="X312" s="7"/>
      <c r="Y312" s="699"/>
      <c r="Z312" s="7"/>
      <c r="AA312" s="618">
        <f t="shared" si="19"/>
        <v>0</v>
      </c>
      <c r="AB312" s="7"/>
      <c r="AC312" s="7"/>
      <c r="AD312" s="7"/>
      <c r="AE312" s="7"/>
      <c r="AF312" s="7"/>
      <c r="AG312" s="7"/>
    </row>
    <row r="313" spans="1:33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4"/>
      <c r="I313" s="214"/>
      <c r="J313" s="214"/>
      <c r="K313" s="213"/>
      <c r="L313" s="215"/>
      <c r="M313" s="213"/>
      <c r="N313" s="292"/>
      <c r="O313" s="213"/>
      <c r="P313" s="372"/>
      <c r="Q313" s="647"/>
      <c r="R313" s="215"/>
      <c r="S313" s="215"/>
      <c r="T313" s="616">
        <f t="shared" si="18"/>
        <v>0</v>
      </c>
      <c r="U313" s="633"/>
      <c r="V313" s="648"/>
      <c r="W313" s="648"/>
      <c r="X313" s="7"/>
      <c r="Y313" s="699"/>
      <c r="Z313" s="7"/>
      <c r="AA313" s="618">
        <f t="shared" si="19"/>
        <v>0</v>
      </c>
      <c r="AB313" s="7"/>
      <c r="AC313" s="7"/>
      <c r="AD313" s="7"/>
      <c r="AE313" s="7"/>
      <c r="AF313" s="7"/>
      <c r="AG313" s="7"/>
    </row>
    <row r="314" spans="1:33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4"/>
      <c r="I314" s="214"/>
      <c r="J314" s="214"/>
      <c r="K314" s="213"/>
      <c r="L314" s="215"/>
      <c r="M314" s="213"/>
      <c r="N314" s="292"/>
      <c r="O314" s="213"/>
      <c r="P314" s="372"/>
      <c r="Q314" s="647"/>
      <c r="R314" s="215"/>
      <c r="S314" s="215"/>
      <c r="T314" s="616">
        <f t="shared" si="18"/>
        <v>0</v>
      </c>
      <c r="U314" s="633"/>
      <c r="V314" s="648"/>
      <c r="W314" s="648"/>
      <c r="X314" s="7"/>
      <c r="Y314" s="699"/>
      <c r="Z314" s="7"/>
      <c r="AA314" s="618">
        <f t="shared" si="19"/>
        <v>0</v>
      </c>
      <c r="AB314" s="7"/>
      <c r="AC314" s="7"/>
      <c r="AD314" s="7"/>
      <c r="AE314" s="7"/>
      <c r="AF314" s="7"/>
      <c r="AG314" s="7"/>
    </row>
    <row r="315" spans="1:33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4"/>
      <c r="I315" s="214"/>
      <c r="J315" s="214"/>
      <c r="K315" s="213"/>
      <c r="L315" s="215"/>
      <c r="M315" s="213"/>
      <c r="N315" s="292"/>
      <c r="O315" s="213"/>
      <c r="P315" s="372"/>
      <c r="Q315" s="647"/>
      <c r="R315" s="215"/>
      <c r="S315" s="215"/>
      <c r="T315" s="616">
        <f t="shared" si="18"/>
        <v>0</v>
      </c>
      <c r="U315" s="633"/>
      <c r="V315" s="636"/>
      <c r="W315" s="636"/>
      <c r="X315" s="7"/>
      <c r="Y315" s="699"/>
      <c r="Z315" s="7"/>
      <c r="AA315" s="618">
        <f t="shared" si="19"/>
        <v>0</v>
      </c>
      <c r="AB315" s="7"/>
      <c r="AC315" s="7"/>
      <c r="AD315" s="7"/>
      <c r="AE315" s="7"/>
      <c r="AF315" s="7"/>
      <c r="AG315" s="7"/>
    </row>
    <row r="316" spans="1:33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4"/>
      <c r="I316" s="214"/>
      <c r="J316" s="214"/>
      <c r="K316" s="213"/>
      <c r="L316" s="215"/>
      <c r="M316" s="213"/>
      <c r="N316" s="292"/>
      <c r="O316" s="213"/>
      <c r="P316" s="372"/>
      <c r="Q316" s="647"/>
      <c r="R316" s="215"/>
      <c r="S316" s="215"/>
      <c r="T316" s="616">
        <f t="shared" si="18"/>
        <v>0</v>
      </c>
      <c r="U316" s="633"/>
      <c r="V316" s="648"/>
      <c r="W316" s="648"/>
      <c r="X316" s="7"/>
      <c r="Y316" s="699"/>
      <c r="Z316" s="7"/>
      <c r="AA316" s="618">
        <f t="shared" si="19"/>
        <v>0</v>
      </c>
      <c r="AB316" s="7"/>
      <c r="AC316" s="7"/>
      <c r="AD316" s="7"/>
      <c r="AE316" s="7"/>
      <c r="AF316" s="7"/>
      <c r="AG316" s="7"/>
    </row>
    <row r="317" spans="1:33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4"/>
      <c r="I317" s="214"/>
      <c r="J317" s="214"/>
      <c r="K317" s="213"/>
      <c r="L317" s="215"/>
      <c r="M317" s="213"/>
      <c r="N317" s="292"/>
      <c r="O317" s="213"/>
      <c r="P317" s="372"/>
      <c r="Q317" s="647"/>
      <c r="R317" s="215"/>
      <c r="S317" s="215"/>
      <c r="T317" s="616">
        <f t="shared" si="18"/>
        <v>0</v>
      </c>
      <c r="U317" s="633"/>
      <c r="V317" s="648"/>
      <c r="W317" s="648"/>
      <c r="X317" s="7"/>
      <c r="Y317" s="699"/>
      <c r="Z317" s="7"/>
      <c r="AA317" s="618">
        <f t="shared" si="19"/>
        <v>0</v>
      </c>
      <c r="AB317" s="7"/>
      <c r="AC317" s="7"/>
      <c r="AD317" s="7"/>
      <c r="AE317" s="7"/>
      <c r="AF317" s="7"/>
      <c r="AG317" s="7"/>
    </row>
    <row r="318" spans="1:33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4"/>
      <c r="I318" s="214"/>
      <c r="J318" s="214"/>
      <c r="K318" s="213"/>
      <c r="L318" s="215"/>
      <c r="M318" s="213"/>
      <c r="N318" s="292"/>
      <c r="O318" s="213"/>
      <c r="P318" s="372"/>
      <c r="Q318" s="647"/>
      <c r="R318" s="215"/>
      <c r="S318" s="215"/>
      <c r="T318" s="616">
        <f t="shared" si="18"/>
        <v>0</v>
      </c>
      <c r="U318" s="633"/>
      <c r="V318" s="648"/>
      <c r="W318" s="648"/>
      <c r="X318" s="7"/>
      <c r="Y318" s="699"/>
      <c r="Z318" s="7"/>
      <c r="AA318" s="618">
        <f t="shared" si="19"/>
        <v>0</v>
      </c>
      <c r="AB318" s="7"/>
      <c r="AC318" s="7"/>
      <c r="AD318" s="7"/>
      <c r="AE318" s="7"/>
      <c r="AF318" s="7"/>
      <c r="AG318" s="7"/>
    </row>
    <row r="319" spans="1:33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4"/>
      <c r="I319" s="214"/>
      <c r="J319" s="214"/>
      <c r="K319" s="213"/>
      <c r="L319" s="215"/>
      <c r="M319" s="213"/>
      <c r="N319" s="292"/>
      <c r="O319" s="213"/>
      <c r="P319" s="372"/>
      <c r="Q319" s="647"/>
      <c r="R319" s="215"/>
      <c r="S319" s="215"/>
      <c r="T319" s="616">
        <f t="shared" si="18"/>
        <v>0</v>
      </c>
      <c r="U319" s="633"/>
      <c r="V319" s="648"/>
      <c r="W319" s="648"/>
      <c r="X319" s="7"/>
      <c r="Y319" s="699"/>
      <c r="Z319" s="7"/>
      <c r="AA319" s="618">
        <f t="shared" si="19"/>
        <v>0</v>
      </c>
      <c r="AB319" s="7"/>
      <c r="AC319" s="7"/>
      <c r="AD319" s="7"/>
      <c r="AE319" s="7"/>
      <c r="AF319" s="7"/>
      <c r="AG319" s="7"/>
    </row>
    <row r="320" spans="1:33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4"/>
      <c r="I320" s="214"/>
      <c r="J320" s="214"/>
      <c r="K320" s="213"/>
      <c r="L320" s="215"/>
      <c r="M320" s="213"/>
      <c r="N320" s="292"/>
      <c r="O320" s="213"/>
      <c r="P320" s="372"/>
      <c r="Q320" s="620"/>
      <c r="R320" s="215"/>
      <c r="S320" s="215"/>
      <c r="T320" s="616">
        <f t="shared" si="18"/>
        <v>0</v>
      </c>
      <c r="U320" s="633"/>
      <c r="V320" s="636"/>
      <c r="W320" s="636"/>
      <c r="X320" s="7"/>
      <c r="Y320" s="699"/>
      <c r="Z320" s="7"/>
      <c r="AA320" s="618">
        <f t="shared" si="19"/>
        <v>0</v>
      </c>
      <c r="AB320" s="7"/>
      <c r="AC320" s="7"/>
      <c r="AD320" s="7"/>
      <c r="AE320" s="7"/>
      <c r="AF320" s="7"/>
      <c r="AG320" s="7"/>
    </row>
    <row r="321" spans="1:33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4"/>
      <c r="I321" s="214"/>
      <c r="J321" s="214"/>
      <c r="K321" s="213"/>
      <c r="L321" s="215"/>
      <c r="M321" s="213"/>
      <c r="N321" s="292"/>
      <c r="O321" s="213"/>
      <c r="P321" s="372"/>
      <c r="Q321" s="647"/>
      <c r="R321" s="215"/>
      <c r="S321" s="215"/>
      <c r="T321" s="616">
        <f t="shared" si="18"/>
        <v>0</v>
      </c>
      <c r="U321" s="633"/>
      <c r="V321" s="636"/>
      <c r="W321" s="636"/>
      <c r="X321" s="7"/>
      <c r="Y321" s="699"/>
      <c r="Z321" s="7"/>
      <c r="AA321" s="618">
        <f t="shared" si="19"/>
        <v>0</v>
      </c>
      <c r="AB321" s="7"/>
      <c r="AC321" s="7"/>
      <c r="AD321" s="7"/>
      <c r="AE321" s="7"/>
      <c r="AF321" s="7"/>
      <c r="AG321" s="7"/>
    </row>
    <row r="322" spans="1:33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4"/>
      <c r="I322" s="214"/>
      <c r="J322" s="214"/>
      <c r="K322" s="213"/>
      <c r="L322" s="215"/>
      <c r="M322" s="213"/>
      <c r="N322" s="292"/>
      <c r="O322" s="213"/>
      <c r="P322" s="372"/>
      <c r="Q322" s="647"/>
      <c r="R322" s="215"/>
      <c r="S322" s="215"/>
      <c r="T322" s="616">
        <f t="shared" si="18"/>
        <v>0</v>
      </c>
      <c r="U322" s="633"/>
      <c r="V322" s="636"/>
      <c r="W322" s="636"/>
      <c r="X322" s="7"/>
      <c r="Y322" s="699"/>
      <c r="Z322" s="7"/>
      <c r="AA322" s="618">
        <f t="shared" si="19"/>
        <v>0</v>
      </c>
      <c r="AB322" s="7"/>
      <c r="AC322" s="7"/>
      <c r="AD322" s="7"/>
      <c r="AE322" s="7"/>
      <c r="AF322" s="7"/>
      <c r="AG322" s="7"/>
    </row>
    <row r="323" spans="1:33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4"/>
      <c r="I323" s="214"/>
      <c r="J323" s="214"/>
      <c r="K323" s="213"/>
      <c r="L323" s="215"/>
      <c r="M323" s="213"/>
      <c r="N323" s="292"/>
      <c r="O323" s="213"/>
      <c r="P323" s="372"/>
      <c r="Q323" s="647"/>
      <c r="R323" s="215"/>
      <c r="S323" s="215"/>
      <c r="T323" s="616">
        <f t="shared" si="18"/>
        <v>0</v>
      </c>
      <c r="U323" s="633"/>
      <c r="V323" s="636"/>
      <c r="W323" s="636"/>
      <c r="X323" s="7"/>
      <c r="Y323" s="699"/>
      <c r="Z323" s="7"/>
      <c r="AA323" s="618">
        <f t="shared" si="19"/>
        <v>0</v>
      </c>
      <c r="AB323" s="7"/>
      <c r="AC323" s="7"/>
      <c r="AD323" s="7"/>
      <c r="AE323" s="7"/>
      <c r="AF323" s="7"/>
      <c r="AG323" s="7"/>
    </row>
    <row r="324" spans="1:33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4"/>
      <c r="I324" s="214"/>
      <c r="J324" s="214"/>
      <c r="K324" s="213"/>
      <c r="L324" s="215"/>
      <c r="M324" s="213"/>
      <c r="N324" s="292"/>
      <c r="O324" s="213"/>
      <c r="P324" s="372"/>
      <c r="Q324" s="647"/>
      <c r="R324" s="215"/>
      <c r="S324" s="215"/>
      <c r="T324" s="616">
        <f t="shared" si="18"/>
        <v>0</v>
      </c>
      <c r="U324" s="633"/>
      <c r="V324" s="636"/>
      <c r="W324" s="636"/>
      <c r="X324" s="7"/>
      <c r="Y324" s="699"/>
      <c r="Z324" s="7"/>
      <c r="AA324" s="618">
        <f t="shared" si="19"/>
        <v>0</v>
      </c>
      <c r="AB324" s="7"/>
      <c r="AC324" s="7"/>
      <c r="AD324" s="7"/>
      <c r="AE324" s="7"/>
      <c r="AF324" s="7"/>
      <c r="AG324" s="7"/>
    </row>
    <row r="325" spans="1:33" ht="33.75" customHeight="1">
      <c r="A325" s="486"/>
      <c r="B325" s="487" t="s">
        <v>703</v>
      </c>
      <c r="C325" s="656" t="s">
        <v>704</v>
      </c>
      <c r="D325" s="519" t="s">
        <v>2389</v>
      </c>
      <c r="E325" s="213"/>
      <c r="F325" s="213"/>
      <c r="G325" s="213"/>
      <c r="H325" s="214"/>
      <c r="I325" s="214"/>
      <c r="J325" s="214"/>
      <c r="K325" s="213"/>
      <c r="L325" s="215"/>
      <c r="M325" s="213">
        <v>80</v>
      </c>
      <c r="N325" s="292">
        <v>6</v>
      </c>
      <c r="O325" s="213"/>
      <c r="P325" s="372"/>
      <c r="Q325" s="193"/>
      <c r="R325" s="215"/>
      <c r="S325" s="215"/>
      <c r="T325" s="616">
        <f t="shared" si="18"/>
        <v>86</v>
      </c>
      <c r="U325" s="633"/>
      <c r="V325" s="636"/>
      <c r="W325" s="636"/>
      <c r="X325" s="7"/>
      <c r="Y325" s="699">
        <v>89</v>
      </c>
      <c r="Z325" s="7"/>
      <c r="AA325" s="618">
        <f t="shared" si="19"/>
        <v>3</v>
      </c>
      <c r="AB325" s="7"/>
      <c r="AC325" s="7"/>
      <c r="AD325" s="7"/>
      <c r="AE325" s="7"/>
      <c r="AF325" s="7"/>
      <c r="AG325" s="7"/>
    </row>
    <row r="326" spans="1:33" ht="25.5" customHeight="1">
      <c r="A326" s="503"/>
      <c r="B326" s="483" t="s">
        <v>707</v>
      </c>
      <c r="C326" s="629" t="s">
        <v>131</v>
      </c>
      <c r="D326" s="354" t="s">
        <v>2390</v>
      </c>
      <c r="E326" s="213"/>
      <c r="F326" s="213"/>
      <c r="G326" s="213"/>
      <c r="H326" s="214"/>
      <c r="I326" s="214"/>
      <c r="J326" s="214"/>
      <c r="K326" s="213"/>
      <c r="L326" s="215"/>
      <c r="M326" s="213"/>
      <c r="N326" s="292"/>
      <c r="O326" s="213"/>
      <c r="P326" s="372"/>
      <c r="Q326" s="193"/>
      <c r="R326" s="215"/>
      <c r="S326" s="215"/>
      <c r="T326" s="616">
        <f t="shared" si="18"/>
        <v>0</v>
      </c>
      <c r="U326" s="633"/>
      <c r="V326" s="634"/>
      <c r="W326" s="634"/>
      <c r="X326" s="7"/>
      <c r="Y326" s="699"/>
      <c r="Z326" s="7"/>
      <c r="AA326" s="618">
        <f t="shared" si="19"/>
        <v>0</v>
      </c>
      <c r="AB326" s="7"/>
      <c r="AC326" s="7"/>
      <c r="AD326" s="7"/>
      <c r="AE326" s="7"/>
      <c r="AF326" s="7"/>
      <c r="AG326" s="7"/>
    </row>
    <row r="327" spans="1:33" ht="21" customHeight="1">
      <c r="A327" s="503"/>
      <c r="B327" s="483" t="s">
        <v>709</v>
      </c>
      <c r="C327" s="629" t="s">
        <v>200</v>
      </c>
      <c r="D327" s="354" t="s">
        <v>2391</v>
      </c>
      <c r="E327" s="213"/>
      <c r="F327" s="213"/>
      <c r="G327" s="213"/>
      <c r="H327" s="214"/>
      <c r="I327" s="214"/>
      <c r="J327" s="214"/>
      <c r="K327" s="213"/>
      <c r="L327" s="215"/>
      <c r="M327" s="213"/>
      <c r="N327" s="292"/>
      <c r="O327" s="213"/>
      <c r="P327" s="372"/>
      <c r="Q327" s="193"/>
      <c r="R327" s="215"/>
      <c r="S327" s="215"/>
      <c r="T327" s="616">
        <f t="shared" si="18"/>
        <v>0</v>
      </c>
      <c r="U327" s="633"/>
      <c r="V327" s="636"/>
      <c r="W327" s="636"/>
      <c r="X327" s="7"/>
      <c r="Y327" s="699"/>
      <c r="Z327" s="7"/>
      <c r="AA327" s="618">
        <f t="shared" si="19"/>
        <v>0</v>
      </c>
      <c r="AB327" s="7"/>
      <c r="AC327" s="7"/>
      <c r="AD327" s="7"/>
      <c r="AE327" s="7"/>
      <c r="AF327" s="7"/>
      <c r="AG327" s="7"/>
    </row>
    <row r="328" spans="1:33" ht="21" customHeight="1">
      <c r="A328" s="503"/>
      <c r="B328" s="483" t="s">
        <v>711</v>
      </c>
      <c r="C328" s="629" t="s">
        <v>203</v>
      </c>
      <c r="D328" s="354" t="s">
        <v>2392</v>
      </c>
      <c r="E328" s="213"/>
      <c r="F328" s="213"/>
      <c r="G328" s="213"/>
      <c r="H328" s="214"/>
      <c r="I328" s="214"/>
      <c r="J328" s="214"/>
      <c r="K328" s="213"/>
      <c r="L328" s="215"/>
      <c r="M328" s="213"/>
      <c r="N328" s="292"/>
      <c r="O328" s="213"/>
      <c r="P328" s="372"/>
      <c r="Q328" s="193"/>
      <c r="R328" s="215"/>
      <c r="S328" s="215"/>
      <c r="T328" s="616">
        <f t="shared" si="18"/>
        <v>0</v>
      </c>
      <c r="U328" s="633"/>
      <c r="V328" s="636"/>
      <c r="W328" s="636"/>
      <c r="X328" s="7"/>
      <c r="Y328" s="699"/>
      <c r="Z328" s="7"/>
      <c r="AA328" s="618">
        <f t="shared" si="19"/>
        <v>0</v>
      </c>
      <c r="AB328" s="7"/>
      <c r="AC328" s="7"/>
      <c r="AD328" s="7"/>
      <c r="AE328" s="7"/>
      <c r="AF328" s="7"/>
      <c r="AG328" s="7"/>
    </row>
    <row r="329" spans="1:33" ht="21" customHeight="1">
      <c r="A329" s="503"/>
      <c r="B329" s="483" t="s">
        <v>713</v>
      </c>
      <c r="C329" s="629" t="s">
        <v>159</v>
      </c>
      <c r="D329" s="354" t="s">
        <v>2393</v>
      </c>
      <c r="E329" s="213"/>
      <c r="F329" s="213"/>
      <c r="G329" s="213"/>
      <c r="H329" s="214"/>
      <c r="I329" s="214"/>
      <c r="J329" s="214"/>
      <c r="K329" s="213"/>
      <c r="L329" s="215"/>
      <c r="M329" s="213"/>
      <c r="N329" s="292"/>
      <c r="O329" s="213"/>
      <c r="P329" s="372"/>
      <c r="Q329" s="193"/>
      <c r="R329" s="215"/>
      <c r="S329" s="215"/>
      <c r="T329" s="616">
        <f t="shared" si="18"/>
        <v>0</v>
      </c>
      <c r="U329" s="633"/>
      <c r="V329" s="636"/>
      <c r="W329" s="636"/>
      <c r="X329" s="7"/>
      <c r="Y329" s="699"/>
      <c r="Z329" s="7"/>
      <c r="AA329" s="618">
        <f t="shared" si="19"/>
        <v>0</v>
      </c>
      <c r="AB329" s="7"/>
      <c r="AC329" s="7"/>
      <c r="AD329" s="7"/>
      <c r="AE329" s="7"/>
      <c r="AF329" s="7"/>
      <c r="AG329" s="7"/>
    </row>
    <row r="330" spans="1:33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>
        <v>4</v>
      </c>
      <c r="H330" s="214"/>
      <c r="I330" s="214"/>
      <c r="J330" s="214"/>
      <c r="K330" s="213"/>
      <c r="L330" s="215"/>
      <c r="M330" s="213"/>
      <c r="N330" s="292"/>
      <c r="O330" s="213"/>
      <c r="P330" s="372"/>
      <c r="Q330" s="620"/>
      <c r="R330" s="215"/>
      <c r="S330" s="215"/>
      <c r="T330" s="616">
        <f t="shared" si="18"/>
        <v>4</v>
      </c>
      <c r="U330" s="633"/>
      <c r="V330" s="636"/>
      <c r="W330" s="636"/>
      <c r="X330" s="7"/>
      <c r="Y330" s="699"/>
      <c r="Z330" s="7"/>
      <c r="AA330" s="618"/>
      <c r="AB330" s="7"/>
      <c r="AC330" s="7"/>
      <c r="AD330" s="7"/>
      <c r="AE330" s="7"/>
      <c r="AF330" s="7"/>
      <c r="AG330" s="7"/>
    </row>
    <row r="331" spans="1:33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4"/>
      <c r="I331" s="214"/>
      <c r="J331" s="214"/>
      <c r="K331" s="213"/>
      <c r="L331" s="215"/>
      <c r="M331" s="213"/>
      <c r="N331" s="292"/>
      <c r="O331" s="213"/>
      <c r="P331" s="372"/>
      <c r="Q331" s="647"/>
      <c r="R331" s="215"/>
      <c r="S331" s="215"/>
      <c r="T331" s="616">
        <f t="shared" si="18"/>
        <v>0</v>
      </c>
      <c r="U331" s="633"/>
      <c r="V331" s="654"/>
      <c r="W331" s="654"/>
      <c r="X331" s="7"/>
      <c r="Y331" s="699"/>
      <c r="Z331" s="7"/>
      <c r="AA331" s="618">
        <f t="shared" ref="AA331:AA369" si="20">Y331-T331</f>
        <v>0</v>
      </c>
      <c r="AB331" s="7"/>
      <c r="AC331" s="7"/>
      <c r="AD331" s="7"/>
      <c r="AE331" s="7"/>
      <c r="AF331" s="7"/>
      <c r="AG331" s="7"/>
    </row>
    <row r="332" spans="1:33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4"/>
      <c r="I332" s="214"/>
      <c r="J332" s="214"/>
      <c r="K332" s="213"/>
      <c r="L332" s="215"/>
      <c r="M332" s="213"/>
      <c r="N332" s="292"/>
      <c r="O332" s="213"/>
      <c r="P332" s="372"/>
      <c r="Q332" s="647"/>
      <c r="R332" s="215"/>
      <c r="S332" s="215"/>
      <c r="T332" s="616">
        <f t="shared" si="18"/>
        <v>0</v>
      </c>
      <c r="U332" s="633"/>
      <c r="V332" s="648"/>
      <c r="W332" s="648"/>
      <c r="X332" s="7"/>
      <c r="Y332" s="699"/>
      <c r="Z332" s="7"/>
      <c r="AA332" s="618">
        <f t="shared" si="20"/>
        <v>0</v>
      </c>
      <c r="AB332" s="7"/>
      <c r="AC332" s="7"/>
      <c r="AD332" s="7"/>
      <c r="AE332" s="7"/>
      <c r="AF332" s="7"/>
      <c r="AG332" s="7"/>
    </row>
    <row r="333" spans="1:33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4"/>
      <c r="I333" s="214"/>
      <c r="J333" s="214"/>
      <c r="K333" s="213"/>
      <c r="L333" s="215"/>
      <c r="M333" s="213"/>
      <c r="N333" s="292"/>
      <c r="O333" s="213"/>
      <c r="P333" s="372"/>
      <c r="Q333" s="647"/>
      <c r="R333" s="215"/>
      <c r="S333" s="215"/>
      <c r="T333" s="616">
        <f t="shared" si="18"/>
        <v>0</v>
      </c>
      <c r="U333" s="633"/>
      <c r="V333" s="648"/>
      <c r="W333" s="648"/>
      <c r="X333" s="7"/>
      <c r="Y333" s="699"/>
      <c r="Z333" s="7"/>
      <c r="AA333" s="618">
        <f t="shared" si="20"/>
        <v>0</v>
      </c>
      <c r="AB333" s="7"/>
      <c r="AC333" s="7"/>
      <c r="AD333" s="7"/>
      <c r="AE333" s="7"/>
      <c r="AF333" s="7"/>
      <c r="AG333" s="7"/>
    </row>
    <row r="334" spans="1:33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4"/>
      <c r="I334" s="214"/>
      <c r="J334" s="214"/>
      <c r="K334" s="213"/>
      <c r="L334" s="215"/>
      <c r="M334" s="213"/>
      <c r="N334" s="292"/>
      <c r="O334" s="213"/>
      <c r="P334" s="372"/>
      <c r="Q334" s="647"/>
      <c r="R334" s="215"/>
      <c r="S334" s="215"/>
      <c r="T334" s="616">
        <f t="shared" si="18"/>
        <v>0</v>
      </c>
      <c r="U334" s="633"/>
      <c r="V334" s="648"/>
      <c r="W334" s="648"/>
      <c r="X334" s="7"/>
      <c r="Y334" s="699"/>
      <c r="Z334" s="7"/>
      <c r="AA334" s="618">
        <f t="shared" si="20"/>
        <v>0</v>
      </c>
      <c r="AB334" s="7"/>
      <c r="AC334" s="7"/>
      <c r="AD334" s="7"/>
      <c r="AE334" s="7"/>
      <c r="AF334" s="7"/>
      <c r="AG334" s="7"/>
    </row>
    <row r="335" spans="1:33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4"/>
      <c r="I335" s="214"/>
      <c r="J335" s="214"/>
      <c r="K335" s="213"/>
      <c r="L335" s="215"/>
      <c r="M335" s="213"/>
      <c r="N335" s="292"/>
      <c r="O335" s="213"/>
      <c r="P335" s="372"/>
      <c r="Q335" s="647"/>
      <c r="R335" s="215"/>
      <c r="S335" s="215"/>
      <c r="T335" s="616">
        <f t="shared" si="18"/>
        <v>0</v>
      </c>
      <c r="U335" s="633"/>
      <c r="V335" s="648"/>
      <c r="W335" s="648"/>
      <c r="X335" s="7"/>
      <c r="Y335" s="699"/>
      <c r="Z335" s="7"/>
      <c r="AA335" s="618">
        <f t="shared" si="20"/>
        <v>0</v>
      </c>
      <c r="AB335" s="7"/>
      <c r="AC335" s="7"/>
      <c r="AD335" s="7"/>
      <c r="AE335" s="7"/>
      <c r="AF335" s="7"/>
      <c r="AG335" s="7"/>
    </row>
    <row r="336" spans="1:33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4"/>
      <c r="I336" s="214"/>
      <c r="J336" s="214"/>
      <c r="K336" s="213"/>
      <c r="L336" s="215"/>
      <c r="M336" s="213"/>
      <c r="N336" s="292"/>
      <c r="O336" s="213"/>
      <c r="P336" s="372"/>
      <c r="Q336" s="647"/>
      <c r="R336" s="215"/>
      <c r="S336" s="215"/>
      <c r="T336" s="616">
        <f t="shared" si="18"/>
        <v>0</v>
      </c>
      <c r="U336" s="633"/>
      <c r="V336" s="654"/>
      <c r="W336" s="654"/>
      <c r="X336" s="7"/>
      <c r="Y336" s="699"/>
      <c r="Z336" s="7"/>
      <c r="AA336" s="618">
        <f t="shared" si="20"/>
        <v>0</v>
      </c>
      <c r="AB336" s="7"/>
      <c r="AC336" s="7"/>
      <c r="AD336" s="7"/>
      <c r="AE336" s="7"/>
      <c r="AF336" s="7"/>
      <c r="AG336" s="7"/>
    </row>
    <row r="337" spans="1:33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4"/>
      <c r="I337" s="214"/>
      <c r="J337" s="214"/>
      <c r="K337" s="213"/>
      <c r="L337" s="215"/>
      <c r="M337" s="213"/>
      <c r="N337" s="292"/>
      <c r="O337" s="213"/>
      <c r="P337" s="372"/>
      <c r="Q337" s="647"/>
      <c r="R337" s="215"/>
      <c r="S337" s="215"/>
      <c r="T337" s="616">
        <f t="shared" si="18"/>
        <v>0</v>
      </c>
      <c r="U337" s="633"/>
      <c r="V337" s="654"/>
      <c r="W337" s="654"/>
      <c r="X337" s="7"/>
      <c r="Y337" s="699"/>
      <c r="Z337" s="7"/>
      <c r="AA337" s="618">
        <f t="shared" si="20"/>
        <v>0</v>
      </c>
      <c r="AB337" s="7"/>
      <c r="AC337" s="7"/>
      <c r="AD337" s="7"/>
      <c r="AE337" s="7"/>
      <c r="AF337" s="7"/>
      <c r="AG337" s="7"/>
    </row>
    <row r="338" spans="1:33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4"/>
      <c r="I338" s="214"/>
      <c r="J338" s="214"/>
      <c r="K338" s="213"/>
      <c r="L338" s="215"/>
      <c r="M338" s="213"/>
      <c r="N338" s="292"/>
      <c r="O338" s="213"/>
      <c r="P338" s="372"/>
      <c r="Q338" s="647"/>
      <c r="R338" s="215"/>
      <c r="S338" s="215"/>
      <c r="T338" s="616">
        <f t="shared" si="18"/>
        <v>0</v>
      </c>
      <c r="U338" s="633"/>
      <c r="V338" s="654"/>
      <c r="W338" s="654"/>
      <c r="X338" s="7"/>
      <c r="Y338" s="699"/>
      <c r="Z338" s="7"/>
      <c r="AA338" s="618">
        <f t="shared" si="20"/>
        <v>0</v>
      </c>
      <c r="AB338" s="7"/>
      <c r="AC338" s="7"/>
      <c r="AD338" s="7"/>
      <c r="AE338" s="7"/>
      <c r="AF338" s="7"/>
      <c r="AG338" s="7"/>
    </row>
    <row r="339" spans="1:33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4"/>
      <c r="I339" s="214"/>
      <c r="J339" s="214"/>
      <c r="K339" s="213"/>
      <c r="L339" s="215"/>
      <c r="M339" s="213"/>
      <c r="N339" s="292"/>
      <c r="O339" s="213"/>
      <c r="P339" s="372"/>
      <c r="Q339" s="647"/>
      <c r="R339" s="215"/>
      <c r="S339" s="215"/>
      <c r="T339" s="616">
        <f t="shared" si="18"/>
        <v>0</v>
      </c>
      <c r="U339" s="633"/>
      <c r="V339" s="654"/>
      <c r="W339" s="654"/>
      <c r="X339" s="7"/>
      <c r="Y339" s="699"/>
      <c r="Z339" s="7"/>
      <c r="AA339" s="618">
        <f t="shared" si="20"/>
        <v>0</v>
      </c>
      <c r="AB339" s="7"/>
      <c r="AC339" s="7"/>
      <c r="AD339" s="7"/>
      <c r="AE339" s="7"/>
      <c r="AF339" s="7"/>
      <c r="AG339" s="7"/>
    </row>
    <row r="340" spans="1:33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4"/>
      <c r="I340" s="214"/>
      <c r="J340" s="214"/>
      <c r="K340" s="213"/>
      <c r="L340" s="215"/>
      <c r="M340" s="213"/>
      <c r="N340" s="292"/>
      <c r="O340" s="213"/>
      <c r="P340" s="372"/>
      <c r="Q340" s="647"/>
      <c r="R340" s="215"/>
      <c r="S340" s="215"/>
      <c r="T340" s="616">
        <f t="shared" si="18"/>
        <v>0</v>
      </c>
      <c r="U340" s="633"/>
      <c r="V340" s="648"/>
      <c r="W340" s="648"/>
      <c r="X340" s="7"/>
      <c r="Y340" s="699"/>
      <c r="Z340" s="7"/>
      <c r="AA340" s="618">
        <f t="shared" si="20"/>
        <v>0</v>
      </c>
      <c r="AB340" s="7"/>
      <c r="AC340" s="7"/>
      <c r="AD340" s="7"/>
      <c r="AE340" s="7"/>
      <c r="AF340" s="7"/>
      <c r="AG340" s="7"/>
    </row>
    <row r="341" spans="1:33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4"/>
      <c r="I341" s="214"/>
      <c r="J341" s="214"/>
      <c r="K341" s="213"/>
      <c r="L341" s="215"/>
      <c r="M341" s="213"/>
      <c r="N341" s="292"/>
      <c r="O341" s="213"/>
      <c r="P341" s="372"/>
      <c r="Q341" s="647"/>
      <c r="R341" s="215"/>
      <c r="S341" s="215"/>
      <c r="T341" s="616">
        <f t="shared" si="18"/>
        <v>0</v>
      </c>
      <c r="U341" s="633"/>
      <c r="V341" s="654"/>
      <c r="W341" s="654"/>
      <c r="X341" s="7"/>
      <c r="Y341" s="699"/>
      <c r="Z341" s="7"/>
      <c r="AA341" s="618">
        <f t="shared" si="20"/>
        <v>0</v>
      </c>
      <c r="AB341" s="7"/>
      <c r="AC341" s="7"/>
      <c r="AD341" s="7"/>
      <c r="AE341" s="7"/>
      <c r="AF341" s="7"/>
      <c r="AG341" s="7"/>
    </row>
    <row r="342" spans="1:33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4"/>
      <c r="I342" s="214"/>
      <c r="J342" s="214"/>
      <c r="K342" s="213"/>
      <c r="L342" s="215"/>
      <c r="M342" s="213"/>
      <c r="N342" s="292"/>
      <c r="O342" s="213"/>
      <c r="P342" s="372"/>
      <c r="Q342" s="647"/>
      <c r="R342" s="215"/>
      <c r="S342" s="215"/>
      <c r="T342" s="616">
        <f t="shared" si="18"/>
        <v>0</v>
      </c>
      <c r="U342" s="633"/>
      <c r="V342" s="654"/>
      <c r="W342" s="654"/>
      <c r="X342" s="7"/>
      <c r="Y342" s="699"/>
      <c r="Z342" s="7"/>
      <c r="AA342" s="618">
        <f t="shared" si="20"/>
        <v>0</v>
      </c>
      <c r="AB342" s="7"/>
      <c r="AC342" s="7"/>
      <c r="AD342" s="7"/>
      <c r="AE342" s="7"/>
      <c r="AF342" s="7"/>
      <c r="AG342" s="7"/>
    </row>
    <row r="343" spans="1:33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4"/>
      <c r="I343" s="214"/>
      <c r="J343" s="214"/>
      <c r="K343" s="213"/>
      <c r="L343" s="215"/>
      <c r="M343" s="213"/>
      <c r="N343" s="292"/>
      <c r="O343" s="213"/>
      <c r="P343" s="372"/>
      <c r="Q343" s="647"/>
      <c r="R343" s="215"/>
      <c r="S343" s="215"/>
      <c r="T343" s="616">
        <f t="shared" si="18"/>
        <v>0</v>
      </c>
      <c r="U343" s="633"/>
      <c r="V343" s="654"/>
      <c r="W343" s="654"/>
      <c r="X343" s="7"/>
      <c r="Y343" s="699"/>
      <c r="Z343" s="7"/>
      <c r="AA343" s="618">
        <f t="shared" si="20"/>
        <v>0</v>
      </c>
      <c r="AB343" s="7"/>
      <c r="AC343" s="7"/>
      <c r="AD343" s="7"/>
      <c r="AE343" s="7"/>
      <c r="AF343" s="7"/>
      <c r="AG343" s="7"/>
    </row>
    <row r="344" spans="1:33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4"/>
      <c r="I344" s="214"/>
      <c r="J344" s="214"/>
      <c r="K344" s="213"/>
      <c r="L344" s="215"/>
      <c r="M344" s="213"/>
      <c r="N344" s="292"/>
      <c r="O344" s="213"/>
      <c r="P344" s="372"/>
      <c r="Q344" s="647"/>
      <c r="R344" s="215"/>
      <c r="S344" s="215"/>
      <c r="T344" s="616">
        <f t="shared" si="18"/>
        <v>0</v>
      </c>
      <c r="U344" s="633"/>
      <c r="V344" s="654"/>
      <c r="W344" s="654"/>
      <c r="X344" s="7"/>
      <c r="Y344" s="699"/>
      <c r="Z344" s="7"/>
      <c r="AA344" s="618">
        <f t="shared" si="20"/>
        <v>0</v>
      </c>
      <c r="AB344" s="7"/>
      <c r="AC344" s="7"/>
      <c r="AD344" s="7"/>
      <c r="AE344" s="7"/>
      <c r="AF344" s="7"/>
      <c r="AG344" s="7"/>
    </row>
    <row r="345" spans="1:33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4"/>
      <c r="I345" s="214"/>
      <c r="J345" s="214"/>
      <c r="K345" s="213"/>
      <c r="L345" s="215"/>
      <c r="M345" s="213"/>
      <c r="N345" s="292"/>
      <c r="O345" s="213"/>
      <c r="P345" s="372"/>
      <c r="Q345" s="647"/>
      <c r="R345" s="215"/>
      <c r="S345" s="215"/>
      <c r="T345" s="616">
        <f t="shared" si="18"/>
        <v>0</v>
      </c>
      <c r="U345" s="633"/>
      <c r="V345" s="654"/>
      <c r="W345" s="654"/>
      <c r="X345" s="7"/>
      <c r="Y345" s="699"/>
      <c r="Z345" s="7"/>
      <c r="AA345" s="618">
        <f t="shared" si="20"/>
        <v>0</v>
      </c>
      <c r="AB345" s="7"/>
      <c r="AC345" s="7"/>
      <c r="AD345" s="7"/>
      <c r="AE345" s="7"/>
      <c r="AF345" s="7"/>
      <c r="AG345" s="7"/>
    </row>
    <row r="346" spans="1:33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4"/>
      <c r="I346" s="214"/>
      <c r="J346" s="214"/>
      <c r="K346" s="213"/>
      <c r="L346" s="215"/>
      <c r="M346" s="213"/>
      <c r="N346" s="292"/>
      <c r="O346" s="213"/>
      <c r="P346" s="372"/>
      <c r="Q346" s="662"/>
      <c r="R346" s="215"/>
      <c r="S346" s="215"/>
      <c r="T346" s="616">
        <f t="shared" si="18"/>
        <v>0</v>
      </c>
      <c r="U346" s="633"/>
      <c r="V346" s="636"/>
      <c r="W346" s="636"/>
      <c r="X346" s="7"/>
      <c r="Y346" s="699"/>
      <c r="Z346" s="7"/>
      <c r="AA346" s="618">
        <f t="shared" si="20"/>
        <v>0</v>
      </c>
      <c r="AB346" s="7"/>
      <c r="AC346" s="7"/>
      <c r="AD346" s="7"/>
      <c r="AE346" s="7"/>
      <c r="AF346" s="7"/>
      <c r="AG346" s="7"/>
    </row>
    <row r="347" spans="1:33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4"/>
      <c r="I347" s="214"/>
      <c r="J347" s="214"/>
      <c r="K347" s="213"/>
      <c r="L347" s="215"/>
      <c r="M347" s="213"/>
      <c r="N347" s="292"/>
      <c r="O347" s="213"/>
      <c r="P347" s="372"/>
      <c r="Q347" s="662"/>
      <c r="R347" s="215"/>
      <c r="S347" s="215"/>
      <c r="T347" s="616">
        <f t="shared" si="18"/>
        <v>0</v>
      </c>
      <c r="U347" s="633"/>
      <c r="V347" s="636"/>
      <c r="W347" s="636"/>
      <c r="X347" s="7"/>
      <c r="Y347" s="699"/>
      <c r="Z347" s="7"/>
      <c r="AA347" s="618">
        <f t="shared" si="20"/>
        <v>0</v>
      </c>
      <c r="AB347" s="7"/>
      <c r="AC347" s="7"/>
      <c r="AD347" s="7"/>
      <c r="AE347" s="7"/>
      <c r="AF347" s="7"/>
      <c r="AG347" s="7"/>
    </row>
    <row r="348" spans="1:33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4"/>
      <c r="I348" s="214"/>
      <c r="J348" s="214"/>
      <c r="K348" s="213"/>
      <c r="L348" s="215"/>
      <c r="M348" s="213"/>
      <c r="N348" s="292"/>
      <c r="O348" s="213"/>
      <c r="P348" s="372"/>
      <c r="Q348" s="662"/>
      <c r="R348" s="215"/>
      <c r="S348" s="215"/>
      <c r="T348" s="616">
        <f t="shared" si="18"/>
        <v>0</v>
      </c>
      <c r="U348" s="633"/>
      <c r="V348" s="636"/>
      <c r="W348" s="636"/>
      <c r="X348" s="7"/>
      <c r="Y348" s="699"/>
      <c r="Z348" s="7"/>
      <c r="AA348" s="618">
        <f t="shared" si="20"/>
        <v>0</v>
      </c>
      <c r="AB348" s="7"/>
      <c r="AC348" s="7"/>
      <c r="AD348" s="7"/>
      <c r="AE348" s="7"/>
      <c r="AF348" s="7"/>
      <c r="AG348" s="7"/>
    </row>
    <row r="349" spans="1:33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4"/>
      <c r="I349" s="214"/>
      <c r="J349" s="214"/>
      <c r="K349" s="213"/>
      <c r="L349" s="215"/>
      <c r="M349" s="213"/>
      <c r="N349" s="292"/>
      <c r="O349" s="213"/>
      <c r="P349" s="372"/>
      <c r="Q349" s="662"/>
      <c r="R349" s="215"/>
      <c r="S349" s="215"/>
      <c r="T349" s="616">
        <f t="shared" si="18"/>
        <v>0</v>
      </c>
      <c r="U349" s="633"/>
      <c r="V349" s="636"/>
      <c r="W349" s="636"/>
      <c r="X349" s="7"/>
      <c r="Y349" s="699"/>
      <c r="Z349" s="7"/>
      <c r="AA349" s="618">
        <f t="shared" si="20"/>
        <v>0</v>
      </c>
      <c r="AB349" s="7"/>
      <c r="AC349" s="7"/>
      <c r="AD349" s="7"/>
      <c r="AE349" s="7"/>
      <c r="AF349" s="7"/>
      <c r="AG349" s="7"/>
    </row>
    <row r="350" spans="1:33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4"/>
      <c r="I350" s="214"/>
      <c r="J350" s="214"/>
      <c r="K350" s="213"/>
      <c r="L350" s="215"/>
      <c r="M350" s="213"/>
      <c r="N350" s="292"/>
      <c r="O350" s="213"/>
      <c r="P350" s="372"/>
      <c r="Q350" s="662"/>
      <c r="R350" s="215"/>
      <c r="S350" s="215"/>
      <c r="T350" s="616">
        <f t="shared" si="18"/>
        <v>0</v>
      </c>
      <c r="U350" s="633"/>
      <c r="V350" s="636"/>
      <c r="W350" s="636"/>
      <c r="X350" s="7"/>
      <c r="Y350" s="699"/>
      <c r="Z350" s="7"/>
      <c r="AA350" s="618">
        <f t="shared" si="20"/>
        <v>0</v>
      </c>
      <c r="AB350" s="7"/>
      <c r="AC350" s="7"/>
      <c r="AD350" s="7"/>
      <c r="AE350" s="7"/>
      <c r="AF350" s="7"/>
      <c r="AG350" s="7"/>
    </row>
    <row r="351" spans="1:33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4"/>
      <c r="I351" s="214"/>
      <c r="J351" s="214"/>
      <c r="K351" s="213"/>
      <c r="L351" s="215"/>
      <c r="M351" s="213"/>
      <c r="N351" s="292"/>
      <c r="O351" s="213"/>
      <c r="P351" s="372"/>
      <c r="Q351" s="665"/>
      <c r="R351" s="215"/>
      <c r="S351" s="215"/>
      <c r="T351" s="616">
        <f t="shared" si="18"/>
        <v>0</v>
      </c>
      <c r="U351" s="633"/>
      <c r="V351" s="636"/>
      <c r="W351" s="636"/>
      <c r="X351" s="7"/>
      <c r="Y351" s="699"/>
      <c r="Z351" s="7"/>
      <c r="AA351" s="618">
        <f t="shared" si="20"/>
        <v>0</v>
      </c>
      <c r="AB351" s="7"/>
      <c r="AC351" s="7"/>
      <c r="AD351" s="7"/>
      <c r="AE351" s="7"/>
      <c r="AF351" s="7"/>
      <c r="AG351" s="7"/>
    </row>
    <row r="352" spans="1:33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4"/>
      <c r="I352" s="214"/>
      <c r="J352" s="214"/>
      <c r="K352" s="213"/>
      <c r="L352" s="215"/>
      <c r="M352" s="213"/>
      <c r="N352" s="292"/>
      <c r="O352" s="213"/>
      <c r="P352" s="372"/>
      <c r="Q352" s="662"/>
      <c r="R352" s="215"/>
      <c r="S352" s="215"/>
      <c r="T352" s="616">
        <f t="shared" si="18"/>
        <v>0</v>
      </c>
      <c r="U352" s="633"/>
      <c r="V352" s="636"/>
      <c r="W352" s="636"/>
      <c r="X352" s="7"/>
      <c r="Y352" s="699"/>
      <c r="Z352" s="7"/>
      <c r="AA352" s="618">
        <f t="shared" si="20"/>
        <v>0</v>
      </c>
      <c r="AB352" s="7"/>
      <c r="AC352" s="7"/>
      <c r="AD352" s="7"/>
      <c r="AE352" s="7"/>
      <c r="AF352" s="7"/>
      <c r="AG352" s="7"/>
    </row>
    <row r="353" spans="1:33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4"/>
      <c r="I353" s="214"/>
      <c r="J353" s="214"/>
      <c r="K353" s="213"/>
      <c r="L353" s="215"/>
      <c r="M353" s="213"/>
      <c r="N353" s="292"/>
      <c r="O353" s="213"/>
      <c r="P353" s="372"/>
      <c r="Q353" s="662"/>
      <c r="R353" s="215"/>
      <c r="S353" s="215"/>
      <c r="T353" s="616">
        <f t="shared" si="18"/>
        <v>0</v>
      </c>
      <c r="U353" s="633"/>
      <c r="V353" s="640"/>
      <c r="W353" s="640"/>
      <c r="X353" s="7"/>
      <c r="Y353" s="699"/>
      <c r="Z353" s="7"/>
      <c r="AA353" s="618">
        <f t="shared" si="20"/>
        <v>0</v>
      </c>
      <c r="AB353" s="7"/>
      <c r="AC353" s="7"/>
      <c r="AD353" s="7"/>
      <c r="AE353" s="7"/>
      <c r="AF353" s="7"/>
      <c r="AG353" s="7"/>
    </row>
    <row r="354" spans="1:33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4"/>
      <c r="I354" s="214"/>
      <c r="J354" s="214"/>
      <c r="K354" s="213"/>
      <c r="L354" s="215"/>
      <c r="M354" s="213"/>
      <c r="N354" s="292"/>
      <c r="O354" s="213"/>
      <c r="P354" s="372"/>
      <c r="Q354" s="649"/>
      <c r="R354" s="215"/>
      <c r="S354" s="215"/>
      <c r="T354" s="616">
        <f t="shared" si="18"/>
        <v>0</v>
      </c>
      <c r="U354" s="633"/>
      <c r="V354" s="547"/>
      <c r="W354" s="547"/>
      <c r="X354" s="7"/>
      <c r="Y354" s="699"/>
      <c r="Z354" s="7"/>
      <c r="AA354" s="618">
        <f t="shared" si="20"/>
        <v>0</v>
      </c>
      <c r="AB354" s="7"/>
      <c r="AC354" s="7"/>
      <c r="AD354" s="7"/>
      <c r="AE354" s="7"/>
      <c r="AF354" s="7"/>
      <c r="AG354" s="7"/>
    </row>
    <row r="355" spans="1:33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4"/>
      <c r="I355" s="214"/>
      <c r="J355" s="214"/>
      <c r="K355" s="213"/>
      <c r="L355" s="215"/>
      <c r="M355" s="213"/>
      <c r="N355" s="292"/>
      <c r="O355" s="213"/>
      <c r="P355" s="372"/>
      <c r="Q355" s="649"/>
      <c r="R355" s="215"/>
      <c r="S355" s="215"/>
      <c r="T355" s="616">
        <f t="shared" si="18"/>
        <v>0</v>
      </c>
      <c r="U355" s="633"/>
      <c r="V355" s="666"/>
      <c r="W355" s="666"/>
      <c r="X355" s="7"/>
      <c r="Y355" s="699"/>
      <c r="Z355" s="7"/>
      <c r="AA355" s="618">
        <f t="shared" si="20"/>
        <v>0</v>
      </c>
      <c r="AB355" s="7"/>
      <c r="AC355" s="7"/>
      <c r="AD355" s="7"/>
      <c r="AE355" s="7"/>
      <c r="AF355" s="7"/>
      <c r="AG355" s="7"/>
    </row>
    <row r="356" spans="1:33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4"/>
      <c r="I356" s="214"/>
      <c r="J356" s="214"/>
      <c r="K356" s="213"/>
      <c r="L356" s="215"/>
      <c r="M356" s="213"/>
      <c r="N356" s="292"/>
      <c r="O356" s="213"/>
      <c r="P356" s="372"/>
      <c r="Q356" s="649"/>
      <c r="R356" s="215"/>
      <c r="S356" s="215"/>
      <c r="T356" s="616">
        <f t="shared" si="18"/>
        <v>0</v>
      </c>
      <c r="U356" s="633"/>
      <c r="V356" s="666"/>
      <c r="W356" s="666"/>
      <c r="X356" s="7"/>
      <c r="Y356" s="699"/>
      <c r="Z356" s="7"/>
      <c r="AA356" s="618">
        <f t="shared" si="20"/>
        <v>0</v>
      </c>
      <c r="AB356" s="7"/>
      <c r="AC356" s="7"/>
      <c r="AD356" s="7"/>
      <c r="AE356" s="7"/>
      <c r="AF356" s="7"/>
      <c r="AG356" s="7"/>
    </row>
    <row r="357" spans="1:33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4"/>
      <c r="I357" s="214"/>
      <c r="J357" s="214"/>
      <c r="K357" s="213"/>
      <c r="L357" s="215"/>
      <c r="M357" s="213"/>
      <c r="N357" s="292"/>
      <c r="O357" s="213"/>
      <c r="P357" s="372"/>
      <c r="Q357" s="649"/>
      <c r="R357" s="215"/>
      <c r="S357" s="215"/>
      <c r="T357" s="616">
        <f t="shared" si="18"/>
        <v>0</v>
      </c>
      <c r="U357" s="633"/>
      <c r="V357" s="542"/>
      <c r="W357" s="542"/>
      <c r="X357" s="7"/>
      <c r="Y357" s="699"/>
      <c r="Z357" s="7"/>
      <c r="AA357" s="618">
        <f t="shared" si="20"/>
        <v>0</v>
      </c>
      <c r="AB357" s="7"/>
      <c r="AC357" s="7"/>
      <c r="AD357" s="7"/>
      <c r="AE357" s="7"/>
      <c r="AF357" s="7"/>
      <c r="AG357" s="7"/>
    </row>
    <row r="358" spans="1:33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4"/>
      <c r="I358" s="214"/>
      <c r="J358" s="214"/>
      <c r="K358" s="213"/>
      <c r="L358" s="215"/>
      <c r="M358" s="213"/>
      <c r="N358" s="292"/>
      <c r="O358" s="213"/>
      <c r="P358" s="372"/>
      <c r="Q358" s="649"/>
      <c r="R358" s="215"/>
      <c r="S358" s="215"/>
      <c r="T358" s="616">
        <f t="shared" si="18"/>
        <v>0</v>
      </c>
      <c r="U358" s="633"/>
      <c r="V358" s="542"/>
      <c r="W358" s="542"/>
      <c r="X358" s="7"/>
      <c r="Y358" s="699"/>
      <c r="Z358" s="7"/>
      <c r="AA358" s="618">
        <f t="shared" si="20"/>
        <v>0</v>
      </c>
      <c r="AB358" s="7"/>
      <c r="AC358" s="7"/>
      <c r="AD358" s="7"/>
      <c r="AE358" s="7"/>
      <c r="AF358" s="7"/>
      <c r="AG358" s="7"/>
    </row>
    <row r="359" spans="1:33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4"/>
      <c r="I359" s="214"/>
      <c r="J359" s="214"/>
      <c r="K359" s="213"/>
      <c r="L359" s="215"/>
      <c r="M359" s="213"/>
      <c r="N359" s="292"/>
      <c r="O359" s="213"/>
      <c r="P359" s="372"/>
      <c r="Q359" s="649"/>
      <c r="R359" s="215"/>
      <c r="S359" s="215"/>
      <c r="T359" s="616">
        <f t="shared" si="18"/>
        <v>0</v>
      </c>
      <c r="U359" s="633"/>
      <c r="V359" s="542"/>
      <c r="W359" s="542"/>
      <c r="X359" s="7"/>
      <c r="Y359" s="699"/>
      <c r="Z359" s="7"/>
      <c r="AA359" s="618">
        <f t="shared" si="20"/>
        <v>0</v>
      </c>
      <c r="AB359" s="7"/>
      <c r="AC359" s="7"/>
      <c r="AD359" s="7"/>
      <c r="AE359" s="7"/>
      <c r="AF359" s="7"/>
      <c r="AG359" s="7"/>
    </row>
    <row r="360" spans="1:33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4"/>
      <c r="I360" s="214"/>
      <c r="J360" s="214"/>
      <c r="K360" s="213"/>
      <c r="L360" s="215"/>
      <c r="M360" s="213"/>
      <c r="N360" s="292"/>
      <c r="O360" s="213"/>
      <c r="P360" s="372"/>
      <c r="Q360" s="649"/>
      <c r="R360" s="215"/>
      <c r="S360" s="215"/>
      <c r="T360" s="616">
        <f t="shared" si="18"/>
        <v>0</v>
      </c>
      <c r="U360" s="633"/>
      <c r="V360" s="542"/>
      <c r="W360" s="542"/>
      <c r="X360" s="7"/>
      <c r="Y360" s="699"/>
      <c r="Z360" s="7"/>
      <c r="AA360" s="618">
        <f t="shared" si="20"/>
        <v>0</v>
      </c>
      <c r="AB360" s="7"/>
      <c r="AC360" s="7"/>
      <c r="AD360" s="7"/>
      <c r="AE360" s="7"/>
      <c r="AF360" s="7"/>
      <c r="AG360" s="7"/>
    </row>
    <row r="361" spans="1:33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4"/>
      <c r="I361" s="214"/>
      <c r="J361" s="214"/>
      <c r="K361" s="213"/>
      <c r="L361" s="215"/>
      <c r="M361" s="213"/>
      <c r="N361" s="292"/>
      <c r="O361" s="213"/>
      <c r="P361" s="372"/>
      <c r="Q361" s="662"/>
      <c r="R361" s="215"/>
      <c r="S361" s="215"/>
      <c r="T361" s="616">
        <f t="shared" si="18"/>
        <v>0</v>
      </c>
      <c r="U361" s="633"/>
      <c r="V361" s="547"/>
      <c r="W361" s="547"/>
      <c r="X361" s="7"/>
      <c r="Y361" s="699"/>
      <c r="Z361" s="7"/>
      <c r="AA361" s="618">
        <f t="shared" si="20"/>
        <v>0</v>
      </c>
      <c r="AB361" s="7"/>
      <c r="AC361" s="7"/>
      <c r="AD361" s="7"/>
      <c r="AE361" s="7"/>
      <c r="AF361" s="7"/>
      <c r="AG361" s="7"/>
    </row>
    <row r="362" spans="1:33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4"/>
      <c r="I362" s="214"/>
      <c r="J362" s="214"/>
      <c r="K362" s="213"/>
      <c r="L362" s="215"/>
      <c r="M362" s="213"/>
      <c r="N362" s="292"/>
      <c r="O362" s="213"/>
      <c r="P362" s="372"/>
      <c r="Q362" s="662"/>
      <c r="R362" s="215"/>
      <c r="S362" s="215"/>
      <c r="T362" s="616">
        <f t="shared" si="18"/>
        <v>0</v>
      </c>
      <c r="U362" s="633"/>
      <c r="V362" s="241"/>
      <c r="W362" s="241"/>
      <c r="X362" s="7"/>
      <c r="Y362" s="699"/>
      <c r="Z362" s="7"/>
      <c r="AA362" s="618">
        <f t="shared" si="20"/>
        <v>0</v>
      </c>
      <c r="AB362" s="7"/>
      <c r="AC362" s="7"/>
      <c r="AD362" s="7"/>
      <c r="AE362" s="7"/>
      <c r="AF362" s="7"/>
      <c r="AG362" s="7"/>
    </row>
    <row r="363" spans="1:33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4"/>
      <c r="I363" s="214"/>
      <c r="J363" s="214"/>
      <c r="K363" s="213"/>
      <c r="L363" s="215"/>
      <c r="M363" s="213"/>
      <c r="N363" s="292"/>
      <c r="O363" s="213"/>
      <c r="P363" s="372"/>
      <c r="Q363" s="662"/>
      <c r="R363" s="215"/>
      <c r="S363" s="215"/>
      <c r="T363" s="616">
        <f t="shared" si="18"/>
        <v>0</v>
      </c>
      <c r="U363" s="633"/>
      <c r="V363" s="241"/>
      <c r="W363" s="241"/>
      <c r="X363" s="7"/>
      <c r="Y363" s="699"/>
      <c r="Z363" s="7"/>
      <c r="AA363" s="618">
        <f t="shared" si="20"/>
        <v>0</v>
      </c>
      <c r="AB363" s="7"/>
      <c r="AC363" s="7"/>
      <c r="AD363" s="7"/>
      <c r="AE363" s="7"/>
      <c r="AF363" s="7"/>
      <c r="AG363" s="7"/>
    </row>
    <row r="364" spans="1:33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4"/>
      <c r="I364" s="214"/>
      <c r="J364" s="214"/>
      <c r="K364" s="213"/>
      <c r="L364" s="215"/>
      <c r="M364" s="213"/>
      <c r="N364" s="292"/>
      <c r="O364" s="213"/>
      <c r="P364" s="372"/>
      <c r="Q364" s="662"/>
      <c r="R364" s="215"/>
      <c r="S364" s="215"/>
      <c r="T364" s="616">
        <f t="shared" si="18"/>
        <v>0</v>
      </c>
      <c r="U364" s="633"/>
      <c r="V364" s="241"/>
      <c r="W364" s="241"/>
      <c r="X364" s="7"/>
      <c r="Y364" s="699"/>
      <c r="Z364" s="7"/>
      <c r="AA364" s="618">
        <f t="shared" si="20"/>
        <v>0</v>
      </c>
      <c r="AB364" s="7"/>
      <c r="AC364" s="7"/>
      <c r="AD364" s="7"/>
      <c r="AE364" s="7"/>
      <c r="AF364" s="7"/>
      <c r="AG364" s="7"/>
    </row>
    <row r="365" spans="1:33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4"/>
      <c r="I365" s="214"/>
      <c r="J365" s="214"/>
      <c r="K365" s="213"/>
      <c r="L365" s="215"/>
      <c r="M365" s="213"/>
      <c r="N365" s="292"/>
      <c r="O365" s="213"/>
      <c r="P365" s="372"/>
      <c r="Q365" s="662"/>
      <c r="R365" s="215"/>
      <c r="S365" s="215"/>
      <c r="T365" s="616">
        <f t="shared" si="18"/>
        <v>0</v>
      </c>
      <c r="U365" s="633"/>
      <c r="V365" s="241"/>
      <c r="W365" s="241"/>
      <c r="X365" s="7"/>
      <c r="Y365" s="699"/>
      <c r="Z365" s="7"/>
      <c r="AA365" s="618">
        <f t="shared" si="20"/>
        <v>0</v>
      </c>
      <c r="AB365" s="7"/>
      <c r="AC365" s="7"/>
      <c r="AD365" s="7"/>
      <c r="AE365" s="7"/>
      <c r="AF365" s="7"/>
      <c r="AG365" s="7"/>
    </row>
    <row r="366" spans="1:33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4"/>
      <c r="I366" s="214"/>
      <c r="J366" s="214"/>
      <c r="K366" s="213"/>
      <c r="L366" s="215"/>
      <c r="M366" s="213"/>
      <c r="N366" s="292"/>
      <c r="O366" s="213"/>
      <c r="P366" s="372"/>
      <c r="Q366" s="662"/>
      <c r="R366" s="215"/>
      <c r="S366" s="215"/>
      <c r="T366" s="616">
        <f t="shared" si="18"/>
        <v>0</v>
      </c>
      <c r="U366" s="633"/>
      <c r="V366" s="547"/>
      <c r="W366" s="547"/>
      <c r="X366" s="7"/>
      <c r="Y366" s="699"/>
      <c r="Z366" s="7"/>
      <c r="AA366" s="618">
        <f t="shared" si="20"/>
        <v>0</v>
      </c>
      <c r="AB366" s="7"/>
      <c r="AC366" s="7"/>
      <c r="AD366" s="7"/>
      <c r="AE366" s="7"/>
      <c r="AF366" s="7"/>
      <c r="AG366" s="7"/>
    </row>
    <row r="367" spans="1:33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4"/>
      <c r="I367" s="214"/>
      <c r="J367" s="214"/>
      <c r="K367" s="213"/>
      <c r="L367" s="215"/>
      <c r="M367" s="213"/>
      <c r="N367" s="292"/>
      <c r="O367" s="213"/>
      <c r="P367" s="372"/>
      <c r="Q367" s="662"/>
      <c r="R367" s="215"/>
      <c r="S367" s="215"/>
      <c r="T367" s="616">
        <f t="shared" si="18"/>
        <v>0</v>
      </c>
      <c r="U367" s="633"/>
      <c r="V367" s="547"/>
      <c r="W367" s="547"/>
      <c r="X367" s="7"/>
      <c r="Y367" s="699"/>
      <c r="Z367" s="7"/>
      <c r="AA367" s="618">
        <f t="shared" si="20"/>
        <v>0</v>
      </c>
      <c r="AB367" s="7"/>
      <c r="AC367" s="7"/>
      <c r="AD367" s="7"/>
      <c r="AE367" s="7"/>
      <c r="AF367" s="7"/>
      <c r="AG367" s="7"/>
    </row>
    <row r="368" spans="1:33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4"/>
      <c r="I368" s="214"/>
      <c r="J368" s="214"/>
      <c r="K368" s="213"/>
      <c r="L368" s="215"/>
      <c r="M368" s="213"/>
      <c r="N368" s="292"/>
      <c r="O368" s="213"/>
      <c r="P368" s="372"/>
      <c r="Q368" s="662"/>
      <c r="R368" s="215"/>
      <c r="S368" s="215"/>
      <c r="T368" s="616">
        <f t="shared" si="18"/>
        <v>0</v>
      </c>
      <c r="U368" s="633"/>
      <c r="V368" s="640"/>
      <c r="W368" s="640"/>
      <c r="X368" s="7"/>
      <c r="Y368" s="699"/>
      <c r="Z368" s="7"/>
      <c r="AA368" s="618">
        <f t="shared" si="20"/>
        <v>0</v>
      </c>
      <c r="AB368" s="7"/>
      <c r="AC368" s="7"/>
      <c r="AD368" s="7"/>
      <c r="AE368" s="7"/>
      <c r="AF368" s="7"/>
      <c r="AG368" s="7"/>
    </row>
    <row r="369" spans="1:33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>
        <v>21</v>
      </c>
      <c r="G369" s="213"/>
      <c r="H369" s="214"/>
      <c r="I369" s="214"/>
      <c r="J369" s="214"/>
      <c r="K369" s="213"/>
      <c r="L369" s="215"/>
      <c r="M369" s="213">
        <v>8</v>
      </c>
      <c r="N369" s="292"/>
      <c r="O369" s="213"/>
      <c r="P369" s="372">
        <v>4</v>
      </c>
      <c r="Q369" s="620"/>
      <c r="R369" s="215"/>
      <c r="S369" s="215"/>
      <c r="T369" s="616">
        <f t="shared" si="18"/>
        <v>33</v>
      </c>
      <c r="U369" s="633"/>
      <c r="V369" s="636"/>
      <c r="W369" s="636"/>
      <c r="X369" s="7"/>
      <c r="Y369" s="699">
        <v>38</v>
      </c>
      <c r="Z369" s="7"/>
      <c r="AA369" s="618">
        <f t="shared" si="20"/>
        <v>5</v>
      </c>
      <c r="AB369" s="7"/>
      <c r="AC369" s="7"/>
      <c r="AD369" s="7"/>
      <c r="AE369" s="7"/>
      <c r="AF369" s="7"/>
      <c r="AG369" s="7"/>
    </row>
    <row r="370" spans="1:33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4"/>
      <c r="I370" s="214"/>
      <c r="J370" s="214"/>
      <c r="K370" s="213"/>
      <c r="L370" s="215"/>
      <c r="M370" s="213"/>
      <c r="N370" s="292"/>
      <c r="O370" s="213"/>
      <c r="P370" s="372"/>
      <c r="Q370" s="647"/>
      <c r="R370" s="215"/>
      <c r="S370" s="315"/>
      <c r="T370" s="616">
        <f t="shared" si="18"/>
        <v>0</v>
      </c>
      <c r="U370" s="633"/>
      <c r="V370" s="648"/>
      <c r="W370" s="648"/>
      <c r="X370" s="7"/>
      <c r="Y370" s="699"/>
      <c r="Z370" s="7"/>
      <c r="AA370" s="618"/>
      <c r="AB370" s="7"/>
      <c r="AC370" s="7"/>
      <c r="AD370" s="7"/>
      <c r="AE370" s="7"/>
      <c r="AF370" s="7"/>
      <c r="AG370" s="7"/>
    </row>
    <row r="371" spans="1:33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>
        <v>21</v>
      </c>
      <c r="G371" s="213"/>
      <c r="H371" s="214"/>
      <c r="I371" s="214"/>
      <c r="J371" s="214"/>
      <c r="K371" s="213"/>
      <c r="L371" s="215"/>
      <c r="M371" s="213">
        <v>8</v>
      </c>
      <c r="N371" s="292"/>
      <c r="O371" s="213"/>
      <c r="P371" s="372"/>
      <c r="Q371" s="647"/>
      <c r="R371" s="215"/>
      <c r="S371" s="315"/>
      <c r="T371" s="616">
        <f t="shared" si="18"/>
        <v>29</v>
      </c>
      <c r="U371" s="633"/>
      <c r="V371" s="648"/>
      <c r="W371" s="648"/>
      <c r="X371" s="7"/>
      <c r="Y371" s="699">
        <v>38</v>
      </c>
      <c r="Z371" s="7"/>
      <c r="AA371" s="618"/>
      <c r="AB371" s="7"/>
      <c r="AC371" s="7"/>
      <c r="AD371" s="7"/>
      <c r="AE371" s="7"/>
      <c r="AF371" s="7"/>
      <c r="AG371" s="7"/>
    </row>
    <row r="372" spans="1:33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4"/>
      <c r="I372" s="214"/>
      <c r="J372" s="214"/>
      <c r="K372" s="213"/>
      <c r="L372" s="215"/>
      <c r="M372" s="213"/>
      <c r="N372" s="292"/>
      <c r="O372" s="213"/>
      <c r="P372" s="372"/>
      <c r="Q372" s="620"/>
      <c r="R372" s="215"/>
      <c r="S372" s="315"/>
      <c r="T372" s="616">
        <f t="shared" si="18"/>
        <v>0</v>
      </c>
      <c r="U372" s="633"/>
      <c r="V372" s="636"/>
      <c r="W372" s="636"/>
      <c r="X372" s="7"/>
      <c r="Y372" s="699"/>
      <c r="Z372" s="7"/>
      <c r="AA372" s="618">
        <f t="shared" ref="AA372:AA386" si="21">Y372-T372</f>
        <v>0</v>
      </c>
      <c r="AB372" s="7"/>
      <c r="AC372" s="7"/>
      <c r="AD372" s="7"/>
      <c r="AE372" s="7"/>
      <c r="AF372" s="7"/>
      <c r="AG372" s="7"/>
    </row>
    <row r="373" spans="1:33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4"/>
      <c r="I373" s="214"/>
      <c r="J373" s="214"/>
      <c r="K373" s="213"/>
      <c r="L373" s="215"/>
      <c r="M373" s="213"/>
      <c r="N373" s="292"/>
      <c r="O373" s="213"/>
      <c r="P373" s="372"/>
      <c r="Q373" s="647"/>
      <c r="R373" s="215"/>
      <c r="S373" s="315"/>
      <c r="T373" s="616">
        <f t="shared" si="18"/>
        <v>0</v>
      </c>
      <c r="U373" s="633"/>
      <c r="V373" s="648"/>
      <c r="W373" s="648"/>
      <c r="X373" s="7"/>
      <c r="Y373" s="699"/>
      <c r="Z373" s="7"/>
      <c r="AA373" s="618">
        <f t="shared" si="21"/>
        <v>0</v>
      </c>
      <c r="AB373" s="7"/>
      <c r="AC373" s="7"/>
      <c r="AD373" s="7"/>
      <c r="AE373" s="7"/>
      <c r="AF373" s="7"/>
      <c r="AG373" s="7"/>
    </row>
    <row r="374" spans="1:33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4"/>
      <c r="I374" s="214"/>
      <c r="J374" s="214"/>
      <c r="K374" s="213"/>
      <c r="L374" s="215"/>
      <c r="M374" s="213"/>
      <c r="N374" s="292"/>
      <c r="O374" s="213"/>
      <c r="P374" s="372"/>
      <c r="Q374" s="647"/>
      <c r="R374" s="215"/>
      <c r="S374" s="315"/>
      <c r="T374" s="616">
        <f t="shared" si="18"/>
        <v>0</v>
      </c>
      <c r="U374" s="633"/>
      <c r="V374" s="648"/>
      <c r="W374" s="648"/>
      <c r="X374" s="7"/>
      <c r="Y374" s="699"/>
      <c r="Z374" s="7"/>
      <c r="AA374" s="618">
        <f t="shared" si="21"/>
        <v>0</v>
      </c>
      <c r="AB374" s="7"/>
      <c r="AC374" s="7"/>
      <c r="AD374" s="7"/>
      <c r="AE374" s="7"/>
      <c r="AF374" s="7"/>
      <c r="AG374" s="7"/>
    </row>
    <row r="375" spans="1:33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4"/>
      <c r="I375" s="214"/>
      <c r="J375" s="214"/>
      <c r="K375" s="213"/>
      <c r="L375" s="215"/>
      <c r="M375" s="213"/>
      <c r="N375" s="292"/>
      <c r="O375" s="213"/>
      <c r="P375" s="372"/>
      <c r="Q375" s="620"/>
      <c r="R375" s="215"/>
      <c r="S375" s="315"/>
      <c r="T375" s="616">
        <f t="shared" si="18"/>
        <v>0</v>
      </c>
      <c r="U375" s="633"/>
      <c r="V375" s="636"/>
      <c r="W375" s="636"/>
      <c r="X375" s="7"/>
      <c r="Y375" s="725">
        <v>1</v>
      </c>
      <c r="Z375" s="7"/>
      <c r="AA375" s="618">
        <f t="shared" si="21"/>
        <v>1</v>
      </c>
      <c r="AB375" s="7"/>
      <c r="AC375" s="7"/>
      <c r="AD375" s="7"/>
      <c r="AE375" s="7"/>
      <c r="AF375" s="7"/>
      <c r="AG375" s="7"/>
    </row>
    <row r="376" spans="1:33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4"/>
      <c r="I376" s="214"/>
      <c r="J376" s="214"/>
      <c r="K376" s="213"/>
      <c r="L376" s="215"/>
      <c r="M376" s="213"/>
      <c r="N376" s="292"/>
      <c r="O376" s="213"/>
      <c r="P376" s="372"/>
      <c r="Q376" s="647"/>
      <c r="R376" s="215"/>
      <c r="S376" s="315"/>
      <c r="T376" s="616">
        <f t="shared" si="18"/>
        <v>0</v>
      </c>
      <c r="U376" s="633"/>
      <c r="V376" s="648"/>
      <c r="W376" s="648"/>
      <c r="X376" s="7"/>
      <c r="Y376" s="725"/>
      <c r="Z376" s="7"/>
      <c r="AA376" s="618">
        <f t="shared" si="21"/>
        <v>0</v>
      </c>
      <c r="AB376" s="7"/>
      <c r="AC376" s="7"/>
      <c r="AD376" s="7"/>
      <c r="AE376" s="7"/>
      <c r="AF376" s="7"/>
      <c r="AG376" s="7"/>
    </row>
    <row r="377" spans="1:33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4"/>
      <c r="I377" s="214"/>
      <c r="J377" s="214"/>
      <c r="K377" s="213"/>
      <c r="L377" s="215"/>
      <c r="M377" s="213"/>
      <c r="N377" s="292"/>
      <c r="O377" s="213"/>
      <c r="P377" s="372"/>
      <c r="Q377" s="647"/>
      <c r="R377" s="215"/>
      <c r="S377" s="315"/>
      <c r="T377" s="616">
        <f t="shared" si="18"/>
        <v>0</v>
      </c>
      <c r="U377" s="633"/>
      <c r="V377" s="648"/>
      <c r="W377" s="648"/>
      <c r="X377" s="7"/>
      <c r="Y377" s="725">
        <v>1</v>
      </c>
      <c r="Z377" s="7"/>
      <c r="AA377" s="618">
        <f t="shared" si="21"/>
        <v>1</v>
      </c>
      <c r="AB377" s="7"/>
      <c r="AC377" s="7"/>
      <c r="AD377" s="7"/>
      <c r="AE377" s="7"/>
      <c r="AF377" s="7"/>
      <c r="AG377" s="7"/>
    </row>
    <row r="378" spans="1:33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4"/>
      <c r="I378" s="214"/>
      <c r="J378" s="214"/>
      <c r="K378" s="213"/>
      <c r="L378" s="215"/>
      <c r="M378" s="213"/>
      <c r="N378" s="292"/>
      <c r="O378" s="213"/>
      <c r="P378" s="372"/>
      <c r="Q378" s="620"/>
      <c r="R378" s="215"/>
      <c r="S378" s="315"/>
      <c r="T378" s="616">
        <f t="shared" si="18"/>
        <v>0</v>
      </c>
      <c r="U378" s="633"/>
      <c r="V378" s="636"/>
      <c r="W378" s="636"/>
      <c r="X378" s="7"/>
      <c r="Y378" s="725"/>
      <c r="Z378" s="7"/>
      <c r="AA378" s="618">
        <f t="shared" si="21"/>
        <v>0</v>
      </c>
      <c r="AB378" s="7"/>
      <c r="AC378" s="7"/>
      <c r="AD378" s="7"/>
      <c r="AE378" s="7"/>
      <c r="AF378" s="7"/>
      <c r="AG378" s="7"/>
    </row>
    <row r="379" spans="1:33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4"/>
      <c r="I379" s="214"/>
      <c r="J379" s="214"/>
      <c r="K379" s="213"/>
      <c r="L379" s="215"/>
      <c r="M379" s="213"/>
      <c r="N379" s="292"/>
      <c r="O379" s="213"/>
      <c r="P379" s="372"/>
      <c r="Q379" s="647"/>
      <c r="R379" s="215"/>
      <c r="S379" s="315"/>
      <c r="T379" s="616">
        <f t="shared" si="18"/>
        <v>0</v>
      </c>
      <c r="U379" s="633"/>
      <c r="V379" s="648"/>
      <c r="W379" s="648"/>
      <c r="X379" s="7"/>
      <c r="Y379" s="725"/>
      <c r="Z379" s="7"/>
      <c r="AA379" s="618">
        <f t="shared" si="21"/>
        <v>0</v>
      </c>
      <c r="AB379" s="7"/>
      <c r="AC379" s="7"/>
      <c r="AD379" s="7"/>
      <c r="AE379" s="7"/>
      <c r="AF379" s="7"/>
      <c r="AG379" s="7"/>
    </row>
    <row r="380" spans="1:33" ht="21.75" customHeight="1">
      <c r="A380" s="503" t="s">
        <v>1499</v>
      </c>
      <c r="B380" s="483" t="s">
        <v>828</v>
      </c>
      <c r="C380" s="658" t="s">
        <v>829</v>
      </c>
      <c r="D380" s="504" t="s">
        <v>2394</v>
      </c>
      <c r="E380" s="213"/>
      <c r="F380" s="213"/>
      <c r="G380" s="213"/>
      <c r="H380" s="214"/>
      <c r="I380" s="214"/>
      <c r="J380" s="214"/>
      <c r="K380" s="213"/>
      <c r="L380" s="215"/>
      <c r="M380" s="213"/>
      <c r="N380" s="292"/>
      <c r="O380" s="213"/>
      <c r="P380" s="372"/>
      <c r="Q380" s="647"/>
      <c r="R380" s="215"/>
      <c r="S380" s="315"/>
      <c r="T380" s="616">
        <f t="shared" si="18"/>
        <v>0</v>
      </c>
      <c r="U380" s="633"/>
      <c r="V380" s="648"/>
      <c r="W380" s="648"/>
      <c r="X380" s="7"/>
      <c r="Y380" s="725"/>
      <c r="Z380" s="7"/>
      <c r="AA380" s="618">
        <f t="shared" si="21"/>
        <v>0</v>
      </c>
      <c r="AB380" s="7"/>
      <c r="AC380" s="7"/>
      <c r="AD380" s="7"/>
      <c r="AE380" s="7"/>
      <c r="AF380" s="7"/>
      <c r="AG380" s="7"/>
    </row>
    <row r="381" spans="1:33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4"/>
      <c r="I381" s="214"/>
      <c r="J381" s="214"/>
      <c r="K381" s="213"/>
      <c r="L381" s="215"/>
      <c r="M381" s="213"/>
      <c r="N381" s="292"/>
      <c r="O381" s="213"/>
      <c r="P381" s="372"/>
      <c r="Q381" s="647"/>
      <c r="R381" s="215"/>
      <c r="S381" s="315"/>
      <c r="T381" s="616">
        <f t="shared" si="18"/>
        <v>0</v>
      </c>
      <c r="U381" s="633"/>
      <c r="V381" s="648"/>
      <c r="W381" s="648"/>
      <c r="X381" s="7"/>
      <c r="Y381" s="725"/>
      <c r="Z381" s="7"/>
      <c r="AA381" s="618">
        <f t="shared" si="21"/>
        <v>0</v>
      </c>
      <c r="AB381" s="7"/>
      <c r="AC381" s="7"/>
      <c r="AD381" s="7"/>
      <c r="AE381" s="7"/>
      <c r="AF381" s="7"/>
      <c r="AG381" s="7"/>
    </row>
    <row r="382" spans="1:33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4"/>
      <c r="I382" s="214"/>
      <c r="J382" s="214"/>
      <c r="K382" s="213"/>
      <c r="L382" s="215"/>
      <c r="M382" s="213"/>
      <c r="N382" s="292"/>
      <c r="O382" s="213"/>
      <c r="P382" s="372"/>
      <c r="Q382" s="620"/>
      <c r="R382" s="215"/>
      <c r="S382" s="315"/>
      <c r="T382" s="616">
        <f t="shared" si="18"/>
        <v>0</v>
      </c>
      <c r="U382" s="633"/>
      <c r="V382" s="636"/>
      <c r="W382" s="636"/>
      <c r="X382" s="7"/>
      <c r="Y382" s="725"/>
      <c r="Z382" s="7"/>
      <c r="AA382" s="618">
        <f t="shared" si="21"/>
        <v>0</v>
      </c>
      <c r="AB382" s="7"/>
      <c r="AC382" s="7"/>
      <c r="AD382" s="7"/>
      <c r="AE382" s="7"/>
      <c r="AF382" s="7"/>
      <c r="AG382" s="7"/>
    </row>
    <row r="383" spans="1:33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4"/>
      <c r="I383" s="214"/>
      <c r="J383" s="214"/>
      <c r="K383" s="213"/>
      <c r="L383" s="215"/>
      <c r="M383" s="213"/>
      <c r="N383" s="292"/>
      <c r="O383" s="213"/>
      <c r="P383" s="372"/>
      <c r="Q383" s="620"/>
      <c r="R383" s="215"/>
      <c r="S383" s="315"/>
      <c r="T383" s="616">
        <f t="shared" si="18"/>
        <v>0</v>
      </c>
      <c r="U383" s="633"/>
      <c r="V383" s="636"/>
      <c r="W383" s="636"/>
      <c r="X383" s="7"/>
      <c r="Y383" s="725">
        <v>2</v>
      </c>
      <c r="Z383" s="7"/>
      <c r="AA383" s="618">
        <f t="shared" si="21"/>
        <v>2</v>
      </c>
      <c r="AB383" s="7"/>
      <c r="AC383" s="7"/>
      <c r="AD383" s="7"/>
      <c r="AE383" s="7"/>
      <c r="AF383" s="7"/>
      <c r="AG383" s="7"/>
    </row>
    <row r="384" spans="1:33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4"/>
      <c r="I384" s="214"/>
      <c r="J384" s="214"/>
      <c r="K384" s="213"/>
      <c r="L384" s="215"/>
      <c r="M384" s="213"/>
      <c r="N384" s="292"/>
      <c r="O384" s="213"/>
      <c r="P384" s="372"/>
      <c r="Q384" s="620"/>
      <c r="R384" s="215"/>
      <c r="S384" s="315"/>
      <c r="T384" s="616">
        <f t="shared" si="18"/>
        <v>0</v>
      </c>
      <c r="U384" s="633"/>
      <c r="V384" s="648"/>
      <c r="W384" s="648"/>
      <c r="X384" s="7"/>
      <c r="Y384" s="725"/>
      <c r="Z384" s="7"/>
      <c r="AA384" s="618">
        <f t="shared" si="21"/>
        <v>0</v>
      </c>
      <c r="AB384" s="7"/>
      <c r="AC384" s="7"/>
      <c r="AD384" s="7"/>
      <c r="AE384" s="7"/>
      <c r="AF384" s="7"/>
      <c r="AG384" s="7"/>
    </row>
    <row r="385" spans="1:33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4"/>
      <c r="I385" s="214"/>
      <c r="J385" s="214"/>
      <c r="K385" s="213"/>
      <c r="L385" s="215"/>
      <c r="M385" s="213"/>
      <c r="N385" s="292"/>
      <c r="O385" s="213"/>
      <c r="P385" s="372"/>
      <c r="Q385" s="620"/>
      <c r="R385" s="215"/>
      <c r="S385" s="315"/>
      <c r="T385" s="616">
        <f t="shared" si="18"/>
        <v>0</v>
      </c>
      <c r="U385" s="633"/>
      <c r="V385" s="648"/>
      <c r="W385" s="648"/>
      <c r="X385" s="7"/>
      <c r="Y385" s="725"/>
      <c r="Z385" s="7"/>
      <c r="AA385" s="618">
        <f t="shared" si="21"/>
        <v>0</v>
      </c>
      <c r="AB385" s="7"/>
      <c r="AC385" s="7"/>
      <c r="AD385" s="7"/>
      <c r="AE385" s="7"/>
      <c r="AF385" s="7"/>
      <c r="AG385" s="7"/>
    </row>
    <row r="386" spans="1:33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4"/>
      <c r="I386" s="214"/>
      <c r="J386" s="214"/>
      <c r="K386" s="213"/>
      <c r="L386" s="215"/>
      <c r="M386" s="213"/>
      <c r="N386" s="292"/>
      <c r="O386" s="213"/>
      <c r="P386" s="372"/>
      <c r="Q386" s="620"/>
      <c r="R386" s="215"/>
      <c r="S386" s="315"/>
      <c r="T386" s="616">
        <f t="shared" si="18"/>
        <v>0</v>
      </c>
      <c r="U386" s="633"/>
      <c r="V386" s="648"/>
      <c r="W386" s="648"/>
      <c r="X386" s="7"/>
      <c r="Y386" s="725"/>
      <c r="Z386" s="7"/>
      <c r="AA386" s="618">
        <f t="shared" si="21"/>
        <v>0</v>
      </c>
      <c r="AB386" s="7"/>
      <c r="AC386" s="7"/>
      <c r="AD386" s="7"/>
      <c r="AE386" s="7"/>
      <c r="AF386" s="7"/>
      <c r="AG386" s="7"/>
    </row>
    <row r="387" spans="1:33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4"/>
      <c r="I387" s="214"/>
      <c r="J387" s="214"/>
      <c r="K387" s="213"/>
      <c r="L387" s="215"/>
      <c r="M387" s="213"/>
      <c r="N387" s="292"/>
      <c r="O387" s="213"/>
      <c r="P387" s="372"/>
      <c r="Q387" s="620"/>
      <c r="R387" s="215"/>
      <c r="S387" s="315"/>
      <c r="T387" s="616">
        <f t="shared" si="18"/>
        <v>0</v>
      </c>
      <c r="U387" s="633"/>
      <c r="V387" s="648"/>
      <c r="W387" s="648"/>
      <c r="X387" s="7"/>
      <c r="Y387" s="725">
        <v>2</v>
      </c>
      <c r="Z387" s="7"/>
      <c r="AA387" s="618"/>
      <c r="AB387" s="7"/>
      <c r="AC387" s="7"/>
      <c r="AD387" s="7"/>
      <c r="AE387" s="7"/>
      <c r="AF387" s="7"/>
      <c r="AG387" s="7"/>
    </row>
    <row r="388" spans="1:33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4"/>
      <c r="I388" s="214"/>
      <c r="J388" s="214"/>
      <c r="K388" s="213"/>
      <c r="L388" s="215"/>
      <c r="M388" s="213"/>
      <c r="N388" s="292"/>
      <c r="O388" s="213"/>
      <c r="P388" s="372"/>
      <c r="Q388" s="620"/>
      <c r="R388" s="215"/>
      <c r="S388" s="315"/>
      <c r="T388" s="616">
        <f t="shared" si="18"/>
        <v>0</v>
      </c>
      <c r="U388" s="633"/>
      <c r="V388" s="636"/>
      <c r="W388" s="636"/>
      <c r="X388" s="7"/>
      <c r="Y388" s="725"/>
      <c r="Z388" s="7"/>
      <c r="AA388" s="618">
        <f t="shared" ref="AA388:AA437" si="22">Y388-T388</f>
        <v>0</v>
      </c>
      <c r="AB388" s="7"/>
      <c r="AC388" s="7"/>
      <c r="AD388" s="7"/>
      <c r="AE388" s="7"/>
      <c r="AF388" s="7"/>
      <c r="AG388" s="7"/>
    </row>
    <row r="389" spans="1:33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4"/>
      <c r="I389" s="214"/>
      <c r="J389" s="214"/>
      <c r="K389" s="213"/>
      <c r="L389" s="215"/>
      <c r="M389" s="213"/>
      <c r="N389" s="292"/>
      <c r="O389" s="213"/>
      <c r="P389" s="372"/>
      <c r="Q389" s="620"/>
      <c r="R389" s="215"/>
      <c r="S389" s="315"/>
      <c r="T389" s="616">
        <f t="shared" si="18"/>
        <v>0</v>
      </c>
      <c r="U389" s="633"/>
      <c r="V389" s="636"/>
      <c r="W389" s="636"/>
      <c r="X389" s="7"/>
      <c r="Y389" s="725"/>
      <c r="Z389" s="7"/>
      <c r="AA389" s="618">
        <f t="shared" si="22"/>
        <v>0</v>
      </c>
      <c r="AB389" s="7"/>
      <c r="AC389" s="7"/>
      <c r="AD389" s="7"/>
      <c r="AE389" s="7"/>
      <c r="AF389" s="7"/>
      <c r="AG389" s="7"/>
    </row>
    <row r="390" spans="1:33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4"/>
      <c r="I390" s="214"/>
      <c r="J390" s="214"/>
      <c r="K390" s="213"/>
      <c r="L390" s="215"/>
      <c r="M390" s="213"/>
      <c r="N390" s="292"/>
      <c r="O390" s="213"/>
      <c r="P390" s="372"/>
      <c r="Q390" s="662"/>
      <c r="R390" s="215"/>
      <c r="S390" s="315"/>
      <c r="T390" s="616">
        <f t="shared" si="18"/>
        <v>0</v>
      </c>
      <c r="U390" s="633"/>
      <c r="V390" s="636"/>
      <c r="W390" s="636"/>
      <c r="X390" s="7"/>
      <c r="Y390" s="725"/>
      <c r="Z390" s="7"/>
      <c r="AA390" s="618">
        <f t="shared" si="22"/>
        <v>0</v>
      </c>
      <c r="AB390" s="7"/>
      <c r="AC390" s="7"/>
      <c r="AD390" s="7"/>
      <c r="AE390" s="7"/>
      <c r="AF390" s="7"/>
      <c r="AG390" s="7"/>
    </row>
    <row r="391" spans="1:33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4"/>
      <c r="I391" s="214"/>
      <c r="J391" s="214"/>
      <c r="K391" s="213"/>
      <c r="L391" s="215"/>
      <c r="M391" s="213"/>
      <c r="N391" s="292"/>
      <c r="O391" s="213"/>
      <c r="P391" s="372"/>
      <c r="Q391" s="662"/>
      <c r="R391" s="215"/>
      <c r="S391" s="315"/>
      <c r="T391" s="616">
        <f t="shared" si="18"/>
        <v>0</v>
      </c>
      <c r="U391" s="633"/>
      <c r="V391" s="636"/>
      <c r="W391" s="636"/>
      <c r="X391" s="7"/>
      <c r="Y391" s="725"/>
      <c r="Z391" s="7"/>
      <c r="AA391" s="618">
        <f t="shared" si="22"/>
        <v>0</v>
      </c>
      <c r="AB391" s="7"/>
      <c r="AC391" s="7"/>
      <c r="AD391" s="7"/>
      <c r="AE391" s="7"/>
      <c r="AF391" s="7"/>
      <c r="AG391" s="7"/>
    </row>
    <row r="392" spans="1:33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4"/>
      <c r="I392" s="214"/>
      <c r="J392" s="214"/>
      <c r="K392" s="213"/>
      <c r="L392" s="215"/>
      <c r="M392" s="213"/>
      <c r="N392" s="292"/>
      <c r="O392" s="213"/>
      <c r="P392" s="372"/>
      <c r="Q392" s="662"/>
      <c r="R392" s="215"/>
      <c r="S392" s="315"/>
      <c r="T392" s="616">
        <f t="shared" si="18"/>
        <v>0</v>
      </c>
      <c r="U392" s="633"/>
      <c r="V392" s="636"/>
      <c r="W392" s="636"/>
      <c r="X392" s="7"/>
      <c r="Y392" s="725"/>
      <c r="Z392" s="7"/>
      <c r="AA392" s="618">
        <f t="shared" si="22"/>
        <v>0</v>
      </c>
      <c r="AB392" s="7"/>
      <c r="AC392" s="7"/>
      <c r="AD392" s="7"/>
      <c r="AE392" s="7"/>
      <c r="AF392" s="7"/>
      <c r="AG392" s="7"/>
    </row>
    <row r="393" spans="1:33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4"/>
      <c r="I393" s="214"/>
      <c r="J393" s="214"/>
      <c r="K393" s="213"/>
      <c r="L393" s="215"/>
      <c r="M393" s="213"/>
      <c r="N393" s="292"/>
      <c r="O393" s="213"/>
      <c r="P393" s="372"/>
      <c r="Q393" s="662"/>
      <c r="R393" s="215"/>
      <c r="S393" s="315"/>
      <c r="T393" s="616">
        <f t="shared" si="18"/>
        <v>0</v>
      </c>
      <c r="U393" s="633"/>
      <c r="V393" s="636"/>
      <c r="W393" s="636"/>
      <c r="X393" s="7"/>
      <c r="Y393" s="725"/>
      <c r="Z393" s="7"/>
      <c r="AA393" s="618">
        <f t="shared" si="22"/>
        <v>0</v>
      </c>
      <c r="AB393" s="7"/>
      <c r="AC393" s="7"/>
      <c r="AD393" s="7"/>
      <c r="AE393" s="7"/>
      <c r="AF393" s="7"/>
      <c r="AG393" s="7"/>
    </row>
    <row r="394" spans="1:33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4"/>
      <c r="I394" s="214"/>
      <c r="J394" s="214"/>
      <c r="K394" s="213"/>
      <c r="L394" s="215"/>
      <c r="M394" s="213"/>
      <c r="N394" s="292"/>
      <c r="O394" s="213"/>
      <c r="P394" s="372"/>
      <c r="Q394" s="620"/>
      <c r="R394" s="215"/>
      <c r="S394" s="315"/>
      <c r="T394" s="616">
        <f t="shared" si="18"/>
        <v>0</v>
      </c>
      <c r="U394" s="633"/>
      <c r="V394" s="634"/>
      <c r="W394" s="634"/>
      <c r="X394" s="7"/>
      <c r="Y394" s="725"/>
      <c r="Z394" s="7"/>
      <c r="AA394" s="618">
        <f t="shared" si="22"/>
        <v>0</v>
      </c>
      <c r="AB394" s="7"/>
      <c r="AC394" s="7"/>
      <c r="AD394" s="7"/>
      <c r="AE394" s="7"/>
      <c r="AF394" s="7"/>
      <c r="AG394" s="7"/>
    </row>
    <row r="395" spans="1:33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4"/>
      <c r="I395" s="214"/>
      <c r="J395" s="214"/>
      <c r="K395" s="213"/>
      <c r="L395" s="215"/>
      <c r="M395" s="213"/>
      <c r="N395" s="292"/>
      <c r="O395" s="213"/>
      <c r="P395" s="372"/>
      <c r="Q395" s="620"/>
      <c r="R395" s="215"/>
      <c r="S395" s="315"/>
      <c r="T395" s="616">
        <f t="shared" si="18"/>
        <v>0</v>
      </c>
      <c r="U395" s="633"/>
      <c r="V395" s="634"/>
      <c r="W395" s="634"/>
      <c r="X395" s="7"/>
      <c r="Y395" s="725"/>
      <c r="Z395" s="7"/>
      <c r="AA395" s="618">
        <f t="shared" si="22"/>
        <v>0</v>
      </c>
      <c r="AB395" s="7"/>
      <c r="AC395" s="7"/>
      <c r="AD395" s="7"/>
      <c r="AE395" s="7"/>
      <c r="AF395" s="7"/>
      <c r="AG395" s="7"/>
    </row>
    <row r="396" spans="1:33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4"/>
      <c r="I396" s="214"/>
      <c r="J396" s="214"/>
      <c r="K396" s="213"/>
      <c r="L396" s="215"/>
      <c r="M396" s="213"/>
      <c r="N396" s="292"/>
      <c r="O396" s="213"/>
      <c r="P396" s="372"/>
      <c r="Q396" s="620"/>
      <c r="R396" s="215"/>
      <c r="S396" s="315"/>
      <c r="T396" s="616">
        <f t="shared" si="18"/>
        <v>0</v>
      </c>
      <c r="U396" s="633"/>
      <c r="V396" s="634"/>
      <c r="W396" s="634"/>
      <c r="X396" s="7"/>
      <c r="Y396" s="725"/>
      <c r="Z396" s="7"/>
      <c r="AA396" s="618">
        <f t="shared" si="22"/>
        <v>0</v>
      </c>
      <c r="AB396" s="7"/>
      <c r="AC396" s="7"/>
      <c r="AD396" s="7"/>
      <c r="AE396" s="7"/>
      <c r="AF396" s="7"/>
      <c r="AG396" s="7"/>
    </row>
    <row r="397" spans="1:33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4"/>
      <c r="I397" s="214"/>
      <c r="J397" s="214"/>
      <c r="K397" s="213"/>
      <c r="L397" s="215"/>
      <c r="M397" s="213"/>
      <c r="N397" s="292"/>
      <c r="O397" s="213"/>
      <c r="P397" s="372"/>
      <c r="Q397" s="620"/>
      <c r="R397" s="215"/>
      <c r="S397" s="315"/>
      <c r="T397" s="616">
        <f t="shared" si="18"/>
        <v>0</v>
      </c>
      <c r="U397" s="633"/>
      <c r="V397" s="636"/>
      <c r="W397" s="636"/>
      <c r="X397" s="7"/>
      <c r="Y397" s="725"/>
      <c r="Z397" s="7"/>
      <c r="AA397" s="618">
        <f t="shared" si="22"/>
        <v>0</v>
      </c>
      <c r="AB397" s="7"/>
      <c r="AC397" s="7"/>
      <c r="AD397" s="7"/>
      <c r="AE397" s="7"/>
      <c r="AF397" s="7"/>
      <c r="AG397" s="7"/>
    </row>
    <row r="398" spans="1:33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4"/>
      <c r="I398" s="214"/>
      <c r="J398" s="214"/>
      <c r="K398" s="213"/>
      <c r="L398" s="215"/>
      <c r="M398" s="213"/>
      <c r="N398" s="292"/>
      <c r="O398" s="213"/>
      <c r="P398" s="372"/>
      <c r="Q398" s="620"/>
      <c r="R398" s="215"/>
      <c r="S398" s="315"/>
      <c r="T398" s="616">
        <f t="shared" si="18"/>
        <v>0</v>
      </c>
      <c r="U398" s="633"/>
      <c r="V398" s="634"/>
      <c r="W398" s="634"/>
      <c r="X398" s="7"/>
      <c r="Y398" s="725"/>
      <c r="Z398" s="7"/>
      <c r="AA398" s="618">
        <f t="shared" si="22"/>
        <v>0</v>
      </c>
      <c r="AB398" s="7"/>
      <c r="AC398" s="7"/>
      <c r="AD398" s="7"/>
      <c r="AE398" s="7"/>
      <c r="AF398" s="7"/>
      <c r="AG398" s="7"/>
    </row>
    <row r="399" spans="1:33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4"/>
      <c r="I399" s="214"/>
      <c r="J399" s="214"/>
      <c r="K399" s="213"/>
      <c r="L399" s="215"/>
      <c r="M399" s="213"/>
      <c r="N399" s="292"/>
      <c r="O399" s="213"/>
      <c r="P399" s="372"/>
      <c r="Q399" s="620"/>
      <c r="R399" s="215"/>
      <c r="S399" s="315"/>
      <c r="T399" s="616">
        <f t="shared" si="18"/>
        <v>0</v>
      </c>
      <c r="U399" s="633"/>
      <c r="V399" s="634"/>
      <c r="W399" s="634"/>
      <c r="X399" s="7"/>
      <c r="Y399" s="725"/>
      <c r="Z399" s="7"/>
      <c r="AA399" s="618">
        <f t="shared" si="22"/>
        <v>0</v>
      </c>
      <c r="AB399" s="7"/>
      <c r="AC399" s="7"/>
      <c r="AD399" s="7"/>
      <c r="AE399" s="7"/>
      <c r="AF399" s="7"/>
      <c r="AG399" s="7"/>
    </row>
    <row r="400" spans="1:33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4"/>
      <c r="I400" s="214"/>
      <c r="J400" s="214"/>
      <c r="K400" s="213"/>
      <c r="L400" s="215"/>
      <c r="M400" s="213"/>
      <c r="N400" s="292"/>
      <c r="O400" s="213"/>
      <c r="P400" s="372"/>
      <c r="Q400" s="620"/>
      <c r="R400" s="215"/>
      <c r="S400" s="315"/>
      <c r="T400" s="616">
        <f t="shared" si="18"/>
        <v>0</v>
      </c>
      <c r="U400" s="633"/>
      <c r="V400" s="636"/>
      <c r="W400" s="636"/>
      <c r="X400" s="7"/>
      <c r="Y400" s="725"/>
      <c r="Z400" s="7"/>
      <c r="AA400" s="618">
        <f t="shared" si="22"/>
        <v>0</v>
      </c>
      <c r="AB400" s="7"/>
      <c r="AC400" s="7"/>
      <c r="AD400" s="7"/>
      <c r="AE400" s="7"/>
      <c r="AF400" s="7"/>
      <c r="AG400" s="7"/>
    </row>
    <row r="401" spans="1:33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4"/>
      <c r="I401" s="214"/>
      <c r="J401" s="214"/>
      <c r="K401" s="213"/>
      <c r="L401" s="215"/>
      <c r="M401" s="213"/>
      <c r="N401" s="292"/>
      <c r="O401" s="213"/>
      <c r="P401" s="372"/>
      <c r="Q401" s="620"/>
      <c r="R401" s="215"/>
      <c r="S401" s="315"/>
      <c r="T401" s="616">
        <f t="shared" si="18"/>
        <v>0</v>
      </c>
      <c r="U401" s="633"/>
      <c r="V401" s="634"/>
      <c r="W401" s="634"/>
      <c r="X401" s="7"/>
      <c r="Y401" s="725"/>
      <c r="Z401" s="7"/>
      <c r="AA401" s="618">
        <f t="shared" si="22"/>
        <v>0</v>
      </c>
      <c r="AB401" s="7"/>
      <c r="AC401" s="7"/>
      <c r="AD401" s="7"/>
      <c r="AE401" s="7"/>
      <c r="AF401" s="7"/>
      <c r="AG401" s="7"/>
    </row>
    <row r="402" spans="1:33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4"/>
      <c r="I402" s="214"/>
      <c r="J402" s="214"/>
      <c r="K402" s="213"/>
      <c r="L402" s="215"/>
      <c r="M402" s="213"/>
      <c r="N402" s="292"/>
      <c r="O402" s="213"/>
      <c r="P402" s="372"/>
      <c r="Q402" s="620"/>
      <c r="R402" s="215"/>
      <c r="S402" s="315"/>
      <c r="T402" s="616">
        <f t="shared" si="18"/>
        <v>0</v>
      </c>
      <c r="U402" s="633"/>
      <c r="V402" s="634"/>
      <c r="W402" s="634"/>
      <c r="X402" s="7"/>
      <c r="Y402" s="725"/>
      <c r="Z402" s="7"/>
      <c r="AA402" s="618">
        <f t="shared" si="22"/>
        <v>0</v>
      </c>
      <c r="AB402" s="7"/>
      <c r="AC402" s="7"/>
      <c r="AD402" s="7"/>
      <c r="AE402" s="7"/>
      <c r="AF402" s="7"/>
      <c r="AG402" s="7"/>
    </row>
    <row r="403" spans="1:33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4"/>
      <c r="I403" s="214"/>
      <c r="J403" s="214"/>
      <c r="K403" s="213"/>
      <c r="L403" s="215"/>
      <c r="M403" s="213"/>
      <c r="N403" s="292"/>
      <c r="O403" s="213"/>
      <c r="P403" s="372"/>
      <c r="Q403" s="662"/>
      <c r="R403" s="215"/>
      <c r="S403" s="315"/>
      <c r="T403" s="616">
        <f t="shared" si="18"/>
        <v>0</v>
      </c>
      <c r="U403" s="633"/>
      <c r="V403" s="634"/>
      <c r="W403" s="634"/>
      <c r="X403" s="7"/>
      <c r="Y403" s="725"/>
      <c r="Z403" s="7"/>
      <c r="AA403" s="618">
        <f t="shared" si="22"/>
        <v>0</v>
      </c>
      <c r="AB403" s="7"/>
      <c r="AC403" s="7"/>
      <c r="AD403" s="7"/>
      <c r="AE403" s="7"/>
      <c r="AF403" s="7"/>
      <c r="AG403" s="7"/>
    </row>
    <row r="404" spans="1:33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4"/>
      <c r="I404" s="214"/>
      <c r="J404" s="214"/>
      <c r="K404" s="213"/>
      <c r="L404" s="215"/>
      <c r="M404" s="213"/>
      <c r="N404" s="292"/>
      <c r="O404" s="213"/>
      <c r="P404" s="372"/>
      <c r="Q404" s="662"/>
      <c r="R404" s="215"/>
      <c r="S404" s="315"/>
      <c r="T404" s="616">
        <f t="shared" si="18"/>
        <v>0</v>
      </c>
      <c r="U404" s="633"/>
      <c r="V404" s="640"/>
      <c r="W404" s="640"/>
      <c r="X404" s="7"/>
      <c r="Y404" s="725"/>
      <c r="Z404" s="7"/>
      <c r="AA404" s="618">
        <f t="shared" si="22"/>
        <v>0</v>
      </c>
      <c r="AB404" s="7"/>
      <c r="AC404" s="7"/>
      <c r="AD404" s="7"/>
      <c r="AE404" s="7"/>
      <c r="AF404" s="7"/>
      <c r="AG404" s="7"/>
    </row>
    <row r="405" spans="1:33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4"/>
      <c r="I405" s="214"/>
      <c r="J405" s="214"/>
      <c r="K405" s="213"/>
      <c r="L405" s="215"/>
      <c r="M405" s="213"/>
      <c r="N405" s="292"/>
      <c r="O405" s="213"/>
      <c r="P405" s="372"/>
      <c r="Q405" s="662"/>
      <c r="R405" s="215"/>
      <c r="S405" s="315"/>
      <c r="T405" s="616">
        <f t="shared" si="18"/>
        <v>0</v>
      </c>
      <c r="U405" s="633"/>
      <c r="V405" s="636"/>
      <c r="W405" s="636"/>
      <c r="X405" s="7"/>
      <c r="Y405" s="725"/>
      <c r="Z405" s="7"/>
      <c r="AA405" s="618">
        <f t="shared" si="22"/>
        <v>0</v>
      </c>
      <c r="AB405" s="7"/>
      <c r="AC405" s="7"/>
      <c r="AD405" s="7"/>
      <c r="AE405" s="7"/>
      <c r="AF405" s="7"/>
      <c r="AG405" s="7"/>
    </row>
    <row r="406" spans="1:33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4"/>
      <c r="I406" s="214"/>
      <c r="J406" s="214"/>
      <c r="K406" s="213"/>
      <c r="L406" s="215"/>
      <c r="M406" s="213"/>
      <c r="N406" s="292"/>
      <c r="O406" s="213"/>
      <c r="P406" s="372"/>
      <c r="Q406" s="662"/>
      <c r="R406" s="215"/>
      <c r="S406" s="315"/>
      <c r="T406" s="616">
        <f t="shared" si="18"/>
        <v>0</v>
      </c>
      <c r="U406" s="633"/>
      <c r="V406" s="636"/>
      <c r="W406" s="636"/>
      <c r="X406" s="7"/>
      <c r="Y406" s="725"/>
      <c r="Z406" s="7"/>
      <c r="AA406" s="618">
        <f t="shared" si="22"/>
        <v>0</v>
      </c>
      <c r="AB406" s="7"/>
      <c r="AC406" s="7"/>
      <c r="AD406" s="7"/>
      <c r="AE406" s="7"/>
      <c r="AF406" s="7"/>
      <c r="AG406" s="7"/>
    </row>
    <row r="407" spans="1:33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4"/>
      <c r="I407" s="214"/>
      <c r="J407" s="214"/>
      <c r="K407" s="213"/>
      <c r="L407" s="215"/>
      <c r="M407" s="213"/>
      <c r="N407" s="292"/>
      <c r="O407" s="213"/>
      <c r="P407" s="372"/>
      <c r="Q407" s="662"/>
      <c r="R407" s="215"/>
      <c r="S407" s="315"/>
      <c r="T407" s="616">
        <f t="shared" si="18"/>
        <v>0</v>
      </c>
      <c r="U407" s="633"/>
      <c r="V407" s="636"/>
      <c r="W407" s="636"/>
      <c r="X407" s="7"/>
      <c r="Y407" s="725"/>
      <c r="Z407" s="7"/>
      <c r="AA407" s="618">
        <f t="shared" si="22"/>
        <v>0</v>
      </c>
      <c r="AB407" s="7"/>
      <c r="AC407" s="7"/>
      <c r="AD407" s="7"/>
      <c r="AE407" s="7"/>
      <c r="AF407" s="7"/>
      <c r="AG407" s="7"/>
    </row>
    <row r="408" spans="1:33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4"/>
      <c r="I408" s="214"/>
      <c r="J408" s="214"/>
      <c r="K408" s="213"/>
      <c r="L408" s="215"/>
      <c r="M408" s="213"/>
      <c r="N408" s="292"/>
      <c r="O408" s="213"/>
      <c r="P408" s="372"/>
      <c r="Q408" s="662"/>
      <c r="R408" s="215"/>
      <c r="S408" s="315"/>
      <c r="T408" s="616">
        <f t="shared" si="18"/>
        <v>0</v>
      </c>
      <c r="U408" s="633"/>
      <c r="V408" s="636"/>
      <c r="W408" s="636"/>
      <c r="X408" s="7"/>
      <c r="Y408" s="725"/>
      <c r="Z408" s="7"/>
      <c r="AA408" s="618">
        <f t="shared" si="22"/>
        <v>0</v>
      </c>
      <c r="AB408" s="7"/>
      <c r="AC408" s="7"/>
      <c r="AD408" s="7"/>
      <c r="AE408" s="7"/>
      <c r="AF408" s="7"/>
      <c r="AG408" s="7"/>
    </row>
    <row r="409" spans="1:33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4"/>
      <c r="I409" s="214"/>
      <c r="J409" s="214"/>
      <c r="K409" s="213"/>
      <c r="L409" s="215"/>
      <c r="M409" s="213"/>
      <c r="N409" s="292"/>
      <c r="O409" s="213"/>
      <c r="P409" s="372"/>
      <c r="Q409" s="662"/>
      <c r="R409" s="215"/>
      <c r="S409" s="315"/>
      <c r="T409" s="616">
        <f t="shared" si="18"/>
        <v>0</v>
      </c>
      <c r="U409" s="633"/>
      <c r="V409" s="636"/>
      <c r="W409" s="636"/>
      <c r="X409" s="7"/>
      <c r="Y409" s="725"/>
      <c r="Z409" s="7"/>
      <c r="AA409" s="618">
        <f t="shared" si="22"/>
        <v>0</v>
      </c>
      <c r="AB409" s="7"/>
      <c r="AC409" s="7"/>
      <c r="AD409" s="7"/>
      <c r="AE409" s="7"/>
      <c r="AF409" s="7"/>
      <c r="AG409" s="7"/>
    </row>
    <row r="410" spans="1:33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4"/>
      <c r="I410" s="214"/>
      <c r="J410" s="214"/>
      <c r="K410" s="213"/>
      <c r="L410" s="215"/>
      <c r="M410" s="213"/>
      <c r="N410" s="292"/>
      <c r="O410" s="213"/>
      <c r="P410" s="372"/>
      <c r="Q410" s="662"/>
      <c r="R410" s="215"/>
      <c r="S410" s="315"/>
      <c r="T410" s="616">
        <f t="shared" si="18"/>
        <v>0</v>
      </c>
      <c r="U410" s="633"/>
      <c r="V410" s="636"/>
      <c r="W410" s="636"/>
      <c r="X410" s="7"/>
      <c r="Y410" s="725"/>
      <c r="Z410" s="7"/>
      <c r="AA410" s="618">
        <f t="shared" si="22"/>
        <v>0</v>
      </c>
      <c r="AB410" s="7"/>
      <c r="AC410" s="7"/>
      <c r="AD410" s="7"/>
      <c r="AE410" s="7"/>
      <c r="AF410" s="7"/>
      <c r="AG410" s="7"/>
    </row>
    <row r="411" spans="1:33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4"/>
      <c r="I411" s="214"/>
      <c r="J411" s="214"/>
      <c r="K411" s="213"/>
      <c r="L411" s="215"/>
      <c r="M411" s="213"/>
      <c r="N411" s="292"/>
      <c r="O411" s="213"/>
      <c r="P411" s="372"/>
      <c r="Q411" s="662"/>
      <c r="R411" s="215"/>
      <c r="S411" s="315"/>
      <c r="T411" s="616">
        <f t="shared" si="18"/>
        <v>0</v>
      </c>
      <c r="U411" s="633"/>
      <c r="V411" s="636"/>
      <c r="W411" s="636"/>
      <c r="X411" s="7"/>
      <c r="Y411" s="725"/>
      <c r="Z411" s="7"/>
      <c r="AA411" s="618">
        <f t="shared" si="22"/>
        <v>0</v>
      </c>
      <c r="AB411" s="7"/>
      <c r="AC411" s="7"/>
      <c r="AD411" s="7"/>
      <c r="AE411" s="7"/>
      <c r="AF411" s="7"/>
      <c r="AG411" s="7"/>
    </row>
    <row r="412" spans="1:33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4"/>
      <c r="I412" s="214"/>
      <c r="J412" s="214"/>
      <c r="K412" s="213"/>
      <c r="L412" s="215"/>
      <c r="M412" s="213"/>
      <c r="N412" s="292"/>
      <c r="O412" s="213"/>
      <c r="P412" s="372"/>
      <c r="Q412" s="662"/>
      <c r="R412" s="215"/>
      <c r="S412" s="315"/>
      <c r="T412" s="616">
        <f t="shared" si="18"/>
        <v>0</v>
      </c>
      <c r="U412" s="633"/>
      <c r="V412" s="636"/>
      <c r="W412" s="636"/>
      <c r="X412" s="7"/>
      <c r="Y412" s="725"/>
      <c r="Z412" s="7"/>
      <c r="AA412" s="618">
        <f t="shared" si="22"/>
        <v>0</v>
      </c>
      <c r="AB412" s="7"/>
      <c r="AC412" s="7"/>
      <c r="AD412" s="7"/>
      <c r="AE412" s="7"/>
      <c r="AF412" s="7"/>
      <c r="AG412" s="7"/>
    </row>
    <row r="413" spans="1:33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4"/>
      <c r="I413" s="214"/>
      <c r="J413" s="214"/>
      <c r="K413" s="213"/>
      <c r="L413" s="215"/>
      <c r="M413" s="213"/>
      <c r="N413" s="292"/>
      <c r="O413" s="213"/>
      <c r="P413" s="372"/>
      <c r="Q413" s="662"/>
      <c r="R413" s="215"/>
      <c r="S413" s="315"/>
      <c r="T413" s="616">
        <f t="shared" si="18"/>
        <v>0</v>
      </c>
      <c r="U413" s="633"/>
      <c r="V413" s="636"/>
      <c r="W413" s="636"/>
      <c r="X413" s="7"/>
      <c r="Y413" s="725"/>
      <c r="Z413" s="7"/>
      <c r="AA413" s="618">
        <f t="shared" si="22"/>
        <v>0</v>
      </c>
      <c r="AB413" s="7"/>
      <c r="AC413" s="7"/>
      <c r="AD413" s="7"/>
      <c r="AE413" s="7"/>
      <c r="AF413" s="7"/>
      <c r="AG413" s="7"/>
    </row>
    <row r="414" spans="1:33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4"/>
      <c r="I414" s="214"/>
      <c r="J414" s="214"/>
      <c r="K414" s="213"/>
      <c r="L414" s="215"/>
      <c r="M414" s="213"/>
      <c r="N414" s="292"/>
      <c r="O414" s="213"/>
      <c r="P414" s="372"/>
      <c r="Q414" s="662"/>
      <c r="R414" s="215"/>
      <c r="S414" s="315"/>
      <c r="T414" s="616">
        <f t="shared" si="18"/>
        <v>0</v>
      </c>
      <c r="U414" s="633"/>
      <c r="V414" s="636"/>
      <c r="W414" s="636"/>
      <c r="X414" s="7"/>
      <c r="Y414" s="725"/>
      <c r="Z414" s="7"/>
      <c r="AA414" s="618">
        <f t="shared" si="22"/>
        <v>0</v>
      </c>
      <c r="AB414" s="7"/>
      <c r="AC414" s="7"/>
      <c r="AD414" s="7"/>
      <c r="AE414" s="7"/>
      <c r="AF414" s="7"/>
      <c r="AG414" s="7"/>
    </row>
    <row r="415" spans="1:33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4"/>
      <c r="I415" s="214"/>
      <c r="J415" s="214"/>
      <c r="K415" s="213"/>
      <c r="L415" s="215"/>
      <c r="M415" s="213"/>
      <c r="N415" s="292"/>
      <c r="O415" s="213"/>
      <c r="P415" s="372"/>
      <c r="Q415" s="662"/>
      <c r="R415" s="215"/>
      <c r="S415" s="315"/>
      <c r="T415" s="616">
        <f t="shared" si="18"/>
        <v>0</v>
      </c>
      <c r="U415" s="633"/>
      <c r="V415" s="636"/>
      <c r="W415" s="636"/>
      <c r="X415" s="7"/>
      <c r="Y415" s="725"/>
      <c r="Z415" s="7"/>
      <c r="AA415" s="618">
        <f t="shared" si="22"/>
        <v>0</v>
      </c>
      <c r="AB415" s="7"/>
      <c r="AC415" s="7"/>
      <c r="AD415" s="7"/>
      <c r="AE415" s="7"/>
      <c r="AF415" s="7"/>
      <c r="AG415" s="7"/>
    </row>
    <row r="416" spans="1:33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4"/>
      <c r="I416" s="214"/>
      <c r="J416" s="214"/>
      <c r="K416" s="213"/>
      <c r="L416" s="215"/>
      <c r="M416" s="213"/>
      <c r="N416" s="292"/>
      <c r="O416" s="213"/>
      <c r="P416" s="372"/>
      <c r="Q416" s="662"/>
      <c r="R416" s="215"/>
      <c r="S416" s="315"/>
      <c r="T416" s="616">
        <f t="shared" si="18"/>
        <v>0</v>
      </c>
      <c r="U416" s="633"/>
      <c r="V416" s="636"/>
      <c r="W416" s="636"/>
      <c r="X416" s="7"/>
      <c r="Y416" s="725"/>
      <c r="Z416" s="7"/>
      <c r="AA416" s="618">
        <f t="shared" si="22"/>
        <v>0</v>
      </c>
      <c r="AB416" s="7"/>
      <c r="AC416" s="7"/>
      <c r="AD416" s="7"/>
      <c r="AE416" s="7"/>
      <c r="AF416" s="7"/>
      <c r="AG416" s="7"/>
    </row>
    <row r="417" spans="1:33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4"/>
      <c r="I417" s="214"/>
      <c r="J417" s="214"/>
      <c r="K417" s="213"/>
      <c r="L417" s="215"/>
      <c r="M417" s="213"/>
      <c r="N417" s="292"/>
      <c r="O417" s="213"/>
      <c r="P417" s="372"/>
      <c r="Q417" s="662"/>
      <c r="R417" s="215"/>
      <c r="S417" s="315"/>
      <c r="T417" s="616">
        <f t="shared" si="18"/>
        <v>0</v>
      </c>
      <c r="U417" s="633"/>
      <c r="V417" s="636"/>
      <c r="W417" s="636"/>
      <c r="X417" s="7"/>
      <c r="Y417" s="725"/>
      <c r="Z417" s="7"/>
      <c r="AA417" s="618">
        <f t="shared" si="22"/>
        <v>0</v>
      </c>
      <c r="AB417" s="7"/>
      <c r="AC417" s="7"/>
      <c r="AD417" s="7"/>
      <c r="AE417" s="7"/>
      <c r="AF417" s="7"/>
      <c r="AG417" s="7"/>
    </row>
    <row r="418" spans="1:33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4"/>
      <c r="I418" s="214"/>
      <c r="J418" s="214"/>
      <c r="K418" s="213"/>
      <c r="L418" s="215"/>
      <c r="M418" s="213"/>
      <c r="N418" s="292"/>
      <c r="O418" s="213"/>
      <c r="P418" s="372"/>
      <c r="Q418" s="662"/>
      <c r="R418" s="215"/>
      <c r="S418" s="315"/>
      <c r="T418" s="616">
        <f t="shared" si="18"/>
        <v>0</v>
      </c>
      <c r="U418" s="633"/>
      <c r="V418" s="636"/>
      <c r="W418" s="636"/>
      <c r="X418" s="7"/>
      <c r="Y418" s="725"/>
      <c r="Z418" s="7"/>
      <c r="AA418" s="618">
        <f t="shared" si="22"/>
        <v>0</v>
      </c>
      <c r="AB418" s="7"/>
      <c r="AC418" s="7"/>
      <c r="AD418" s="7"/>
      <c r="AE418" s="7"/>
      <c r="AF418" s="7"/>
      <c r="AG418" s="7"/>
    </row>
    <row r="419" spans="1:33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4"/>
      <c r="I419" s="214"/>
      <c r="J419" s="214"/>
      <c r="K419" s="213"/>
      <c r="L419" s="215"/>
      <c r="M419" s="213"/>
      <c r="N419" s="292"/>
      <c r="O419" s="213"/>
      <c r="P419" s="372"/>
      <c r="Q419" s="662"/>
      <c r="R419" s="215"/>
      <c r="S419" s="315"/>
      <c r="T419" s="616">
        <f t="shared" si="18"/>
        <v>0</v>
      </c>
      <c r="U419" s="633"/>
      <c r="V419" s="636"/>
      <c r="W419" s="636"/>
      <c r="X419" s="7"/>
      <c r="Y419" s="725"/>
      <c r="Z419" s="7"/>
      <c r="AA419" s="618">
        <f t="shared" si="22"/>
        <v>0</v>
      </c>
      <c r="AB419" s="7"/>
      <c r="AC419" s="7"/>
      <c r="AD419" s="7"/>
      <c r="AE419" s="7"/>
      <c r="AF419" s="7"/>
      <c r="AG419" s="7"/>
    </row>
    <row r="420" spans="1:33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4"/>
      <c r="I420" s="214"/>
      <c r="J420" s="214"/>
      <c r="K420" s="213"/>
      <c r="L420" s="215"/>
      <c r="M420" s="213"/>
      <c r="N420" s="292"/>
      <c r="O420" s="213"/>
      <c r="P420" s="372"/>
      <c r="Q420" s="662"/>
      <c r="R420" s="215"/>
      <c r="S420" s="315"/>
      <c r="T420" s="616">
        <f t="shared" si="18"/>
        <v>0</v>
      </c>
      <c r="U420" s="633"/>
      <c r="V420" s="636"/>
      <c r="W420" s="636"/>
      <c r="X420" s="7"/>
      <c r="Y420" s="725"/>
      <c r="Z420" s="7"/>
      <c r="AA420" s="618">
        <f t="shared" si="22"/>
        <v>0</v>
      </c>
      <c r="AB420" s="7"/>
      <c r="AC420" s="7"/>
      <c r="AD420" s="7"/>
      <c r="AE420" s="7"/>
      <c r="AF420" s="7"/>
      <c r="AG420" s="7"/>
    </row>
    <row r="421" spans="1:33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4"/>
      <c r="I421" s="214"/>
      <c r="J421" s="214"/>
      <c r="K421" s="213"/>
      <c r="L421" s="215"/>
      <c r="M421" s="213"/>
      <c r="N421" s="292"/>
      <c r="O421" s="213"/>
      <c r="P421" s="370"/>
      <c r="Q421" s="662"/>
      <c r="R421" s="215"/>
      <c r="S421" s="315"/>
      <c r="T421" s="616">
        <f t="shared" si="18"/>
        <v>0</v>
      </c>
      <c r="U421" s="633"/>
      <c r="V421" s="640"/>
      <c r="W421" s="640"/>
      <c r="X421" s="7"/>
      <c r="Y421" s="725"/>
      <c r="Z421" s="7"/>
      <c r="AA421" s="618">
        <f t="shared" si="22"/>
        <v>0</v>
      </c>
      <c r="AB421" s="7"/>
      <c r="AC421" s="7"/>
      <c r="AD421" s="7"/>
      <c r="AE421" s="7"/>
      <c r="AF421" s="7"/>
      <c r="AG421" s="7"/>
    </row>
    <row r="422" spans="1:33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4"/>
      <c r="I422" s="214"/>
      <c r="J422" s="214"/>
      <c r="K422" s="213"/>
      <c r="L422" s="215"/>
      <c r="M422" s="213"/>
      <c r="N422" s="292"/>
      <c r="O422" s="213"/>
      <c r="P422" s="370"/>
      <c r="Q422" s="672"/>
      <c r="R422" s="215"/>
      <c r="S422" s="316"/>
      <c r="T422" s="616">
        <f t="shared" si="18"/>
        <v>0</v>
      </c>
      <c r="U422" s="633"/>
      <c r="V422" s="634"/>
      <c r="W422" s="634"/>
      <c r="X422" s="7"/>
      <c r="Y422" s="725"/>
      <c r="Z422" s="7"/>
      <c r="AA422" s="618">
        <f t="shared" si="22"/>
        <v>0</v>
      </c>
      <c r="AB422" s="7"/>
      <c r="AC422" s="7"/>
      <c r="AD422" s="7"/>
      <c r="AE422" s="7"/>
      <c r="AF422" s="7"/>
      <c r="AG422" s="7"/>
    </row>
    <row r="423" spans="1:33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4"/>
      <c r="I423" s="214"/>
      <c r="J423" s="214"/>
      <c r="K423" s="213"/>
      <c r="L423" s="215"/>
      <c r="M423" s="213"/>
      <c r="N423" s="292"/>
      <c r="O423" s="213"/>
      <c r="P423" s="370"/>
      <c r="Q423" s="672"/>
      <c r="R423" s="215"/>
      <c r="S423" s="316"/>
      <c r="T423" s="616">
        <f t="shared" si="18"/>
        <v>0</v>
      </c>
      <c r="U423" s="633"/>
      <c r="V423" s="634"/>
      <c r="W423" s="634"/>
      <c r="X423" s="7"/>
      <c r="Y423" s="725"/>
      <c r="Z423" s="7"/>
      <c r="AA423" s="618">
        <f t="shared" si="22"/>
        <v>0</v>
      </c>
      <c r="AB423" s="7"/>
      <c r="AC423" s="7"/>
      <c r="AD423" s="7"/>
      <c r="AE423" s="7"/>
      <c r="AF423" s="7"/>
      <c r="AG423" s="7"/>
    </row>
    <row r="424" spans="1:33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4"/>
      <c r="I424" s="214"/>
      <c r="J424" s="214"/>
      <c r="K424" s="213"/>
      <c r="L424" s="215"/>
      <c r="M424" s="213"/>
      <c r="N424" s="292"/>
      <c r="O424" s="213"/>
      <c r="P424" s="370"/>
      <c r="Q424" s="672"/>
      <c r="R424" s="215"/>
      <c r="S424" s="316"/>
      <c r="T424" s="616">
        <f t="shared" si="18"/>
        <v>0</v>
      </c>
      <c r="U424" s="633"/>
      <c r="V424" s="634"/>
      <c r="W424" s="634"/>
      <c r="X424" s="7"/>
      <c r="Y424" s="725"/>
      <c r="Z424" s="7"/>
      <c r="AA424" s="618">
        <f t="shared" si="22"/>
        <v>0</v>
      </c>
      <c r="AB424" s="7"/>
      <c r="AC424" s="7"/>
      <c r="AD424" s="7"/>
      <c r="AE424" s="7"/>
      <c r="AF424" s="7"/>
      <c r="AG424" s="7"/>
    </row>
    <row r="425" spans="1:33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4"/>
      <c r="I425" s="214"/>
      <c r="J425" s="214"/>
      <c r="K425" s="213"/>
      <c r="L425" s="215"/>
      <c r="M425" s="213"/>
      <c r="N425" s="292"/>
      <c r="O425" s="213"/>
      <c r="P425" s="370"/>
      <c r="Q425" s="672"/>
      <c r="R425" s="215"/>
      <c r="S425" s="316"/>
      <c r="T425" s="616">
        <f t="shared" si="18"/>
        <v>0</v>
      </c>
      <c r="U425" s="633"/>
      <c r="V425" s="636"/>
      <c r="W425" s="636"/>
      <c r="X425" s="7"/>
      <c r="Y425" s="725"/>
      <c r="Z425" s="7"/>
      <c r="AA425" s="618">
        <f t="shared" si="22"/>
        <v>0</v>
      </c>
      <c r="AB425" s="7"/>
      <c r="AC425" s="7"/>
      <c r="AD425" s="7"/>
      <c r="AE425" s="7"/>
      <c r="AF425" s="7"/>
      <c r="AG425" s="7"/>
    </row>
    <row r="426" spans="1:33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4"/>
      <c r="I426" s="214"/>
      <c r="J426" s="214"/>
      <c r="K426" s="213"/>
      <c r="L426" s="215"/>
      <c r="M426" s="213"/>
      <c r="N426" s="292"/>
      <c r="O426" s="213"/>
      <c r="P426" s="370"/>
      <c r="Q426" s="662"/>
      <c r="R426" s="215"/>
      <c r="S426" s="315"/>
      <c r="T426" s="616">
        <f t="shared" si="18"/>
        <v>0</v>
      </c>
      <c r="U426" s="633"/>
      <c r="V426" s="634"/>
      <c r="W426" s="634"/>
      <c r="X426" s="7"/>
      <c r="Y426" s="725"/>
      <c r="Z426" s="7"/>
      <c r="AA426" s="618">
        <f t="shared" si="22"/>
        <v>0</v>
      </c>
      <c r="AB426" s="7"/>
      <c r="AC426" s="7"/>
      <c r="AD426" s="7"/>
      <c r="AE426" s="7"/>
      <c r="AF426" s="7"/>
      <c r="AG426" s="7"/>
    </row>
    <row r="427" spans="1:33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4"/>
      <c r="I427" s="214"/>
      <c r="J427" s="214"/>
      <c r="K427" s="213"/>
      <c r="L427" s="215"/>
      <c r="M427" s="213"/>
      <c r="N427" s="292"/>
      <c r="O427" s="213"/>
      <c r="P427" s="372"/>
      <c r="Q427" s="662"/>
      <c r="R427" s="215"/>
      <c r="S427" s="315"/>
      <c r="T427" s="616">
        <f t="shared" si="18"/>
        <v>0</v>
      </c>
      <c r="U427" s="633"/>
      <c r="V427" s="640"/>
      <c r="W427" s="640"/>
      <c r="X427" s="7"/>
      <c r="Y427" s="725"/>
      <c r="Z427" s="7"/>
      <c r="AA427" s="618">
        <f t="shared" si="22"/>
        <v>0</v>
      </c>
      <c r="AB427" s="7"/>
      <c r="AC427" s="7"/>
      <c r="AD427" s="7"/>
      <c r="AE427" s="7"/>
      <c r="AF427" s="7"/>
      <c r="AG427" s="7"/>
    </row>
    <row r="428" spans="1:33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4"/>
      <c r="I428" s="214"/>
      <c r="J428" s="214"/>
      <c r="K428" s="213"/>
      <c r="L428" s="215"/>
      <c r="M428" s="213"/>
      <c r="N428" s="292"/>
      <c r="O428" s="213"/>
      <c r="P428" s="372"/>
      <c r="Q428" s="620"/>
      <c r="R428" s="215"/>
      <c r="S428" s="315"/>
      <c r="T428" s="616">
        <f t="shared" si="18"/>
        <v>0</v>
      </c>
      <c r="U428" s="633"/>
      <c r="V428" s="636"/>
      <c r="W428" s="636"/>
      <c r="X428" s="7"/>
      <c r="Y428" s="725"/>
      <c r="Z428" s="7"/>
      <c r="AA428" s="618">
        <f t="shared" si="22"/>
        <v>0</v>
      </c>
      <c r="AB428" s="7"/>
      <c r="AC428" s="7"/>
      <c r="AD428" s="7"/>
      <c r="AE428" s="7"/>
      <c r="AF428" s="7"/>
      <c r="AG428" s="7"/>
    </row>
    <row r="429" spans="1:33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4"/>
      <c r="I429" s="214"/>
      <c r="J429" s="214"/>
      <c r="K429" s="213"/>
      <c r="L429" s="215"/>
      <c r="M429" s="213"/>
      <c r="N429" s="292"/>
      <c r="O429" s="213"/>
      <c r="P429" s="372"/>
      <c r="Q429" s="620"/>
      <c r="R429" s="215"/>
      <c r="S429" s="315"/>
      <c r="T429" s="616">
        <f t="shared" si="18"/>
        <v>0</v>
      </c>
      <c r="U429" s="633"/>
      <c r="V429" s="636"/>
      <c r="W429" s="636"/>
      <c r="X429" s="7"/>
      <c r="Y429" s="725"/>
      <c r="Z429" s="7"/>
      <c r="AA429" s="618">
        <f t="shared" si="22"/>
        <v>0</v>
      </c>
      <c r="AB429" s="7"/>
      <c r="AC429" s="7"/>
      <c r="AD429" s="7"/>
      <c r="AE429" s="7"/>
      <c r="AF429" s="7"/>
      <c r="AG429" s="7"/>
    </row>
    <row r="430" spans="1:33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4"/>
      <c r="I430" s="214"/>
      <c r="J430" s="214"/>
      <c r="K430" s="213"/>
      <c r="L430" s="215"/>
      <c r="M430" s="213"/>
      <c r="N430" s="292"/>
      <c r="O430" s="213"/>
      <c r="P430" s="372"/>
      <c r="Q430" s="620"/>
      <c r="R430" s="215"/>
      <c r="S430" s="315"/>
      <c r="T430" s="616">
        <f t="shared" si="18"/>
        <v>0</v>
      </c>
      <c r="U430" s="633"/>
      <c r="V430" s="636"/>
      <c r="W430" s="636"/>
      <c r="X430" s="7"/>
      <c r="Y430" s="725"/>
      <c r="Z430" s="7"/>
      <c r="AA430" s="618">
        <f t="shared" si="22"/>
        <v>0</v>
      </c>
      <c r="AB430" s="7"/>
      <c r="AC430" s="7"/>
      <c r="AD430" s="7"/>
      <c r="AE430" s="7"/>
      <c r="AF430" s="7"/>
      <c r="AG430" s="7"/>
    </row>
    <row r="431" spans="1:33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4"/>
      <c r="I431" s="214"/>
      <c r="J431" s="214"/>
      <c r="K431" s="213"/>
      <c r="L431" s="215"/>
      <c r="M431" s="213"/>
      <c r="N431" s="292"/>
      <c r="O431" s="213"/>
      <c r="P431" s="372"/>
      <c r="Q431" s="620"/>
      <c r="R431" s="215"/>
      <c r="S431" s="315"/>
      <c r="T431" s="616">
        <f t="shared" si="18"/>
        <v>0</v>
      </c>
      <c r="U431" s="633"/>
      <c r="V431" s="636"/>
      <c r="W431" s="636"/>
      <c r="X431" s="7"/>
      <c r="Y431" s="725"/>
      <c r="Z431" s="7"/>
      <c r="AA431" s="618">
        <f t="shared" si="22"/>
        <v>0</v>
      </c>
      <c r="AB431" s="7"/>
      <c r="AC431" s="7"/>
      <c r="AD431" s="7"/>
      <c r="AE431" s="7"/>
      <c r="AF431" s="7"/>
      <c r="AG431" s="7"/>
    </row>
    <row r="432" spans="1:33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4"/>
      <c r="I432" s="214"/>
      <c r="J432" s="214"/>
      <c r="K432" s="213"/>
      <c r="L432" s="215"/>
      <c r="M432" s="213"/>
      <c r="N432" s="292"/>
      <c r="O432" s="213"/>
      <c r="P432" s="372"/>
      <c r="Q432" s="620"/>
      <c r="R432" s="215"/>
      <c r="S432" s="315"/>
      <c r="T432" s="616">
        <f t="shared" si="18"/>
        <v>0</v>
      </c>
      <c r="U432" s="633"/>
      <c r="V432" s="636"/>
      <c r="W432" s="636"/>
      <c r="X432" s="7"/>
      <c r="Y432" s="725"/>
      <c r="Z432" s="7"/>
      <c r="AA432" s="618">
        <f t="shared" si="22"/>
        <v>0</v>
      </c>
      <c r="AB432" s="7"/>
      <c r="AC432" s="7"/>
      <c r="AD432" s="7"/>
      <c r="AE432" s="7"/>
      <c r="AF432" s="7"/>
      <c r="AG432" s="7"/>
    </row>
    <row r="433" spans="1:33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4"/>
      <c r="I433" s="214"/>
      <c r="J433" s="214"/>
      <c r="K433" s="213"/>
      <c r="L433" s="215"/>
      <c r="M433" s="213"/>
      <c r="N433" s="292"/>
      <c r="O433" s="213"/>
      <c r="P433" s="372"/>
      <c r="Q433" s="620"/>
      <c r="R433" s="215"/>
      <c r="S433" s="315"/>
      <c r="T433" s="616">
        <f t="shared" si="18"/>
        <v>0</v>
      </c>
      <c r="U433" s="633"/>
      <c r="V433" s="636"/>
      <c r="W433" s="636"/>
      <c r="X433" s="7"/>
      <c r="Y433" s="725"/>
      <c r="Z433" s="7"/>
      <c r="AA433" s="618">
        <f t="shared" si="22"/>
        <v>0</v>
      </c>
      <c r="AB433" s="7"/>
      <c r="AC433" s="7"/>
      <c r="AD433" s="7"/>
      <c r="AE433" s="7"/>
      <c r="AF433" s="7"/>
      <c r="AG433" s="7"/>
    </row>
    <row r="434" spans="1:33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4"/>
      <c r="I434" s="214"/>
      <c r="J434" s="214"/>
      <c r="K434" s="213"/>
      <c r="L434" s="215"/>
      <c r="M434" s="213"/>
      <c r="N434" s="292"/>
      <c r="O434" s="213"/>
      <c r="P434" s="372"/>
      <c r="Q434" s="620"/>
      <c r="R434" s="215"/>
      <c r="S434" s="315"/>
      <c r="T434" s="616">
        <f t="shared" si="18"/>
        <v>0</v>
      </c>
      <c r="U434" s="633"/>
      <c r="V434" s="636"/>
      <c r="W434" s="636"/>
      <c r="X434" s="7"/>
      <c r="Y434" s="725"/>
      <c r="Z434" s="7"/>
      <c r="AA434" s="618">
        <f t="shared" si="22"/>
        <v>0</v>
      </c>
      <c r="AB434" s="7"/>
      <c r="AC434" s="7"/>
      <c r="AD434" s="7"/>
      <c r="AE434" s="7"/>
      <c r="AF434" s="7"/>
      <c r="AG434" s="7"/>
    </row>
    <row r="435" spans="1:33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4"/>
      <c r="I435" s="214"/>
      <c r="J435" s="214"/>
      <c r="K435" s="213"/>
      <c r="L435" s="215"/>
      <c r="M435" s="213"/>
      <c r="N435" s="292"/>
      <c r="O435" s="213"/>
      <c r="P435" s="372"/>
      <c r="Q435" s="620"/>
      <c r="R435" s="215"/>
      <c r="S435" s="315"/>
      <c r="T435" s="616">
        <f t="shared" si="18"/>
        <v>0</v>
      </c>
      <c r="U435" s="633"/>
      <c r="V435" s="636"/>
      <c r="W435" s="636"/>
      <c r="X435" s="7"/>
      <c r="Y435" s="725"/>
      <c r="Z435" s="7"/>
      <c r="AA435" s="618">
        <f t="shared" si="22"/>
        <v>0</v>
      </c>
      <c r="AB435" s="7"/>
      <c r="AC435" s="7"/>
      <c r="AD435" s="7"/>
      <c r="AE435" s="7"/>
      <c r="AF435" s="7"/>
      <c r="AG435" s="7"/>
    </row>
    <row r="436" spans="1:33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4"/>
      <c r="I436" s="214"/>
      <c r="J436" s="214"/>
      <c r="K436" s="213"/>
      <c r="L436" s="215"/>
      <c r="M436" s="213"/>
      <c r="N436" s="292"/>
      <c r="O436" s="213"/>
      <c r="P436" s="372"/>
      <c r="Q436" s="620"/>
      <c r="R436" s="215"/>
      <c r="S436" s="315"/>
      <c r="T436" s="616">
        <f t="shared" si="18"/>
        <v>0</v>
      </c>
      <c r="U436" s="633"/>
      <c r="V436" s="636"/>
      <c r="W436" s="636"/>
      <c r="X436" s="7"/>
      <c r="Y436" s="725"/>
      <c r="Z436" s="7"/>
      <c r="AA436" s="618">
        <f t="shared" si="22"/>
        <v>0</v>
      </c>
      <c r="AB436" s="7"/>
      <c r="AC436" s="7"/>
      <c r="AD436" s="7"/>
      <c r="AE436" s="7"/>
      <c r="AF436" s="7"/>
      <c r="AG436" s="7"/>
    </row>
    <row r="437" spans="1:33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4"/>
      <c r="I437" s="214"/>
      <c r="J437" s="214"/>
      <c r="K437" s="213"/>
      <c r="L437" s="215"/>
      <c r="M437" s="213"/>
      <c r="N437" s="292"/>
      <c r="O437" s="213"/>
      <c r="P437" s="372"/>
      <c r="Q437" s="620"/>
      <c r="R437" s="215"/>
      <c r="S437" s="315"/>
      <c r="T437" s="616">
        <f t="shared" si="18"/>
        <v>0</v>
      </c>
      <c r="U437" s="633"/>
      <c r="V437" s="636"/>
      <c r="W437" s="636"/>
      <c r="X437" s="7"/>
      <c r="Y437" s="725"/>
      <c r="Z437" s="7"/>
      <c r="AA437" s="618">
        <f t="shared" si="22"/>
        <v>0</v>
      </c>
      <c r="AB437" s="7"/>
      <c r="AC437" s="7"/>
      <c r="AD437" s="7"/>
      <c r="AE437" s="7"/>
      <c r="AF437" s="7"/>
      <c r="AG437" s="7"/>
    </row>
    <row r="438" spans="1:33" ht="21.75" customHeight="1">
      <c r="A438" s="486">
        <v>15.3</v>
      </c>
      <c r="B438" s="487" t="s">
        <v>947</v>
      </c>
      <c r="C438" s="635" t="s">
        <v>948</v>
      </c>
      <c r="D438" s="412" t="s">
        <v>2395</v>
      </c>
      <c r="E438" s="213"/>
      <c r="F438" s="213"/>
      <c r="G438" s="213"/>
      <c r="H438" s="214"/>
      <c r="I438" s="214"/>
      <c r="J438" s="214"/>
      <c r="K438" s="213"/>
      <c r="L438" s="215">
        <v>1</v>
      </c>
      <c r="M438" s="213"/>
      <c r="N438" s="292"/>
      <c r="O438" s="213"/>
      <c r="P438" s="372"/>
      <c r="Q438" s="620"/>
      <c r="R438" s="215"/>
      <c r="S438" s="315"/>
      <c r="T438" s="616">
        <f t="shared" si="18"/>
        <v>1</v>
      </c>
      <c r="U438" s="633"/>
      <c r="V438" s="636"/>
      <c r="W438" s="636"/>
      <c r="X438" s="7"/>
      <c r="Y438" s="725"/>
      <c r="Z438" s="7"/>
      <c r="AA438" s="618"/>
      <c r="AB438" s="7"/>
      <c r="AC438" s="7"/>
      <c r="AD438" s="7"/>
      <c r="AE438" s="7"/>
      <c r="AF438" s="7"/>
      <c r="AG438" s="7"/>
    </row>
    <row r="439" spans="1:33" ht="21.75" customHeight="1">
      <c r="A439" s="503" t="s">
        <v>1515</v>
      </c>
      <c r="B439" s="483" t="s">
        <v>951</v>
      </c>
      <c r="C439" s="629" t="s">
        <v>131</v>
      </c>
      <c r="D439" s="485" t="s">
        <v>2396</v>
      </c>
      <c r="E439" s="213"/>
      <c r="F439" s="213"/>
      <c r="G439" s="213"/>
      <c r="H439" s="214"/>
      <c r="I439" s="214"/>
      <c r="J439" s="214"/>
      <c r="K439" s="213"/>
      <c r="L439" s="215"/>
      <c r="M439" s="213"/>
      <c r="N439" s="292"/>
      <c r="O439" s="213"/>
      <c r="P439" s="372"/>
      <c r="Q439" s="620"/>
      <c r="R439" s="215"/>
      <c r="S439" s="315"/>
      <c r="T439" s="616">
        <f t="shared" si="18"/>
        <v>0</v>
      </c>
      <c r="U439" s="633"/>
      <c r="V439" s="636"/>
      <c r="W439" s="636"/>
      <c r="X439" s="7"/>
      <c r="Y439" s="725"/>
      <c r="Z439" s="7"/>
      <c r="AA439" s="618">
        <f t="shared" ref="AA439:AA443" si="23">Y439-T439</f>
        <v>0</v>
      </c>
      <c r="AB439" s="7"/>
      <c r="AC439" s="7"/>
      <c r="AD439" s="7"/>
      <c r="AE439" s="7"/>
      <c r="AF439" s="7"/>
      <c r="AG439" s="7"/>
    </row>
    <row r="440" spans="1:33" ht="21.75" customHeight="1">
      <c r="A440" s="503" t="s">
        <v>1517</v>
      </c>
      <c r="B440" s="483" t="s">
        <v>953</v>
      </c>
      <c r="C440" s="629" t="s">
        <v>200</v>
      </c>
      <c r="D440" s="485" t="s">
        <v>2397</v>
      </c>
      <c r="E440" s="213"/>
      <c r="F440" s="213"/>
      <c r="G440" s="213"/>
      <c r="H440" s="214"/>
      <c r="I440" s="214"/>
      <c r="J440" s="214"/>
      <c r="K440" s="213"/>
      <c r="L440" s="215"/>
      <c r="M440" s="213"/>
      <c r="N440" s="292"/>
      <c r="O440" s="213"/>
      <c r="P440" s="372"/>
      <c r="Q440" s="620"/>
      <c r="R440" s="215"/>
      <c r="S440" s="315"/>
      <c r="T440" s="616">
        <f t="shared" si="18"/>
        <v>0</v>
      </c>
      <c r="U440" s="633"/>
      <c r="V440" s="636"/>
      <c r="W440" s="636"/>
      <c r="X440" s="7"/>
      <c r="Y440" s="725"/>
      <c r="Z440" s="7"/>
      <c r="AA440" s="618">
        <f t="shared" si="23"/>
        <v>0</v>
      </c>
      <c r="AB440" s="7"/>
      <c r="AC440" s="7"/>
      <c r="AD440" s="7"/>
      <c r="AE440" s="7"/>
      <c r="AF440" s="7"/>
      <c r="AG440" s="7"/>
    </row>
    <row r="441" spans="1:33" ht="21.75" customHeight="1">
      <c r="A441" s="503" t="s">
        <v>1519</v>
      </c>
      <c r="B441" s="483" t="s">
        <v>955</v>
      </c>
      <c r="C441" s="629" t="s">
        <v>203</v>
      </c>
      <c r="D441" s="485" t="s">
        <v>2398</v>
      </c>
      <c r="E441" s="213"/>
      <c r="F441" s="213"/>
      <c r="G441" s="213"/>
      <c r="H441" s="214"/>
      <c r="I441" s="214"/>
      <c r="J441" s="214"/>
      <c r="K441" s="213"/>
      <c r="L441" s="215"/>
      <c r="M441" s="213"/>
      <c r="N441" s="292"/>
      <c r="O441" s="213"/>
      <c r="P441" s="372"/>
      <c r="Q441" s="620"/>
      <c r="R441" s="215"/>
      <c r="S441" s="315"/>
      <c r="T441" s="616">
        <f t="shared" si="18"/>
        <v>0</v>
      </c>
      <c r="U441" s="633"/>
      <c r="V441" s="636"/>
      <c r="W441" s="636"/>
      <c r="X441" s="7"/>
      <c r="Y441" s="725"/>
      <c r="Z441" s="7"/>
      <c r="AA441" s="618">
        <f t="shared" si="23"/>
        <v>0</v>
      </c>
      <c r="AB441" s="7"/>
      <c r="AC441" s="7"/>
      <c r="AD441" s="7"/>
      <c r="AE441" s="7"/>
      <c r="AF441" s="7"/>
      <c r="AG441" s="7"/>
    </row>
    <row r="442" spans="1:33" ht="21.75" customHeight="1">
      <c r="A442" s="503" t="s">
        <v>1521</v>
      </c>
      <c r="B442" s="483" t="s">
        <v>957</v>
      </c>
      <c r="C442" s="629" t="s">
        <v>159</v>
      </c>
      <c r="D442" s="485" t="s">
        <v>2399</v>
      </c>
      <c r="E442" s="213"/>
      <c r="F442" s="213"/>
      <c r="G442" s="213"/>
      <c r="H442" s="214"/>
      <c r="I442" s="214"/>
      <c r="J442" s="214"/>
      <c r="K442" s="213"/>
      <c r="L442" s="215"/>
      <c r="M442" s="213"/>
      <c r="N442" s="292"/>
      <c r="O442" s="213"/>
      <c r="P442" s="372"/>
      <c r="Q442" s="620"/>
      <c r="R442" s="215"/>
      <c r="S442" s="315"/>
      <c r="T442" s="616">
        <f t="shared" si="18"/>
        <v>0</v>
      </c>
      <c r="U442" s="633"/>
      <c r="V442" s="636"/>
      <c r="W442" s="636"/>
      <c r="X442" s="7"/>
      <c r="Y442" s="725"/>
      <c r="Z442" s="7"/>
      <c r="AA442" s="618">
        <f t="shared" si="23"/>
        <v>0</v>
      </c>
      <c r="AB442" s="7"/>
      <c r="AC442" s="7"/>
      <c r="AD442" s="7"/>
      <c r="AE442" s="7"/>
      <c r="AF442" s="7"/>
      <c r="AG442" s="7"/>
    </row>
    <row r="443" spans="1:33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4"/>
      <c r="I443" s="214"/>
      <c r="J443" s="214"/>
      <c r="K443" s="213"/>
      <c r="L443" s="215"/>
      <c r="M443" s="213"/>
      <c r="N443" s="292"/>
      <c r="O443" s="213"/>
      <c r="P443" s="372"/>
      <c r="Q443" s="620"/>
      <c r="R443" s="215"/>
      <c r="S443" s="315"/>
      <c r="T443" s="616">
        <f t="shared" si="18"/>
        <v>0</v>
      </c>
      <c r="U443" s="633"/>
      <c r="V443" s="636"/>
      <c r="W443" s="636"/>
      <c r="X443" s="7"/>
      <c r="Y443" s="725"/>
      <c r="Z443" s="7"/>
      <c r="AA443" s="618">
        <f t="shared" si="23"/>
        <v>0</v>
      </c>
      <c r="AB443" s="7"/>
      <c r="AC443" s="7"/>
      <c r="AD443" s="7"/>
      <c r="AE443" s="7"/>
      <c r="AF443" s="7"/>
      <c r="AG443" s="7"/>
    </row>
    <row r="444" spans="1:33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214"/>
      <c r="I444" s="214"/>
      <c r="J444" s="214"/>
      <c r="K444" s="213"/>
      <c r="L444" s="215"/>
      <c r="M444" s="213">
        <v>30</v>
      </c>
      <c r="N444" s="292"/>
      <c r="O444" s="213"/>
      <c r="P444" s="372"/>
      <c r="Q444" s="662"/>
      <c r="R444" s="215"/>
      <c r="S444" s="315"/>
      <c r="T444" s="616">
        <f t="shared" si="18"/>
        <v>30</v>
      </c>
      <c r="U444" s="633"/>
      <c r="V444" s="636"/>
      <c r="W444" s="636"/>
      <c r="X444" s="7"/>
      <c r="Y444" s="725"/>
      <c r="Z444" s="7"/>
      <c r="AA444" s="618"/>
      <c r="AB444" s="7"/>
      <c r="AC444" s="7"/>
      <c r="AD444" s="7"/>
      <c r="AE444" s="7"/>
      <c r="AF444" s="7"/>
      <c r="AG444" s="7"/>
    </row>
    <row r="445" spans="1:33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4"/>
      <c r="I445" s="214"/>
      <c r="J445" s="214"/>
      <c r="K445" s="213"/>
      <c r="L445" s="215"/>
      <c r="M445" s="213"/>
      <c r="N445" s="292"/>
      <c r="O445" s="213"/>
      <c r="P445" s="372"/>
      <c r="Q445" s="662"/>
      <c r="R445" s="215"/>
      <c r="S445" s="315"/>
      <c r="T445" s="616">
        <f t="shared" si="18"/>
        <v>0</v>
      </c>
      <c r="U445" s="633"/>
      <c r="V445" s="636"/>
      <c r="W445" s="636"/>
      <c r="X445" s="7"/>
      <c r="Y445" s="725"/>
      <c r="Z445" s="7"/>
      <c r="AA445" s="618">
        <f t="shared" ref="AA445:AA447" si="24">Y445-T445</f>
        <v>0</v>
      </c>
      <c r="AB445" s="7"/>
      <c r="AC445" s="7"/>
      <c r="AD445" s="7"/>
      <c r="AE445" s="7"/>
      <c r="AF445" s="7"/>
      <c r="AG445" s="7"/>
    </row>
    <row r="446" spans="1:33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4"/>
      <c r="I446" s="214"/>
      <c r="J446" s="214"/>
      <c r="K446" s="213"/>
      <c r="L446" s="215"/>
      <c r="M446" s="213"/>
      <c r="N446" s="292"/>
      <c r="O446" s="213"/>
      <c r="P446" s="372"/>
      <c r="Q446" s="662"/>
      <c r="R446" s="215"/>
      <c r="S446" s="315"/>
      <c r="T446" s="616">
        <f t="shared" si="18"/>
        <v>0</v>
      </c>
      <c r="U446" s="633"/>
      <c r="V446" s="636"/>
      <c r="W446" s="636"/>
      <c r="X446" s="7"/>
      <c r="Y446" s="725"/>
      <c r="Z446" s="7"/>
      <c r="AA446" s="618">
        <f t="shared" si="24"/>
        <v>0</v>
      </c>
      <c r="AB446" s="7"/>
      <c r="AC446" s="7"/>
      <c r="AD446" s="7"/>
      <c r="AE446" s="7"/>
      <c r="AF446" s="7"/>
      <c r="AG446" s="7"/>
    </row>
    <row r="447" spans="1:33" ht="42" customHeight="1">
      <c r="A447" s="519"/>
      <c r="B447" s="801" t="s">
        <v>969</v>
      </c>
      <c r="C447" s="771"/>
      <c r="D447" s="491" t="s">
        <v>970</v>
      </c>
      <c r="E447" s="231"/>
      <c r="F447" s="231"/>
      <c r="G447" s="231"/>
      <c r="H447" s="374"/>
      <c r="I447" s="374">
        <v>245.5</v>
      </c>
      <c r="J447" s="374">
        <v>700</v>
      </c>
      <c r="K447" s="219"/>
      <c r="L447" s="235">
        <v>340</v>
      </c>
      <c r="M447" s="219">
        <v>38952</v>
      </c>
      <c r="N447" s="235"/>
      <c r="O447" s="231"/>
      <c r="P447" s="385">
        <v>1737</v>
      </c>
      <c r="Q447" s="675"/>
      <c r="R447" s="235"/>
      <c r="S447" s="219"/>
      <c r="T447" s="616">
        <f t="shared" si="18"/>
        <v>41974.5</v>
      </c>
      <c r="U447" s="633"/>
      <c r="V447" s="537"/>
      <c r="W447" s="537"/>
      <c r="X447" s="7"/>
      <c r="Y447" s="679">
        <v>71352</v>
      </c>
      <c r="Z447" s="7"/>
      <c r="AA447" s="618">
        <f t="shared" si="24"/>
        <v>29377.5</v>
      </c>
      <c r="AB447" s="7"/>
      <c r="AC447" s="7"/>
      <c r="AD447" s="7"/>
      <c r="AE447" s="7"/>
      <c r="AF447" s="7"/>
      <c r="AG447" s="7"/>
    </row>
    <row r="448" spans="1:33" ht="21.75" customHeight="1">
      <c r="A448" s="534"/>
      <c r="B448" s="535"/>
      <c r="C448" s="680"/>
      <c r="D448" s="536"/>
      <c r="E448" s="158"/>
      <c r="F448" s="174"/>
      <c r="G448" s="174"/>
      <c r="H448" s="174"/>
      <c r="I448" s="174"/>
      <c r="J448" s="174"/>
      <c r="K448" s="174"/>
      <c r="Q448" s="536"/>
    </row>
    <row r="449" spans="1:17" ht="15.75" customHeight="1">
      <c r="A449" s="541"/>
      <c r="B449" s="542" t="s">
        <v>1523</v>
      </c>
      <c r="C449" s="542"/>
      <c r="D449" s="541"/>
      <c r="E449" s="158"/>
      <c r="F449" s="174"/>
      <c r="G449" s="174"/>
      <c r="H449" s="174"/>
      <c r="I449" s="174"/>
      <c r="J449" s="174"/>
      <c r="K449" s="174"/>
      <c r="Q449" s="541"/>
    </row>
    <row r="450" spans="1:17" ht="15.75" customHeight="1">
      <c r="A450" s="541"/>
      <c r="B450" s="545" t="s">
        <v>1524</v>
      </c>
      <c r="C450" s="542" t="s">
        <v>1525</v>
      </c>
      <c r="D450" s="541"/>
      <c r="E450" s="158"/>
      <c r="F450" s="174"/>
      <c r="G450" s="174"/>
      <c r="H450" s="174"/>
      <c r="I450" s="174"/>
      <c r="J450" s="174"/>
      <c r="K450" s="174"/>
      <c r="Q450" s="541"/>
    </row>
    <row r="451" spans="1:17" ht="15.75" customHeight="1">
      <c r="A451" s="541"/>
      <c r="B451" s="545" t="s">
        <v>1526</v>
      </c>
      <c r="C451" s="542" t="s">
        <v>1527</v>
      </c>
      <c r="D451" s="541"/>
      <c r="E451" s="151"/>
      <c r="F451" s="174"/>
      <c r="G451" s="174"/>
      <c r="H451" s="174"/>
      <c r="I451" s="174"/>
      <c r="J451" s="174"/>
      <c r="K451" s="174"/>
      <c r="Q451" s="541"/>
    </row>
    <row r="452" spans="1:17" ht="15.75" customHeight="1">
      <c r="A452" s="541"/>
      <c r="B452" s="545"/>
      <c r="C452" s="542"/>
      <c r="D452" s="541"/>
      <c r="E452" s="151"/>
      <c r="F452" s="174"/>
      <c r="G452" s="174"/>
      <c r="H452" s="174"/>
      <c r="I452" s="174"/>
      <c r="J452" s="174"/>
      <c r="K452" s="174"/>
      <c r="Q452" s="541"/>
    </row>
    <row r="453" spans="1:17" ht="15.75" customHeight="1">
      <c r="A453" s="541"/>
      <c r="B453" s="802" t="s">
        <v>1528</v>
      </c>
      <c r="C453" s="791"/>
      <c r="D453" s="541"/>
      <c r="E453" s="151"/>
      <c r="F453" s="174"/>
      <c r="G453" s="174"/>
      <c r="H453" s="174"/>
      <c r="I453" s="174"/>
      <c r="J453" s="174"/>
      <c r="K453" s="174"/>
      <c r="Q453" s="541"/>
    </row>
    <row r="454" spans="1:17" ht="15.75" customHeight="1">
      <c r="A454" s="541"/>
      <c r="B454" s="790" t="s">
        <v>1529</v>
      </c>
      <c r="C454" s="791"/>
      <c r="D454" s="541" t="s">
        <v>1530</v>
      </c>
      <c r="E454" s="151"/>
      <c r="F454" s="174"/>
      <c r="G454" s="174"/>
      <c r="H454" s="174"/>
      <c r="I454" s="174"/>
      <c r="J454" s="174"/>
      <c r="K454" s="174"/>
      <c r="Q454" s="541"/>
    </row>
    <row r="455" spans="1:17" ht="15.75" customHeight="1">
      <c r="A455" s="541"/>
      <c r="B455" s="545"/>
      <c r="C455" s="542"/>
      <c r="D455" s="541"/>
      <c r="E455" s="151"/>
      <c r="F455" s="174"/>
      <c r="G455" s="174"/>
      <c r="H455" s="174"/>
      <c r="I455" s="174"/>
      <c r="J455" s="174"/>
      <c r="K455" s="174"/>
      <c r="Q455" s="541"/>
    </row>
    <row r="456" spans="1:17" ht="15.75" customHeight="1">
      <c r="A456" s="546" t="s">
        <v>971</v>
      </c>
      <c r="B456" s="547"/>
      <c r="C456" s="547"/>
      <c r="D456" s="547"/>
      <c r="E456" s="733"/>
      <c r="F456" s="174"/>
      <c r="G456" s="174"/>
      <c r="H456" s="174"/>
      <c r="I456" s="174"/>
      <c r="J456" s="174"/>
      <c r="K456" s="174"/>
      <c r="Q456" s="547"/>
    </row>
    <row r="457" spans="1:17" ht="15.75" customHeight="1">
      <c r="A457" s="549" t="s">
        <v>972</v>
      </c>
      <c r="B457" s="550"/>
      <c r="C457" s="550"/>
      <c r="D457" s="550"/>
      <c r="E457" s="734"/>
      <c r="F457" s="174"/>
      <c r="G457" s="174"/>
      <c r="H457" s="174"/>
      <c r="I457" s="174"/>
      <c r="J457" s="174"/>
      <c r="K457" s="174"/>
      <c r="Q457" s="550"/>
    </row>
    <row r="458" spans="1:17" ht="15.75" customHeight="1">
      <c r="A458" s="546"/>
      <c r="B458" s="547"/>
      <c r="C458" s="241" t="s">
        <v>12</v>
      </c>
      <c r="D458" s="242">
        <f>COUNTIF($D$11:$T$11,"Hà Giang")</f>
        <v>0</v>
      </c>
      <c r="E458" s="158"/>
      <c r="F458" s="174"/>
      <c r="G458" s="174"/>
      <c r="H458" s="174"/>
      <c r="I458" s="174"/>
      <c r="J458" s="174"/>
      <c r="K458" s="174"/>
      <c r="Q458" s="546"/>
    </row>
    <row r="459" spans="1:17" ht="15.75" customHeight="1">
      <c r="A459" s="546"/>
      <c r="B459" s="547"/>
      <c r="C459" s="241" t="s">
        <v>14</v>
      </c>
      <c r="D459" s="242">
        <f>COUNTIF($D$11:$T$11,"Lào Cai")</f>
        <v>0</v>
      </c>
      <c r="E459" s="158"/>
      <c r="F459" s="174"/>
      <c r="G459" s="174"/>
      <c r="H459" s="174"/>
      <c r="I459" s="174"/>
      <c r="J459" s="174"/>
      <c r="K459" s="174"/>
      <c r="Q459" s="546"/>
    </row>
    <row r="460" spans="1:17" ht="15.75" customHeight="1">
      <c r="A460" s="546"/>
      <c r="B460" s="552"/>
      <c r="C460" s="241" t="s">
        <v>23</v>
      </c>
      <c r="D460" s="242">
        <f>COUNTIF($D$11:$T$11,"Lai Châu")</f>
        <v>0</v>
      </c>
      <c r="E460" s="158"/>
      <c r="F460" s="174"/>
      <c r="G460" s="174"/>
      <c r="H460" s="174"/>
      <c r="I460" s="174"/>
      <c r="J460" s="174"/>
      <c r="K460" s="174"/>
      <c r="Q460" s="546"/>
    </row>
    <row r="461" spans="1:17" ht="15.75" customHeight="1">
      <c r="A461" s="686"/>
      <c r="B461" s="687"/>
      <c r="C461" s="243" t="s">
        <v>17</v>
      </c>
      <c r="D461" s="242">
        <f>COUNTIF($D$11:$T$11,"Điện Biên")</f>
        <v>0</v>
      </c>
      <c r="E461" s="164"/>
      <c r="F461" s="174"/>
      <c r="G461" s="174"/>
      <c r="H461" s="174"/>
      <c r="I461" s="174"/>
      <c r="J461" s="174"/>
      <c r="K461" s="174"/>
      <c r="Q461" s="244"/>
    </row>
    <row r="462" spans="1:17" ht="15.75" customHeight="1">
      <c r="A462" s="686"/>
      <c r="B462" s="687"/>
      <c r="C462" s="243" t="s">
        <v>16</v>
      </c>
      <c r="D462" s="242">
        <f>COUNTIF($D$11:$T$11,"Lạng Sơn")</f>
        <v>0</v>
      </c>
      <c r="E462" s="164"/>
      <c r="F462" s="174"/>
      <c r="G462" s="174"/>
      <c r="H462" s="174"/>
      <c r="I462" s="174"/>
      <c r="J462" s="174"/>
      <c r="K462" s="174"/>
      <c r="Q462" s="244"/>
    </row>
    <row r="463" spans="1:17" ht="15.75" customHeight="1">
      <c r="A463" s="686"/>
      <c r="B463" s="687"/>
      <c r="C463" s="243" t="s">
        <v>13</v>
      </c>
      <c r="D463" s="242">
        <f>COUNTIF($D$11:$T$11,"Cao Bằng")</f>
        <v>0</v>
      </c>
      <c r="E463" s="164"/>
      <c r="F463" s="174"/>
      <c r="G463" s="174"/>
      <c r="H463" s="174"/>
      <c r="I463" s="174"/>
      <c r="J463" s="174"/>
      <c r="K463" s="174"/>
      <c r="Q463" s="244"/>
    </row>
    <row r="464" spans="1:17" ht="15.75" customHeight="1">
      <c r="A464" s="686"/>
      <c r="B464" s="687"/>
      <c r="C464" s="243" t="s">
        <v>1090</v>
      </c>
      <c r="D464" s="242">
        <f>COUNTIF($D$11:$T$11,"Sơn La")</f>
        <v>0</v>
      </c>
      <c r="E464" s="164"/>
      <c r="F464" s="174"/>
      <c r="G464" s="174"/>
      <c r="H464" s="174"/>
      <c r="I464" s="174"/>
      <c r="J464" s="174"/>
      <c r="K464" s="174"/>
      <c r="Q464" s="244"/>
    </row>
    <row r="465" spans="1:17" ht="15.75" customHeight="1">
      <c r="A465" s="686"/>
      <c r="B465" s="687"/>
      <c r="C465" s="243" t="s">
        <v>19</v>
      </c>
      <c r="D465" s="242">
        <f>COUNTIF($D$11:$T$11,"Yên Bái")</f>
        <v>0</v>
      </c>
      <c r="E465" s="164"/>
      <c r="F465" s="174"/>
      <c r="G465" s="174"/>
      <c r="H465" s="174"/>
      <c r="I465" s="174"/>
      <c r="J465" s="174"/>
      <c r="K465" s="174"/>
      <c r="Q465" s="244"/>
    </row>
    <row r="466" spans="1:17" ht="15.75" customHeight="1">
      <c r="A466" s="686"/>
      <c r="B466" s="687"/>
      <c r="C466" s="243" t="s">
        <v>18</v>
      </c>
      <c r="D466" s="242">
        <f>COUNTIF($D$11:$T$11,"Tuyên Quang")</f>
        <v>13</v>
      </c>
      <c r="E466" s="164"/>
      <c r="F466" s="174"/>
      <c r="G466" s="174"/>
      <c r="H466" s="174"/>
      <c r="I466" s="174"/>
      <c r="J466" s="174"/>
      <c r="K466" s="174"/>
      <c r="Q466" s="244"/>
    </row>
    <row r="467" spans="1:17" ht="15.75" customHeight="1">
      <c r="A467" s="686"/>
      <c r="B467" s="687"/>
      <c r="C467" s="243" t="s">
        <v>1091</v>
      </c>
      <c r="D467" s="242">
        <f>COUNTIF($D$11:$T$11,"Thái Nguyên")</f>
        <v>0</v>
      </c>
      <c r="E467" s="164"/>
      <c r="F467" s="174"/>
      <c r="G467" s="174"/>
      <c r="H467" s="174"/>
      <c r="I467" s="174"/>
      <c r="J467" s="174"/>
      <c r="K467" s="174"/>
      <c r="Q467" s="244"/>
    </row>
    <row r="468" spans="1:17" ht="15.75" customHeight="1">
      <c r="A468" s="686"/>
      <c r="B468" s="687"/>
      <c r="C468" s="243" t="s">
        <v>15</v>
      </c>
      <c r="D468" s="242">
        <f>COUNTIF($D$11:$T$11,"Bắc Kạn")</f>
        <v>0</v>
      </c>
      <c r="E468" s="164"/>
      <c r="F468" s="174"/>
      <c r="G468" s="174"/>
      <c r="H468" s="174"/>
      <c r="I468" s="174"/>
      <c r="J468" s="174"/>
      <c r="K468" s="174"/>
      <c r="Q468" s="244"/>
    </row>
    <row r="469" spans="1:17" ht="15.75" customHeight="1">
      <c r="A469" s="686"/>
      <c r="B469" s="687"/>
      <c r="C469" s="243" t="s">
        <v>25</v>
      </c>
      <c r="D469" s="242">
        <f>COUNTIF($D$11:$T$11,"Hoà Bình")</f>
        <v>0</v>
      </c>
      <c r="E469" s="164"/>
      <c r="F469" s="174"/>
      <c r="G469" s="174"/>
      <c r="H469" s="174"/>
      <c r="I469" s="174"/>
      <c r="J469" s="174"/>
      <c r="K469" s="174"/>
      <c r="Q469" s="244"/>
    </row>
    <row r="470" spans="1:17" ht="15.75" customHeight="1">
      <c r="A470" s="686"/>
      <c r="B470" s="687"/>
      <c r="C470" s="243" t="s">
        <v>1092</v>
      </c>
      <c r="D470" s="242">
        <f>COUNTIF($D$11:$T$11,"Bắc Giang")</f>
        <v>0</v>
      </c>
      <c r="E470" s="164"/>
      <c r="F470" s="174"/>
      <c r="G470" s="174"/>
      <c r="H470" s="174"/>
      <c r="I470" s="174"/>
      <c r="J470" s="174"/>
      <c r="K470" s="174"/>
      <c r="Q470" s="244"/>
    </row>
    <row r="471" spans="1:17" ht="15.75" customHeight="1">
      <c r="A471" s="686"/>
      <c r="B471" s="687"/>
      <c r="C471" s="243" t="s">
        <v>28</v>
      </c>
      <c r="D471" s="242">
        <f>COUNTIF($D$11:$T$11,"Quảng Ninh")</f>
        <v>0</v>
      </c>
      <c r="E471" s="164"/>
      <c r="F471" s="174"/>
      <c r="G471" s="174"/>
      <c r="H471" s="174"/>
      <c r="I471" s="174"/>
      <c r="J471" s="174"/>
      <c r="K471" s="174"/>
      <c r="Q471" s="244"/>
    </row>
    <row r="472" spans="1:17" ht="15.75" customHeight="1">
      <c r="A472" s="686"/>
      <c r="B472" s="687"/>
      <c r="C472" s="243" t="s">
        <v>26</v>
      </c>
      <c r="D472" s="242">
        <f>COUNTIF($D$11:$T$11,"Hà Nội")</f>
        <v>0</v>
      </c>
      <c r="E472" s="164"/>
      <c r="F472" s="174"/>
      <c r="G472" s="174"/>
      <c r="H472" s="174"/>
      <c r="I472" s="174"/>
      <c r="J472" s="174"/>
      <c r="K472" s="174"/>
      <c r="Q472" s="244"/>
    </row>
    <row r="473" spans="1:17" ht="15.75" customHeight="1">
      <c r="A473" s="686"/>
      <c r="B473" s="687"/>
      <c r="C473" s="243" t="s">
        <v>21</v>
      </c>
      <c r="D473" s="242">
        <f>COUNTIF($D$11:$T$11,"Phú Thọ")</f>
        <v>0</v>
      </c>
      <c r="E473" s="164"/>
      <c r="F473" s="174"/>
      <c r="G473" s="174"/>
      <c r="H473" s="174"/>
      <c r="I473" s="174"/>
      <c r="J473" s="174"/>
      <c r="K473" s="174"/>
      <c r="Q473" s="244"/>
    </row>
    <row r="474" spans="1:17" ht="15.75" customHeight="1">
      <c r="A474" s="686"/>
      <c r="B474" s="687"/>
      <c r="C474" s="243" t="s">
        <v>1093</v>
      </c>
      <c r="D474" s="242">
        <f>COUNTIF($D$11:$T$11,"Vĩnh Phúc")</f>
        <v>0</v>
      </c>
      <c r="E474" s="164"/>
      <c r="F474" s="174"/>
      <c r="G474" s="174"/>
      <c r="H474" s="174"/>
      <c r="I474" s="174"/>
      <c r="J474" s="174"/>
      <c r="K474" s="174"/>
      <c r="Q474" s="244"/>
    </row>
    <row r="475" spans="1:17" ht="15.75" customHeight="1">
      <c r="A475" s="686"/>
      <c r="B475" s="687"/>
      <c r="C475" s="243" t="s">
        <v>32</v>
      </c>
      <c r="D475" s="242">
        <f>COUNTIF($D$11:$T$11,"Bắc Ninh")</f>
        <v>0</v>
      </c>
      <c r="E475" s="164"/>
      <c r="F475" s="174"/>
      <c r="G475" s="174"/>
      <c r="H475" s="174"/>
      <c r="I475" s="174"/>
      <c r="J475" s="174"/>
      <c r="K475" s="174"/>
      <c r="Q475" s="244"/>
    </row>
    <row r="476" spans="1:17" ht="15.75" customHeight="1">
      <c r="A476" s="686"/>
      <c r="B476" s="687"/>
      <c r="C476" s="243" t="s">
        <v>29</v>
      </c>
      <c r="D476" s="242">
        <f>COUNTIF($D$11:$T$11,"Hải Dương")</f>
        <v>0</v>
      </c>
      <c r="E476" s="164"/>
      <c r="F476" s="174"/>
      <c r="G476" s="174"/>
      <c r="H476" s="174"/>
      <c r="I476" s="174"/>
      <c r="J476" s="174"/>
      <c r="K476" s="174"/>
      <c r="Q476" s="244"/>
    </row>
    <row r="477" spans="1:17" ht="15.75" customHeight="1">
      <c r="A477" s="686"/>
      <c r="B477" s="687"/>
      <c r="C477" s="243" t="s">
        <v>30</v>
      </c>
      <c r="D477" s="242">
        <f>COUNTIF($D$11:$T$11,"Hưng Yên")</f>
        <v>0</v>
      </c>
      <c r="E477" s="164"/>
      <c r="F477" s="174"/>
      <c r="G477" s="174"/>
      <c r="H477" s="174"/>
      <c r="I477" s="174"/>
      <c r="J477" s="174"/>
      <c r="K477" s="174"/>
      <c r="Q477" s="244"/>
    </row>
    <row r="478" spans="1:17" ht="15.75" customHeight="1">
      <c r="A478" s="686"/>
      <c r="B478" s="687"/>
      <c r="C478" s="243" t="s">
        <v>27</v>
      </c>
      <c r="D478" s="242">
        <f>COUNTIF($D$11:$T$11,"Hải Phòng")</f>
        <v>0</v>
      </c>
      <c r="E478" s="164"/>
      <c r="F478" s="174"/>
      <c r="G478" s="174"/>
      <c r="H478" s="174"/>
      <c r="I478" s="174"/>
      <c r="J478" s="174"/>
      <c r="K478" s="174"/>
      <c r="Q478" s="244"/>
    </row>
    <row r="479" spans="1:17" ht="15.75" customHeight="1">
      <c r="A479" s="686"/>
      <c r="B479" s="687"/>
      <c r="C479" s="243" t="s">
        <v>33</v>
      </c>
      <c r="D479" s="242">
        <f>COUNTIF($D$11:$T$11,"Hà Nam")</f>
        <v>0</v>
      </c>
      <c r="E479" s="164"/>
      <c r="F479" s="174"/>
      <c r="G479" s="174"/>
      <c r="H479" s="174"/>
      <c r="I479" s="174"/>
      <c r="J479" s="174"/>
      <c r="K479" s="174"/>
      <c r="Q479" s="244"/>
    </row>
    <row r="480" spans="1:17" ht="15.75" customHeight="1">
      <c r="A480" s="686"/>
      <c r="B480" s="687"/>
      <c r="C480" s="243" t="s">
        <v>36</v>
      </c>
      <c r="D480" s="242">
        <f>COUNTIF($D$11:$T$11,"Nam Định")</f>
        <v>0</v>
      </c>
      <c r="E480" s="164"/>
      <c r="F480" s="174"/>
      <c r="G480" s="174"/>
      <c r="H480" s="174"/>
      <c r="I480" s="174"/>
      <c r="J480" s="174"/>
      <c r="K480" s="174"/>
      <c r="Q480" s="244"/>
    </row>
    <row r="481" spans="1:17" ht="15.75" customHeight="1">
      <c r="A481" s="686"/>
      <c r="B481" s="687"/>
      <c r="C481" s="243" t="s">
        <v>1094</v>
      </c>
      <c r="D481" s="242">
        <f>COUNTIF($D$11:$T$11,"Thái Bình")</f>
        <v>0</v>
      </c>
      <c r="E481" s="164"/>
      <c r="F481" s="174"/>
      <c r="G481" s="174"/>
      <c r="H481" s="174"/>
      <c r="I481" s="174"/>
      <c r="J481" s="174"/>
      <c r="K481" s="174"/>
      <c r="Q481" s="244"/>
    </row>
    <row r="482" spans="1:17" ht="15.75" customHeight="1">
      <c r="A482" s="686"/>
      <c r="B482" s="687"/>
      <c r="C482" s="243" t="s">
        <v>34</v>
      </c>
      <c r="D482" s="242">
        <f>COUNTIF($D$11:$T$11,"Ninh Bình")</f>
        <v>0</v>
      </c>
      <c r="E482" s="164"/>
      <c r="F482" s="174"/>
      <c r="G482" s="174"/>
      <c r="H482" s="174"/>
      <c r="I482" s="174"/>
      <c r="J482" s="174"/>
      <c r="K482" s="174"/>
      <c r="Q482" s="244"/>
    </row>
    <row r="483" spans="1:17" ht="15.75" customHeight="1">
      <c r="A483" s="686"/>
      <c r="B483" s="687"/>
      <c r="C483" s="243" t="s">
        <v>37</v>
      </c>
      <c r="D483" s="242">
        <f>COUNTIF($D$11:$T$11,"Thanh Hoá")</f>
        <v>0</v>
      </c>
      <c r="E483" s="164"/>
      <c r="F483" s="174"/>
      <c r="G483" s="174"/>
      <c r="H483" s="174"/>
      <c r="I483" s="174"/>
      <c r="J483" s="174"/>
      <c r="K483" s="174"/>
      <c r="Q483" s="244"/>
    </row>
    <row r="484" spans="1:17" ht="15.75" customHeight="1">
      <c r="A484" s="686"/>
      <c r="B484" s="687"/>
      <c r="C484" s="243" t="s">
        <v>1095</v>
      </c>
      <c r="D484" s="242">
        <f>COUNTIF($D$11:$T$11,"Nghệ An")</f>
        <v>0</v>
      </c>
      <c r="E484" s="164"/>
      <c r="F484" s="174"/>
      <c r="G484" s="174"/>
      <c r="H484" s="174"/>
      <c r="I484" s="174"/>
      <c r="J484" s="174"/>
      <c r="K484" s="174"/>
      <c r="Q484" s="244"/>
    </row>
    <row r="485" spans="1:17" ht="15.75" customHeight="1">
      <c r="A485" s="686"/>
      <c r="B485" s="687"/>
      <c r="C485" s="243" t="s">
        <v>1096</v>
      </c>
      <c r="D485" s="242">
        <f>COUNTIF($D$11:$T$11,"Hà Tĩnh")</f>
        <v>0</v>
      </c>
      <c r="E485" s="164"/>
      <c r="F485" s="174"/>
      <c r="G485" s="174"/>
      <c r="H485" s="174"/>
      <c r="I485" s="174"/>
      <c r="J485" s="174"/>
      <c r="K485" s="174"/>
      <c r="Q485" s="244"/>
    </row>
    <row r="486" spans="1:17" ht="15.75" customHeight="1">
      <c r="A486" s="686"/>
      <c r="B486" s="687"/>
      <c r="C486" s="243" t="s">
        <v>1097</v>
      </c>
      <c r="D486" s="242">
        <f>COUNTIF($D$11:$T$11,"Quảng Bình")</f>
        <v>0</v>
      </c>
      <c r="E486" s="164"/>
      <c r="F486" s="174"/>
      <c r="G486" s="174"/>
      <c r="H486" s="174"/>
      <c r="I486" s="174"/>
      <c r="J486" s="174"/>
      <c r="K486" s="174"/>
      <c r="Q486" s="244"/>
    </row>
    <row r="487" spans="1:17" ht="15.75" customHeight="1">
      <c r="A487" s="686"/>
      <c r="B487" s="687"/>
      <c r="C487" s="243" t="s">
        <v>1098</v>
      </c>
      <c r="D487" s="242">
        <f>COUNTIF($D$11:$T$11,"Quảng Trị")</f>
        <v>0</v>
      </c>
      <c r="E487" s="164"/>
      <c r="F487" s="174"/>
      <c r="G487" s="174"/>
      <c r="H487" s="174"/>
      <c r="I487" s="174"/>
      <c r="J487" s="174"/>
      <c r="K487" s="174"/>
      <c r="Q487" s="244"/>
    </row>
    <row r="488" spans="1:17" ht="15.75" customHeight="1">
      <c r="A488" s="686"/>
      <c r="B488" s="687"/>
      <c r="C488" s="243" t="s">
        <v>1099</v>
      </c>
      <c r="D488" s="242">
        <f>COUNTIF($D$11:$T$11,"Thừa Thiên Huế")</f>
        <v>0</v>
      </c>
      <c r="E488" s="164"/>
      <c r="F488" s="174"/>
      <c r="G488" s="174"/>
      <c r="H488" s="174"/>
      <c r="I488" s="174"/>
      <c r="J488" s="174"/>
      <c r="K488" s="174"/>
      <c r="Q488" s="244"/>
    </row>
    <row r="489" spans="1:17" ht="15.75" customHeight="1">
      <c r="A489" s="686"/>
      <c r="B489" s="687"/>
      <c r="C489" s="243" t="s">
        <v>1100</v>
      </c>
      <c r="D489" s="242">
        <f>COUNTIF($D$11:$T$11,"Đà Nẵng")</f>
        <v>0</v>
      </c>
      <c r="E489" s="164"/>
      <c r="F489" s="174"/>
      <c r="G489" s="174"/>
      <c r="H489" s="174"/>
      <c r="I489" s="174"/>
      <c r="J489" s="174"/>
      <c r="K489" s="174"/>
      <c r="Q489" s="244"/>
    </row>
    <row r="490" spans="1:17" ht="15.75" customHeight="1">
      <c r="A490" s="686"/>
      <c r="B490" s="687"/>
      <c r="C490" s="243" t="s">
        <v>1101</v>
      </c>
      <c r="D490" s="242">
        <f>COUNTIF($D$11:$T$11,"Quảng Nam")</f>
        <v>0</v>
      </c>
      <c r="E490" s="164"/>
      <c r="F490" s="174"/>
      <c r="G490" s="174"/>
      <c r="H490" s="174"/>
      <c r="I490" s="174"/>
      <c r="J490" s="174"/>
      <c r="K490" s="174"/>
      <c r="Q490" s="244"/>
    </row>
    <row r="491" spans="1:17" ht="15.75" customHeight="1">
      <c r="A491" s="686"/>
      <c r="B491" s="687"/>
      <c r="C491" s="243" t="s">
        <v>1102</v>
      </c>
      <c r="D491" s="242">
        <f>COUNTIF($D$11:$T$11,"Quảng Ngãi")</f>
        <v>0</v>
      </c>
      <c r="E491" s="164"/>
      <c r="F491" s="174"/>
      <c r="G491" s="174"/>
      <c r="H491" s="174"/>
      <c r="I491" s="174"/>
      <c r="J491" s="174"/>
      <c r="K491" s="174"/>
      <c r="Q491" s="244"/>
    </row>
    <row r="492" spans="1:17" ht="15.75" customHeight="1">
      <c r="A492" s="686"/>
      <c r="B492" s="687"/>
      <c r="C492" s="243" t="s">
        <v>1103</v>
      </c>
      <c r="D492" s="242">
        <f>COUNTIF($D$11:$T$11,"Bình Định")</f>
        <v>0</v>
      </c>
      <c r="E492" s="164"/>
      <c r="F492" s="174"/>
      <c r="G492" s="174"/>
      <c r="H492" s="174"/>
      <c r="I492" s="174"/>
      <c r="J492" s="174"/>
      <c r="K492" s="174"/>
      <c r="Q492" s="244"/>
    </row>
    <row r="493" spans="1:17" ht="15.75" customHeight="1">
      <c r="A493" s="686"/>
      <c r="B493" s="687"/>
      <c r="C493" s="243" t="s">
        <v>1104</v>
      </c>
      <c r="D493" s="242">
        <f>COUNTIF($D$11:$T$11,"Phú Yên")</f>
        <v>0</v>
      </c>
      <c r="E493" s="164"/>
      <c r="F493" s="174"/>
      <c r="G493" s="174"/>
      <c r="H493" s="174"/>
      <c r="I493" s="174"/>
      <c r="J493" s="174"/>
      <c r="K493" s="174"/>
      <c r="Q493" s="244"/>
    </row>
    <row r="494" spans="1:17" ht="15.75" customHeight="1">
      <c r="A494" s="686"/>
      <c r="B494" s="687"/>
      <c r="C494" s="243" t="s">
        <v>1105</v>
      </c>
      <c r="D494" s="242">
        <f>COUNTIF($D$11:$T$11,"Khánh Hoà")</f>
        <v>0</v>
      </c>
      <c r="E494" s="164"/>
      <c r="F494" s="174"/>
      <c r="G494" s="174"/>
      <c r="H494" s="174"/>
      <c r="I494" s="174"/>
      <c r="J494" s="174"/>
      <c r="K494" s="174"/>
      <c r="Q494" s="244"/>
    </row>
    <row r="495" spans="1:17" ht="15.75" customHeight="1">
      <c r="A495" s="686"/>
      <c r="B495" s="687"/>
      <c r="C495" s="243" t="s">
        <v>1106</v>
      </c>
      <c r="D495" s="242">
        <f>COUNTIF($D$11:$T$11,"Ninh Thuận")</f>
        <v>0</v>
      </c>
      <c r="E495" s="164"/>
      <c r="F495" s="174"/>
      <c r="G495" s="174"/>
      <c r="H495" s="174"/>
      <c r="I495" s="174"/>
      <c r="J495" s="174"/>
      <c r="K495" s="174"/>
      <c r="Q495" s="244"/>
    </row>
    <row r="496" spans="1:17" ht="15.75" customHeight="1">
      <c r="A496" s="686"/>
      <c r="B496" s="687"/>
      <c r="C496" s="243" t="s">
        <v>1107</v>
      </c>
      <c r="D496" s="242">
        <f>COUNTIF($D$11:$T$11,"Bình Thuận")</f>
        <v>0</v>
      </c>
      <c r="E496" s="164"/>
      <c r="F496" s="174"/>
      <c r="G496" s="174"/>
      <c r="H496" s="174"/>
      <c r="I496" s="174"/>
      <c r="J496" s="174"/>
      <c r="K496" s="174"/>
      <c r="Q496" s="244"/>
    </row>
    <row r="497" spans="1:17" ht="15.75" customHeight="1">
      <c r="A497" s="686"/>
      <c r="B497" s="687"/>
      <c r="C497" s="243" t="s">
        <v>1108</v>
      </c>
      <c r="D497" s="242">
        <f>COUNTIF($D$11:$T$11,"Kon Tum")</f>
        <v>0</v>
      </c>
      <c r="E497" s="164"/>
      <c r="F497" s="174"/>
      <c r="G497" s="174"/>
      <c r="H497" s="174"/>
      <c r="I497" s="174"/>
      <c r="J497" s="174"/>
      <c r="K497" s="174"/>
      <c r="Q497" s="244"/>
    </row>
    <row r="498" spans="1:17" ht="15.75" customHeight="1">
      <c r="A498" s="686"/>
      <c r="B498" s="687"/>
      <c r="C498" s="243" t="s">
        <v>1109</v>
      </c>
      <c r="D498" s="242">
        <f>COUNTIF($D$11:$T$11,"Gia Lai")</f>
        <v>0</v>
      </c>
      <c r="E498" s="164"/>
      <c r="F498" s="174"/>
      <c r="G498" s="174"/>
      <c r="H498" s="174"/>
      <c r="I498" s="174"/>
      <c r="J498" s="174"/>
      <c r="K498" s="174"/>
      <c r="Q498" s="244"/>
    </row>
    <row r="499" spans="1:17" ht="15.75" customHeight="1">
      <c r="A499" s="686"/>
      <c r="B499" s="687"/>
      <c r="C499" s="243" t="s">
        <v>1110</v>
      </c>
      <c r="D499" s="242">
        <f>COUNTIF($D$11:$T$11,"Đắk Lắk")</f>
        <v>0</v>
      </c>
      <c r="E499" s="164"/>
      <c r="F499" s="174"/>
      <c r="G499" s="174"/>
      <c r="H499" s="174"/>
      <c r="I499" s="174"/>
      <c r="J499" s="174"/>
      <c r="K499" s="174"/>
      <c r="Q499" s="244"/>
    </row>
    <row r="500" spans="1:17" ht="15.75" customHeight="1">
      <c r="A500" s="686"/>
      <c r="B500" s="687"/>
      <c r="C500" s="243" t="s">
        <v>1111</v>
      </c>
      <c r="D500" s="242">
        <f>COUNTIF($D$11:$T$11,"Đắk Nông")</f>
        <v>0</v>
      </c>
      <c r="E500" s="164"/>
      <c r="F500" s="174"/>
      <c r="G500" s="174"/>
      <c r="H500" s="174"/>
      <c r="I500" s="174"/>
      <c r="J500" s="174"/>
      <c r="K500" s="174"/>
      <c r="Q500" s="244"/>
    </row>
    <row r="501" spans="1:17" ht="15.75" customHeight="1">
      <c r="A501" s="686"/>
      <c r="B501" s="687"/>
      <c r="C501" s="243" t="s">
        <v>1112</v>
      </c>
      <c r="D501" s="242">
        <f>COUNTIF($D$11:$T$11,"Lâm Đồng")</f>
        <v>0</v>
      </c>
      <c r="E501" s="164"/>
      <c r="F501" s="174"/>
      <c r="G501" s="174"/>
      <c r="H501" s="174"/>
      <c r="I501" s="174"/>
      <c r="J501" s="174"/>
      <c r="K501" s="174"/>
      <c r="Q501" s="244"/>
    </row>
    <row r="502" spans="1:17" ht="15.75" customHeight="1">
      <c r="A502" s="686"/>
      <c r="B502" s="687"/>
      <c r="C502" s="243" t="s">
        <v>1113</v>
      </c>
      <c r="D502" s="242">
        <f>COUNTIF($D$11:$T$11,"Tây Ninh")</f>
        <v>0</v>
      </c>
      <c r="E502" s="164"/>
      <c r="F502" s="174"/>
      <c r="G502" s="174"/>
      <c r="H502" s="174"/>
      <c r="I502" s="174"/>
      <c r="J502" s="174"/>
      <c r="K502" s="174"/>
      <c r="Q502" s="244"/>
    </row>
    <row r="503" spans="1:17" ht="15.75" customHeight="1">
      <c r="A503" s="686"/>
      <c r="B503" s="687"/>
      <c r="C503" s="243" t="s">
        <v>1114</v>
      </c>
      <c r="D503" s="242">
        <f>COUNTIF($D$11:$T$11,"Bình Phước")</f>
        <v>0</v>
      </c>
      <c r="E503" s="164"/>
      <c r="F503" s="174"/>
      <c r="G503" s="174"/>
      <c r="H503" s="174"/>
      <c r="I503" s="174"/>
      <c r="J503" s="174"/>
      <c r="K503" s="174"/>
      <c r="Q503" s="244"/>
    </row>
    <row r="504" spans="1:17" ht="15.75" customHeight="1">
      <c r="A504" s="686"/>
      <c r="B504" s="687"/>
      <c r="C504" s="243" t="s">
        <v>1115</v>
      </c>
      <c r="D504" s="242">
        <f>COUNTIF($D$11:$T$11,"Bình Dương")</f>
        <v>0</v>
      </c>
      <c r="E504" s="164"/>
      <c r="F504" s="174"/>
      <c r="G504" s="174"/>
      <c r="H504" s="174"/>
      <c r="I504" s="174"/>
      <c r="J504" s="174"/>
      <c r="K504" s="174"/>
      <c r="Q504" s="244"/>
    </row>
    <row r="505" spans="1:17" ht="15.75" customHeight="1">
      <c r="A505" s="686"/>
      <c r="B505" s="687"/>
      <c r="C505" s="243" t="s">
        <v>1116</v>
      </c>
      <c r="D505" s="242">
        <f>COUNTIF($D$11:$T$11,"Bà Rịa - Vũng Tàu")</f>
        <v>0</v>
      </c>
      <c r="E505" s="164"/>
      <c r="F505" s="174"/>
      <c r="G505" s="174"/>
      <c r="H505" s="174"/>
      <c r="I505" s="174"/>
      <c r="J505" s="174"/>
      <c r="K505" s="174"/>
      <c r="Q505" s="244"/>
    </row>
    <row r="506" spans="1:17" ht="15.75" customHeight="1">
      <c r="A506" s="686"/>
      <c r="B506" s="687"/>
      <c r="C506" s="243" t="s">
        <v>1117</v>
      </c>
      <c r="D506" s="242">
        <f>COUNTIF($D$11:$T$11,"Bến Tre")</f>
        <v>0</v>
      </c>
      <c r="E506" s="164"/>
      <c r="F506" s="174"/>
      <c r="G506" s="174"/>
      <c r="H506" s="174"/>
      <c r="I506" s="174"/>
      <c r="J506" s="174"/>
      <c r="K506" s="174"/>
      <c r="Q506" s="244"/>
    </row>
    <row r="507" spans="1:17" ht="15.75" customHeight="1">
      <c r="A507" s="686"/>
      <c r="B507" s="687"/>
      <c r="C507" s="243" t="s">
        <v>1118</v>
      </c>
      <c r="D507" s="242">
        <f>COUNTIF($D$11:$T$11,"An Giang")</f>
        <v>0</v>
      </c>
      <c r="E507" s="164"/>
      <c r="F507" s="174"/>
      <c r="G507" s="174"/>
      <c r="H507" s="174"/>
      <c r="I507" s="174"/>
      <c r="J507" s="174"/>
      <c r="K507" s="174"/>
      <c r="Q507" s="244"/>
    </row>
    <row r="508" spans="1:17" ht="15.75" customHeight="1">
      <c r="A508" s="686"/>
      <c r="B508" s="687"/>
      <c r="C508" s="243" t="s">
        <v>1119</v>
      </c>
      <c r="D508" s="242">
        <f>COUNTIF($D$11:$T$11,"Vĩnh Long")</f>
        <v>0</v>
      </c>
      <c r="E508" s="164"/>
      <c r="F508" s="174"/>
      <c r="G508" s="174"/>
      <c r="H508" s="174"/>
      <c r="I508" s="174"/>
      <c r="J508" s="174"/>
      <c r="K508" s="174"/>
      <c r="Q508" s="244"/>
    </row>
    <row r="509" spans="1:17" ht="15.75" customHeight="1">
      <c r="A509" s="686"/>
      <c r="B509" s="687"/>
      <c r="C509" s="243" t="s">
        <v>1120</v>
      </c>
      <c r="D509" s="242">
        <f>COUNTIF($D$11:$T$11,"Cần Thơ")</f>
        <v>0</v>
      </c>
      <c r="E509" s="164"/>
      <c r="F509" s="174"/>
      <c r="G509" s="174"/>
      <c r="H509" s="174"/>
      <c r="I509" s="174"/>
      <c r="J509" s="174"/>
      <c r="K509" s="174"/>
      <c r="Q509" s="244"/>
    </row>
    <row r="510" spans="1:17" ht="15.75" customHeight="1">
      <c r="A510" s="686"/>
      <c r="B510" s="687"/>
      <c r="C510" s="243" t="s">
        <v>1121</v>
      </c>
      <c r="D510" s="242">
        <f>COUNTIF($D$11:$T$11,"Hậu Giang")</f>
        <v>0</v>
      </c>
      <c r="E510" s="164"/>
      <c r="F510" s="174"/>
      <c r="G510" s="174"/>
      <c r="H510" s="174"/>
      <c r="I510" s="174"/>
      <c r="J510" s="174"/>
      <c r="K510" s="174"/>
      <c r="Q510" s="244"/>
    </row>
    <row r="511" spans="1:17" ht="15.75" customHeight="1">
      <c r="A511" s="686"/>
      <c r="B511" s="687"/>
      <c r="C511" s="243" t="s">
        <v>1122</v>
      </c>
      <c r="D511" s="242">
        <f>COUNTIF($D$11:$T$11,"Sóc Trăng")</f>
        <v>0</v>
      </c>
      <c r="E511" s="164"/>
      <c r="F511" s="174"/>
      <c r="G511" s="174"/>
      <c r="H511" s="174"/>
      <c r="I511" s="174"/>
      <c r="J511" s="174"/>
      <c r="K511" s="174"/>
      <c r="Q511" s="244"/>
    </row>
    <row r="512" spans="1:17" ht="15.75" customHeight="1">
      <c r="A512" s="686"/>
      <c r="B512" s="687"/>
      <c r="C512" s="243" t="s">
        <v>1123</v>
      </c>
      <c r="D512" s="242">
        <f>COUNTIF($D$11:$T$11,"Bạc Liêu")</f>
        <v>0</v>
      </c>
      <c r="E512" s="164"/>
      <c r="F512" s="174"/>
      <c r="G512" s="174"/>
      <c r="H512" s="174"/>
      <c r="I512" s="174"/>
      <c r="J512" s="174"/>
      <c r="K512" s="174"/>
      <c r="Q512" s="244"/>
    </row>
    <row r="513" spans="1:17" ht="15.75" customHeight="1">
      <c r="A513" s="686"/>
      <c r="B513" s="687"/>
      <c r="C513" s="243" t="s">
        <v>1124</v>
      </c>
      <c r="D513" s="242">
        <f>COUNTIF($D$11:$T$11,"Cà Mau")</f>
        <v>0</v>
      </c>
      <c r="E513" s="164"/>
      <c r="F513" s="174"/>
      <c r="G513" s="174"/>
      <c r="H513" s="174"/>
      <c r="I513" s="174"/>
      <c r="J513" s="174"/>
      <c r="K513" s="174"/>
      <c r="Q513" s="244"/>
    </row>
    <row r="514" spans="1:17" ht="15.75" customHeight="1">
      <c r="A514" s="686"/>
      <c r="B514" s="687"/>
      <c r="C514" s="243" t="s">
        <v>1125</v>
      </c>
      <c r="D514" s="242">
        <f>COUNTIF($D$11:$T$11,"Kiên Giang")</f>
        <v>0</v>
      </c>
      <c r="E514" s="164"/>
      <c r="F514" s="174"/>
      <c r="G514" s="174"/>
      <c r="H514" s="174"/>
      <c r="I514" s="174"/>
      <c r="J514" s="174"/>
      <c r="K514" s="174"/>
      <c r="Q514" s="244"/>
    </row>
    <row r="515" spans="1:17" ht="15.75" customHeight="1">
      <c r="A515" s="686"/>
      <c r="B515" s="687"/>
      <c r="C515" s="243" t="s">
        <v>1126</v>
      </c>
      <c r="D515" s="242">
        <f>COUNTIF($D$11:$T$11,"Đồng Tháp")</f>
        <v>0</v>
      </c>
      <c r="E515" s="164"/>
      <c r="F515" s="174"/>
      <c r="G515" s="174"/>
      <c r="H515" s="174"/>
      <c r="I515" s="174"/>
      <c r="J515" s="174"/>
      <c r="K515" s="174"/>
      <c r="Q515" s="244"/>
    </row>
    <row r="516" spans="1:17" ht="15.75" customHeight="1">
      <c r="A516" s="686"/>
      <c r="B516" s="687"/>
      <c r="C516" s="243" t="s">
        <v>1127</v>
      </c>
      <c r="D516" s="242">
        <f>COUNTIF($D$11:$T$11,"Trà Vinh")</f>
        <v>0</v>
      </c>
      <c r="E516" s="164"/>
      <c r="F516" s="174"/>
      <c r="G516" s="174"/>
      <c r="H516" s="174"/>
      <c r="I516" s="174"/>
      <c r="J516" s="174"/>
      <c r="K516" s="174"/>
      <c r="Q516" s="244"/>
    </row>
    <row r="517" spans="1:17" ht="15.75" customHeight="1">
      <c r="A517" s="686"/>
      <c r="B517" s="687"/>
      <c r="C517" s="243" t="s">
        <v>1128</v>
      </c>
      <c r="D517" s="242">
        <f>COUNTIF($D$11:$T$11,"Tiền Giang")</f>
        <v>0</v>
      </c>
      <c r="E517" s="164"/>
      <c r="F517" s="174"/>
      <c r="G517" s="174"/>
      <c r="H517" s="174"/>
      <c r="I517" s="174"/>
      <c r="J517" s="174"/>
      <c r="K517" s="174"/>
      <c r="Q517" s="244"/>
    </row>
    <row r="518" spans="1:17" ht="15.75" customHeight="1">
      <c r="A518" s="686"/>
      <c r="B518" s="687"/>
      <c r="C518" s="243" t="s">
        <v>1129</v>
      </c>
      <c r="D518" s="242">
        <f>COUNTIF($D$11:$T$11,"Long An")</f>
        <v>0</v>
      </c>
      <c r="E518" s="164"/>
      <c r="F518" s="174"/>
      <c r="G518" s="174"/>
      <c r="H518" s="174"/>
      <c r="I518" s="174"/>
      <c r="J518" s="174"/>
      <c r="K518" s="174"/>
      <c r="Q518" s="244"/>
    </row>
    <row r="519" spans="1:17" ht="15.75" customHeight="1">
      <c r="A519" s="686"/>
      <c r="B519" s="687"/>
      <c r="C519" s="243" t="s">
        <v>1130</v>
      </c>
      <c r="D519" s="242">
        <f>COUNTIF($D$11:$T$11,"Đồng Nai")</f>
        <v>0</v>
      </c>
      <c r="E519" s="164"/>
      <c r="F519" s="174"/>
      <c r="G519" s="174"/>
      <c r="H519" s="174"/>
      <c r="I519" s="174"/>
      <c r="J519" s="174"/>
      <c r="K519" s="174"/>
      <c r="Q519" s="244"/>
    </row>
    <row r="520" spans="1:17" ht="15.75" customHeight="1">
      <c r="A520" s="686"/>
      <c r="B520" s="687"/>
      <c r="C520" s="243" t="s">
        <v>1131</v>
      </c>
      <c r="D520" s="242">
        <f>COUNTIF($D$11:$T$11,"TP Hồ Chí Minh")</f>
        <v>0</v>
      </c>
      <c r="E520" s="164"/>
      <c r="F520" s="174"/>
      <c r="G520" s="174"/>
      <c r="H520" s="174"/>
      <c r="I520" s="174"/>
      <c r="J520" s="174"/>
      <c r="K520" s="174"/>
      <c r="Q520" s="244"/>
    </row>
    <row r="521" spans="1:17" ht="15.75" customHeight="1">
      <c r="A521" s="686"/>
      <c r="B521" s="687"/>
      <c r="C521" s="243"/>
      <c r="D521" s="244"/>
      <c r="E521" s="164"/>
      <c r="F521" s="174"/>
      <c r="G521" s="174"/>
      <c r="H521" s="174"/>
      <c r="I521" s="174"/>
      <c r="J521" s="174"/>
      <c r="K521" s="174"/>
      <c r="Q521" s="244"/>
    </row>
    <row r="522" spans="1:17" ht="15.75" customHeight="1">
      <c r="A522" s="686"/>
      <c r="B522" s="687"/>
      <c r="C522" s="243"/>
      <c r="D522" s="245">
        <f>SUM(D458:D520)</f>
        <v>13</v>
      </c>
      <c r="E522" s="164"/>
      <c r="F522" s="174"/>
      <c r="G522" s="174"/>
      <c r="H522" s="174"/>
      <c r="I522" s="174"/>
      <c r="J522" s="174"/>
      <c r="K522" s="174"/>
      <c r="Q522" s="244"/>
    </row>
    <row r="523" spans="1:17" ht="15.75" customHeight="1">
      <c r="A523" s="686"/>
      <c r="B523" s="687"/>
      <c r="C523" s="243"/>
      <c r="D523" s="244"/>
      <c r="E523" s="164"/>
      <c r="F523" s="174"/>
      <c r="G523" s="174"/>
      <c r="H523" s="174"/>
      <c r="I523" s="174"/>
      <c r="J523" s="174"/>
      <c r="K523" s="174"/>
      <c r="Q523" s="244"/>
    </row>
    <row r="524" spans="1:17" ht="15.75" customHeight="1">
      <c r="A524" s="686"/>
      <c r="B524" s="687"/>
      <c r="C524" s="243"/>
      <c r="D524" s="244"/>
      <c r="E524" s="164"/>
      <c r="F524" s="174"/>
      <c r="G524" s="174"/>
      <c r="H524" s="174"/>
      <c r="I524" s="174"/>
      <c r="J524" s="174"/>
      <c r="K524" s="174"/>
      <c r="Q524" s="244"/>
    </row>
    <row r="525" spans="1:17" ht="15.75" customHeight="1">
      <c r="A525" s="686"/>
      <c r="B525" s="687"/>
      <c r="C525" s="243"/>
      <c r="D525" s="244"/>
      <c r="E525" s="164"/>
      <c r="F525" s="174"/>
      <c r="G525" s="174"/>
      <c r="H525" s="174"/>
      <c r="I525" s="174"/>
      <c r="J525" s="174"/>
      <c r="K525" s="174"/>
      <c r="Q525" s="244"/>
    </row>
    <row r="526" spans="1:17" ht="15.75" customHeight="1">
      <c r="A526" s="686"/>
      <c r="B526" s="687"/>
      <c r="C526" s="243"/>
      <c r="D526" s="244"/>
      <c r="E526" s="164"/>
      <c r="F526" s="174"/>
      <c r="G526" s="174"/>
      <c r="H526" s="174"/>
      <c r="I526" s="174"/>
      <c r="J526" s="174"/>
      <c r="K526" s="174"/>
      <c r="Q526" s="244"/>
    </row>
    <row r="527" spans="1:17" ht="15.75" customHeight="1">
      <c r="A527" s="686"/>
      <c r="B527" s="687"/>
      <c r="C527" s="243"/>
      <c r="D527" s="244"/>
      <c r="E527" s="164"/>
      <c r="F527" s="174"/>
      <c r="G527" s="174"/>
      <c r="H527" s="174"/>
      <c r="I527" s="174"/>
      <c r="J527" s="174"/>
      <c r="K527" s="174"/>
      <c r="Q527" s="244"/>
    </row>
    <row r="528" spans="1:17" ht="15.75" customHeight="1">
      <c r="A528" s="686"/>
      <c r="B528" s="687"/>
      <c r="C528" s="243"/>
      <c r="D528" s="244"/>
      <c r="E528" s="164"/>
      <c r="F528" s="174"/>
      <c r="G528" s="174"/>
      <c r="H528" s="174"/>
      <c r="I528" s="174"/>
      <c r="J528" s="174"/>
      <c r="K528" s="174"/>
      <c r="Q528" s="244"/>
    </row>
    <row r="529" spans="1:17" ht="15.75" customHeight="1">
      <c r="A529" s="686"/>
      <c r="B529" s="687"/>
      <c r="C529" s="243"/>
      <c r="D529" s="244"/>
      <c r="E529" s="164"/>
      <c r="F529" s="174"/>
      <c r="G529" s="174"/>
      <c r="H529" s="174"/>
      <c r="I529" s="174"/>
      <c r="J529" s="174"/>
      <c r="K529" s="174"/>
      <c r="Q529" s="244"/>
    </row>
    <row r="530" spans="1:17" ht="15.75" customHeight="1">
      <c r="A530" s="686"/>
      <c r="B530" s="687"/>
      <c r="C530" s="243"/>
      <c r="D530" s="244"/>
      <c r="E530" s="164"/>
      <c r="F530" s="174"/>
      <c r="G530" s="174"/>
      <c r="H530" s="174"/>
      <c r="I530" s="174"/>
      <c r="J530" s="174"/>
      <c r="K530" s="174"/>
      <c r="Q530" s="244"/>
    </row>
    <row r="531" spans="1:17" ht="15.75" customHeight="1">
      <c r="A531" s="686"/>
      <c r="B531" s="687"/>
      <c r="C531" s="243"/>
      <c r="D531" s="244"/>
      <c r="E531" s="164"/>
      <c r="F531" s="174"/>
      <c r="G531" s="174"/>
      <c r="H531" s="174"/>
      <c r="I531" s="174"/>
      <c r="J531" s="174"/>
      <c r="K531" s="174"/>
      <c r="Q531" s="244"/>
    </row>
    <row r="532" spans="1:17" ht="15.75" customHeight="1">
      <c r="A532" s="686"/>
      <c r="B532" s="687"/>
      <c r="C532" s="243"/>
      <c r="D532" s="244"/>
      <c r="E532" s="164"/>
      <c r="F532" s="174"/>
      <c r="G532" s="174"/>
      <c r="H532" s="174"/>
      <c r="I532" s="174"/>
      <c r="J532" s="174"/>
      <c r="K532" s="174"/>
      <c r="Q532" s="244"/>
    </row>
    <row r="533" spans="1:17" ht="15.75" customHeight="1">
      <c r="A533" s="686"/>
      <c r="B533" s="687"/>
      <c r="C533" s="243"/>
      <c r="D533" s="244"/>
      <c r="E533" s="164"/>
      <c r="F533" s="174"/>
      <c r="G533" s="174"/>
      <c r="H533" s="174"/>
      <c r="I533" s="174"/>
      <c r="J533" s="174"/>
      <c r="K533" s="174"/>
      <c r="Q533" s="244"/>
    </row>
    <row r="534" spans="1:17" ht="15.75" customHeight="1">
      <c r="A534" s="686"/>
      <c r="B534" s="687"/>
      <c r="C534" s="243"/>
      <c r="D534" s="244"/>
      <c r="E534" s="164"/>
      <c r="F534" s="174"/>
      <c r="G534" s="174"/>
      <c r="H534" s="174"/>
      <c r="I534" s="174"/>
      <c r="J534" s="174"/>
      <c r="K534" s="174"/>
      <c r="Q534" s="244"/>
    </row>
    <row r="535" spans="1:17" ht="15.75" customHeight="1">
      <c r="A535" s="686"/>
      <c r="B535" s="687"/>
      <c r="C535" s="243"/>
      <c r="D535" s="244"/>
      <c r="E535" s="164"/>
      <c r="F535" s="174"/>
      <c r="G535" s="174"/>
      <c r="H535" s="174"/>
      <c r="I535" s="174"/>
      <c r="J535" s="174"/>
      <c r="K535" s="174"/>
      <c r="Q535" s="244"/>
    </row>
    <row r="536" spans="1:17" ht="15.75" customHeight="1">
      <c r="A536" s="686"/>
      <c r="B536" s="687"/>
      <c r="C536" s="243"/>
      <c r="D536" s="244"/>
      <c r="E536" s="164"/>
      <c r="F536" s="174"/>
      <c r="G536" s="174"/>
      <c r="H536" s="174"/>
      <c r="I536" s="174"/>
      <c r="J536" s="174"/>
      <c r="K536" s="174"/>
      <c r="Q536" s="244"/>
    </row>
    <row r="537" spans="1:17" ht="15.75" customHeight="1">
      <c r="A537" s="686"/>
      <c r="B537" s="687"/>
      <c r="C537" s="243"/>
      <c r="D537" s="244"/>
      <c r="E537" s="164"/>
      <c r="F537" s="174"/>
      <c r="G537" s="174"/>
      <c r="H537" s="174"/>
      <c r="I537" s="174"/>
      <c r="J537" s="174"/>
      <c r="K537" s="174"/>
      <c r="Q537" s="244"/>
    </row>
    <row r="538" spans="1:17" ht="15.75" customHeight="1">
      <c r="A538" s="686"/>
      <c r="B538" s="687"/>
      <c r="C538" s="243"/>
      <c r="D538" s="244"/>
      <c r="E538" s="164"/>
      <c r="F538" s="174"/>
      <c r="G538" s="174"/>
      <c r="H538" s="174"/>
      <c r="I538" s="174"/>
      <c r="J538" s="174"/>
      <c r="K538" s="174"/>
      <c r="Q538" s="244"/>
    </row>
    <row r="539" spans="1:17" ht="15.75" customHeight="1">
      <c r="A539" s="686"/>
      <c r="B539" s="687"/>
      <c r="C539" s="243"/>
      <c r="D539" s="244"/>
      <c r="E539" s="164"/>
      <c r="F539" s="174"/>
      <c r="G539" s="174"/>
      <c r="H539" s="174"/>
      <c r="I539" s="174"/>
      <c r="J539" s="174"/>
      <c r="K539" s="174"/>
      <c r="Q539" s="244"/>
    </row>
    <row r="540" spans="1:17" ht="15.75" customHeight="1">
      <c r="A540" s="686"/>
      <c r="B540" s="687"/>
      <c r="C540" s="243"/>
      <c r="D540" s="244"/>
      <c r="E540" s="164"/>
      <c r="F540" s="174"/>
      <c r="G540" s="174"/>
      <c r="H540" s="174"/>
      <c r="I540" s="174"/>
      <c r="J540" s="174"/>
      <c r="K540" s="174"/>
      <c r="Q540" s="244"/>
    </row>
    <row r="541" spans="1:17" ht="15.75" customHeight="1">
      <c r="A541" s="686"/>
      <c r="B541" s="687"/>
      <c r="C541" s="243"/>
      <c r="D541" s="244"/>
      <c r="E541" s="164"/>
      <c r="F541" s="174"/>
      <c r="G541" s="174"/>
      <c r="H541" s="174"/>
      <c r="I541" s="174"/>
      <c r="J541" s="174"/>
      <c r="K541" s="174"/>
      <c r="Q541" s="244"/>
    </row>
    <row r="542" spans="1:17" ht="15.75" customHeight="1">
      <c r="A542" s="686"/>
      <c r="B542" s="687"/>
      <c r="C542" s="243"/>
      <c r="D542" s="244"/>
      <c r="E542" s="164"/>
      <c r="F542" s="174"/>
      <c r="G542" s="174"/>
      <c r="H542" s="174"/>
      <c r="I542" s="174"/>
      <c r="J542" s="174"/>
      <c r="K542" s="174"/>
      <c r="Q542" s="244"/>
    </row>
    <row r="543" spans="1:17" ht="15.75" customHeight="1">
      <c r="A543" s="686"/>
      <c r="B543" s="687"/>
      <c r="C543" s="243"/>
      <c r="D543" s="244"/>
      <c r="E543" s="164"/>
      <c r="F543" s="174"/>
      <c r="G543" s="174"/>
      <c r="H543" s="174"/>
      <c r="I543" s="174"/>
      <c r="J543" s="174"/>
      <c r="K543" s="174"/>
      <c r="Q543" s="244"/>
    </row>
    <row r="544" spans="1:17" ht="15.75" customHeight="1">
      <c r="A544" s="686"/>
      <c r="B544" s="687"/>
      <c r="C544" s="243"/>
      <c r="D544" s="244"/>
      <c r="E544" s="164"/>
      <c r="F544" s="174"/>
      <c r="G544" s="174"/>
      <c r="H544" s="174"/>
      <c r="I544" s="174"/>
      <c r="J544" s="174"/>
      <c r="K544" s="174"/>
      <c r="Q544" s="244"/>
    </row>
    <row r="545" spans="1:17" ht="15.75" customHeight="1">
      <c r="A545" s="686"/>
      <c r="B545" s="687"/>
      <c r="C545" s="243"/>
      <c r="D545" s="244"/>
      <c r="E545" s="164"/>
      <c r="F545" s="174"/>
      <c r="G545" s="174"/>
      <c r="H545" s="174"/>
      <c r="I545" s="174"/>
      <c r="J545" s="174"/>
      <c r="K545" s="174"/>
      <c r="Q545" s="244"/>
    </row>
    <row r="546" spans="1:17" ht="15.75" customHeight="1">
      <c r="A546" s="686"/>
      <c r="B546" s="687"/>
      <c r="C546" s="243"/>
      <c r="D546" s="244"/>
      <c r="E546" s="164"/>
      <c r="F546" s="174"/>
      <c r="G546" s="174"/>
      <c r="H546" s="174"/>
      <c r="I546" s="174"/>
      <c r="J546" s="174"/>
      <c r="K546" s="174"/>
      <c r="Q546" s="244"/>
    </row>
    <row r="547" spans="1:17" ht="15.75" customHeight="1">
      <c r="A547" s="686"/>
      <c r="B547" s="687"/>
      <c r="C547" s="243"/>
      <c r="D547" s="244"/>
      <c r="E547" s="164"/>
      <c r="F547" s="174"/>
      <c r="G547" s="174"/>
      <c r="H547" s="174"/>
      <c r="I547" s="174"/>
      <c r="J547" s="174"/>
      <c r="K547" s="174"/>
      <c r="Q547" s="244"/>
    </row>
    <row r="548" spans="1:17" ht="15.75" customHeight="1">
      <c r="A548" s="686"/>
      <c r="B548" s="687"/>
      <c r="C548" s="243"/>
      <c r="D548" s="244"/>
      <c r="E548" s="164"/>
      <c r="F548" s="174"/>
      <c r="G548" s="174"/>
      <c r="H548" s="174"/>
      <c r="I548" s="174"/>
      <c r="J548" s="174"/>
      <c r="K548" s="174"/>
      <c r="Q548" s="244"/>
    </row>
    <row r="549" spans="1:17" ht="15.75" customHeight="1">
      <c r="A549" s="686"/>
      <c r="B549" s="687"/>
      <c r="C549" s="243"/>
      <c r="D549" s="244"/>
      <c r="E549" s="164"/>
      <c r="F549" s="174"/>
      <c r="G549" s="174"/>
      <c r="H549" s="174"/>
      <c r="I549" s="174"/>
      <c r="J549" s="174"/>
      <c r="K549" s="174"/>
      <c r="Q549" s="244"/>
    </row>
    <row r="550" spans="1:17" ht="15.75" customHeight="1">
      <c r="A550" s="686"/>
      <c r="B550" s="687"/>
      <c r="C550" s="243"/>
      <c r="D550" s="244"/>
      <c r="E550" s="164"/>
      <c r="F550" s="174"/>
      <c r="G550" s="174"/>
      <c r="H550" s="174"/>
      <c r="I550" s="174"/>
      <c r="J550" s="174"/>
      <c r="K550" s="174"/>
      <c r="Q550" s="244"/>
    </row>
    <row r="551" spans="1:17" ht="15.75" customHeight="1">
      <c r="A551" s="686"/>
      <c r="B551" s="687"/>
      <c r="C551" s="243"/>
      <c r="D551" s="244"/>
      <c r="E551" s="164"/>
      <c r="F551" s="174"/>
      <c r="G551" s="174"/>
      <c r="H551" s="174"/>
      <c r="I551" s="174"/>
      <c r="J551" s="174"/>
      <c r="K551" s="174"/>
      <c r="Q551" s="244"/>
    </row>
    <row r="552" spans="1:17" ht="15.75" customHeight="1">
      <c r="A552" s="686"/>
      <c r="B552" s="687"/>
      <c r="C552" s="243"/>
      <c r="D552" s="244"/>
      <c r="E552" s="164"/>
      <c r="F552" s="174"/>
      <c r="G552" s="174"/>
      <c r="H552" s="174"/>
      <c r="I552" s="174"/>
      <c r="J552" s="174"/>
      <c r="K552" s="174"/>
      <c r="Q552" s="244"/>
    </row>
    <row r="553" spans="1:17" ht="15.75" customHeight="1">
      <c r="A553" s="686"/>
      <c r="B553" s="687"/>
      <c r="C553" s="243"/>
      <c r="D553" s="244"/>
      <c r="E553" s="164"/>
      <c r="F553" s="174"/>
      <c r="G553" s="174"/>
      <c r="H553" s="174"/>
      <c r="I553" s="174"/>
      <c r="J553" s="174"/>
      <c r="K553" s="174"/>
      <c r="Q553" s="244"/>
    </row>
    <row r="554" spans="1:17" ht="15.75" customHeight="1">
      <c r="A554" s="686"/>
      <c r="B554" s="687"/>
      <c r="C554" s="243"/>
      <c r="D554" s="244"/>
      <c r="E554" s="164"/>
      <c r="F554" s="174"/>
      <c r="G554" s="174"/>
      <c r="H554" s="174"/>
      <c r="I554" s="174"/>
      <c r="J554" s="174"/>
      <c r="K554" s="174"/>
      <c r="Q554" s="244"/>
    </row>
    <row r="555" spans="1:17" ht="15.75" customHeight="1">
      <c r="A555" s="686"/>
      <c r="B555" s="687"/>
      <c r="C555" s="243"/>
      <c r="D555" s="244"/>
      <c r="E555" s="164"/>
      <c r="F555" s="174"/>
      <c r="G555" s="174"/>
      <c r="H555" s="174"/>
      <c r="I555" s="174"/>
      <c r="J555" s="174"/>
      <c r="K555" s="174"/>
      <c r="Q555" s="244"/>
    </row>
    <row r="556" spans="1:17" ht="15.75" customHeight="1">
      <c r="A556" s="686"/>
      <c r="B556" s="687"/>
      <c r="C556" s="243"/>
      <c r="D556" s="244"/>
      <c r="E556" s="164"/>
      <c r="F556" s="174"/>
      <c r="G556" s="174"/>
      <c r="H556" s="174"/>
      <c r="I556" s="174"/>
      <c r="J556" s="174"/>
      <c r="K556" s="174"/>
      <c r="Q556" s="244"/>
    </row>
    <row r="557" spans="1:17" ht="15.75" customHeight="1">
      <c r="A557" s="686"/>
      <c r="B557" s="687"/>
      <c r="C557" s="243"/>
      <c r="D557" s="244"/>
      <c r="E557" s="164"/>
      <c r="F557" s="174"/>
      <c r="G557" s="174"/>
      <c r="H557" s="174"/>
      <c r="I557" s="174"/>
      <c r="J557" s="174"/>
      <c r="K557" s="174"/>
      <c r="Q557" s="244"/>
    </row>
    <row r="558" spans="1:17" ht="15.75" customHeight="1">
      <c r="A558" s="686"/>
      <c r="B558" s="687"/>
      <c r="C558" s="243"/>
      <c r="D558" s="244"/>
      <c r="E558" s="164"/>
      <c r="F558" s="174"/>
      <c r="G558" s="174"/>
      <c r="H558" s="174"/>
      <c r="I558" s="174"/>
      <c r="J558" s="174"/>
      <c r="K558" s="174"/>
      <c r="Q558" s="244"/>
    </row>
    <row r="559" spans="1:17" ht="15.75" customHeight="1">
      <c r="A559" s="686"/>
      <c r="B559" s="687"/>
      <c r="C559" s="243"/>
      <c r="D559" s="244"/>
      <c r="E559" s="164"/>
      <c r="F559" s="174"/>
      <c r="G559" s="174"/>
      <c r="H559" s="174"/>
      <c r="I559" s="174"/>
      <c r="J559" s="174"/>
      <c r="K559" s="174"/>
      <c r="Q559" s="244"/>
    </row>
    <row r="560" spans="1:17" ht="15.75" customHeight="1">
      <c r="A560" s="686"/>
      <c r="B560" s="687"/>
      <c r="C560" s="243"/>
      <c r="D560" s="244"/>
      <c r="E560" s="164"/>
      <c r="F560" s="174"/>
      <c r="G560" s="174"/>
      <c r="H560" s="174"/>
      <c r="I560" s="174"/>
      <c r="J560" s="174"/>
      <c r="K560" s="174"/>
      <c r="Q560" s="244"/>
    </row>
    <row r="561" spans="1:17" ht="15.75" customHeight="1">
      <c r="A561" s="686"/>
      <c r="B561" s="687"/>
      <c r="C561" s="243"/>
      <c r="D561" s="244"/>
      <c r="E561" s="164"/>
      <c r="F561" s="174"/>
      <c r="G561" s="174"/>
      <c r="H561" s="174"/>
      <c r="I561" s="174"/>
      <c r="J561" s="174"/>
      <c r="K561" s="174"/>
      <c r="Q561" s="244"/>
    </row>
    <row r="562" spans="1:17" ht="15.75" customHeight="1">
      <c r="A562" s="686"/>
      <c r="B562" s="687"/>
      <c r="C562" s="243"/>
      <c r="D562" s="244"/>
      <c r="E562" s="164"/>
      <c r="F562" s="174"/>
      <c r="G562" s="174"/>
      <c r="H562" s="174"/>
      <c r="I562" s="174"/>
      <c r="J562" s="174"/>
      <c r="K562" s="174"/>
      <c r="Q562" s="244"/>
    </row>
    <row r="563" spans="1:17" ht="15.75" customHeight="1">
      <c r="A563" s="686"/>
      <c r="B563" s="687"/>
      <c r="C563" s="243"/>
      <c r="D563" s="244"/>
      <c r="E563" s="164"/>
      <c r="F563" s="174"/>
      <c r="G563" s="174"/>
      <c r="H563" s="174"/>
      <c r="I563" s="174"/>
      <c r="J563" s="174"/>
      <c r="K563" s="174"/>
      <c r="Q563" s="244"/>
    </row>
    <row r="564" spans="1:17" ht="15.75" customHeight="1">
      <c r="A564" s="686"/>
      <c r="B564" s="687"/>
      <c r="C564" s="243"/>
      <c r="D564" s="244"/>
      <c r="E564" s="164"/>
      <c r="F564" s="174"/>
      <c r="G564" s="174"/>
      <c r="H564" s="174"/>
      <c r="I564" s="174"/>
      <c r="J564" s="174"/>
      <c r="K564" s="174"/>
      <c r="Q564" s="244"/>
    </row>
    <row r="565" spans="1:17" ht="15.75" customHeight="1">
      <c r="A565" s="686"/>
      <c r="B565" s="687"/>
      <c r="C565" s="243"/>
      <c r="D565" s="244"/>
      <c r="E565" s="164"/>
      <c r="F565" s="174"/>
      <c r="G565" s="174"/>
      <c r="H565" s="174"/>
      <c r="I565" s="174"/>
      <c r="J565" s="174"/>
      <c r="K565" s="174"/>
      <c r="Q565" s="244"/>
    </row>
    <row r="566" spans="1:17" ht="15.75" customHeight="1">
      <c r="A566" s="686"/>
      <c r="B566" s="687"/>
      <c r="C566" s="243"/>
      <c r="D566" s="244"/>
      <c r="E566" s="164"/>
      <c r="F566" s="174"/>
      <c r="G566" s="174"/>
      <c r="H566" s="174"/>
      <c r="I566" s="174"/>
      <c r="J566" s="174"/>
      <c r="K566" s="174"/>
      <c r="Q566" s="244"/>
    </row>
    <row r="567" spans="1:17" ht="15.75" customHeight="1">
      <c r="A567" s="686"/>
      <c r="B567" s="687"/>
      <c r="C567" s="243"/>
      <c r="D567" s="244"/>
      <c r="E567" s="164"/>
      <c r="F567" s="174"/>
      <c r="G567" s="174"/>
      <c r="H567" s="174"/>
      <c r="I567" s="174"/>
      <c r="J567" s="174"/>
      <c r="K567" s="174"/>
      <c r="Q567" s="244"/>
    </row>
    <row r="568" spans="1:17" ht="15.75" customHeight="1">
      <c r="A568" s="686"/>
      <c r="B568" s="687"/>
      <c r="C568" s="243"/>
      <c r="D568" s="244"/>
      <c r="E568" s="164"/>
      <c r="F568" s="174"/>
      <c r="G568" s="174"/>
      <c r="H568" s="174"/>
      <c r="I568" s="174"/>
      <c r="J568" s="174"/>
      <c r="K568" s="174"/>
      <c r="Q568" s="244"/>
    </row>
    <row r="569" spans="1:17" ht="15.75" customHeight="1">
      <c r="A569" s="686"/>
      <c r="B569" s="687"/>
      <c r="C569" s="243"/>
      <c r="D569" s="244"/>
      <c r="E569" s="164"/>
      <c r="F569" s="174"/>
      <c r="G569" s="174"/>
      <c r="H569" s="174"/>
      <c r="I569" s="174"/>
      <c r="J569" s="174"/>
      <c r="K569" s="174"/>
      <c r="Q569" s="244"/>
    </row>
    <row r="570" spans="1:17" ht="15.75" customHeight="1">
      <c r="A570" s="686"/>
      <c r="B570" s="687"/>
      <c r="C570" s="243"/>
      <c r="D570" s="244"/>
      <c r="E570" s="164"/>
      <c r="F570" s="174"/>
      <c r="G570" s="174"/>
      <c r="H570" s="174"/>
      <c r="I570" s="174"/>
      <c r="J570" s="174"/>
      <c r="K570" s="174"/>
      <c r="Q570" s="244"/>
    </row>
    <row r="571" spans="1:17" ht="15.75" customHeight="1">
      <c r="A571" s="686"/>
      <c r="B571" s="687"/>
      <c r="C571" s="243"/>
      <c r="D571" s="244"/>
      <c r="E571" s="164"/>
      <c r="F571" s="174"/>
      <c r="G571" s="174"/>
      <c r="H571" s="174"/>
      <c r="I571" s="174"/>
      <c r="J571" s="174"/>
      <c r="K571" s="174"/>
      <c r="Q571" s="244"/>
    </row>
    <row r="572" spans="1:17" ht="15.75" customHeight="1">
      <c r="A572" s="686"/>
      <c r="B572" s="687"/>
      <c r="C572" s="243"/>
      <c r="D572" s="244"/>
      <c r="E572" s="164"/>
      <c r="F572" s="174"/>
      <c r="G572" s="174"/>
      <c r="H572" s="174"/>
      <c r="I572" s="174"/>
      <c r="J572" s="174"/>
      <c r="K572" s="174"/>
      <c r="Q572" s="244"/>
    </row>
    <row r="573" spans="1:17" ht="15.75" customHeight="1">
      <c r="A573" s="686"/>
      <c r="B573" s="687"/>
      <c r="C573" s="243"/>
      <c r="D573" s="244"/>
      <c r="E573" s="164"/>
      <c r="F573" s="174"/>
      <c r="G573" s="174"/>
      <c r="H573" s="174"/>
      <c r="I573" s="174"/>
      <c r="J573" s="174"/>
      <c r="K573" s="174"/>
      <c r="Q573" s="244"/>
    </row>
    <row r="574" spans="1:17" ht="15.75" customHeight="1">
      <c r="A574" s="686"/>
      <c r="B574" s="687"/>
      <c r="C574" s="243"/>
      <c r="D574" s="244"/>
      <c r="E574" s="164"/>
      <c r="F574" s="174"/>
      <c r="G574" s="174"/>
      <c r="H574" s="174"/>
      <c r="I574" s="174"/>
      <c r="J574" s="174"/>
      <c r="K574" s="174"/>
      <c r="Q574" s="244"/>
    </row>
    <row r="575" spans="1:17" ht="15.75" customHeight="1">
      <c r="A575" s="686"/>
      <c r="B575" s="687"/>
      <c r="C575" s="243"/>
      <c r="D575" s="244"/>
      <c r="E575" s="164"/>
      <c r="F575" s="174"/>
      <c r="G575" s="174"/>
      <c r="H575" s="174"/>
      <c r="I575" s="174"/>
      <c r="J575" s="174"/>
      <c r="K575" s="174"/>
      <c r="Q575" s="244"/>
    </row>
    <row r="576" spans="1:17" ht="15.75" customHeight="1">
      <c r="A576" s="686"/>
      <c r="B576" s="687"/>
      <c r="C576" s="243"/>
      <c r="D576" s="244"/>
      <c r="E576" s="164"/>
      <c r="F576" s="174"/>
      <c r="G576" s="174"/>
      <c r="H576" s="174"/>
      <c r="I576" s="174"/>
      <c r="J576" s="174"/>
      <c r="K576" s="174"/>
      <c r="Q576" s="244"/>
    </row>
    <row r="577" spans="1:17" ht="15.75" customHeight="1">
      <c r="A577" s="686"/>
      <c r="B577" s="687"/>
      <c r="C577" s="243"/>
      <c r="D577" s="244"/>
      <c r="E577" s="164"/>
      <c r="F577" s="174"/>
      <c r="G577" s="174"/>
      <c r="H577" s="174"/>
      <c r="I577" s="174"/>
      <c r="J577" s="174"/>
      <c r="K577" s="174"/>
      <c r="Q577" s="244"/>
    </row>
    <row r="578" spans="1:17" ht="15.75" customHeight="1">
      <c r="A578" s="686"/>
      <c r="B578" s="687"/>
      <c r="C578" s="243"/>
      <c r="D578" s="244"/>
      <c r="E578" s="164"/>
      <c r="F578" s="174"/>
      <c r="G578" s="174"/>
      <c r="H578" s="174"/>
      <c r="I578" s="174"/>
      <c r="J578" s="174"/>
      <c r="K578" s="174"/>
      <c r="Q578" s="244"/>
    </row>
    <row r="579" spans="1:17" ht="15.75" customHeight="1">
      <c r="A579" s="686"/>
      <c r="B579" s="687"/>
      <c r="C579" s="243"/>
      <c r="D579" s="244"/>
      <c r="E579" s="164"/>
      <c r="F579" s="174"/>
      <c r="G579" s="174"/>
      <c r="H579" s="174"/>
      <c r="I579" s="174"/>
      <c r="J579" s="174"/>
      <c r="K579" s="174"/>
      <c r="Q579" s="244"/>
    </row>
    <row r="580" spans="1:17" ht="15.75" customHeight="1">
      <c r="A580" s="686"/>
      <c r="B580" s="687"/>
      <c r="C580" s="243"/>
      <c r="D580" s="244"/>
      <c r="E580" s="164"/>
      <c r="F580" s="174"/>
      <c r="G580" s="174"/>
      <c r="H580" s="174"/>
      <c r="I580" s="174"/>
      <c r="J580" s="174"/>
      <c r="K580" s="174"/>
      <c r="Q580" s="244"/>
    </row>
    <row r="581" spans="1:17" ht="15.75" customHeight="1">
      <c r="A581" s="686"/>
      <c r="B581" s="687"/>
      <c r="C581" s="243"/>
      <c r="D581" s="244"/>
      <c r="E581" s="164"/>
      <c r="F581" s="174"/>
      <c r="G581" s="174"/>
      <c r="H581" s="174"/>
      <c r="I581" s="174"/>
      <c r="J581" s="174"/>
      <c r="K581" s="174"/>
      <c r="Q581" s="244"/>
    </row>
    <row r="582" spans="1:17" ht="15.75" customHeight="1">
      <c r="A582" s="686"/>
      <c r="B582" s="687"/>
      <c r="C582" s="243"/>
      <c r="D582" s="244"/>
      <c r="E582" s="164"/>
      <c r="F582" s="174"/>
      <c r="G582" s="174"/>
      <c r="H582" s="174"/>
      <c r="I582" s="174"/>
      <c r="J582" s="174"/>
      <c r="K582" s="174"/>
      <c r="Q582" s="244"/>
    </row>
    <row r="583" spans="1:17" ht="15.75" customHeight="1">
      <c r="A583" s="686"/>
      <c r="B583" s="687"/>
      <c r="C583" s="243"/>
      <c r="D583" s="244"/>
      <c r="E583" s="164"/>
      <c r="F583" s="174"/>
      <c r="G583" s="174"/>
      <c r="H583" s="174"/>
      <c r="I583" s="174"/>
      <c r="J583" s="174"/>
      <c r="K583" s="174"/>
      <c r="Q583" s="244"/>
    </row>
    <row r="584" spans="1:17" ht="15.75" customHeight="1">
      <c r="A584" s="686"/>
      <c r="B584" s="687"/>
      <c r="C584" s="243"/>
      <c r="D584" s="244"/>
      <c r="E584" s="164"/>
      <c r="F584" s="174"/>
      <c r="G584" s="174"/>
      <c r="H584" s="174"/>
      <c r="I584" s="174"/>
      <c r="J584" s="174"/>
      <c r="K584" s="174"/>
      <c r="Q584" s="244"/>
    </row>
    <row r="585" spans="1:17" ht="15.75" customHeight="1">
      <c r="A585" s="686"/>
      <c r="B585" s="687"/>
      <c r="C585" s="243"/>
      <c r="D585" s="244"/>
      <c r="E585" s="164"/>
      <c r="F585" s="174"/>
      <c r="G585" s="174"/>
      <c r="H585" s="174"/>
      <c r="I585" s="174"/>
      <c r="J585" s="174"/>
      <c r="K585" s="174"/>
      <c r="Q585" s="244"/>
    </row>
    <row r="586" spans="1:17" ht="15.75" customHeight="1">
      <c r="A586" s="686"/>
      <c r="B586" s="687"/>
      <c r="C586" s="243"/>
      <c r="D586" s="244"/>
      <c r="E586" s="164"/>
      <c r="F586" s="174"/>
      <c r="G586" s="174"/>
      <c r="H586" s="174"/>
      <c r="I586" s="174"/>
      <c r="J586" s="174"/>
      <c r="K586" s="174"/>
      <c r="Q586" s="244"/>
    </row>
    <row r="587" spans="1:17" ht="15.75" customHeight="1">
      <c r="A587" s="686"/>
      <c r="B587" s="687"/>
      <c r="C587" s="243"/>
      <c r="D587" s="244"/>
      <c r="E587" s="164"/>
      <c r="F587" s="174"/>
      <c r="G587" s="174"/>
      <c r="H587" s="174"/>
      <c r="I587" s="174"/>
      <c r="J587" s="174"/>
      <c r="K587" s="174"/>
      <c r="Q587" s="244"/>
    </row>
    <row r="588" spans="1:17" ht="15.75" customHeight="1">
      <c r="A588" s="686"/>
      <c r="B588" s="687"/>
      <c r="C588" s="243"/>
      <c r="D588" s="244"/>
      <c r="E588" s="164"/>
      <c r="F588" s="174"/>
      <c r="G588" s="174"/>
      <c r="H588" s="174"/>
      <c r="I588" s="174"/>
      <c r="J588" s="174"/>
      <c r="K588" s="174"/>
      <c r="Q588" s="244"/>
    </row>
    <row r="589" spans="1:17" ht="15.75" customHeight="1">
      <c r="A589" s="686"/>
      <c r="B589" s="687"/>
      <c r="C589" s="243"/>
      <c r="D589" s="244"/>
      <c r="E589" s="164"/>
      <c r="F589" s="174"/>
      <c r="G589" s="174"/>
      <c r="H589" s="174"/>
      <c r="I589" s="174"/>
      <c r="J589" s="174"/>
      <c r="K589" s="174"/>
      <c r="Q589" s="244"/>
    </row>
    <row r="590" spans="1:17" ht="15.75" customHeight="1">
      <c r="A590" s="686"/>
      <c r="B590" s="687"/>
      <c r="C590" s="243"/>
      <c r="D590" s="244"/>
      <c r="E590" s="164"/>
      <c r="F590" s="174"/>
      <c r="G590" s="174"/>
      <c r="H590" s="174"/>
      <c r="I590" s="174"/>
      <c r="J590" s="174"/>
      <c r="K590" s="174"/>
      <c r="Q590" s="244"/>
    </row>
    <row r="591" spans="1:17" ht="15.75" customHeight="1">
      <c r="A591" s="686"/>
      <c r="B591" s="687"/>
      <c r="C591" s="243"/>
      <c r="D591" s="244"/>
      <c r="E591" s="164"/>
      <c r="F591" s="174"/>
      <c r="G591" s="174"/>
      <c r="H591" s="174"/>
      <c r="I591" s="174"/>
      <c r="J591" s="174"/>
      <c r="K591" s="174"/>
      <c r="Q591" s="244"/>
    </row>
    <row r="592" spans="1:17" ht="15.75" customHeight="1">
      <c r="A592" s="686"/>
      <c r="B592" s="687"/>
      <c r="C592" s="243"/>
      <c r="D592" s="244"/>
      <c r="E592" s="164"/>
      <c r="F592" s="174"/>
      <c r="G592" s="174"/>
      <c r="H592" s="174"/>
      <c r="I592" s="174"/>
      <c r="J592" s="174"/>
      <c r="K592" s="174"/>
      <c r="Q592" s="244"/>
    </row>
    <row r="593" spans="1:17" ht="15.75" customHeight="1">
      <c r="A593" s="686"/>
      <c r="B593" s="687"/>
      <c r="C593" s="243"/>
      <c r="D593" s="244"/>
      <c r="E593" s="164"/>
      <c r="F593" s="174"/>
      <c r="G593" s="174"/>
      <c r="H593" s="174"/>
      <c r="I593" s="174"/>
      <c r="J593" s="174"/>
      <c r="K593" s="174"/>
      <c r="Q593" s="244"/>
    </row>
    <row r="594" spans="1:17" ht="15.75" customHeight="1">
      <c r="A594" s="686"/>
      <c r="B594" s="687"/>
      <c r="C594" s="243"/>
      <c r="D594" s="244"/>
      <c r="E594" s="164"/>
      <c r="F594" s="174"/>
      <c r="G594" s="174"/>
      <c r="H594" s="174"/>
      <c r="I594" s="174"/>
      <c r="J594" s="174"/>
      <c r="K594" s="174"/>
      <c r="Q594" s="244"/>
    </row>
    <row r="595" spans="1:17" ht="15.75" customHeight="1">
      <c r="A595" s="686"/>
      <c r="B595" s="687"/>
      <c r="C595" s="243"/>
      <c r="D595" s="244"/>
      <c r="E595" s="164"/>
      <c r="F595" s="174"/>
      <c r="G595" s="174"/>
      <c r="H595" s="174"/>
      <c r="I595" s="174"/>
      <c r="J595" s="174"/>
      <c r="K595" s="174"/>
      <c r="Q595" s="244"/>
    </row>
    <row r="596" spans="1:17" ht="15.75" customHeight="1">
      <c r="A596" s="686"/>
      <c r="B596" s="687"/>
      <c r="C596" s="243"/>
      <c r="D596" s="244"/>
      <c r="E596" s="164"/>
      <c r="F596" s="174"/>
      <c r="G596" s="174"/>
      <c r="H596" s="174"/>
      <c r="I596" s="174"/>
      <c r="J596" s="174"/>
      <c r="K596" s="174"/>
      <c r="Q596" s="244"/>
    </row>
    <row r="597" spans="1:17" ht="15.75" customHeight="1">
      <c r="A597" s="686"/>
      <c r="B597" s="687"/>
      <c r="C597" s="243"/>
      <c r="D597" s="244"/>
      <c r="E597" s="164"/>
      <c r="F597" s="174"/>
      <c r="G597" s="174"/>
      <c r="H597" s="174"/>
      <c r="I597" s="174"/>
      <c r="J597" s="174"/>
      <c r="K597" s="174"/>
      <c r="Q597" s="244"/>
    </row>
    <row r="598" spans="1:17" ht="15.75" customHeight="1">
      <c r="A598" s="686"/>
      <c r="B598" s="687"/>
      <c r="C598" s="243"/>
      <c r="D598" s="244"/>
      <c r="E598" s="164"/>
      <c r="F598" s="174"/>
      <c r="G598" s="174"/>
      <c r="H598" s="174"/>
      <c r="I598" s="174"/>
      <c r="J598" s="174"/>
      <c r="K598" s="174"/>
      <c r="Q598" s="244"/>
    </row>
    <row r="599" spans="1:17" ht="15.75" customHeight="1">
      <c r="A599" s="686"/>
      <c r="B599" s="687"/>
      <c r="C599" s="243"/>
      <c r="D599" s="244"/>
      <c r="E599" s="164"/>
      <c r="F599" s="174"/>
      <c r="G599" s="174"/>
      <c r="H599" s="174"/>
      <c r="I599" s="174"/>
      <c r="J599" s="174"/>
      <c r="K599" s="174"/>
      <c r="Q599" s="244"/>
    </row>
    <row r="600" spans="1:17" ht="15.75" customHeight="1">
      <c r="A600" s="686"/>
      <c r="B600" s="687"/>
      <c r="C600" s="243"/>
      <c r="D600" s="244"/>
      <c r="E600" s="164"/>
      <c r="F600" s="174"/>
      <c r="G600" s="174"/>
      <c r="H600" s="174"/>
      <c r="I600" s="174"/>
      <c r="J600" s="174"/>
      <c r="K600" s="174"/>
      <c r="Q600" s="244"/>
    </row>
    <row r="601" spans="1:17" ht="15.75" customHeight="1">
      <c r="A601" s="686"/>
      <c r="B601" s="687"/>
      <c r="C601" s="243"/>
      <c r="D601" s="244"/>
      <c r="E601" s="164"/>
      <c r="F601" s="174"/>
      <c r="G601" s="174"/>
      <c r="H601" s="174"/>
      <c r="I601" s="174"/>
      <c r="J601" s="174"/>
      <c r="K601" s="174"/>
      <c r="Q601" s="244"/>
    </row>
    <row r="602" spans="1:17" ht="15.75" customHeight="1">
      <c r="A602" s="686"/>
      <c r="B602" s="687"/>
      <c r="C602" s="243"/>
      <c r="D602" s="244"/>
      <c r="E602" s="164"/>
      <c r="F602" s="174"/>
      <c r="G602" s="174"/>
      <c r="H602" s="174"/>
      <c r="I602" s="174"/>
      <c r="J602" s="174"/>
      <c r="K602" s="174"/>
      <c r="Q602" s="244"/>
    </row>
    <row r="603" spans="1:17" ht="15.75" customHeight="1">
      <c r="A603" s="686"/>
      <c r="B603" s="687"/>
      <c r="C603" s="243"/>
      <c r="D603" s="244"/>
      <c r="E603" s="164"/>
      <c r="F603" s="174"/>
      <c r="G603" s="174"/>
      <c r="H603" s="174"/>
      <c r="I603" s="174"/>
      <c r="J603" s="174"/>
      <c r="K603" s="174"/>
      <c r="Q603" s="244"/>
    </row>
    <row r="604" spans="1:17" ht="15.75" customHeight="1">
      <c r="A604" s="686"/>
      <c r="B604" s="687"/>
      <c r="C604" s="243"/>
      <c r="D604" s="244"/>
      <c r="E604" s="164"/>
      <c r="F604" s="174"/>
      <c r="G604" s="174"/>
      <c r="H604" s="174"/>
      <c r="I604" s="174"/>
      <c r="J604" s="174"/>
      <c r="K604" s="174"/>
      <c r="Q604" s="244"/>
    </row>
    <row r="605" spans="1:17" ht="15.75" customHeight="1">
      <c r="A605" s="686"/>
      <c r="B605" s="687"/>
      <c r="C605" s="243"/>
      <c r="D605" s="244"/>
      <c r="E605" s="164"/>
      <c r="F605" s="174"/>
      <c r="G605" s="174"/>
      <c r="H605" s="174"/>
      <c r="I605" s="174"/>
      <c r="J605" s="174"/>
      <c r="K605" s="174"/>
      <c r="Q605" s="244"/>
    </row>
    <row r="606" spans="1:17" ht="15.75" customHeight="1">
      <c r="A606" s="686"/>
      <c r="B606" s="687"/>
      <c r="C606" s="243"/>
      <c r="D606" s="244"/>
      <c r="E606" s="164"/>
      <c r="F606" s="174"/>
      <c r="G606" s="174"/>
      <c r="H606" s="174"/>
      <c r="I606" s="174"/>
      <c r="J606" s="174"/>
      <c r="K606" s="174"/>
      <c r="Q606" s="244"/>
    </row>
    <row r="607" spans="1:17" ht="15.75" customHeight="1">
      <c r="A607" s="686"/>
      <c r="B607" s="687"/>
      <c r="C607" s="243"/>
      <c r="D607" s="244"/>
      <c r="E607" s="164"/>
      <c r="F607" s="174"/>
      <c r="G607" s="174"/>
      <c r="H607" s="174"/>
      <c r="I607" s="174"/>
      <c r="J607" s="174"/>
      <c r="K607" s="174"/>
      <c r="Q607" s="244"/>
    </row>
    <row r="608" spans="1:17" ht="15.75" customHeight="1">
      <c r="A608" s="686"/>
      <c r="B608" s="687"/>
      <c r="C608" s="243"/>
      <c r="D608" s="244"/>
      <c r="E608" s="164"/>
      <c r="F608" s="174"/>
      <c r="G608" s="174"/>
      <c r="H608" s="174"/>
      <c r="I608" s="174"/>
      <c r="J608" s="174"/>
      <c r="K608" s="174"/>
      <c r="Q608" s="244"/>
    </row>
    <row r="609" spans="1:17" ht="15.75" customHeight="1">
      <c r="A609" s="686"/>
      <c r="B609" s="687"/>
      <c r="C609" s="243"/>
      <c r="D609" s="244"/>
      <c r="E609" s="164"/>
      <c r="F609" s="174"/>
      <c r="G609" s="174"/>
      <c r="H609" s="174"/>
      <c r="I609" s="174"/>
      <c r="J609" s="174"/>
      <c r="K609" s="174"/>
      <c r="Q609" s="244"/>
    </row>
    <row r="610" spans="1:17" ht="15.75" customHeight="1">
      <c r="A610" s="686"/>
      <c r="B610" s="687"/>
      <c r="C610" s="243"/>
      <c r="D610" s="244"/>
      <c r="E610" s="164"/>
      <c r="F610" s="174"/>
      <c r="G610" s="174"/>
      <c r="H610" s="174"/>
      <c r="I610" s="174"/>
      <c r="J610" s="174"/>
      <c r="K610" s="174"/>
      <c r="Q610" s="244"/>
    </row>
    <row r="611" spans="1:17" ht="15.75" customHeight="1">
      <c r="A611" s="686"/>
      <c r="B611" s="687"/>
      <c r="C611" s="243"/>
      <c r="D611" s="244"/>
      <c r="E611" s="164"/>
      <c r="F611" s="174"/>
      <c r="G611" s="174"/>
      <c r="H611" s="174"/>
      <c r="I611" s="174"/>
      <c r="J611" s="174"/>
      <c r="K611" s="174"/>
      <c r="Q611" s="244"/>
    </row>
    <row r="612" spans="1:17" ht="15.75" customHeight="1">
      <c r="A612" s="686"/>
      <c r="B612" s="687"/>
      <c r="C612" s="243"/>
      <c r="D612" s="244"/>
      <c r="E612" s="164"/>
      <c r="F612" s="174"/>
      <c r="G612" s="174"/>
      <c r="H612" s="174"/>
      <c r="I612" s="174"/>
      <c r="J612" s="174"/>
      <c r="K612" s="174"/>
      <c r="Q612" s="244"/>
    </row>
    <row r="613" spans="1:17" ht="15.75" customHeight="1">
      <c r="A613" s="686"/>
      <c r="B613" s="687"/>
      <c r="C613" s="243"/>
      <c r="D613" s="244"/>
      <c r="E613" s="164"/>
      <c r="F613" s="174"/>
      <c r="G613" s="174"/>
      <c r="H613" s="174"/>
      <c r="I613" s="174"/>
      <c r="J613" s="174"/>
      <c r="K613" s="174"/>
      <c r="Q613" s="244"/>
    </row>
    <row r="614" spans="1:17" ht="15.75" customHeight="1">
      <c r="A614" s="686"/>
      <c r="B614" s="687"/>
      <c r="C614" s="243"/>
      <c r="D614" s="244"/>
      <c r="E614" s="164"/>
      <c r="F614" s="174"/>
      <c r="G614" s="174"/>
      <c r="H614" s="174"/>
      <c r="I614" s="174"/>
      <c r="J614" s="174"/>
      <c r="K614" s="174"/>
      <c r="Q614" s="244"/>
    </row>
    <row r="615" spans="1:17" ht="15.75" customHeight="1">
      <c r="A615" s="686"/>
      <c r="B615" s="687"/>
      <c r="C615" s="243"/>
      <c r="D615" s="244"/>
      <c r="E615" s="164"/>
      <c r="F615" s="174"/>
      <c r="G615" s="174"/>
      <c r="H615" s="174"/>
      <c r="I615" s="174"/>
      <c r="J615" s="174"/>
      <c r="K615" s="174"/>
      <c r="Q615" s="244"/>
    </row>
    <row r="616" spans="1:17" ht="15.75" customHeight="1">
      <c r="A616" s="686"/>
      <c r="B616" s="687"/>
      <c r="C616" s="243"/>
      <c r="D616" s="244"/>
      <c r="E616" s="164"/>
      <c r="F616" s="174"/>
      <c r="G616" s="174"/>
      <c r="H616" s="174"/>
      <c r="I616" s="174"/>
      <c r="J616" s="174"/>
      <c r="K616" s="174"/>
      <c r="Q616" s="244"/>
    </row>
    <row r="617" spans="1:17" ht="15.75" customHeight="1">
      <c r="A617" s="686"/>
      <c r="B617" s="687"/>
      <c r="C617" s="243"/>
      <c r="D617" s="244"/>
      <c r="E617" s="164"/>
      <c r="F617" s="174"/>
      <c r="G617" s="174"/>
      <c r="H617" s="174"/>
      <c r="I617" s="174"/>
      <c r="J617" s="174"/>
      <c r="K617" s="174"/>
      <c r="Q617" s="244"/>
    </row>
    <row r="618" spans="1:17" ht="15.75" customHeight="1">
      <c r="A618" s="686"/>
      <c r="B618" s="687"/>
      <c r="C618" s="243"/>
      <c r="D618" s="244"/>
      <c r="E618" s="164"/>
      <c r="F618" s="174"/>
      <c r="G618" s="174"/>
      <c r="H618" s="174"/>
      <c r="I618" s="174"/>
      <c r="J618" s="174"/>
      <c r="K618" s="174"/>
      <c r="Q618" s="244"/>
    </row>
    <row r="619" spans="1:17" ht="15.75" customHeight="1">
      <c r="A619" s="686"/>
      <c r="B619" s="687"/>
      <c r="C619" s="243"/>
      <c r="D619" s="244"/>
      <c r="E619" s="164"/>
      <c r="F619" s="174"/>
      <c r="G619" s="174"/>
      <c r="H619" s="174"/>
      <c r="I619" s="174"/>
      <c r="J619" s="174"/>
      <c r="K619" s="174"/>
      <c r="Q619" s="244"/>
    </row>
    <row r="620" spans="1:17" ht="15.75" customHeight="1">
      <c r="A620" s="686"/>
      <c r="B620" s="687"/>
      <c r="C620" s="243"/>
      <c r="D620" s="244"/>
      <c r="E620" s="164"/>
      <c r="F620" s="174"/>
      <c r="G620" s="174"/>
      <c r="H620" s="174"/>
      <c r="I620" s="174"/>
      <c r="J620" s="174"/>
      <c r="K620" s="174"/>
      <c r="Q620" s="244"/>
    </row>
    <row r="621" spans="1:17" ht="15.75" customHeight="1">
      <c r="A621" s="686"/>
      <c r="B621" s="687"/>
      <c r="C621" s="243"/>
      <c r="D621" s="244"/>
      <c r="E621" s="164"/>
      <c r="F621" s="174"/>
      <c r="G621" s="174"/>
      <c r="H621" s="174"/>
      <c r="I621" s="174"/>
      <c r="J621" s="174"/>
      <c r="K621" s="174"/>
      <c r="Q621" s="244"/>
    </row>
    <row r="622" spans="1:17" ht="15.75" customHeight="1">
      <c r="A622" s="686"/>
      <c r="B622" s="687"/>
      <c r="C622" s="243"/>
      <c r="D622" s="244"/>
      <c r="E622" s="164"/>
      <c r="F622" s="174"/>
      <c r="G622" s="174"/>
      <c r="H622" s="174"/>
      <c r="I622" s="174"/>
      <c r="J622" s="174"/>
      <c r="K622" s="174"/>
      <c r="Q622" s="244"/>
    </row>
    <row r="623" spans="1:17" ht="15.75" customHeight="1">
      <c r="A623" s="686"/>
      <c r="B623" s="687"/>
      <c r="C623" s="243"/>
      <c r="D623" s="244"/>
      <c r="E623" s="164"/>
      <c r="F623" s="174"/>
      <c r="G623" s="174"/>
      <c r="H623" s="174"/>
      <c r="I623" s="174"/>
      <c r="J623" s="174"/>
      <c r="K623" s="174"/>
      <c r="Q623" s="244"/>
    </row>
    <row r="624" spans="1:17" ht="15.75" customHeight="1">
      <c r="A624" s="686"/>
      <c r="B624" s="687"/>
      <c r="C624" s="243"/>
      <c r="D624" s="244"/>
      <c r="E624" s="164"/>
      <c r="F624" s="174"/>
      <c r="G624" s="174"/>
      <c r="H624" s="174"/>
      <c r="I624" s="174"/>
      <c r="J624" s="174"/>
      <c r="K624" s="174"/>
      <c r="Q624" s="244"/>
    </row>
    <row r="625" spans="1:17" ht="15.75" customHeight="1">
      <c r="A625" s="686"/>
      <c r="B625" s="687"/>
      <c r="C625" s="243"/>
      <c r="D625" s="244"/>
      <c r="E625" s="164"/>
      <c r="F625" s="174"/>
      <c r="G625" s="174"/>
      <c r="H625" s="174"/>
      <c r="I625" s="174"/>
      <c r="J625" s="174"/>
      <c r="K625" s="174"/>
      <c r="Q625" s="244"/>
    </row>
    <row r="626" spans="1:17" ht="15.75" customHeight="1">
      <c r="A626" s="686"/>
      <c r="B626" s="687"/>
      <c r="C626" s="243"/>
      <c r="D626" s="244"/>
      <c r="E626" s="164"/>
      <c r="F626" s="174"/>
      <c r="G626" s="174"/>
      <c r="H626" s="174"/>
      <c r="I626" s="174"/>
      <c r="J626" s="174"/>
      <c r="K626" s="174"/>
      <c r="Q626" s="244"/>
    </row>
    <row r="627" spans="1:17" ht="15.75" customHeight="1">
      <c r="A627" s="686"/>
      <c r="B627" s="687"/>
      <c r="C627" s="243"/>
      <c r="D627" s="244"/>
      <c r="E627" s="164"/>
      <c r="F627" s="174"/>
      <c r="G627" s="174"/>
      <c r="H627" s="174"/>
      <c r="I627" s="174"/>
      <c r="J627" s="174"/>
      <c r="K627" s="174"/>
      <c r="Q627" s="244"/>
    </row>
    <row r="628" spans="1:17" ht="15.75" customHeight="1">
      <c r="A628" s="686"/>
      <c r="B628" s="687"/>
      <c r="C628" s="243"/>
      <c r="D628" s="244"/>
      <c r="E628" s="164"/>
      <c r="F628" s="174"/>
      <c r="G628" s="174"/>
      <c r="H628" s="174"/>
      <c r="I628" s="174"/>
      <c r="J628" s="174"/>
      <c r="K628" s="174"/>
      <c r="Q628" s="244"/>
    </row>
    <row r="629" spans="1:17" ht="15.75" customHeight="1">
      <c r="A629" s="686"/>
      <c r="B629" s="687"/>
      <c r="C629" s="243"/>
      <c r="D629" s="244"/>
      <c r="E629" s="164"/>
      <c r="F629" s="174"/>
      <c r="G629" s="174"/>
      <c r="H629" s="174"/>
      <c r="I629" s="174"/>
      <c r="J629" s="174"/>
      <c r="K629" s="174"/>
      <c r="Q629" s="244"/>
    </row>
    <row r="630" spans="1:17" ht="15.75" customHeight="1">
      <c r="A630" s="686"/>
      <c r="B630" s="687"/>
      <c r="C630" s="243"/>
      <c r="D630" s="244"/>
      <c r="E630" s="164"/>
      <c r="F630" s="174"/>
      <c r="G630" s="174"/>
      <c r="H630" s="174"/>
      <c r="I630" s="174"/>
      <c r="J630" s="174"/>
      <c r="K630" s="174"/>
      <c r="Q630" s="244"/>
    </row>
    <row r="631" spans="1:17" ht="15.75" customHeight="1">
      <c r="A631" s="686"/>
      <c r="B631" s="687"/>
      <c r="C631" s="243"/>
      <c r="D631" s="244"/>
      <c r="E631" s="164"/>
      <c r="F631" s="174"/>
      <c r="G631" s="174"/>
      <c r="H631" s="174"/>
      <c r="I631" s="174"/>
      <c r="J631" s="174"/>
      <c r="K631" s="174"/>
      <c r="Q631" s="244"/>
    </row>
    <row r="632" spans="1:17" ht="15.75" customHeight="1">
      <c r="A632" s="686"/>
      <c r="B632" s="687"/>
      <c r="C632" s="243"/>
      <c r="D632" s="244"/>
      <c r="E632" s="164"/>
      <c r="F632" s="174"/>
      <c r="G632" s="174"/>
      <c r="H632" s="174"/>
      <c r="I632" s="174"/>
      <c r="J632" s="174"/>
      <c r="K632" s="174"/>
      <c r="Q632" s="244"/>
    </row>
    <row r="633" spans="1:17" ht="15.75" customHeight="1">
      <c r="A633" s="686"/>
      <c r="B633" s="687"/>
      <c r="C633" s="243"/>
      <c r="D633" s="244"/>
      <c r="E633" s="164"/>
      <c r="F633" s="174"/>
      <c r="G633" s="174"/>
      <c r="H633" s="174"/>
      <c r="I633" s="174"/>
      <c r="J633" s="174"/>
      <c r="K633" s="174"/>
      <c r="Q633" s="244"/>
    </row>
    <row r="634" spans="1:17" ht="15.75" customHeight="1">
      <c r="A634" s="686"/>
      <c r="B634" s="687"/>
      <c r="C634" s="243"/>
      <c r="D634" s="244"/>
      <c r="E634" s="164"/>
      <c r="F634" s="174"/>
      <c r="G634" s="174"/>
      <c r="H634" s="174"/>
      <c r="I634" s="174"/>
      <c r="J634" s="174"/>
      <c r="K634" s="174"/>
      <c r="Q634" s="244"/>
    </row>
    <row r="635" spans="1:17" ht="15.75" customHeight="1">
      <c r="A635" s="686"/>
      <c r="B635" s="687"/>
      <c r="C635" s="243"/>
      <c r="D635" s="244"/>
      <c r="E635" s="164"/>
      <c r="F635" s="174"/>
      <c r="G635" s="174"/>
      <c r="H635" s="174"/>
      <c r="I635" s="174"/>
      <c r="J635" s="174"/>
      <c r="K635" s="174"/>
      <c r="Q635" s="244"/>
    </row>
    <row r="636" spans="1:17" ht="15.75" customHeight="1">
      <c r="A636" s="686"/>
      <c r="B636" s="687"/>
      <c r="C636" s="243"/>
      <c r="D636" s="244"/>
      <c r="E636" s="164"/>
      <c r="F636" s="174"/>
      <c r="G636" s="174"/>
      <c r="H636" s="174"/>
      <c r="I636" s="174"/>
      <c r="J636" s="174"/>
      <c r="K636" s="174"/>
      <c r="Q636" s="244"/>
    </row>
    <row r="637" spans="1:17" ht="15.75" customHeight="1">
      <c r="A637" s="686"/>
      <c r="B637" s="687"/>
      <c r="C637" s="243"/>
      <c r="D637" s="244"/>
      <c r="E637" s="164"/>
      <c r="F637" s="174"/>
      <c r="G637" s="174"/>
      <c r="H637" s="174"/>
      <c r="I637" s="174"/>
      <c r="J637" s="174"/>
      <c r="K637" s="174"/>
      <c r="Q637" s="244"/>
    </row>
    <row r="638" spans="1:17" ht="15.75" customHeight="1">
      <c r="A638" s="686"/>
      <c r="B638" s="687"/>
      <c r="C638" s="243"/>
      <c r="D638" s="244"/>
      <c r="E638" s="164"/>
      <c r="F638" s="174"/>
      <c r="G638" s="174"/>
      <c r="H638" s="174"/>
      <c r="I638" s="174"/>
      <c r="J638" s="174"/>
      <c r="K638" s="174"/>
      <c r="Q638" s="244"/>
    </row>
    <row r="639" spans="1:17" ht="15.75" customHeight="1">
      <c r="A639" s="686"/>
      <c r="B639" s="687"/>
      <c r="C639" s="243"/>
      <c r="D639" s="244"/>
      <c r="E639" s="164"/>
      <c r="F639" s="174"/>
      <c r="G639" s="174"/>
      <c r="H639" s="174"/>
      <c r="I639" s="174"/>
      <c r="J639" s="174"/>
      <c r="K639" s="174"/>
      <c r="Q639" s="244"/>
    </row>
    <row r="640" spans="1:17" ht="15.75" customHeight="1">
      <c r="A640" s="686"/>
      <c r="B640" s="687"/>
      <c r="C640" s="243"/>
      <c r="D640" s="244"/>
      <c r="E640" s="164"/>
      <c r="F640" s="174"/>
      <c r="G640" s="174"/>
      <c r="H640" s="174"/>
      <c r="I640" s="174"/>
      <c r="J640" s="174"/>
      <c r="K640" s="174"/>
      <c r="Q640" s="244"/>
    </row>
    <row r="641" spans="1:17" ht="15.75" customHeight="1">
      <c r="A641" s="686"/>
      <c r="B641" s="687"/>
      <c r="C641" s="243"/>
      <c r="D641" s="244"/>
      <c r="E641" s="164"/>
      <c r="F641" s="174"/>
      <c r="G641" s="174"/>
      <c r="H641" s="174"/>
      <c r="I641" s="174"/>
      <c r="J641" s="174"/>
      <c r="K641" s="174"/>
      <c r="Q641" s="244"/>
    </row>
    <row r="642" spans="1:17" ht="15.75" customHeight="1">
      <c r="A642" s="686"/>
      <c r="B642" s="687"/>
      <c r="C642" s="243"/>
      <c r="D642" s="244"/>
      <c r="E642" s="164"/>
      <c r="F642" s="174"/>
      <c r="G642" s="174"/>
      <c r="H642" s="174"/>
      <c r="I642" s="174"/>
      <c r="J642" s="174"/>
      <c r="K642" s="174"/>
      <c r="Q642" s="244"/>
    </row>
    <row r="643" spans="1:17" ht="15.75" customHeight="1">
      <c r="A643" s="686"/>
      <c r="B643" s="687"/>
      <c r="C643" s="243"/>
      <c r="D643" s="244"/>
      <c r="E643" s="164"/>
      <c r="F643" s="174"/>
      <c r="G643" s="174"/>
      <c r="H643" s="174"/>
      <c r="I643" s="174"/>
      <c r="J643" s="174"/>
      <c r="K643" s="174"/>
      <c r="Q643" s="244"/>
    </row>
    <row r="644" spans="1:17" ht="15.75" customHeight="1">
      <c r="A644" s="686"/>
      <c r="B644" s="687"/>
      <c r="C644" s="243"/>
      <c r="D644" s="244"/>
      <c r="E644" s="164"/>
      <c r="F644" s="174"/>
      <c r="G644" s="174"/>
      <c r="H644" s="174"/>
      <c r="I644" s="174"/>
      <c r="J644" s="174"/>
      <c r="K644" s="174"/>
      <c r="Q644" s="244"/>
    </row>
    <row r="645" spans="1:17" ht="15.75" customHeight="1">
      <c r="A645" s="686"/>
      <c r="B645" s="687"/>
      <c r="C645" s="243"/>
      <c r="D645" s="244"/>
      <c r="E645" s="164"/>
      <c r="F645" s="174"/>
      <c r="G645" s="174"/>
      <c r="H645" s="174"/>
      <c r="I645" s="174"/>
      <c r="J645" s="174"/>
      <c r="K645" s="174"/>
      <c r="Q645" s="244"/>
    </row>
    <row r="646" spans="1:17" ht="15.75" customHeight="1">
      <c r="A646" s="686"/>
      <c r="B646" s="687"/>
      <c r="C646" s="243"/>
      <c r="D646" s="244"/>
      <c r="E646" s="164"/>
      <c r="F646" s="174"/>
      <c r="G646" s="174"/>
      <c r="H646" s="174"/>
      <c r="I646" s="174"/>
      <c r="J646" s="174"/>
      <c r="K646" s="174"/>
      <c r="Q646" s="244"/>
    </row>
    <row r="647" spans="1:17" ht="15.75" customHeight="1">
      <c r="A647" s="686"/>
      <c r="B647" s="687"/>
      <c r="C647" s="243"/>
      <c r="D647" s="244"/>
      <c r="E647" s="164"/>
      <c r="F647" s="174"/>
      <c r="G647" s="174"/>
      <c r="H647" s="174"/>
      <c r="I647" s="174"/>
      <c r="J647" s="174"/>
      <c r="K647" s="174"/>
      <c r="Q647" s="244"/>
    </row>
    <row r="648" spans="1:17" ht="15.75" customHeight="1">
      <c r="A648" s="686"/>
      <c r="B648" s="687"/>
      <c r="C648" s="243"/>
      <c r="D648" s="244"/>
      <c r="E648" s="164"/>
      <c r="F648" s="174"/>
      <c r="G648" s="174"/>
      <c r="H648" s="174"/>
      <c r="I648" s="174"/>
      <c r="J648" s="174"/>
      <c r="K648" s="174"/>
      <c r="Q648" s="244"/>
    </row>
    <row r="649" spans="1:17" ht="15.75" customHeight="1">
      <c r="A649" s="686"/>
      <c r="B649" s="687"/>
      <c r="C649" s="243"/>
      <c r="D649" s="244"/>
      <c r="E649" s="164"/>
      <c r="F649" s="174"/>
      <c r="G649" s="174"/>
      <c r="H649" s="174"/>
      <c r="I649" s="174"/>
      <c r="J649" s="174"/>
      <c r="K649" s="174"/>
      <c r="Q649" s="244"/>
    </row>
    <row r="650" spans="1:17" ht="15.75" customHeight="1">
      <c r="A650" s="686"/>
      <c r="B650" s="687"/>
      <c r="C650" s="243"/>
      <c r="D650" s="244"/>
      <c r="E650" s="164"/>
      <c r="F650" s="174"/>
      <c r="G650" s="174"/>
      <c r="H650" s="174"/>
      <c r="I650" s="174"/>
      <c r="J650" s="174"/>
      <c r="K650" s="174"/>
      <c r="Q650" s="244"/>
    </row>
    <row r="651" spans="1:17" ht="15.75" customHeight="1">
      <c r="A651" s="686"/>
      <c r="B651" s="687"/>
      <c r="C651" s="243"/>
      <c r="D651" s="244"/>
      <c r="E651" s="164"/>
      <c r="F651" s="174"/>
      <c r="G651" s="174"/>
      <c r="H651" s="174"/>
      <c r="I651" s="174"/>
      <c r="J651" s="174"/>
      <c r="K651" s="174"/>
      <c r="Q651" s="244"/>
    </row>
    <row r="652" spans="1:17" ht="15.75" customHeight="1">
      <c r="A652" s="686"/>
      <c r="B652" s="687"/>
      <c r="C652" s="243"/>
      <c r="D652" s="244"/>
      <c r="E652" s="164"/>
      <c r="F652" s="174"/>
      <c r="G652" s="174"/>
      <c r="H652" s="174"/>
      <c r="I652" s="174"/>
      <c r="J652" s="174"/>
      <c r="K652" s="174"/>
      <c r="Q652" s="244"/>
    </row>
    <row r="653" spans="1:17" ht="15.75" customHeight="1">
      <c r="A653" s="686"/>
      <c r="B653" s="687"/>
      <c r="C653" s="243"/>
      <c r="D653" s="244"/>
      <c r="E653" s="164"/>
      <c r="F653" s="174"/>
      <c r="G653" s="174"/>
      <c r="H653" s="174"/>
      <c r="I653" s="174"/>
      <c r="J653" s="174"/>
      <c r="K653" s="174"/>
      <c r="Q653" s="244"/>
    </row>
    <row r="654" spans="1:17" ht="15.75" customHeight="1">
      <c r="A654" s="686"/>
      <c r="B654" s="687"/>
      <c r="C654" s="243"/>
      <c r="D654" s="244"/>
      <c r="E654" s="164"/>
      <c r="F654" s="174"/>
      <c r="G654" s="174"/>
      <c r="H654" s="174"/>
      <c r="I654" s="174"/>
      <c r="J654" s="174"/>
      <c r="K654" s="174"/>
      <c r="Q654" s="244"/>
    </row>
    <row r="655" spans="1:17" ht="15.75" customHeight="1">
      <c r="A655" s="686"/>
      <c r="B655" s="687"/>
      <c r="C655" s="243"/>
      <c r="D655" s="244"/>
      <c r="E655" s="164"/>
      <c r="F655" s="174"/>
      <c r="G655" s="174"/>
      <c r="H655" s="174"/>
      <c r="I655" s="174"/>
      <c r="J655" s="174"/>
      <c r="K655" s="174"/>
      <c r="Q655" s="244"/>
    </row>
    <row r="656" spans="1:17" ht="15.75" customHeight="1">
      <c r="A656" s="686"/>
      <c r="B656" s="687"/>
      <c r="C656" s="243"/>
      <c r="D656" s="244"/>
      <c r="E656" s="164"/>
      <c r="F656" s="174"/>
      <c r="G656" s="174"/>
      <c r="H656" s="174"/>
      <c r="I656" s="174"/>
      <c r="J656" s="174"/>
      <c r="K656" s="174"/>
      <c r="Q656" s="244"/>
    </row>
    <row r="657" spans="1:17" ht="15.75" customHeight="1">
      <c r="A657" s="686"/>
      <c r="B657" s="687"/>
      <c r="C657" s="243"/>
      <c r="D657" s="244"/>
      <c r="E657" s="164"/>
      <c r="F657" s="174"/>
      <c r="G657" s="174"/>
      <c r="H657" s="174"/>
      <c r="I657" s="174"/>
      <c r="J657" s="174"/>
      <c r="K657" s="174"/>
      <c r="Q657" s="244"/>
    </row>
    <row r="658" spans="1:17" ht="14.25" customHeight="1">
      <c r="A658" s="7"/>
      <c r="B658" s="7"/>
      <c r="C658" s="7"/>
      <c r="D658" s="7"/>
      <c r="E658" s="174"/>
      <c r="F658" s="174"/>
      <c r="G658" s="174"/>
      <c r="H658" s="174"/>
      <c r="I658" s="174"/>
      <c r="J658" s="174"/>
      <c r="K658" s="174"/>
      <c r="Q658" s="244"/>
    </row>
    <row r="659" spans="1:17" ht="14.25" customHeight="1">
      <c r="A659" s="7"/>
      <c r="B659" s="7"/>
      <c r="C659" s="7"/>
      <c r="D659" s="7"/>
      <c r="E659" s="174"/>
      <c r="F659" s="174"/>
      <c r="G659" s="174"/>
      <c r="H659" s="174"/>
      <c r="I659" s="174"/>
      <c r="J659" s="174"/>
      <c r="K659" s="174"/>
      <c r="Q659" s="244"/>
    </row>
    <row r="660" spans="1:17" ht="14.25" customHeight="1">
      <c r="A660" s="7"/>
      <c r="B660" s="7"/>
      <c r="C660" s="7"/>
      <c r="D660" s="7"/>
      <c r="E660" s="174"/>
      <c r="F660" s="174"/>
      <c r="G660" s="174"/>
      <c r="H660" s="174"/>
      <c r="I660" s="174"/>
      <c r="J660" s="174"/>
      <c r="K660" s="174"/>
      <c r="Q660" s="244"/>
    </row>
    <row r="661" spans="1:17" ht="14.25" customHeight="1">
      <c r="A661" s="7"/>
      <c r="B661" s="7"/>
      <c r="C661" s="7"/>
      <c r="D661" s="7"/>
      <c r="E661" s="174"/>
      <c r="F661" s="174"/>
      <c r="G661" s="174"/>
      <c r="H661" s="174"/>
      <c r="I661" s="174"/>
      <c r="J661" s="174"/>
      <c r="K661" s="174"/>
      <c r="Q661" s="244"/>
    </row>
    <row r="662" spans="1:17" ht="14.25" customHeight="1">
      <c r="A662" s="7"/>
      <c r="B662" s="7"/>
      <c r="C662" s="7"/>
      <c r="D662" s="7"/>
      <c r="E662" s="174"/>
      <c r="F662" s="174"/>
      <c r="G662" s="174"/>
      <c r="H662" s="174"/>
      <c r="I662" s="174"/>
      <c r="J662" s="174"/>
      <c r="K662" s="174"/>
      <c r="Q662" s="244"/>
    </row>
    <row r="663" spans="1:17" ht="14.25" customHeight="1">
      <c r="A663" s="7"/>
      <c r="B663" s="7"/>
      <c r="C663" s="7"/>
      <c r="D663" s="7"/>
      <c r="E663" s="174"/>
      <c r="F663" s="174"/>
      <c r="G663" s="174"/>
      <c r="H663" s="174"/>
      <c r="I663" s="174"/>
      <c r="J663" s="174"/>
      <c r="K663" s="174"/>
      <c r="Q663" s="244"/>
    </row>
    <row r="664" spans="1:17" ht="14.25" customHeight="1">
      <c r="A664" s="7"/>
      <c r="B664" s="7"/>
      <c r="C664" s="7"/>
      <c r="D664" s="7"/>
      <c r="E664" s="174"/>
      <c r="F664" s="174"/>
      <c r="G664" s="174"/>
      <c r="H664" s="174"/>
      <c r="I664" s="174"/>
      <c r="J664" s="174"/>
      <c r="K664" s="174"/>
      <c r="Q664" s="244"/>
    </row>
    <row r="665" spans="1:17" ht="14.25" customHeight="1">
      <c r="A665" s="7"/>
      <c r="B665" s="7"/>
      <c r="C665" s="7"/>
      <c r="D665" s="7"/>
      <c r="E665" s="174"/>
      <c r="F665" s="174"/>
      <c r="G665" s="174"/>
      <c r="H665" s="174"/>
      <c r="I665" s="174"/>
      <c r="J665" s="174"/>
      <c r="K665" s="174"/>
      <c r="Q665" s="244"/>
    </row>
    <row r="666" spans="1:17" ht="14.25" customHeight="1">
      <c r="A666" s="7"/>
      <c r="B666" s="7"/>
      <c r="C666" s="7"/>
      <c r="D666" s="7"/>
      <c r="E666" s="174"/>
      <c r="F666" s="174"/>
      <c r="G666" s="174"/>
      <c r="H666" s="174"/>
      <c r="I666" s="174"/>
      <c r="J666" s="174"/>
      <c r="K666" s="174"/>
      <c r="Q666" s="244"/>
    </row>
    <row r="667" spans="1:17" ht="14.25" customHeight="1">
      <c r="A667" s="7"/>
      <c r="B667" s="7"/>
      <c r="C667" s="7"/>
      <c r="D667" s="7"/>
      <c r="E667" s="174"/>
      <c r="F667" s="174"/>
      <c r="G667" s="174"/>
      <c r="H667" s="174"/>
      <c r="I667" s="174"/>
      <c r="J667" s="174"/>
      <c r="K667" s="174"/>
      <c r="Q667" s="244"/>
    </row>
    <row r="668" spans="1:17" ht="14.25" customHeight="1">
      <c r="A668" s="7"/>
      <c r="B668" s="7"/>
      <c r="C668" s="7"/>
      <c r="D668" s="7"/>
      <c r="E668" s="174"/>
      <c r="F668" s="174"/>
      <c r="G668" s="174"/>
      <c r="H668" s="174"/>
      <c r="I668" s="174"/>
      <c r="J668" s="174"/>
      <c r="K668" s="174"/>
      <c r="Q668" s="244"/>
    </row>
    <row r="669" spans="1:17" ht="14.25" customHeight="1">
      <c r="A669" s="7"/>
      <c r="B669" s="7"/>
      <c r="C669" s="7"/>
      <c r="D669" s="7"/>
      <c r="E669" s="174"/>
      <c r="F669" s="174"/>
      <c r="G669" s="174"/>
      <c r="H669" s="174"/>
      <c r="I669" s="174"/>
      <c r="J669" s="174"/>
      <c r="K669" s="174"/>
      <c r="Q669" s="244"/>
    </row>
    <row r="670" spans="1:17" ht="14.25" customHeight="1">
      <c r="A670" s="7"/>
      <c r="B670" s="7"/>
      <c r="C670" s="7"/>
      <c r="D670" s="7"/>
      <c r="E670" s="174"/>
      <c r="F670" s="174"/>
      <c r="G670" s="174"/>
      <c r="H670" s="174"/>
      <c r="I670" s="174"/>
      <c r="J670" s="174"/>
      <c r="K670" s="174"/>
      <c r="Q670" s="244"/>
    </row>
    <row r="671" spans="1:17" ht="14.25" customHeight="1">
      <c r="A671" s="7"/>
      <c r="B671" s="7"/>
      <c r="C671" s="7"/>
      <c r="D671" s="7"/>
      <c r="E671" s="174"/>
      <c r="F671" s="174"/>
      <c r="G671" s="174"/>
      <c r="H671" s="174"/>
      <c r="I671" s="174"/>
      <c r="J671" s="174"/>
      <c r="K671" s="174"/>
      <c r="Q671" s="244"/>
    </row>
    <row r="672" spans="1:17" ht="14.25" customHeight="1">
      <c r="A672" s="7"/>
      <c r="B672" s="7"/>
      <c r="C672" s="7"/>
      <c r="D672" s="7"/>
      <c r="E672" s="174"/>
      <c r="F672" s="174"/>
      <c r="G672" s="174"/>
      <c r="H672" s="174"/>
      <c r="I672" s="174"/>
      <c r="J672" s="174"/>
      <c r="K672" s="174"/>
      <c r="Q672" s="244"/>
    </row>
    <row r="673" spans="1:17" ht="14.25" customHeight="1">
      <c r="A673" s="7"/>
      <c r="B673" s="7"/>
      <c r="C673" s="7"/>
      <c r="D673" s="7"/>
      <c r="E673" s="174"/>
      <c r="F673" s="174"/>
      <c r="G673" s="174"/>
      <c r="H673" s="174"/>
      <c r="I673" s="174"/>
      <c r="J673" s="174"/>
      <c r="K673" s="174"/>
      <c r="Q673" s="244"/>
    </row>
    <row r="674" spans="1:17" ht="14.25" customHeight="1">
      <c r="A674" s="7"/>
      <c r="B674" s="7"/>
      <c r="C674" s="7"/>
      <c r="D674" s="7"/>
      <c r="E674" s="174"/>
      <c r="F674" s="174"/>
      <c r="G674" s="174"/>
      <c r="H674" s="174"/>
      <c r="I674" s="174"/>
      <c r="J674" s="174"/>
      <c r="K674" s="174"/>
      <c r="Q674" s="244"/>
    </row>
    <row r="675" spans="1:17" ht="14.25" customHeight="1">
      <c r="A675" s="7"/>
      <c r="B675" s="7"/>
      <c r="C675" s="7"/>
      <c r="D675" s="7"/>
      <c r="E675" s="174"/>
      <c r="F675" s="174"/>
      <c r="G675" s="174"/>
      <c r="H675" s="174"/>
      <c r="I675" s="174"/>
      <c r="J675" s="174"/>
      <c r="K675" s="174"/>
      <c r="Q675" s="244"/>
    </row>
    <row r="676" spans="1:17" ht="14.25" customHeight="1">
      <c r="A676" s="7"/>
      <c r="B676" s="7"/>
      <c r="C676" s="7"/>
      <c r="D676" s="7"/>
      <c r="E676" s="174"/>
      <c r="F676" s="174"/>
      <c r="G676" s="174"/>
      <c r="H676" s="174"/>
      <c r="I676" s="174"/>
      <c r="J676" s="174"/>
      <c r="K676" s="174"/>
      <c r="Q676" s="244"/>
    </row>
    <row r="677" spans="1:17" ht="14.25" customHeight="1">
      <c r="A677" s="7"/>
      <c r="B677" s="7"/>
      <c r="C677" s="7"/>
      <c r="D677" s="7"/>
      <c r="E677" s="174"/>
      <c r="F677" s="174"/>
      <c r="G677" s="174"/>
      <c r="H677" s="174"/>
      <c r="I677" s="174"/>
      <c r="J677" s="174"/>
      <c r="K677" s="174"/>
      <c r="Q677" s="244"/>
    </row>
    <row r="678" spans="1:17" ht="14.25" customHeight="1">
      <c r="A678" s="7"/>
      <c r="B678" s="7"/>
      <c r="C678" s="7"/>
      <c r="D678" s="7"/>
      <c r="E678" s="174"/>
      <c r="F678" s="174"/>
      <c r="G678" s="174"/>
      <c r="H678" s="174"/>
      <c r="I678" s="174"/>
      <c r="J678" s="174"/>
      <c r="K678" s="174"/>
      <c r="Q678" s="244"/>
    </row>
    <row r="679" spans="1:17" ht="14.25" customHeight="1">
      <c r="A679" s="7"/>
      <c r="B679" s="7"/>
      <c r="C679" s="7"/>
      <c r="D679" s="7"/>
      <c r="E679" s="174"/>
      <c r="F679" s="174"/>
      <c r="G679" s="174"/>
      <c r="H679" s="174"/>
      <c r="I679" s="174"/>
      <c r="J679" s="174"/>
      <c r="K679" s="174"/>
      <c r="Q679" s="244"/>
    </row>
    <row r="680" spans="1:17" ht="14.25" customHeight="1">
      <c r="A680" s="7"/>
      <c r="B680" s="7"/>
      <c r="C680" s="7"/>
      <c r="D680" s="7"/>
      <c r="E680" s="174"/>
      <c r="F680" s="174"/>
      <c r="G680" s="174"/>
      <c r="H680" s="174"/>
      <c r="I680" s="174"/>
      <c r="J680" s="174"/>
      <c r="K680" s="174"/>
      <c r="Q680" s="244"/>
    </row>
    <row r="681" spans="1:17" ht="14.25" customHeight="1">
      <c r="A681" s="7"/>
      <c r="B681" s="7"/>
      <c r="C681" s="7"/>
      <c r="D681" s="7"/>
      <c r="E681" s="174"/>
      <c r="F681" s="174"/>
      <c r="G681" s="174"/>
      <c r="H681" s="174"/>
      <c r="I681" s="174"/>
      <c r="J681" s="174"/>
      <c r="K681" s="174"/>
      <c r="Q681" s="244"/>
    </row>
    <row r="682" spans="1:17" ht="14.25" customHeight="1">
      <c r="A682" s="7"/>
      <c r="B682" s="7"/>
      <c r="C682" s="7"/>
      <c r="D682" s="7"/>
      <c r="E682" s="174"/>
      <c r="F682" s="174"/>
      <c r="G682" s="174"/>
      <c r="H682" s="174"/>
      <c r="I682" s="174"/>
      <c r="J682" s="174"/>
      <c r="K682" s="174"/>
      <c r="Q682" s="244"/>
    </row>
    <row r="683" spans="1:17" ht="14.25" customHeight="1">
      <c r="A683" s="7"/>
      <c r="B683" s="7"/>
      <c r="C683" s="7"/>
      <c r="D683" s="7"/>
      <c r="E683" s="174"/>
      <c r="F683" s="174"/>
      <c r="G683" s="174"/>
      <c r="H683" s="174"/>
      <c r="I683" s="174"/>
      <c r="J683" s="174"/>
      <c r="K683" s="174"/>
      <c r="Q683" s="244"/>
    </row>
    <row r="684" spans="1:17" ht="14.25" customHeight="1">
      <c r="A684" s="7"/>
      <c r="B684" s="7"/>
      <c r="C684" s="7"/>
      <c r="D684" s="7"/>
      <c r="E684" s="174"/>
      <c r="F684" s="174"/>
      <c r="G684" s="174"/>
      <c r="H684" s="174"/>
      <c r="I684" s="174"/>
      <c r="J684" s="174"/>
      <c r="K684" s="174"/>
      <c r="Q684" s="244"/>
    </row>
    <row r="685" spans="1:17" ht="14.25" customHeight="1">
      <c r="A685" s="7"/>
      <c r="B685" s="7"/>
      <c r="C685" s="7"/>
      <c r="D685" s="7"/>
      <c r="E685" s="174"/>
      <c r="F685" s="174"/>
      <c r="G685" s="174"/>
      <c r="H685" s="174"/>
      <c r="I685" s="174"/>
      <c r="J685" s="174"/>
      <c r="K685" s="174"/>
      <c r="Q685" s="244"/>
    </row>
    <row r="686" spans="1:17" ht="14.25" customHeight="1">
      <c r="A686" s="7"/>
      <c r="B686" s="7"/>
      <c r="C686" s="7"/>
      <c r="D686" s="7"/>
      <c r="E686" s="174"/>
      <c r="F686" s="174"/>
      <c r="G686" s="174"/>
      <c r="H686" s="174"/>
      <c r="I686" s="174"/>
      <c r="J686" s="174"/>
      <c r="K686" s="174"/>
      <c r="Q686" s="244"/>
    </row>
    <row r="687" spans="1:17" ht="14.25" customHeight="1">
      <c r="A687" s="7"/>
      <c r="B687" s="7"/>
      <c r="C687" s="7"/>
      <c r="D687" s="7"/>
      <c r="E687" s="174"/>
      <c r="F687" s="174"/>
      <c r="G687" s="174"/>
      <c r="H687" s="174"/>
      <c r="I687" s="174"/>
      <c r="J687" s="174"/>
      <c r="K687" s="174"/>
      <c r="Q687" s="244"/>
    </row>
    <row r="688" spans="1:17" ht="14.25" customHeight="1">
      <c r="A688" s="7"/>
      <c r="B688" s="7"/>
      <c r="C688" s="7"/>
      <c r="D688" s="7"/>
      <c r="E688" s="174"/>
      <c r="F688" s="174"/>
      <c r="G688" s="174"/>
      <c r="H688" s="174"/>
      <c r="I688" s="174"/>
      <c r="J688" s="174"/>
      <c r="K688" s="174"/>
      <c r="Q688" s="244"/>
    </row>
    <row r="689" spans="1:17" ht="14.25" customHeight="1">
      <c r="A689" s="7"/>
      <c r="B689" s="7"/>
      <c r="C689" s="7"/>
      <c r="D689" s="7"/>
      <c r="E689" s="174"/>
      <c r="F689" s="174"/>
      <c r="G689" s="174"/>
      <c r="H689" s="174"/>
      <c r="I689" s="174"/>
      <c r="J689" s="174"/>
      <c r="K689" s="174"/>
      <c r="Q689" s="244"/>
    </row>
    <row r="690" spans="1:17" ht="14.25" customHeight="1">
      <c r="A690" s="7"/>
      <c r="B690" s="7"/>
      <c r="C690" s="7"/>
      <c r="D690" s="7"/>
      <c r="E690" s="174"/>
      <c r="F690" s="174"/>
      <c r="G690" s="174"/>
      <c r="H690" s="174"/>
      <c r="I690" s="174"/>
      <c r="J690" s="174"/>
      <c r="K690" s="174"/>
      <c r="Q690" s="244"/>
    </row>
    <row r="691" spans="1:17" ht="14.25" customHeight="1">
      <c r="A691" s="7"/>
      <c r="B691" s="7"/>
      <c r="C691" s="7"/>
      <c r="D691" s="7"/>
      <c r="E691" s="174"/>
      <c r="F691" s="174"/>
      <c r="G691" s="174"/>
      <c r="H691" s="174"/>
      <c r="I691" s="174"/>
      <c r="J691" s="174"/>
      <c r="K691" s="174"/>
      <c r="Q691" s="244"/>
    </row>
    <row r="692" spans="1:17" ht="14.25" customHeight="1">
      <c r="A692" s="7"/>
      <c r="B692" s="7"/>
      <c r="C692" s="7"/>
      <c r="D692" s="7"/>
      <c r="E692" s="174"/>
      <c r="F692" s="174"/>
      <c r="G692" s="174"/>
      <c r="H692" s="174"/>
      <c r="I692" s="174"/>
      <c r="J692" s="174"/>
      <c r="K692" s="174"/>
      <c r="Q692" s="244"/>
    </row>
    <row r="693" spans="1:17" ht="14.25" customHeight="1">
      <c r="A693" s="7"/>
      <c r="B693" s="7"/>
      <c r="C693" s="7"/>
      <c r="D693" s="7"/>
      <c r="E693" s="174"/>
      <c r="F693" s="174"/>
      <c r="G693" s="174"/>
      <c r="H693" s="174"/>
      <c r="I693" s="174"/>
      <c r="J693" s="174"/>
      <c r="K693" s="174"/>
      <c r="Q693" s="244"/>
    </row>
    <row r="694" spans="1:17" ht="14.25" customHeight="1">
      <c r="A694" s="7"/>
      <c r="B694" s="7"/>
      <c r="C694" s="7"/>
      <c r="D694" s="7"/>
      <c r="E694" s="174"/>
      <c r="F694" s="174"/>
      <c r="G694" s="174"/>
      <c r="H694" s="174"/>
      <c r="I694" s="174"/>
      <c r="J694" s="174"/>
      <c r="K694" s="174"/>
      <c r="Q694" s="244"/>
    </row>
    <row r="695" spans="1:17" ht="14.25" customHeight="1">
      <c r="A695" s="7"/>
      <c r="B695" s="7"/>
      <c r="C695" s="7"/>
      <c r="D695" s="7"/>
      <c r="E695" s="174"/>
      <c r="F695" s="174"/>
      <c r="G695" s="174"/>
      <c r="H695" s="174"/>
      <c r="I695" s="174"/>
      <c r="J695" s="174"/>
      <c r="K695" s="174"/>
      <c r="Q695" s="244"/>
    </row>
    <row r="696" spans="1:17" ht="14.25" customHeight="1">
      <c r="A696" s="7"/>
      <c r="B696" s="7"/>
      <c r="C696" s="7"/>
      <c r="D696" s="7"/>
      <c r="E696" s="174"/>
      <c r="F696" s="174"/>
      <c r="G696" s="174"/>
      <c r="H696" s="174"/>
      <c r="I696" s="174"/>
      <c r="J696" s="174"/>
      <c r="K696" s="174"/>
      <c r="Q696" s="244"/>
    </row>
    <row r="697" spans="1:17" ht="14.25" customHeight="1">
      <c r="A697" s="7"/>
      <c r="B697" s="7"/>
      <c r="C697" s="7"/>
      <c r="D697" s="7"/>
      <c r="E697" s="174"/>
      <c r="F697" s="174"/>
      <c r="G697" s="174"/>
      <c r="H697" s="174"/>
      <c r="I697" s="174"/>
      <c r="J697" s="174"/>
      <c r="K697" s="174"/>
      <c r="Q697" s="244"/>
    </row>
    <row r="698" spans="1:17" ht="14.25" customHeight="1">
      <c r="A698" s="7"/>
      <c r="B698" s="7"/>
      <c r="C698" s="7"/>
      <c r="D698" s="7"/>
      <c r="E698" s="174"/>
      <c r="F698" s="174"/>
      <c r="G698" s="174"/>
      <c r="H698" s="174"/>
      <c r="I698" s="174"/>
      <c r="J698" s="174"/>
      <c r="K698" s="174"/>
      <c r="Q698" s="244"/>
    </row>
    <row r="699" spans="1:17" ht="14.25" customHeight="1">
      <c r="A699" s="7"/>
      <c r="B699" s="7"/>
      <c r="C699" s="7"/>
      <c r="D699" s="7"/>
      <c r="E699" s="174"/>
      <c r="F699" s="174"/>
      <c r="G699" s="174"/>
      <c r="H699" s="174"/>
      <c r="I699" s="174"/>
      <c r="J699" s="174"/>
      <c r="K699" s="174"/>
      <c r="Q699" s="244"/>
    </row>
    <row r="700" spans="1:17" ht="14.25" customHeight="1">
      <c r="A700" s="7"/>
      <c r="B700" s="7"/>
      <c r="C700" s="7"/>
      <c r="D700" s="7"/>
      <c r="E700" s="174"/>
      <c r="F700" s="174"/>
      <c r="G700" s="174"/>
      <c r="H700" s="174"/>
      <c r="I700" s="174"/>
      <c r="J700" s="174"/>
      <c r="K700" s="174"/>
      <c r="Q700" s="244"/>
    </row>
    <row r="701" spans="1:17" ht="14.25" customHeight="1">
      <c r="A701" s="7"/>
      <c r="B701" s="7"/>
      <c r="C701" s="7"/>
      <c r="D701" s="7"/>
      <c r="E701" s="174"/>
      <c r="F701" s="174"/>
      <c r="G701" s="174"/>
      <c r="H701" s="174"/>
      <c r="I701" s="174"/>
      <c r="J701" s="174"/>
      <c r="K701" s="174"/>
      <c r="Q701" s="244"/>
    </row>
    <row r="702" spans="1:17" ht="14.25" customHeight="1">
      <c r="A702" s="7"/>
      <c r="B702" s="7"/>
      <c r="C702" s="7"/>
      <c r="D702" s="7"/>
      <c r="E702" s="174"/>
      <c r="F702" s="174"/>
      <c r="G702" s="174"/>
      <c r="H702" s="174"/>
      <c r="I702" s="174"/>
      <c r="J702" s="174"/>
      <c r="K702" s="174"/>
      <c r="Q702" s="244"/>
    </row>
    <row r="703" spans="1:17" ht="14.25" customHeight="1">
      <c r="A703" s="7"/>
      <c r="B703" s="7"/>
      <c r="C703" s="7"/>
      <c r="D703" s="7"/>
      <c r="E703" s="174"/>
      <c r="F703" s="174"/>
      <c r="G703" s="174"/>
      <c r="H703" s="174"/>
      <c r="I703" s="174"/>
      <c r="J703" s="174"/>
      <c r="K703" s="174"/>
      <c r="Q703" s="244"/>
    </row>
    <row r="704" spans="1:17" ht="14.25" customHeight="1">
      <c r="A704" s="7"/>
      <c r="B704" s="7"/>
      <c r="C704" s="7"/>
      <c r="D704" s="7"/>
      <c r="E704" s="174"/>
      <c r="F704" s="174"/>
      <c r="G704" s="174"/>
      <c r="H704" s="174"/>
      <c r="I704" s="174"/>
      <c r="J704" s="174"/>
      <c r="K704" s="174"/>
      <c r="Q704" s="244"/>
    </row>
    <row r="705" spans="1:17" ht="14.25" customHeight="1">
      <c r="A705" s="7"/>
      <c r="B705" s="7"/>
      <c r="C705" s="7"/>
      <c r="D705" s="7"/>
      <c r="E705" s="174"/>
      <c r="F705" s="174"/>
      <c r="G705" s="174"/>
      <c r="H705" s="174"/>
      <c r="I705" s="174"/>
      <c r="J705" s="174"/>
      <c r="K705" s="174"/>
      <c r="Q705" s="244"/>
    </row>
    <row r="706" spans="1:17" ht="14.25" customHeight="1">
      <c r="A706" s="7"/>
      <c r="B706" s="7"/>
      <c r="C706" s="7"/>
      <c r="D706" s="7"/>
      <c r="E706" s="174"/>
      <c r="F706" s="174"/>
      <c r="G706" s="174"/>
      <c r="H706" s="174"/>
      <c r="I706" s="174"/>
      <c r="J706" s="174"/>
      <c r="K706" s="174"/>
      <c r="Q706" s="244"/>
    </row>
    <row r="707" spans="1:17" ht="14.25" customHeight="1">
      <c r="A707" s="7"/>
      <c r="B707" s="7"/>
      <c r="C707" s="7"/>
      <c r="D707" s="7"/>
      <c r="E707" s="174"/>
      <c r="F707" s="174"/>
      <c r="G707" s="174"/>
      <c r="H707" s="174"/>
      <c r="I707" s="174"/>
      <c r="J707" s="174"/>
      <c r="K707" s="174"/>
      <c r="Q707" s="244"/>
    </row>
    <row r="708" spans="1:17" ht="14.25" customHeight="1">
      <c r="A708" s="7"/>
      <c r="B708" s="7"/>
      <c r="C708" s="7"/>
      <c r="D708" s="7"/>
      <c r="E708" s="174"/>
      <c r="F708" s="174"/>
      <c r="G708" s="174"/>
      <c r="H708" s="174"/>
      <c r="I708" s="174"/>
      <c r="J708" s="174"/>
      <c r="K708" s="174"/>
      <c r="Q708" s="244"/>
    </row>
    <row r="709" spans="1:17" ht="14.25" customHeight="1">
      <c r="A709" s="7"/>
      <c r="B709" s="7"/>
      <c r="C709" s="7"/>
      <c r="D709" s="7"/>
      <c r="E709" s="174"/>
      <c r="F709" s="174"/>
      <c r="G709" s="174"/>
      <c r="H709" s="174"/>
      <c r="I709" s="174"/>
      <c r="J709" s="174"/>
      <c r="K709" s="174"/>
      <c r="Q709" s="244"/>
    </row>
    <row r="710" spans="1:17" ht="14.25" customHeight="1">
      <c r="A710" s="7"/>
      <c r="B710" s="7"/>
      <c r="C710" s="7"/>
      <c r="D710" s="7"/>
      <c r="E710" s="174"/>
      <c r="F710" s="174"/>
      <c r="G710" s="174"/>
      <c r="H710" s="174"/>
      <c r="I710" s="174"/>
      <c r="J710" s="174"/>
      <c r="K710" s="174"/>
      <c r="Q710" s="244"/>
    </row>
    <row r="711" spans="1:17" ht="14.25" customHeight="1">
      <c r="A711" s="7"/>
      <c r="B711" s="7"/>
      <c r="C711" s="7"/>
      <c r="D711" s="7"/>
      <c r="E711" s="174"/>
      <c r="F711" s="174"/>
      <c r="G711" s="174"/>
      <c r="H711" s="174"/>
      <c r="I711" s="174"/>
      <c r="J711" s="174"/>
      <c r="K711" s="174"/>
      <c r="Q711" s="244"/>
    </row>
    <row r="712" spans="1:17" ht="14.25" customHeight="1">
      <c r="A712" s="7"/>
      <c r="B712" s="7"/>
      <c r="C712" s="7"/>
      <c r="D712" s="7"/>
      <c r="E712" s="174"/>
      <c r="F712" s="174"/>
      <c r="G712" s="174"/>
      <c r="H712" s="174"/>
      <c r="I712" s="174"/>
      <c r="J712" s="174"/>
      <c r="K712" s="174"/>
      <c r="Q712" s="244"/>
    </row>
    <row r="713" spans="1:17" ht="14.25" customHeight="1">
      <c r="A713" s="7"/>
      <c r="B713" s="7"/>
      <c r="C713" s="7"/>
      <c r="D713" s="7"/>
      <c r="E713" s="174"/>
      <c r="F713" s="174"/>
      <c r="G713" s="174"/>
      <c r="H713" s="174"/>
      <c r="I713" s="174"/>
      <c r="J713" s="174"/>
      <c r="K713" s="174"/>
      <c r="Q713" s="244"/>
    </row>
    <row r="714" spans="1:17" ht="14.25" customHeight="1">
      <c r="A714" s="7"/>
      <c r="B714" s="7"/>
      <c r="C714" s="7"/>
      <c r="D714" s="7"/>
      <c r="E714" s="174"/>
      <c r="F714" s="174"/>
      <c r="G714" s="174"/>
      <c r="H714" s="174"/>
      <c r="I714" s="174"/>
      <c r="J714" s="174"/>
      <c r="K714" s="174"/>
      <c r="Q714" s="244"/>
    </row>
    <row r="715" spans="1:17" ht="14.25" customHeight="1">
      <c r="A715" s="7"/>
      <c r="B715" s="7"/>
      <c r="C715" s="7"/>
      <c r="D715" s="7"/>
      <c r="E715" s="174"/>
      <c r="F715" s="174"/>
      <c r="G715" s="174"/>
      <c r="H715" s="174"/>
      <c r="I715" s="174"/>
      <c r="J715" s="174"/>
      <c r="K715" s="174"/>
      <c r="Q715" s="244"/>
    </row>
    <row r="716" spans="1:17" ht="14.25" customHeight="1">
      <c r="A716" s="7"/>
      <c r="B716" s="7"/>
      <c r="C716" s="7"/>
      <c r="D716" s="7"/>
      <c r="E716" s="174"/>
      <c r="F716" s="174"/>
      <c r="G716" s="174"/>
      <c r="H716" s="174"/>
      <c r="I716" s="174"/>
      <c r="J716" s="174"/>
      <c r="K716" s="174"/>
      <c r="Q716" s="244"/>
    </row>
    <row r="717" spans="1:17" ht="14.25" customHeight="1">
      <c r="A717" s="7"/>
      <c r="B717" s="7"/>
      <c r="C717" s="7"/>
      <c r="D717" s="7"/>
      <c r="E717" s="174"/>
      <c r="F717" s="174"/>
      <c r="G717" s="174"/>
      <c r="H717" s="174"/>
      <c r="I717" s="174"/>
      <c r="J717" s="174"/>
      <c r="K717" s="174"/>
      <c r="Q717" s="244"/>
    </row>
    <row r="718" spans="1:17" ht="14.25" customHeight="1">
      <c r="A718" s="7"/>
      <c r="B718" s="7"/>
      <c r="C718" s="7"/>
      <c r="D718" s="7"/>
      <c r="E718" s="174"/>
      <c r="F718" s="174"/>
      <c r="G718" s="174"/>
      <c r="H718" s="174"/>
      <c r="I718" s="174"/>
      <c r="J718" s="174"/>
      <c r="K718" s="174"/>
      <c r="Q718" s="244"/>
    </row>
    <row r="719" spans="1:17" ht="14.25" customHeight="1">
      <c r="A719" s="7"/>
      <c r="B719" s="7"/>
      <c r="C719" s="7"/>
      <c r="D719" s="7"/>
      <c r="E719" s="174"/>
      <c r="F719" s="174"/>
      <c r="G719" s="174"/>
      <c r="H719" s="174"/>
      <c r="I719" s="174"/>
      <c r="J719" s="174"/>
      <c r="K719" s="174"/>
      <c r="Q719" s="244"/>
    </row>
    <row r="720" spans="1:17" ht="14.25" customHeight="1">
      <c r="A720" s="7"/>
      <c r="B720" s="7"/>
      <c r="C720" s="7"/>
      <c r="D720" s="7"/>
      <c r="E720" s="174"/>
      <c r="F720" s="174"/>
      <c r="G720" s="174"/>
      <c r="H720" s="174"/>
      <c r="I720" s="174"/>
      <c r="J720" s="174"/>
      <c r="K720" s="174"/>
      <c r="Q720" s="244"/>
    </row>
    <row r="721" spans="1:17" ht="14.25" customHeight="1">
      <c r="A721" s="7"/>
      <c r="B721" s="7"/>
      <c r="C721" s="7"/>
      <c r="D721" s="7"/>
      <c r="E721" s="174"/>
      <c r="F721" s="174"/>
      <c r="G721" s="174"/>
      <c r="H721" s="174"/>
      <c r="I721" s="174"/>
      <c r="J721" s="174"/>
      <c r="K721" s="174"/>
      <c r="Q721" s="244"/>
    </row>
    <row r="722" spans="1:17" ht="14.25" customHeight="1">
      <c r="A722" s="7"/>
      <c r="B722" s="7"/>
      <c r="C722" s="7"/>
      <c r="D722" s="7"/>
      <c r="E722" s="174"/>
      <c r="F722" s="174"/>
      <c r="G722" s="174"/>
      <c r="H722" s="174"/>
      <c r="I722" s="174"/>
      <c r="J722" s="174"/>
      <c r="K722" s="174"/>
      <c r="Q722" s="244"/>
    </row>
    <row r="723" spans="1:17" ht="15.75" customHeight="1"/>
    <row r="724" spans="1:17" ht="15.75" customHeight="1"/>
    <row r="725" spans="1:17" ht="15.75" customHeight="1"/>
    <row r="726" spans="1:17" ht="15.75" customHeight="1"/>
    <row r="727" spans="1:17" ht="15.75" customHeight="1"/>
    <row r="728" spans="1:17" ht="15.75" customHeight="1"/>
    <row r="729" spans="1:17" ht="15.75" customHeight="1"/>
    <row r="730" spans="1:17" ht="15.75" customHeight="1"/>
    <row r="731" spans="1:17" ht="15.75" customHeight="1"/>
    <row r="732" spans="1:17" ht="15.75" customHeight="1"/>
    <row r="733" spans="1:17" ht="15.75" customHeight="1"/>
    <row r="734" spans="1:17" ht="15.75" customHeight="1"/>
    <row r="735" spans="1:17" ht="15.75" customHeight="1"/>
    <row r="736" spans="1:17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E11:L11">
    <cfRule type="containsText" dxfId="12" priority="1" operator="containsText" text="tuyên quang">
      <formula>NOT(ISERROR(SEARCH(("tuyên quang"),(E11))))</formula>
    </cfRule>
  </conditionalFormatting>
  <conditionalFormatting sqref="M11:N11">
    <cfRule type="containsText" dxfId="11" priority="2" operator="containsText" text="yên bái">
      <formula>NOT(ISERROR(SEARCH(("yên bái"),(M11))))</formula>
    </cfRule>
  </conditionalFormatting>
  <conditionalFormatting sqref="O11">
    <cfRule type="containsText" dxfId="10" priority="3" operator="containsText" text="&quot;quảng ngãi&quot;">
      <formula>NOT(ISERROR(SEARCH(("""quảng ngãi"""),(O11))))</formula>
    </cfRule>
  </conditionalFormatting>
  <conditionalFormatting sqref="Q11:S11">
    <cfRule type="containsText" dxfId="9" priority="4" operator="containsText" text="điện biên">
      <formula>NOT(ISERROR(SEARCH(("điện biên"),(Q11))))</formula>
    </cfRule>
  </conditionalFormatting>
  <conditionalFormatting sqref="AA17:AA447">
    <cfRule type="cellIs" dxfId="8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33" ht="24.75" hidden="1" customHeight="1">
      <c r="A1" s="397" t="s">
        <v>0</v>
      </c>
      <c r="B1" s="398"/>
      <c r="C1" s="398"/>
      <c r="D1" s="399"/>
      <c r="E1" s="562"/>
      <c r="F1" s="7"/>
    </row>
    <row r="2" spans="1:33" ht="33" hidden="1" customHeight="1">
      <c r="A2" s="792" t="s">
        <v>1</v>
      </c>
      <c r="B2" s="793"/>
      <c r="C2" s="791"/>
      <c r="D2" s="399"/>
      <c r="E2" s="562"/>
      <c r="F2" s="7"/>
    </row>
    <row r="3" spans="1:33" ht="23.25" hidden="1" customHeight="1">
      <c r="A3" s="794" t="s">
        <v>2</v>
      </c>
      <c r="B3" s="793"/>
      <c r="C3" s="791"/>
      <c r="D3" s="399"/>
      <c r="E3" s="562"/>
      <c r="F3" s="7"/>
    </row>
    <row r="4" spans="1:33" ht="39.75" customHeight="1">
      <c r="A4" s="803" t="s">
        <v>1537</v>
      </c>
      <c r="B4" s="793"/>
      <c r="C4" s="793"/>
      <c r="D4" s="793"/>
      <c r="E4" s="791"/>
      <c r="F4" s="7"/>
    </row>
    <row r="5" spans="1:33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</row>
    <row r="6" spans="1:33" ht="21" hidden="1" customHeight="1">
      <c r="A6" s="804" t="s">
        <v>1338</v>
      </c>
      <c r="B6" s="793"/>
      <c r="C6" s="793"/>
      <c r="D6" s="793"/>
      <c r="E6" s="791"/>
      <c r="F6" s="7"/>
    </row>
    <row r="7" spans="1:33" ht="18.75" hidden="1" customHeight="1">
      <c r="A7" s="244"/>
      <c r="B7" s="401"/>
      <c r="C7" s="564" t="s">
        <v>1339</v>
      </c>
      <c r="D7" s="403"/>
      <c r="E7" s="565"/>
      <c r="F7" s="7"/>
    </row>
    <row r="8" spans="1:33" ht="14.25" hidden="1" customHeight="1">
      <c r="A8" s="244"/>
      <c r="B8" s="404"/>
      <c r="C8" s="564" t="s">
        <v>1340</v>
      </c>
      <c r="D8" s="405"/>
      <c r="E8" s="566"/>
      <c r="F8" s="7"/>
    </row>
    <row r="9" spans="1:33" ht="14.25" hidden="1" customHeight="1">
      <c r="A9" s="244"/>
      <c r="B9" s="404"/>
      <c r="C9" s="798" t="s">
        <v>1341</v>
      </c>
      <c r="D9" s="791"/>
      <c r="E9" s="567"/>
      <c r="F9" s="7"/>
    </row>
    <row r="10" spans="1:33" ht="25.5" customHeight="1">
      <c r="A10" s="568"/>
      <c r="B10" s="569"/>
      <c r="C10" s="570"/>
      <c r="D10" s="571"/>
      <c r="E10" s="572"/>
      <c r="F10" s="7"/>
    </row>
    <row r="11" spans="1:33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20</v>
      </c>
      <c r="F11" s="414" t="s">
        <v>20</v>
      </c>
      <c r="G11" s="414" t="s">
        <v>20</v>
      </c>
      <c r="H11" s="414" t="s">
        <v>20</v>
      </c>
      <c r="I11" s="21" t="s">
        <v>20</v>
      </c>
      <c r="J11" s="21" t="s">
        <v>20</v>
      </c>
      <c r="K11" s="289" t="s">
        <v>20</v>
      </c>
      <c r="L11" s="289" t="s">
        <v>20</v>
      </c>
      <c r="M11" s="807" t="s">
        <v>20</v>
      </c>
      <c r="N11" s="771"/>
      <c r="O11" s="741" t="s">
        <v>20</v>
      </c>
      <c r="P11" s="741" t="s">
        <v>20</v>
      </c>
      <c r="Q11" s="22" t="s">
        <v>20</v>
      </c>
      <c r="R11" s="22" t="s">
        <v>20</v>
      </c>
      <c r="S11" s="22"/>
      <c r="T11" s="576" t="s">
        <v>38</v>
      </c>
      <c r="U11" s="577"/>
      <c r="V11" s="535"/>
      <c r="W11" s="535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29.25" customHeight="1">
      <c r="A12" s="578"/>
      <c r="B12" s="430"/>
      <c r="C12" s="579" t="s">
        <v>39</v>
      </c>
      <c r="D12" s="186"/>
      <c r="E12" s="29">
        <v>1</v>
      </c>
      <c r="F12" s="293">
        <v>1</v>
      </c>
      <c r="G12" s="185">
        <v>1</v>
      </c>
      <c r="H12" s="185">
        <v>1</v>
      </c>
      <c r="I12" s="580">
        <v>1</v>
      </c>
      <c r="J12" s="293">
        <v>1</v>
      </c>
      <c r="K12" s="187">
        <v>1</v>
      </c>
      <c r="L12" s="187">
        <v>1</v>
      </c>
      <c r="M12" s="808">
        <v>1</v>
      </c>
      <c r="N12" s="771"/>
      <c r="O12" s="29">
        <v>1</v>
      </c>
      <c r="P12" s="29">
        <v>1</v>
      </c>
      <c r="Q12" s="29">
        <v>1</v>
      </c>
      <c r="R12" s="247"/>
      <c r="S12" s="29"/>
      <c r="T12" s="581">
        <f>SUM(E12:S12)</f>
        <v>12</v>
      </c>
      <c r="U12" s="582"/>
      <c r="V12" s="582"/>
      <c r="W12" s="582"/>
      <c r="X12" s="7"/>
      <c r="Y12" s="7"/>
      <c r="Z12" s="7"/>
      <c r="AA12" s="7">
        <v>6</v>
      </c>
      <c r="AB12" s="7"/>
      <c r="AC12" s="7"/>
      <c r="AD12" s="7"/>
      <c r="AE12" s="7"/>
      <c r="AF12" s="7"/>
      <c r="AG12" s="7"/>
    </row>
    <row r="13" spans="1:33" ht="37.5" customHeight="1">
      <c r="A13" s="583"/>
      <c r="B13" s="584"/>
      <c r="C13" s="585" t="s">
        <v>40</v>
      </c>
      <c r="D13" s="584"/>
      <c r="E13" s="32" t="s">
        <v>2341</v>
      </c>
      <c r="F13" s="189" t="s">
        <v>2100</v>
      </c>
      <c r="G13" s="40" t="s">
        <v>2400</v>
      </c>
      <c r="H13" s="40" t="s">
        <v>2401</v>
      </c>
      <c r="I13" s="586" t="s">
        <v>2402</v>
      </c>
      <c r="J13" s="32" t="s">
        <v>2278</v>
      </c>
      <c r="K13" s="587" t="s">
        <v>2403</v>
      </c>
      <c r="L13" s="587" t="s">
        <v>2404</v>
      </c>
      <c r="M13" s="32" t="s">
        <v>2405</v>
      </c>
      <c r="N13" s="32" t="s">
        <v>2406</v>
      </c>
      <c r="O13" s="189" t="s">
        <v>2092</v>
      </c>
      <c r="P13" s="189" t="s">
        <v>2223</v>
      </c>
      <c r="Q13" s="189" t="s">
        <v>1761</v>
      </c>
      <c r="R13" s="252">
        <v>44799</v>
      </c>
      <c r="S13" s="189"/>
      <c r="T13" s="581"/>
      <c r="U13" s="591"/>
      <c r="V13" s="582"/>
      <c r="W13" s="591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53.25" customHeight="1">
      <c r="A14" s="578"/>
      <c r="B14" s="430"/>
      <c r="C14" s="579" t="s">
        <v>41</v>
      </c>
      <c r="D14" s="430"/>
      <c r="E14" s="30"/>
      <c r="F14" s="185"/>
      <c r="G14" s="185"/>
      <c r="H14" s="185"/>
      <c r="I14" s="186"/>
      <c r="J14" s="186"/>
      <c r="K14" s="190"/>
      <c r="L14" s="190"/>
      <c r="M14" s="30"/>
      <c r="N14" s="30" t="s">
        <v>2407</v>
      </c>
      <c r="O14" s="30"/>
      <c r="P14" s="30"/>
      <c r="Q14" s="30"/>
      <c r="R14" s="247"/>
      <c r="S14" s="30"/>
      <c r="T14" s="581"/>
      <c r="U14" s="582"/>
      <c r="V14" s="582"/>
      <c r="W14" s="582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51" customHeight="1">
      <c r="A15" s="578"/>
      <c r="B15" s="430"/>
      <c r="C15" s="579" t="s">
        <v>42</v>
      </c>
      <c r="D15" s="430"/>
      <c r="E15" s="30" t="s">
        <v>2155</v>
      </c>
      <c r="F15" s="191" t="s">
        <v>1642</v>
      </c>
      <c r="G15" s="191" t="s">
        <v>2408</v>
      </c>
      <c r="H15" s="191" t="s">
        <v>2409</v>
      </c>
      <c r="I15" s="186" t="s">
        <v>1394</v>
      </c>
      <c r="J15" s="186" t="s">
        <v>2050</v>
      </c>
      <c r="K15" s="30" t="s">
        <v>1641</v>
      </c>
      <c r="L15" s="190" t="s">
        <v>1394</v>
      </c>
      <c r="M15" s="30" t="s">
        <v>1394</v>
      </c>
      <c r="N15" s="30" t="s">
        <v>1394</v>
      </c>
      <c r="O15" s="30" t="s">
        <v>1394</v>
      </c>
      <c r="P15" s="30" t="s">
        <v>1394</v>
      </c>
      <c r="Q15" s="30" t="s">
        <v>2162</v>
      </c>
      <c r="R15" s="247"/>
      <c r="S15" s="30"/>
      <c r="T15" s="576"/>
      <c r="U15" s="582"/>
      <c r="V15" s="582"/>
      <c r="W15" s="582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30.75" customHeight="1">
      <c r="A16" s="579"/>
      <c r="B16" s="186"/>
      <c r="C16" s="579" t="s">
        <v>43</v>
      </c>
      <c r="D16" s="186"/>
      <c r="E16" s="34"/>
      <c r="F16" s="193" t="s">
        <v>2410</v>
      </c>
      <c r="G16" s="193" t="s">
        <v>1658</v>
      </c>
      <c r="H16" s="193" t="s">
        <v>2411</v>
      </c>
      <c r="I16" s="354" t="s">
        <v>2412</v>
      </c>
      <c r="J16" s="354" t="s">
        <v>2413</v>
      </c>
      <c r="K16" s="194" t="s">
        <v>2414</v>
      </c>
      <c r="L16" s="194" t="s">
        <v>2415</v>
      </c>
      <c r="M16" s="34" t="s">
        <v>1832</v>
      </c>
      <c r="N16" s="34" t="s">
        <v>2416</v>
      </c>
      <c r="O16" s="34" t="s">
        <v>2417</v>
      </c>
      <c r="P16" s="34" t="s">
        <v>2418</v>
      </c>
      <c r="Q16" s="34" t="s">
        <v>2419</v>
      </c>
      <c r="R16" s="247" t="s">
        <v>2420</v>
      </c>
      <c r="S16" s="34"/>
      <c r="T16" s="598"/>
      <c r="U16" s="599"/>
      <c r="V16" s="599"/>
      <c r="W16" s="599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33.75" customHeight="1">
      <c r="A17" s="583"/>
      <c r="B17" s="584"/>
      <c r="C17" s="585" t="s">
        <v>70</v>
      </c>
      <c r="D17" s="584"/>
      <c r="E17" s="32" t="s">
        <v>2181</v>
      </c>
      <c r="F17" s="189" t="s">
        <v>2301</v>
      </c>
      <c r="G17" s="40" t="s">
        <v>2400</v>
      </c>
      <c r="H17" s="32" t="s">
        <v>1874</v>
      </c>
      <c r="I17" s="586" t="s">
        <v>2421</v>
      </c>
      <c r="J17" s="601" t="s">
        <v>1779</v>
      </c>
      <c r="K17" s="587" t="s">
        <v>2303</v>
      </c>
      <c r="L17" s="587" t="s">
        <v>2422</v>
      </c>
      <c r="M17" s="601" t="s">
        <v>1944</v>
      </c>
      <c r="N17" s="32" t="s">
        <v>2240</v>
      </c>
      <c r="O17" s="32" t="s">
        <v>2241</v>
      </c>
      <c r="P17" s="32" t="s">
        <v>2009</v>
      </c>
      <c r="Q17" s="189" t="s">
        <v>2187</v>
      </c>
      <c r="R17" s="40" t="s">
        <v>1574</v>
      </c>
      <c r="S17" s="189"/>
      <c r="T17" s="581"/>
      <c r="U17" s="591"/>
      <c r="V17" s="591"/>
      <c r="W17" s="591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43"/>
      <c r="G18" s="43"/>
      <c r="H18" s="43"/>
      <c r="I18" s="196"/>
      <c r="J18" s="196"/>
      <c r="K18" s="198"/>
      <c r="L18" s="198"/>
      <c r="M18" s="43"/>
      <c r="N18" s="43"/>
      <c r="O18" s="43"/>
      <c r="P18" s="43"/>
      <c r="Q18" s="302"/>
      <c r="R18" s="462"/>
      <c r="S18" s="302"/>
      <c r="T18" s="607"/>
      <c r="U18" s="608"/>
      <c r="V18" s="609"/>
      <c r="W18" s="609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1"/>
      <c r="I19" s="202"/>
      <c r="J19" s="202"/>
      <c r="K19" s="204"/>
      <c r="L19" s="204"/>
      <c r="M19" s="201"/>
      <c r="N19" s="201"/>
      <c r="O19" s="201"/>
      <c r="P19" s="201"/>
      <c r="Q19" s="304"/>
      <c r="R19" s="363"/>
      <c r="S19" s="21"/>
      <c r="T19" s="616"/>
      <c r="U19" s="617"/>
      <c r="V19" s="577"/>
      <c r="W19" s="577"/>
      <c r="X19" s="7"/>
      <c r="Y19" s="363"/>
      <c r="Z19" s="7"/>
      <c r="AA19" s="618">
        <f t="shared" ref="AA19:AA29" si="0">Y19-T19</f>
        <v>0</v>
      </c>
      <c r="AB19" s="7"/>
      <c r="AC19" s="7"/>
      <c r="AD19" s="7"/>
      <c r="AE19" s="7"/>
      <c r="AF19" s="7"/>
      <c r="AG19" s="7"/>
    </row>
    <row r="20" spans="1:33" ht="20.25" customHeight="1">
      <c r="A20" s="474"/>
      <c r="B20" s="475" t="s">
        <v>89</v>
      </c>
      <c r="C20" s="619" t="s">
        <v>90</v>
      </c>
      <c r="D20" s="416" t="s">
        <v>91</v>
      </c>
      <c r="E20" s="209"/>
      <c r="F20" s="209"/>
      <c r="G20" s="209"/>
      <c r="H20" s="209"/>
      <c r="I20" s="210"/>
      <c r="J20" s="210"/>
      <c r="K20" s="211"/>
      <c r="L20" s="211"/>
      <c r="M20" s="209"/>
      <c r="N20" s="209"/>
      <c r="O20" s="209"/>
      <c r="P20" s="731">
        <v>3</v>
      </c>
      <c r="Q20" s="211"/>
      <c r="R20" s="372"/>
      <c r="S20" s="215"/>
      <c r="T20" s="625">
        <f t="shared" ref="T20:T274" si="1">+SUM(E20:S20)</f>
        <v>3</v>
      </c>
      <c r="U20" s="626"/>
      <c r="V20" s="627"/>
      <c r="W20" s="627"/>
      <c r="X20" s="7"/>
      <c r="Y20" s="723">
        <v>3</v>
      </c>
      <c r="Z20" s="7"/>
      <c r="AA20" s="618">
        <f t="shared" si="0"/>
        <v>0</v>
      </c>
      <c r="AB20" s="7"/>
      <c r="AC20" s="7"/>
      <c r="AD20" s="7"/>
      <c r="AE20" s="7"/>
      <c r="AF20" s="7"/>
      <c r="AG20" s="7"/>
    </row>
    <row r="21" spans="1:33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3"/>
      <c r="I21" s="214"/>
      <c r="J21" s="214"/>
      <c r="K21" s="215"/>
      <c r="L21" s="215"/>
      <c r="M21" s="213"/>
      <c r="N21" s="213"/>
      <c r="O21" s="213"/>
      <c r="P21" s="213"/>
      <c r="Q21" s="215"/>
      <c r="R21" s="370"/>
      <c r="S21" s="215"/>
      <c r="T21" s="616">
        <f t="shared" si="1"/>
        <v>0</v>
      </c>
      <c r="U21" s="633"/>
      <c r="V21" s="634"/>
      <c r="W21" s="634"/>
      <c r="X21" s="7"/>
      <c r="Y21" s="699"/>
      <c r="Z21" s="7"/>
      <c r="AA21" s="618">
        <f t="shared" si="0"/>
        <v>0</v>
      </c>
      <c r="AB21" s="7"/>
      <c r="AC21" s="7"/>
      <c r="AD21" s="7"/>
      <c r="AE21" s="7"/>
      <c r="AF21" s="7"/>
      <c r="AG21" s="7"/>
    </row>
    <row r="22" spans="1:33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3"/>
      <c r="I22" s="214"/>
      <c r="J22" s="214"/>
      <c r="K22" s="215"/>
      <c r="L22" s="215"/>
      <c r="M22" s="213"/>
      <c r="N22" s="213"/>
      <c r="O22" s="213"/>
      <c r="P22" s="213"/>
      <c r="Q22" s="215"/>
      <c r="R22" s="370"/>
      <c r="S22" s="215"/>
      <c r="T22" s="616">
        <f t="shared" si="1"/>
        <v>0</v>
      </c>
      <c r="U22" s="633"/>
      <c r="V22" s="634"/>
      <c r="W22" s="634"/>
      <c r="X22" s="7"/>
      <c r="Y22" s="699"/>
      <c r="Z22" s="7"/>
      <c r="AA22" s="618">
        <f t="shared" si="0"/>
        <v>0</v>
      </c>
      <c r="AB22" s="7"/>
      <c r="AC22" s="7"/>
      <c r="AD22" s="7"/>
      <c r="AE22" s="7"/>
      <c r="AF22" s="7"/>
      <c r="AG22" s="7"/>
    </row>
    <row r="23" spans="1:33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3"/>
      <c r="I23" s="214"/>
      <c r="J23" s="214"/>
      <c r="K23" s="215"/>
      <c r="L23" s="215"/>
      <c r="M23" s="213"/>
      <c r="N23" s="213"/>
      <c r="O23" s="213"/>
      <c r="P23" s="213"/>
      <c r="Q23" s="215"/>
      <c r="R23" s="370"/>
      <c r="S23" s="215"/>
      <c r="T23" s="616">
        <f t="shared" si="1"/>
        <v>0</v>
      </c>
      <c r="U23" s="633"/>
      <c r="V23" s="634"/>
      <c r="W23" s="634"/>
      <c r="X23" s="7"/>
      <c r="Y23" s="699"/>
      <c r="Z23" s="7"/>
      <c r="AA23" s="618">
        <f t="shared" si="0"/>
        <v>0</v>
      </c>
      <c r="AB23" s="7"/>
      <c r="AC23" s="7"/>
      <c r="AD23" s="7"/>
      <c r="AE23" s="7"/>
      <c r="AF23" s="7"/>
      <c r="AG23" s="7"/>
    </row>
    <row r="24" spans="1:33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3"/>
      <c r="I24" s="214"/>
      <c r="J24" s="214"/>
      <c r="K24" s="215"/>
      <c r="L24" s="215"/>
      <c r="M24" s="213"/>
      <c r="N24" s="213"/>
      <c r="O24" s="213"/>
      <c r="P24" s="213"/>
      <c r="Q24" s="215"/>
      <c r="R24" s="370"/>
      <c r="S24" s="215"/>
      <c r="T24" s="616">
        <f t="shared" si="1"/>
        <v>0</v>
      </c>
      <c r="U24" s="633"/>
      <c r="V24" s="634"/>
      <c r="W24" s="634"/>
      <c r="X24" s="7"/>
      <c r="Y24" s="699"/>
      <c r="Z24" s="7"/>
      <c r="AA24" s="618">
        <f t="shared" si="0"/>
        <v>0</v>
      </c>
      <c r="AB24" s="7"/>
      <c r="AC24" s="7"/>
      <c r="AD24" s="7"/>
      <c r="AE24" s="7"/>
      <c r="AF24" s="7"/>
      <c r="AG24" s="7"/>
    </row>
    <row r="25" spans="1:33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09"/>
      <c r="I25" s="210"/>
      <c r="J25" s="210"/>
      <c r="K25" s="211"/>
      <c r="L25" s="211"/>
      <c r="M25" s="209"/>
      <c r="N25" s="209"/>
      <c r="O25" s="209"/>
      <c r="P25" s="209"/>
      <c r="Q25" s="211"/>
      <c r="R25" s="370"/>
      <c r="S25" s="215"/>
      <c r="T25" s="625">
        <f t="shared" si="1"/>
        <v>0</v>
      </c>
      <c r="U25" s="626"/>
      <c r="V25" s="627"/>
      <c r="W25" s="627"/>
      <c r="X25" s="7"/>
      <c r="Y25" s="699"/>
      <c r="Z25" s="7"/>
      <c r="AA25" s="618">
        <f t="shared" si="0"/>
        <v>0</v>
      </c>
      <c r="AB25" s="7"/>
      <c r="AC25" s="7"/>
      <c r="AD25" s="7"/>
      <c r="AE25" s="7"/>
      <c r="AF25" s="7"/>
      <c r="AG25" s="7"/>
    </row>
    <row r="26" spans="1:33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3"/>
      <c r="I26" s="214"/>
      <c r="J26" s="214"/>
      <c r="K26" s="215"/>
      <c r="L26" s="215"/>
      <c r="M26" s="213"/>
      <c r="N26" s="213"/>
      <c r="O26" s="213"/>
      <c r="P26" s="213"/>
      <c r="Q26" s="215"/>
      <c r="R26" s="370"/>
      <c r="S26" s="215"/>
      <c r="T26" s="616">
        <f t="shared" si="1"/>
        <v>0</v>
      </c>
      <c r="U26" s="633"/>
      <c r="V26" s="634"/>
      <c r="W26" s="634"/>
      <c r="X26" s="7"/>
      <c r="Y26" s="699"/>
      <c r="Z26" s="7"/>
      <c r="AA26" s="618">
        <f t="shared" si="0"/>
        <v>0</v>
      </c>
      <c r="AB26" s="7"/>
      <c r="AC26" s="7"/>
      <c r="AD26" s="7"/>
      <c r="AE26" s="7"/>
      <c r="AF26" s="7"/>
      <c r="AG26" s="7"/>
    </row>
    <row r="27" spans="1:33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3"/>
      <c r="I27" s="214"/>
      <c r="J27" s="214"/>
      <c r="K27" s="215"/>
      <c r="L27" s="215"/>
      <c r="M27" s="213"/>
      <c r="N27" s="213"/>
      <c r="O27" s="213"/>
      <c r="P27" s="213"/>
      <c r="Q27" s="215"/>
      <c r="R27" s="370"/>
      <c r="S27" s="215"/>
      <c r="T27" s="616">
        <f t="shared" si="1"/>
        <v>0</v>
      </c>
      <c r="U27" s="633"/>
      <c r="V27" s="634"/>
      <c r="W27" s="634"/>
      <c r="X27" s="7"/>
      <c r="Y27" s="699"/>
      <c r="Z27" s="7"/>
      <c r="AA27" s="618">
        <f t="shared" si="0"/>
        <v>0</v>
      </c>
      <c r="AB27" s="7"/>
      <c r="AC27" s="7"/>
      <c r="AD27" s="7"/>
      <c r="AE27" s="7"/>
      <c r="AF27" s="7"/>
      <c r="AG27" s="7"/>
    </row>
    <row r="28" spans="1:33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3"/>
      <c r="I28" s="214"/>
      <c r="J28" s="214"/>
      <c r="K28" s="215"/>
      <c r="L28" s="215"/>
      <c r="M28" s="213"/>
      <c r="N28" s="213"/>
      <c r="O28" s="213"/>
      <c r="P28" s="213"/>
      <c r="Q28" s="215"/>
      <c r="R28" s="370"/>
      <c r="S28" s="215"/>
      <c r="T28" s="616">
        <f t="shared" si="1"/>
        <v>0</v>
      </c>
      <c r="U28" s="633"/>
      <c r="V28" s="634"/>
      <c r="W28" s="634"/>
      <c r="X28" s="7"/>
      <c r="Y28" s="699"/>
      <c r="Z28" s="7"/>
      <c r="AA28" s="618">
        <f t="shared" si="0"/>
        <v>0</v>
      </c>
      <c r="AB28" s="7"/>
      <c r="AC28" s="7"/>
      <c r="AD28" s="7"/>
      <c r="AE28" s="7"/>
      <c r="AF28" s="7"/>
      <c r="AG28" s="7"/>
    </row>
    <row r="29" spans="1:33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3"/>
      <c r="I29" s="214"/>
      <c r="J29" s="214"/>
      <c r="K29" s="215"/>
      <c r="L29" s="215"/>
      <c r="M29" s="213"/>
      <c r="N29" s="213"/>
      <c r="O29" s="213"/>
      <c r="P29" s="213"/>
      <c r="Q29" s="215"/>
      <c r="R29" s="370"/>
      <c r="S29" s="215"/>
      <c r="T29" s="616">
        <f t="shared" si="1"/>
        <v>0</v>
      </c>
      <c r="U29" s="633"/>
      <c r="V29" s="634"/>
      <c r="W29" s="634"/>
      <c r="X29" s="7"/>
      <c r="Y29" s="699"/>
      <c r="Z29" s="7"/>
      <c r="AA29" s="618">
        <f t="shared" si="0"/>
        <v>0</v>
      </c>
      <c r="AB29" s="7"/>
      <c r="AC29" s="7"/>
      <c r="AD29" s="7"/>
      <c r="AE29" s="7"/>
      <c r="AF29" s="7"/>
      <c r="AG29" s="7"/>
    </row>
    <row r="30" spans="1:33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09">
        <v>1</v>
      </c>
      <c r="I30" s="210"/>
      <c r="J30" s="210"/>
      <c r="K30" s="211"/>
      <c r="L30" s="211"/>
      <c r="M30" s="209"/>
      <c r="N30" s="209"/>
      <c r="O30" s="209"/>
      <c r="P30" s="209"/>
      <c r="Q30" s="211"/>
      <c r="R30" s="370"/>
      <c r="S30" s="215"/>
      <c r="T30" s="625">
        <f t="shared" si="1"/>
        <v>1</v>
      </c>
      <c r="U30" s="626"/>
      <c r="V30" s="627"/>
      <c r="W30" s="627"/>
      <c r="X30" s="7"/>
      <c r="Y30" s="699">
        <v>1</v>
      </c>
      <c r="Z30" s="7"/>
      <c r="AA30" s="618"/>
      <c r="AB30" s="7"/>
      <c r="AC30" s="7"/>
      <c r="AD30" s="7"/>
      <c r="AE30" s="7"/>
      <c r="AF30" s="7"/>
      <c r="AG30" s="7"/>
    </row>
    <row r="31" spans="1:33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3"/>
      <c r="I31" s="214"/>
      <c r="J31" s="214"/>
      <c r="K31" s="215"/>
      <c r="L31" s="215"/>
      <c r="M31" s="213"/>
      <c r="N31" s="213"/>
      <c r="O31" s="213"/>
      <c r="P31" s="213"/>
      <c r="Q31" s="215"/>
      <c r="R31" s="370"/>
      <c r="S31" s="215"/>
      <c r="T31" s="616">
        <f t="shared" si="1"/>
        <v>0</v>
      </c>
      <c r="U31" s="633"/>
      <c r="V31" s="634"/>
      <c r="W31" s="634"/>
      <c r="X31" s="7"/>
      <c r="Y31" s="699"/>
      <c r="Z31" s="7"/>
      <c r="AA31" s="618">
        <f t="shared" ref="AA31:AA34" si="2">Y31-T31</f>
        <v>0</v>
      </c>
      <c r="AB31" s="7"/>
      <c r="AC31" s="7"/>
      <c r="AD31" s="7"/>
      <c r="AE31" s="7"/>
      <c r="AF31" s="7"/>
      <c r="AG31" s="7"/>
    </row>
    <row r="32" spans="1:33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3"/>
      <c r="I32" s="214"/>
      <c r="J32" s="214"/>
      <c r="K32" s="215"/>
      <c r="L32" s="215"/>
      <c r="M32" s="213"/>
      <c r="N32" s="213"/>
      <c r="O32" s="213"/>
      <c r="P32" s="213"/>
      <c r="Q32" s="215"/>
      <c r="R32" s="370"/>
      <c r="S32" s="215"/>
      <c r="T32" s="616">
        <f t="shared" si="1"/>
        <v>0</v>
      </c>
      <c r="U32" s="633"/>
      <c r="V32" s="634"/>
      <c r="W32" s="634"/>
      <c r="X32" s="7"/>
      <c r="Y32" s="699"/>
      <c r="Z32" s="7"/>
      <c r="AA32" s="618">
        <f t="shared" si="2"/>
        <v>0</v>
      </c>
      <c r="AB32" s="7"/>
      <c r="AC32" s="7"/>
      <c r="AD32" s="7"/>
      <c r="AE32" s="7"/>
      <c r="AF32" s="7"/>
      <c r="AG32" s="7"/>
    </row>
    <row r="33" spans="1:33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3"/>
      <c r="I33" s="214"/>
      <c r="J33" s="214"/>
      <c r="K33" s="215"/>
      <c r="L33" s="215"/>
      <c r="M33" s="213"/>
      <c r="N33" s="213"/>
      <c r="O33" s="213"/>
      <c r="P33" s="213"/>
      <c r="Q33" s="215"/>
      <c r="R33" s="370"/>
      <c r="S33" s="215"/>
      <c r="T33" s="616">
        <f t="shared" si="1"/>
        <v>0</v>
      </c>
      <c r="U33" s="633"/>
      <c r="V33" s="634"/>
      <c r="W33" s="634"/>
      <c r="X33" s="7"/>
      <c r="Y33" s="699"/>
      <c r="Z33" s="7"/>
      <c r="AA33" s="618">
        <f t="shared" si="2"/>
        <v>0</v>
      </c>
      <c r="AB33" s="7"/>
      <c r="AC33" s="7"/>
      <c r="AD33" s="7"/>
      <c r="AE33" s="7"/>
      <c r="AF33" s="7"/>
      <c r="AG33" s="7"/>
    </row>
    <row r="34" spans="1:33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3"/>
      <c r="I34" s="214"/>
      <c r="J34" s="214"/>
      <c r="K34" s="215"/>
      <c r="L34" s="215"/>
      <c r="M34" s="213"/>
      <c r="N34" s="213"/>
      <c r="O34" s="213"/>
      <c r="P34" s="213"/>
      <c r="Q34" s="215"/>
      <c r="R34" s="370"/>
      <c r="S34" s="215"/>
      <c r="T34" s="616">
        <f t="shared" si="1"/>
        <v>0</v>
      </c>
      <c r="U34" s="633"/>
      <c r="V34" s="634"/>
      <c r="W34" s="634"/>
      <c r="X34" s="7"/>
      <c r="Y34" s="699"/>
      <c r="Z34" s="7"/>
      <c r="AA34" s="618">
        <f t="shared" si="2"/>
        <v>0</v>
      </c>
      <c r="AB34" s="7"/>
      <c r="AC34" s="7"/>
      <c r="AD34" s="7"/>
      <c r="AE34" s="7"/>
      <c r="AF34" s="7"/>
      <c r="AG34" s="7"/>
    </row>
    <row r="35" spans="1:33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3"/>
      <c r="I35" s="214"/>
      <c r="J35" s="214"/>
      <c r="K35" s="215"/>
      <c r="L35" s="215"/>
      <c r="M35" s="213"/>
      <c r="N35" s="213"/>
      <c r="O35" s="213">
        <v>33</v>
      </c>
      <c r="P35" s="213"/>
      <c r="Q35" s="215"/>
      <c r="R35" s="370"/>
      <c r="S35" s="215"/>
      <c r="T35" s="616">
        <f t="shared" si="1"/>
        <v>33</v>
      </c>
      <c r="U35" s="633"/>
      <c r="V35" s="636"/>
      <c r="W35" s="636"/>
      <c r="X35" s="7"/>
      <c r="Y35" s="699"/>
      <c r="Z35" s="7"/>
      <c r="AA35" s="618"/>
      <c r="AB35" s="7"/>
      <c r="AC35" s="7"/>
      <c r="AD35" s="7"/>
      <c r="AE35" s="7"/>
      <c r="AF35" s="7"/>
      <c r="AG35" s="7"/>
    </row>
    <row r="36" spans="1:33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3"/>
      <c r="I36" s="214"/>
      <c r="J36" s="214"/>
      <c r="K36" s="215"/>
      <c r="L36" s="215"/>
      <c r="M36" s="213"/>
      <c r="N36" s="213"/>
      <c r="O36" s="213"/>
      <c r="P36" s="213"/>
      <c r="Q36" s="215"/>
      <c r="R36" s="370"/>
      <c r="S36" s="215"/>
      <c r="T36" s="616">
        <f t="shared" si="1"/>
        <v>0</v>
      </c>
      <c r="U36" s="633"/>
      <c r="V36" s="547" t="s">
        <v>1576</v>
      </c>
      <c r="W36" s="636"/>
      <c r="X36" s="7"/>
      <c r="Y36" s="699"/>
      <c r="Z36" s="7"/>
      <c r="AA36" s="618">
        <f>Y36-T36</f>
        <v>0</v>
      </c>
      <c r="AB36" s="7"/>
      <c r="AC36" s="7"/>
      <c r="AD36" s="7"/>
      <c r="AE36" s="7"/>
      <c r="AF36" s="7"/>
      <c r="AG36" s="7"/>
    </row>
    <row r="37" spans="1:33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3"/>
      <c r="I37" s="214"/>
      <c r="J37" s="214"/>
      <c r="K37" s="215"/>
      <c r="L37" s="215"/>
      <c r="M37" s="213"/>
      <c r="N37" s="213"/>
      <c r="O37" s="677">
        <f t="shared" ref="O37:P37" si="3">SUM(O38:O53)+O62</f>
        <v>28</v>
      </c>
      <c r="P37" s="677">
        <f t="shared" si="3"/>
        <v>1</v>
      </c>
      <c r="Q37" s="215"/>
      <c r="R37" s="372"/>
      <c r="S37" s="215"/>
      <c r="T37" s="616">
        <f t="shared" si="1"/>
        <v>29</v>
      </c>
      <c r="U37" s="633"/>
      <c r="V37" s="640"/>
      <c r="W37" s="640"/>
      <c r="X37" s="7"/>
      <c r="Y37" s="699"/>
      <c r="Z37" s="7"/>
      <c r="AA37" s="618"/>
      <c r="AB37" s="7"/>
      <c r="AC37" s="7"/>
      <c r="AD37" s="7"/>
      <c r="AE37" s="7"/>
      <c r="AF37" s="7"/>
      <c r="AG37" s="7"/>
    </row>
    <row r="38" spans="1:33" ht="20.25" customHeight="1">
      <c r="A38" s="492"/>
      <c r="B38" s="493" t="s">
        <v>130</v>
      </c>
      <c r="C38" s="641" t="s">
        <v>131</v>
      </c>
      <c r="D38" s="495" t="s">
        <v>132</v>
      </c>
      <c r="E38" s="209">
        <v>1</v>
      </c>
      <c r="F38" s="209">
        <v>1</v>
      </c>
      <c r="G38" s="209"/>
      <c r="H38" s="209"/>
      <c r="I38" s="210"/>
      <c r="J38" s="210"/>
      <c r="K38" s="211"/>
      <c r="L38" s="211"/>
      <c r="M38" s="209"/>
      <c r="N38" s="209"/>
      <c r="O38" s="209"/>
      <c r="P38" s="209">
        <v>1</v>
      </c>
      <c r="Q38" s="211"/>
      <c r="R38" s="372"/>
      <c r="S38" s="215"/>
      <c r="T38" s="625">
        <f t="shared" si="1"/>
        <v>3</v>
      </c>
      <c r="U38" s="626"/>
      <c r="V38" s="627" t="s">
        <v>1577</v>
      </c>
      <c r="W38" s="642">
        <f>T38</f>
        <v>3</v>
      </c>
      <c r="X38" s="7"/>
      <c r="Y38" s="699">
        <v>5</v>
      </c>
      <c r="Z38" s="7"/>
      <c r="AA38" s="618">
        <f t="shared" ref="AA38:AA42" si="4">Y38-T38</f>
        <v>2</v>
      </c>
      <c r="AB38" s="7"/>
      <c r="AC38" s="7"/>
      <c r="AD38" s="7"/>
      <c r="AE38" s="7"/>
      <c r="AF38" s="7"/>
      <c r="AG38" s="7"/>
    </row>
    <row r="39" spans="1:33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3"/>
      <c r="I39" s="214"/>
      <c r="J39" s="214"/>
      <c r="K39" s="215"/>
      <c r="L39" s="215"/>
      <c r="M39" s="213"/>
      <c r="N39" s="213"/>
      <c r="O39" s="213"/>
      <c r="P39" s="213"/>
      <c r="Q39" s="215"/>
      <c r="R39" s="370"/>
      <c r="S39" s="215"/>
      <c r="T39" s="616">
        <f t="shared" si="1"/>
        <v>0</v>
      </c>
      <c r="U39" s="633"/>
      <c r="V39" s="644" t="s">
        <v>1578</v>
      </c>
      <c r="W39" s="645">
        <f>U43</f>
        <v>154</v>
      </c>
      <c r="X39" s="7"/>
      <c r="Y39" s="699"/>
      <c r="Z39" s="7"/>
      <c r="AA39" s="618">
        <f t="shared" si="4"/>
        <v>0</v>
      </c>
      <c r="AB39" s="7"/>
      <c r="AC39" s="7"/>
      <c r="AD39" s="7"/>
      <c r="AE39" s="7"/>
      <c r="AF39" s="7"/>
      <c r="AG39" s="7"/>
    </row>
    <row r="40" spans="1:33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3"/>
      <c r="I40" s="214"/>
      <c r="J40" s="214"/>
      <c r="K40" s="215"/>
      <c r="L40" s="215"/>
      <c r="M40" s="213"/>
      <c r="N40" s="213"/>
      <c r="O40" s="213"/>
      <c r="P40" s="213"/>
      <c r="Q40" s="215"/>
      <c r="R40" s="370"/>
      <c r="S40" s="215"/>
      <c r="T40" s="616">
        <f t="shared" si="1"/>
        <v>0</v>
      </c>
      <c r="U40" s="633"/>
      <c r="V40" s="636"/>
      <c r="W40" s="636"/>
      <c r="X40" s="7"/>
      <c r="Y40" s="699"/>
      <c r="Z40" s="7"/>
      <c r="AA40" s="618">
        <f t="shared" si="4"/>
        <v>0</v>
      </c>
      <c r="AB40" s="7"/>
      <c r="AC40" s="7"/>
      <c r="AD40" s="7"/>
      <c r="AE40" s="7"/>
      <c r="AF40" s="7"/>
      <c r="AG40" s="7"/>
    </row>
    <row r="41" spans="1:33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3"/>
      <c r="I41" s="214"/>
      <c r="J41" s="214"/>
      <c r="K41" s="215"/>
      <c r="L41" s="215"/>
      <c r="M41" s="213"/>
      <c r="N41" s="213"/>
      <c r="O41" s="213"/>
      <c r="P41" s="213"/>
      <c r="Q41" s="215"/>
      <c r="R41" s="370"/>
      <c r="S41" s="215"/>
      <c r="T41" s="616">
        <f t="shared" si="1"/>
        <v>0</v>
      </c>
      <c r="U41" s="633"/>
      <c r="V41" s="636"/>
      <c r="W41" s="636"/>
      <c r="X41" s="7"/>
      <c r="Y41" s="699"/>
      <c r="Z41" s="7"/>
      <c r="AA41" s="618">
        <f t="shared" si="4"/>
        <v>0</v>
      </c>
      <c r="AB41" s="7"/>
      <c r="AC41" s="7"/>
      <c r="AD41" s="7"/>
      <c r="AE41" s="7"/>
      <c r="AF41" s="7"/>
      <c r="AG41" s="7"/>
    </row>
    <row r="42" spans="1:33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3"/>
      <c r="I42" s="214"/>
      <c r="J42" s="214"/>
      <c r="K42" s="215"/>
      <c r="L42" s="215"/>
      <c r="M42" s="213"/>
      <c r="N42" s="213"/>
      <c r="O42" s="213"/>
      <c r="P42" s="213"/>
      <c r="Q42" s="215"/>
      <c r="R42" s="370"/>
      <c r="S42" s="215"/>
      <c r="T42" s="616">
        <f t="shared" si="1"/>
        <v>0</v>
      </c>
      <c r="U42" s="633"/>
      <c r="V42" s="636"/>
      <c r="W42" s="636"/>
      <c r="X42" s="7"/>
      <c r="Y42" s="699"/>
      <c r="Z42" s="7"/>
      <c r="AA42" s="618">
        <f t="shared" si="4"/>
        <v>0</v>
      </c>
      <c r="AB42" s="7"/>
      <c r="AC42" s="7"/>
      <c r="AD42" s="7"/>
      <c r="AE42" s="7"/>
      <c r="AF42" s="7"/>
      <c r="AG42" s="7"/>
    </row>
    <row r="43" spans="1:33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3"/>
      <c r="H43" s="213"/>
      <c r="I43" s="214"/>
      <c r="J43" s="214"/>
      <c r="K43" s="215"/>
      <c r="L43" s="215"/>
      <c r="M43" s="213"/>
      <c r="N43" s="213"/>
      <c r="O43" s="213"/>
      <c r="P43" s="213"/>
      <c r="Q43" s="215"/>
      <c r="R43" s="372"/>
      <c r="S43" s="215"/>
      <c r="T43" s="616">
        <f t="shared" si="1"/>
        <v>0</v>
      </c>
      <c r="U43" s="633">
        <f>T43+T48+T53+T62</f>
        <v>154</v>
      </c>
      <c r="V43" s="634"/>
      <c r="W43" s="634"/>
      <c r="X43" s="7"/>
      <c r="Y43" s="699"/>
      <c r="Z43" s="7"/>
      <c r="AA43" s="618"/>
      <c r="AB43" s="7"/>
      <c r="AC43" s="618">
        <f>SUM(AA43:AA53)</f>
        <v>0</v>
      </c>
      <c r="AD43" s="7"/>
      <c r="AE43" s="7"/>
      <c r="AF43" s="7"/>
      <c r="AG43" s="7"/>
    </row>
    <row r="44" spans="1:33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3"/>
      <c r="I44" s="214"/>
      <c r="J44" s="214"/>
      <c r="K44" s="215"/>
      <c r="L44" s="215"/>
      <c r="M44" s="213"/>
      <c r="N44" s="213"/>
      <c r="O44" s="213"/>
      <c r="P44" s="213"/>
      <c r="Q44" s="215"/>
      <c r="R44" s="370"/>
      <c r="S44" s="215"/>
      <c r="T44" s="616">
        <f t="shared" si="1"/>
        <v>0</v>
      </c>
      <c r="U44" s="633"/>
      <c r="V44" s="634"/>
      <c r="W44" s="634"/>
      <c r="X44" s="7"/>
      <c r="Y44" s="699"/>
      <c r="Z44" s="7"/>
      <c r="AA44" s="618"/>
      <c r="AB44" s="7"/>
      <c r="AC44" s="7"/>
      <c r="AD44" s="7"/>
      <c r="AE44" s="7"/>
      <c r="AF44" s="7"/>
      <c r="AG44" s="7"/>
    </row>
    <row r="45" spans="1:33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3"/>
      <c r="I45" s="214"/>
      <c r="J45" s="214"/>
      <c r="K45" s="215"/>
      <c r="L45" s="215"/>
      <c r="M45" s="213"/>
      <c r="N45" s="213"/>
      <c r="O45" s="213"/>
      <c r="P45" s="213"/>
      <c r="Q45" s="215"/>
      <c r="R45" s="370"/>
      <c r="S45" s="215"/>
      <c r="T45" s="616">
        <f t="shared" si="1"/>
        <v>0</v>
      </c>
      <c r="U45" s="633"/>
      <c r="V45" s="634"/>
      <c r="W45" s="634"/>
      <c r="X45" s="7"/>
      <c r="Y45" s="699"/>
      <c r="Z45" s="7"/>
      <c r="AA45" s="618"/>
      <c r="AB45" s="7"/>
      <c r="AC45" s="7"/>
      <c r="AD45" s="7"/>
      <c r="AE45" s="7"/>
      <c r="AF45" s="7"/>
      <c r="AG45" s="7"/>
    </row>
    <row r="46" spans="1:33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3"/>
      <c r="I46" s="214"/>
      <c r="J46" s="214"/>
      <c r="K46" s="215"/>
      <c r="L46" s="215"/>
      <c r="M46" s="213"/>
      <c r="N46" s="213"/>
      <c r="O46" s="213"/>
      <c r="P46" s="213"/>
      <c r="Q46" s="215"/>
      <c r="R46" s="370"/>
      <c r="S46" s="215"/>
      <c r="T46" s="616">
        <f t="shared" si="1"/>
        <v>0</v>
      </c>
      <c r="U46" s="633"/>
      <c r="V46" s="634"/>
      <c r="W46" s="634"/>
      <c r="X46" s="7"/>
      <c r="Y46" s="699"/>
      <c r="Z46" s="7"/>
      <c r="AA46" s="618"/>
      <c r="AB46" s="7"/>
      <c r="AC46" s="7"/>
      <c r="AD46" s="7"/>
      <c r="AE46" s="7"/>
      <c r="AF46" s="7"/>
      <c r="AG46" s="7"/>
    </row>
    <row r="47" spans="1:33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3"/>
      <c r="I47" s="214"/>
      <c r="J47" s="214"/>
      <c r="K47" s="215"/>
      <c r="L47" s="215"/>
      <c r="M47" s="213"/>
      <c r="N47" s="213"/>
      <c r="O47" s="213"/>
      <c r="P47" s="213"/>
      <c r="Q47" s="215"/>
      <c r="R47" s="370"/>
      <c r="S47" s="215"/>
      <c r="T47" s="616">
        <f t="shared" si="1"/>
        <v>0</v>
      </c>
      <c r="U47" s="633"/>
      <c r="V47" s="634"/>
      <c r="W47" s="634"/>
      <c r="X47" s="7"/>
      <c r="Y47" s="699"/>
      <c r="Z47" s="7"/>
      <c r="AA47" s="618"/>
      <c r="AB47" s="7"/>
      <c r="AC47" s="7"/>
      <c r="AD47" s="7"/>
      <c r="AE47" s="7"/>
      <c r="AF47" s="7"/>
      <c r="AG47" s="7"/>
    </row>
    <row r="48" spans="1:33" ht="20.25" customHeight="1">
      <c r="A48" s="482"/>
      <c r="B48" s="496" t="s">
        <v>151</v>
      </c>
      <c r="C48" s="555" t="s">
        <v>152</v>
      </c>
      <c r="D48" s="485" t="s">
        <v>132</v>
      </c>
      <c r="E48" s="213"/>
      <c r="F48" s="213">
        <v>3</v>
      </c>
      <c r="G48" s="213">
        <v>20</v>
      </c>
      <c r="H48" s="213">
        <v>22</v>
      </c>
      <c r="I48" s="214"/>
      <c r="J48" s="214"/>
      <c r="K48" s="215">
        <v>61</v>
      </c>
      <c r="L48" s="215">
        <v>2</v>
      </c>
      <c r="M48" s="213"/>
      <c r="N48" s="213"/>
      <c r="O48" s="213">
        <v>6</v>
      </c>
      <c r="P48" s="213"/>
      <c r="Q48" s="215"/>
      <c r="R48" s="372"/>
      <c r="S48" s="215"/>
      <c r="T48" s="616">
        <f t="shared" si="1"/>
        <v>114</v>
      </c>
      <c r="U48" s="633"/>
      <c r="V48" s="634"/>
      <c r="W48" s="634"/>
      <c r="X48" s="7"/>
      <c r="Y48" s="699">
        <v>5</v>
      </c>
      <c r="Z48" s="7"/>
      <c r="AA48" s="618"/>
      <c r="AB48" s="7"/>
      <c r="AC48" s="7"/>
      <c r="AD48" s="7"/>
      <c r="AE48" s="7"/>
      <c r="AF48" s="7"/>
      <c r="AG48" s="7"/>
    </row>
    <row r="49" spans="1:33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3"/>
      <c r="I49" s="214"/>
      <c r="J49" s="214"/>
      <c r="K49" s="215"/>
      <c r="L49" s="215"/>
      <c r="M49" s="213"/>
      <c r="N49" s="213"/>
      <c r="O49" s="213"/>
      <c r="P49" s="213"/>
      <c r="Q49" s="215"/>
      <c r="R49" s="370"/>
      <c r="S49" s="215"/>
      <c r="T49" s="616">
        <f t="shared" si="1"/>
        <v>0</v>
      </c>
      <c r="U49" s="633"/>
      <c r="V49" s="634"/>
      <c r="W49" s="634"/>
      <c r="X49" s="7"/>
      <c r="Y49" s="699"/>
      <c r="Z49" s="7"/>
      <c r="AA49" s="618"/>
      <c r="AB49" s="7"/>
      <c r="AC49" s="7"/>
      <c r="AD49" s="7"/>
      <c r="AE49" s="7"/>
      <c r="AF49" s="7"/>
      <c r="AG49" s="7"/>
    </row>
    <row r="50" spans="1:33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3"/>
      <c r="I50" s="214"/>
      <c r="J50" s="214"/>
      <c r="K50" s="215"/>
      <c r="L50" s="215"/>
      <c r="M50" s="213"/>
      <c r="N50" s="213"/>
      <c r="O50" s="213"/>
      <c r="P50" s="213"/>
      <c r="Q50" s="215"/>
      <c r="R50" s="370"/>
      <c r="S50" s="215"/>
      <c r="T50" s="616">
        <f t="shared" si="1"/>
        <v>0</v>
      </c>
      <c r="U50" s="633"/>
      <c r="V50" s="634"/>
      <c r="W50" s="634"/>
      <c r="X50" s="7"/>
      <c r="Y50" s="699"/>
      <c r="Z50" s="7"/>
      <c r="AA50" s="618"/>
      <c r="AB50" s="7"/>
      <c r="AC50" s="7"/>
      <c r="AD50" s="7"/>
      <c r="AE50" s="7"/>
      <c r="AF50" s="7"/>
      <c r="AG50" s="7"/>
    </row>
    <row r="51" spans="1:33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3"/>
      <c r="I51" s="214"/>
      <c r="J51" s="214"/>
      <c r="K51" s="215"/>
      <c r="L51" s="215"/>
      <c r="M51" s="213"/>
      <c r="N51" s="213"/>
      <c r="O51" s="213"/>
      <c r="P51" s="213"/>
      <c r="Q51" s="215"/>
      <c r="R51" s="370"/>
      <c r="S51" s="215"/>
      <c r="T51" s="616">
        <f t="shared" si="1"/>
        <v>0</v>
      </c>
      <c r="U51" s="633"/>
      <c r="V51" s="634"/>
      <c r="W51" s="634"/>
      <c r="X51" s="7"/>
      <c r="Y51" s="699"/>
      <c r="Z51" s="7"/>
      <c r="AA51" s="618"/>
      <c r="AB51" s="7"/>
      <c r="AC51" s="7"/>
      <c r="AD51" s="7"/>
      <c r="AE51" s="7"/>
      <c r="AF51" s="7"/>
      <c r="AG51" s="7"/>
    </row>
    <row r="52" spans="1:33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3"/>
      <c r="I52" s="214"/>
      <c r="J52" s="214"/>
      <c r="K52" s="215"/>
      <c r="L52" s="215"/>
      <c r="M52" s="213"/>
      <c r="N52" s="213"/>
      <c r="O52" s="213"/>
      <c r="P52" s="213"/>
      <c r="Q52" s="215"/>
      <c r="R52" s="370"/>
      <c r="S52" s="215"/>
      <c r="T52" s="616">
        <f t="shared" si="1"/>
        <v>0</v>
      </c>
      <c r="U52" s="633"/>
      <c r="V52" s="634"/>
      <c r="W52" s="634"/>
      <c r="X52" s="7"/>
      <c r="Y52" s="699"/>
      <c r="Z52" s="7"/>
      <c r="AA52" s="618"/>
      <c r="AB52" s="7"/>
      <c r="AC52" s="7"/>
      <c r="AD52" s="7"/>
      <c r="AE52" s="7"/>
      <c r="AF52" s="7"/>
      <c r="AG52" s="7"/>
    </row>
    <row r="53" spans="1:33" ht="20.25" customHeight="1">
      <c r="A53" s="482"/>
      <c r="B53" s="483" t="s">
        <v>158</v>
      </c>
      <c r="C53" s="555" t="s">
        <v>159</v>
      </c>
      <c r="D53" s="485" t="s">
        <v>132</v>
      </c>
      <c r="E53" s="213">
        <v>8</v>
      </c>
      <c r="F53" s="213"/>
      <c r="G53" s="213"/>
      <c r="H53" s="213"/>
      <c r="I53" s="214"/>
      <c r="J53" s="214"/>
      <c r="K53" s="215"/>
      <c r="L53" s="215"/>
      <c r="M53" s="213"/>
      <c r="N53" s="213"/>
      <c r="O53" s="213"/>
      <c r="P53" s="213"/>
      <c r="Q53" s="215">
        <v>5</v>
      </c>
      <c r="R53" s="372">
        <v>5</v>
      </c>
      <c r="S53" s="215"/>
      <c r="T53" s="616">
        <f t="shared" si="1"/>
        <v>18</v>
      </c>
      <c r="U53" s="633"/>
      <c r="V53" s="634"/>
      <c r="W53" s="634"/>
      <c r="X53" s="7"/>
      <c r="Y53" s="699">
        <v>42</v>
      </c>
      <c r="Z53" s="7"/>
      <c r="AA53" s="618"/>
      <c r="AB53" s="7"/>
      <c r="AC53" s="7"/>
      <c r="AD53" s="7"/>
      <c r="AE53" s="7"/>
      <c r="AF53" s="7"/>
      <c r="AG53" s="7"/>
    </row>
    <row r="54" spans="1:33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3"/>
      <c r="I54" s="214"/>
      <c r="J54" s="214"/>
      <c r="K54" s="215"/>
      <c r="L54" s="215"/>
      <c r="M54" s="213"/>
      <c r="N54" s="213"/>
      <c r="O54" s="213"/>
      <c r="P54" s="213"/>
      <c r="Q54" s="215"/>
      <c r="R54" s="370"/>
      <c r="S54" s="215"/>
      <c r="T54" s="616">
        <f t="shared" si="1"/>
        <v>0</v>
      </c>
      <c r="U54" s="633"/>
      <c r="V54" s="634"/>
      <c r="W54" s="634"/>
      <c r="X54" s="7"/>
      <c r="Y54" s="699"/>
      <c r="Z54" s="7"/>
      <c r="AA54" s="618"/>
      <c r="AB54" s="7"/>
      <c r="AC54" s="7"/>
      <c r="AD54" s="7"/>
      <c r="AE54" s="7"/>
      <c r="AF54" s="7"/>
      <c r="AG54" s="7"/>
    </row>
    <row r="55" spans="1:33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3"/>
      <c r="I55" s="214"/>
      <c r="J55" s="214"/>
      <c r="K55" s="215"/>
      <c r="L55" s="215"/>
      <c r="M55" s="213"/>
      <c r="N55" s="213"/>
      <c r="O55" s="213"/>
      <c r="P55" s="213"/>
      <c r="Q55" s="215"/>
      <c r="R55" s="370"/>
      <c r="S55" s="215"/>
      <c r="T55" s="616">
        <f t="shared" si="1"/>
        <v>0</v>
      </c>
      <c r="U55" s="633"/>
      <c r="V55" s="634"/>
      <c r="W55" s="634"/>
      <c r="X55" s="7"/>
      <c r="Y55" s="699"/>
      <c r="Z55" s="7"/>
      <c r="AA55" s="618"/>
      <c r="AB55" s="7"/>
      <c r="AC55" s="7"/>
      <c r="AD55" s="7"/>
      <c r="AE55" s="7"/>
      <c r="AF55" s="7"/>
      <c r="AG55" s="7"/>
    </row>
    <row r="56" spans="1:33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3"/>
      <c r="I56" s="214"/>
      <c r="J56" s="214"/>
      <c r="K56" s="215"/>
      <c r="L56" s="215"/>
      <c r="M56" s="213"/>
      <c r="N56" s="213"/>
      <c r="O56" s="213"/>
      <c r="P56" s="213"/>
      <c r="Q56" s="215"/>
      <c r="R56" s="370"/>
      <c r="S56" s="215"/>
      <c r="T56" s="616">
        <f t="shared" si="1"/>
        <v>0</v>
      </c>
      <c r="U56" s="633"/>
      <c r="V56" s="634"/>
      <c r="W56" s="634"/>
      <c r="X56" s="7"/>
      <c r="Y56" s="699"/>
      <c r="Z56" s="7"/>
      <c r="AA56" s="618"/>
      <c r="AB56" s="7"/>
      <c r="AC56" s="7"/>
      <c r="AD56" s="7"/>
      <c r="AE56" s="7"/>
      <c r="AF56" s="7"/>
      <c r="AG56" s="7"/>
    </row>
    <row r="57" spans="1:33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3"/>
      <c r="I57" s="214"/>
      <c r="J57" s="214"/>
      <c r="K57" s="215"/>
      <c r="L57" s="215"/>
      <c r="M57" s="213"/>
      <c r="N57" s="213"/>
      <c r="O57" s="213"/>
      <c r="P57" s="213"/>
      <c r="Q57" s="215"/>
      <c r="R57" s="370"/>
      <c r="S57" s="215"/>
      <c r="T57" s="616">
        <f t="shared" si="1"/>
        <v>0</v>
      </c>
      <c r="U57" s="633"/>
      <c r="V57" s="634"/>
      <c r="W57" s="634"/>
      <c r="X57" s="7"/>
      <c r="Y57" s="699"/>
      <c r="Z57" s="7"/>
      <c r="AA57" s="618"/>
      <c r="AB57" s="7"/>
      <c r="AC57" s="7"/>
      <c r="AD57" s="7"/>
      <c r="AE57" s="7"/>
      <c r="AF57" s="7"/>
      <c r="AG57" s="7"/>
    </row>
    <row r="58" spans="1:33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219"/>
      <c r="I58" s="374"/>
      <c r="J58" s="374"/>
      <c r="K58" s="215"/>
      <c r="L58" s="215"/>
      <c r="M58" s="219"/>
      <c r="N58" s="219"/>
      <c r="O58" s="209">
        <v>134</v>
      </c>
      <c r="P58" s="209">
        <v>124</v>
      </c>
      <c r="Q58" s="215"/>
      <c r="R58" s="372"/>
      <c r="S58" s="215"/>
      <c r="T58" s="616">
        <f t="shared" si="1"/>
        <v>258</v>
      </c>
      <c r="U58" s="633"/>
      <c r="V58" s="634"/>
      <c r="W58" s="634"/>
      <c r="X58" s="7"/>
      <c r="Y58" s="699">
        <v>69</v>
      </c>
      <c r="Z58" s="7"/>
      <c r="AA58" s="618"/>
      <c r="AB58" s="7"/>
      <c r="AC58" s="7"/>
      <c r="AD58" s="7"/>
      <c r="AE58" s="7"/>
      <c r="AF58" s="7"/>
      <c r="AG58" s="7"/>
    </row>
    <row r="59" spans="1:33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3"/>
      <c r="I59" s="214"/>
      <c r="J59" s="214"/>
      <c r="K59" s="215"/>
      <c r="L59" s="215"/>
      <c r="M59" s="213"/>
      <c r="N59" s="213"/>
      <c r="O59" s="213"/>
      <c r="P59" s="213"/>
      <c r="Q59" s="215"/>
      <c r="R59" s="370"/>
      <c r="S59" s="215"/>
      <c r="T59" s="616">
        <f t="shared" si="1"/>
        <v>0</v>
      </c>
      <c r="U59" s="633"/>
      <c r="V59" s="648"/>
      <c r="W59" s="648"/>
      <c r="X59" s="7"/>
      <c r="Y59" s="699"/>
      <c r="Z59" s="7"/>
      <c r="AA59" s="618">
        <f t="shared" ref="AA59:AA61" si="5">Y59-T59</f>
        <v>0</v>
      </c>
      <c r="AB59" s="7"/>
      <c r="AC59" s="7"/>
      <c r="AD59" s="7"/>
      <c r="AE59" s="7"/>
      <c r="AF59" s="7"/>
      <c r="AG59" s="7"/>
    </row>
    <row r="60" spans="1:33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3"/>
      <c r="I60" s="214"/>
      <c r="J60" s="214"/>
      <c r="K60" s="215"/>
      <c r="L60" s="215"/>
      <c r="M60" s="213"/>
      <c r="N60" s="213"/>
      <c r="O60" s="213"/>
      <c r="P60" s="213"/>
      <c r="Q60" s="215"/>
      <c r="R60" s="370"/>
      <c r="S60" s="215"/>
      <c r="T60" s="616">
        <f t="shared" si="1"/>
        <v>0</v>
      </c>
      <c r="U60" s="633"/>
      <c r="V60" s="648"/>
      <c r="W60" s="648"/>
      <c r="X60" s="7"/>
      <c r="Y60" s="699"/>
      <c r="Z60" s="7"/>
      <c r="AA60" s="618">
        <f t="shared" si="5"/>
        <v>0</v>
      </c>
      <c r="AB60" s="7"/>
      <c r="AC60" s="7"/>
      <c r="AD60" s="7"/>
      <c r="AE60" s="7"/>
      <c r="AF60" s="7"/>
      <c r="AG60" s="7"/>
    </row>
    <row r="61" spans="1:33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3"/>
      <c r="I61" s="214"/>
      <c r="J61" s="214"/>
      <c r="K61" s="215"/>
      <c r="L61" s="215"/>
      <c r="M61" s="213"/>
      <c r="N61" s="213"/>
      <c r="O61" s="213"/>
      <c r="P61" s="213"/>
      <c r="Q61" s="215"/>
      <c r="R61" s="370"/>
      <c r="S61" s="215"/>
      <c r="T61" s="616">
        <f t="shared" si="1"/>
        <v>0</v>
      </c>
      <c r="U61" s="633"/>
      <c r="V61" s="648"/>
      <c r="W61" s="648"/>
      <c r="X61" s="7"/>
      <c r="Y61" s="699"/>
      <c r="Z61" s="7"/>
      <c r="AA61" s="618">
        <f t="shared" si="5"/>
        <v>0</v>
      </c>
      <c r="AB61" s="7"/>
      <c r="AC61" s="7"/>
      <c r="AD61" s="7"/>
      <c r="AE61" s="7"/>
      <c r="AF61" s="7"/>
      <c r="AG61" s="7"/>
    </row>
    <row r="62" spans="1:33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3"/>
      <c r="I62" s="214"/>
      <c r="J62" s="214"/>
      <c r="K62" s="215"/>
      <c r="L62" s="215"/>
      <c r="M62" s="213"/>
      <c r="N62" s="213"/>
      <c r="O62" s="213">
        <f>19+3</f>
        <v>22</v>
      </c>
      <c r="P62" s="213"/>
      <c r="Q62" s="215"/>
      <c r="R62" s="372"/>
      <c r="S62" s="215"/>
      <c r="T62" s="616">
        <f t="shared" si="1"/>
        <v>22</v>
      </c>
      <c r="U62" s="633"/>
      <c r="V62" s="636"/>
      <c r="W62" s="636"/>
      <c r="X62" s="7"/>
      <c r="Y62" s="699">
        <v>13</v>
      </c>
      <c r="Z62" s="7"/>
      <c r="AA62" s="618"/>
      <c r="AB62" s="7"/>
      <c r="AC62" s="7"/>
      <c r="AD62" s="7"/>
      <c r="AE62" s="7"/>
      <c r="AF62" s="7"/>
      <c r="AG62" s="7"/>
    </row>
    <row r="63" spans="1:33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3"/>
      <c r="I63" s="214"/>
      <c r="J63" s="214"/>
      <c r="K63" s="215"/>
      <c r="L63" s="215"/>
      <c r="M63" s="213"/>
      <c r="N63" s="213"/>
      <c r="O63" s="213"/>
      <c r="P63" s="213"/>
      <c r="Q63" s="215"/>
      <c r="R63" s="372"/>
      <c r="S63" s="215"/>
      <c r="T63" s="616">
        <f t="shared" si="1"/>
        <v>0</v>
      </c>
      <c r="U63" s="633"/>
      <c r="V63" s="636"/>
      <c r="W63" s="636"/>
      <c r="X63" s="7"/>
      <c r="Y63" s="699"/>
      <c r="Z63" s="7"/>
      <c r="AA63" s="618">
        <f t="shared" ref="AA63:AA64" si="6">Y63-T63</f>
        <v>0</v>
      </c>
      <c r="AB63" s="7"/>
      <c r="AC63" s="7"/>
      <c r="AD63" s="7"/>
      <c r="AE63" s="7"/>
      <c r="AF63" s="7"/>
      <c r="AG63" s="7"/>
    </row>
    <row r="64" spans="1:33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3"/>
      <c r="I64" s="214"/>
      <c r="J64" s="214"/>
      <c r="K64" s="215"/>
      <c r="L64" s="215"/>
      <c r="M64" s="213"/>
      <c r="N64" s="213"/>
      <c r="O64" s="213"/>
      <c r="P64" s="213"/>
      <c r="Q64" s="215"/>
      <c r="R64" s="372"/>
      <c r="S64" s="215"/>
      <c r="T64" s="616">
        <f t="shared" si="1"/>
        <v>0</v>
      </c>
      <c r="U64" s="633"/>
      <c r="V64" s="640"/>
      <c r="W64" s="640"/>
      <c r="X64" s="7"/>
      <c r="Y64" s="699"/>
      <c r="Z64" s="7"/>
      <c r="AA64" s="618">
        <f t="shared" si="6"/>
        <v>0</v>
      </c>
      <c r="AB64" s="7"/>
      <c r="AC64" s="7"/>
      <c r="AD64" s="7"/>
      <c r="AE64" s="7"/>
      <c r="AF64" s="7"/>
      <c r="AG64" s="7"/>
    </row>
    <row r="65" spans="1:33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>
        <v>2</v>
      </c>
      <c r="F65" s="213"/>
      <c r="G65" s="213">
        <v>1</v>
      </c>
      <c r="H65" s="213">
        <v>3</v>
      </c>
      <c r="I65" s="214"/>
      <c r="J65" s="214"/>
      <c r="K65" s="215"/>
      <c r="L65" s="215"/>
      <c r="M65" s="213"/>
      <c r="N65" s="213"/>
      <c r="O65" s="213"/>
      <c r="P65" s="213"/>
      <c r="Q65" s="215"/>
      <c r="R65" s="372"/>
      <c r="S65" s="215"/>
      <c r="T65" s="616">
        <f t="shared" si="1"/>
        <v>6</v>
      </c>
      <c r="U65" s="633"/>
      <c r="V65" s="636"/>
      <c r="W65" s="636"/>
      <c r="X65" s="7"/>
      <c r="Y65" s="699">
        <v>5</v>
      </c>
      <c r="Z65" s="7"/>
      <c r="AA65" s="618"/>
      <c r="AB65" s="7"/>
      <c r="AC65" s="7"/>
      <c r="AD65" s="7"/>
      <c r="AE65" s="7"/>
      <c r="AF65" s="7"/>
      <c r="AG65" s="7"/>
    </row>
    <row r="66" spans="1:33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3"/>
      <c r="I66" s="214"/>
      <c r="J66" s="214"/>
      <c r="K66" s="215"/>
      <c r="L66" s="215"/>
      <c r="M66" s="213"/>
      <c r="N66" s="213"/>
      <c r="O66" s="213"/>
      <c r="P66" s="213"/>
      <c r="Q66" s="215"/>
      <c r="R66" s="372"/>
      <c r="S66" s="215"/>
      <c r="T66" s="616">
        <f t="shared" si="1"/>
        <v>0</v>
      </c>
      <c r="U66" s="633"/>
      <c r="V66" s="636"/>
      <c r="W66" s="636"/>
      <c r="X66" s="7"/>
      <c r="Y66" s="699">
        <v>2</v>
      </c>
      <c r="Z66" s="7"/>
      <c r="AA66" s="618"/>
      <c r="AB66" s="7"/>
      <c r="AC66" s="7"/>
      <c r="AD66" s="7"/>
      <c r="AE66" s="7"/>
      <c r="AF66" s="7"/>
      <c r="AG66" s="7"/>
    </row>
    <row r="67" spans="1:33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3"/>
      <c r="I67" s="214"/>
      <c r="J67" s="214"/>
      <c r="K67" s="215"/>
      <c r="L67" s="215"/>
      <c r="M67" s="213"/>
      <c r="N67" s="213"/>
      <c r="O67" s="213"/>
      <c r="P67" s="213"/>
      <c r="Q67" s="215"/>
      <c r="R67" s="370"/>
      <c r="S67" s="215"/>
      <c r="T67" s="616">
        <f t="shared" si="1"/>
        <v>0</v>
      </c>
      <c r="U67" s="633"/>
      <c r="V67" s="634"/>
      <c r="W67" s="634"/>
      <c r="X67" s="7"/>
      <c r="Y67" s="699"/>
      <c r="Z67" s="7"/>
      <c r="AA67" s="618">
        <f t="shared" ref="AA67:AA90" si="7">Y67-T67</f>
        <v>0</v>
      </c>
      <c r="AB67" s="7"/>
      <c r="AC67" s="7"/>
      <c r="AD67" s="7"/>
      <c r="AE67" s="7"/>
      <c r="AF67" s="7"/>
      <c r="AG67" s="7"/>
    </row>
    <row r="68" spans="1:33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3"/>
      <c r="I68" s="214"/>
      <c r="J68" s="214"/>
      <c r="K68" s="215"/>
      <c r="L68" s="215"/>
      <c r="M68" s="213"/>
      <c r="N68" s="213"/>
      <c r="O68" s="213"/>
      <c r="P68" s="213"/>
      <c r="Q68" s="215"/>
      <c r="R68" s="370"/>
      <c r="S68" s="215"/>
      <c r="T68" s="616">
        <f t="shared" si="1"/>
        <v>0</v>
      </c>
      <c r="U68" s="633"/>
      <c r="V68" s="634"/>
      <c r="W68" s="634"/>
      <c r="X68" s="7"/>
      <c r="Y68" s="699"/>
      <c r="Z68" s="7"/>
      <c r="AA68" s="618">
        <f t="shared" si="7"/>
        <v>0</v>
      </c>
      <c r="AB68" s="7"/>
      <c r="AC68" s="7"/>
      <c r="AD68" s="7"/>
      <c r="AE68" s="7"/>
      <c r="AF68" s="7"/>
      <c r="AG68" s="7"/>
    </row>
    <row r="69" spans="1:33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3"/>
      <c r="I69" s="214"/>
      <c r="J69" s="214"/>
      <c r="K69" s="215"/>
      <c r="L69" s="215"/>
      <c r="M69" s="213"/>
      <c r="N69" s="213"/>
      <c r="O69" s="213"/>
      <c r="P69" s="213"/>
      <c r="Q69" s="215"/>
      <c r="R69" s="370"/>
      <c r="S69" s="215"/>
      <c r="T69" s="616">
        <f t="shared" si="1"/>
        <v>0</v>
      </c>
      <c r="U69" s="633"/>
      <c r="V69" s="634"/>
      <c r="W69" s="634"/>
      <c r="X69" s="7"/>
      <c r="Y69" s="699"/>
      <c r="Z69" s="7"/>
      <c r="AA69" s="618">
        <f t="shared" si="7"/>
        <v>0</v>
      </c>
      <c r="AB69" s="7"/>
      <c r="AC69" s="7"/>
      <c r="AD69" s="7"/>
      <c r="AE69" s="7"/>
      <c r="AF69" s="7"/>
      <c r="AG69" s="7"/>
    </row>
    <row r="70" spans="1:33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3"/>
      <c r="I70" s="214"/>
      <c r="J70" s="214"/>
      <c r="K70" s="215"/>
      <c r="L70" s="215"/>
      <c r="M70" s="213"/>
      <c r="N70" s="213"/>
      <c r="O70" s="213"/>
      <c r="P70" s="213"/>
      <c r="Q70" s="215"/>
      <c r="R70" s="370"/>
      <c r="S70" s="215"/>
      <c r="T70" s="616">
        <f t="shared" si="1"/>
        <v>0</v>
      </c>
      <c r="U70" s="633"/>
      <c r="V70" s="634"/>
      <c r="W70" s="634"/>
      <c r="X70" s="7"/>
      <c r="Y70" s="699"/>
      <c r="Z70" s="7"/>
      <c r="AA70" s="618">
        <f t="shared" si="7"/>
        <v>0</v>
      </c>
      <c r="AB70" s="7"/>
      <c r="AC70" s="7"/>
      <c r="AD70" s="7"/>
      <c r="AE70" s="7"/>
      <c r="AF70" s="7"/>
      <c r="AG70" s="7"/>
    </row>
    <row r="71" spans="1:33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3"/>
      <c r="I71" s="214"/>
      <c r="J71" s="214"/>
      <c r="K71" s="215"/>
      <c r="L71" s="215"/>
      <c r="M71" s="213"/>
      <c r="N71" s="213"/>
      <c r="O71" s="213"/>
      <c r="P71" s="213"/>
      <c r="Q71" s="215"/>
      <c r="R71" s="370"/>
      <c r="S71" s="215"/>
      <c r="T71" s="616">
        <f t="shared" si="1"/>
        <v>0</v>
      </c>
      <c r="U71" s="633"/>
      <c r="V71" s="636"/>
      <c r="W71" s="636"/>
      <c r="X71" s="7"/>
      <c r="Y71" s="699"/>
      <c r="Z71" s="7"/>
      <c r="AA71" s="618">
        <f t="shared" si="7"/>
        <v>0</v>
      </c>
      <c r="AB71" s="7"/>
      <c r="AC71" s="7"/>
      <c r="AD71" s="7"/>
      <c r="AE71" s="7"/>
      <c r="AF71" s="7"/>
      <c r="AG71" s="7"/>
    </row>
    <row r="72" spans="1:33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3"/>
      <c r="I72" s="214"/>
      <c r="J72" s="214"/>
      <c r="K72" s="215"/>
      <c r="L72" s="215"/>
      <c r="M72" s="213"/>
      <c r="N72" s="213"/>
      <c r="O72" s="213"/>
      <c r="P72" s="213"/>
      <c r="Q72" s="215"/>
      <c r="R72" s="370"/>
      <c r="S72" s="215"/>
      <c r="T72" s="616">
        <f t="shared" si="1"/>
        <v>0</v>
      </c>
      <c r="U72" s="633"/>
      <c r="V72" s="648"/>
      <c r="W72" s="648"/>
      <c r="X72" s="7"/>
      <c r="Y72" s="699"/>
      <c r="Z72" s="7"/>
      <c r="AA72" s="618">
        <f t="shared" si="7"/>
        <v>0</v>
      </c>
      <c r="AB72" s="7"/>
      <c r="AC72" s="7"/>
      <c r="AD72" s="7"/>
      <c r="AE72" s="7"/>
      <c r="AF72" s="7"/>
      <c r="AG72" s="7"/>
    </row>
    <row r="73" spans="1:33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3"/>
      <c r="I73" s="214"/>
      <c r="J73" s="214"/>
      <c r="K73" s="215"/>
      <c r="L73" s="215"/>
      <c r="M73" s="213"/>
      <c r="N73" s="213"/>
      <c r="O73" s="213"/>
      <c r="P73" s="213"/>
      <c r="Q73" s="215"/>
      <c r="R73" s="370"/>
      <c r="S73" s="215"/>
      <c r="T73" s="616">
        <f t="shared" si="1"/>
        <v>0</v>
      </c>
      <c r="U73" s="633"/>
      <c r="V73" s="648"/>
      <c r="W73" s="648"/>
      <c r="X73" s="7"/>
      <c r="Y73" s="699"/>
      <c r="Z73" s="7"/>
      <c r="AA73" s="618">
        <f t="shared" si="7"/>
        <v>0</v>
      </c>
      <c r="AB73" s="7"/>
      <c r="AC73" s="7"/>
      <c r="AD73" s="7"/>
      <c r="AE73" s="7"/>
      <c r="AF73" s="7"/>
      <c r="AG73" s="7"/>
    </row>
    <row r="74" spans="1:33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3"/>
      <c r="I74" s="214"/>
      <c r="J74" s="214"/>
      <c r="K74" s="215"/>
      <c r="L74" s="215"/>
      <c r="M74" s="213"/>
      <c r="N74" s="213"/>
      <c r="O74" s="213"/>
      <c r="P74" s="213"/>
      <c r="Q74" s="215"/>
      <c r="R74" s="370"/>
      <c r="S74" s="215"/>
      <c r="T74" s="616">
        <f t="shared" si="1"/>
        <v>0</v>
      </c>
      <c r="U74" s="633"/>
      <c r="V74" s="648"/>
      <c r="W74" s="648"/>
      <c r="X74" s="7"/>
      <c r="Y74" s="699"/>
      <c r="Z74" s="7"/>
      <c r="AA74" s="618">
        <f t="shared" si="7"/>
        <v>0</v>
      </c>
      <c r="AB74" s="7"/>
      <c r="AC74" s="7"/>
      <c r="AD74" s="7"/>
      <c r="AE74" s="7"/>
      <c r="AF74" s="7"/>
      <c r="AG74" s="7"/>
    </row>
    <row r="75" spans="1:33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3"/>
      <c r="I75" s="214"/>
      <c r="J75" s="214"/>
      <c r="K75" s="215"/>
      <c r="L75" s="215"/>
      <c r="M75" s="213"/>
      <c r="N75" s="213"/>
      <c r="O75" s="213"/>
      <c r="P75" s="213"/>
      <c r="Q75" s="215"/>
      <c r="R75" s="370"/>
      <c r="S75" s="215"/>
      <c r="T75" s="616">
        <f t="shared" si="1"/>
        <v>0</v>
      </c>
      <c r="U75" s="633"/>
      <c r="V75" s="636"/>
      <c r="W75" s="636"/>
      <c r="X75" s="7"/>
      <c r="Y75" s="699"/>
      <c r="Z75" s="7"/>
      <c r="AA75" s="618">
        <f t="shared" si="7"/>
        <v>0</v>
      </c>
      <c r="AB75" s="7"/>
      <c r="AC75" s="7"/>
      <c r="AD75" s="7"/>
      <c r="AE75" s="7"/>
      <c r="AF75" s="7"/>
      <c r="AG75" s="7"/>
    </row>
    <row r="76" spans="1:33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3"/>
      <c r="I76" s="214"/>
      <c r="J76" s="214"/>
      <c r="K76" s="215"/>
      <c r="L76" s="215"/>
      <c r="M76" s="213"/>
      <c r="N76" s="213"/>
      <c r="O76" s="213"/>
      <c r="P76" s="213"/>
      <c r="Q76" s="215"/>
      <c r="R76" s="372"/>
      <c r="S76" s="215"/>
      <c r="T76" s="616">
        <f t="shared" si="1"/>
        <v>0</v>
      </c>
      <c r="U76" s="633"/>
      <c r="V76" s="636"/>
      <c r="W76" s="636"/>
      <c r="X76" s="7"/>
      <c r="Y76" s="699"/>
      <c r="Z76" s="7"/>
      <c r="AA76" s="618">
        <f t="shared" si="7"/>
        <v>0</v>
      </c>
      <c r="AB76" s="7"/>
      <c r="AC76" s="7"/>
      <c r="AD76" s="7"/>
      <c r="AE76" s="7"/>
      <c r="AF76" s="7"/>
      <c r="AG76" s="7"/>
    </row>
    <row r="77" spans="1:33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3"/>
      <c r="I77" s="214"/>
      <c r="J77" s="214"/>
      <c r="K77" s="215"/>
      <c r="L77" s="215"/>
      <c r="M77" s="213"/>
      <c r="N77" s="213"/>
      <c r="O77" s="213"/>
      <c r="P77" s="213"/>
      <c r="Q77" s="215"/>
      <c r="R77" s="372"/>
      <c r="S77" s="215"/>
      <c r="T77" s="616">
        <f t="shared" si="1"/>
        <v>0</v>
      </c>
      <c r="U77" s="633"/>
      <c r="V77" s="640"/>
      <c r="W77" s="640"/>
      <c r="X77" s="7"/>
      <c r="Y77" s="699"/>
      <c r="Z77" s="7"/>
      <c r="AA77" s="618">
        <f t="shared" si="7"/>
        <v>0</v>
      </c>
      <c r="AB77" s="7"/>
      <c r="AC77" s="7"/>
      <c r="AD77" s="7"/>
      <c r="AE77" s="7"/>
      <c r="AF77" s="7"/>
      <c r="AG77" s="7"/>
    </row>
    <row r="78" spans="1:33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3"/>
      <c r="I78" s="214"/>
      <c r="J78" s="214"/>
      <c r="K78" s="215"/>
      <c r="L78" s="215"/>
      <c r="M78" s="213"/>
      <c r="N78" s="213"/>
      <c r="O78" s="213"/>
      <c r="P78" s="213"/>
      <c r="Q78" s="215"/>
      <c r="R78" s="372"/>
      <c r="S78" s="215"/>
      <c r="T78" s="616">
        <f t="shared" si="1"/>
        <v>0</v>
      </c>
      <c r="U78" s="633"/>
      <c r="V78" s="636"/>
      <c r="W78" s="636"/>
      <c r="X78" s="7"/>
      <c r="Y78" s="699"/>
      <c r="Z78" s="7"/>
      <c r="AA78" s="618">
        <f t="shared" si="7"/>
        <v>0</v>
      </c>
      <c r="AB78" s="7"/>
      <c r="AC78" s="7"/>
      <c r="AD78" s="7"/>
      <c r="AE78" s="7"/>
      <c r="AF78" s="7"/>
      <c r="AG78" s="7"/>
    </row>
    <row r="79" spans="1:33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3"/>
      <c r="I79" s="214"/>
      <c r="J79" s="214"/>
      <c r="K79" s="215"/>
      <c r="L79" s="215"/>
      <c r="M79" s="213"/>
      <c r="N79" s="213"/>
      <c r="O79" s="213"/>
      <c r="P79" s="213"/>
      <c r="Q79" s="215"/>
      <c r="R79" s="372"/>
      <c r="S79" s="215"/>
      <c r="T79" s="616">
        <f t="shared" si="1"/>
        <v>0</v>
      </c>
      <c r="U79" s="633"/>
      <c r="V79" s="634"/>
      <c r="W79" s="634"/>
      <c r="X79" s="7"/>
      <c r="Y79" s="699"/>
      <c r="Z79" s="7"/>
      <c r="AA79" s="618">
        <f t="shared" si="7"/>
        <v>0</v>
      </c>
      <c r="AB79" s="7"/>
      <c r="AC79" s="7"/>
      <c r="AD79" s="7"/>
      <c r="AE79" s="7"/>
      <c r="AF79" s="7"/>
      <c r="AG79" s="7"/>
    </row>
    <row r="80" spans="1:33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3"/>
      <c r="I80" s="214"/>
      <c r="J80" s="214"/>
      <c r="K80" s="215"/>
      <c r="L80" s="215"/>
      <c r="M80" s="213"/>
      <c r="N80" s="213"/>
      <c r="O80" s="213"/>
      <c r="P80" s="213"/>
      <c r="Q80" s="215"/>
      <c r="R80" s="372"/>
      <c r="S80" s="215"/>
      <c r="T80" s="616">
        <f t="shared" si="1"/>
        <v>0</v>
      </c>
      <c r="U80" s="633"/>
      <c r="V80" s="634"/>
      <c r="W80" s="634"/>
      <c r="X80" s="7"/>
      <c r="Y80" s="699"/>
      <c r="Z80" s="7"/>
      <c r="AA80" s="618">
        <f t="shared" si="7"/>
        <v>0</v>
      </c>
      <c r="AB80" s="7"/>
      <c r="AC80" s="7"/>
      <c r="AD80" s="7"/>
      <c r="AE80" s="7"/>
      <c r="AF80" s="7"/>
      <c r="AG80" s="7"/>
    </row>
    <row r="81" spans="1:33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3"/>
      <c r="I81" s="214"/>
      <c r="J81" s="214"/>
      <c r="K81" s="215"/>
      <c r="L81" s="215"/>
      <c r="M81" s="213"/>
      <c r="N81" s="213"/>
      <c r="O81" s="213"/>
      <c r="P81" s="213"/>
      <c r="Q81" s="215"/>
      <c r="R81" s="372"/>
      <c r="S81" s="215"/>
      <c r="T81" s="616">
        <f t="shared" si="1"/>
        <v>0</v>
      </c>
      <c r="U81" s="633"/>
      <c r="V81" s="634"/>
      <c r="W81" s="634"/>
      <c r="X81" s="7"/>
      <c r="Y81" s="699"/>
      <c r="Z81" s="7"/>
      <c r="AA81" s="618">
        <f t="shared" si="7"/>
        <v>0</v>
      </c>
      <c r="AB81" s="7"/>
      <c r="AC81" s="7"/>
      <c r="AD81" s="7"/>
      <c r="AE81" s="7"/>
      <c r="AF81" s="7"/>
      <c r="AG81" s="7"/>
    </row>
    <row r="82" spans="1:33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3"/>
      <c r="I82" s="214"/>
      <c r="J82" s="214"/>
      <c r="K82" s="215"/>
      <c r="L82" s="215"/>
      <c r="M82" s="213"/>
      <c r="N82" s="213"/>
      <c r="O82" s="213"/>
      <c r="P82" s="213"/>
      <c r="Q82" s="215"/>
      <c r="R82" s="372"/>
      <c r="S82" s="215"/>
      <c r="T82" s="616">
        <f t="shared" si="1"/>
        <v>0</v>
      </c>
      <c r="U82" s="633"/>
      <c r="V82" s="634"/>
      <c r="W82" s="634"/>
      <c r="X82" s="7"/>
      <c r="Y82" s="699"/>
      <c r="Z82" s="7"/>
      <c r="AA82" s="618">
        <f t="shared" si="7"/>
        <v>0</v>
      </c>
      <c r="AB82" s="7"/>
      <c r="AC82" s="7"/>
      <c r="AD82" s="7"/>
      <c r="AE82" s="7"/>
      <c r="AF82" s="7"/>
      <c r="AG82" s="7"/>
    </row>
    <row r="83" spans="1:33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3"/>
      <c r="I83" s="214"/>
      <c r="J83" s="214"/>
      <c r="K83" s="215"/>
      <c r="L83" s="215"/>
      <c r="M83" s="213"/>
      <c r="N83" s="213"/>
      <c r="O83" s="213"/>
      <c r="P83" s="213"/>
      <c r="Q83" s="215"/>
      <c r="R83" s="372"/>
      <c r="S83" s="215"/>
      <c r="T83" s="616">
        <f t="shared" si="1"/>
        <v>0</v>
      </c>
      <c r="U83" s="633"/>
      <c r="V83" s="636"/>
      <c r="W83" s="636"/>
      <c r="X83" s="7"/>
      <c r="Y83" s="699"/>
      <c r="Z83" s="7"/>
      <c r="AA83" s="618">
        <f t="shared" si="7"/>
        <v>0</v>
      </c>
      <c r="AB83" s="7"/>
      <c r="AC83" s="7"/>
      <c r="AD83" s="7"/>
      <c r="AE83" s="7"/>
      <c r="AF83" s="7"/>
      <c r="AG83" s="7"/>
    </row>
    <row r="84" spans="1:33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3"/>
      <c r="I84" s="214"/>
      <c r="J84" s="214"/>
      <c r="K84" s="215"/>
      <c r="L84" s="215"/>
      <c r="M84" s="213"/>
      <c r="N84" s="213"/>
      <c r="O84" s="213"/>
      <c r="P84" s="213"/>
      <c r="Q84" s="215"/>
      <c r="R84" s="372"/>
      <c r="S84" s="215"/>
      <c r="T84" s="616">
        <f t="shared" si="1"/>
        <v>0</v>
      </c>
      <c r="U84" s="633"/>
      <c r="V84" s="648"/>
      <c r="W84" s="648"/>
      <c r="X84" s="7"/>
      <c r="Y84" s="699"/>
      <c r="Z84" s="7"/>
      <c r="AA84" s="618">
        <f t="shared" si="7"/>
        <v>0</v>
      </c>
      <c r="AB84" s="7"/>
      <c r="AC84" s="7"/>
      <c r="AD84" s="7"/>
      <c r="AE84" s="7"/>
      <c r="AF84" s="7"/>
      <c r="AG84" s="7"/>
    </row>
    <row r="85" spans="1:33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3"/>
      <c r="I85" s="214"/>
      <c r="J85" s="214"/>
      <c r="K85" s="215"/>
      <c r="L85" s="215"/>
      <c r="M85" s="213"/>
      <c r="N85" s="213"/>
      <c r="O85" s="213"/>
      <c r="P85" s="213"/>
      <c r="Q85" s="215"/>
      <c r="R85" s="372"/>
      <c r="S85" s="215"/>
      <c r="T85" s="616">
        <f t="shared" si="1"/>
        <v>0</v>
      </c>
      <c r="U85" s="633"/>
      <c r="V85" s="648"/>
      <c r="W85" s="648"/>
      <c r="X85" s="7"/>
      <c r="Y85" s="699"/>
      <c r="Z85" s="7"/>
      <c r="AA85" s="618">
        <f t="shared" si="7"/>
        <v>0</v>
      </c>
      <c r="AB85" s="7"/>
      <c r="AC85" s="7"/>
      <c r="AD85" s="7"/>
      <c r="AE85" s="7"/>
      <c r="AF85" s="7"/>
      <c r="AG85" s="7"/>
    </row>
    <row r="86" spans="1:33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3"/>
      <c r="I86" s="214"/>
      <c r="J86" s="214"/>
      <c r="K86" s="215"/>
      <c r="L86" s="215"/>
      <c r="M86" s="213"/>
      <c r="N86" s="213"/>
      <c r="O86" s="213"/>
      <c r="P86" s="213"/>
      <c r="Q86" s="215"/>
      <c r="R86" s="372"/>
      <c r="S86" s="215"/>
      <c r="T86" s="616">
        <f t="shared" si="1"/>
        <v>0</v>
      </c>
      <c r="U86" s="633"/>
      <c r="V86" s="648"/>
      <c r="W86" s="648"/>
      <c r="X86" s="7"/>
      <c r="Y86" s="699"/>
      <c r="Z86" s="7"/>
      <c r="AA86" s="618">
        <f t="shared" si="7"/>
        <v>0</v>
      </c>
      <c r="AB86" s="7"/>
      <c r="AC86" s="7"/>
      <c r="AD86" s="7"/>
      <c r="AE86" s="7"/>
      <c r="AF86" s="7"/>
      <c r="AG86" s="7"/>
    </row>
    <row r="87" spans="1:33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3"/>
      <c r="I87" s="214"/>
      <c r="J87" s="214"/>
      <c r="K87" s="215"/>
      <c r="L87" s="215"/>
      <c r="M87" s="213"/>
      <c r="N87" s="213"/>
      <c r="O87" s="213"/>
      <c r="P87" s="213"/>
      <c r="Q87" s="215"/>
      <c r="R87" s="370"/>
      <c r="S87" s="215"/>
      <c r="T87" s="616">
        <f t="shared" si="1"/>
        <v>0</v>
      </c>
      <c r="U87" s="633"/>
      <c r="V87" s="636"/>
      <c r="W87" s="636"/>
      <c r="X87" s="7"/>
      <c r="Y87" s="699"/>
      <c r="Z87" s="7"/>
      <c r="AA87" s="618">
        <f t="shared" si="7"/>
        <v>0</v>
      </c>
      <c r="AB87" s="7"/>
      <c r="AC87" s="7"/>
      <c r="AD87" s="7"/>
      <c r="AE87" s="7"/>
      <c r="AF87" s="7"/>
      <c r="AG87" s="7"/>
    </row>
    <row r="88" spans="1:33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3"/>
      <c r="I88" s="214"/>
      <c r="J88" s="214"/>
      <c r="K88" s="215"/>
      <c r="L88" s="215"/>
      <c r="M88" s="213"/>
      <c r="N88" s="213"/>
      <c r="O88" s="213"/>
      <c r="P88" s="213"/>
      <c r="Q88" s="215"/>
      <c r="R88" s="370"/>
      <c r="S88" s="215"/>
      <c r="T88" s="616">
        <f t="shared" si="1"/>
        <v>0</v>
      </c>
      <c r="U88" s="633"/>
      <c r="V88" s="636"/>
      <c r="W88" s="636"/>
      <c r="X88" s="7"/>
      <c r="Y88" s="699"/>
      <c r="Z88" s="7"/>
      <c r="AA88" s="618">
        <f t="shared" si="7"/>
        <v>0</v>
      </c>
      <c r="AB88" s="7"/>
      <c r="AC88" s="7"/>
      <c r="AD88" s="7"/>
      <c r="AE88" s="7"/>
      <c r="AF88" s="7"/>
      <c r="AG88" s="7"/>
    </row>
    <row r="89" spans="1:33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3"/>
      <c r="I89" s="214"/>
      <c r="J89" s="214"/>
      <c r="K89" s="215"/>
      <c r="L89" s="215"/>
      <c r="M89" s="213"/>
      <c r="N89" s="213"/>
      <c r="O89" s="213"/>
      <c r="P89" s="213"/>
      <c r="Q89" s="215"/>
      <c r="R89" s="372"/>
      <c r="S89" s="215"/>
      <c r="T89" s="616">
        <f t="shared" si="1"/>
        <v>0</v>
      </c>
      <c r="U89" s="633"/>
      <c r="V89" s="636"/>
      <c r="W89" s="636"/>
      <c r="X89" s="7"/>
      <c r="Y89" s="699"/>
      <c r="Z89" s="7"/>
      <c r="AA89" s="618">
        <f t="shared" si="7"/>
        <v>0</v>
      </c>
      <c r="AB89" s="7"/>
      <c r="AC89" s="7"/>
      <c r="AD89" s="7"/>
      <c r="AE89" s="7"/>
      <c r="AF89" s="7"/>
      <c r="AG89" s="7"/>
    </row>
    <row r="90" spans="1:33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3"/>
      <c r="I90" s="214"/>
      <c r="J90" s="214"/>
      <c r="K90" s="215"/>
      <c r="L90" s="215"/>
      <c r="M90" s="213"/>
      <c r="N90" s="213"/>
      <c r="O90" s="213"/>
      <c r="P90" s="213"/>
      <c r="Q90" s="215"/>
      <c r="R90" s="372"/>
      <c r="S90" s="215"/>
      <c r="T90" s="616">
        <f t="shared" si="1"/>
        <v>0</v>
      </c>
      <c r="U90" s="633"/>
      <c r="V90" s="640"/>
      <c r="W90" s="640"/>
      <c r="X90" s="7"/>
      <c r="Y90" s="699"/>
      <c r="Z90" s="7"/>
      <c r="AA90" s="618">
        <f t="shared" si="7"/>
        <v>0</v>
      </c>
      <c r="AB90" s="7"/>
      <c r="AC90" s="7"/>
      <c r="AD90" s="7"/>
      <c r="AE90" s="7"/>
      <c r="AF90" s="7"/>
      <c r="AG90" s="7"/>
    </row>
    <row r="91" spans="1:33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>
        <v>1</v>
      </c>
      <c r="F91" s="213">
        <v>1</v>
      </c>
      <c r="G91" s="213"/>
      <c r="H91" s="213"/>
      <c r="I91" s="214"/>
      <c r="J91" s="214"/>
      <c r="K91" s="215"/>
      <c r="L91" s="215"/>
      <c r="M91" s="213"/>
      <c r="N91" s="213"/>
      <c r="O91" s="213"/>
      <c r="P91" s="213"/>
      <c r="Q91" s="215"/>
      <c r="R91" s="372"/>
      <c r="S91" s="215"/>
      <c r="T91" s="616">
        <f t="shared" si="1"/>
        <v>2</v>
      </c>
      <c r="U91" s="633"/>
      <c r="V91" s="636"/>
      <c r="W91" s="636"/>
      <c r="X91" s="7"/>
      <c r="Y91" s="699">
        <v>1</v>
      </c>
      <c r="Z91" s="7"/>
      <c r="AA91" s="618"/>
      <c r="AB91" s="7"/>
      <c r="AC91" s="7"/>
      <c r="AD91" s="7"/>
      <c r="AE91" s="7"/>
      <c r="AF91" s="7"/>
      <c r="AG91" s="7"/>
    </row>
    <row r="92" spans="1:33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3"/>
      <c r="I92" s="214"/>
      <c r="J92" s="214"/>
      <c r="K92" s="215"/>
      <c r="L92" s="215"/>
      <c r="M92" s="213"/>
      <c r="N92" s="213"/>
      <c r="O92" s="213"/>
      <c r="P92" s="213"/>
      <c r="Q92" s="215"/>
      <c r="R92" s="372"/>
      <c r="S92" s="215"/>
      <c r="T92" s="616">
        <f t="shared" si="1"/>
        <v>0</v>
      </c>
      <c r="U92" s="633"/>
      <c r="V92" s="636"/>
      <c r="W92" s="636"/>
      <c r="X92" s="7"/>
      <c r="Y92" s="699"/>
      <c r="Z92" s="7"/>
      <c r="AA92" s="618">
        <f t="shared" ref="AA92:AA94" si="8">Y92-T92</f>
        <v>0</v>
      </c>
      <c r="AB92" s="7"/>
      <c r="AC92" s="7"/>
      <c r="AD92" s="7"/>
      <c r="AE92" s="7"/>
      <c r="AF92" s="7"/>
      <c r="AG92" s="7"/>
    </row>
    <row r="93" spans="1:33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3"/>
      <c r="I93" s="214"/>
      <c r="J93" s="214"/>
      <c r="K93" s="215"/>
      <c r="L93" s="215"/>
      <c r="M93" s="213"/>
      <c r="N93" s="213"/>
      <c r="O93" s="213"/>
      <c r="P93" s="213"/>
      <c r="Q93" s="215"/>
      <c r="R93" s="372"/>
      <c r="S93" s="215"/>
      <c r="T93" s="616">
        <f t="shared" si="1"/>
        <v>0</v>
      </c>
      <c r="U93" s="633"/>
      <c r="V93" s="636"/>
      <c r="W93" s="636"/>
      <c r="X93" s="7"/>
      <c r="Y93" s="699"/>
      <c r="Z93" s="7"/>
      <c r="AA93" s="618">
        <f t="shared" si="8"/>
        <v>0</v>
      </c>
      <c r="AB93" s="7"/>
      <c r="AC93" s="7"/>
      <c r="AD93" s="7"/>
      <c r="AE93" s="7"/>
      <c r="AF93" s="7"/>
      <c r="AG93" s="7"/>
    </row>
    <row r="94" spans="1:33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3"/>
      <c r="I94" s="214"/>
      <c r="J94" s="214"/>
      <c r="K94" s="215"/>
      <c r="L94" s="215"/>
      <c r="M94" s="213"/>
      <c r="N94" s="213"/>
      <c r="O94" s="213"/>
      <c r="P94" s="213"/>
      <c r="Q94" s="215"/>
      <c r="R94" s="372"/>
      <c r="S94" s="215"/>
      <c r="T94" s="616">
        <f t="shared" si="1"/>
        <v>0</v>
      </c>
      <c r="U94" s="633"/>
      <c r="V94" s="636"/>
      <c r="W94" s="636"/>
      <c r="X94" s="7"/>
      <c r="Y94" s="699"/>
      <c r="Z94" s="7"/>
      <c r="AA94" s="618">
        <f t="shared" si="8"/>
        <v>0</v>
      </c>
      <c r="AB94" s="7"/>
      <c r="AC94" s="7"/>
      <c r="AD94" s="7"/>
      <c r="AE94" s="7"/>
      <c r="AF94" s="7"/>
      <c r="AG94" s="7"/>
    </row>
    <row r="95" spans="1:33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3"/>
      <c r="I95" s="214"/>
      <c r="J95" s="214"/>
      <c r="K95" s="215"/>
      <c r="L95" s="215"/>
      <c r="M95" s="213"/>
      <c r="N95" s="213"/>
      <c r="O95" s="213"/>
      <c r="P95" s="213"/>
      <c r="Q95" s="215"/>
      <c r="R95" s="372">
        <v>1</v>
      </c>
      <c r="S95" s="215"/>
      <c r="T95" s="616">
        <f t="shared" si="1"/>
        <v>1</v>
      </c>
      <c r="U95" s="633"/>
      <c r="V95" s="636"/>
      <c r="W95" s="636"/>
      <c r="X95" s="7"/>
      <c r="Y95" s="699"/>
      <c r="Z95" s="7"/>
      <c r="AA95" s="618"/>
      <c r="AB95" s="7"/>
      <c r="AC95" s="7"/>
      <c r="AD95" s="7"/>
      <c r="AE95" s="7"/>
      <c r="AF95" s="7"/>
      <c r="AG95" s="7"/>
    </row>
    <row r="96" spans="1:33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3"/>
      <c r="I96" s="214"/>
      <c r="J96" s="214"/>
      <c r="K96" s="215"/>
      <c r="L96" s="215"/>
      <c r="M96" s="213"/>
      <c r="N96" s="213"/>
      <c r="O96" s="213"/>
      <c r="P96" s="213"/>
      <c r="Q96" s="215"/>
      <c r="R96" s="372"/>
      <c r="S96" s="215"/>
      <c r="T96" s="616">
        <f t="shared" si="1"/>
        <v>0</v>
      </c>
      <c r="U96" s="633"/>
      <c r="V96" s="636"/>
      <c r="W96" s="636"/>
      <c r="X96" s="7"/>
      <c r="Y96" s="699"/>
      <c r="Z96" s="7"/>
      <c r="AA96" s="618">
        <f t="shared" ref="AA96:AA103" si="9">Y96-T96</f>
        <v>0</v>
      </c>
      <c r="AB96" s="7"/>
      <c r="AC96" s="7"/>
      <c r="AD96" s="7"/>
      <c r="AE96" s="7"/>
      <c r="AF96" s="7"/>
      <c r="AG96" s="7"/>
    </row>
    <row r="97" spans="1:33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3"/>
      <c r="I97" s="214"/>
      <c r="J97" s="214"/>
      <c r="K97" s="215"/>
      <c r="L97" s="215"/>
      <c r="M97" s="213"/>
      <c r="N97" s="213"/>
      <c r="O97" s="213"/>
      <c r="P97" s="213"/>
      <c r="Q97" s="215"/>
      <c r="R97" s="372"/>
      <c r="S97" s="215"/>
      <c r="T97" s="616">
        <f t="shared" si="1"/>
        <v>0</v>
      </c>
      <c r="U97" s="633"/>
      <c r="V97" s="636"/>
      <c r="W97" s="636"/>
      <c r="X97" s="7"/>
      <c r="Y97" s="699"/>
      <c r="Z97" s="7"/>
      <c r="AA97" s="618">
        <f t="shared" si="9"/>
        <v>0</v>
      </c>
      <c r="AB97" s="7"/>
      <c r="AC97" s="7"/>
      <c r="AD97" s="7"/>
      <c r="AE97" s="7"/>
      <c r="AF97" s="7"/>
      <c r="AG97" s="7"/>
    </row>
    <row r="98" spans="1:33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3"/>
      <c r="I98" s="214"/>
      <c r="J98" s="214"/>
      <c r="K98" s="215"/>
      <c r="L98" s="215"/>
      <c r="M98" s="213"/>
      <c r="N98" s="213"/>
      <c r="O98" s="213"/>
      <c r="P98" s="213"/>
      <c r="Q98" s="215"/>
      <c r="R98" s="372"/>
      <c r="S98" s="215"/>
      <c r="T98" s="616">
        <f t="shared" si="1"/>
        <v>0</v>
      </c>
      <c r="U98" s="633"/>
      <c r="V98" s="636"/>
      <c r="W98" s="636"/>
      <c r="X98" s="7"/>
      <c r="Y98" s="699"/>
      <c r="Z98" s="7"/>
      <c r="AA98" s="618">
        <f t="shared" si="9"/>
        <v>0</v>
      </c>
      <c r="AB98" s="7"/>
      <c r="AC98" s="7"/>
      <c r="AD98" s="7"/>
      <c r="AE98" s="7"/>
      <c r="AF98" s="7"/>
      <c r="AG98" s="7"/>
    </row>
    <row r="99" spans="1:33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3"/>
      <c r="I99" s="214"/>
      <c r="J99" s="214"/>
      <c r="K99" s="215"/>
      <c r="L99" s="215"/>
      <c r="M99" s="213"/>
      <c r="N99" s="213"/>
      <c r="O99" s="213"/>
      <c r="P99" s="213"/>
      <c r="Q99" s="215"/>
      <c r="R99" s="372"/>
      <c r="S99" s="215"/>
      <c r="T99" s="616">
        <f t="shared" si="1"/>
        <v>0</v>
      </c>
      <c r="U99" s="633"/>
      <c r="V99" s="636"/>
      <c r="W99" s="636"/>
      <c r="X99" s="7"/>
      <c r="Y99" s="699"/>
      <c r="Z99" s="7"/>
      <c r="AA99" s="618">
        <f t="shared" si="9"/>
        <v>0</v>
      </c>
      <c r="AB99" s="7"/>
      <c r="AC99" s="7"/>
      <c r="AD99" s="7"/>
      <c r="AE99" s="7"/>
      <c r="AF99" s="7"/>
      <c r="AG99" s="7"/>
    </row>
    <row r="100" spans="1:33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3"/>
      <c r="I100" s="214"/>
      <c r="J100" s="214"/>
      <c r="K100" s="215"/>
      <c r="L100" s="215"/>
      <c r="M100" s="213"/>
      <c r="N100" s="213"/>
      <c r="O100" s="213"/>
      <c r="P100" s="213"/>
      <c r="Q100" s="215"/>
      <c r="R100" s="372"/>
      <c r="S100" s="215"/>
      <c r="T100" s="616">
        <f t="shared" si="1"/>
        <v>0</v>
      </c>
      <c r="U100" s="633"/>
      <c r="V100" s="636"/>
      <c r="W100" s="636"/>
      <c r="X100" s="7"/>
      <c r="Y100" s="699"/>
      <c r="Z100" s="7"/>
      <c r="AA100" s="618">
        <f t="shared" si="9"/>
        <v>0</v>
      </c>
      <c r="AB100" s="7"/>
      <c r="AC100" s="7"/>
      <c r="AD100" s="7"/>
      <c r="AE100" s="7"/>
      <c r="AF100" s="7"/>
      <c r="AG100" s="7"/>
    </row>
    <row r="101" spans="1:33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3"/>
      <c r="I101" s="214"/>
      <c r="J101" s="214"/>
      <c r="K101" s="215"/>
      <c r="L101" s="215"/>
      <c r="M101" s="213"/>
      <c r="N101" s="213"/>
      <c r="O101" s="213"/>
      <c r="P101" s="213"/>
      <c r="Q101" s="215"/>
      <c r="R101" s="372"/>
      <c r="S101" s="215"/>
      <c r="T101" s="616">
        <f t="shared" si="1"/>
        <v>0</v>
      </c>
      <c r="U101" s="633"/>
      <c r="V101" s="636"/>
      <c r="W101" s="636"/>
      <c r="X101" s="7"/>
      <c r="Y101" s="699"/>
      <c r="Z101" s="7"/>
      <c r="AA101" s="618">
        <f t="shared" si="9"/>
        <v>0</v>
      </c>
      <c r="AB101" s="7"/>
      <c r="AC101" s="7"/>
      <c r="AD101" s="7"/>
      <c r="AE101" s="7"/>
      <c r="AF101" s="7"/>
      <c r="AG101" s="7"/>
    </row>
    <row r="102" spans="1:33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3"/>
      <c r="I102" s="214"/>
      <c r="J102" s="214"/>
      <c r="K102" s="215"/>
      <c r="L102" s="215"/>
      <c r="M102" s="213"/>
      <c r="N102" s="213"/>
      <c r="O102" s="213"/>
      <c r="P102" s="213"/>
      <c r="Q102" s="215"/>
      <c r="R102" s="372"/>
      <c r="S102" s="215"/>
      <c r="T102" s="616">
        <f t="shared" si="1"/>
        <v>0</v>
      </c>
      <c r="U102" s="633"/>
      <c r="V102" s="636"/>
      <c r="W102" s="636"/>
      <c r="X102" s="7"/>
      <c r="Y102" s="699"/>
      <c r="Z102" s="7"/>
      <c r="AA102" s="618">
        <f t="shared" si="9"/>
        <v>0</v>
      </c>
      <c r="AB102" s="7"/>
      <c r="AC102" s="7"/>
      <c r="AD102" s="7"/>
      <c r="AE102" s="7"/>
      <c r="AF102" s="7"/>
      <c r="AG102" s="7"/>
    </row>
    <row r="103" spans="1:33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3"/>
      <c r="I103" s="214"/>
      <c r="J103" s="214"/>
      <c r="K103" s="215"/>
      <c r="L103" s="215"/>
      <c r="M103" s="213"/>
      <c r="N103" s="213"/>
      <c r="O103" s="213"/>
      <c r="P103" s="213"/>
      <c r="Q103" s="215"/>
      <c r="R103" s="372"/>
      <c r="S103" s="215"/>
      <c r="T103" s="616">
        <f t="shared" si="1"/>
        <v>0</v>
      </c>
      <c r="U103" s="650" t="s">
        <v>1579</v>
      </c>
      <c r="V103" s="640"/>
      <c r="W103" s="640"/>
      <c r="X103" s="7"/>
      <c r="Y103" s="699"/>
      <c r="Z103" s="7"/>
      <c r="AA103" s="618">
        <f t="shared" si="9"/>
        <v>0</v>
      </c>
      <c r="AB103" s="7"/>
      <c r="AC103" s="7"/>
      <c r="AD103" s="7"/>
      <c r="AE103" s="7"/>
      <c r="AF103" s="7"/>
      <c r="AG103" s="7"/>
    </row>
    <row r="104" spans="1:33" ht="20.25" customHeight="1">
      <c r="A104" s="486"/>
      <c r="B104" s="487" t="s">
        <v>269</v>
      </c>
      <c r="C104" s="635" t="s">
        <v>270</v>
      </c>
      <c r="D104" s="412" t="s">
        <v>271</v>
      </c>
      <c r="E104" s="213">
        <v>3</v>
      </c>
      <c r="F104" s="213"/>
      <c r="G104" s="213"/>
      <c r="H104" s="213">
        <v>11.41</v>
      </c>
      <c r="I104" s="214"/>
      <c r="J104" s="214"/>
      <c r="K104" s="215"/>
      <c r="L104" s="215"/>
      <c r="M104" s="213">
        <v>25.36</v>
      </c>
      <c r="N104" s="213"/>
      <c r="O104" s="213">
        <v>2153.4</v>
      </c>
      <c r="P104" s="213">
        <v>253</v>
      </c>
      <c r="Q104" s="215">
        <v>0.15</v>
      </c>
      <c r="R104" s="651">
        <v>12.3</v>
      </c>
      <c r="S104" s="215"/>
      <c r="T104" s="616">
        <f t="shared" si="1"/>
        <v>2458.6200000000003</v>
      </c>
      <c r="U104" s="633">
        <f>T104+T126+T115</f>
        <v>2680.26</v>
      </c>
      <c r="V104" s="636"/>
      <c r="W104" s="636"/>
      <c r="X104" s="7"/>
      <c r="Y104" s="699">
        <v>1052.5</v>
      </c>
      <c r="Z104" s="7"/>
      <c r="AA104" s="618"/>
      <c r="AB104" s="7"/>
      <c r="AC104" s="7"/>
      <c r="AD104" s="7"/>
      <c r="AE104" s="7"/>
      <c r="AF104" s="7"/>
      <c r="AG104" s="7"/>
    </row>
    <row r="105" spans="1:33" ht="20.25" customHeight="1">
      <c r="A105" s="510"/>
      <c r="B105" s="505" t="s">
        <v>273</v>
      </c>
      <c r="C105" s="653" t="s">
        <v>274</v>
      </c>
      <c r="D105" s="512" t="s">
        <v>271</v>
      </c>
      <c r="E105" s="213">
        <v>3</v>
      </c>
      <c r="F105" s="213"/>
      <c r="G105" s="213"/>
      <c r="H105" s="213"/>
      <c r="I105" s="214"/>
      <c r="J105" s="214"/>
      <c r="K105" s="215"/>
      <c r="L105" s="215"/>
      <c r="M105" s="213"/>
      <c r="N105" s="213"/>
      <c r="O105" s="213"/>
      <c r="P105" s="213"/>
      <c r="Q105" s="215">
        <v>0.15</v>
      </c>
      <c r="R105" s="370"/>
      <c r="S105" s="215"/>
      <c r="T105" s="616">
        <f t="shared" si="1"/>
        <v>3.15</v>
      </c>
      <c r="U105" s="633"/>
      <c r="V105" s="654"/>
      <c r="W105" s="654"/>
      <c r="X105" s="7"/>
      <c r="Y105" s="699"/>
      <c r="Z105" s="7"/>
      <c r="AA105" s="618"/>
      <c r="AB105" s="7"/>
      <c r="AC105" s="7"/>
      <c r="AD105" s="7"/>
      <c r="AE105" s="7"/>
      <c r="AF105" s="7"/>
      <c r="AG105" s="7"/>
    </row>
    <row r="106" spans="1:33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3"/>
      <c r="I106" s="214"/>
      <c r="J106" s="214"/>
      <c r="K106" s="215"/>
      <c r="L106" s="215"/>
      <c r="M106" s="213"/>
      <c r="N106" s="213"/>
      <c r="O106" s="213"/>
      <c r="P106" s="213"/>
      <c r="Q106" s="215">
        <v>0.15</v>
      </c>
      <c r="R106" s="370"/>
      <c r="S106" s="215"/>
      <c r="T106" s="616">
        <f t="shared" si="1"/>
        <v>0.15</v>
      </c>
      <c r="U106" s="633"/>
      <c r="V106" s="648"/>
      <c r="W106" s="648"/>
      <c r="X106" s="7"/>
      <c r="Y106" s="699"/>
      <c r="Z106" s="7"/>
      <c r="AA106" s="618"/>
      <c r="AB106" s="7"/>
      <c r="AC106" s="7"/>
      <c r="AD106" s="7"/>
      <c r="AE106" s="7"/>
      <c r="AF106" s="7"/>
      <c r="AG106" s="7"/>
    </row>
    <row r="107" spans="1:33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3"/>
      <c r="I107" s="214"/>
      <c r="J107" s="214"/>
      <c r="K107" s="215"/>
      <c r="L107" s="215"/>
      <c r="M107" s="213"/>
      <c r="N107" s="213"/>
      <c r="O107" s="213"/>
      <c r="P107" s="213"/>
      <c r="Q107" s="215"/>
      <c r="R107" s="370"/>
      <c r="S107" s="215"/>
      <c r="T107" s="616">
        <f t="shared" si="1"/>
        <v>0</v>
      </c>
      <c r="U107" s="633"/>
      <c r="V107" s="648"/>
      <c r="W107" s="648"/>
      <c r="X107" s="7"/>
      <c r="Y107" s="699"/>
      <c r="Z107" s="7"/>
      <c r="AA107" s="618"/>
      <c r="AB107" s="7"/>
      <c r="AC107" s="7"/>
      <c r="AD107" s="7"/>
      <c r="AE107" s="7"/>
      <c r="AF107" s="7"/>
      <c r="AG107" s="7"/>
    </row>
    <row r="108" spans="1:33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3"/>
      <c r="I108" s="214"/>
      <c r="J108" s="214"/>
      <c r="K108" s="215"/>
      <c r="L108" s="215"/>
      <c r="M108" s="213"/>
      <c r="N108" s="213"/>
      <c r="O108" s="213"/>
      <c r="P108" s="213"/>
      <c r="Q108" s="215"/>
      <c r="R108" s="370"/>
      <c r="S108" s="215"/>
      <c r="T108" s="616">
        <f t="shared" si="1"/>
        <v>0</v>
      </c>
      <c r="U108" s="633"/>
      <c r="V108" s="648"/>
      <c r="W108" s="648"/>
      <c r="X108" s="7"/>
      <c r="Y108" s="699"/>
      <c r="Z108" s="7"/>
      <c r="AA108" s="618"/>
      <c r="AB108" s="7"/>
      <c r="AC108" s="7"/>
      <c r="AD108" s="7"/>
      <c r="AE108" s="7"/>
      <c r="AF108" s="7"/>
      <c r="AG108" s="7"/>
    </row>
    <row r="109" spans="1:33" ht="20.25" customHeight="1">
      <c r="A109" s="503"/>
      <c r="B109" s="483" t="s">
        <v>278</v>
      </c>
      <c r="C109" s="629" t="s">
        <v>159</v>
      </c>
      <c r="D109" s="504" t="s">
        <v>271</v>
      </c>
      <c r="E109" s="213">
        <v>3</v>
      </c>
      <c r="F109" s="213"/>
      <c r="G109" s="213"/>
      <c r="H109" s="213"/>
      <c r="I109" s="214"/>
      <c r="J109" s="214"/>
      <c r="K109" s="215"/>
      <c r="L109" s="215"/>
      <c r="M109" s="213"/>
      <c r="N109" s="213"/>
      <c r="O109" s="213"/>
      <c r="P109" s="213"/>
      <c r="Q109" s="215"/>
      <c r="R109" s="370"/>
      <c r="S109" s="215"/>
      <c r="T109" s="616">
        <f t="shared" si="1"/>
        <v>3</v>
      </c>
      <c r="U109" s="633"/>
      <c r="V109" s="648"/>
      <c r="W109" s="648"/>
      <c r="X109" s="7"/>
      <c r="Y109" s="699"/>
      <c r="Z109" s="7"/>
      <c r="AA109" s="618"/>
      <c r="AB109" s="7"/>
      <c r="AC109" s="7"/>
      <c r="AD109" s="7"/>
      <c r="AE109" s="7"/>
      <c r="AF109" s="7"/>
      <c r="AG109" s="7"/>
    </row>
    <row r="110" spans="1:33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3"/>
      <c r="I110" s="214"/>
      <c r="J110" s="214"/>
      <c r="K110" s="215"/>
      <c r="L110" s="215"/>
      <c r="M110" s="213"/>
      <c r="N110" s="213"/>
      <c r="O110" s="213"/>
      <c r="P110" s="213"/>
      <c r="Q110" s="215"/>
      <c r="R110" s="370"/>
      <c r="S110" s="215"/>
      <c r="T110" s="616">
        <f t="shared" si="1"/>
        <v>0</v>
      </c>
      <c r="U110" s="633"/>
      <c r="V110" s="654"/>
      <c r="W110" s="654"/>
      <c r="X110" s="7"/>
      <c r="Y110" s="699"/>
      <c r="Z110" s="7"/>
      <c r="AA110" s="618"/>
      <c r="AB110" s="7"/>
      <c r="AC110" s="7"/>
      <c r="AD110" s="7"/>
      <c r="AE110" s="7"/>
      <c r="AF110" s="7"/>
      <c r="AG110" s="7"/>
    </row>
    <row r="111" spans="1:33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3"/>
      <c r="I111" s="214"/>
      <c r="J111" s="214"/>
      <c r="K111" s="215"/>
      <c r="L111" s="215"/>
      <c r="M111" s="213"/>
      <c r="N111" s="213"/>
      <c r="O111" s="213"/>
      <c r="P111" s="213"/>
      <c r="Q111" s="215"/>
      <c r="R111" s="370"/>
      <c r="S111" s="215"/>
      <c r="T111" s="616">
        <f t="shared" si="1"/>
        <v>0</v>
      </c>
      <c r="U111" s="633"/>
      <c r="V111" s="634"/>
      <c r="W111" s="634"/>
      <c r="X111" s="7"/>
      <c r="Y111" s="699"/>
      <c r="Z111" s="7"/>
      <c r="AA111" s="618"/>
      <c r="AB111" s="7"/>
      <c r="AC111" s="7"/>
      <c r="AD111" s="7"/>
      <c r="AE111" s="7"/>
      <c r="AF111" s="7"/>
      <c r="AG111" s="7"/>
    </row>
    <row r="112" spans="1:33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3"/>
      <c r="I112" s="214"/>
      <c r="J112" s="214"/>
      <c r="K112" s="215"/>
      <c r="L112" s="215"/>
      <c r="M112" s="213"/>
      <c r="N112" s="213"/>
      <c r="O112" s="213"/>
      <c r="P112" s="213"/>
      <c r="Q112" s="215"/>
      <c r="R112" s="370"/>
      <c r="S112" s="215"/>
      <c r="T112" s="616">
        <f t="shared" si="1"/>
        <v>0</v>
      </c>
      <c r="U112" s="633"/>
      <c r="V112" s="634"/>
      <c r="W112" s="634"/>
      <c r="X112" s="7"/>
      <c r="Y112" s="699"/>
      <c r="Z112" s="7"/>
      <c r="AA112" s="618"/>
      <c r="AB112" s="7"/>
      <c r="AC112" s="7"/>
      <c r="AD112" s="7"/>
      <c r="AE112" s="7"/>
      <c r="AF112" s="7"/>
      <c r="AG112" s="7"/>
    </row>
    <row r="113" spans="1:33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3"/>
      <c r="I113" s="214"/>
      <c r="J113" s="214"/>
      <c r="K113" s="215"/>
      <c r="L113" s="215"/>
      <c r="M113" s="213"/>
      <c r="N113" s="213"/>
      <c r="O113" s="213"/>
      <c r="P113" s="213"/>
      <c r="Q113" s="215"/>
      <c r="R113" s="370"/>
      <c r="S113" s="215"/>
      <c r="T113" s="616">
        <f t="shared" si="1"/>
        <v>0</v>
      </c>
      <c r="U113" s="633"/>
      <c r="V113" s="634"/>
      <c r="W113" s="634"/>
      <c r="X113" s="7"/>
      <c r="Y113" s="699"/>
      <c r="Z113" s="7"/>
      <c r="AA113" s="618"/>
      <c r="AB113" s="7"/>
      <c r="AC113" s="7"/>
      <c r="AD113" s="7"/>
      <c r="AE113" s="7"/>
      <c r="AF113" s="7"/>
      <c r="AG113" s="7"/>
    </row>
    <row r="114" spans="1:33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3"/>
      <c r="I114" s="214"/>
      <c r="J114" s="214"/>
      <c r="K114" s="215"/>
      <c r="L114" s="215"/>
      <c r="M114" s="213"/>
      <c r="N114" s="213"/>
      <c r="O114" s="213"/>
      <c r="P114" s="213"/>
      <c r="Q114" s="215"/>
      <c r="R114" s="370"/>
      <c r="S114" s="215"/>
      <c r="T114" s="616">
        <f t="shared" si="1"/>
        <v>0</v>
      </c>
      <c r="U114" s="633"/>
      <c r="V114" s="634"/>
      <c r="W114" s="634"/>
      <c r="X114" s="7"/>
      <c r="Y114" s="699"/>
      <c r="Z114" s="7"/>
      <c r="AA114" s="618"/>
      <c r="AB114" s="7"/>
      <c r="AC114" s="7"/>
      <c r="AD114" s="7"/>
      <c r="AE114" s="7"/>
      <c r="AF114" s="7"/>
      <c r="AG114" s="7"/>
    </row>
    <row r="115" spans="1:33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3"/>
      <c r="I115" s="214"/>
      <c r="J115" s="214"/>
      <c r="K115" s="215"/>
      <c r="L115" s="215"/>
      <c r="M115" s="213"/>
      <c r="N115" s="213"/>
      <c r="O115" s="213"/>
      <c r="P115" s="213"/>
      <c r="Q115" s="215"/>
      <c r="R115" s="370"/>
      <c r="S115" s="215"/>
      <c r="T115" s="616">
        <f t="shared" si="1"/>
        <v>0</v>
      </c>
      <c r="U115" s="633"/>
      <c r="V115" s="636"/>
      <c r="W115" s="636"/>
      <c r="X115" s="7"/>
      <c r="Y115" s="699"/>
      <c r="Z115" s="7"/>
      <c r="AA115" s="618"/>
      <c r="AB115" s="7"/>
      <c r="AC115" s="7"/>
      <c r="AD115" s="7"/>
      <c r="AE115" s="7"/>
      <c r="AF115" s="7"/>
      <c r="AG115" s="7"/>
    </row>
    <row r="116" spans="1:33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3"/>
      <c r="I116" s="214"/>
      <c r="J116" s="214"/>
      <c r="K116" s="215"/>
      <c r="L116" s="215"/>
      <c r="M116" s="213"/>
      <c r="N116" s="213"/>
      <c r="O116" s="213"/>
      <c r="P116" s="213"/>
      <c r="Q116" s="215"/>
      <c r="R116" s="370"/>
      <c r="S116" s="215"/>
      <c r="T116" s="616">
        <f t="shared" si="1"/>
        <v>0</v>
      </c>
      <c r="U116" s="633"/>
      <c r="V116" s="654"/>
      <c r="W116" s="654"/>
      <c r="X116" s="7"/>
      <c r="Y116" s="699"/>
      <c r="Z116" s="7"/>
      <c r="AA116" s="618">
        <f t="shared" ref="AA116:AA126" si="10">Y116-T116</f>
        <v>0</v>
      </c>
      <c r="AB116" s="7"/>
      <c r="AC116" s="7"/>
      <c r="AD116" s="7"/>
      <c r="AE116" s="7"/>
      <c r="AF116" s="7"/>
      <c r="AG116" s="7"/>
    </row>
    <row r="117" spans="1:33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3"/>
      <c r="I117" s="214"/>
      <c r="J117" s="214"/>
      <c r="K117" s="215"/>
      <c r="L117" s="215"/>
      <c r="M117" s="213"/>
      <c r="N117" s="213"/>
      <c r="O117" s="213"/>
      <c r="P117" s="213"/>
      <c r="Q117" s="215"/>
      <c r="R117" s="370"/>
      <c r="S117" s="215"/>
      <c r="T117" s="616">
        <f t="shared" si="1"/>
        <v>0</v>
      </c>
      <c r="U117" s="633"/>
      <c r="V117" s="648"/>
      <c r="W117" s="648"/>
      <c r="X117" s="7"/>
      <c r="Y117" s="699"/>
      <c r="Z117" s="7"/>
      <c r="AA117" s="618">
        <f t="shared" si="10"/>
        <v>0</v>
      </c>
      <c r="AB117" s="7"/>
      <c r="AC117" s="7"/>
      <c r="AD117" s="7"/>
      <c r="AE117" s="7"/>
      <c r="AF117" s="7"/>
      <c r="AG117" s="7"/>
    </row>
    <row r="118" spans="1:33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3"/>
      <c r="I118" s="214"/>
      <c r="J118" s="214"/>
      <c r="K118" s="215"/>
      <c r="L118" s="215"/>
      <c r="M118" s="213"/>
      <c r="N118" s="213"/>
      <c r="O118" s="213"/>
      <c r="P118" s="213"/>
      <c r="Q118" s="215"/>
      <c r="R118" s="370"/>
      <c r="S118" s="215"/>
      <c r="T118" s="616">
        <f t="shared" si="1"/>
        <v>0</v>
      </c>
      <c r="U118" s="633"/>
      <c r="V118" s="648"/>
      <c r="W118" s="648"/>
      <c r="X118" s="7"/>
      <c r="Y118" s="699"/>
      <c r="Z118" s="7"/>
      <c r="AA118" s="618">
        <f t="shared" si="10"/>
        <v>0</v>
      </c>
      <c r="AB118" s="7"/>
      <c r="AC118" s="7"/>
      <c r="AD118" s="7"/>
      <c r="AE118" s="7"/>
      <c r="AF118" s="7"/>
      <c r="AG118" s="7"/>
    </row>
    <row r="119" spans="1:33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3"/>
      <c r="I119" s="214"/>
      <c r="J119" s="214"/>
      <c r="K119" s="215"/>
      <c r="L119" s="215"/>
      <c r="M119" s="213"/>
      <c r="N119" s="213"/>
      <c r="O119" s="213"/>
      <c r="P119" s="213"/>
      <c r="Q119" s="215"/>
      <c r="R119" s="370"/>
      <c r="S119" s="215"/>
      <c r="T119" s="616">
        <f t="shared" si="1"/>
        <v>0</v>
      </c>
      <c r="U119" s="633"/>
      <c r="V119" s="648"/>
      <c r="W119" s="648"/>
      <c r="X119" s="7"/>
      <c r="Y119" s="699"/>
      <c r="Z119" s="7"/>
      <c r="AA119" s="618">
        <f t="shared" si="10"/>
        <v>0</v>
      </c>
      <c r="AB119" s="7"/>
      <c r="AC119" s="7"/>
      <c r="AD119" s="7"/>
      <c r="AE119" s="7"/>
      <c r="AF119" s="7"/>
      <c r="AG119" s="7"/>
    </row>
    <row r="120" spans="1:33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3"/>
      <c r="I120" s="214"/>
      <c r="J120" s="214"/>
      <c r="K120" s="215"/>
      <c r="L120" s="215"/>
      <c r="M120" s="213"/>
      <c r="N120" s="213"/>
      <c r="O120" s="213"/>
      <c r="P120" s="213"/>
      <c r="Q120" s="215"/>
      <c r="R120" s="370"/>
      <c r="S120" s="215"/>
      <c r="T120" s="616">
        <f t="shared" si="1"/>
        <v>0</v>
      </c>
      <c r="U120" s="633"/>
      <c r="V120" s="648"/>
      <c r="W120" s="648"/>
      <c r="X120" s="7"/>
      <c r="Y120" s="699"/>
      <c r="Z120" s="7"/>
      <c r="AA120" s="618">
        <f t="shared" si="10"/>
        <v>0</v>
      </c>
      <c r="AB120" s="7"/>
      <c r="AC120" s="7"/>
      <c r="AD120" s="7"/>
      <c r="AE120" s="7"/>
      <c r="AF120" s="7"/>
      <c r="AG120" s="7"/>
    </row>
    <row r="121" spans="1:33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3"/>
      <c r="I121" s="214"/>
      <c r="J121" s="214"/>
      <c r="K121" s="215"/>
      <c r="L121" s="215"/>
      <c r="M121" s="213"/>
      <c r="N121" s="213"/>
      <c r="O121" s="213"/>
      <c r="P121" s="213"/>
      <c r="Q121" s="215"/>
      <c r="R121" s="370"/>
      <c r="S121" s="215"/>
      <c r="T121" s="616">
        <f t="shared" si="1"/>
        <v>0</v>
      </c>
      <c r="U121" s="633"/>
      <c r="V121" s="654"/>
      <c r="W121" s="654"/>
      <c r="X121" s="7"/>
      <c r="Y121" s="699"/>
      <c r="Z121" s="7"/>
      <c r="AA121" s="618">
        <f t="shared" si="10"/>
        <v>0</v>
      </c>
      <c r="AB121" s="7"/>
      <c r="AC121" s="7"/>
      <c r="AD121" s="7"/>
      <c r="AE121" s="7"/>
      <c r="AF121" s="7"/>
      <c r="AG121" s="7"/>
    </row>
    <row r="122" spans="1:33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3"/>
      <c r="I122" s="214"/>
      <c r="J122" s="214"/>
      <c r="K122" s="215"/>
      <c r="L122" s="215"/>
      <c r="M122" s="213"/>
      <c r="N122" s="213"/>
      <c r="O122" s="213"/>
      <c r="P122" s="213"/>
      <c r="Q122" s="215"/>
      <c r="R122" s="370"/>
      <c r="S122" s="215"/>
      <c r="T122" s="616">
        <f t="shared" si="1"/>
        <v>0</v>
      </c>
      <c r="U122" s="633"/>
      <c r="V122" s="648"/>
      <c r="W122" s="648"/>
      <c r="X122" s="7"/>
      <c r="Y122" s="699"/>
      <c r="Z122" s="7"/>
      <c r="AA122" s="618">
        <f t="shared" si="10"/>
        <v>0</v>
      </c>
      <c r="AB122" s="7"/>
      <c r="AC122" s="7"/>
      <c r="AD122" s="7"/>
      <c r="AE122" s="7"/>
      <c r="AF122" s="7"/>
      <c r="AG122" s="7"/>
    </row>
    <row r="123" spans="1:33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3"/>
      <c r="I123" s="214"/>
      <c r="J123" s="214"/>
      <c r="K123" s="215"/>
      <c r="L123" s="215"/>
      <c r="M123" s="213"/>
      <c r="N123" s="213"/>
      <c r="O123" s="213"/>
      <c r="P123" s="213"/>
      <c r="Q123" s="215"/>
      <c r="R123" s="370"/>
      <c r="S123" s="215"/>
      <c r="T123" s="616">
        <f t="shared" si="1"/>
        <v>0</v>
      </c>
      <c r="U123" s="633"/>
      <c r="V123" s="648"/>
      <c r="W123" s="648"/>
      <c r="X123" s="7"/>
      <c r="Y123" s="699"/>
      <c r="Z123" s="7"/>
      <c r="AA123" s="618">
        <f t="shared" si="10"/>
        <v>0</v>
      </c>
      <c r="AB123" s="7"/>
      <c r="AC123" s="7"/>
      <c r="AD123" s="7"/>
      <c r="AE123" s="7"/>
      <c r="AF123" s="7"/>
      <c r="AG123" s="7"/>
    </row>
    <row r="124" spans="1:33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3"/>
      <c r="I124" s="214"/>
      <c r="J124" s="214"/>
      <c r="K124" s="215"/>
      <c r="L124" s="215"/>
      <c r="M124" s="213"/>
      <c r="N124" s="213"/>
      <c r="O124" s="213"/>
      <c r="P124" s="213"/>
      <c r="Q124" s="215"/>
      <c r="R124" s="370"/>
      <c r="S124" s="215"/>
      <c r="T124" s="616">
        <f t="shared" si="1"/>
        <v>0</v>
      </c>
      <c r="U124" s="633"/>
      <c r="V124" s="648"/>
      <c r="W124" s="648"/>
      <c r="X124" s="7"/>
      <c r="Y124" s="699"/>
      <c r="Z124" s="7"/>
      <c r="AA124" s="618">
        <f t="shared" si="10"/>
        <v>0</v>
      </c>
      <c r="AB124" s="7"/>
      <c r="AC124" s="7"/>
      <c r="AD124" s="7"/>
      <c r="AE124" s="7"/>
      <c r="AF124" s="7"/>
      <c r="AG124" s="7"/>
    </row>
    <row r="125" spans="1:33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3"/>
      <c r="I125" s="214"/>
      <c r="J125" s="214"/>
      <c r="K125" s="215"/>
      <c r="L125" s="215"/>
      <c r="M125" s="213"/>
      <c r="N125" s="213"/>
      <c r="O125" s="213"/>
      <c r="P125" s="213"/>
      <c r="Q125" s="215"/>
      <c r="R125" s="370"/>
      <c r="S125" s="215"/>
      <c r="T125" s="616">
        <f t="shared" si="1"/>
        <v>0</v>
      </c>
      <c r="U125" s="633"/>
      <c r="V125" s="648"/>
      <c r="W125" s="648"/>
      <c r="X125" s="7"/>
      <c r="Y125" s="699"/>
      <c r="Z125" s="7"/>
      <c r="AA125" s="618">
        <f t="shared" si="10"/>
        <v>0</v>
      </c>
      <c r="AB125" s="7"/>
      <c r="AC125" s="7"/>
      <c r="AD125" s="7"/>
      <c r="AE125" s="7"/>
      <c r="AF125" s="7"/>
      <c r="AG125" s="7"/>
    </row>
    <row r="126" spans="1:33" ht="20.25" customHeight="1">
      <c r="A126" s="486"/>
      <c r="B126" s="487" t="s">
        <v>299</v>
      </c>
      <c r="C126" s="635" t="s">
        <v>300</v>
      </c>
      <c r="D126" s="412" t="s">
        <v>271</v>
      </c>
      <c r="E126" s="213">
        <v>1.5</v>
      </c>
      <c r="F126" s="213"/>
      <c r="G126" s="213"/>
      <c r="H126" s="213">
        <v>2.04</v>
      </c>
      <c r="I126" s="214"/>
      <c r="J126" s="214">
        <v>171.1</v>
      </c>
      <c r="K126" s="215"/>
      <c r="L126" s="215"/>
      <c r="M126" s="213">
        <f>41.5+5</f>
        <v>46.5</v>
      </c>
      <c r="N126" s="213">
        <v>0.5</v>
      </c>
      <c r="O126" s="213"/>
      <c r="P126" s="213"/>
      <c r="Q126" s="215"/>
      <c r="R126" s="372"/>
      <c r="S126" s="215"/>
      <c r="T126" s="616">
        <f t="shared" si="1"/>
        <v>221.64</v>
      </c>
      <c r="U126" s="633"/>
      <c r="V126" s="636"/>
      <c r="W126" s="636"/>
      <c r="X126" s="7"/>
      <c r="Y126" s="699">
        <v>264.60000000000002</v>
      </c>
      <c r="Z126" s="7"/>
      <c r="AA126" s="618">
        <f t="shared" si="10"/>
        <v>42.960000000000036</v>
      </c>
      <c r="AB126" s="7"/>
      <c r="AC126" s="7"/>
      <c r="AD126" s="7"/>
      <c r="AE126" s="7"/>
      <c r="AF126" s="7"/>
      <c r="AG126" s="7"/>
    </row>
    <row r="127" spans="1:33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3"/>
      <c r="I127" s="214"/>
      <c r="J127" s="214">
        <v>62.4</v>
      </c>
      <c r="K127" s="215"/>
      <c r="L127" s="215"/>
      <c r="M127" s="213"/>
      <c r="N127" s="213"/>
      <c r="O127" s="213"/>
      <c r="P127" s="213"/>
      <c r="Q127" s="215"/>
      <c r="R127" s="370"/>
      <c r="S127" s="215"/>
      <c r="T127" s="616">
        <f t="shared" si="1"/>
        <v>62.4</v>
      </c>
      <c r="U127" s="633"/>
      <c r="V127" s="634"/>
      <c r="W127" s="634"/>
      <c r="X127" s="7"/>
      <c r="Y127" s="699"/>
      <c r="Z127" s="7"/>
      <c r="AA127" s="618"/>
      <c r="AB127" s="7"/>
      <c r="AC127" s="7"/>
      <c r="AD127" s="7"/>
      <c r="AE127" s="7"/>
      <c r="AF127" s="7"/>
      <c r="AG127" s="7"/>
    </row>
    <row r="128" spans="1:33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3"/>
      <c r="I128" s="214"/>
      <c r="J128" s="214">
        <v>11</v>
      </c>
      <c r="K128" s="215"/>
      <c r="L128" s="215"/>
      <c r="M128" s="213"/>
      <c r="N128" s="213"/>
      <c r="O128" s="213"/>
      <c r="P128" s="213"/>
      <c r="Q128" s="215"/>
      <c r="R128" s="370"/>
      <c r="S128" s="215"/>
      <c r="T128" s="616">
        <f t="shared" si="1"/>
        <v>11</v>
      </c>
      <c r="U128" s="633"/>
      <c r="V128" s="634"/>
      <c r="W128" s="634"/>
      <c r="X128" s="7"/>
      <c r="Y128" s="699"/>
      <c r="Z128" s="7"/>
      <c r="AA128" s="618"/>
      <c r="AB128" s="7"/>
      <c r="AC128" s="7"/>
      <c r="AD128" s="7"/>
      <c r="AE128" s="7"/>
      <c r="AF128" s="7"/>
      <c r="AG128" s="7"/>
    </row>
    <row r="129" spans="1:33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3"/>
      <c r="I129" s="214"/>
      <c r="J129" s="214">
        <v>7.7</v>
      </c>
      <c r="K129" s="215"/>
      <c r="L129" s="215"/>
      <c r="M129" s="213"/>
      <c r="N129" s="213"/>
      <c r="O129" s="213"/>
      <c r="P129" s="213"/>
      <c r="Q129" s="215"/>
      <c r="R129" s="370"/>
      <c r="S129" s="215"/>
      <c r="T129" s="616">
        <f t="shared" si="1"/>
        <v>7.7</v>
      </c>
      <c r="U129" s="633"/>
      <c r="V129" s="634"/>
      <c r="W129" s="634"/>
      <c r="X129" s="7"/>
      <c r="Y129" s="699"/>
      <c r="Z129" s="7"/>
      <c r="AA129" s="618"/>
      <c r="AB129" s="7"/>
      <c r="AC129" s="7"/>
      <c r="AD129" s="7"/>
      <c r="AE129" s="7"/>
      <c r="AF129" s="7"/>
      <c r="AG129" s="7"/>
    </row>
    <row r="130" spans="1:33" ht="20.25" customHeight="1">
      <c r="A130" s="482"/>
      <c r="B130" s="483" t="s">
        <v>305</v>
      </c>
      <c r="C130" s="629" t="s">
        <v>159</v>
      </c>
      <c r="D130" s="504" t="s">
        <v>271</v>
      </c>
      <c r="E130" s="213">
        <v>1.5</v>
      </c>
      <c r="F130" s="213"/>
      <c r="G130" s="213"/>
      <c r="H130" s="213"/>
      <c r="I130" s="214"/>
      <c r="J130" s="214">
        <v>90</v>
      </c>
      <c r="K130" s="215"/>
      <c r="L130" s="215"/>
      <c r="M130" s="213"/>
      <c r="N130" s="213"/>
      <c r="O130" s="213"/>
      <c r="P130" s="213"/>
      <c r="Q130" s="215"/>
      <c r="R130" s="370"/>
      <c r="S130" s="215"/>
      <c r="T130" s="616">
        <f t="shared" si="1"/>
        <v>91.5</v>
      </c>
      <c r="U130" s="633"/>
      <c r="V130" s="634"/>
      <c r="W130" s="634"/>
      <c r="X130" s="7"/>
      <c r="Y130" s="699"/>
      <c r="Z130" s="7"/>
      <c r="AA130" s="618"/>
      <c r="AB130" s="7"/>
      <c r="AC130" s="7"/>
      <c r="AD130" s="7"/>
      <c r="AE130" s="7"/>
      <c r="AF130" s="7"/>
      <c r="AG130" s="7"/>
    </row>
    <row r="131" spans="1:33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3"/>
      <c r="I131" s="214"/>
      <c r="J131" s="214"/>
      <c r="K131" s="215"/>
      <c r="L131" s="215"/>
      <c r="M131" s="213"/>
      <c r="N131" s="213"/>
      <c r="O131" s="213"/>
      <c r="P131" s="213"/>
      <c r="Q131" s="215"/>
      <c r="R131" s="370"/>
      <c r="S131" s="215"/>
      <c r="T131" s="616">
        <f t="shared" si="1"/>
        <v>0</v>
      </c>
      <c r="U131" s="633"/>
      <c r="V131" s="636"/>
      <c r="W131" s="636"/>
      <c r="X131" s="7"/>
      <c r="Y131" s="699"/>
      <c r="Z131" s="7"/>
      <c r="AA131" s="618">
        <f t="shared" ref="AA131:AA135" si="11">Y131-T131</f>
        <v>0</v>
      </c>
      <c r="AB131" s="7"/>
      <c r="AC131" s="7"/>
      <c r="AD131" s="7"/>
      <c r="AE131" s="7"/>
      <c r="AF131" s="7"/>
      <c r="AG131" s="7"/>
    </row>
    <row r="132" spans="1:33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3"/>
      <c r="I132" s="214"/>
      <c r="J132" s="214"/>
      <c r="K132" s="215"/>
      <c r="L132" s="215"/>
      <c r="M132" s="213"/>
      <c r="N132" s="213"/>
      <c r="O132" s="213"/>
      <c r="P132" s="213"/>
      <c r="Q132" s="215"/>
      <c r="R132" s="370"/>
      <c r="S132" s="215"/>
      <c r="T132" s="616">
        <f t="shared" si="1"/>
        <v>0</v>
      </c>
      <c r="U132" s="633"/>
      <c r="V132" s="634"/>
      <c r="W132" s="634"/>
      <c r="X132" s="7"/>
      <c r="Y132" s="699"/>
      <c r="Z132" s="7"/>
      <c r="AA132" s="618">
        <f t="shared" si="11"/>
        <v>0</v>
      </c>
      <c r="AB132" s="7"/>
      <c r="AC132" s="7"/>
      <c r="AD132" s="7"/>
      <c r="AE132" s="7"/>
      <c r="AF132" s="7"/>
      <c r="AG132" s="7"/>
    </row>
    <row r="133" spans="1:33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3"/>
      <c r="I133" s="214"/>
      <c r="J133" s="214"/>
      <c r="K133" s="215"/>
      <c r="L133" s="215"/>
      <c r="M133" s="213"/>
      <c r="N133" s="213"/>
      <c r="O133" s="213"/>
      <c r="P133" s="213"/>
      <c r="Q133" s="215"/>
      <c r="R133" s="370"/>
      <c r="S133" s="215"/>
      <c r="T133" s="616">
        <f t="shared" si="1"/>
        <v>0</v>
      </c>
      <c r="U133" s="633"/>
      <c r="V133" s="634"/>
      <c r="W133" s="634"/>
      <c r="X133" s="7"/>
      <c r="Y133" s="699"/>
      <c r="Z133" s="7"/>
      <c r="AA133" s="618">
        <f t="shared" si="11"/>
        <v>0</v>
      </c>
      <c r="AB133" s="7"/>
      <c r="AC133" s="7"/>
      <c r="AD133" s="7"/>
      <c r="AE133" s="7"/>
      <c r="AF133" s="7"/>
      <c r="AG133" s="7"/>
    </row>
    <row r="134" spans="1:33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3"/>
      <c r="I134" s="214"/>
      <c r="J134" s="214"/>
      <c r="K134" s="215"/>
      <c r="L134" s="215"/>
      <c r="M134" s="213"/>
      <c r="N134" s="213"/>
      <c r="O134" s="213"/>
      <c r="P134" s="213"/>
      <c r="Q134" s="215"/>
      <c r="R134" s="370"/>
      <c r="S134" s="215"/>
      <c r="T134" s="616">
        <f t="shared" si="1"/>
        <v>0</v>
      </c>
      <c r="U134" s="633"/>
      <c r="V134" s="634"/>
      <c r="W134" s="634"/>
      <c r="X134" s="7"/>
      <c r="Y134" s="699"/>
      <c r="Z134" s="7"/>
      <c r="AA134" s="618">
        <f t="shared" si="11"/>
        <v>0</v>
      </c>
      <c r="AB134" s="7"/>
      <c r="AC134" s="7"/>
      <c r="AD134" s="7"/>
      <c r="AE134" s="7"/>
      <c r="AF134" s="7"/>
      <c r="AG134" s="7"/>
    </row>
    <row r="135" spans="1:33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3"/>
      <c r="I135" s="214"/>
      <c r="J135" s="214"/>
      <c r="K135" s="215"/>
      <c r="L135" s="215"/>
      <c r="M135" s="213"/>
      <c r="N135" s="213"/>
      <c r="O135" s="213"/>
      <c r="P135" s="213"/>
      <c r="Q135" s="215"/>
      <c r="R135" s="370"/>
      <c r="S135" s="215"/>
      <c r="T135" s="616">
        <f t="shared" si="1"/>
        <v>0</v>
      </c>
      <c r="U135" s="633"/>
      <c r="V135" s="634"/>
      <c r="W135" s="634"/>
      <c r="X135" s="7"/>
      <c r="Y135" s="699"/>
      <c r="Z135" s="7"/>
      <c r="AA135" s="618">
        <f t="shared" si="11"/>
        <v>0</v>
      </c>
      <c r="AB135" s="7"/>
      <c r="AC135" s="7"/>
      <c r="AD135" s="7"/>
      <c r="AE135" s="7"/>
      <c r="AF135" s="7"/>
      <c r="AG135" s="7"/>
    </row>
    <row r="136" spans="1:33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3"/>
      <c r="I136" s="214"/>
      <c r="J136" s="214"/>
      <c r="K136" s="215"/>
      <c r="L136" s="215"/>
      <c r="M136" s="213"/>
      <c r="N136" s="213"/>
      <c r="O136" s="213">
        <v>79.2</v>
      </c>
      <c r="P136" s="213"/>
      <c r="Q136" s="215"/>
      <c r="R136" s="372"/>
      <c r="S136" s="215"/>
      <c r="T136" s="616">
        <f t="shared" si="1"/>
        <v>79.2</v>
      </c>
      <c r="U136" s="633"/>
      <c r="V136" s="636"/>
      <c r="W136" s="636"/>
      <c r="X136" s="7"/>
      <c r="Y136" s="699">
        <v>21.73</v>
      </c>
      <c r="Z136" s="7"/>
      <c r="AA136" s="618"/>
      <c r="AB136" s="7"/>
      <c r="AC136" s="7"/>
      <c r="AD136" s="7"/>
      <c r="AE136" s="7"/>
      <c r="AF136" s="7"/>
      <c r="AG136" s="7"/>
    </row>
    <row r="137" spans="1:33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3"/>
      <c r="I137" s="214"/>
      <c r="J137" s="214"/>
      <c r="K137" s="215"/>
      <c r="L137" s="215"/>
      <c r="M137" s="213"/>
      <c r="N137" s="213"/>
      <c r="O137" s="213"/>
      <c r="P137" s="213"/>
      <c r="Q137" s="215"/>
      <c r="R137" s="370"/>
      <c r="S137" s="215"/>
      <c r="T137" s="616">
        <f t="shared" si="1"/>
        <v>0</v>
      </c>
      <c r="U137" s="633"/>
      <c r="V137" s="648"/>
      <c r="W137" s="648"/>
      <c r="X137" s="7"/>
      <c r="Y137" s="699"/>
      <c r="Z137" s="7"/>
      <c r="AA137" s="618">
        <f t="shared" ref="AA137:AA139" si="12">Y137-T137</f>
        <v>0</v>
      </c>
      <c r="AB137" s="7"/>
      <c r="AC137" s="7"/>
      <c r="AD137" s="7"/>
      <c r="AE137" s="7"/>
      <c r="AF137" s="7"/>
      <c r="AG137" s="7"/>
    </row>
    <row r="138" spans="1:33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3"/>
      <c r="I138" s="214"/>
      <c r="J138" s="214"/>
      <c r="K138" s="215"/>
      <c r="L138" s="215"/>
      <c r="M138" s="213"/>
      <c r="N138" s="213"/>
      <c r="O138" s="213"/>
      <c r="P138" s="213"/>
      <c r="Q138" s="215"/>
      <c r="R138" s="370"/>
      <c r="S138" s="215"/>
      <c r="T138" s="616">
        <f t="shared" si="1"/>
        <v>0</v>
      </c>
      <c r="U138" s="633"/>
      <c r="V138" s="648"/>
      <c r="W138" s="648"/>
      <c r="X138" s="7"/>
      <c r="Y138" s="699"/>
      <c r="Z138" s="7"/>
      <c r="AA138" s="618">
        <f t="shared" si="12"/>
        <v>0</v>
      </c>
      <c r="AB138" s="7"/>
      <c r="AC138" s="7"/>
      <c r="AD138" s="7"/>
      <c r="AE138" s="7"/>
      <c r="AF138" s="7"/>
      <c r="AG138" s="7"/>
    </row>
    <row r="139" spans="1:33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3"/>
      <c r="I139" s="214"/>
      <c r="J139" s="214"/>
      <c r="K139" s="215"/>
      <c r="L139" s="215"/>
      <c r="M139" s="213"/>
      <c r="N139" s="213"/>
      <c r="O139" s="213"/>
      <c r="P139" s="213"/>
      <c r="Q139" s="215"/>
      <c r="R139" s="370"/>
      <c r="S139" s="215"/>
      <c r="T139" s="616">
        <f t="shared" si="1"/>
        <v>0</v>
      </c>
      <c r="U139" s="633"/>
      <c r="V139" s="648"/>
      <c r="W139" s="648"/>
      <c r="X139" s="7"/>
      <c r="Y139" s="699"/>
      <c r="Z139" s="7"/>
      <c r="AA139" s="618">
        <f t="shared" si="12"/>
        <v>0</v>
      </c>
      <c r="AB139" s="7"/>
      <c r="AC139" s="7"/>
      <c r="AD139" s="7"/>
      <c r="AE139" s="7"/>
      <c r="AF139" s="7"/>
      <c r="AG139" s="7"/>
    </row>
    <row r="140" spans="1:33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3"/>
      <c r="I140" s="214"/>
      <c r="J140" s="214"/>
      <c r="K140" s="215"/>
      <c r="L140" s="215"/>
      <c r="M140" s="213"/>
      <c r="N140" s="213"/>
      <c r="O140" s="213"/>
      <c r="P140" s="213"/>
      <c r="Q140" s="215"/>
      <c r="R140" s="370"/>
      <c r="S140" s="215"/>
      <c r="T140" s="616">
        <f t="shared" si="1"/>
        <v>0</v>
      </c>
      <c r="U140" s="633"/>
      <c r="V140" s="648"/>
      <c r="W140" s="648"/>
      <c r="X140" s="7"/>
      <c r="Y140" s="699"/>
      <c r="Z140" s="7"/>
      <c r="AA140" s="618"/>
      <c r="AB140" s="7"/>
      <c r="AC140" s="7"/>
      <c r="AD140" s="7"/>
      <c r="AE140" s="7"/>
      <c r="AF140" s="7"/>
      <c r="AG140" s="7"/>
    </row>
    <row r="141" spans="1:33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>
        <v>0.7</v>
      </c>
      <c r="H141" s="213"/>
      <c r="I141" s="214"/>
      <c r="J141" s="214"/>
      <c r="K141" s="215"/>
      <c r="L141" s="215"/>
      <c r="M141" s="213"/>
      <c r="N141" s="213"/>
      <c r="O141" s="213"/>
      <c r="P141" s="213"/>
      <c r="Q141" s="215"/>
      <c r="R141" s="372"/>
      <c r="S141" s="215"/>
      <c r="T141" s="616">
        <f t="shared" si="1"/>
        <v>0.7</v>
      </c>
      <c r="U141" s="633"/>
      <c r="V141" s="636"/>
      <c r="W141" s="636"/>
      <c r="X141" s="7"/>
      <c r="Y141" s="699">
        <v>361.97</v>
      </c>
      <c r="Z141" s="7"/>
      <c r="AA141" s="618"/>
      <c r="AB141" s="7"/>
      <c r="AC141" s="7"/>
      <c r="AD141" s="7"/>
      <c r="AE141" s="7"/>
      <c r="AF141" s="7"/>
      <c r="AG141" s="7"/>
    </row>
    <row r="142" spans="1:33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3"/>
      <c r="I142" s="214"/>
      <c r="J142" s="214"/>
      <c r="K142" s="215"/>
      <c r="L142" s="215"/>
      <c r="M142" s="213"/>
      <c r="N142" s="213"/>
      <c r="O142" s="213"/>
      <c r="P142" s="213"/>
      <c r="Q142" s="215"/>
      <c r="R142" s="370"/>
      <c r="S142" s="215"/>
      <c r="T142" s="616">
        <f t="shared" si="1"/>
        <v>0</v>
      </c>
      <c r="U142" s="633"/>
      <c r="V142" s="648"/>
      <c r="W142" s="648"/>
      <c r="X142" s="7"/>
      <c r="Y142" s="699"/>
      <c r="Z142" s="7"/>
      <c r="AA142" s="618">
        <f t="shared" ref="AA142:AA145" si="13">Y142-T142</f>
        <v>0</v>
      </c>
      <c r="AB142" s="7"/>
      <c r="AC142" s="7"/>
      <c r="AD142" s="7"/>
      <c r="AE142" s="7"/>
      <c r="AF142" s="7"/>
      <c r="AG142" s="7"/>
    </row>
    <row r="143" spans="1:33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3"/>
      <c r="I143" s="214"/>
      <c r="J143" s="214"/>
      <c r="K143" s="215"/>
      <c r="L143" s="215"/>
      <c r="M143" s="213"/>
      <c r="N143" s="213"/>
      <c r="O143" s="213"/>
      <c r="P143" s="213"/>
      <c r="Q143" s="215"/>
      <c r="R143" s="370"/>
      <c r="S143" s="215"/>
      <c r="T143" s="616">
        <f t="shared" si="1"/>
        <v>0</v>
      </c>
      <c r="U143" s="633"/>
      <c r="V143" s="648"/>
      <c r="W143" s="648"/>
      <c r="X143" s="7"/>
      <c r="Y143" s="699"/>
      <c r="Z143" s="7"/>
      <c r="AA143" s="618">
        <f t="shared" si="13"/>
        <v>0</v>
      </c>
      <c r="AB143" s="7"/>
      <c r="AC143" s="7"/>
      <c r="AD143" s="7"/>
      <c r="AE143" s="7"/>
      <c r="AF143" s="7"/>
      <c r="AG143" s="7"/>
    </row>
    <row r="144" spans="1:33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3"/>
      <c r="I144" s="214"/>
      <c r="J144" s="214"/>
      <c r="K144" s="215"/>
      <c r="L144" s="215"/>
      <c r="M144" s="213"/>
      <c r="N144" s="213"/>
      <c r="O144" s="213"/>
      <c r="P144" s="213"/>
      <c r="Q144" s="215"/>
      <c r="R144" s="370"/>
      <c r="S144" s="215"/>
      <c r="T144" s="616">
        <f t="shared" si="1"/>
        <v>0</v>
      </c>
      <c r="U144" s="633"/>
      <c r="V144" s="648"/>
      <c r="W144" s="648"/>
      <c r="X144" s="7"/>
      <c r="Y144" s="699"/>
      <c r="Z144" s="7"/>
      <c r="AA144" s="618">
        <f t="shared" si="13"/>
        <v>0</v>
      </c>
      <c r="AB144" s="7"/>
      <c r="AC144" s="7"/>
      <c r="AD144" s="7"/>
      <c r="AE144" s="7"/>
      <c r="AF144" s="7"/>
      <c r="AG144" s="7"/>
    </row>
    <row r="145" spans="1:33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3"/>
      <c r="I145" s="214"/>
      <c r="J145" s="214"/>
      <c r="K145" s="215"/>
      <c r="L145" s="215"/>
      <c r="M145" s="213"/>
      <c r="N145" s="213"/>
      <c r="O145" s="213"/>
      <c r="P145" s="213"/>
      <c r="Q145" s="215"/>
      <c r="R145" s="370"/>
      <c r="S145" s="215"/>
      <c r="T145" s="616">
        <f t="shared" si="1"/>
        <v>0</v>
      </c>
      <c r="U145" s="633"/>
      <c r="V145" s="648"/>
      <c r="W145" s="648"/>
      <c r="X145" s="7"/>
      <c r="Y145" s="699"/>
      <c r="Z145" s="7"/>
      <c r="AA145" s="618">
        <f t="shared" si="13"/>
        <v>0</v>
      </c>
      <c r="AB145" s="7"/>
      <c r="AC145" s="7"/>
      <c r="AD145" s="7"/>
      <c r="AE145" s="7"/>
      <c r="AF145" s="7"/>
      <c r="AG145" s="7"/>
    </row>
    <row r="146" spans="1:33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3"/>
      <c r="H146" s="213"/>
      <c r="I146" s="214"/>
      <c r="J146" s="214"/>
      <c r="K146" s="215"/>
      <c r="L146" s="215"/>
      <c r="M146" s="213"/>
      <c r="N146" s="213"/>
      <c r="O146" s="213"/>
      <c r="P146" s="213"/>
      <c r="Q146" s="215"/>
      <c r="R146" s="372">
        <v>17300</v>
      </c>
      <c r="S146" s="215"/>
      <c r="T146" s="616">
        <f t="shared" si="1"/>
        <v>17300</v>
      </c>
      <c r="U146" s="633"/>
      <c r="V146" s="636"/>
      <c r="W146" s="636"/>
      <c r="X146" s="7"/>
      <c r="Y146" s="699">
        <v>8.65</v>
      </c>
      <c r="Z146" s="7"/>
      <c r="AA146" s="618"/>
      <c r="AB146" s="7"/>
      <c r="AC146" s="7"/>
      <c r="AD146" s="7"/>
      <c r="AE146" s="7"/>
      <c r="AF146" s="7"/>
      <c r="AG146" s="7"/>
    </row>
    <row r="147" spans="1:33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3"/>
      <c r="I147" s="214"/>
      <c r="J147" s="214"/>
      <c r="K147" s="215"/>
      <c r="L147" s="215"/>
      <c r="M147" s="213"/>
      <c r="N147" s="213"/>
      <c r="O147" s="213"/>
      <c r="P147" s="213"/>
      <c r="Q147" s="215"/>
      <c r="R147" s="372"/>
      <c r="S147" s="215"/>
      <c r="T147" s="616">
        <f t="shared" si="1"/>
        <v>0</v>
      </c>
      <c r="U147" s="633"/>
      <c r="V147" s="634"/>
      <c r="W147" s="634"/>
      <c r="X147" s="7"/>
      <c r="Y147" s="699"/>
      <c r="Z147" s="7"/>
      <c r="AA147" s="618">
        <f t="shared" ref="AA147:AA150" si="14">Y147-T147</f>
        <v>0</v>
      </c>
      <c r="AB147" s="7"/>
      <c r="AC147" s="7"/>
      <c r="AD147" s="7"/>
      <c r="AE147" s="7"/>
      <c r="AF147" s="7"/>
      <c r="AG147" s="7"/>
    </row>
    <row r="148" spans="1:33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3"/>
      <c r="I148" s="214"/>
      <c r="J148" s="214"/>
      <c r="K148" s="215"/>
      <c r="L148" s="215"/>
      <c r="M148" s="213"/>
      <c r="N148" s="213"/>
      <c r="O148" s="213"/>
      <c r="P148" s="213"/>
      <c r="Q148" s="215"/>
      <c r="R148" s="372"/>
      <c r="S148" s="215"/>
      <c r="T148" s="616">
        <f t="shared" si="1"/>
        <v>0</v>
      </c>
      <c r="U148" s="633"/>
      <c r="V148" s="634"/>
      <c r="W148" s="634"/>
      <c r="X148" s="7"/>
      <c r="Y148" s="699"/>
      <c r="Z148" s="7"/>
      <c r="AA148" s="618">
        <f t="shared" si="14"/>
        <v>0</v>
      </c>
      <c r="AB148" s="7"/>
      <c r="AC148" s="7"/>
      <c r="AD148" s="7"/>
      <c r="AE148" s="7"/>
      <c r="AF148" s="7"/>
      <c r="AG148" s="7"/>
    </row>
    <row r="149" spans="1:33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3"/>
      <c r="I149" s="214"/>
      <c r="J149" s="214"/>
      <c r="K149" s="215"/>
      <c r="L149" s="215"/>
      <c r="M149" s="213"/>
      <c r="N149" s="213"/>
      <c r="O149" s="213"/>
      <c r="P149" s="213"/>
      <c r="Q149" s="215"/>
      <c r="R149" s="372"/>
      <c r="S149" s="215"/>
      <c r="T149" s="616">
        <f t="shared" si="1"/>
        <v>0</v>
      </c>
      <c r="U149" s="633"/>
      <c r="V149" s="634"/>
      <c r="W149" s="634"/>
      <c r="X149" s="7"/>
      <c r="Y149" s="699"/>
      <c r="Z149" s="7"/>
      <c r="AA149" s="618">
        <f t="shared" si="14"/>
        <v>0</v>
      </c>
      <c r="AB149" s="7"/>
      <c r="AC149" s="7"/>
      <c r="AD149" s="7"/>
      <c r="AE149" s="7"/>
      <c r="AF149" s="7"/>
      <c r="AG149" s="7"/>
    </row>
    <row r="150" spans="1:33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3"/>
      <c r="I150" s="214"/>
      <c r="J150" s="214"/>
      <c r="K150" s="215"/>
      <c r="L150" s="215"/>
      <c r="M150" s="213"/>
      <c r="N150" s="213"/>
      <c r="O150" s="213"/>
      <c r="P150" s="213"/>
      <c r="Q150" s="215"/>
      <c r="R150" s="372"/>
      <c r="S150" s="215"/>
      <c r="T150" s="616">
        <f t="shared" si="1"/>
        <v>0</v>
      </c>
      <c r="U150" s="633"/>
      <c r="V150" s="634"/>
      <c r="W150" s="634"/>
      <c r="X150" s="7"/>
      <c r="Y150" s="699"/>
      <c r="Z150" s="7"/>
      <c r="AA150" s="618">
        <f t="shared" si="14"/>
        <v>0</v>
      </c>
      <c r="AB150" s="7"/>
      <c r="AC150" s="7"/>
      <c r="AD150" s="7"/>
      <c r="AE150" s="7"/>
      <c r="AF150" s="7"/>
      <c r="AG150" s="7"/>
    </row>
    <row r="151" spans="1:33" ht="20.25" customHeight="1">
      <c r="A151" s="486"/>
      <c r="B151" s="487" t="s">
        <v>335</v>
      </c>
      <c r="C151" s="635" t="s">
        <v>336</v>
      </c>
      <c r="D151" s="412" t="s">
        <v>271</v>
      </c>
      <c r="E151" s="213">
        <v>13</v>
      </c>
      <c r="F151" s="213"/>
      <c r="G151" s="213">
        <v>12</v>
      </c>
      <c r="H151" s="213"/>
      <c r="I151" s="214"/>
      <c r="J151" s="214"/>
      <c r="K151" s="215"/>
      <c r="L151" s="215"/>
      <c r="M151" s="213"/>
      <c r="N151" s="213"/>
      <c r="O151" s="213"/>
      <c r="P151" s="213"/>
      <c r="Q151" s="215"/>
      <c r="R151" s="372"/>
      <c r="S151" s="215"/>
      <c r="T151" s="616">
        <f t="shared" si="1"/>
        <v>25</v>
      </c>
      <c r="U151" s="633"/>
      <c r="V151" s="636"/>
      <c r="W151" s="636"/>
      <c r="X151" s="7"/>
      <c r="Y151" s="699">
        <f>3.02+2.25</f>
        <v>5.27</v>
      </c>
      <c r="Z151" s="7"/>
      <c r="AA151" s="618"/>
      <c r="AB151" s="7"/>
      <c r="AC151" s="7"/>
      <c r="AD151" s="7"/>
      <c r="AE151" s="7"/>
      <c r="AF151" s="7"/>
      <c r="AG151" s="7"/>
    </row>
    <row r="152" spans="1:33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3"/>
      <c r="I152" s="214"/>
      <c r="J152" s="214"/>
      <c r="K152" s="215"/>
      <c r="L152" s="215"/>
      <c r="M152" s="213"/>
      <c r="N152" s="213"/>
      <c r="O152" s="213"/>
      <c r="P152" s="213"/>
      <c r="Q152" s="215"/>
      <c r="R152" s="372"/>
      <c r="S152" s="215"/>
      <c r="T152" s="616">
        <f t="shared" si="1"/>
        <v>0</v>
      </c>
      <c r="U152" s="633"/>
      <c r="V152" s="634"/>
      <c r="W152" s="634"/>
      <c r="X152" s="7"/>
      <c r="Y152" s="699"/>
      <c r="Z152" s="7"/>
      <c r="AA152" s="618">
        <f t="shared" ref="AA152:AA153" si="15">Y152-T152</f>
        <v>0</v>
      </c>
      <c r="AB152" s="7"/>
      <c r="AC152" s="7"/>
      <c r="AD152" s="7"/>
      <c r="AE152" s="7"/>
      <c r="AF152" s="7"/>
      <c r="AG152" s="7"/>
    </row>
    <row r="153" spans="1:33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3"/>
      <c r="I153" s="214"/>
      <c r="J153" s="214"/>
      <c r="K153" s="215"/>
      <c r="L153" s="215"/>
      <c r="M153" s="213"/>
      <c r="N153" s="213"/>
      <c r="O153" s="213"/>
      <c r="P153" s="213"/>
      <c r="Q153" s="215"/>
      <c r="R153" s="372"/>
      <c r="S153" s="215"/>
      <c r="T153" s="616">
        <f t="shared" si="1"/>
        <v>0</v>
      </c>
      <c r="U153" s="633"/>
      <c r="V153" s="634"/>
      <c r="W153" s="634"/>
      <c r="X153" s="7"/>
      <c r="Y153" s="699"/>
      <c r="Z153" s="7"/>
      <c r="AA153" s="618">
        <f t="shared" si="15"/>
        <v>0</v>
      </c>
      <c r="AB153" s="7"/>
      <c r="AC153" s="7"/>
      <c r="AD153" s="7"/>
      <c r="AE153" s="7"/>
      <c r="AF153" s="7"/>
      <c r="AG153" s="7"/>
    </row>
    <row r="154" spans="1:33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>
        <v>13</v>
      </c>
      <c r="F154" s="213"/>
      <c r="G154" s="213"/>
      <c r="H154" s="213"/>
      <c r="I154" s="214"/>
      <c r="J154" s="214"/>
      <c r="K154" s="215"/>
      <c r="L154" s="215"/>
      <c r="M154" s="213"/>
      <c r="N154" s="213"/>
      <c r="O154" s="213"/>
      <c r="P154" s="213"/>
      <c r="Q154" s="215"/>
      <c r="R154" s="372"/>
      <c r="S154" s="215"/>
      <c r="T154" s="616">
        <f t="shared" si="1"/>
        <v>13</v>
      </c>
      <c r="U154" s="633"/>
      <c r="V154" s="634"/>
      <c r="W154" s="634"/>
      <c r="X154" s="7"/>
      <c r="Y154" s="699"/>
      <c r="Z154" s="7"/>
      <c r="AA154" s="618"/>
      <c r="AB154" s="7"/>
      <c r="AC154" s="7"/>
      <c r="AD154" s="7"/>
      <c r="AE154" s="7"/>
      <c r="AF154" s="7"/>
      <c r="AG154" s="7"/>
    </row>
    <row r="155" spans="1:33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3"/>
      <c r="I155" s="214"/>
      <c r="J155" s="214"/>
      <c r="K155" s="215"/>
      <c r="L155" s="215"/>
      <c r="M155" s="213"/>
      <c r="N155" s="213"/>
      <c r="O155" s="213"/>
      <c r="P155" s="213"/>
      <c r="Q155" s="215"/>
      <c r="R155" s="372"/>
      <c r="S155" s="215"/>
      <c r="T155" s="616">
        <f t="shared" si="1"/>
        <v>0</v>
      </c>
      <c r="U155" s="633"/>
      <c r="V155" s="634"/>
      <c r="W155" s="634"/>
      <c r="X155" s="7"/>
      <c r="Y155" s="699"/>
      <c r="Z155" s="7"/>
      <c r="AA155" s="618">
        <f t="shared" ref="AA155:AA163" si="16">Y155-T155</f>
        <v>0</v>
      </c>
      <c r="AB155" s="7"/>
      <c r="AC155" s="7"/>
      <c r="AD155" s="7"/>
      <c r="AE155" s="7"/>
      <c r="AF155" s="7"/>
      <c r="AG155" s="7"/>
    </row>
    <row r="156" spans="1:33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3"/>
      <c r="I156" s="214"/>
      <c r="J156" s="214"/>
      <c r="K156" s="215"/>
      <c r="L156" s="215"/>
      <c r="M156" s="213"/>
      <c r="N156" s="213"/>
      <c r="O156" s="213"/>
      <c r="P156" s="213"/>
      <c r="Q156" s="215"/>
      <c r="R156" s="372"/>
      <c r="S156" s="215"/>
      <c r="T156" s="616">
        <f t="shared" si="1"/>
        <v>0</v>
      </c>
      <c r="U156" s="633"/>
      <c r="V156" s="636"/>
      <c r="W156" s="636"/>
      <c r="X156" s="7"/>
      <c r="Y156" s="699"/>
      <c r="Z156" s="7"/>
      <c r="AA156" s="618">
        <f t="shared" si="16"/>
        <v>0</v>
      </c>
      <c r="AB156" s="7"/>
      <c r="AC156" s="7"/>
      <c r="AD156" s="7"/>
      <c r="AE156" s="7"/>
      <c r="AF156" s="7"/>
      <c r="AG156" s="7"/>
    </row>
    <row r="157" spans="1:33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3"/>
      <c r="I157" s="214"/>
      <c r="J157" s="214"/>
      <c r="K157" s="215"/>
      <c r="L157" s="215"/>
      <c r="M157" s="213"/>
      <c r="N157" s="213"/>
      <c r="O157" s="213"/>
      <c r="P157" s="213"/>
      <c r="Q157" s="215"/>
      <c r="R157" s="372"/>
      <c r="S157" s="215"/>
      <c r="T157" s="616">
        <f t="shared" si="1"/>
        <v>0</v>
      </c>
      <c r="U157" s="633"/>
      <c r="V157" s="648"/>
      <c r="W157" s="648"/>
      <c r="X157" s="7"/>
      <c r="Y157" s="699"/>
      <c r="Z157" s="7"/>
      <c r="AA157" s="618">
        <f t="shared" si="16"/>
        <v>0</v>
      </c>
      <c r="AB157" s="7"/>
      <c r="AC157" s="7"/>
      <c r="AD157" s="7"/>
      <c r="AE157" s="7"/>
      <c r="AF157" s="7"/>
      <c r="AG157" s="7"/>
    </row>
    <row r="158" spans="1:33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3"/>
      <c r="I158" s="214"/>
      <c r="J158" s="214"/>
      <c r="K158" s="215"/>
      <c r="L158" s="215"/>
      <c r="M158" s="213"/>
      <c r="N158" s="213"/>
      <c r="O158" s="213"/>
      <c r="P158" s="213"/>
      <c r="Q158" s="215"/>
      <c r="R158" s="372"/>
      <c r="S158" s="215"/>
      <c r="T158" s="616">
        <f t="shared" si="1"/>
        <v>0</v>
      </c>
      <c r="U158" s="633"/>
      <c r="V158" s="648"/>
      <c r="W158" s="648"/>
      <c r="X158" s="7"/>
      <c r="Y158" s="699"/>
      <c r="Z158" s="7"/>
      <c r="AA158" s="618">
        <f t="shared" si="16"/>
        <v>0</v>
      </c>
      <c r="AB158" s="7"/>
      <c r="AC158" s="7"/>
      <c r="AD158" s="7"/>
      <c r="AE158" s="7"/>
      <c r="AF158" s="7"/>
      <c r="AG158" s="7"/>
    </row>
    <row r="159" spans="1:33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3"/>
      <c r="I159" s="214"/>
      <c r="J159" s="214"/>
      <c r="K159" s="215"/>
      <c r="L159" s="215"/>
      <c r="M159" s="213"/>
      <c r="N159" s="213"/>
      <c r="O159" s="213"/>
      <c r="P159" s="213"/>
      <c r="Q159" s="215"/>
      <c r="R159" s="372"/>
      <c r="S159" s="215"/>
      <c r="T159" s="616">
        <f t="shared" si="1"/>
        <v>0</v>
      </c>
      <c r="U159" s="633"/>
      <c r="V159" s="648"/>
      <c r="W159" s="648"/>
      <c r="X159" s="7"/>
      <c r="Y159" s="699"/>
      <c r="Z159" s="7"/>
      <c r="AA159" s="618">
        <f t="shared" si="16"/>
        <v>0</v>
      </c>
      <c r="AB159" s="7"/>
      <c r="AC159" s="7"/>
      <c r="AD159" s="7"/>
      <c r="AE159" s="7"/>
      <c r="AF159" s="7"/>
      <c r="AG159" s="7"/>
    </row>
    <row r="160" spans="1:33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3"/>
      <c r="I160" s="214"/>
      <c r="J160" s="214"/>
      <c r="K160" s="215"/>
      <c r="L160" s="215"/>
      <c r="M160" s="213"/>
      <c r="N160" s="213"/>
      <c r="O160" s="213"/>
      <c r="P160" s="213"/>
      <c r="Q160" s="215"/>
      <c r="R160" s="372"/>
      <c r="S160" s="215"/>
      <c r="T160" s="616">
        <f t="shared" si="1"/>
        <v>0</v>
      </c>
      <c r="U160" s="633"/>
      <c r="V160" s="648"/>
      <c r="W160" s="648"/>
      <c r="X160" s="7"/>
      <c r="Y160" s="699"/>
      <c r="Z160" s="7"/>
      <c r="AA160" s="618">
        <f t="shared" si="16"/>
        <v>0</v>
      </c>
      <c r="AB160" s="7"/>
      <c r="AC160" s="7"/>
      <c r="AD160" s="7"/>
      <c r="AE160" s="7"/>
      <c r="AF160" s="7"/>
      <c r="AG160" s="7"/>
    </row>
    <row r="161" spans="1:33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3"/>
      <c r="I161" s="214"/>
      <c r="J161" s="214"/>
      <c r="K161" s="215"/>
      <c r="L161" s="215"/>
      <c r="M161" s="213"/>
      <c r="N161" s="213"/>
      <c r="O161" s="213"/>
      <c r="P161" s="213"/>
      <c r="Q161" s="215"/>
      <c r="R161" s="372"/>
      <c r="S161" s="215"/>
      <c r="T161" s="616">
        <f t="shared" si="1"/>
        <v>0</v>
      </c>
      <c r="U161" s="633"/>
      <c r="V161" s="636"/>
      <c r="W161" s="636"/>
      <c r="X161" s="7"/>
      <c r="Y161" s="699"/>
      <c r="Z161" s="7"/>
      <c r="AA161" s="618">
        <f t="shared" si="16"/>
        <v>0</v>
      </c>
      <c r="AB161" s="7"/>
      <c r="AC161" s="7"/>
      <c r="AD161" s="7"/>
      <c r="AE161" s="7"/>
      <c r="AF161" s="7"/>
      <c r="AG161" s="7"/>
    </row>
    <row r="162" spans="1:33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3"/>
      <c r="I162" s="214"/>
      <c r="J162" s="214"/>
      <c r="K162" s="215"/>
      <c r="L162" s="215"/>
      <c r="M162" s="213"/>
      <c r="N162" s="213"/>
      <c r="O162" s="213"/>
      <c r="P162" s="213"/>
      <c r="Q162" s="215"/>
      <c r="R162" s="370"/>
      <c r="S162" s="215"/>
      <c r="T162" s="616">
        <f t="shared" si="1"/>
        <v>0</v>
      </c>
      <c r="U162" s="633"/>
      <c r="V162" s="636"/>
      <c r="W162" s="636"/>
      <c r="X162" s="7"/>
      <c r="Y162" s="699"/>
      <c r="Z162" s="7"/>
      <c r="AA162" s="618">
        <f t="shared" si="16"/>
        <v>0</v>
      </c>
      <c r="AB162" s="7"/>
      <c r="AC162" s="7"/>
      <c r="AD162" s="7"/>
      <c r="AE162" s="7"/>
      <c r="AF162" s="7"/>
      <c r="AG162" s="7"/>
    </row>
    <row r="163" spans="1:33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3"/>
      <c r="I163" s="214"/>
      <c r="J163" s="214"/>
      <c r="K163" s="215"/>
      <c r="L163" s="215"/>
      <c r="M163" s="213"/>
      <c r="N163" s="213"/>
      <c r="O163" s="213"/>
      <c r="P163" s="213"/>
      <c r="Q163" s="215"/>
      <c r="R163" s="370"/>
      <c r="S163" s="215"/>
      <c r="T163" s="616">
        <f t="shared" si="1"/>
        <v>0</v>
      </c>
      <c r="U163" s="633"/>
      <c r="V163" s="636"/>
      <c r="W163" s="636"/>
      <c r="X163" s="7"/>
      <c r="Y163" s="699"/>
      <c r="Z163" s="7"/>
      <c r="AA163" s="618">
        <f t="shared" si="16"/>
        <v>0</v>
      </c>
      <c r="AB163" s="7"/>
      <c r="AC163" s="7"/>
      <c r="AD163" s="7"/>
      <c r="AE163" s="7"/>
      <c r="AF163" s="7"/>
      <c r="AG163" s="7"/>
    </row>
    <row r="164" spans="1:33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/>
      <c r="G164" s="213"/>
      <c r="H164" s="213"/>
      <c r="I164" s="214"/>
      <c r="J164" s="214"/>
      <c r="K164" s="215"/>
      <c r="L164" s="215"/>
      <c r="M164" s="213"/>
      <c r="N164" s="213"/>
      <c r="O164" s="213"/>
      <c r="P164" s="213"/>
      <c r="Q164" s="215"/>
      <c r="R164" s="370"/>
      <c r="S164" s="215"/>
      <c r="T164" s="616">
        <f t="shared" si="1"/>
        <v>0</v>
      </c>
      <c r="U164" s="633"/>
      <c r="V164" s="636"/>
      <c r="W164" s="636"/>
      <c r="X164" s="7"/>
      <c r="Y164" s="699"/>
      <c r="Z164" s="7"/>
      <c r="AA164" s="618"/>
      <c r="AB164" s="7"/>
      <c r="AC164" s="7"/>
      <c r="AD164" s="7"/>
      <c r="AE164" s="7"/>
      <c r="AF164" s="7"/>
      <c r="AG164" s="7"/>
    </row>
    <row r="165" spans="1:33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3"/>
      <c r="I165" s="214"/>
      <c r="J165" s="214"/>
      <c r="K165" s="215"/>
      <c r="L165" s="215"/>
      <c r="M165" s="213"/>
      <c r="N165" s="213"/>
      <c r="O165" s="213"/>
      <c r="P165" s="213"/>
      <c r="Q165" s="215"/>
      <c r="R165" s="370"/>
      <c r="S165" s="215"/>
      <c r="T165" s="616">
        <f t="shared" si="1"/>
        <v>0</v>
      </c>
      <c r="U165" s="633"/>
      <c r="V165" s="636"/>
      <c r="W165" s="636"/>
      <c r="X165" s="7"/>
      <c r="Y165" s="699"/>
      <c r="Z165" s="7"/>
      <c r="AA165" s="618">
        <f t="shared" ref="AA165:AA172" si="17">Y165-T165</f>
        <v>0</v>
      </c>
      <c r="AB165" s="7"/>
      <c r="AC165" s="7"/>
      <c r="AD165" s="7"/>
      <c r="AE165" s="7"/>
      <c r="AF165" s="7"/>
      <c r="AG165" s="7"/>
    </row>
    <row r="166" spans="1:33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3"/>
      <c r="I166" s="214"/>
      <c r="J166" s="214"/>
      <c r="K166" s="215"/>
      <c r="L166" s="215"/>
      <c r="M166" s="213"/>
      <c r="N166" s="213"/>
      <c r="O166" s="213"/>
      <c r="P166" s="213"/>
      <c r="Q166" s="215"/>
      <c r="R166" s="370"/>
      <c r="S166" s="215"/>
      <c r="T166" s="616">
        <f t="shared" si="1"/>
        <v>0</v>
      </c>
      <c r="U166" s="633"/>
      <c r="V166" s="636"/>
      <c r="W166" s="636"/>
      <c r="X166" s="7"/>
      <c r="Y166" s="699"/>
      <c r="Z166" s="7"/>
      <c r="AA166" s="618">
        <f t="shared" si="17"/>
        <v>0</v>
      </c>
      <c r="AB166" s="7"/>
      <c r="AC166" s="7"/>
      <c r="AD166" s="7"/>
      <c r="AE166" s="7"/>
      <c r="AF166" s="7"/>
      <c r="AG166" s="7"/>
    </row>
    <row r="167" spans="1:33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3"/>
      <c r="I167" s="214"/>
      <c r="J167" s="214"/>
      <c r="K167" s="215"/>
      <c r="L167" s="215"/>
      <c r="M167" s="213"/>
      <c r="N167" s="213"/>
      <c r="O167" s="213"/>
      <c r="P167" s="213"/>
      <c r="Q167" s="215"/>
      <c r="R167" s="370"/>
      <c r="S167" s="215"/>
      <c r="T167" s="616">
        <f t="shared" si="1"/>
        <v>0</v>
      </c>
      <c r="U167" s="633"/>
      <c r="V167" s="636"/>
      <c r="W167" s="636"/>
      <c r="X167" s="7"/>
      <c r="Y167" s="699"/>
      <c r="Z167" s="7"/>
      <c r="AA167" s="618">
        <f t="shared" si="17"/>
        <v>0</v>
      </c>
      <c r="AB167" s="7"/>
      <c r="AC167" s="7"/>
      <c r="AD167" s="7"/>
      <c r="AE167" s="7"/>
      <c r="AF167" s="7"/>
      <c r="AG167" s="7"/>
    </row>
    <row r="168" spans="1:33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3"/>
      <c r="I168" s="214"/>
      <c r="J168" s="214"/>
      <c r="K168" s="215"/>
      <c r="L168" s="215"/>
      <c r="M168" s="213"/>
      <c r="N168" s="213"/>
      <c r="O168" s="213"/>
      <c r="P168" s="213"/>
      <c r="Q168" s="215"/>
      <c r="R168" s="370"/>
      <c r="S168" s="215"/>
      <c r="T168" s="616">
        <f t="shared" si="1"/>
        <v>0</v>
      </c>
      <c r="U168" s="633"/>
      <c r="V168" s="636"/>
      <c r="W168" s="636"/>
      <c r="X168" s="7"/>
      <c r="Y168" s="699"/>
      <c r="Z168" s="7"/>
      <c r="AA168" s="618">
        <f t="shared" si="17"/>
        <v>0</v>
      </c>
      <c r="AB168" s="7"/>
      <c r="AC168" s="7"/>
      <c r="AD168" s="7"/>
      <c r="AE168" s="7"/>
      <c r="AF168" s="7"/>
      <c r="AG168" s="7"/>
    </row>
    <row r="169" spans="1:33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3"/>
      <c r="I169" s="214"/>
      <c r="J169" s="214"/>
      <c r="K169" s="215"/>
      <c r="L169" s="215"/>
      <c r="M169" s="213"/>
      <c r="N169" s="213"/>
      <c r="O169" s="213"/>
      <c r="P169" s="213"/>
      <c r="Q169" s="215"/>
      <c r="R169" s="370"/>
      <c r="S169" s="215"/>
      <c r="T169" s="616">
        <f t="shared" si="1"/>
        <v>0</v>
      </c>
      <c r="U169" s="633"/>
      <c r="V169" s="636"/>
      <c r="W169" s="636"/>
      <c r="X169" s="7"/>
      <c r="Y169" s="699"/>
      <c r="Z169" s="7"/>
      <c r="AA169" s="618">
        <f t="shared" si="17"/>
        <v>0</v>
      </c>
      <c r="AB169" s="7"/>
      <c r="AC169" s="7"/>
      <c r="AD169" s="7"/>
      <c r="AE169" s="7"/>
      <c r="AF169" s="7"/>
      <c r="AG169" s="7"/>
    </row>
    <row r="170" spans="1:33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3"/>
      <c r="I170" s="214"/>
      <c r="J170" s="214"/>
      <c r="K170" s="215"/>
      <c r="L170" s="215"/>
      <c r="M170" s="213"/>
      <c r="N170" s="213"/>
      <c r="O170" s="213"/>
      <c r="P170" s="213"/>
      <c r="Q170" s="215"/>
      <c r="R170" s="370"/>
      <c r="S170" s="215"/>
      <c r="T170" s="616">
        <f t="shared" si="1"/>
        <v>0</v>
      </c>
      <c r="U170" s="633"/>
      <c r="V170" s="636"/>
      <c r="W170" s="636"/>
      <c r="X170" s="7"/>
      <c r="Y170" s="699"/>
      <c r="Z170" s="7"/>
      <c r="AA170" s="618">
        <f t="shared" si="17"/>
        <v>0</v>
      </c>
      <c r="AB170" s="7"/>
      <c r="AC170" s="7"/>
      <c r="AD170" s="7"/>
      <c r="AE170" s="7"/>
      <c r="AF170" s="7"/>
      <c r="AG170" s="7"/>
    </row>
    <row r="171" spans="1:33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3"/>
      <c r="I171" s="214"/>
      <c r="J171" s="214"/>
      <c r="K171" s="215"/>
      <c r="L171" s="215"/>
      <c r="M171" s="213"/>
      <c r="N171" s="213"/>
      <c r="O171" s="213"/>
      <c r="P171" s="213"/>
      <c r="Q171" s="215"/>
      <c r="R171" s="370"/>
      <c r="S171" s="215"/>
      <c r="T171" s="616">
        <f t="shared" si="1"/>
        <v>0</v>
      </c>
      <c r="U171" s="633"/>
      <c r="V171" s="636"/>
      <c r="W171" s="636"/>
      <c r="X171" s="7"/>
      <c r="Y171" s="699"/>
      <c r="Z171" s="7"/>
      <c r="AA171" s="618">
        <f t="shared" si="17"/>
        <v>0</v>
      </c>
      <c r="AB171" s="7"/>
      <c r="AC171" s="7"/>
      <c r="AD171" s="7"/>
      <c r="AE171" s="7"/>
      <c r="AF171" s="7"/>
      <c r="AG171" s="7"/>
    </row>
    <row r="172" spans="1:33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3"/>
      <c r="I172" s="214"/>
      <c r="J172" s="214"/>
      <c r="K172" s="215"/>
      <c r="L172" s="215"/>
      <c r="M172" s="213"/>
      <c r="N172" s="213"/>
      <c r="O172" s="213"/>
      <c r="P172" s="213"/>
      <c r="Q172" s="215"/>
      <c r="R172" s="372"/>
      <c r="S172" s="215"/>
      <c r="T172" s="616">
        <f t="shared" si="1"/>
        <v>0</v>
      </c>
      <c r="U172" s="633"/>
      <c r="V172" s="640"/>
      <c r="W172" s="640"/>
      <c r="X172" s="7"/>
      <c r="Y172" s="699"/>
      <c r="Z172" s="7"/>
      <c r="AA172" s="618">
        <f t="shared" si="17"/>
        <v>0</v>
      </c>
      <c r="AB172" s="7"/>
      <c r="AC172" s="7"/>
      <c r="AD172" s="7"/>
      <c r="AE172" s="7"/>
      <c r="AF172" s="7"/>
      <c r="AG172" s="7"/>
    </row>
    <row r="173" spans="1:33" ht="20.25" customHeight="1">
      <c r="A173" s="486"/>
      <c r="B173" s="487" t="s">
        <v>381</v>
      </c>
      <c r="C173" s="635" t="s">
        <v>382</v>
      </c>
      <c r="D173" s="412" t="s">
        <v>383</v>
      </c>
      <c r="E173" s="213">
        <v>1</v>
      </c>
      <c r="F173" s="213"/>
      <c r="G173" s="213"/>
      <c r="H173" s="213"/>
      <c r="I173" s="214"/>
      <c r="J173" s="214"/>
      <c r="K173" s="215"/>
      <c r="L173" s="215"/>
      <c r="M173" s="213"/>
      <c r="N173" s="213"/>
      <c r="O173" s="213"/>
      <c r="P173" s="213">
        <f>30+20</f>
        <v>50</v>
      </c>
      <c r="Q173" s="215"/>
      <c r="R173" s="372"/>
      <c r="S173" s="215"/>
      <c r="T173" s="616">
        <f t="shared" si="1"/>
        <v>51</v>
      </c>
      <c r="U173" s="633"/>
      <c r="V173" s="636"/>
      <c r="W173" s="636"/>
      <c r="X173" s="7"/>
      <c r="Y173" s="699">
        <v>46</v>
      </c>
      <c r="Z173" s="7"/>
      <c r="AA173" s="618"/>
      <c r="AB173" s="7"/>
      <c r="AC173" s="7"/>
      <c r="AD173" s="7"/>
      <c r="AE173" s="7"/>
      <c r="AF173" s="7"/>
      <c r="AG173" s="7"/>
    </row>
    <row r="174" spans="1:33" ht="20.25" customHeight="1">
      <c r="A174" s="503"/>
      <c r="B174" s="483" t="s">
        <v>386</v>
      </c>
      <c r="C174" s="629" t="s">
        <v>387</v>
      </c>
      <c r="D174" s="504" t="s">
        <v>383</v>
      </c>
      <c r="E174" s="213">
        <v>1</v>
      </c>
      <c r="F174" s="213"/>
      <c r="G174" s="213"/>
      <c r="H174" s="213"/>
      <c r="I174" s="214"/>
      <c r="J174" s="214"/>
      <c r="K174" s="215"/>
      <c r="L174" s="215"/>
      <c r="M174" s="213"/>
      <c r="N174" s="213"/>
      <c r="O174" s="213"/>
      <c r="P174" s="213"/>
      <c r="Q174" s="215"/>
      <c r="R174" s="372"/>
      <c r="S174" s="215"/>
      <c r="T174" s="616">
        <f t="shared" si="1"/>
        <v>1</v>
      </c>
      <c r="U174" s="633"/>
      <c r="V174" s="648"/>
      <c r="W174" s="648"/>
      <c r="X174" s="7"/>
      <c r="Y174" s="699"/>
      <c r="Z174" s="7"/>
      <c r="AA174" s="618"/>
      <c r="AB174" s="7"/>
      <c r="AC174" s="7"/>
      <c r="AD174" s="7"/>
      <c r="AE174" s="7"/>
      <c r="AF174" s="7"/>
      <c r="AG174" s="7"/>
    </row>
    <row r="175" spans="1:33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3"/>
      <c r="I175" s="214"/>
      <c r="J175" s="214"/>
      <c r="K175" s="215"/>
      <c r="L175" s="215"/>
      <c r="M175" s="213"/>
      <c r="N175" s="213"/>
      <c r="O175" s="213"/>
      <c r="P175" s="213"/>
      <c r="Q175" s="215"/>
      <c r="R175" s="372"/>
      <c r="S175" s="215"/>
      <c r="T175" s="616">
        <f t="shared" si="1"/>
        <v>0</v>
      </c>
      <c r="U175" s="633"/>
      <c r="V175" s="648"/>
      <c r="W175" s="648"/>
      <c r="X175" s="7"/>
      <c r="Y175" s="699"/>
      <c r="Z175" s="7"/>
      <c r="AA175" s="618"/>
      <c r="AB175" s="7"/>
      <c r="AC175" s="7"/>
      <c r="AD175" s="7"/>
      <c r="AE175" s="7"/>
      <c r="AF175" s="7"/>
      <c r="AG175" s="7"/>
    </row>
    <row r="176" spans="1:33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3"/>
      <c r="I176" s="214"/>
      <c r="J176" s="214"/>
      <c r="K176" s="215"/>
      <c r="L176" s="215"/>
      <c r="M176" s="213"/>
      <c r="N176" s="213"/>
      <c r="O176" s="213"/>
      <c r="P176" s="213"/>
      <c r="Q176" s="215"/>
      <c r="R176" s="372"/>
      <c r="S176" s="215"/>
      <c r="T176" s="616">
        <f t="shared" si="1"/>
        <v>0</v>
      </c>
      <c r="U176" s="633"/>
      <c r="V176" s="648"/>
      <c r="W176" s="648"/>
      <c r="X176" s="7"/>
      <c r="Y176" s="699"/>
      <c r="Z176" s="7"/>
      <c r="AA176" s="618"/>
      <c r="AB176" s="7"/>
      <c r="AC176" s="7"/>
      <c r="AD176" s="7"/>
      <c r="AE176" s="7"/>
      <c r="AF176" s="7"/>
      <c r="AG176" s="7"/>
    </row>
    <row r="177" spans="1:33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3"/>
      <c r="I177" s="214"/>
      <c r="J177" s="214"/>
      <c r="K177" s="215"/>
      <c r="L177" s="215"/>
      <c r="M177" s="213"/>
      <c r="N177" s="213"/>
      <c r="O177" s="213"/>
      <c r="P177" s="213"/>
      <c r="Q177" s="215"/>
      <c r="R177" s="372"/>
      <c r="S177" s="215"/>
      <c r="T177" s="616">
        <f t="shared" si="1"/>
        <v>0</v>
      </c>
      <c r="U177" s="633"/>
      <c r="V177" s="648"/>
      <c r="W177" s="648"/>
      <c r="X177" s="7"/>
      <c r="Y177" s="699"/>
      <c r="Z177" s="7"/>
      <c r="AA177" s="618">
        <f>Y177-T177</f>
        <v>0</v>
      </c>
      <c r="AB177" s="7"/>
      <c r="AC177" s="7"/>
      <c r="AD177" s="7"/>
      <c r="AE177" s="7"/>
      <c r="AF177" s="7"/>
      <c r="AG177" s="7"/>
    </row>
    <row r="178" spans="1:33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3"/>
      <c r="I178" s="214"/>
      <c r="J178" s="214"/>
      <c r="K178" s="215"/>
      <c r="L178" s="215"/>
      <c r="M178" s="213"/>
      <c r="N178" s="213"/>
      <c r="O178" s="213">
        <f>700+2000</f>
        <v>2700</v>
      </c>
      <c r="P178" s="213">
        <v>12500</v>
      </c>
      <c r="Q178" s="215"/>
      <c r="R178" s="372">
        <f>SUM(R179:R180)</f>
        <v>0</v>
      </c>
      <c r="S178" s="215"/>
      <c r="T178" s="616">
        <f t="shared" si="1"/>
        <v>15200</v>
      </c>
      <c r="U178" s="633"/>
      <c r="V178" s="636"/>
      <c r="W178" s="636"/>
      <c r="X178" s="7"/>
      <c r="Y178" s="699">
        <v>10013</v>
      </c>
      <c r="Z178" s="7"/>
      <c r="AA178" s="618"/>
      <c r="AB178" s="7"/>
      <c r="AC178" s="7"/>
      <c r="AD178" s="7"/>
      <c r="AE178" s="7"/>
      <c r="AF178" s="7"/>
      <c r="AG178" s="7"/>
    </row>
    <row r="179" spans="1:33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3"/>
      <c r="I179" s="214"/>
      <c r="J179" s="214"/>
      <c r="K179" s="215"/>
      <c r="L179" s="215"/>
      <c r="M179" s="213"/>
      <c r="N179" s="213"/>
      <c r="O179" s="213"/>
      <c r="P179" s="213"/>
      <c r="Q179" s="215"/>
      <c r="R179" s="372"/>
      <c r="S179" s="215"/>
      <c r="T179" s="616">
        <f t="shared" si="1"/>
        <v>0</v>
      </c>
      <c r="U179" s="633"/>
      <c r="V179" s="648"/>
      <c r="W179" s="648"/>
      <c r="X179" s="7"/>
      <c r="Y179" s="699"/>
      <c r="Z179" s="7"/>
      <c r="AA179" s="618"/>
      <c r="AB179" s="7"/>
      <c r="AC179" s="7"/>
      <c r="AD179" s="7"/>
      <c r="AE179" s="7"/>
      <c r="AF179" s="7"/>
      <c r="AG179" s="7"/>
    </row>
    <row r="180" spans="1:33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3"/>
      <c r="I180" s="214"/>
      <c r="J180" s="214"/>
      <c r="K180" s="215"/>
      <c r="L180" s="215"/>
      <c r="M180" s="213"/>
      <c r="N180" s="213"/>
      <c r="O180" s="213"/>
      <c r="P180" s="213"/>
      <c r="Q180" s="215"/>
      <c r="R180" s="372"/>
      <c r="S180" s="215"/>
      <c r="T180" s="616">
        <f t="shared" si="1"/>
        <v>0</v>
      </c>
      <c r="U180" s="633"/>
      <c r="V180" s="648"/>
      <c r="W180" s="648"/>
      <c r="X180" s="7"/>
      <c r="Y180" s="699"/>
      <c r="Z180" s="7"/>
      <c r="AA180" s="618"/>
      <c r="AB180" s="7"/>
      <c r="AC180" s="7"/>
      <c r="AD180" s="7"/>
      <c r="AE180" s="7"/>
      <c r="AF180" s="7"/>
      <c r="AG180" s="7"/>
    </row>
    <row r="181" spans="1:33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3"/>
      <c r="I181" s="214"/>
      <c r="J181" s="214"/>
      <c r="K181" s="215"/>
      <c r="L181" s="215"/>
      <c r="M181" s="213"/>
      <c r="N181" s="213"/>
      <c r="O181" s="213"/>
      <c r="P181" s="213"/>
      <c r="Q181" s="215"/>
      <c r="R181" s="372"/>
      <c r="S181" s="215"/>
      <c r="T181" s="616">
        <f t="shared" si="1"/>
        <v>0</v>
      </c>
      <c r="U181" s="633"/>
      <c r="V181" s="636"/>
      <c r="W181" s="636"/>
      <c r="X181" s="7"/>
      <c r="Y181" s="699"/>
      <c r="Z181" s="7"/>
      <c r="AA181" s="618">
        <f t="shared" ref="AA181:AA205" si="18">Y181-T181</f>
        <v>0</v>
      </c>
      <c r="AB181" s="7"/>
      <c r="AC181" s="7"/>
      <c r="AD181" s="7"/>
      <c r="AE181" s="7"/>
      <c r="AF181" s="7"/>
      <c r="AG181" s="7"/>
    </row>
    <row r="182" spans="1:33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3"/>
      <c r="I182" s="214"/>
      <c r="J182" s="214"/>
      <c r="K182" s="215"/>
      <c r="L182" s="215"/>
      <c r="M182" s="213"/>
      <c r="N182" s="213"/>
      <c r="O182" s="213"/>
      <c r="P182" s="213"/>
      <c r="Q182" s="215"/>
      <c r="R182" s="372"/>
      <c r="S182" s="215"/>
      <c r="T182" s="616">
        <f t="shared" si="1"/>
        <v>0</v>
      </c>
      <c r="U182" s="633"/>
      <c r="V182" s="636"/>
      <c r="W182" s="636"/>
      <c r="X182" s="7"/>
      <c r="Y182" s="699"/>
      <c r="Z182" s="7"/>
      <c r="AA182" s="618">
        <f t="shared" si="18"/>
        <v>0</v>
      </c>
      <c r="AB182" s="7"/>
      <c r="AC182" s="7"/>
      <c r="AD182" s="7"/>
      <c r="AE182" s="7"/>
      <c r="AF182" s="7"/>
      <c r="AG182" s="7"/>
    </row>
    <row r="183" spans="1:33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3"/>
      <c r="I183" s="214"/>
      <c r="J183" s="214"/>
      <c r="K183" s="215"/>
      <c r="L183" s="215"/>
      <c r="M183" s="213"/>
      <c r="N183" s="213"/>
      <c r="O183" s="213"/>
      <c r="P183" s="213"/>
      <c r="Q183" s="215"/>
      <c r="R183" s="372"/>
      <c r="S183" s="215"/>
      <c r="T183" s="616">
        <f t="shared" si="1"/>
        <v>0</v>
      </c>
      <c r="U183" s="633"/>
      <c r="V183" s="636"/>
      <c r="W183" s="636"/>
      <c r="X183" s="7"/>
      <c r="Y183" s="699"/>
      <c r="Z183" s="7"/>
      <c r="AA183" s="618">
        <f t="shared" si="18"/>
        <v>0</v>
      </c>
      <c r="AB183" s="7"/>
      <c r="AC183" s="7"/>
      <c r="AD183" s="7"/>
      <c r="AE183" s="7"/>
      <c r="AF183" s="7"/>
      <c r="AG183" s="7"/>
    </row>
    <row r="184" spans="1:33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3"/>
      <c r="I184" s="214"/>
      <c r="J184" s="214"/>
      <c r="K184" s="215"/>
      <c r="L184" s="215"/>
      <c r="M184" s="213"/>
      <c r="N184" s="213"/>
      <c r="O184" s="213"/>
      <c r="P184" s="213"/>
      <c r="Q184" s="215"/>
      <c r="R184" s="372"/>
      <c r="S184" s="215"/>
      <c r="T184" s="616">
        <f t="shared" si="1"/>
        <v>0</v>
      </c>
      <c r="U184" s="633"/>
      <c r="V184" s="636"/>
      <c r="W184" s="636"/>
      <c r="X184" s="7"/>
      <c r="Y184" s="699"/>
      <c r="Z184" s="7"/>
      <c r="AA184" s="618">
        <f t="shared" si="18"/>
        <v>0</v>
      </c>
      <c r="AB184" s="7"/>
      <c r="AC184" s="7"/>
      <c r="AD184" s="7"/>
      <c r="AE184" s="7"/>
      <c r="AF184" s="7"/>
      <c r="AG184" s="7"/>
    </row>
    <row r="185" spans="1:33" ht="18.75" customHeight="1">
      <c r="A185" s="486">
        <v>7.7</v>
      </c>
      <c r="B185" s="487" t="s">
        <v>412</v>
      </c>
      <c r="C185" s="635" t="s">
        <v>413</v>
      </c>
      <c r="D185" s="412" t="s">
        <v>2423</v>
      </c>
      <c r="E185" s="213"/>
      <c r="F185" s="213"/>
      <c r="G185" s="213"/>
      <c r="H185" s="213"/>
      <c r="I185" s="214"/>
      <c r="J185" s="214"/>
      <c r="K185" s="215"/>
      <c r="L185" s="215"/>
      <c r="M185" s="213"/>
      <c r="N185" s="213"/>
      <c r="O185" s="213"/>
      <c r="P185" s="213"/>
      <c r="Q185" s="215"/>
      <c r="R185" s="372"/>
      <c r="S185" s="215"/>
      <c r="T185" s="616">
        <f t="shared" si="1"/>
        <v>0</v>
      </c>
      <c r="U185" s="633"/>
      <c r="V185" s="636"/>
      <c r="W185" s="636"/>
      <c r="X185" s="7"/>
      <c r="Y185" s="699"/>
      <c r="Z185" s="7"/>
      <c r="AA185" s="618">
        <f t="shared" si="18"/>
        <v>0</v>
      </c>
      <c r="AB185" s="7"/>
      <c r="AC185" s="7"/>
      <c r="AD185" s="7"/>
      <c r="AE185" s="7"/>
      <c r="AF185" s="7"/>
      <c r="AG185" s="7"/>
    </row>
    <row r="186" spans="1:33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3"/>
      <c r="I186" s="214"/>
      <c r="J186" s="214"/>
      <c r="K186" s="215"/>
      <c r="L186" s="215"/>
      <c r="M186" s="213"/>
      <c r="N186" s="213"/>
      <c r="O186" s="213"/>
      <c r="P186" s="213"/>
      <c r="Q186" s="215"/>
      <c r="R186" s="372"/>
      <c r="S186" s="215"/>
      <c r="T186" s="616">
        <f t="shared" si="1"/>
        <v>0</v>
      </c>
      <c r="U186" s="633"/>
      <c r="V186" s="636"/>
      <c r="W186" s="636"/>
      <c r="X186" s="7"/>
      <c r="Y186" s="699"/>
      <c r="Z186" s="7"/>
      <c r="AA186" s="618">
        <f t="shared" si="18"/>
        <v>0</v>
      </c>
      <c r="AB186" s="7"/>
      <c r="AC186" s="7"/>
      <c r="AD186" s="7"/>
      <c r="AE186" s="7"/>
      <c r="AF186" s="7"/>
      <c r="AG186" s="7"/>
    </row>
    <row r="187" spans="1:33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3"/>
      <c r="I187" s="214"/>
      <c r="J187" s="214"/>
      <c r="K187" s="215"/>
      <c r="L187" s="215"/>
      <c r="M187" s="213"/>
      <c r="N187" s="213"/>
      <c r="O187" s="213"/>
      <c r="P187" s="213"/>
      <c r="Q187" s="215"/>
      <c r="R187" s="372"/>
      <c r="S187" s="215"/>
      <c r="T187" s="616">
        <f t="shared" si="1"/>
        <v>0</v>
      </c>
      <c r="U187" s="633"/>
      <c r="V187" s="640"/>
      <c r="W187" s="640"/>
      <c r="X187" s="7"/>
      <c r="Y187" s="699"/>
      <c r="Z187" s="7"/>
      <c r="AA187" s="618">
        <f t="shared" si="18"/>
        <v>0</v>
      </c>
      <c r="AB187" s="7"/>
      <c r="AC187" s="7"/>
      <c r="AD187" s="7"/>
      <c r="AE187" s="7"/>
      <c r="AF187" s="7"/>
      <c r="AG187" s="7"/>
    </row>
    <row r="188" spans="1:33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3"/>
      <c r="I188" s="214"/>
      <c r="J188" s="214"/>
      <c r="K188" s="215"/>
      <c r="L188" s="215"/>
      <c r="M188" s="213"/>
      <c r="N188" s="213"/>
      <c r="O188" s="213"/>
      <c r="P188" s="213"/>
      <c r="Q188" s="215"/>
      <c r="R188" s="372"/>
      <c r="S188" s="215"/>
      <c r="T188" s="616">
        <f t="shared" si="1"/>
        <v>0</v>
      </c>
      <c r="U188" s="633"/>
      <c r="V188" s="636"/>
      <c r="W188" s="636"/>
      <c r="X188" s="7"/>
      <c r="Y188" s="699"/>
      <c r="Z188" s="7"/>
      <c r="AA188" s="618">
        <f t="shared" si="18"/>
        <v>0</v>
      </c>
      <c r="AB188" s="7"/>
      <c r="AC188" s="7"/>
      <c r="AD188" s="7"/>
      <c r="AE188" s="7"/>
      <c r="AF188" s="7"/>
      <c r="AG188" s="7"/>
    </row>
    <row r="189" spans="1:33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3"/>
      <c r="I189" s="214"/>
      <c r="J189" s="214"/>
      <c r="K189" s="215"/>
      <c r="L189" s="215"/>
      <c r="M189" s="213"/>
      <c r="N189" s="213"/>
      <c r="O189" s="213"/>
      <c r="P189" s="213"/>
      <c r="Q189" s="215"/>
      <c r="R189" s="372"/>
      <c r="S189" s="215"/>
      <c r="T189" s="616">
        <f t="shared" si="1"/>
        <v>0</v>
      </c>
      <c r="U189" s="633"/>
      <c r="V189" s="648"/>
      <c r="W189" s="648"/>
      <c r="X189" s="7"/>
      <c r="Y189" s="699"/>
      <c r="Z189" s="7"/>
      <c r="AA189" s="618">
        <f t="shared" si="18"/>
        <v>0</v>
      </c>
      <c r="AB189" s="7"/>
      <c r="AC189" s="7"/>
      <c r="AD189" s="7"/>
      <c r="AE189" s="7"/>
      <c r="AF189" s="7"/>
      <c r="AG189" s="7"/>
    </row>
    <row r="190" spans="1:33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3"/>
      <c r="I190" s="214"/>
      <c r="J190" s="214"/>
      <c r="K190" s="215"/>
      <c r="L190" s="215"/>
      <c r="M190" s="213"/>
      <c r="N190" s="213"/>
      <c r="O190" s="213"/>
      <c r="P190" s="213"/>
      <c r="Q190" s="215"/>
      <c r="R190" s="372"/>
      <c r="S190" s="215"/>
      <c r="T190" s="616">
        <f t="shared" si="1"/>
        <v>0</v>
      </c>
      <c r="U190" s="633"/>
      <c r="V190" s="648"/>
      <c r="W190" s="648"/>
      <c r="X190" s="7"/>
      <c r="Y190" s="699"/>
      <c r="Z190" s="7"/>
      <c r="AA190" s="618">
        <f t="shared" si="18"/>
        <v>0</v>
      </c>
      <c r="AB190" s="7"/>
      <c r="AC190" s="7"/>
      <c r="AD190" s="7"/>
      <c r="AE190" s="7"/>
      <c r="AF190" s="7"/>
      <c r="AG190" s="7"/>
    </row>
    <row r="191" spans="1:33" ht="20.25" customHeight="1">
      <c r="A191" s="503"/>
      <c r="B191" s="483" t="s">
        <v>428</v>
      </c>
      <c r="C191" s="658" t="s">
        <v>429</v>
      </c>
      <c r="D191" s="504" t="s">
        <v>2424</v>
      </c>
      <c r="E191" s="213"/>
      <c r="F191" s="213"/>
      <c r="G191" s="213"/>
      <c r="H191" s="213"/>
      <c r="I191" s="214"/>
      <c r="J191" s="214"/>
      <c r="K191" s="215"/>
      <c r="L191" s="215"/>
      <c r="M191" s="213"/>
      <c r="N191" s="213"/>
      <c r="O191" s="213"/>
      <c r="P191" s="213"/>
      <c r="Q191" s="215"/>
      <c r="R191" s="372"/>
      <c r="S191" s="215"/>
      <c r="T191" s="616">
        <f t="shared" si="1"/>
        <v>0</v>
      </c>
      <c r="U191" s="633"/>
      <c r="V191" s="648"/>
      <c r="W191" s="648"/>
      <c r="X191" s="7"/>
      <c r="Y191" s="699"/>
      <c r="Z191" s="7"/>
      <c r="AA191" s="618">
        <f t="shared" si="18"/>
        <v>0</v>
      </c>
      <c r="AB191" s="7"/>
      <c r="AC191" s="7"/>
      <c r="AD191" s="7"/>
      <c r="AE191" s="7"/>
      <c r="AF191" s="7"/>
      <c r="AG191" s="7"/>
    </row>
    <row r="192" spans="1:33" ht="20.25" customHeight="1">
      <c r="A192" s="503"/>
      <c r="B192" s="483" t="s">
        <v>426</v>
      </c>
      <c r="C192" s="658" t="s">
        <v>431</v>
      </c>
      <c r="D192" s="504" t="s">
        <v>2425</v>
      </c>
      <c r="E192" s="213"/>
      <c r="F192" s="213"/>
      <c r="G192" s="213"/>
      <c r="H192" s="213"/>
      <c r="I192" s="214"/>
      <c r="J192" s="214"/>
      <c r="K192" s="215"/>
      <c r="L192" s="215"/>
      <c r="M192" s="213"/>
      <c r="N192" s="213"/>
      <c r="O192" s="213"/>
      <c r="P192" s="213"/>
      <c r="Q192" s="215"/>
      <c r="R192" s="372"/>
      <c r="S192" s="215"/>
      <c r="T192" s="616">
        <f t="shared" si="1"/>
        <v>0</v>
      </c>
      <c r="U192" s="633"/>
      <c r="V192" s="636"/>
      <c r="W192" s="636"/>
      <c r="X192" s="7"/>
      <c r="Y192" s="699"/>
      <c r="Z192" s="7"/>
      <c r="AA192" s="618">
        <f t="shared" si="18"/>
        <v>0</v>
      </c>
      <c r="AB192" s="7"/>
      <c r="AC192" s="7"/>
      <c r="AD192" s="7"/>
      <c r="AE192" s="7"/>
      <c r="AF192" s="7"/>
      <c r="AG192" s="7"/>
    </row>
    <row r="193" spans="1:33" ht="20.25" customHeight="1">
      <c r="A193" s="503"/>
      <c r="B193" s="483" t="s">
        <v>428</v>
      </c>
      <c r="C193" s="658" t="s">
        <v>433</v>
      </c>
      <c r="D193" s="504" t="s">
        <v>2426</v>
      </c>
      <c r="E193" s="213"/>
      <c r="F193" s="213"/>
      <c r="G193" s="213"/>
      <c r="H193" s="213"/>
      <c r="I193" s="214"/>
      <c r="J193" s="214"/>
      <c r="K193" s="215"/>
      <c r="L193" s="215"/>
      <c r="M193" s="213"/>
      <c r="N193" s="213"/>
      <c r="O193" s="213"/>
      <c r="P193" s="213"/>
      <c r="Q193" s="215"/>
      <c r="R193" s="372"/>
      <c r="S193" s="215"/>
      <c r="T193" s="616">
        <f t="shared" si="1"/>
        <v>0</v>
      </c>
      <c r="U193" s="633"/>
      <c r="V193" s="648"/>
      <c r="W193" s="648"/>
      <c r="X193" s="7"/>
      <c r="Y193" s="699"/>
      <c r="Z193" s="7"/>
      <c r="AA193" s="618">
        <f t="shared" si="18"/>
        <v>0</v>
      </c>
      <c r="AB193" s="7"/>
      <c r="AC193" s="7"/>
      <c r="AD193" s="7"/>
      <c r="AE193" s="7"/>
      <c r="AF193" s="7"/>
      <c r="AG193" s="7"/>
    </row>
    <row r="194" spans="1:33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3"/>
      <c r="I194" s="214"/>
      <c r="J194" s="214"/>
      <c r="K194" s="215"/>
      <c r="L194" s="215"/>
      <c r="M194" s="213"/>
      <c r="N194" s="213"/>
      <c r="O194" s="213"/>
      <c r="P194" s="213"/>
      <c r="Q194" s="215"/>
      <c r="R194" s="372"/>
      <c r="S194" s="215"/>
      <c r="T194" s="616">
        <f t="shared" si="1"/>
        <v>0</v>
      </c>
      <c r="U194" s="633"/>
      <c r="V194" s="654"/>
      <c r="W194" s="654"/>
      <c r="X194" s="7"/>
      <c r="Y194" s="699"/>
      <c r="Z194" s="7"/>
      <c r="AA194" s="618">
        <f t="shared" si="18"/>
        <v>0</v>
      </c>
      <c r="AB194" s="7"/>
      <c r="AC194" s="7"/>
      <c r="AD194" s="7"/>
      <c r="AE194" s="7"/>
      <c r="AF194" s="7"/>
      <c r="AG194" s="7"/>
    </row>
    <row r="195" spans="1:33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3"/>
      <c r="I195" s="214"/>
      <c r="J195" s="214"/>
      <c r="K195" s="215"/>
      <c r="L195" s="215"/>
      <c r="M195" s="213"/>
      <c r="N195" s="213"/>
      <c r="O195" s="213"/>
      <c r="P195" s="213"/>
      <c r="Q195" s="215"/>
      <c r="R195" s="372"/>
      <c r="S195" s="215"/>
      <c r="T195" s="616">
        <f t="shared" si="1"/>
        <v>0</v>
      </c>
      <c r="U195" s="633"/>
      <c r="V195" s="648"/>
      <c r="W195" s="648"/>
      <c r="X195" s="7"/>
      <c r="Y195" s="699"/>
      <c r="Z195" s="7"/>
      <c r="AA195" s="618">
        <f t="shared" si="18"/>
        <v>0</v>
      </c>
      <c r="AB195" s="7"/>
      <c r="AC195" s="7"/>
      <c r="AD195" s="7"/>
      <c r="AE195" s="7"/>
      <c r="AF195" s="7"/>
      <c r="AG195" s="7"/>
    </row>
    <row r="196" spans="1:33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3"/>
      <c r="I196" s="214"/>
      <c r="J196" s="214"/>
      <c r="K196" s="215"/>
      <c r="L196" s="215"/>
      <c r="M196" s="213"/>
      <c r="N196" s="213"/>
      <c r="O196" s="213"/>
      <c r="P196" s="213"/>
      <c r="Q196" s="215"/>
      <c r="R196" s="372"/>
      <c r="S196" s="215"/>
      <c r="T196" s="616">
        <f t="shared" si="1"/>
        <v>0</v>
      </c>
      <c r="U196" s="633"/>
      <c r="V196" s="636"/>
      <c r="W196" s="636"/>
      <c r="X196" s="7"/>
      <c r="Y196" s="699"/>
      <c r="Z196" s="7"/>
      <c r="AA196" s="618">
        <f t="shared" si="18"/>
        <v>0</v>
      </c>
      <c r="AB196" s="7"/>
      <c r="AC196" s="7"/>
      <c r="AD196" s="7"/>
      <c r="AE196" s="7"/>
      <c r="AF196" s="7"/>
      <c r="AG196" s="7"/>
    </row>
    <row r="197" spans="1:33" ht="20.25" customHeight="1">
      <c r="A197" s="503"/>
      <c r="B197" s="483" t="s">
        <v>440</v>
      </c>
      <c r="C197" s="658" t="s">
        <v>429</v>
      </c>
      <c r="D197" s="504" t="s">
        <v>2427</v>
      </c>
      <c r="E197" s="213"/>
      <c r="F197" s="213"/>
      <c r="G197" s="213"/>
      <c r="H197" s="213"/>
      <c r="I197" s="214"/>
      <c r="J197" s="214"/>
      <c r="K197" s="215"/>
      <c r="L197" s="215"/>
      <c r="M197" s="213"/>
      <c r="N197" s="213"/>
      <c r="O197" s="213"/>
      <c r="P197" s="213"/>
      <c r="Q197" s="215"/>
      <c r="R197" s="372"/>
      <c r="S197" s="215"/>
      <c r="T197" s="616">
        <f t="shared" si="1"/>
        <v>0</v>
      </c>
      <c r="U197" s="633"/>
      <c r="V197" s="648"/>
      <c r="W197" s="648"/>
      <c r="X197" s="7"/>
      <c r="Y197" s="699"/>
      <c r="Z197" s="7"/>
      <c r="AA197" s="618">
        <f t="shared" si="18"/>
        <v>0</v>
      </c>
      <c r="AB197" s="7"/>
      <c r="AC197" s="7"/>
      <c r="AD197" s="7"/>
      <c r="AE197" s="7"/>
      <c r="AF197" s="7"/>
      <c r="AG197" s="7"/>
    </row>
    <row r="198" spans="1:33" ht="20.25" customHeight="1">
      <c r="A198" s="503"/>
      <c r="B198" s="483" t="s">
        <v>439</v>
      </c>
      <c r="C198" s="658" t="s">
        <v>431</v>
      </c>
      <c r="D198" s="504" t="s">
        <v>2428</v>
      </c>
      <c r="E198" s="213"/>
      <c r="F198" s="213"/>
      <c r="G198" s="213"/>
      <c r="H198" s="213"/>
      <c r="I198" s="214"/>
      <c r="J198" s="214"/>
      <c r="K198" s="215"/>
      <c r="L198" s="215"/>
      <c r="M198" s="213"/>
      <c r="N198" s="213"/>
      <c r="O198" s="213"/>
      <c r="P198" s="213"/>
      <c r="Q198" s="215"/>
      <c r="R198" s="372"/>
      <c r="S198" s="215"/>
      <c r="T198" s="616">
        <f t="shared" si="1"/>
        <v>0</v>
      </c>
      <c r="U198" s="633"/>
      <c r="V198" s="648"/>
      <c r="W198" s="648"/>
      <c r="X198" s="7"/>
      <c r="Y198" s="699"/>
      <c r="Z198" s="7"/>
      <c r="AA198" s="618">
        <f t="shared" si="18"/>
        <v>0</v>
      </c>
      <c r="AB198" s="7"/>
      <c r="AC198" s="7"/>
      <c r="AD198" s="7"/>
      <c r="AE198" s="7"/>
      <c r="AF198" s="7"/>
      <c r="AG198" s="7"/>
    </row>
    <row r="199" spans="1:33" ht="20.25" customHeight="1">
      <c r="A199" s="503"/>
      <c r="B199" s="483" t="s">
        <v>440</v>
      </c>
      <c r="C199" s="658" t="s">
        <v>433</v>
      </c>
      <c r="D199" s="504" t="s">
        <v>2429</v>
      </c>
      <c r="E199" s="213"/>
      <c r="F199" s="213"/>
      <c r="G199" s="213"/>
      <c r="H199" s="213"/>
      <c r="I199" s="214"/>
      <c r="J199" s="214"/>
      <c r="K199" s="215"/>
      <c r="L199" s="215"/>
      <c r="M199" s="213"/>
      <c r="N199" s="213"/>
      <c r="O199" s="213"/>
      <c r="P199" s="213"/>
      <c r="Q199" s="215"/>
      <c r="R199" s="372"/>
      <c r="S199" s="215"/>
      <c r="T199" s="616">
        <f t="shared" si="1"/>
        <v>0</v>
      </c>
      <c r="U199" s="633"/>
      <c r="V199" s="648"/>
      <c r="W199" s="648"/>
      <c r="X199" s="7"/>
      <c r="Y199" s="699"/>
      <c r="Z199" s="7"/>
      <c r="AA199" s="618">
        <f t="shared" si="18"/>
        <v>0</v>
      </c>
      <c r="AB199" s="7"/>
      <c r="AC199" s="7"/>
      <c r="AD199" s="7"/>
      <c r="AE199" s="7"/>
      <c r="AF199" s="7"/>
      <c r="AG199" s="7"/>
    </row>
    <row r="200" spans="1:33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3"/>
      <c r="I200" s="214"/>
      <c r="J200" s="214"/>
      <c r="K200" s="215"/>
      <c r="L200" s="215"/>
      <c r="M200" s="213"/>
      <c r="N200" s="213"/>
      <c r="O200" s="213"/>
      <c r="P200" s="213"/>
      <c r="Q200" s="215"/>
      <c r="R200" s="372"/>
      <c r="S200" s="215"/>
      <c r="T200" s="616">
        <f t="shared" si="1"/>
        <v>0</v>
      </c>
      <c r="U200" s="633"/>
      <c r="V200" s="636"/>
      <c r="W200" s="636"/>
      <c r="X200" s="7"/>
      <c r="Y200" s="699"/>
      <c r="Z200" s="7"/>
      <c r="AA200" s="618">
        <f t="shared" si="18"/>
        <v>0</v>
      </c>
      <c r="AB200" s="7"/>
      <c r="AC200" s="7"/>
      <c r="AD200" s="7"/>
      <c r="AE200" s="7"/>
      <c r="AF200" s="7"/>
      <c r="AG200" s="7"/>
    </row>
    <row r="201" spans="1:33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3"/>
      <c r="I201" s="214"/>
      <c r="J201" s="214"/>
      <c r="K201" s="215"/>
      <c r="L201" s="215"/>
      <c r="M201" s="213"/>
      <c r="N201" s="213"/>
      <c r="O201" s="213">
        <v>45</v>
      </c>
      <c r="P201" s="213"/>
      <c r="Q201" s="215"/>
      <c r="R201" s="372"/>
      <c r="S201" s="215"/>
      <c r="T201" s="616">
        <f t="shared" si="1"/>
        <v>45</v>
      </c>
      <c r="U201" s="633"/>
      <c r="V201" s="648"/>
      <c r="W201" s="648"/>
      <c r="X201" s="7"/>
      <c r="Y201" s="699">
        <v>70</v>
      </c>
      <c r="Z201" s="7"/>
      <c r="AA201" s="618">
        <f t="shared" si="18"/>
        <v>25</v>
      </c>
      <c r="AB201" s="7"/>
      <c r="AC201" s="7"/>
      <c r="AD201" s="7"/>
      <c r="AE201" s="7"/>
      <c r="AF201" s="7"/>
      <c r="AG201" s="7"/>
    </row>
    <row r="202" spans="1:33" ht="20.25" customHeight="1">
      <c r="A202" s="503"/>
      <c r="B202" s="483" t="s">
        <v>449</v>
      </c>
      <c r="C202" s="658" t="s">
        <v>450</v>
      </c>
      <c r="D202" s="504" t="s">
        <v>2430</v>
      </c>
      <c r="E202" s="213"/>
      <c r="F202" s="213"/>
      <c r="G202" s="213"/>
      <c r="H202" s="213"/>
      <c r="I202" s="214"/>
      <c r="J202" s="214"/>
      <c r="K202" s="215"/>
      <c r="L202" s="215"/>
      <c r="M202" s="213"/>
      <c r="N202" s="213"/>
      <c r="O202" s="213"/>
      <c r="P202" s="213"/>
      <c r="Q202" s="215"/>
      <c r="R202" s="372"/>
      <c r="S202" s="215"/>
      <c r="T202" s="616">
        <f t="shared" si="1"/>
        <v>0</v>
      </c>
      <c r="U202" s="633"/>
      <c r="V202" s="648"/>
      <c r="W202" s="648"/>
      <c r="X202" s="7"/>
      <c r="Y202" s="699"/>
      <c r="Z202" s="7"/>
      <c r="AA202" s="618">
        <f t="shared" si="18"/>
        <v>0</v>
      </c>
      <c r="AB202" s="7"/>
      <c r="AC202" s="7"/>
      <c r="AD202" s="7"/>
      <c r="AE202" s="7"/>
      <c r="AF202" s="7"/>
      <c r="AG202" s="7"/>
    </row>
    <row r="203" spans="1:33" ht="20.25" customHeight="1">
      <c r="A203" s="503"/>
      <c r="B203" s="483" t="s">
        <v>449</v>
      </c>
      <c r="C203" s="658" t="s">
        <v>431</v>
      </c>
      <c r="D203" s="504" t="s">
        <v>2431</v>
      </c>
      <c r="E203" s="213"/>
      <c r="F203" s="213"/>
      <c r="G203" s="213"/>
      <c r="H203" s="213"/>
      <c r="I203" s="214"/>
      <c r="J203" s="214"/>
      <c r="K203" s="215"/>
      <c r="L203" s="215"/>
      <c r="M203" s="213"/>
      <c r="N203" s="213"/>
      <c r="O203" s="213"/>
      <c r="P203" s="213"/>
      <c r="Q203" s="215"/>
      <c r="R203" s="372"/>
      <c r="S203" s="215"/>
      <c r="T203" s="616">
        <f t="shared" si="1"/>
        <v>0</v>
      </c>
      <c r="U203" s="633"/>
      <c r="V203" s="648"/>
      <c r="W203" s="648"/>
      <c r="X203" s="7"/>
      <c r="Y203" s="699"/>
      <c r="Z203" s="7"/>
      <c r="AA203" s="618">
        <f t="shared" si="18"/>
        <v>0</v>
      </c>
      <c r="AB203" s="7"/>
      <c r="AC203" s="7"/>
      <c r="AD203" s="7"/>
      <c r="AE203" s="7"/>
      <c r="AF203" s="7"/>
      <c r="AG203" s="7"/>
    </row>
    <row r="204" spans="1:33" ht="20.25" customHeight="1">
      <c r="A204" s="503"/>
      <c r="B204" s="483" t="s">
        <v>453</v>
      </c>
      <c r="C204" s="658" t="s">
        <v>433</v>
      </c>
      <c r="D204" s="504" t="s">
        <v>2432</v>
      </c>
      <c r="E204" s="213"/>
      <c r="F204" s="213"/>
      <c r="G204" s="213"/>
      <c r="H204" s="213"/>
      <c r="I204" s="214"/>
      <c r="J204" s="214"/>
      <c r="K204" s="215"/>
      <c r="L204" s="215"/>
      <c r="M204" s="213"/>
      <c r="N204" s="213"/>
      <c r="O204" s="213"/>
      <c r="P204" s="213"/>
      <c r="Q204" s="215"/>
      <c r="R204" s="372"/>
      <c r="S204" s="215"/>
      <c r="T204" s="616">
        <f t="shared" si="1"/>
        <v>0</v>
      </c>
      <c r="U204" s="633"/>
      <c r="V204" s="636"/>
      <c r="W204" s="636"/>
      <c r="X204" s="7"/>
      <c r="Y204" s="699"/>
      <c r="Z204" s="7"/>
      <c r="AA204" s="618">
        <f t="shared" si="18"/>
        <v>0</v>
      </c>
      <c r="AB204" s="7"/>
      <c r="AC204" s="7"/>
      <c r="AD204" s="7"/>
      <c r="AE204" s="7"/>
      <c r="AF204" s="7"/>
      <c r="AG204" s="7"/>
    </row>
    <row r="205" spans="1:33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3"/>
      <c r="I205" s="214"/>
      <c r="J205" s="214"/>
      <c r="K205" s="215"/>
      <c r="L205" s="215"/>
      <c r="M205" s="213"/>
      <c r="N205" s="213"/>
      <c r="O205" s="213"/>
      <c r="P205" s="213"/>
      <c r="Q205" s="215"/>
      <c r="R205" s="372"/>
      <c r="S205" s="215"/>
      <c r="T205" s="616">
        <f t="shared" si="1"/>
        <v>0</v>
      </c>
      <c r="U205" s="633"/>
      <c r="V205" s="636"/>
      <c r="W205" s="636"/>
      <c r="X205" s="7"/>
      <c r="Y205" s="699"/>
      <c r="Z205" s="7"/>
      <c r="AA205" s="618">
        <f t="shared" si="18"/>
        <v>0</v>
      </c>
      <c r="AB205" s="7"/>
      <c r="AC205" s="7"/>
      <c r="AD205" s="7"/>
      <c r="AE205" s="7"/>
      <c r="AF205" s="7"/>
      <c r="AG205" s="7"/>
    </row>
    <row r="206" spans="1:33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3"/>
      <c r="I206" s="214"/>
      <c r="J206" s="214"/>
      <c r="K206" s="215"/>
      <c r="L206" s="215"/>
      <c r="M206" s="213"/>
      <c r="N206" s="213"/>
      <c r="O206" s="213">
        <v>70</v>
      </c>
      <c r="P206" s="213"/>
      <c r="Q206" s="215"/>
      <c r="R206" s="372">
        <v>25</v>
      </c>
      <c r="S206" s="215"/>
      <c r="T206" s="616">
        <f t="shared" si="1"/>
        <v>95</v>
      </c>
      <c r="U206" s="633"/>
      <c r="V206" s="648"/>
      <c r="W206" s="648"/>
      <c r="X206" s="7"/>
      <c r="Y206" s="699"/>
      <c r="Z206" s="7"/>
      <c r="AA206" s="618"/>
      <c r="AB206" s="7"/>
      <c r="AC206" s="7"/>
      <c r="AD206" s="7"/>
      <c r="AE206" s="7"/>
      <c r="AF206" s="7"/>
      <c r="AG206" s="7"/>
    </row>
    <row r="207" spans="1:33" ht="20.25" customHeight="1">
      <c r="A207" s="503"/>
      <c r="B207" s="483" t="s">
        <v>461</v>
      </c>
      <c r="C207" s="658" t="s">
        <v>431</v>
      </c>
      <c r="D207" s="504" t="s">
        <v>2433</v>
      </c>
      <c r="E207" s="213"/>
      <c r="F207" s="213"/>
      <c r="G207" s="213"/>
      <c r="H207" s="213"/>
      <c r="I207" s="214"/>
      <c r="J207" s="214"/>
      <c r="K207" s="215"/>
      <c r="L207" s="215"/>
      <c r="M207" s="213"/>
      <c r="N207" s="213"/>
      <c r="O207" s="213"/>
      <c r="P207" s="213"/>
      <c r="Q207" s="215"/>
      <c r="R207" s="372"/>
      <c r="S207" s="215"/>
      <c r="T207" s="616">
        <f t="shared" si="1"/>
        <v>0</v>
      </c>
      <c r="U207" s="633"/>
      <c r="V207" s="648"/>
      <c r="W207" s="648"/>
      <c r="X207" s="7"/>
      <c r="Y207" s="699"/>
      <c r="Z207" s="7"/>
      <c r="AA207" s="618"/>
      <c r="AB207" s="7"/>
      <c r="AC207" s="7"/>
      <c r="AD207" s="7"/>
      <c r="AE207" s="7"/>
      <c r="AF207" s="7"/>
      <c r="AG207" s="7"/>
    </row>
    <row r="208" spans="1:33" ht="20.25" customHeight="1">
      <c r="A208" s="503"/>
      <c r="B208" s="483" t="s">
        <v>464</v>
      </c>
      <c r="C208" s="658" t="s">
        <v>433</v>
      </c>
      <c r="D208" s="504" t="s">
        <v>2434</v>
      </c>
      <c r="E208" s="213"/>
      <c r="F208" s="213"/>
      <c r="G208" s="213"/>
      <c r="H208" s="213"/>
      <c r="I208" s="214"/>
      <c r="J208" s="214"/>
      <c r="K208" s="215"/>
      <c r="L208" s="215"/>
      <c r="M208" s="213"/>
      <c r="N208" s="213"/>
      <c r="O208" s="213"/>
      <c r="P208" s="213"/>
      <c r="Q208" s="215"/>
      <c r="R208" s="372"/>
      <c r="S208" s="215"/>
      <c r="T208" s="616">
        <f t="shared" si="1"/>
        <v>0</v>
      </c>
      <c r="U208" s="633"/>
      <c r="V208" s="636"/>
      <c r="W208" s="636"/>
      <c r="X208" s="7"/>
      <c r="Y208" s="699"/>
      <c r="Z208" s="7"/>
      <c r="AA208" s="618">
        <f t="shared" ref="AA208:AA215" si="19">Y208-T208</f>
        <v>0</v>
      </c>
      <c r="AB208" s="7"/>
      <c r="AC208" s="7"/>
      <c r="AD208" s="7"/>
      <c r="AE208" s="7"/>
      <c r="AF208" s="7"/>
      <c r="AG208" s="7"/>
    </row>
    <row r="209" spans="1:33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3"/>
      <c r="I209" s="214"/>
      <c r="J209" s="214"/>
      <c r="K209" s="215"/>
      <c r="L209" s="215"/>
      <c r="M209" s="213"/>
      <c r="N209" s="213"/>
      <c r="O209" s="213"/>
      <c r="P209" s="213"/>
      <c r="Q209" s="215"/>
      <c r="R209" s="372"/>
      <c r="S209" s="215"/>
      <c r="T209" s="616">
        <f t="shared" si="1"/>
        <v>0</v>
      </c>
      <c r="U209" s="633"/>
      <c r="V209" s="648"/>
      <c r="W209" s="648"/>
      <c r="X209" s="7"/>
      <c r="Y209" s="699"/>
      <c r="Z209" s="7"/>
      <c r="AA209" s="618">
        <f t="shared" si="19"/>
        <v>0</v>
      </c>
      <c r="AB209" s="7"/>
      <c r="AC209" s="7"/>
      <c r="AD209" s="7"/>
      <c r="AE209" s="7"/>
      <c r="AF209" s="7"/>
      <c r="AG209" s="7"/>
    </row>
    <row r="210" spans="1:33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3"/>
      <c r="I210" s="214"/>
      <c r="J210" s="214"/>
      <c r="K210" s="215"/>
      <c r="L210" s="215"/>
      <c r="M210" s="213"/>
      <c r="N210" s="213"/>
      <c r="O210" s="213"/>
      <c r="P210" s="213"/>
      <c r="Q210" s="215"/>
      <c r="R210" s="372"/>
      <c r="S210" s="215"/>
      <c r="T210" s="616">
        <f t="shared" si="1"/>
        <v>0</v>
      </c>
      <c r="U210" s="633"/>
      <c r="V210" s="648"/>
      <c r="W210" s="648"/>
      <c r="X210" s="7"/>
      <c r="Y210" s="699"/>
      <c r="Z210" s="7"/>
      <c r="AA210" s="618">
        <f t="shared" si="19"/>
        <v>0</v>
      </c>
      <c r="AB210" s="7"/>
      <c r="AC210" s="7"/>
      <c r="AD210" s="7"/>
      <c r="AE210" s="7"/>
      <c r="AF210" s="7"/>
      <c r="AG210" s="7"/>
    </row>
    <row r="211" spans="1:33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3"/>
      <c r="I211" s="214"/>
      <c r="J211" s="214"/>
      <c r="K211" s="215"/>
      <c r="L211" s="215"/>
      <c r="M211" s="213"/>
      <c r="N211" s="213"/>
      <c r="O211" s="213"/>
      <c r="P211" s="213"/>
      <c r="Q211" s="215"/>
      <c r="R211" s="372"/>
      <c r="S211" s="215"/>
      <c r="T211" s="616">
        <f t="shared" si="1"/>
        <v>0</v>
      </c>
      <c r="U211" s="633"/>
      <c r="V211" s="636"/>
      <c r="W211" s="636"/>
      <c r="X211" s="7"/>
      <c r="Y211" s="699"/>
      <c r="Z211" s="7"/>
      <c r="AA211" s="618">
        <f t="shared" si="19"/>
        <v>0</v>
      </c>
      <c r="AB211" s="7"/>
      <c r="AC211" s="7"/>
      <c r="AD211" s="7"/>
      <c r="AE211" s="7"/>
      <c r="AF211" s="7"/>
      <c r="AG211" s="7"/>
    </row>
    <row r="212" spans="1:33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3"/>
      <c r="I212" s="214"/>
      <c r="J212" s="214"/>
      <c r="K212" s="215"/>
      <c r="L212" s="215"/>
      <c r="M212" s="213"/>
      <c r="N212" s="213"/>
      <c r="O212" s="213"/>
      <c r="P212" s="213"/>
      <c r="Q212" s="215"/>
      <c r="R212" s="372"/>
      <c r="S212" s="215"/>
      <c r="T212" s="616">
        <f t="shared" si="1"/>
        <v>0</v>
      </c>
      <c r="U212" s="633"/>
      <c r="V212" s="636"/>
      <c r="W212" s="636"/>
      <c r="X212" s="7"/>
      <c r="Y212" s="699"/>
      <c r="Z212" s="7"/>
      <c r="AA212" s="618">
        <f t="shared" si="19"/>
        <v>0</v>
      </c>
      <c r="AB212" s="7"/>
      <c r="AC212" s="7"/>
      <c r="AD212" s="7"/>
      <c r="AE212" s="7"/>
      <c r="AF212" s="7"/>
      <c r="AG212" s="7"/>
    </row>
    <row r="213" spans="1:33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3"/>
      <c r="I213" s="214"/>
      <c r="J213" s="214"/>
      <c r="K213" s="215"/>
      <c r="L213" s="215"/>
      <c r="M213" s="213"/>
      <c r="N213" s="213"/>
      <c r="O213" s="213"/>
      <c r="P213" s="213"/>
      <c r="Q213" s="215"/>
      <c r="R213" s="372"/>
      <c r="S213" s="215"/>
      <c r="T213" s="616">
        <f t="shared" si="1"/>
        <v>0</v>
      </c>
      <c r="U213" s="633"/>
      <c r="V213" s="636"/>
      <c r="W213" s="636"/>
      <c r="X213" s="7"/>
      <c r="Y213" s="703"/>
      <c r="Z213" s="7"/>
      <c r="AA213" s="618">
        <f t="shared" si="19"/>
        <v>0</v>
      </c>
      <c r="AB213" s="7"/>
      <c r="AC213" s="7"/>
      <c r="AD213" s="7"/>
      <c r="AE213" s="7"/>
      <c r="AF213" s="7"/>
      <c r="AG213" s="7"/>
    </row>
    <row r="214" spans="1:33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3"/>
      <c r="I214" s="214"/>
      <c r="J214" s="214"/>
      <c r="K214" s="215"/>
      <c r="L214" s="215"/>
      <c r="M214" s="213"/>
      <c r="N214" s="213"/>
      <c r="O214" s="213"/>
      <c r="P214" s="213"/>
      <c r="Q214" s="215"/>
      <c r="R214" s="372"/>
      <c r="S214" s="215"/>
      <c r="T214" s="616">
        <f t="shared" si="1"/>
        <v>0</v>
      </c>
      <c r="U214" s="633"/>
      <c r="V214" s="636"/>
      <c r="W214" s="636"/>
      <c r="X214" s="7"/>
      <c r="Y214" s="699"/>
      <c r="Z214" s="7"/>
      <c r="AA214" s="618">
        <f t="shared" si="19"/>
        <v>0</v>
      </c>
      <c r="AB214" s="7"/>
      <c r="AC214" s="7"/>
      <c r="AD214" s="7"/>
      <c r="AE214" s="7"/>
      <c r="AF214" s="7"/>
      <c r="AG214" s="7"/>
    </row>
    <row r="215" spans="1:33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3"/>
      <c r="I215" s="214"/>
      <c r="J215" s="214"/>
      <c r="K215" s="215"/>
      <c r="L215" s="215"/>
      <c r="M215" s="213"/>
      <c r="N215" s="213"/>
      <c r="O215" s="213"/>
      <c r="P215" s="213"/>
      <c r="Q215" s="215"/>
      <c r="R215" s="372"/>
      <c r="S215" s="215"/>
      <c r="T215" s="616">
        <f t="shared" si="1"/>
        <v>0</v>
      </c>
      <c r="U215" s="633"/>
      <c r="V215" s="636"/>
      <c r="W215" s="636"/>
      <c r="X215" s="7"/>
      <c r="Y215" s="699"/>
      <c r="Z215" s="7"/>
      <c r="AA215" s="618">
        <f t="shared" si="19"/>
        <v>0</v>
      </c>
      <c r="AB215" s="7"/>
      <c r="AC215" s="7"/>
      <c r="AD215" s="7"/>
      <c r="AE215" s="7"/>
      <c r="AF215" s="7"/>
      <c r="AG215" s="7"/>
    </row>
    <row r="216" spans="1:33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3"/>
      <c r="I216" s="214"/>
      <c r="J216" s="214"/>
      <c r="K216" s="215"/>
      <c r="L216" s="215"/>
      <c r="M216" s="213"/>
      <c r="N216" s="213"/>
      <c r="O216" s="213">
        <v>1</v>
      </c>
      <c r="P216" s="213"/>
      <c r="Q216" s="215"/>
      <c r="R216" s="372"/>
      <c r="S216" s="215"/>
      <c r="T216" s="616">
        <f t="shared" si="1"/>
        <v>1</v>
      </c>
      <c r="U216" s="633"/>
      <c r="V216" s="636"/>
      <c r="W216" s="636"/>
      <c r="X216" s="7"/>
      <c r="Y216" s="699"/>
      <c r="Z216" s="7"/>
      <c r="AA216" s="618"/>
      <c r="AB216" s="7"/>
      <c r="AC216" s="7"/>
      <c r="AD216" s="7"/>
      <c r="AE216" s="7"/>
      <c r="AF216" s="7"/>
      <c r="AG216" s="7"/>
    </row>
    <row r="217" spans="1:33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3"/>
      <c r="I217" s="214"/>
      <c r="J217" s="214"/>
      <c r="K217" s="215"/>
      <c r="L217" s="215"/>
      <c r="M217" s="213"/>
      <c r="N217" s="213"/>
      <c r="O217" s="213"/>
      <c r="P217" s="213"/>
      <c r="Q217" s="215"/>
      <c r="R217" s="372"/>
      <c r="S217" s="215"/>
      <c r="T217" s="616">
        <f t="shared" si="1"/>
        <v>0</v>
      </c>
      <c r="U217" s="633"/>
      <c r="V217" s="636"/>
      <c r="W217" s="636"/>
      <c r="X217" s="7"/>
      <c r="Y217" s="699"/>
      <c r="Z217" s="7"/>
      <c r="AA217" s="618">
        <f t="shared" ref="AA217:AA218" si="20">Y217-T217</f>
        <v>0</v>
      </c>
      <c r="AB217" s="7"/>
      <c r="AC217" s="7"/>
      <c r="AD217" s="7"/>
      <c r="AE217" s="7"/>
      <c r="AF217" s="7"/>
      <c r="AG217" s="7"/>
    </row>
    <row r="218" spans="1:33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3"/>
      <c r="I218" s="214"/>
      <c r="J218" s="214"/>
      <c r="K218" s="215"/>
      <c r="L218" s="215"/>
      <c r="M218" s="213"/>
      <c r="N218" s="213"/>
      <c r="O218" s="213"/>
      <c r="P218" s="213"/>
      <c r="Q218" s="215"/>
      <c r="R218" s="372"/>
      <c r="S218" s="215"/>
      <c r="T218" s="616">
        <f t="shared" si="1"/>
        <v>0</v>
      </c>
      <c r="U218" s="633"/>
      <c r="V218" s="636"/>
      <c r="W218" s="636"/>
      <c r="X218" s="7"/>
      <c r="Y218" s="699"/>
      <c r="Z218" s="7"/>
      <c r="AA218" s="618">
        <f t="shared" si="20"/>
        <v>0</v>
      </c>
      <c r="AB218" s="7"/>
      <c r="AC218" s="7"/>
      <c r="AD218" s="7"/>
      <c r="AE218" s="7"/>
      <c r="AF218" s="7"/>
      <c r="AG218" s="7"/>
    </row>
    <row r="219" spans="1:33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3"/>
      <c r="I219" s="214"/>
      <c r="J219" s="214"/>
      <c r="K219" s="215"/>
      <c r="L219" s="215"/>
      <c r="M219" s="213"/>
      <c r="N219" s="213"/>
      <c r="O219" s="213"/>
      <c r="P219" s="213"/>
      <c r="Q219" s="215"/>
      <c r="R219" s="372">
        <v>2</v>
      </c>
      <c r="S219" s="215"/>
      <c r="T219" s="616">
        <f t="shared" si="1"/>
        <v>2</v>
      </c>
      <c r="U219" s="633"/>
      <c r="V219" s="636"/>
      <c r="W219" s="636"/>
      <c r="X219" s="7"/>
      <c r="Y219" s="699"/>
      <c r="Z219" s="7"/>
      <c r="AA219" s="618"/>
      <c r="AB219" s="7"/>
      <c r="AC219" s="7"/>
      <c r="AD219" s="7"/>
      <c r="AE219" s="7"/>
      <c r="AF219" s="7"/>
      <c r="AG219" s="7"/>
    </row>
    <row r="220" spans="1:33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3"/>
      <c r="I220" s="214"/>
      <c r="J220" s="214"/>
      <c r="K220" s="215"/>
      <c r="L220" s="215"/>
      <c r="M220" s="213"/>
      <c r="N220" s="213"/>
      <c r="O220" s="213"/>
      <c r="P220" s="213"/>
      <c r="Q220" s="215"/>
      <c r="R220" s="372"/>
      <c r="S220" s="215"/>
      <c r="T220" s="616">
        <f t="shared" si="1"/>
        <v>0</v>
      </c>
      <c r="U220" s="633"/>
      <c r="V220" s="636"/>
      <c r="W220" s="636"/>
      <c r="X220" s="7"/>
      <c r="Y220" s="699"/>
      <c r="Z220" s="7"/>
      <c r="AA220" s="618">
        <f>Y220-T220</f>
        <v>0</v>
      </c>
      <c r="AB220" s="7"/>
      <c r="AC220" s="7"/>
      <c r="AD220" s="7"/>
      <c r="AE220" s="7"/>
      <c r="AF220" s="7"/>
      <c r="AG220" s="7"/>
    </row>
    <row r="221" spans="1:33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3"/>
      <c r="I221" s="214"/>
      <c r="J221" s="214"/>
      <c r="K221" s="215"/>
      <c r="L221" s="215"/>
      <c r="M221" s="213"/>
      <c r="N221" s="213"/>
      <c r="O221" s="213"/>
      <c r="P221" s="213"/>
      <c r="Q221" s="215"/>
      <c r="R221" s="372"/>
      <c r="S221" s="215"/>
      <c r="T221" s="616">
        <f t="shared" si="1"/>
        <v>0</v>
      </c>
      <c r="U221" s="633"/>
      <c r="V221" s="634"/>
      <c r="W221" s="634"/>
      <c r="X221" s="7"/>
      <c r="Y221" s="699"/>
      <c r="Z221" s="7"/>
      <c r="AA221" s="618"/>
      <c r="AB221" s="7"/>
      <c r="AC221" s="7"/>
      <c r="AD221" s="7"/>
      <c r="AE221" s="7"/>
      <c r="AF221" s="7"/>
      <c r="AG221" s="7"/>
    </row>
    <row r="222" spans="1:33" ht="20.25" customHeight="1">
      <c r="A222" s="482" t="s">
        <v>1007</v>
      </c>
      <c r="B222" s="483" t="s">
        <v>502</v>
      </c>
      <c r="C222" s="629" t="s">
        <v>503</v>
      </c>
      <c r="D222" s="504" t="s">
        <v>2435</v>
      </c>
      <c r="E222" s="213"/>
      <c r="F222" s="213"/>
      <c r="G222" s="213"/>
      <c r="H222" s="213"/>
      <c r="I222" s="214"/>
      <c r="J222" s="214"/>
      <c r="K222" s="215"/>
      <c r="L222" s="215"/>
      <c r="M222" s="213"/>
      <c r="N222" s="213"/>
      <c r="O222" s="213">
        <v>100</v>
      </c>
      <c r="P222" s="213"/>
      <c r="Q222" s="215"/>
      <c r="R222" s="372"/>
      <c r="S222" s="215"/>
      <c r="T222" s="616">
        <f t="shared" si="1"/>
        <v>100</v>
      </c>
      <c r="U222" s="633"/>
      <c r="V222" s="634"/>
      <c r="W222" s="634"/>
      <c r="X222" s="7"/>
      <c r="Y222" s="699"/>
      <c r="Z222" s="7"/>
      <c r="AA222" s="618"/>
      <c r="AB222" s="7"/>
      <c r="AC222" s="7"/>
      <c r="AD222" s="7"/>
      <c r="AE222" s="7"/>
      <c r="AF222" s="7"/>
      <c r="AG222" s="7"/>
    </row>
    <row r="223" spans="1:33" ht="20.25" customHeight="1">
      <c r="A223" s="482"/>
      <c r="B223" s="483" t="s">
        <v>506</v>
      </c>
      <c r="C223" s="629" t="s">
        <v>507</v>
      </c>
      <c r="D223" s="485" t="s">
        <v>2436</v>
      </c>
      <c r="E223" s="213"/>
      <c r="F223" s="213"/>
      <c r="G223" s="213"/>
      <c r="H223" s="213"/>
      <c r="I223" s="214"/>
      <c r="J223" s="214"/>
      <c r="K223" s="215"/>
      <c r="L223" s="215"/>
      <c r="M223" s="213"/>
      <c r="N223" s="213"/>
      <c r="O223" s="213"/>
      <c r="P223" s="213"/>
      <c r="Q223" s="215"/>
      <c r="R223" s="372"/>
      <c r="S223" s="215"/>
      <c r="T223" s="616">
        <f t="shared" si="1"/>
        <v>0</v>
      </c>
      <c r="U223" s="633"/>
      <c r="V223" s="634"/>
      <c r="W223" s="634"/>
      <c r="X223" s="7"/>
      <c r="Y223" s="699"/>
      <c r="Z223" s="7"/>
      <c r="AA223" s="618">
        <f t="shared" ref="AA223:AA232" si="21">Y223-T223</f>
        <v>0</v>
      </c>
      <c r="AB223" s="7"/>
      <c r="AC223" s="7"/>
      <c r="AD223" s="7"/>
      <c r="AE223" s="7"/>
      <c r="AF223" s="7"/>
      <c r="AG223" s="7"/>
    </row>
    <row r="224" spans="1:33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3"/>
      <c r="I224" s="214"/>
      <c r="J224" s="214"/>
      <c r="K224" s="215"/>
      <c r="L224" s="215"/>
      <c r="M224" s="213"/>
      <c r="N224" s="213"/>
      <c r="O224" s="213"/>
      <c r="P224" s="213"/>
      <c r="Q224" s="215"/>
      <c r="R224" s="372"/>
      <c r="S224" s="215"/>
      <c r="T224" s="616">
        <f t="shared" si="1"/>
        <v>0</v>
      </c>
      <c r="U224" s="633"/>
      <c r="V224" s="636"/>
      <c r="W224" s="636"/>
      <c r="X224" s="7"/>
      <c r="Y224" s="699"/>
      <c r="Z224" s="7"/>
      <c r="AA224" s="618">
        <f t="shared" si="21"/>
        <v>0</v>
      </c>
      <c r="AB224" s="7"/>
      <c r="AC224" s="7"/>
      <c r="AD224" s="7"/>
      <c r="AE224" s="7"/>
      <c r="AF224" s="7"/>
      <c r="AG224" s="7"/>
    </row>
    <row r="225" spans="1:33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3"/>
      <c r="I225" s="214"/>
      <c r="J225" s="214"/>
      <c r="K225" s="215"/>
      <c r="L225" s="215"/>
      <c r="M225" s="213"/>
      <c r="N225" s="213"/>
      <c r="O225" s="213"/>
      <c r="P225" s="213"/>
      <c r="Q225" s="215"/>
      <c r="R225" s="372"/>
      <c r="S225" s="215"/>
      <c r="T225" s="616">
        <f t="shared" si="1"/>
        <v>0</v>
      </c>
      <c r="U225" s="660" t="s">
        <v>1594</v>
      </c>
      <c r="V225" s="640"/>
      <c r="W225" s="640"/>
      <c r="X225" s="7"/>
      <c r="Y225" s="699"/>
      <c r="Z225" s="7"/>
      <c r="AA225" s="618">
        <f t="shared" si="21"/>
        <v>0</v>
      </c>
      <c r="AB225" s="7"/>
      <c r="AC225" s="7"/>
      <c r="AD225" s="7"/>
      <c r="AE225" s="7"/>
      <c r="AF225" s="7"/>
      <c r="AG225" s="7"/>
    </row>
    <row r="226" spans="1:33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3"/>
      <c r="I226" s="214"/>
      <c r="J226" s="214"/>
      <c r="K226" s="215"/>
      <c r="L226" s="215"/>
      <c r="M226" s="213"/>
      <c r="N226" s="213"/>
      <c r="O226" s="213"/>
      <c r="P226" s="213"/>
      <c r="Q226" s="215"/>
      <c r="R226" s="372"/>
      <c r="S226" s="215"/>
      <c r="T226" s="616">
        <f t="shared" si="1"/>
        <v>0</v>
      </c>
      <c r="U226" s="642">
        <f>T227+T237</f>
        <v>1689</v>
      </c>
      <c r="V226" s="636"/>
      <c r="W226" s="636"/>
      <c r="X226" s="7"/>
      <c r="Y226" s="699"/>
      <c r="Z226" s="7"/>
      <c r="AA226" s="618">
        <f t="shared" si="21"/>
        <v>0</v>
      </c>
      <c r="AB226" s="7"/>
      <c r="AC226" s="7"/>
      <c r="AD226" s="7"/>
      <c r="AE226" s="7"/>
      <c r="AF226" s="7"/>
      <c r="AG226" s="7"/>
    </row>
    <row r="227" spans="1:33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3"/>
      <c r="I227" s="214"/>
      <c r="J227" s="214"/>
      <c r="K227" s="215"/>
      <c r="L227" s="215"/>
      <c r="M227" s="213"/>
      <c r="N227" s="213"/>
      <c r="O227" s="213"/>
      <c r="P227" s="213"/>
      <c r="Q227" s="215"/>
      <c r="R227" s="372"/>
      <c r="S227" s="215"/>
      <c r="T227" s="616">
        <f t="shared" si="1"/>
        <v>0</v>
      </c>
      <c r="U227" s="648"/>
      <c r="V227" s="648"/>
      <c r="W227" s="648"/>
      <c r="X227" s="7"/>
      <c r="Y227" s="699"/>
      <c r="Z227" s="7"/>
      <c r="AA227" s="618">
        <f t="shared" si="21"/>
        <v>0</v>
      </c>
      <c r="AB227" s="7"/>
      <c r="AC227" s="7"/>
      <c r="AD227" s="7"/>
      <c r="AE227" s="7"/>
      <c r="AF227" s="7"/>
      <c r="AG227" s="7"/>
    </row>
    <row r="228" spans="1:33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3"/>
      <c r="I228" s="214"/>
      <c r="J228" s="214"/>
      <c r="K228" s="215"/>
      <c r="L228" s="215"/>
      <c r="M228" s="213"/>
      <c r="N228" s="213"/>
      <c r="O228" s="213"/>
      <c r="P228" s="213"/>
      <c r="Q228" s="215"/>
      <c r="R228" s="372"/>
      <c r="S228" s="215"/>
      <c r="T228" s="616">
        <f t="shared" si="1"/>
        <v>0</v>
      </c>
      <c r="U228" s="661" t="s">
        <v>1595</v>
      </c>
      <c r="V228" s="648"/>
      <c r="W228" s="648"/>
      <c r="X228" s="7"/>
      <c r="Y228" s="699"/>
      <c r="Z228" s="7"/>
      <c r="AA228" s="618">
        <f t="shared" si="21"/>
        <v>0</v>
      </c>
      <c r="AB228" s="7"/>
      <c r="AC228" s="7"/>
      <c r="AD228" s="7"/>
      <c r="AE228" s="7"/>
      <c r="AF228" s="7"/>
      <c r="AG228" s="7"/>
    </row>
    <row r="229" spans="1:33" ht="19.5" customHeight="1">
      <c r="A229" s="503"/>
      <c r="B229" s="483" t="s">
        <v>523</v>
      </c>
      <c r="C229" s="629" t="s">
        <v>524</v>
      </c>
      <c r="D229" s="504" t="s">
        <v>2437</v>
      </c>
      <c r="E229" s="213"/>
      <c r="F229" s="213"/>
      <c r="G229" s="213"/>
      <c r="H229" s="213"/>
      <c r="I229" s="214"/>
      <c r="J229" s="214"/>
      <c r="K229" s="215"/>
      <c r="L229" s="215"/>
      <c r="M229" s="213"/>
      <c r="N229" s="213"/>
      <c r="O229" s="213"/>
      <c r="P229" s="213"/>
      <c r="Q229" s="215"/>
      <c r="R229" s="372"/>
      <c r="S229" s="215"/>
      <c r="T229" s="616">
        <f t="shared" si="1"/>
        <v>0</v>
      </c>
      <c r="U229" s="642">
        <f>T229+T230+T239+T240</f>
        <v>3948</v>
      </c>
      <c r="V229" s="648"/>
      <c r="W229" s="648"/>
      <c r="X229" s="7"/>
      <c r="Y229" s="699"/>
      <c r="Z229" s="7"/>
      <c r="AA229" s="618">
        <f t="shared" si="21"/>
        <v>0</v>
      </c>
      <c r="AB229" s="7"/>
      <c r="AC229" s="7"/>
      <c r="AD229" s="7"/>
      <c r="AE229" s="7"/>
      <c r="AF229" s="7"/>
      <c r="AG229" s="7"/>
    </row>
    <row r="230" spans="1:33" ht="20.25" customHeight="1">
      <c r="A230" s="503"/>
      <c r="B230" s="483" t="s">
        <v>526</v>
      </c>
      <c r="C230" s="629" t="s">
        <v>527</v>
      </c>
      <c r="D230" s="504" t="s">
        <v>2438</v>
      </c>
      <c r="E230" s="213"/>
      <c r="F230" s="213"/>
      <c r="G230" s="213"/>
      <c r="H230" s="213"/>
      <c r="I230" s="214"/>
      <c r="J230" s="214"/>
      <c r="K230" s="215"/>
      <c r="L230" s="215"/>
      <c r="M230" s="213"/>
      <c r="N230" s="213"/>
      <c r="O230" s="213"/>
      <c r="P230" s="213"/>
      <c r="Q230" s="215"/>
      <c r="R230" s="372"/>
      <c r="S230" s="215"/>
      <c r="T230" s="616">
        <f t="shared" si="1"/>
        <v>0</v>
      </c>
      <c r="U230" s="633"/>
      <c r="V230" s="648"/>
      <c r="W230" s="648"/>
      <c r="X230" s="7"/>
      <c r="Y230" s="699"/>
      <c r="Z230" s="7"/>
      <c r="AA230" s="618">
        <f t="shared" si="21"/>
        <v>0</v>
      </c>
      <c r="AB230" s="7"/>
      <c r="AC230" s="7"/>
      <c r="AD230" s="7"/>
      <c r="AE230" s="7"/>
      <c r="AF230" s="7"/>
      <c r="AG230" s="7"/>
    </row>
    <row r="231" spans="1:33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3"/>
      <c r="I231" s="214"/>
      <c r="J231" s="214"/>
      <c r="K231" s="215"/>
      <c r="L231" s="215"/>
      <c r="M231" s="213"/>
      <c r="N231" s="213"/>
      <c r="O231" s="213"/>
      <c r="P231" s="213"/>
      <c r="Q231" s="215"/>
      <c r="R231" s="372"/>
      <c r="S231" s="215"/>
      <c r="T231" s="616">
        <f t="shared" si="1"/>
        <v>0</v>
      </c>
      <c r="U231" s="633"/>
      <c r="V231" s="648"/>
      <c r="W231" s="648"/>
      <c r="X231" s="7"/>
      <c r="Y231" s="699"/>
      <c r="Z231" s="7"/>
      <c r="AA231" s="618">
        <f t="shared" si="21"/>
        <v>0</v>
      </c>
      <c r="AB231" s="7"/>
      <c r="AC231" s="7"/>
      <c r="AD231" s="7"/>
      <c r="AE231" s="7"/>
      <c r="AF231" s="7"/>
      <c r="AG231" s="7"/>
    </row>
    <row r="232" spans="1:33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3"/>
      <c r="I232" s="214"/>
      <c r="J232" s="214"/>
      <c r="K232" s="215"/>
      <c r="L232" s="215"/>
      <c r="M232" s="213"/>
      <c r="N232" s="213"/>
      <c r="O232" s="213"/>
      <c r="P232" s="213"/>
      <c r="Q232" s="215"/>
      <c r="R232" s="372"/>
      <c r="S232" s="215"/>
      <c r="T232" s="616">
        <f t="shared" si="1"/>
        <v>0</v>
      </c>
      <c r="U232" s="633"/>
      <c r="V232" s="648"/>
      <c r="W232" s="648"/>
      <c r="X232" s="7"/>
      <c r="Y232" s="699"/>
      <c r="Z232" s="7"/>
      <c r="AA232" s="618">
        <f t="shared" si="21"/>
        <v>0</v>
      </c>
      <c r="AB232" s="7"/>
      <c r="AC232" s="7"/>
      <c r="AD232" s="7"/>
      <c r="AE232" s="7"/>
      <c r="AF232" s="7"/>
      <c r="AG232" s="7"/>
    </row>
    <row r="233" spans="1:33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3"/>
      <c r="I233" s="214"/>
      <c r="J233" s="214"/>
      <c r="K233" s="215"/>
      <c r="L233" s="215"/>
      <c r="M233" s="213"/>
      <c r="N233" s="213"/>
      <c r="O233" s="213"/>
      <c r="P233" s="213"/>
      <c r="Q233" s="215"/>
      <c r="R233" s="372"/>
      <c r="S233" s="215"/>
      <c r="T233" s="616">
        <f t="shared" si="1"/>
        <v>0</v>
      </c>
      <c r="U233" s="633"/>
      <c r="V233" s="648"/>
      <c r="W233" s="648"/>
      <c r="X233" s="7"/>
      <c r="Y233" s="699"/>
      <c r="Z233" s="7"/>
      <c r="AA233" s="618"/>
      <c r="AB233" s="7"/>
      <c r="AC233" s="7"/>
      <c r="AD233" s="7"/>
      <c r="AE233" s="7"/>
      <c r="AF233" s="7"/>
      <c r="AG233" s="7"/>
    </row>
    <row r="234" spans="1:33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3"/>
      <c r="I234" s="214"/>
      <c r="J234" s="214"/>
      <c r="K234" s="215"/>
      <c r="L234" s="215"/>
      <c r="M234" s="213"/>
      <c r="N234" s="213"/>
      <c r="O234" s="213"/>
      <c r="P234" s="213"/>
      <c r="Q234" s="215"/>
      <c r="R234" s="372"/>
      <c r="S234" s="215"/>
      <c r="T234" s="616">
        <f t="shared" si="1"/>
        <v>0</v>
      </c>
      <c r="U234" s="633"/>
      <c r="V234" s="648"/>
      <c r="W234" s="648"/>
      <c r="X234" s="7"/>
      <c r="Y234" s="699"/>
      <c r="Z234" s="7"/>
      <c r="AA234" s="618">
        <f t="shared" ref="AA234:AA235" si="22">Y234-T234</f>
        <v>0</v>
      </c>
      <c r="AB234" s="7"/>
      <c r="AC234" s="7"/>
      <c r="AD234" s="7"/>
      <c r="AE234" s="7"/>
      <c r="AF234" s="7"/>
      <c r="AG234" s="7"/>
    </row>
    <row r="235" spans="1:33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3"/>
      <c r="I235" s="214"/>
      <c r="J235" s="214"/>
      <c r="K235" s="215"/>
      <c r="L235" s="215"/>
      <c r="M235" s="213"/>
      <c r="N235" s="213"/>
      <c r="O235" s="213"/>
      <c r="P235" s="213"/>
      <c r="Q235" s="215"/>
      <c r="R235" s="372"/>
      <c r="S235" s="215"/>
      <c r="T235" s="616">
        <f t="shared" si="1"/>
        <v>0</v>
      </c>
      <c r="U235" s="633"/>
      <c r="V235" s="648"/>
      <c r="W235" s="648"/>
      <c r="X235" s="7"/>
      <c r="Y235" s="699"/>
      <c r="Z235" s="7"/>
      <c r="AA235" s="618">
        <f t="shared" si="22"/>
        <v>0</v>
      </c>
      <c r="AB235" s="7"/>
      <c r="AC235" s="7"/>
      <c r="AD235" s="7"/>
      <c r="AE235" s="7"/>
      <c r="AF235" s="7"/>
      <c r="AG235" s="7"/>
    </row>
    <row r="236" spans="1:33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3"/>
      <c r="I236" s="214"/>
      <c r="J236" s="214"/>
      <c r="K236" s="215"/>
      <c r="L236" s="215"/>
      <c r="M236" s="213"/>
      <c r="N236" s="213"/>
      <c r="O236" s="213"/>
      <c r="P236" s="213"/>
      <c r="Q236" s="215"/>
      <c r="R236" s="372"/>
      <c r="S236" s="215"/>
      <c r="T236" s="616">
        <f t="shared" si="1"/>
        <v>0</v>
      </c>
      <c r="U236" s="633"/>
      <c r="V236" s="636"/>
      <c r="W236" s="636"/>
      <c r="X236" s="7"/>
      <c r="Y236" s="699"/>
      <c r="Z236" s="7"/>
      <c r="AA236" s="618"/>
      <c r="AB236" s="7"/>
      <c r="AC236" s="7"/>
      <c r="AD236" s="7"/>
      <c r="AE236" s="7"/>
      <c r="AF236" s="7"/>
      <c r="AG236" s="7"/>
    </row>
    <row r="237" spans="1:33" ht="20.25" customHeight="1">
      <c r="A237" s="503"/>
      <c r="B237" s="483" t="s">
        <v>548</v>
      </c>
      <c r="C237" s="629" t="s">
        <v>447</v>
      </c>
      <c r="D237" s="504" t="s">
        <v>424</v>
      </c>
      <c r="E237" s="213">
        <v>25</v>
      </c>
      <c r="F237" s="213"/>
      <c r="G237" s="213">
        <v>5</v>
      </c>
      <c r="H237" s="213"/>
      <c r="I237" s="214"/>
      <c r="J237" s="214"/>
      <c r="K237" s="215"/>
      <c r="L237" s="215"/>
      <c r="M237" s="213"/>
      <c r="N237" s="213"/>
      <c r="O237" s="213">
        <v>1509</v>
      </c>
      <c r="P237" s="213"/>
      <c r="Q237" s="215">
        <v>75</v>
      </c>
      <c r="R237" s="372">
        <f>40+10+25</f>
        <v>75</v>
      </c>
      <c r="S237" s="215"/>
      <c r="T237" s="616">
        <f t="shared" si="1"/>
        <v>1689</v>
      </c>
      <c r="U237" s="633"/>
      <c r="V237" s="648"/>
      <c r="W237" s="648"/>
      <c r="X237" s="7"/>
      <c r="Y237" s="699"/>
      <c r="Z237" s="7"/>
      <c r="AA237" s="618"/>
      <c r="AB237" s="7"/>
      <c r="AC237" s="7"/>
      <c r="AD237" s="7"/>
      <c r="AE237" s="7"/>
      <c r="AF237" s="7"/>
      <c r="AG237" s="7"/>
    </row>
    <row r="238" spans="1:33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3"/>
      <c r="I238" s="214"/>
      <c r="J238" s="214"/>
      <c r="K238" s="215"/>
      <c r="L238" s="215"/>
      <c r="M238" s="213"/>
      <c r="N238" s="213"/>
      <c r="O238" s="213"/>
      <c r="P238" s="213"/>
      <c r="Q238" s="215"/>
      <c r="R238" s="372"/>
      <c r="S238" s="215"/>
      <c r="T238" s="616">
        <f t="shared" si="1"/>
        <v>0</v>
      </c>
      <c r="U238" s="633"/>
      <c r="V238" s="648"/>
      <c r="W238" s="648"/>
      <c r="X238" s="7"/>
      <c r="Y238" s="699"/>
      <c r="Z238" s="7"/>
      <c r="AA238" s="618"/>
      <c r="AB238" s="7"/>
      <c r="AC238" s="7"/>
      <c r="AD238" s="7"/>
      <c r="AE238" s="7"/>
      <c r="AF238" s="7"/>
      <c r="AG238" s="7"/>
    </row>
    <row r="239" spans="1:33" ht="20.25" customHeight="1">
      <c r="A239" s="503"/>
      <c r="B239" s="483" t="s">
        <v>551</v>
      </c>
      <c r="C239" s="629" t="s">
        <v>524</v>
      </c>
      <c r="D239" s="504" t="s">
        <v>2439</v>
      </c>
      <c r="E239" s="213"/>
      <c r="F239" s="213"/>
      <c r="G239" s="213"/>
      <c r="H239" s="213">
        <v>10</v>
      </c>
      <c r="I239" s="214"/>
      <c r="J239" s="214"/>
      <c r="K239" s="215"/>
      <c r="L239" s="215"/>
      <c r="M239" s="213"/>
      <c r="N239" s="213">
        <v>2000</v>
      </c>
      <c r="O239" s="213">
        <v>1768</v>
      </c>
      <c r="P239" s="213"/>
      <c r="Q239" s="215">
        <v>100</v>
      </c>
      <c r="R239" s="372">
        <f>50+20</f>
        <v>70</v>
      </c>
      <c r="S239" s="215"/>
      <c r="T239" s="616">
        <f t="shared" si="1"/>
        <v>3948</v>
      </c>
      <c r="U239" s="633"/>
      <c r="V239" s="648"/>
      <c r="W239" s="648"/>
      <c r="X239" s="7"/>
      <c r="Y239" s="699"/>
      <c r="Z239" s="7"/>
      <c r="AA239" s="618"/>
      <c r="AB239" s="7"/>
      <c r="AC239" s="7"/>
      <c r="AD239" s="7"/>
      <c r="AE239" s="7"/>
      <c r="AF239" s="7"/>
      <c r="AG239" s="7"/>
    </row>
    <row r="240" spans="1:33" ht="20.25" customHeight="1">
      <c r="A240" s="503"/>
      <c r="B240" s="483" t="s">
        <v>553</v>
      </c>
      <c r="C240" s="629" t="s">
        <v>527</v>
      </c>
      <c r="D240" s="504" t="s">
        <v>2440</v>
      </c>
      <c r="E240" s="213"/>
      <c r="F240" s="213"/>
      <c r="G240" s="213"/>
      <c r="H240" s="213"/>
      <c r="I240" s="214"/>
      <c r="J240" s="214"/>
      <c r="K240" s="215"/>
      <c r="L240" s="215"/>
      <c r="M240" s="213"/>
      <c r="N240" s="213"/>
      <c r="O240" s="213"/>
      <c r="P240" s="213"/>
      <c r="Q240" s="215"/>
      <c r="R240" s="372"/>
      <c r="S240" s="215"/>
      <c r="T240" s="616">
        <f t="shared" si="1"/>
        <v>0</v>
      </c>
      <c r="U240" s="633"/>
      <c r="V240" s="648"/>
      <c r="W240" s="648"/>
      <c r="X240" s="7"/>
      <c r="Y240" s="699"/>
      <c r="Z240" s="7"/>
      <c r="AA240" s="618">
        <f>Y240-T240</f>
        <v>0</v>
      </c>
      <c r="AB240" s="7"/>
      <c r="AC240" s="7"/>
      <c r="AD240" s="7"/>
      <c r="AE240" s="7"/>
      <c r="AF240" s="7"/>
      <c r="AG240" s="7"/>
    </row>
    <row r="241" spans="1:33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3"/>
      <c r="I241" s="214"/>
      <c r="J241" s="214"/>
      <c r="K241" s="215"/>
      <c r="L241" s="215"/>
      <c r="M241" s="213"/>
      <c r="N241" s="213"/>
      <c r="O241" s="213">
        <v>1</v>
      </c>
      <c r="P241" s="213"/>
      <c r="Q241" s="215"/>
      <c r="R241" s="372"/>
      <c r="S241" s="215"/>
      <c r="T241" s="616">
        <f t="shared" si="1"/>
        <v>1</v>
      </c>
      <c r="U241" s="633"/>
      <c r="V241" s="648"/>
      <c r="W241" s="648"/>
      <c r="X241" s="7"/>
      <c r="Y241" s="699"/>
      <c r="Z241" s="7"/>
      <c r="AA241" s="618"/>
      <c r="AB241" s="7"/>
      <c r="AC241" s="7"/>
      <c r="AD241" s="7"/>
      <c r="AE241" s="7"/>
      <c r="AF241" s="7"/>
      <c r="AG241" s="7"/>
    </row>
    <row r="242" spans="1:33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3"/>
      <c r="I242" s="214"/>
      <c r="J242" s="214"/>
      <c r="K242" s="215"/>
      <c r="L242" s="215"/>
      <c r="M242" s="213"/>
      <c r="N242" s="213"/>
      <c r="O242" s="213">
        <v>1</v>
      </c>
      <c r="P242" s="213"/>
      <c r="Q242" s="215"/>
      <c r="R242" s="372"/>
      <c r="S242" s="215"/>
      <c r="T242" s="616">
        <f t="shared" si="1"/>
        <v>1</v>
      </c>
      <c r="U242" s="633"/>
      <c r="V242" s="648"/>
      <c r="W242" s="648"/>
      <c r="X242" s="7"/>
      <c r="Y242" s="699"/>
      <c r="Z242" s="7"/>
      <c r="AA242" s="618"/>
      <c r="AB242" s="7"/>
      <c r="AC242" s="7"/>
      <c r="AD242" s="7"/>
      <c r="AE242" s="7"/>
      <c r="AF242" s="7"/>
      <c r="AG242" s="7"/>
    </row>
    <row r="243" spans="1:33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3"/>
      <c r="I243" s="214"/>
      <c r="J243" s="214"/>
      <c r="K243" s="215"/>
      <c r="L243" s="215"/>
      <c r="M243" s="213"/>
      <c r="N243" s="213"/>
      <c r="O243" s="213"/>
      <c r="P243" s="213"/>
      <c r="Q243" s="215">
        <v>3</v>
      </c>
      <c r="R243" s="372">
        <v>4</v>
      </c>
      <c r="S243" s="215"/>
      <c r="T243" s="616">
        <f t="shared" si="1"/>
        <v>7</v>
      </c>
      <c r="U243" s="633"/>
      <c r="V243" s="648"/>
      <c r="W243" s="648"/>
      <c r="X243" s="7"/>
      <c r="Y243" s="699"/>
      <c r="Z243" s="7"/>
      <c r="AA243" s="618"/>
      <c r="AB243" s="7"/>
      <c r="AC243" s="7"/>
      <c r="AD243" s="7"/>
      <c r="AE243" s="7"/>
      <c r="AF243" s="7"/>
      <c r="AG243" s="7"/>
    </row>
    <row r="244" spans="1:33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3"/>
      <c r="I244" s="214"/>
      <c r="J244" s="214"/>
      <c r="K244" s="215"/>
      <c r="L244" s="215"/>
      <c r="M244" s="213"/>
      <c r="N244" s="213"/>
      <c r="O244" s="213"/>
      <c r="P244" s="213"/>
      <c r="Q244" s="215"/>
      <c r="R244" s="372"/>
      <c r="S244" s="215"/>
      <c r="T244" s="616">
        <f t="shared" si="1"/>
        <v>0</v>
      </c>
      <c r="U244" s="633"/>
      <c r="V244" s="648"/>
      <c r="W244" s="648"/>
      <c r="X244" s="7"/>
      <c r="Y244" s="699"/>
      <c r="Z244" s="7"/>
      <c r="AA244" s="618">
        <f t="shared" ref="AA244:AA250" si="23">Y244-T244</f>
        <v>0</v>
      </c>
      <c r="AB244" s="7"/>
      <c r="AC244" s="7"/>
      <c r="AD244" s="7"/>
      <c r="AE244" s="7"/>
      <c r="AF244" s="7"/>
      <c r="AG244" s="7"/>
    </row>
    <row r="245" spans="1:33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3"/>
      <c r="I245" s="214"/>
      <c r="J245" s="214"/>
      <c r="K245" s="215"/>
      <c r="L245" s="215"/>
      <c r="M245" s="213"/>
      <c r="N245" s="213"/>
      <c r="O245" s="213"/>
      <c r="P245" s="213"/>
      <c r="Q245" s="215"/>
      <c r="R245" s="372"/>
      <c r="S245" s="215"/>
      <c r="T245" s="616">
        <f t="shared" si="1"/>
        <v>0</v>
      </c>
      <c r="U245" s="633"/>
      <c r="V245" s="648"/>
      <c r="W245" s="648"/>
      <c r="X245" s="7"/>
      <c r="Y245" s="699"/>
      <c r="Z245" s="7"/>
      <c r="AA245" s="618">
        <f t="shared" si="23"/>
        <v>0</v>
      </c>
      <c r="AB245" s="7"/>
      <c r="AC245" s="7"/>
      <c r="AD245" s="7"/>
      <c r="AE245" s="7"/>
      <c r="AF245" s="7"/>
      <c r="AG245" s="7"/>
    </row>
    <row r="246" spans="1:33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3"/>
      <c r="I246" s="214"/>
      <c r="J246" s="214"/>
      <c r="K246" s="215"/>
      <c r="L246" s="215"/>
      <c r="M246" s="213"/>
      <c r="N246" s="213"/>
      <c r="O246" s="213"/>
      <c r="P246" s="213"/>
      <c r="Q246" s="215"/>
      <c r="R246" s="372"/>
      <c r="S246" s="215"/>
      <c r="T246" s="616">
        <f t="shared" si="1"/>
        <v>0</v>
      </c>
      <c r="U246" s="633"/>
      <c r="V246" s="636"/>
      <c r="W246" s="636"/>
      <c r="X246" s="7"/>
      <c r="Y246" s="699"/>
      <c r="Z246" s="7"/>
      <c r="AA246" s="618">
        <f t="shared" si="23"/>
        <v>0</v>
      </c>
      <c r="AB246" s="7"/>
      <c r="AC246" s="7"/>
      <c r="AD246" s="7"/>
      <c r="AE246" s="7"/>
      <c r="AF246" s="7"/>
      <c r="AG246" s="7"/>
    </row>
    <row r="247" spans="1:33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3"/>
      <c r="I247" s="214"/>
      <c r="J247" s="214"/>
      <c r="K247" s="215"/>
      <c r="L247" s="215"/>
      <c r="M247" s="213"/>
      <c r="N247" s="213"/>
      <c r="O247" s="213"/>
      <c r="P247" s="213"/>
      <c r="Q247" s="215"/>
      <c r="R247" s="372"/>
      <c r="S247" s="215"/>
      <c r="T247" s="616">
        <f t="shared" si="1"/>
        <v>0</v>
      </c>
      <c r="U247" s="633"/>
      <c r="V247" s="636"/>
      <c r="W247" s="636"/>
      <c r="X247" s="7"/>
      <c r="Y247" s="699"/>
      <c r="Z247" s="7"/>
      <c r="AA247" s="618">
        <f t="shared" si="23"/>
        <v>0</v>
      </c>
      <c r="AB247" s="7"/>
      <c r="AC247" s="7"/>
      <c r="AD247" s="7"/>
      <c r="AE247" s="7"/>
      <c r="AF247" s="7"/>
      <c r="AG247" s="7"/>
    </row>
    <row r="248" spans="1:33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3"/>
      <c r="I248" s="214"/>
      <c r="J248" s="214"/>
      <c r="K248" s="215"/>
      <c r="L248" s="215"/>
      <c r="M248" s="213"/>
      <c r="N248" s="213"/>
      <c r="O248" s="213"/>
      <c r="P248" s="213"/>
      <c r="Q248" s="215"/>
      <c r="R248" s="372"/>
      <c r="S248" s="215"/>
      <c r="T248" s="616">
        <f t="shared" si="1"/>
        <v>0</v>
      </c>
      <c r="U248" s="633"/>
      <c r="V248" s="636"/>
      <c r="W248" s="636"/>
      <c r="X248" s="7"/>
      <c r="Y248" s="699"/>
      <c r="Z248" s="7"/>
      <c r="AA248" s="618">
        <f t="shared" si="23"/>
        <v>0</v>
      </c>
      <c r="AB248" s="7"/>
      <c r="AC248" s="7"/>
      <c r="AD248" s="7"/>
      <c r="AE248" s="7"/>
      <c r="AF248" s="7"/>
      <c r="AG248" s="7"/>
    </row>
    <row r="249" spans="1:33" ht="20.25" customHeight="1">
      <c r="A249" s="503" t="s">
        <v>1020</v>
      </c>
      <c r="B249" s="483" t="s">
        <v>566</v>
      </c>
      <c r="C249" s="629" t="s">
        <v>567</v>
      </c>
      <c r="D249" s="485" t="s">
        <v>2441</v>
      </c>
      <c r="E249" s="213"/>
      <c r="F249" s="213"/>
      <c r="G249" s="213"/>
      <c r="H249" s="213"/>
      <c r="I249" s="214"/>
      <c r="J249" s="214"/>
      <c r="K249" s="215"/>
      <c r="L249" s="215"/>
      <c r="M249" s="213"/>
      <c r="N249" s="213"/>
      <c r="O249" s="213"/>
      <c r="P249" s="213"/>
      <c r="Q249" s="215"/>
      <c r="R249" s="372"/>
      <c r="S249" s="215"/>
      <c r="T249" s="616">
        <f t="shared" si="1"/>
        <v>0</v>
      </c>
      <c r="U249" s="633"/>
      <c r="V249" s="636"/>
      <c r="W249" s="636"/>
      <c r="X249" s="7"/>
      <c r="Y249" s="699"/>
      <c r="Z249" s="7"/>
      <c r="AA249" s="618">
        <f t="shared" si="23"/>
        <v>0</v>
      </c>
      <c r="AB249" s="7"/>
      <c r="AC249" s="7"/>
      <c r="AD249" s="7"/>
      <c r="AE249" s="7"/>
      <c r="AF249" s="7"/>
      <c r="AG249" s="7"/>
    </row>
    <row r="250" spans="1:33" ht="20.25" customHeight="1">
      <c r="A250" s="503" t="s">
        <v>1022</v>
      </c>
      <c r="B250" s="483" t="s">
        <v>569</v>
      </c>
      <c r="C250" s="629" t="s">
        <v>570</v>
      </c>
      <c r="D250" s="485" t="s">
        <v>2442</v>
      </c>
      <c r="E250" s="213"/>
      <c r="F250" s="213"/>
      <c r="G250" s="213"/>
      <c r="H250" s="213"/>
      <c r="I250" s="214"/>
      <c r="J250" s="214"/>
      <c r="K250" s="215"/>
      <c r="L250" s="215"/>
      <c r="M250" s="213"/>
      <c r="N250" s="213"/>
      <c r="O250" s="213"/>
      <c r="P250" s="213"/>
      <c r="Q250" s="215"/>
      <c r="R250" s="372"/>
      <c r="S250" s="215"/>
      <c r="T250" s="616">
        <f t="shared" si="1"/>
        <v>0</v>
      </c>
      <c r="U250" s="633"/>
      <c r="V250" s="636"/>
      <c r="W250" s="636"/>
      <c r="X250" s="7"/>
      <c r="Y250" s="699"/>
      <c r="Z250" s="7"/>
      <c r="AA250" s="618">
        <f t="shared" si="23"/>
        <v>0</v>
      </c>
      <c r="AB250" s="7"/>
      <c r="AC250" s="7"/>
      <c r="AD250" s="7"/>
      <c r="AE250" s="7"/>
      <c r="AF250" s="7"/>
      <c r="AG250" s="7"/>
    </row>
    <row r="251" spans="1:33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3"/>
      <c r="I251" s="214"/>
      <c r="J251" s="214"/>
      <c r="K251" s="215"/>
      <c r="L251" s="215"/>
      <c r="M251" s="213"/>
      <c r="N251" s="213"/>
      <c r="O251" s="213"/>
      <c r="P251" s="213"/>
      <c r="Q251" s="215"/>
      <c r="R251" s="372"/>
      <c r="S251" s="215"/>
      <c r="T251" s="616">
        <f t="shared" si="1"/>
        <v>0</v>
      </c>
      <c r="U251" s="633"/>
      <c r="V251" s="636"/>
      <c r="W251" s="636"/>
      <c r="X251" s="7"/>
      <c r="Y251" s="699"/>
      <c r="Z251" s="7"/>
      <c r="AA251" s="618"/>
      <c r="AB251" s="7"/>
      <c r="AC251" s="7"/>
      <c r="AD251" s="7"/>
      <c r="AE251" s="7"/>
      <c r="AF251" s="7"/>
      <c r="AG251" s="7"/>
    </row>
    <row r="252" spans="1:33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3"/>
      <c r="I252" s="214"/>
      <c r="J252" s="214"/>
      <c r="K252" s="215"/>
      <c r="L252" s="215"/>
      <c r="M252" s="213"/>
      <c r="N252" s="213"/>
      <c r="O252" s="213"/>
      <c r="P252" s="213"/>
      <c r="Q252" s="215"/>
      <c r="R252" s="372"/>
      <c r="S252" s="215"/>
      <c r="T252" s="616">
        <f t="shared" si="1"/>
        <v>0</v>
      </c>
      <c r="U252" s="633"/>
      <c r="V252" s="636"/>
      <c r="W252" s="636"/>
      <c r="X252" s="7"/>
      <c r="Y252" s="699"/>
      <c r="Z252" s="7"/>
      <c r="AA252" s="618">
        <f t="shared" ref="AA252:AA282" si="24">Y252-T252</f>
        <v>0</v>
      </c>
      <c r="AB252" s="7"/>
      <c r="AC252" s="7"/>
      <c r="AD252" s="7"/>
      <c r="AE252" s="7"/>
      <c r="AF252" s="7"/>
      <c r="AG252" s="7"/>
    </row>
    <row r="253" spans="1:33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3"/>
      <c r="I253" s="214"/>
      <c r="J253" s="214"/>
      <c r="K253" s="215"/>
      <c r="L253" s="215"/>
      <c r="M253" s="213"/>
      <c r="N253" s="213"/>
      <c r="O253" s="213"/>
      <c r="P253" s="213"/>
      <c r="Q253" s="215"/>
      <c r="R253" s="372"/>
      <c r="S253" s="215"/>
      <c r="T253" s="616">
        <f t="shared" si="1"/>
        <v>0</v>
      </c>
      <c r="U253" s="633"/>
      <c r="V253" s="636"/>
      <c r="W253" s="636"/>
      <c r="X253" s="7"/>
      <c r="Y253" s="699"/>
      <c r="Z253" s="7"/>
      <c r="AA253" s="618">
        <f t="shared" si="24"/>
        <v>0</v>
      </c>
      <c r="AB253" s="7"/>
      <c r="AC253" s="7"/>
      <c r="AD253" s="7"/>
      <c r="AE253" s="7"/>
      <c r="AF253" s="7"/>
      <c r="AG253" s="7"/>
    </row>
    <row r="254" spans="1:33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3"/>
      <c r="I254" s="214"/>
      <c r="J254" s="214"/>
      <c r="K254" s="215"/>
      <c r="L254" s="215"/>
      <c r="M254" s="213"/>
      <c r="N254" s="213"/>
      <c r="O254" s="213"/>
      <c r="P254" s="213"/>
      <c r="Q254" s="215"/>
      <c r="R254" s="372"/>
      <c r="S254" s="215"/>
      <c r="T254" s="616">
        <f t="shared" si="1"/>
        <v>0</v>
      </c>
      <c r="U254" s="633"/>
      <c r="V254" s="636"/>
      <c r="W254" s="636"/>
      <c r="X254" s="7"/>
      <c r="Y254" s="699"/>
      <c r="Z254" s="7"/>
      <c r="AA254" s="618">
        <f t="shared" si="24"/>
        <v>0</v>
      </c>
      <c r="AB254" s="7"/>
      <c r="AC254" s="7"/>
      <c r="AD254" s="7"/>
      <c r="AE254" s="7"/>
      <c r="AF254" s="7"/>
      <c r="AG254" s="7"/>
    </row>
    <row r="255" spans="1:33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3"/>
      <c r="I255" s="214"/>
      <c r="J255" s="214"/>
      <c r="K255" s="215"/>
      <c r="L255" s="215"/>
      <c r="M255" s="213"/>
      <c r="N255" s="213"/>
      <c r="O255" s="213"/>
      <c r="P255" s="213"/>
      <c r="Q255" s="215"/>
      <c r="R255" s="372"/>
      <c r="S255" s="215"/>
      <c r="T255" s="616">
        <f t="shared" si="1"/>
        <v>0</v>
      </c>
      <c r="U255" s="633"/>
      <c r="V255" s="636"/>
      <c r="W255" s="636"/>
      <c r="X255" s="7"/>
      <c r="Y255" s="699"/>
      <c r="Z255" s="7"/>
      <c r="AA255" s="618">
        <f t="shared" si="24"/>
        <v>0</v>
      </c>
      <c r="AB255" s="7"/>
      <c r="AC255" s="7"/>
      <c r="AD255" s="7"/>
      <c r="AE255" s="7"/>
      <c r="AF255" s="7"/>
      <c r="AG255" s="7"/>
    </row>
    <row r="256" spans="1:33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3"/>
      <c r="I256" s="214"/>
      <c r="J256" s="214"/>
      <c r="K256" s="215"/>
      <c r="L256" s="215"/>
      <c r="M256" s="213"/>
      <c r="N256" s="213"/>
      <c r="O256" s="213"/>
      <c r="P256" s="213"/>
      <c r="Q256" s="215"/>
      <c r="R256" s="372"/>
      <c r="S256" s="215"/>
      <c r="T256" s="616">
        <f t="shared" si="1"/>
        <v>0</v>
      </c>
      <c r="U256" s="633"/>
      <c r="V256" s="636"/>
      <c r="W256" s="636"/>
      <c r="X256" s="7"/>
      <c r="Y256" s="699"/>
      <c r="Z256" s="7"/>
      <c r="AA256" s="618">
        <f t="shared" si="24"/>
        <v>0</v>
      </c>
      <c r="AB256" s="7"/>
      <c r="AC256" s="7"/>
      <c r="AD256" s="7"/>
      <c r="AE256" s="7"/>
      <c r="AF256" s="7"/>
      <c r="AG256" s="7"/>
    </row>
    <row r="257" spans="1:33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3"/>
      <c r="I257" s="214"/>
      <c r="J257" s="214"/>
      <c r="K257" s="215"/>
      <c r="L257" s="215"/>
      <c r="M257" s="213"/>
      <c r="N257" s="213"/>
      <c r="O257" s="213"/>
      <c r="P257" s="213"/>
      <c r="Q257" s="215"/>
      <c r="R257" s="372"/>
      <c r="S257" s="215"/>
      <c r="T257" s="616">
        <f t="shared" si="1"/>
        <v>0</v>
      </c>
      <c r="U257" s="633"/>
      <c r="V257" s="648"/>
      <c r="W257" s="648"/>
      <c r="X257" s="7"/>
      <c r="Y257" s="699"/>
      <c r="Z257" s="7"/>
      <c r="AA257" s="618">
        <f t="shared" si="24"/>
        <v>0</v>
      </c>
      <c r="AB257" s="7"/>
      <c r="AC257" s="7"/>
      <c r="AD257" s="7"/>
      <c r="AE257" s="7"/>
      <c r="AF257" s="7"/>
      <c r="AG257" s="7"/>
    </row>
    <row r="258" spans="1:33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3"/>
      <c r="I258" s="214"/>
      <c r="J258" s="214"/>
      <c r="K258" s="215"/>
      <c r="L258" s="215"/>
      <c r="M258" s="213"/>
      <c r="N258" s="213"/>
      <c r="O258" s="213"/>
      <c r="P258" s="213"/>
      <c r="Q258" s="215"/>
      <c r="R258" s="372"/>
      <c r="S258" s="215"/>
      <c r="T258" s="616">
        <f t="shared" si="1"/>
        <v>0</v>
      </c>
      <c r="U258" s="633"/>
      <c r="V258" s="648"/>
      <c r="W258" s="648"/>
      <c r="X258" s="7"/>
      <c r="Y258" s="699"/>
      <c r="Z258" s="7"/>
      <c r="AA258" s="618">
        <f t="shared" si="24"/>
        <v>0</v>
      </c>
      <c r="AB258" s="7"/>
      <c r="AC258" s="7"/>
      <c r="AD258" s="7"/>
      <c r="AE258" s="7"/>
      <c r="AF258" s="7"/>
      <c r="AG258" s="7"/>
    </row>
    <row r="259" spans="1:33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3"/>
      <c r="I259" s="214"/>
      <c r="J259" s="214"/>
      <c r="K259" s="215"/>
      <c r="L259" s="215"/>
      <c r="M259" s="213"/>
      <c r="N259" s="213"/>
      <c r="O259" s="213"/>
      <c r="P259" s="213"/>
      <c r="Q259" s="215"/>
      <c r="R259" s="372"/>
      <c r="S259" s="215"/>
      <c r="T259" s="616">
        <f t="shared" si="1"/>
        <v>0</v>
      </c>
      <c r="U259" s="633"/>
      <c r="V259" s="648"/>
      <c r="W259" s="648"/>
      <c r="X259" s="7"/>
      <c r="Y259" s="699"/>
      <c r="Z259" s="7"/>
      <c r="AA259" s="618">
        <f t="shared" si="24"/>
        <v>0</v>
      </c>
      <c r="AB259" s="7"/>
      <c r="AC259" s="7"/>
      <c r="AD259" s="7"/>
      <c r="AE259" s="7"/>
      <c r="AF259" s="7"/>
      <c r="AG259" s="7"/>
    </row>
    <row r="260" spans="1:33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3"/>
      <c r="I260" s="214"/>
      <c r="J260" s="214"/>
      <c r="K260" s="215"/>
      <c r="L260" s="215"/>
      <c r="M260" s="213"/>
      <c r="N260" s="213"/>
      <c r="O260" s="213"/>
      <c r="P260" s="213"/>
      <c r="Q260" s="215"/>
      <c r="R260" s="372"/>
      <c r="S260" s="215"/>
      <c r="T260" s="616">
        <f t="shared" si="1"/>
        <v>0</v>
      </c>
      <c r="U260" s="633"/>
      <c r="V260" s="648"/>
      <c r="W260" s="648"/>
      <c r="X260" s="7"/>
      <c r="Y260" s="699"/>
      <c r="Z260" s="7"/>
      <c r="AA260" s="618">
        <f t="shared" si="24"/>
        <v>0</v>
      </c>
      <c r="AB260" s="7"/>
      <c r="AC260" s="7"/>
      <c r="AD260" s="7"/>
      <c r="AE260" s="7"/>
      <c r="AF260" s="7"/>
      <c r="AG260" s="7"/>
    </row>
    <row r="261" spans="1:33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3"/>
      <c r="I261" s="214"/>
      <c r="J261" s="214"/>
      <c r="K261" s="215"/>
      <c r="L261" s="215"/>
      <c r="M261" s="213"/>
      <c r="N261" s="213"/>
      <c r="O261" s="213"/>
      <c r="P261" s="213"/>
      <c r="Q261" s="215"/>
      <c r="R261" s="372"/>
      <c r="S261" s="215"/>
      <c r="T261" s="616">
        <f t="shared" si="1"/>
        <v>0</v>
      </c>
      <c r="U261" s="633"/>
      <c r="V261" s="648"/>
      <c r="W261" s="648"/>
      <c r="X261" s="7"/>
      <c r="Y261" s="699"/>
      <c r="Z261" s="7"/>
      <c r="AA261" s="618">
        <f t="shared" si="24"/>
        <v>0</v>
      </c>
      <c r="AB261" s="7"/>
      <c r="AC261" s="7"/>
      <c r="AD261" s="7"/>
      <c r="AE261" s="7"/>
      <c r="AF261" s="7"/>
      <c r="AG261" s="7"/>
    </row>
    <row r="262" spans="1:33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3"/>
      <c r="I262" s="214"/>
      <c r="J262" s="214"/>
      <c r="K262" s="215"/>
      <c r="L262" s="215"/>
      <c r="M262" s="213"/>
      <c r="N262" s="213"/>
      <c r="O262" s="213"/>
      <c r="P262" s="213"/>
      <c r="Q262" s="215"/>
      <c r="R262" s="372"/>
      <c r="S262" s="215"/>
      <c r="T262" s="616">
        <f t="shared" si="1"/>
        <v>0</v>
      </c>
      <c r="U262" s="633"/>
      <c r="V262" s="648"/>
      <c r="W262" s="648"/>
      <c r="X262" s="7"/>
      <c r="Y262" s="699"/>
      <c r="Z262" s="7"/>
      <c r="AA262" s="618">
        <f t="shared" si="24"/>
        <v>0</v>
      </c>
      <c r="AB262" s="7"/>
      <c r="AC262" s="7"/>
      <c r="AD262" s="7"/>
      <c r="AE262" s="7"/>
      <c r="AF262" s="7"/>
      <c r="AG262" s="7"/>
    </row>
    <row r="263" spans="1:33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3"/>
      <c r="I263" s="214"/>
      <c r="J263" s="214"/>
      <c r="K263" s="215"/>
      <c r="L263" s="215"/>
      <c r="M263" s="213"/>
      <c r="N263" s="213"/>
      <c r="O263" s="213"/>
      <c r="P263" s="213"/>
      <c r="Q263" s="215"/>
      <c r="R263" s="372"/>
      <c r="S263" s="215"/>
      <c r="T263" s="616">
        <f t="shared" si="1"/>
        <v>0</v>
      </c>
      <c r="U263" s="633"/>
      <c r="V263" s="636"/>
      <c r="W263" s="636"/>
      <c r="X263" s="7"/>
      <c r="Y263" s="699"/>
      <c r="Z263" s="7"/>
      <c r="AA263" s="618">
        <f t="shared" si="24"/>
        <v>0</v>
      </c>
      <c r="AB263" s="7"/>
      <c r="AC263" s="7"/>
      <c r="AD263" s="7"/>
      <c r="AE263" s="7"/>
      <c r="AF263" s="7"/>
      <c r="AG263" s="7"/>
    </row>
    <row r="264" spans="1:33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3"/>
      <c r="I264" s="214"/>
      <c r="J264" s="214"/>
      <c r="K264" s="215"/>
      <c r="L264" s="215"/>
      <c r="M264" s="213"/>
      <c r="N264" s="213"/>
      <c r="O264" s="213"/>
      <c r="P264" s="213"/>
      <c r="Q264" s="215"/>
      <c r="R264" s="372"/>
      <c r="S264" s="215"/>
      <c r="T264" s="616">
        <f t="shared" si="1"/>
        <v>0</v>
      </c>
      <c r="U264" s="633"/>
      <c r="V264" s="648"/>
      <c r="W264" s="648"/>
      <c r="X264" s="7"/>
      <c r="Y264" s="699"/>
      <c r="Z264" s="7"/>
      <c r="AA264" s="618">
        <f t="shared" si="24"/>
        <v>0</v>
      </c>
      <c r="AB264" s="7"/>
      <c r="AC264" s="7"/>
      <c r="AD264" s="7"/>
      <c r="AE264" s="7"/>
      <c r="AF264" s="7"/>
      <c r="AG264" s="7"/>
    </row>
    <row r="265" spans="1:33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3"/>
      <c r="I265" s="214"/>
      <c r="J265" s="214"/>
      <c r="K265" s="215"/>
      <c r="L265" s="215"/>
      <c r="M265" s="213"/>
      <c r="N265" s="213"/>
      <c r="O265" s="213"/>
      <c r="P265" s="213"/>
      <c r="Q265" s="215"/>
      <c r="R265" s="372"/>
      <c r="S265" s="215"/>
      <c r="T265" s="616">
        <f t="shared" si="1"/>
        <v>0</v>
      </c>
      <c r="U265" s="633"/>
      <c r="V265" s="648"/>
      <c r="W265" s="648"/>
      <c r="X265" s="7"/>
      <c r="Y265" s="699"/>
      <c r="Z265" s="7"/>
      <c r="AA265" s="618">
        <f t="shared" si="24"/>
        <v>0</v>
      </c>
      <c r="AB265" s="7"/>
      <c r="AC265" s="7"/>
      <c r="AD265" s="7"/>
      <c r="AE265" s="7"/>
      <c r="AF265" s="7"/>
      <c r="AG265" s="7"/>
    </row>
    <row r="266" spans="1:33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3"/>
      <c r="I266" s="214"/>
      <c r="J266" s="214"/>
      <c r="K266" s="215"/>
      <c r="L266" s="215"/>
      <c r="M266" s="213"/>
      <c r="N266" s="213"/>
      <c r="O266" s="213"/>
      <c r="P266" s="213"/>
      <c r="Q266" s="215"/>
      <c r="R266" s="372"/>
      <c r="S266" s="215"/>
      <c r="T266" s="616">
        <f t="shared" si="1"/>
        <v>0</v>
      </c>
      <c r="U266" s="633"/>
      <c r="V266" s="648"/>
      <c r="W266" s="648"/>
      <c r="X266" s="7"/>
      <c r="Y266" s="699"/>
      <c r="Z266" s="7"/>
      <c r="AA266" s="618">
        <f t="shared" si="24"/>
        <v>0</v>
      </c>
      <c r="AB266" s="7"/>
      <c r="AC266" s="7"/>
      <c r="AD266" s="7"/>
      <c r="AE266" s="7"/>
      <c r="AF266" s="7"/>
      <c r="AG266" s="7"/>
    </row>
    <row r="267" spans="1:33" ht="20.25" customHeight="1">
      <c r="A267" s="503" t="s">
        <v>605</v>
      </c>
      <c r="B267" s="483" t="s">
        <v>606</v>
      </c>
      <c r="C267" s="629" t="s">
        <v>593</v>
      </c>
      <c r="D267" s="485" t="s">
        <v>2443</v>
      </c>
      <c r="E267" s="213"/>
      <c r="F267" s="213"/>
      <c r="G267" s="213"/>
      <c r="H267" s="213"/>
      <c r="I267" s="214"/>
      <c r="J267" s="214"/>
      <c r="K267" s="215"/>
      <c r="L267" s="215"/>
      <c r="M267" s="213"/>
      <c r="N267" s="213"/>
      <c r="O267" s="213"/>
      <c r="P267" s="213"/>
      <c r="Q267" s="215"/>
      <c r="R267" s="372"/>
      <c r="S267" s="215"/>
      <c r="T267" s="616">
        <f t="shared" si="1"/>
        <v>0</v>
      </c>
      <c r="U267" s="633"/>
      <c r="V267" s="648"/>
      <c r="W267" s="648"/>
      <c r="X267" s="7"/>
      <c r="Y267" s="699"/>
      <c r="Z267" s="7"/>
      <c r="AA267" s="618">
        <f t="shared" si="24"/>
        <v>0</v>
      </c>
      <c r="AB267" s="7"/>
      <c r="AC267" s="7"/>
      <c r="AD267" s="7"/>
      <c r="AE267" s="7"/>
      <c r="AF267" s="7"/>
      <c r="AG267" s="7"/>
    </row>
    <row r="268" spans="1:33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3"/>
      <c r="I268" s="214"/>
      <c r="J268" s="214"/>
      <c r="K268" s="215"/>
      <c r="L268" s="215"/>
      <c r="M268" s="213"/>
      <c r="N268" s="213"/>
      <c r="O268" s="213"/>
      <c r="P268" s="213"/>
      <c r="Q268" s="215"/>
      <c r="R268" s="372"/>
      <c r="S268" s="215"/>
      <c r="T268" s="616">
        <f t="shared" si="1"/>
        <v>0</v>
      </c>
      <c r="U268" s="633"/>
      <c r="V268" s="648"/>
      <c r="W268" s="648"/>
      <c r="X268" s="7"/>
      <c r="Y268" s="699"/>
      <c r="Z268" s="7"/>
      <c r="AA268" s="618">
        <f t="shared" si="24"/>
        <v>0</v>
      </c>
      <c r="AB268" s="7"/>
      <c r="AC268" s="7"/>
      <c r="AD268" s="7"/>
      <c r="AE268" s="7"/>
      <c r="AF268" s="7"/>
      <c r="AG268" s="7"/>
    </row>
    <row r="269" spans="1:33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3"/>
      <c r="I269" s="214"/>
      <c r="J269" s="214"/>
      <c r="K269" s="215"/>
      <c r="L269" s="215"/>
      <c r="M269" s="213"/>
      <c r="N269" s="213"/>
      <c r="O269" s="213"/>
      <c r="P269" s="213"/>
      <c r="Q269" s="215"/>
      <c r="R269" s="372"/>
      <c r="S269" s="215"/>
      <c r="T269" s="616">
        <f t="shared" si="1"/>
        <v>0</v>
      </c>
      <c r="U269" s="633"/>
      <c r="V269" s="636"/>
      <c r="W269" s="636"/>
      <c r="X269" s="7"/>
      <c r="Y269" s="699"/>
      <c r="Z269" s="7"/>
      <c r="AA269" s="618">
        <f t="shared" si="24"/>
        <v>0</v>
      </c>
      <c r="AB269" s="7"/>
      <c r="AC269" s="7"/>
      <c r="AD269" s="7"/>
      <c r="AE269" s="7"/>
      <c r="AF269" s="7"/>
      <c r="AG269" s="7"/>
    </row>
    <row r="270" spans="1:33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3"/>
      <c r="I270" s="214"/>
      <c r="J270" s="214"/>
      <c r="K270" s="215"/>
      <c r="L270" s="215"/>
      <c r="M270" s="213"/>
      <c r="N270" s="213"/>
      <c r="O270" s="213"/>
      <c r="P270" s="213"/>
      <c r="Q270" s="215"/>
      <c r="R270" s="372"/>
      <c r="S270" s="215"/>
      <c r="T270" s="616">
        <f t="shared" si="1"/>
        <v>0</v>
      </c>
      <c r="U270" s="633"/>
      <c r="V270" s="648"/>
      <c r="W270" s="648"/>
      <c r="X270" s="7"/>
      <c r="Y270" s="699"/>
      <c r="Z270" s="7"/>
      <c r="AA270" s="618">
        <f t="shared" si="24"/>
        <v>0</v>
      </c>
      <c r="AB270" s="7"/>
      <c r="AC270" s="7"/>
      <c r="AD270" s="7"/>
      <c r="AE270" s="7"/>
      <c r="AF270" s="7"/>
      <c r="AG270" s="7"/>
    </row>
    <row r="271" spans="1:33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3"/>
      <c r="I271" s="214"/>
      <c r="J271" s="214"/>
      <c r="K271" s="215"/>
      <c r="L271" s="215"/>
      <c r="M271" s="213"/>
      <c r="N271" s="213"/>
      <c r="O271" s="213"/>
      <c r="P271" s="213"/>
      <c r="Q271" s="215"/>
      <c r="R271" s="372"/>
      <c r="S271" s="215"/>
      <c r="T271" s="616">
        <f t="shared" si="1"/>
        <v>0</v>
      </c>
      <c r="U271" s="633"/>
      <c r="V271" s="648"/>
      <c r="W271" s="648"/>
      <c r="X271" s="7"/>
      <c r="Y271" s="699"/>
      <c r="Z271" s="7"/>
      <c r="AA271" s="618">
        <f t="shared" si="24"/>
        <v>0</v>
      </c>
      <c r="AB271" s="7"/>
      <c r="AC271" s="7"/>
      <c r="AD271" s="7"/>
      <c r="AE271" s="7"/>
      <c r="AF271" s="7"/>
      <c r="AG271" s="7"/>
    </row>
    <row r="272" spans="1:33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3"/>
      <c r="I272" s="214"/>
      <c r="J272" s="214"/>
      <c r="K272" s="215"/>
      <c r="L272" s="215"/>
      <c r="M272" s="213"/>
      <c r="N272" s="213"/>
      <c r="O272" s="213"/>
      <c r="P272" s="213"/>
      <c r="Q272" s="215"/>
      <c r="R272" s="372"/>
      <c r="S272" s="215"/>
      <c r="T272" s="616">
        <f t="shared" si="1"/>
        <v>0</v>
      </c>
      <c r="U272" s="633"/>
      <c r="V272" s="648"/>
      <c r="W272" s="648"/>
      <c r="X272" s="7"/>
      <c r="Y272" s="699"/>
      <c r="Z272" s="7"/>
      <c r="AA272" s="618">
        <f t="shared" si="24"/>
        <v>0</v>
      </c>
      <c r="AB272" s="7"/>
      <c r="AC272" s="7"/>
      <c r="AD272" s="7"/>
      <c r="AE272" s="7"/>
      <c r="AF272" s="7"/>
      <c r="AG272" s="7"/>
    </row>
    <row r="273" spans="1:33" ht="20.25" customHeight="1">
      <c r="A273" s="503" t="s">
        <v>620</v>
      </c>
      <c r="B273" s="483" t="s">
        <v>621</v>
      </c>
      <c r="C273" s="629" t="s">
        <v>622</v>
      </c>
      <c r="D273" s="485" t="s">
        <v>2444</v>
      </c>
      <c r="E273" s="213"/>
      <c r="F273" s="213"/>
      <c r="G273" s="213"/>
      <c r="H273" s="213"/>
      <c r="I273" s="214"/>
      <c r="J273" s="214"/>
      <c r="K273" s="215"/>
      <c r="L273" s="215"/>
      <c r="M273" s="213"/>
      <c r="N273" s="213"/>
      <c r="O273" s="213"/>
      <c r="P273" s="213"/>
      <c r="Q273" s="215"/>
      <c r="R273" s="372"/>
      <c r="S273" s="215"/>
      <c r="T273" s="616">
        <f t="shared" si="1"/>
        <v>0</v>
      </c>
      <c r="U273" s="633"/>
      <c r="V273" s="648"/>
      <c r="W273" s="648"/>
      <c r="X273" s="7"/>
      <c r="Y273" s="699"/>
      <c r="Z273" s="7"/>
      <c r="AA273" s="618">
        <f t="shared" si="24"/>
        <v>0</v>
      </c>
      <c r="AB273" s="7"/>
      <c r="AC273" s="7"/>
      <c r="AD273" s="7"/>
      <c r="AE273" s="7"/>
      <c r="AF273" s="7"/>
      <c r="AG273" s="7"/>
    </row>
    <row r="274" spans="1:33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3"/>
      <c r="I274" s="214"/>
      <c r="J274" s="214"/>
      <c r="K274" s="215"/>
      <c r="L274" s="215"/>
      <c r="M274" s="213"/>
      <c r="N274" s="213"/>
      <c r="O274" s="213"/>
      <c r="P274" s="213"/>
      <c r="Q274" s="215"/>
      <c r="R274" s="372"/>
      <c r="S274" s="215"/>
      <c r="T274" s="616">
        <f t="shared" si="1"/>
        <v>0</v>
      </c>
      <c r="U274" s="633"/>
      <c r="V274" s="648"/>
      <c r="W274" s="648"/>
      <c r="X274" s="7"/>
      <c r="Y274" s="699"/>
      <c r="Z274" s="7"/>
      <c r="AA274" s="618">
        <f t="shared" si="24"/>
        <v>0</v>
      </c>
      <c r="AB274" s="7"/>
      <c r="AC274" s="7"/>
      <c r="AD274" s="7"/>
      <c r="AE274" s="7"/>
      <c r="AF274" s="7"/>
      <c r="AG274" s="7"/>
    </row>
    <row r="275" spans="1:33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3"/>
      <c r="I275" s="214"/>
      <c r="J275" s="214"/>
      <c r="K275" s="215"/>
      <c r="L275" s="215"/>
      <c r="M275" s="213"/>
      <c r="N275" s="213"/>
      <c r="O275" s="213"/>
      <c r="P275" s="213"/>
      <c r="Q275" s="215"/>
      <c r="R275" s="372"/>
      <c r="S275" s="215"/>
      <c r="T275" s="616">
        <f t="shared" ref="T275:T447" si="25">+SUM(E275:S275)</f>
        <v>0</v>
      </c>
      <c r="U275" s="633"/>
      <c r="V275" s="636"/>
      <c r="W275" s="636"/>
      <c r="X275" s="7"/>
      <c r="Y275" s="699"/>
      <c r="Z275" s="7"/>
      <c r="AA275" s="618">
        <f t="shared" si="24"/>
        <v>0</v>
      </c>
      <c r="AB275" s="7"/>
      <c r="AC275" s="7"/>
      <c r="AD275" s="7"/>
      <c r="AE275" s="7"/>
      <c r="AF275" s="7"/>
      <c r="AG275" s="7"/>
    </row>
    <row r="276" spans="1:33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3"/>
      <c r="I276" s="214"/>
      <c r="J276" s="214"/>
      <c r="K276" s="215"/>
      <c r="L276" s="215"/>
      <c r="M276" s="213"/>
      <c r="N276" s="213"/>
      <c r="O276" s="213"/>
      <c r="P276" s="213"/>
      <c r="Q276" s="215"/>
      <c r="R276" s="372"/>
      <c r="S276" s="215"/>
      <c r="T276" s="616">
        <f t="shared" si="25"/>
        <v>0</v>
      </c>
      <c r="U276" s="633"/>
      <c r="V276" s="648"/>
      <c r="W276" s="648"/>
      <c r="X276" s="7"/>
      <c r="Y276" s="699"/>
      <c r="Z276" s="7"/>
      <c r="AA276" s="618">
        <f t="shared" si="24"/>
        <v>0</v>
      </c>
      <c r="AB276" s="7"/>
      <c r="AC276" s="7"/>
      <c r="AD276" s="7"/>
      <c r="AE276" s="7"/>
      <c r="AF276" s="7"/>
      <c r="AG276" s="7"/>
    </row>
    <row r="277" spans="1:33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3"/>
      <c r="I277" s="214"/>
      <c r="J277" s="214"/>
      <c r="K277" s="215"/>
      <c r="L277" s="215"/>
      <c r="M277" s="213"/>
      <c r="N277" s="213"/>
      <c r="O277" s="213"/>
      <c r="P277" s="213"/>
      <c r="Q277" s="215"/>
      <c r="R277" s="372"/>
      <c r="S277" s="215"/>
      <c r="T277" s="616">
        <f t="shared" si="25"/>
        <v>0</v>
      </c>
      <c r="U277" s="633"/>
      <c r="V277" s="648"/>
      <c r="W277" s="648"/>
      <c r="X277" s="7"/>
      <c r="Y277" s="699"/>
      <c r="Z277" s="7"/>
      <c r="AA277" s="618">
        <f t="shared" si="24"/>
        <v>0</v>
      </c>
      <c r="AB277" s="7"/>
      <c r="AC277" s="7"/>
      <c r="AD277" s="7"/>
      <c r="AE277" s="7"/>
      <c r="AF277" s="7"/>
      <c r="AG277" s="7"/>
    </row>
    <row r="278" spans="1:33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3"/>
      <c r="I278" s="214"/>
      <c r="J278" s="214"/>
      <c r="K278" s="215"/>
      <c r="L278" s="215"/>
      <c r="M278" s="213"/>
      <c r="N278" s="213"/>
      <c r="O278" s="213"/>
      <c r="P278" s="213"/>
      <c r="Q278" s="215"/>
      <c r="R278" s="372"/>
      <c r="S278" s="215"/>
      <c r="T278" s="616">
        <f t="shared" si="25"/>
        <v>0</v>
      </c>
      <c r="U278" s="633"/>
      <c r="V278" s="648"/>
      <c r="W278" s="648"/>
      <c r="X278" s="7"/>
      <c r="Y278" s="699"/>
      <c r="Z278" s="7"/>
      <c r="AA278" s="618">
        <f t="shared" si="24"/>
        <v>0</v>
      </c>
      <c r="AB278" s="7"/>
      <c r="AC278" s="7"/>
      <c r="AD278" s="7"/>
      <c r="AE278" s="7"/>
      <c r="AF278" s="7"/>
      <c r="AG278" s="7"/>
    </row>
    <row r="279" spans="1:33" ht="20.25" customHeight="1">
      <c r="A279" s="503" t="s">
        <v>636</v>
      </c>
      <c r="B279" s="483" t="s">
        <v>637</v>
      </c>
      <c r="C279" s="629" t="s">
        <v>638</v>
      </c>
      <c r="D279" s="485" t="s">
        <v>2445</v>
      </c>
      <c r="E279" s="213"/>
      <c r="F279" s="213"/>
      <c r="G279" s="213"/>
      <c r="H279" s="213"/>
      <c r="I279" s="214"/>
      <c r="J279" s="214"/>
      <c r="K279" s="215"/>
      <c r="L279" s="215"/>
      <c r="M279" s="213"/>
      <c r="N279" s="213"/>
      <c r="O279" s="213"/>
      <c r="P279" s="213"/>
      <c r="Q279" s="215"/>
      <c r="R279" s="372"/>
      <c r="S279" s="215"/>
      <c r="T279" s="616">
        <f t="shared" si="25"/>
        <v>0</v>
      </c>
      <c r="U279" s="633"/>
      <c r="V279" s="648"/>
      <c r="W279" s="648"/>
      <c r="X279" s="7"/>
      <c r="Y279" s="699"/>
      <c r="Z279" s="7"/>
      <c r="AA279" s="618">
        <f t="shared" si="24"/>
        <v>0</v>
      </c>
      <c r="AB279" s="7"/>
      <c r="AC279" s="7"/>
      <c r="AD279" s="7"/>
      <c r="AE279" s="7"/>
      <c r="AF279" s="7"/>
      <c r="AG279" s="7"/>
    </row>
    <row r="280" spans="1:33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3"/>
      <c r="I280" s="214"/>
      <c r="J280" s="214"/>
      <c r="K280" s="215"/>
      <c r="L280" s="215"/>
      <c r="M280" s="213"/>
      <c r="N280" s="213"/>
      <c r="O280" s="213"/>
      <c r="P280" s="213"/>
      <c r="Q280" s="215"/>
      <c r="R280" s="372"/>
      <c r="S280" s="215"/>
      <c r="T280" s="616">
        <f t="shared" si="25"/>
        <v>0</v>
      </c>
      <c r="U280" s="633"/>
      <c r="V280" s="648"/>
      <c r="W280" s="648"/>
      <c r="X280" s="7"/>
      <c r="Y280" s="699"/>
      <c r="Z280" s="7"/>
      <c r="AA280" s="618">
        <f t="shared" si="24"/>
        <v>0</v>
      </c>
      <c r="AB280" s="7"/>
      <c r="AC280" s="7"/>
      <c r="AD280" s="7"/>
      <c r="AE280" s="7"/>
      <c r="AF280" s="7"/>
      <c r="AG280" s="7"/>
    </row>
    <row r="281" spans="1:33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3"/>
      <c r="I281" s="214"/>
      <c r="J281" s="214"/>
      <c r="K281" s="215"/>
      <c r="L281" s="215"/>
      <c r="M281" s="213"/>
      <c r="N281" s="213"/>
      <c r="O281" s="213"/>
      <c r="P281" s="213"/>
      <c r="Q281" s="215"/>
      <c r="R281" s="372"/>
      <c r="S281" s="215"/>
      <c r="T281" s="616">
        <f t="shared" si="25"/>
        <v>0</v>
      </c>
      <c r="U281" s="633"/>
      <c r="V281" s="648"/>
      <c r="W281" s="648"/>
      <c r="X281" s="7"/>
      <c r="Y281" s="699"/>
      <c r="Z281" s="7"/>
      <c r="AA281" s="618">
        <f t="shared" si="24"/>
        <v>0</v>
      </c>
      <c r="AB281" s="7"/>
      <c r="AC281" s="7"/>
      <c r="AD281" s="7"/>
      <c r="AE281" s="7"/>
      <c r="AF281" s="7"/>
      <c r="AG281" s="7"/>
    </row>
    <row r="282" spans="1:33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3"/>
      <c r="I282" s="214"/>
      <c r="J282" s="214"/>
      <c r="K282" s="215"/>
      <c r="L282" s="215"/>
      <c r="M282" s="213"/>
      <c r="N282" s="213"/>
      <c r="O282" s="213"/>
      <c r="P282" s="213"/>
      <c r="Q282" s="215"/>
      <c r="R282" s="372"/>
      <c r="S282" s="215"/>
      <c r="T282" s="616">
        <f t="shared" si="25"/>
        <v>0</v>
      </c>
      <c r="U282" s="633"/>
      <c r="V282" s="640"/>
      <c r="W282" s="640"/>
      <c r="X282" s="7"/>
      <c r="Y282" s="699"/>
      <c r="Z282" s="7"/>
      <c r="AA282" s="618">
        <f t="shared" si="24"/>
        <v>0</v>
      </c>
      <c r="AB282" s="7"/>
      <c r="AC282" s="7"/>
      <c r="AD282" s="7"/>
      <c r="AE282" s="7"/>
      <c r="AF282" s="7"/>
      <c r="AG282" s="7"/>
    </row>
    <row r="283" spans="1:33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3">
        <v>0.54</v>
      </c>
      <c r="I283" s="214"/>
      <c r="J283" s="214"/>
      <c r="K283" s="215"/>
      <c r="L283" s="215"/>
      <c r="M283" s="213"/>
      <c r="N283" s="213"/>
      <c r="O283" s="213">
        <v>28.7</v>
      </c>
      <c r="P283" s="213"/>
      <c r="Q283" s="215"/>
      <c r="R283" s="663"/>
      <c r="S283" s="215"/>
      <c r="T283" s="616">
        <f t="shared" si="25"/>
        <v>29.24</v>
      </c>
      <c r="U283" s="633"/>
      <c r="V283" s="636"/>
      <c r="W283" s="636"/>
      <c r="X283" s="7"/>
      <c r="Y283" s="699"/>
      <c r="Z283" s="7"/>
      <c r="AA283" s="618"/>
      <c r="AB283" s="7"/>
      <c r="AC283" s="7"/>
      <c r="AD283" s="7"/>
      <c r="AE283" s="7"/>
      <c r="AF283" s="7"/>
      <c r="AG283" s="7"/>
    </row>
    <row r="284" spans="1:33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3"/>
      <c r="I284" s="214"/>
      <c r="J284" s="214"/>
      <c r="K284" s="215"/>
      <c r="L284" s="215"/>
      <c r="M284" s="213"/>
      <c r="N284" s="213"/>
      <c r="O284" s="213"/>
      <c r="P284" s="213"/>
      <c r="Q284" s="215"/>
      <c r="R284" s="372"/>
      <c r="S284" s="215"/>
      <c r="T284" s="616">
        <f t="shared" si="25"/>
        <v>0</v>
      </c>
      <c r="U284" s="633"/>
      <c r="V284" s="654"/>
      <c r="W284" s="654"/>
      <c r="X284" s="7"/>
      <c r="Y284" s="699"/>
      <c r="Z284" s="7"/>
      <c r="AA284" s="618"/>
      <c r="AB284" s="7"/>
      <c r="AC284" s="7"/>
      <c r="AD284" s="7"/>
      <c r="AE284" s="7"/>
      <c r="AF284" s="7"/>
      <c r="AG284" s="7"/>
    </row>
    <row r="285" spans="1:33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3"/>
      <c r="I285" s="214"/>
      <c r="J285" s="214"/>
      <c r="K285" s="215"/>
      <c r="L285" s="215"/>
      <c r="M285" s="213"/>
      <c r="N285" s="213"/>
      <c r="O285" s="213"/>
      <c r="P285" s="213"/>
      <c r="Q285" s="215"/>
      <c r="R285" s="372"/>
      <c r="S285" s="215"/>
      <c r="T285" s="616">
        <f t="shared" si="25"/>
        <v>0</v>
      </c>
      <c r="U285" s="633"/>
      <c r="V285" s="654"/>
      <c r="W285" s="654"/>
      <c r="X285" s="7"/>
      <c r="Y285" s="699"/>
      <c r="Z285" s="7"/>
      <c r="AA285" s="618"/>
      <c r="AB285" s="7"/>
      <c r="AC285" s="7"/>
      <c r="AD285" s="7"/>
      <c r="AE285" s="7"/>
      <c r="AF285" s="7"/>
      <c r="AG285" s="7"/>
    </row>
    <row r="286" spans="1:33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3"/>
      <c r="I286" s="214"/>
      <c r="J286" s="214"/>
      <c r="K286" s="215"/>
      <c r="L286" s="215"/>
      <c r="M286" s="213"/>
      <c r="N286" s="213"/>
      <c r="O286" s="213"/>
      <c r="P286" s="213"/>
      <c r="Q286" s="215"/>
      <c r="R286" s="372"/>
      <c r="S286" s="215"/>
      <c r="T286" s="616">
        <f t="shared" si="25"/>
        <v>0</v>
      </c>
      <c r="U286" s="633"/>
      <c r="V286" s="654"/>
      <c r="W286" s="654"/>
      <c r="X286" s="7"/>
      <c r="Y286" s="699"/>
      <c r="Z286" s="7"/>
      <c r="AA286" s="618"/>
      <c r="AB286" s="7"/>
      <c r="AC286" s="7"/>
      <c r="AD286" s="7"/>
      <c r="AE286" s="7"/>
      <c r="AF286" s="7"/>
      <c r="AG286" s="7"/>
    </row>
    <row r="287" spans="1:33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3"/>
      <c r="I287" s="214"/>
      <c r="J287" s="214"/>
      <c r="K287" s="215"/>
      <c r="L287" s="215"/>
      <c r="M287" s="213"/>
      <c r="N287" s="213"/>
      <c r="O287" s="213"/>
      <c r="P287" s="213"/>
      <c r="Q287" s="215"/>
      <c r="R287" s="372"/>
      <c r="S287" s="215"/>
      <c r="T287" s="616">
        <f t="shared" si="25"/>
        <v>0</v>
      </c>
      <c r="U287" s="633"/>
      <c r="V287" s="654"/>
      <c r="W287" s="654"/>
      <c r="X287" s="7"/>
      <c r="Y287" s="699"/>
      <c r="Z287" s="7"/>
      <c r="AA287" s="618"/>
      <c r="AB287" s="7"/>
      <c r="AC287" s="7"/>
      <c r="AD287" s="7"/>
      <c r="AE287" s="7"/>
      <c r="AF287" s="7"/>
      <c r="AG287" s="7"/>
    </row>
    <row r="288" spans="1:33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3"/>
      <c r="I288" s="214"/>
      <c r="J288" s="214"/>
      <c r="K288" s="215"/>
      <c r="L288" s="215"/>
      <c r="M288" s="213"/>
      <c r="N288" s="213"/>
      <c r="O288" s="213"/>
      <c r="P288" s="213"/>
      <c r="Q288" s="215"/>
      <c r="R288" s="372"/>
      <c r="S288" s="215"/>
      <c r="T288" s="616">
        <f t="shared" si="25"/>
        <v>0</v>
      </c>
      <c r="U288" s="633"/>
      <c r="V288" s="654"/>
      <c r="W288" s="654"/>
      <c r="X288" s="7"/>
      <c r="Y288" s="699"/>
      <c r="Z288" s="7"/>
      <c r="AA288" s="618">
        <f t="shared" ref="AA288:AA329" si="26">Y288-T288</f>
        <v>0</v>
      </c>
      <c r="AB288" s="7"/>
      <c r="AC288" s="7"/>
      <c r="AD288" s="7"/>
      <c r="AE288" s="7"/>
      <c r="AF288" s="7"/>
      <c r="AG288" s="7"/>
    </row>
    <row r="289" spans="1:33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3"/>
      <c r="I289" s="214"/>
      <c r="J289" s="214"/>
      <c r="K289" s="215"/>
      <c r="L289" s="215"/>
      <c r="M289" s="213"/>
      <c r="N289" s="213"/>
      <c r="O289" s="213"/>
      <c r="P289" s="213"/>
      <c r="Q289" s="215"/>
      <c r="R289" s="372"/>
      <c r="S289" s="215"/>
      <c r="T289" s="616">
        <f t="shared" si="25"/>
        <v>0</v>
      </c>
      <c r="U289" s="633"/>
      <c r="V289" s="654"/>
      <c r="W289" s="654"/>
      <c r="X289" s="7"/>
      <c r="Y289" s="699"/>
      <c r="Z289" s="7"/>
      <c r="AA289" s="618">
        <f t="shared" si="26"/>
        <v>0</v>
      </c>
      <c r="AB289" s="7"/>
      <c r="AC289" s="7"/>
      <c r="AD289" s="7"/>
      <c r="AE289" s="7"/>
      <c r="AF289" s="7"/>
      <c r="AG289" s="7"/>
    </row>
    <row r="290" spans="1:33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3"/>
      <c r="I290" s="214"/>
      <c r="J290" s="214"/>
      <c r="K290" s="215"/>
      <c r="L290" s="215"/>
      <c r="M290" s="213"/>
      <c r="N290" s="213"/>
      <c r="O290" s="213"/>
      <c r="P290" s="213"/>
      <c r="Q290" s="215"/>
      <c r="R290" s="372"/>
      <c r="S290" s="215"/>
      <c r="T290" s="616">
        <f t="shared" si="25"/>
        <v>0</v>
      </c>
      <c r="U290" s="633"/>
      <c r="V290" s="648"/>
      <c r="W290" s="648"/>
      <c r="X290" s="7"/>
      <c r="Y290" s="699"/>
      <c r="Z290" s="7"/>
      <c r="AA290" s="618">
        <f t="shared" si="26"/>
        <v>0</v>
      </c>
      <c r="AB290" s="7"/>
      <c r="AC290" s="7"/>
      <c r="AD290" s="7"/>
      <c r="AE290" s="7"/>
      <c r="AF290" s="7"/>
      <c r="AG290" s="7"/>
    </row>
    <row r="291" spans="1:33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3"/>
      <c r="I291" s="214"/>
      <c r="J291" s="214"/>
      <c r="K291" s="215"/>
      <c r="L291" s="215"/>
      <c r="M291" s="213"/>
      <c r="N291" s="213"/>
      <c r="O291" s="213"/>
      <c r="P291" s="213"/>
      <c r="Q291" s="215"/>
      <c r="R291" s="372"/>
      <c r="S291" s="215"/>
      <c r="T291" s="616">
        <f t="shared" si="25"/>
        <v>0</v>
      </c>
      <c r="U291" s="633"/>
      <c r="V291" s="648"/>
      <c r="W291" s="648"/>
      <c r="X291" s="7"/>
      <c r="Y291" s="699"/>
      <c r="Z291" s="7"/>
      <c r="AA291" s="618">
        <f t="shared" si="26"/>
        <v>0</v>
      </c>
      <c r="AB291" s="7"/>
      <c r="AC291" s="7"/>
      <c r="AD291" s="7"/>
      <c r="AE291" s="7"/>
      <c r="AF291" s="7"/>
      <c r="AG291" s="7"/>
    </row>
    <row r="292" spans="1:33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3"/>
      <c r="I292" s="214"/>
      <c r="J292" s="214"/>
      <c r="K292" s="215"/>
      <c r="L292" s="215"/>
      <c r="M292" s="213"/>
      <c r="N292" s="213"/>
      <c r="O292" s="213"/>
      <c r="P292" s="213"/>
      <c r="Q292" s="215"/>
      <c r="R292" s="372"/>
      <c r="S292" s="215"/>
      <c r="T292" s="616">
        <f t="shared" si="25"/>
        <v>0</v>
      </c>
      <c r="U292" s="633"/>
      <c r="V292" s="648"/>
      <c r="W292" s="648"/>
      <c r="X292" s="7"/>
      <c r="Y292" s="699"/>
      <c r="Z292" s="7"/>
      <c r="AA292" s="618">
        <f t="shared" si="26"/>
        <v>0</v>
      </c>
      <c r="AB292" s="7"/>
      <c r="AC292" s="7"/>
      <c r="AD292" s="7"/>
      <c r="AE292" s="7"/>
      <c r="AF292" s="7"/>
      <c r="AG292" s="7"/>
    </row>
    <row r="293" spans="1:33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3"/>
      <c r="I293" s="214"/>
      <c r="J293" s="214"/>
      <c r="K293" s="215"/>
      <c r="L293" s="215"/>
      <c r="M293" s="213"/>
      <c r="N293" s="213"/>
      <c r="O293" s="213"/>
      <c r="P293" s="213"/>
      <c r="Q293" s="215"/>
      <c r="R293" s="372"/>
      <c r="S293" s="215"/>
      <c r="T293" s="616">
        <f t="shared" si="25"/>
        <v>0</v>
      </c>
      <c r="U293" s="633"/>
      <c r="V293" s="648"/>
      <c r="W293" s="648"/>
      <c r="X293" s="7"/>
      <c r="Y293" s="699"/>
      <c r="Z293" s="7"/>
      <c r="AA293" s="618">
        <f t="shared" si="26"/>
        <v>0</v>
      </c>
      <c r="AB293" s="7"/>
      <c r="AC293" s="7"/>
      <c r="AD293" s="7"/>
      <c r="AE293" s="7"/>
      <c r="AF293" s="7"/>
      <c r="AG293" s="7"/>
    </row>
    <row r="294" spans="1:33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3"/>
      <c r="I294" s="214"/>
      <c r="J294" s="214"/>
      <c r="K294" s="215"/>
      <c r="L294" s="215"/>
      <c r="M294" s="213"/>
      <c r="N294" s="213"/>
      <c r="O294" s="213"/>
      <c r="P294" s="213"/>
      <c r="Q294" s="215"/>
      <c r="R294" s="372"/>
      <c r="S294" s="215"/>
      <c r="T294" s="616">
        <f t="shared" si="25"/>
        <v>0</v>
      </c>
      <c r="U294" s="633"/>
      <c r="V294" s="654"/>
      <c r="W294" s="654"/>
      <c r="X294" s="7"/>
      <c r="Y294" s="699"/>
      <c r="Z294" s="7"/>
      <c r="AA294" s="618">
        <f t="shared" si="26"/>
        <v>0</v>
      </c>
      <c r="AB294" s="7"/>
      <c r="AC294" s="7"/>
      <c r="AD294" s="7"/>
      <c r="AE294" s="7"/>
      <c r="AF294" s="7"/>
      <c r="AG294" s="7"/>
    </row>
    <row r="295" spans="1:33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3"/>
      <c r="I295" s="214"/>
      <c r="J295" s="214"/>
      <c r="K295" s="215"/>
      <c r="L295" s="215"/>
      <c r="M295" s="213"/>
      <c r="N295" s="213"/>
      <c r="O295" s="213"/>
      <c r="P295" s="213"/>
      <c r="Q295" s="215"/>
      <c r="R295" s="372"/>
      <c r="S295" s="215"/>
      <c r="T295" s="616">
        <f t="shared" si="25"/>
        <v>0</v>
      </c>
      <c r="U295" s="633"/>
      <c r="V295" s="648"/>
      <c r="W295" s="648"/>
      <c r="X295" s="7"/>
      <c r="Y295" s="699"/>
      <c r="Z295" s="7"/>
      <c r="AA295" s="618">
        <f t="shared" si="26"/>
        <v>0</v>
      </c>
      <c r="AB295" s="7"/>
      <c r="AC295" s="7"/>
      <c r="AD295" s="7"/>
      <c r="AE295" s="7"/>
      <c r="AF295" s="7"/>
      <c r="AG295" s="7"/>
    </row>
    <row r="296" spans="1:33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3"/>
      <c r="I296" s="214"/>
      <c r="J296" s="214"/>
      <c r="K296" s="215"/>
      <c r="L296" s="215"/>
      <c r="M296" s="213"/>
      <c r="N296" s="213"/>
      <c r="O296" s="213"/>
      <c r="P296" s="213"/>
      <c r="Q296" s="215"/>
      <c r="R296" s="372"/>
      <c r="S296" s="215"/>
      <c r="T296" s="616">
        <f t="shared" si="25"/>
        <v>0</v>
      </c>
      <c r="U296" s="633"/>
      <c r="V296" s="648"/>
      <c r="W296" s="648"/>
      <c r="X296" s="7"/>
      <c r="Y296" s="699"/>
      <c r="Z296" s="7"/>
      <c r="AA296" s="618">
        <f t="shared" si="26"/>
        <v>0</v>
      </c>
      <c r="AB296" s="7"/>
      <c r="AC296" s="7"/>
      <c r="AD296" s="7"/>
      <c r="AE296" s="7"/>
      <c r="AF296" s="7"/>
      <c r="AG296" s="7"/>
    </row>
    <row r="297" spans="1:33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3"/>
      <c r="I297" s="214"/>
      <c r="J297" s="214"/>
      <c r="K297" s="215"/>
      <c r="L297" s="215"/>
      <c r="M297" s="213"/>
      <c r="N297" s="213"/>
      <c r="O297" s="213"/>
      <c r="P297" s="213"/>
      <c r="Q297" s="215"/>
      <c r="R297" s="372"/>
      <c r="S297" s="215"/>
      <c r="T297" s="616">
        <f t="shared" si="25"/>
        <v>0</v>
      </c>
      <c r="U297" s="633"/>
      <c r="V297" s="648"/>
      <c r="W297" s="648"/>
      <c r="X297" s="7"/>
      <c r="Y297" s="699"/>
      <c r="Z297" s="7"/>
      <c r="AA297" s="618">
        <f t="shared" si="26"/>
        <v>0</v>
      </c>
      <c r="AB297" s="7"/>
      <c r="AC297" s="7"/>
      <c r="AD297" s="7"/>
      <c r="AE297" s="7"/>
      <c r="AF297" s="7"/>
      <c r="AG297" s="7"/>
    </row>
    <row r="298" spans="1:33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3"/>
      <c r="I298" s="214"/>
      <c r="J298" s="214"/>
      <c r="K298" s="215"/>
      <c r="L298" s="215"/>
      <c r="M298" s="213"/>
      <c r="N298" s="213"/>
      <c r="O298" s="213"/>
      <c r="P298" s="213"/>
      <c r="Q298" s="215"/>
      <c r="R298" s="372"/>
      <c r="S298" s="215"/>
      <c r="T298" s="616">
        <f t="shared" si="25"/>
        <v>0</v>
      </c>
      <c r="U298" s="633"/>
      <c r="V298" s="648"/>
      <c r="W298" s="648"/>
      <c r="X298" s="7"/>
      <c r="Y298" s="699"/>
      <c r="Z298" s="7"/>
      <c r="AA298" s="618">
        <f t="shared" si="26"/>
        <v>0</v>
      </c>
      <c r="AB298" s="7"/>
      <c r="AC298" s="7"/>
      <c r="AD298" s="7"/>
      <c r="AE298" s="7"/>
      <c r="AF298" s="7"/>
      <c r="AG298" s="7"/>
    </row>
    <row r="299" spans="1:33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3"/>
      <c r="I299" s="214"/>
      <c r="J299" s="214"/>
      <c r="K299" s="215"/>
      <c r="L299" s="215"/>
      <c r="M299" s="213"/>
      <c r="N299" s="213"/>
      <c r="O299" s="213"/>
      <c r="P299" s="213"/>
      <c r="Q299" s="215"/>
      <c r="R299" s="372"/>
      <c r="S299" s="215"/>
      <c r="T299" s="616">
        <f t="shared" si="25"/>
        <v>0</v>
      </c>
      <c r="U299" s="633"/>
      <c r="V299" s="636"/>
      <c r="W299" s="636"/>
      <c r="X299" s="7"/>
      <c r="Y299" s="699"/>
      <c r="Z299" s="7"/>
      <c r="AA299" s="618">
        <f t="shared" si="26"/>
        <v>0</v>
      </c>
      <c r="AB299" s="7"/>
      <c r="AC299" s="7"/>
      <c r="AD299" s="7"/>
      <c r="AE299" s="7"/>
      <c r="AF299" s="7"/>
      <c r="AG299" s="7"/>
    </row>
    <row r="300" spans="1:33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3"/>
      <c r="I300" s="214"/>
      <c r="J300" s="214"/>
      <c r="K300" s="215"/>
      <c r="L300" s="215"/>
      <c r="M300" s="213"/>
      <c r="N300" s="213"/>
      <c r="O300" s="213"/>
      <c r="P300" s="213"/>
      <c r="Q300" s="215"/>
      <c r="R300" s="372"/>
      <c r="S300" s="215"/>
      <c r="T300" s="616">
        <f t="shared" si="25"/>
        <v>0</v>
      </c>
      <c r="U300" s="633"/>
      <c r="V300" s="636"/>
      <c r="W300" s="636"/>
      <c r="X300" s="7"/>
      <c r="Y300" s="699"/>
      <c r="Z300" s="7"/>
      <c r="AA300" s="618">
        <f t="shared" si="26"/>
        <v>0</v>
      </c>
      <c r="AB300" s="7"/>
      <c r="AC300" s="7"/>
      <c r="AD300" s="7"/>
      <c r="AE300" s="7"/>
      <c r="AF300" s="7"/>
      <c r="AG300" s="7"/>
    </row>
    <row r="301" spans="1:33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3"/>
      <c r="I301" s="214"/>
      <c r="J301" s="214"/>
      <c r="K301" s="215"/>
      <c r="L301" s="215"/>
      <c r="M301" s="213"/>
      <c r="N301" s="213"/>
      <c r="O301" s="213"/>
      <c r="P301" s="213"/>
      <c r="Q301" s="215"/>
      <c r="R301" s="372"/>
      <c r="S301" s="215"/>
      <c r="T301" s="616">
        <f t="shared" si="25"/>
        <v>0</v>
      </c>
      <c r="U301" s="633"/>
      <c r="V301" s="648"/>
      <c r="W301" s="648"/>
      <c r="X301" s="7"/>
      <c r="Y301" s="699"/>
      <c r="Z301" s="7"/>
      <c r="AA301" s="618">
        <f t="shared" si="26"/>
        <v>0</v>
      </c>
      <c r="AB301" s="7"/>
      <c r="AC301" s="7"/>
      <c r="AD301" s="7"/>
      <c r="AE301" s="7"/>
      <c r="AF301" s="7"/>
      <c r="AG301" s="7"/>
    </row>
    <row r="302" spans="1:33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3"/>
      <c r="I302" s="214"/>
      <c r="J302" s="214"/>
      <c r="K302" s="215"/>
      <c r="L302" s="215"/>
      <c r="M302" s="213"/>
      <c r="N302" s="213"/>
      <c r="O302" s="213"/>
      <c r="P302" s="213"/>
      <c r="Q302" s="215"/>
      <c r="R302" s="372"/>
      <c r="S302" s="215"/>
      <c r="T302" s="616">
        <f t="shared" si="25"/>
        <v>0</v>
      </c>
      <c r="U302" s="633"/>
      <c r="V302" s="648"/>
      <c r="W302" s="648"/>
      <c r="X302" s="7"/>
      <c r="Y302" s="699"/>
      <c r="Z302" s="7"/>
      <c r="AA302" s="618">
        <f t="shared" si="26"/>
        <v>0</v>
      </c>
      <c r="AB302" s="7"/>
      <c r="AC302" s="7"/>
      <c r="AD302" s="7"/>
      <c r="AE302" s="7"/>
      <c r="AF302" s="7"/>
      <c r="AG302" s="7"/>
    </row>
    <row r="303" spans="1:33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3"/>
      <c r="I303" s="214"/>
      <c r="J303" s="214"/>
      <c r="K303" s="215"/>
      <c r="L303" s="215"/>
      <c r="M303" s="213"/>
      <c r="N303" s="213"/>
      <c r="O303" s="213"/>
      <c r="P303" s="213"/>
      <c r="Q303" s="215"/>
      <c r="R303" s="372"/>
      <c r="S303" s="215"/>
      <c r="T303" s="616">
        <f t="shared" si="25"/>
        <v>0</v>
      </c>
      <c r="U303" s="633"/>
      <c r="V303" s="648"/>
      <c r="W303" s="648"/>
      <c r="X303" s="7"/>
      <c r="Y303" s="699"/>
      <c r="Z303" s="7"/>
      <c r="AA303" s="618">
        <f t="shared" si="26"/>
        <v>0</v>
      </c>
      <c r="AB303" s="7"/>
      <c r="AC303" s="7"/>
      <c r="AD303" s="7"/>
      <c r="AE303" s="7"/>
      <c r="AF303" s="7"/>
      <c r="AG303" s="7"/>
    </row>
    <row r="304" spans="1:33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3"/>
      <c r="I304" s="214"/>
      <c r="J304" s="214"/>
      <c r="K304" s="215"/>
      <c r="L304" s="215"/>
      <c r="M304" s="213"/>
      <c r="N304" s="213"/>
      <c r="O304" s="213"/>
      <c r="P304" s="213"/>
      <c r="Q304" s="215"/>
      <c r="R304" s="372"/>
      <c r="S304" s="215"/>
      <c r="T304" s="616">
        <f t="shared" si="25"/>
        <v>0</v>
      </c>
      <c r="U304" s="633"/>
      <c r="V304" s="648"/>
      <c r="W304" s="648"/>
      <c r="X304" s="7"/>
      <c r="Y304" s="699"/>
      <c r="Z304" s="7"/>
      <c r="AA304" s="618">
        <f t="shared" si="26"/>
        <v>0</v>
      </c>
      <c r="AB304" s="7"/>
      <c r="AC304" s="7"/>
      <c r="AD304" s="7"/>
      <c r="AE304" s="7"/>
      <c r="AF304" s="7"/>
      <c r="AG304" s="7"/>
    </row>
    <row r="305" spans="1:33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3"/>
      <c r="I305" s="214"/>
      <c r="J305" s="214"/>
      <c r="K305" s="215"/>
      <c r="L305" s="215"/>
      <c r="M305" s="213"/>
      <c r="N305" s="213"/>
      <c r="O305" s="213"/>
      <c r="P305" s="213"/>
      <c r="Q305" s="215"/>
      <c r="R305" s="372"/>
      <c r="S305" s="215"/>
      <c r="T305" s="616">
        <f t="shared" si="25"/>
        <v>0</v>
      </c>
      <c r="U305" s="633"/>
      <c r="V305" s="636"/>
      <c r="W305" s="636"/>
      <c r="X305" s="7"/>
      <c r="Y305" s="699"/>
      <c r="Z305" s="7"/>
      <c r="AA305" s="618">
        <f t="shared" si="26"/>
        <v>0</v>
      </c>
      <c r="AB305" s="7"/>
      <c r="AC305" s="7"/>
      <c r="AD305" s="7"/>
      <c r="AE305" s="7"/>
      <c r="AF305" s="7"/>
      <c r="AG305" s="7"/>
    </row>
    <row r="306" spans="1:33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3"/>
      <c r="I306" s="214"/>
      <c r="J306" s="214"/>
      <c r="K306" s="215"/>
      <c r="L306" s="215"/>
      <c r="M306" s="213"/>
      <c r="N306" s="213"/>
      <c r="O306" s="213"/>
      <c r="P306" s="213"/>
      <c r="Q306" s="215"/>
      <c r="R306" s="372"/>
      <c r="S306" s="215"/>
      <c r="T306" s="616">
        <f t="shared" si="25"/>
        <v>0</v>
      </c>
      <c r="U306" s="633"/>
      <c r="V306" s="648"/>
      <c r="W306" s="648"/>
      <c r="X306" s="7"/>
      <c r="Y306" s="699"/>
      <c r="Z306" s="7"/>
      <c r="AA306" s="618">
        <f t="shared" si="26"/>
        <v>0</v>
      </c>
      <c r="AB306" s="7"/>
      <c r="AC306" s="7"/>
      <c r="AD306" s="7"/>
      <c r="AE306" s="7"/>
      <c r="AF306" s="7"/>
      <c r="AG306" s="7"/>
    </row>
    <row r="307" spans="1:33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3"/>
      <c r="I307" s="214"/>
      <c r="J307" s="214"/>
      <c r="K307" s="215"/>
      <c r="L307" s="215"/>
      <c r="M307" s="213"/>
      <c r="N307" s="213"/>
      <c r="O307" s="213"/>
      <c r="P307" s="213"/>
      <c r="Q307" s="215"/>
      <c r="R307" s="372"/>
      <c r="S307" s="215"/>
      <c r="T307" s="616">
        <f t="shared" si="25"/>
        <v>0</v>
      </c>
      <c r="U307" s="633"/>
      <c r="V307" s="648"/>
      <c r="W307" s="648"/>
      <c r="X307" s="7"/>
      <c r="Y307" s="699"/>
      <c r="Z307" s="7"/>
      <c r="AA307" s="618">
        <f t="shared" si="26"/>
        <v>0</v>
      </c>
      <c r="AB307" s="7"/>
      <c r="AC307" s="7"/>
      <c r="AD307" s="7"/>
      <c r="AE307" s="7"/>
      <c r="AF307" s="7"/>
      <c r="AG307" s="7"/>
    </row>
    <row r="308" spans="1:33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3"/>
      <c r="I308" s="214"/>
      <c r="J308" s="214"/>
      <c r="K308" s="215"/>
      <c r="L308" s="215"/>
      <c r="M308" s="213"/>
      <c r="N308" s="213"/>
      <c r="O308" s="213"/>
      <c r="P308" s="213"/>
      <c r="Q308" s="215"/>
      <c r="R308" s="372"/>
      <c r="S308" s="215"/>
      <c r="T308" s="616">
        <f t="shared" si="25"/>
        <v>0</v>
      </c>
      <c r="U308" s="633"/>
      <c r="V308" s="648"/>
      <c r="W308" s="648"/>
      <c r="X308" s="7"/>
      <c r="Y308" s="699"/>
      <c r="Z308" s="7"/>
      <c r="AA308" s="618">
        <f t="shared" si="26"/>
        <v>0</v>
      </c>
      <c r="AB308" s="7"/>
      <c r="AC308" s="7"/>
      <c r="AD308" s="7"/>
      <c r="AE308" s="7"/>
      <c r="AF308" s="7"/>
      <c r="AG308" s="7"/>
    </row>
    <row r="309" spans="1:33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3"/>
      <c r="I309" s="214"/>
      <c r="J309" s="214"/>
      <c r="K309" s="215"/>
      <c r="L309" s="215"/>
      <c r="M309" s="213"/>
      <c r="N309" s="213"/>
      <c r="O309" s="213"/>
      <c r="P309" s="213"/>
      <c r="Q309" s="215"/>
      <c r="R309" s="372"/>
      <c r="S309" s="215"/>
      <c r="T309" s="616">
        <f t="shared" si="25"/>
        <v>0</v>
      </c>
      <c r="U309" s="633"/>
      <c r="V309" s="648"/>
      <c r="W309" s="648"/>
      <c r="X309" s="7"/>
      <c r="Y309" s="699"/>
      <c r="Z309" s="7"/>
      <c r="AA309" s="618">
        <f t="shared" si="26"/>
        <v>0</v>
      </c>
      <c r="AB309" s="7"/>
      <c r="AC309" s="7"/>
      <c r="AD309" s="7"/>
      <c r="AE309" s="7"/>
      <c r="AF309" s="7"/>
      <c r="AG309" s="7"/>
    </row>
    <row r="310" spans="1:33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3"/>
      <c r="I310" s="214"/>
      <c r="J310" s="214"/>
      <c r="K310" s="215"/>
      <c r="L310" s="215"/>
      <c r="M310" s="213"/>
      <c r="N310" s="213"/>
      <c r="O310" s="213"/>
      <c r="P310" s="213"/>
      <c r="Q310" s="215"/>
      <c r="R310" s="372"/>
      <c r="S310" s="215"/>
      <c r="T310" s="616">
        <f t="shared" si="25"/>
        <v>0</v>
      </c>
      <c r="U310" s="633"/>
      <c r="V310" s="636"/>
      <c r="W310" s="636"/>
      <c r="X310" s="7"/>
      <c r="Y310" s="699"/>
      <c r="Z310" s="7"/>
      <c r="AA310" s="618">
        <f t="shared" si="26"/>
        <v>0</v>
      </c>
      <c r="AB310" s="7"/>
      <c r="AC310" s="7"/>
      <c r="AD310" s="7"/>
      <c r="AE310" s="7"/>
      <c r="AF310" s="7"/>
      <c r="AG310" s="7"/>
    </row>
    <row r="311" spans="1:33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3"/>
      <c r="I311" s="214"/>
      <c r="J311" s="214"/>
      <c r="K311" s="215"/>
      <c r="L311" s="215"/>
      <c r="M311" s="213"/>
      <c r="N311" s="213"/>
      <c r="O311" s="213"/>
      <c r="P311" s="213"/>
      <c r="Q311" s="215"/>
      <c r="R311" s="372"/>
      <c r="S311" s="215"/>
      <c r="T311" s="616">
        <f t="shared" si="25"/>
        <v>0</v>
      </c>
      <c r="U311" s="633"/>
      <c r="V311" s="648"/>
      <c r="W311" s="648"/>
      <c r="X311" s="7"/>
      <c r="Y311" s="699"/>
      <c r="Z311" s="7"/>
      <c r="AA311" s="618">
        <f t="shared" si="26"/>
        <v>0</v>
      </c>
      <c r="AB311" s="7"/>
      <c r="AC311" s="7"/>
      <c r="AD311" s="7"/>
      <c r="AE311" s="7"/>
      <c r="AF311" s="7"/>
      <c r="AG311" s="7"/>
    </row>
    <row r="312" spans="1:33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3"/>
      <c r="I312" s="214"/>
      <c r="J312" s="214"/>
      <c r="K312" s="215"/>
      <c r="L312" s="215"/>
      <c r="M312" s="213"/>
      <c r="N312" s="213"/>
      <c r="O312" s="213"/>
      <c r="P312" s="213"/>
      <c r="Q312" s="215"/>
      <c r="R312" s="372"/>
      <c r="S312" s="215"/>
      <c r="T312" s="616">
        <f t="shared" si="25"/>
        <v>0</v>
      </c>
      <c r="U312" s="633"/>
      <c r="V312" s="648"/>
      <c r="W312" s="648"/>
      <c r="X312" s="7"/>
      <c r="Y312" s="699"/>
      <c r="Z312" s="7"/>
      <c r="AA312" s="618">
        <f t="shared" si="26"/>
        <v>0</v>
      </c>
      <c r="AB312" s="7"/>
      <c r="AC312" s="7"/>
      <c r="AD312" s="7"/>
      <c r="AE312" s="7"/>
      <c r="AF312" s="7"/>
      <c r="AG312" s="7"/>
    </row>
    <row r="313" spans="1:33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3"/>
      <c r="I313" s="214"/>
      <c r="J313" s="214"/>
      <c r="K313" s="215"/>
      <c r="L313" s="215"/>
      <c r="M313" s="213"/>
      <c r="N313" s="213"/>
      <c r="O313" s="213"/>
      <c r="P313" s="213"/>
      <c r="Q313" s="215"/>
      <c r="R313" s="372"/>
      <c r="S313" s="215"/>
      <c r="T313" s="616">
        <f t="shared" si="25"/>
        <v>0</v>
      </c>
      <c r="U313" s="633"/>
      <c r="V313" s="648"/>
      <c r="W313" s="648"/>
      <c r="X313" s="7"/>
      <c r="Y313" s="699"/>
      <c r="Z313" s="7"/>
      <c r="AA313" s="618">
        <f t="shared" si="26"/>
        <v>0</v>
      </c>
      <c r="AB313" s="7"/>
      <c r="AC313" s="7"/>
      <c r="AD313" s="7"/>
      <c r="AE313" s="7"/>
      <c r="AF313" s="7"/>
      <c r="AG313" s="7"/>
    </row>
    <row r="314" spans="1:33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3"/>
      <c r="I314" s="214"/>
      <c r="J314" s="214"/>
      <c r="K314" s="215"/>
      <c r="L314" s="215"/>
      <c r="M314" s="213"/>
      <c r="N314" s="213"/>
      <c r="O314" s="213"/>
      <c r="P314" s="213"/>
      <c r="Q314" s="215"/>
      <c r="R314" s="372"/>
      <c r="S314" s="215"/>
      <c r="T314" s="616">
        <f t="shared" si="25"/>
        <v>0</v>
      </c>
      <c r="U314" s="633"/>
      <c r="V314" s="648"/>
      <c r="W314" s="648"/>
      <c r="X314" s="7"/>
      <c r="Y314" s="699"/>
      <c r="Z314" s="7"/>
      <c r="AA314" s="618">
        <f t="shared" si="26"/>
        <v>0</v>
      </c>
      <c r="AB314" s="7"/>
      <c r="AC314" s="7"/>
      <c r="AD314" s="7"/>
      <c r="AE314" s="7"/>
      <c r="AF314" s="7"/>
      <c r="AG314" s="7"/>
    </row>
    <row r="315" spans="1:33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3"/>
      <c r="I315" s="214"/>
      <c r="J315" s="214"/>
      <c r="K315" s="215"/>
      <c r="L315" s="215"/>
      <c r="M315" s="213"/>
      <c r="N315" s="213"/>
      <c r="O315" s="213"/>
      <c r="P315" s="213"/>
      <c r="Q315" s="215"/>
      <c r="R315" s="372"/>
      <c r="S315" s="215"/>
      <c r="T315" s="616">
        <f t="shared" si="25"/>
        <v>0</v>
      </c>
      <c r="U315" s="633"/>
      <c r="V315" s="636"/>
      <c r="W315" s="636"/>
      <c r="X315" s="7"/>
      <c r="Y315" s="699"/>
      <c r="Z315" s="7"/>
      <c r="AA315" s="618">
        <f t="shared" si="26"/>
        <v>0</v>
      </c>
      <c r="AB315" s="7"/>
      <c r="AC315" s="7"/>
      <c r="AD315" s="7"/>
      <c r="AE315" s="7"/>
      <c r="AF315" s="7"/>
      <c r="AG315" s="7"/>
    </row>
    <row r="316" spans="1:33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3"/>
      <c r="I316" s="214"/>
      <c r="J316" s="214"/>
      <c r="K316" s="215"/>
      <c r="L316" s="215"/>
      <c r="M316" s="213"/>
      <c r="N316" s="213"/>
      <c r="O316" s="213"/>
      <c r="P316" s="213"/>
      <c r="Q316" s="215"/>
      <c r="R316" s="372"/>
      <c r="S316" s="215"/>
      <c r="T316" s="616">
        <f t="shared" si="25"/>
        <v>0</v>
      </c>
      <c r="U316" s="633"/>
      <c r="V316" s="648"/>
      <c r="W316" s="648"/>
      <c r="X316" s="7"/>
      <c r="Y316" s="699"/>
      <c r="Z316" s="7"/>
      <c r="AA316" s="618">
        <f t="shared" si="26"/>
        <v>0</v>
      </c>
      <c r="AB316" s="7"/>
      <c r="AC316" s="7"/>
      <c r="AD316" s="7"/>
      <c r="AE316" s="7"/>
      <c r="AF316" s="7"/>
      <c r="AG316" s="7"/>
    </row>
    <row r="317" spans="1:33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3"/>
      <c r="I317" s="214"/>
      <c r="J317" s="214"/>
      <c r="K317" s="215"/>
      <c r="L317" s="215"/>
      <c r="M317" s="213"/>
      <c r="N317" s="213"/>
      <c r="O317" s="213"/>
      <c r="P317" s="213"/>
      <c r="Q317" s="215"/>
      <c r="R317" s="372"/>
      <c r="S317" s="215"/>
      <c r="T317" s="616">
        <f t="shared" si="25"/>
        <v>0</v>
      </c>
      <c r="U317" s="633"/>
      <c r="V317" s="648"/>
      <c r="W317" s="648"/>
      <c r="X317" s="7"/>
      <c r="Y317" s="699"/>
      <c r="Z317" s="7"/>
      <c r="AA317" s="618">
        <f t="shared" si="26"/>
        <v>0</v>
      </c>
      <c r="AB317" s="7"/>
      <c r="AC317" s="7"/>
      <c r="AD317" s="7"/>
      <c r="AE317" s="7"/>
      <c r="AF317" s="7"/>
      <c r="AG317" s="7"/>
    </row>
    <row r="318" spans="1:33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3"/>
      <c r="I318" s="214"/>
      <c r="J318" s="214"/>
      <c r="K318" s="215"/>
      <c r="L318" s="215"/>
      <c r="M318" s="213"/>
      <c r="N318" s="213"/>
      <c r="O318" s="213"/>
      <c r="P318" s="213"/>
      <c r="Q318" s="215"/>
      <c r="R318" s="372"/>
      <c r="S318" s="215"/>
      <c r="T318" s="616">
        <f t="shared" si="25"/>
        <v>0</v>
      </c>
      <c r="U318" s="633"/>
      <c r="V318" s="648"/>
      <c r="W318" s="648"/>
      <c r="X318" s="7"/>
      <c r="Y318" s="699"/>
      <c r="Z318" s="7"/>
      <c r="AA318" s="618">
        <f t="shared" si="26"/>
        <v>0</v>
      </c>
      <c r="AB318" s="7"/>
      <c r="AC318" s="7"/>
      <c r="AD318" s="7"/>
      <c r="AE318" s="7"/>
      <c r="AF318" s="7"/>
      <c r="AG318" s="7"/>
    </row>
    <row r="319" spans="1:33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3"/>
      <c r="I319" s="214"/>
      <c r="J319" s="214"/>
      <c r="K319" s="215"/>
      <c r="L319" s="215"/>
      <c r="M319" s="213"/>
      <c r="N319" s="213"/>
      <c r="O319" s="213"/>
      <c r="P319" s="213"/>
      <c r="Q319" s="215"/>
      <c r="R319" s="372"/>
      <c r="S319" s="215"/>
      <c r="T319" s="616">
        <f t="shared" si="25"/>
        <v>0</v>
      </c>
      <c r="U319" s="633"/>
      <c r="V319" s="648"/>
      <c r="W319" s="648"/>
      <c r="X319" s="7"/>
      <c r="Y319" s="699"/>
      <c r="Z319" s="7"/>
      <c r="AA319" s="618">
        <f t="shared" si="26"/>
        <v>0</v>
      </c>
      <c r="AB319" s="7"/>
      <c r="AC319" s="7"/>
      <c r="AD319" s="7"/>
      <c r="AE319" s="7"/>
      <c r="AF319" s="7"/>
      <c r="AG319" s="7"/>
    </row>
    <row r="320" spans="1:33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3"/>
      <c r="I320" s="214"/>
      <c r="J320" s="214"/>
      <c r="K320" s="215"/>
      <c r="L320" s="215"/>
      <c r="M320" s="213"/>
      <c r="N320" s="213"/>
      <c r="O320" s="213"/>
      <c r="P320" s="213"/>
      <c r="Q320" s="215"/>
      <c r="R320" s="372"/>
      <c r="S320" s="215"/>
      <c r="T320" s="616">
        <f t="shared" si="25"/>
        <v>0</v>
      </c>
      <c r="U320" s="633"/>
      <c r="V320" s="636"/>
      <c r="W320" s="636"/>
      <c r="X320" s="7"/>
      <c r="Y320" s="699"/>
      <c r="Z320" s="7"/>
      <c r="AA320" s="618">
        <f t="shared" si="26"/>
        <v>0</v>
      </c>
      <c r="AB320" s="7"/>
      <c r="AC320" s="7"/>
      <c r="AD320" s="7"/>
      <c r="AE320" s="7"/>
      <c r="AF320" s="7"/>
      <c r="AG320" s="7"/>
    </row>
    <row r="321" spans="1:33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3"/>
      <c r="I321" s="214"/>
      <c r="J321" s="214"/>
      <c r="K321" s="215"/>
      <c r="L321" s="215"/>
      <c r="M321" s="213"/>
      <c r="N321" s="213"/>
      <c r="O321" s="213"/>
      <c r="P321" s="213"/>
      <c r="Q321" s="215"/>
      <c r="R321" s="372"/>
      <c r="S321" s="215"/>
      <c r="T321" s="616">
        <f t="shared" si="25"/>
        <v>0</v>
      </c>
      <c r="U321" s="633"/>
      <c r="V321" s="636"/>
      <c r="W321" s="636"/>
      <c r="X321" s="7"/>
      <c r="Y321" s="699"/>
      <c r="Z321" s="7"/>
      <c r="AA321" s="618">
        <f t="shared" si="26"/>
        <v>0</v>
      </c>
      <c r="AB321" s="7"/>
      <c r="AC321" s="7"/>
      <c r="AD321" s="7"/>
      <c r="AE321" s="7"/>
      <c r="AF321" s="7"/>
      <c r="AG321" s="7"/>
    </row>
    <row r="322" spans="1:33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3"/>
      <c r="I322" s="214"/>
      <c r="J322" s="214"/>
      <c r="K322" s="215"/>
      <c r="L322" s="215"/>
      <c r="M322" s="213"/>
      <c r="N322" s="213"/>
      <c r="O322" s="213"/>
      <c r="P322" s="213"/>
      <c r="Q322" s="215"/>
      <c r="R322" s="372"/>
      <c r="S322" s="215"/>
      <c r="T322" s="616">
        <f t="shared" si="25"/>
        <v>0</v>
      </c>
      <c r="U322" s="633"/>
      <c r="V322" s="636"/>
      <c r="W322" s="636"/>
      <c r="X322" s="7"/>
      <c r="Y322" s="699"/>
      <c r="Z322" s="7"/>
      <c r="AA322" s="618">
        <f t="shared" si="26"/>
        <v>0</v>
      </c>
      <c r="AB322" s="7"/>
      <c r="AC322" s="7"/>
      <c r="AD322" s="7"/>
      <c r="AE322" s="7"/>
      <c r="AF322" s="7"/>
      <c r="AG322" s="7"/>
    </row>
    <row r="323" spans="1:33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3"/>
      <c r="I323" s="214"/>
      <c r="J323" s="214"/>
      <c r="K323" s="215"/>
      <c r="L323" s="215"/>
      <c r="M323" s="213"/>
      <c r="N323" s="213"/>
      <c r="O323" s="213"/>
      <c r="P323" s="213"/>
      <c r="Q323" s="215"/>
      <c r="R323" s="372"/>
      <c r="S323" s="215"/>
      <c r="T323" s="616">
        <f t="shared" si="25"/>
        <v>0</v>
      </c>
      <c r="U323" s="633"/>
      <c r="V323" s="636"/>
      <c r="W323" s="636"/>
      <c r="X323" s="7"/>
      <c r="Y323" s="699"/>
      <c r="Z323" s="7"/>
      <c r="AA323" s="618">
        <f t="shared" si="26"/>
        <v>0</v>
      </c>
      <c r="AB323" s="7"/>
      <c r="AC323" s="7"/>
      <c r="AD323" s="7"/>
      <c r="AE323" s="7"/>
      <c r="AF323" s="7"/>
      <c r="AG323" s="7"/>
    </row>
    <row r="324" spans="1:33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3"/>
      <c r="I324" s="214"/>
      <c r="J324" s="214"/>
      <c r="K324" s="215"/>
      <c r="L324" s="215"/>
      <c r="M324" s="213"/>
      <c r="N324" s="213"/>
      <c r="O324" s="213"/>
      <c r="P324" s="213"/>
      <c r="Q324" s="215"/>
      <c r="R324" s="372"/>
      <c r="S324" s="215"/>
      <c r="T324" s="616">
        <f t="shared" si="25"/>
        <v>0</v>
      </c>
      <c r="U324" s="633"/>
      <c r="V324" s="636"/>
      <c r="W324" s="636"/>
      <c r="X324" s="7"/>
      <c r="Y324" s="699"/>
      <c r="Z324" s="7"/>
      <c r="AA324" s="618">
        <f t="shared" si="26"/>
        <v>0</v>
      </c>
      <c r="AB324" s="7"/>
      <c r="AC324" s="7"/>
      <c r="AD324" s="7"/>
      <c r="AE324" s="7"/>
      <c r="AF324" s="7"/>
      <c r="AG324" s="7"/>
    </row>
    <row r="325" spans="1:33" ht="33.75" customHeight="1">
      <c r="A325" s="486"/>
      <c r="B325" s="487" t="s">
        <v>703</v>
      </c>
      <c r="C325" s="656" t="s">
        <v>704</v>
      </c>
      <c r="D325" s="519" t="s">
        <v>2446</v>
      </c>
      <c r="E325" s="213"/>
      <c r="F325" s="213"/>
      <c r="G325" s="213"/>
      <c r="H325" s="213"/>
      <c r="I325" s="214"/>
      <c r="J325" s="214"/>
      <c r="K325" s="215"/>
      <c r="L325" s="215"/>
      <c r="M325" s="213"/>
      <c r="N325" s="213"/>
      <c r="O325" s="213"/>
      <c r="P325" s="213"/>
      <c r="Q325" s="215"/>
      <c r="R325" s="372"/>
      <c r="S325" s="215"/>
      <c r="T325" s="616">
        <f t="shared" si="25"/>
        <v>0</v>
      </c>
      <c r="U325" s="633"/>
      <c r="V325" s="636"/>
      <c r="W325" s="636"/>
      <c r="X325" s="7"/>
      <c r="Y325" s="699"/>
      <c r="Z325" s="7"/>
      <c r="AA325" s="618">
        <f t="shared" si="26"/>
        <v>0</v>
      </c>
      <c r="AB325" s="7"/>
      <c r="AC325" s="7"/>
      <c r="AD325" s="7"/>
      <c r="AE325" s="7"/>
      <c r="AF325" s="7"/>
      <c r="AG325" s="7"/>
    </row>
    <row r="326" spans="1:33" ht="25.5" customHeight="1">
      <c r="A326" s="503"/>
      <c r="B326" s="483" t="s">
        <v>707</v>
      </c>
      <c r="C326" s="629" t="s">
        <v>131</v>
      </c>
      <c r="D326" s="354" t="s">
        <v>2447</v>
      </c>
      <c r="E326" s="213"/>
      <c r="F326" s="213"/>
      <c r="G326" s="213"/>
      <c r="H326" s="213"/>
      <c r="I326" s="214"/>
      <c r="J326" s="214"/>
      <c r="K326" s="215"/>
      <c r="L326" s="215"/>
      <c r="M326" s="213"/>
      <c r="N326" s="213"/>
      <c r="O326" s="213"/>
      <c r="P326" s="213"/>
      <c r="Q326" s="215"/>
      <c r="R326" s="372"/>
      <c r="S326" s="215"/>
      <c r="T326" s="616">
        <f t="shared" si="25"/>
        <v>0</v>
      </c>
      <c r="U326" s="633"/>
      <c r="V326" s="634"/>
      <c r="W326" s="634"/>
      <c r="X326" s="7"/>
      <c r="Y326" s="699"/>
      <c r="Z326" s="7"/>
      <c r="AA326" s="618">
        <f t="shared" si="26"/>
        <v>0</v>
      </c>
      <c r="AB326" s="7"/>
      <c r="AC326" s="7"/>
      <c r="AD326" s="7"/>
      <c r="AE326" s="7"/>
      <c r="AF326" s="7"/>
      <c r="AG326" s="7"/>
    </row>
    <row r="327" spans="1:33" ht="21" customHeight="1">
      <c r="A327" s="503"/>
      <c r="B327" s="483" t="s">
        <v>709</v>
      </c>
      <c r="C327" s="629" t="s">
        <v>200</v>
      </c>
      <c r="D327" s="354" t="s">
        <v>2448</v>
      </c>
      <c r="E327" s="213"/>
      <c r="F327" s="213"/>
      <c r="G327" s="213"/>
      <c r="H327" s="213"/>
      <c r="I327" s="214"/>
      <c r="J327" s="214"/>
      <c r="K327" s="215"/>
      <c r="L327" s="215"/>
      <c r="M327" s="213"/>
      <c r="N327" s="213"/>
      <c r="O327" s="213"/>
      <c r="P327" s="213"/>
      <c r="Q327" s="215"/>
      <c r="R327" s="372"/>
      <c r="S327" s="215"/>
      <c r="T327" s="616">
        <f t="shared" si="25"/>
        <v>0</v>
      </c>
      <c r="U327" s="633"/>
      <c r="V327" s="636"/>
      <c r="W327" s="636"/>
      <c r="X327" s="7"/>
      <c r="Y327" s="699"/>
      <c r="Z327" s="7"/>
      <c r="AA327" s="618">
        <f t="shared" si="26"/>
        <v>0</v>
      </c>
      <c r="AB327" s="7"/>
      <c r="AC327" s="7"/>
      <c r="AD327" s="7"/>
      <c r="AE327" s="7"/>
      <c r="AF327" s="7"/>
      <c r="AG327" s="7"/>
    </row>
    <row r="328" spans="1:33" ht="21" customHeight="1">
      <c r="A328" s="503"/>
      <c r="B328" s="483" t="s">
        <v>711</v>
      </c>
      <c r="C328" s="629" t="s">
        <v>203</v>
      </c>
      <c r="D328" s="354" t="s">
        <v>2449</v>
      </c>
      <c r="E328" s="213"/>
      <c r="F328" s="213"/>
      <c r="G328" s="213"/>
      <c r="H328" s="213"/>
      <c r="I328" s="214"/>
      <c r="J328" s="214"/>
      <c r="K328" s="215"/>
      <c r="L328" s="215"/>
      <c r="M328" s="213"/>
      <c r="N328" s="213"/>
      <c r="O328" s="213"/>
      <c r="P328" s="213"/>
      <c r="Q328" s="215"/>
      <c r="R328" s="372"/>
      <c r="S328" s="215"/>
      <c r="T328" s="616">
        <f t="shared" si="25"/>
        <v>0</v>
      </c>
      <c r="U328" s="633"/>
      <c r="V328" s="636"/>
      <c r="W328" s="636"/>
      <c r="X328" s="7"/>
      <c r="Y328" s="699"/>
      <c r="Z328" s="7"/>
      <c r="AA328" s="618">
        <f t="shared" si="26"/>
        <v>0</v>
      </c>
      <c r="AB328" s="7"/>
      <c r="AC328" s="7"/>
      <c r="AD328" s="7"/>
      <c r="AE328" s="7"/>
      <c r="AF328" s="7"/>
      <c r="AG328" s="7"/>
    </row>
    <row r="329" spans="1:33" ht="21" customHeight="1">
      <c r="A329" s="503"/>
      <c r="B329" s="483" t="s">
        <v>713</v>
      </c>
      <c r="C329" s="629" t="s">
        <v>159</v>
      </c>
      <c r="D329" s="354" t="s">
        <v>2450</v>
      </c>
      <c r="E329" s="213"/>
      <c r="F329" s="213"/>
      <c r="G329" s="213"/>
      <c r="H329" s="213"/>
      <c r="I329" s="214"/>
      <c r="J329" s="214"/>
      <c r="K329" s="215"/>
      <c r="L329" s="215"/>
      <c r="M329" s="213"/>
      <c r="N329" s="213"/>
      <c r="O329" s="213"/>
      <c r="P329" s="213"/>
      <c r="Q329" s="215"/>
      <c r="R329" s="372"/>
      <c r="S329" s="215"/>
      <c r="T329" s="616">
        <f t="shared" si="25"/>
        <v>0</v>
      </c>
      <c r="U329" s="633"/>
      <c r="V329" s="636"/>
      <c r="W329" s="636"/>
      <c r="X329" s="7"/>
      <c r="Y329" s="699"/>
      <c r="Z329" s="7"/>
      <c r="AA329" s="618">
        <f t="shared" si="26"/>
        <v>0</v>
      </c>
      <c r="AB329" s="7"/>
      <c r="AC329" s="7"/>
      <c r="AD329" s="7"/>
      <c r="AE329" s="7"/>
      <c r="AF329" s="7"/>
      <c r="AG329" s="7"/>
    </row>
    <row r="330" spans="1:33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3"/>
      <c r="I330" s="214"/>
      <c r="J330" s="214"/>
      <c r="K330" s="215"/>
      <c r="L330" s="215"/>
      <c r="M330" s="213"/>
      <c r="N330" s="213"/>
      <c r="O330" s="213"/>
      <c r="P330" s="213"/>
      <c r="Q330" s="215"/>
      <c r="R330" s="372"/>
      <c r="S330" s="215"/>
      <c r="T330" s="616">
        <f t="shared" si="25"/>
        <v>0</v>
      </c>
      <c r="U330" s="633"/>
      <c r="V330" s="636"/>
      <c r="W330" s="636"/>
      <c r="X330" s="7"/>
      <c r="Y330" s="699"/>
      <c r="Z330" s="7"/>
      <c r="AA330" s="618"/>
      <c r="AB330" s="7"/>
      <c r="AC330" s="7"/>
      <c r="AD330" s="7"/>
      <c r="AE330" s="7"/>
      <c r="AF330" s="7"/>
      <c r="AG330" s="7"/>
    </row>
    <row r="331" spans="1:33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3"/>
      <c r="I331" s="214"/>
      <c r="J331" s="214"/>
      <c r="K331" s="215"/>
      <c r="L331" s="215"/>
      <c r="M331" s="213"/>
      <c r="N331" s="213"/>
      <c r="O331" s="213"/>
      <c r="P331" s="213"/>
      <c r="Q331" s="215"/>
      <c r="R331" s="372"/>
      <c r="S331" s="215"/>
      <c r="T331" s="616">
        <f t="shared" si="25"/>
        <v>0</v>
      </c>
      <c r="U331" s="633"/>
      <c r="V331" s="654"/>
      <c r="W331" s="654"/>
      <c r="X331" s="7"/>
      <c r="Y331" s="699"/>
      <c r="Z331" s="7"/>
      <c r="AA331" s="618">
        <f t="shared" ref="AA331:AA368" si="27">Y331-T331</f>
        <v>0</v>
      </c>
      <c r="AB331" s="7"/>
      <c r="AC331" s="7"/>
      <c r="AD331" s="7"/>
      <c r="AE331" s="7"/>
      <c r="AF331" s="7"/>
      <c r="AG331" s="7"/>
    </row>
    <row r="332" spans="1:33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3"/>
      <c r="I332" s="214"/>
      <c r="J332" s="214"/>
      <c r="K332" s="215"/>
      <c r="L332" s="215"/>
      <c r="M332" s="213"/>
      <c r="N332" s="213"/>
      <c r="O332" s="213"/>
      <c r="P332" s="213"/>
      <c r="Q332" s="215"/>
      <c r="R332" s="372"/>
      <c r="S332" s="215"/>
      <c r="T332" s="616">
        <f t="shared" si="25"/>
        <v>0</v>
      </c>
      <c r="U332" s="633"/>
      <c r="V332" s="648"/>
      <c r="W332" s="648"/>
      <c r="X332" s="7"/>
      <c r="Y332" s="699"/>
      <c r="Z332" s="7"/>
      <c r="AA332" s="618">
        <f t="shared" si="27"/>
        <v>0</v>
      </c>
      <c r="AB332" s="7"/>
      <c r="AC332" s="7"/>
      <c r="AD332" s="7"/>
      <c r="AE332" s="7"/>
      <c r="AF332" s="7"/>
      <c r="AG332" s="7"/>
    </row>
    <row r="333" spans="1:33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3"/>
      <c r="I333" s="214"/>
      <c r="J333" s="214"/>
      <c r="K333" s="215"/>
      <c r="L333" s="215"/>
      <c r="M333" s="213"/>
      <c r="N333" s="213"/>
      <c r="O333" s="213"/>
      <c r="P333" s="213"/>
      <c r="Q333" s="215"/>
      <c r="R333" s="372"/>
      <c r="S333" s="215"/>
      <c r="T333" s="616">
        <f t="shared" si="25"/>
        <v>0</v>
      </c>
      <c r="U333" s="633"/>
      <c r="V333" s="648"/>
      <c r="W333" s="648"/>
      <c r="X333" s="7"/>
      <c r="Y333" s="699"/>
      <c r="Z333" s="7"/>
      <c r="AA333" s="618">
        <f t="shared" si="27"/>
        <v>0</v>
      </c>
      <c r="AB333" s="7"/>
      <c r="AC333" s="7"/>
      <c r="AD333" s="7"/>
      <c r="AE333" s="7"/>
      <c r="AF333" s="7"/>
      <c r="AG333" s="7"/>
    </row>
    <row r="334" spans="1:33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3"/>
      <c r="I334" s="214"/>
      <c r="J334" s="214"/>
      <c r="K334" s="215"/>
      <c r="L334" s="215"/>
      <c r="M334" s="213"/>
      <c r="N334" s="213"/>
      <c r="O334" s="213"/>
      <c r="P334" s="213"/>
      <c r="Q334" s="215"/>
      <c r="R334" s="372"/>
      <c r="S334" s="215"/>
      <c r="T334" s="616">
        <f t="shared" si="25"/>
        <v>0</v>
      </c>
      <c r="U334" s="633"/>
      <c r="V334" s="648"/>
      <c r="W334" s="648"/>
      <c r="X334" s="7"/>
      <c r="Y334" s="699"/>
      <c r="Z334" s="7"/>
      <c r="AA334" s="618">
        <f t="shared" si="27"/>
        <v>0</v>
      </c>
      <c r="AB334" s="7"/>
      <c r="AC334" s="7"/>
      <c r="AD334" s="7"/>
      <c r="AE334" s="7"/>
      <c r="AF334" s="7"/>
      <c r="AG334" s="7"/>
    </row>
    <row r="335" spans="1:33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3"/>
      <c r="I335" s="214"/>
      <c r="J335" s="214"/>
      <c r="K335" s="215"/>
      <c r="L335" s="215"/>
      <c r="M335" s="213"/>
      <c r="N335" s="213"/>
      <c r="O335" s="213"/>
      <c r="P335" s="213"/>
      <c r="Q335" s="215"/>
      <c r="R335" s="372"/>
      <c r="S335" s="215"/>
      <c r="T335" s="616">
        <f t="shared" si="25"/>
        <v>0</v>
      </c>
      <c r="U335" s="633"/>
      <c r="V335" s="648"/>
      <c r="W335" s="648"/>
      <c r="X335" s="7"/>
      <c r="Y335" s="699"/>
      <c r="Z335" s="7"/>
      <c r="AA335" s="618">
        <f t="shared" si="27"/>
        <v>0</v>
      </c>
      <c r="AB335" s="7"/>
      <c r="AC335" s="7"/>
      <c r="AD335" s="7"/>
      <c r="AE335" s="7"/>
      <c r="AF335" s="7"/>
      <c r="AG335" s="7"/>
    </row>
    <row r="336" spans="1:33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3"/>
      <c r="I336" s="214"/>
      <c r="J336" s="214"/>
      <c r="K336" s="215"/>
      <c r="L336" s="215"/>
      <c r="M336" s="213"/>
      <c r="N336" s="213"/>
      <c r="O336" s="213"/>
      <c r="P336" s="213"/>
      <c r="Q336" s="215"/>
      <c r="R336" s="372"/>
      <c r="S336" s="215"/>
      <c r="T336" s="616">
        <f t="shared" si="25"/>
        <v>0</v>
      </c>
      <c r="U336" s="633"/>
      <c r="V336" s="654"/>
      <c r="W336" s="654"/>
      <c r="X336" s="7"/>
      <c r="Y336" s="699"/>
      <c r="Z336" s="7"/>
      <c r="AA336" s="618">
        <f t="shared" si="27"/>
        <v>0</v>
      </c>
      <c r="AB336" s="7"/>
      <c r="AC336" s="7"/>
      <c r="AD336" s="7"/>
      <c r="AE336" s="7"/>
      <c r="AF336" s="7"/>
      <c r="AG336" s="7"/>
    </row>
    <row r="337" spans="1:33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3"/>
      <c r="I337" s="214"/>
      <c r="J337" s="214"/>
      <c r="K337" s="215"/>
      <c r="L337" s="215"/>
      <c r="M337" s="213"/>
      <c r="N337" s="213"/>
      <c r="O337" s="213"/>
      <c r="P337" s="213"/>
      <c r="Q337" s="215"/>
      <c r="R337" s="372"/>
      <c r="S337" s="215"/>
      <c r="T337" s="616">
        <f t="shared" si="25"/>
        <v>0</v>
      </c>
      <c r="U337" s="633"/>
      <c r="V337" s="654"/>
      <c r="W337" s="654"/>
      <c r="X337" s="7"/>
      <c r="Y337" s="699"/>
      <c r="Z337" s="7"/>
      <c r="AA337" s="618">
        <f t="shared" si="27"/>
        <v>0</v>
      </c>
      <c r="AB337" s="7"/>
      <c r="AC337" s="7"/>
      <c r="AD337" s="7"/>
      <c r="AE337" s="7"/>
      <c r="AF337" s="7"/>
      <c r="AG337" s="7"/>
    </row>
    <row r="338" spans="1:33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3"/>
      <c r="I338" s="214"/>
      <c r="J338" s="214"/>
      <c r="K338" s="215"/>
      <c r="L338" s="215"/>
      <c r="M338" s="213"/>
      <c r="N338" s="213"/>
      <c r="O338" s="213"/>
      <c r="P338" s="213"/>
      <c r="Q338" s="215"/>
      <c r="R338" s="372"/>
      <c r="S338" s="215"/>
      <c r="T338" s="616">
        <f t="shared" si="25"/>
        <v>0</v>
      </c>
      <c r="U338" s="633"/>
      <c r="V338" s="654"/>
      <c r="W338" s="654"/>
      <c r="X338" s="7"/>
      <c r="Y338" s="699"/>
      <c r="Z338" s="7"/>
      <c r="AA338" s="618">
        <f t="shared" si="27"/>
        <v>0</v>
      </c>
      <c r="AB338" s="7"/>
      <c r="AC338" s="7"/>
      <c r="AD338" s="7"/>
      <c r="AE338" s="7"/>
      <c r="AF338" s="7"/>
      <c r="AG338" s="7"/>
    </row>
    <row r="339" spans="1:33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3"/>
      <c r="I339" s="214"/>
      <c r="J339" s="214"/>
      <c r="K339" s="215"/>
      <c r="L339" s="215"/>
      <c r="M339" s="213"/>
      <c r="N339" s="213"/>
      <c r="O339" s="213"/>
      <c r="P339" s="213"/>
      <c r="Q339" s="215"/>
      <c r="R339" s="372"/>
      <c r="S339" s="215"/>
      <c r="T339" s="616">
        <f t="shared" si="25"/>
        <v>0</v>
      </c>
      <c r="U339" s="633"/>
      <c r="V339" s="654"/>
      <c r="W339" s="654"/>
      <c r="X339" s="7"/>
      <c r="Y339" s="699"/>
      <c r="Z339" s="7"/>
      <c r="AA339" s="618">
        <f t="shared" si="27"/>
        <v>0</v>
      </c>
      <c r="AB339" s="7"/>
      <c r="AC339" s="7"/>
      <c r="AD339" s="7"/>
      <c r="AE339" s="7"/>
      <c r="AF339" s="7"/>
      <c r="AG339" s="7"/>
    </row>
    <row r="340" spans="1:33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3"/>
      <c r="I340" s="214"/>
      <c r="J340" s="214"/>
      <c r="K340" s="215"/>
      <c r="L340" s="215"/>
      <c r="M340" s="213"/>
      <c r="N340" s="213"/>
      <c r="O340" s="213"/>
      <c r="P340" s="213"/>
      <c r="Q340" s="215"/>
      <c r="R340" s="372"/>
      <c r="S340" s="215"/>
      <c r="T340" s="616">
        <f t="shared" si="25"/>
        <v>0</v>
      </c>
      <c r="U340" s="633"/>
      <c r="V340" s="648"/>
      <c r="W340" s="648"/>
      <c r="X340" s="7"/>
      <c r="Y340" s="699"/>
      <c r="Z340" s="7"/>
      <c r="AA340" s="618">
        <f t="shared" si="27"/>
        <v>0</v>
      </c>
      <c r="AB340" s="7"/>
      <c r="AC340" s="7"/>
      <c r="AD340" s="7"/>
      <c r="AE340" s="7"/>
      <c r="AF340" s="7"/>
      <c r="AG340" s="7"/>
    </row>
    <row r="341" spans="1:33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3"/>
      <c r="I341" s="214"/>
      <c r="J341" s="214"/>
      <c r="K341" s="215"/>
      <c r="L341" s="215"/>
      <c r="M341" s="213"/>
      <c r="N341" s="213"/>
      <c r="O341" s="213"/>
      <c r="P341" s="213"/>
      <c r="Q341" s="215"/>
      <c r="R341" s="372"/>
      <c r="S341" s="215"/>
      <c r="T341" s="616">
        <f t="shared" si="25"/>
        <v>0</v>
      </c>
      <c r="U341" s="633"/>
      <c r="V341" s="654"/>
      <c r="W341" s="654"/>
      <c r="X341" s="7"/>
      <c r="Y341" s="699"/>
      <c r="Z341" s="7"/>
      <c r="AA341" s="618">
        <f t="shared" si="27"/>
        <v>0</v>
      </c>
      <c r="AB341" s="7"/>
      <c r="AC341" s="7"/>
      <c r="AD341" s="7"/>
      <c r="AE341" s="7"/>
      <c r="AF341" s="7"/>
      <c r="AG341" s="7"/>
    </row>
    <row r="342" spans="1:33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3"/>
      <c r="I342" s="214"/>
      <c r="J342" s="214"/>
      <c r="K342" s="215"/>
      <c r="L342" s="215"/>
      <c r="M342" s="213"/>
      <c r="N342" s="213"/>
      <c r="O342" s="213"/>
      <c r="P342" s="213"/>
      <c r="Q342" s="215"/>
      <c r="R342" s="372"/>
      <c r="S342" s="215"/>
      <c r="T342" s="616">
        <f t="shared" si="25"/>
        <v>0</v>
      </c>
      <c r="U342" s="633"/>
      <c r="V342" s="654"/>
      <c r="W342" s="654"/>
      <c r="X342" s="7"/>
      <c r="Y342" s="699"/>
      <c r="Z342" s="7"/>
      <c r="AA342" s="618">
        <f t="shared" si="27"/>
        <v>0</v>
      </c>
      <c r="AB342" s="7"/>
      <c r="AC342" s="7"/>
      <c r="AD342" s="7"/>
      <c r="AE342" s="7"/>
      <c r="AF342" s="7"/>
      <c r="AG342" s="7"/>
    </row>
    <row r="343" spans="1:33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3"/>
      <c r="I343" s="214"/>
      <c r="J343" s="214"/>
      <c r="K343" s="215"/>
      <c r="L343" s="215"/>
      <c r="M343" s="213"/>
      <c r="N343" s="213"/>
      <c r="O343" s="213"/>
      <c r="P343" s="213"/>
      <c r="Q343" s="215"/>
      <c r="R343" s="372"/>
      <c r="S343" s="215"/>
      <c r="T343" s="616">
        <f t="shared" si="25"/>
        <v>0</v>
      </c>
      <c r="U343" s="633"/>
      <c r="V343" s="654"/>
      <c r="W343" s="654"/>
      <c r="X343" s="7"/>
      <c r="Y343" s="699"/>
      <c r="Z343" s="7"/>
      <c r="AA343" s="618">
        <f t="shared" si="27"/>
        <v>0</v>
      </c>
      <c r="AB343" s="7"/>
      <c r="AC343" s="7"/>
      <c r="AD343" s="7"/>
      <c r="AE343" s="7"/>
      <c r="AF343" s="7"/>
      <c r="AG343" s="7"/>
    </row>
    <row r="344" spans="1:33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3"/>
      <c r="I344" s="214"/>
      <c r="J344" s="214"/>
      <c r="K344" s="215"/>
      <c r="L344" s="215"/>
      <c r="M344" s="213"/>
      <c r="N344" s="213"/>
      <c r="O344" s="213"/>
      <c r="P344" s="213"/>
      <c r="Q344" s="215"/>
      <c r="R344" s="372"/>
      <c r="S344" s="215"/>
      <c r="T344" s="616">
        <f t="shared" si="25"/>
        <v>0</v>
      </c>
      <c r="U344" s="633"/>
      <c r="V344" s="654"/>
      <c r="W344" s="654"/>
      <c r="X344" s="7"/>
      <c r="Y344" s="699"/>
      <c r="Z344" s="7"/>
      <c r="AA344" s="618">
        <f t="shared" si="27"/>
        <v>0</v>
      </c>
      <c r="AB344" s="7"/>
      <c r="AC344" s="7"/>
      <c r="AD344" s="7"/>
      <c r="AE344" s="7"/>
      <c r="AF344" s="7"/>
      <c r="AG344" s="7"/>
    </row>
    <row r="345" spans="1:33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3"/>
      <c r="I345" s="214"/>
      <c r="J345" s="214"/>
      <c r="K345" s="215"/>
      <c r="L345" s="215"/>
      <c r="M345" s="213"/>
      <c r="N345" s="213"/>
      <c r="O345" s="213"/>
      <c r="P345" s="213"/>
      <c r="Q345" s="215"/>
      <c r="R345" s="372"/>
      <c r="S345" s="215"/>
      <c r="T345" s="616">
        <f t="shared" si="25"/>
        <v>0</v>
      </c>
      <c r="U345" s="633"/>
      <c r="V345" s="654"/>
      <c r="W345" s="654"/>
      <c r="X345" s="7"/>
      <c r="Y345" s="699"/>
      <c r="Z345" s="7"/>
      <c r="AA345" s="618">
        <f t="shared" si="27"/>
        <v>0</v>
      </c>
      <c r="AB345" s="7"/>
      <c r="AC345" s="7"/>
      <c r="AD345" s="7"/>
      <c r="AE345" s="7"/>
      <c r="AF345" s="7"/>
      <c r="AG345" s="7"/>
    </row>
    <row r="346" spans="1:33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3"/>
      <c r="I346" s="214"/>
      <c r="J346" s="214"/>
      <c r="K346" s="215"/>
      <c r="L346" s="215"/>
      <c r="M346" s="213"/>
      <c r="N346" s="213"/>
      <c r="O346" s="213"/>
      <c r="P346" s="213"/>
      <c r="Q346" s="215"/>
      <c r="R346" s="372"/>
      <c r="S346" s="215"/>
      <c r="T346" s="616">
        <f t="shared" si="25"/>
        <v>0</v>
      </c>
      <c r="U346" s="633"/>
      <c r="V346" s="636"/>
      <c r="W346" s="636"/>
      <c r="X346" s="7"/>
      <c r="Y346" s="699"/>
      <c r="Z346" s="7"/>
      <c r="AA346" s="618">
        <f t="shared" si="27"/>
        <v>0</v>
      </c>
      <c r="AB346" s="7"/>
      <c r="AC346" s="7"/>
      <c r="AD346" s="7"/>
      <c r="AE346" s="7"/>
      <c r="AF346" s="7"/>
      <c r="AG346" s="7"/>
    </row>
    <row r="347" spans="1:33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3"/>
      <c r="I347" s="214"/>
      <c r="J347" s="214"/>
      <c r="K347" s="215"/>
      <c r="L347" s="215"/>
      <c r="M347" s="213"/>
      <c r="N347" s="213"/>
      <c r="O347" s="213"/>
      <c r="P347" s="213"/>
      <c r="Q347" s="215"/>
      <c r="R347" s="372"/>
      <c r="S347" s="215"/>
      <c r="T347" s="616">
        <f t="shared" si="25"/>
        <v>0</v>
      </c>
      <c r="U347" s="633"/>
      <c r="V347" s="636"/>
      <c r="W347" s="636"/>
      <c r="X347" s="7"/>
      <c r="Y347" s="699"/>
      <c r="Z347" s="7"/>
      <c r="AA347" s="618">
        <f t="shared" si="27"/>
        <v>0</v>
      </c>
      <c r="AB347" s="7"/>
      <c r="AC347" s="7"/>
      <c r="AD347" s="7"/>
      <c r="AE347" s="7"/>
      <c r="AF347" s="7"/>
      <c r="AG347" s="7"/>
    </row>
    <row r="348" spans="1:33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3"/>
      <c r="I348" s="214"/>
      <c r="J348" s="214"/>
      <c r="K348" s="215"/>
      <c r="L348" s="215"/>
      <c r="M348" s="213"/>
      <c r="N348" s="213"/>
      <c r="O348" s="213"/>
      <c r="P348" s="213"/>
      <c r="Q348" s="215"/>
      <c r="R348" s="372"/>
      <c r="S348" s="215"/>
      <c r="T348" s="616">
        <f t="shared" si="25"/>
        <v>0</v>
      </c>
      <c r="U348" s="633"/>
      <c r="V348" s="636"/>
      <c r="W348" s="636"/>
      <c r="X348" s="7"/>
      <c r="Y348" s="699"/>
      <c r="Z348" s="7"/>
      <c r="AA348" s="618">
        <f t="shared" si="27"/>
        <v>0</v>
      </c>
      <c r="AB348" s="7"/>
      <c r="AC348" s="7"/>
      <c r="AD348" s="7"/>
      <c r="AE348" s="7"/>
      <c r="AF348" s="7"/>
      <c r="AG348" s="7"/>
    </row>
    <row r="349" spans="1:33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3"/>
      <c r="I349" s="214"/>
      <c r="J349" s="214"/>
      <c r="K349" s="215"/>
      <c r="L349" s="215"/>
      <c r="M349" s="213"/>
      <c r="N349" s="213"/>
      <c r="O349" s="213"/>
      <c r="P349" s="213"/>
      <c r="Q349" s="215"/>
      <c r="R349" s="372"/>
      <c r="S349" s="215"/>
      <c r="T349" s="616">
        <f t="shared" si="25"/>
        <v>0</v>
      </c>
      <c r="U349" s="633"/>
      <c r="V349" s="636"/>
      <c r="W349" s="636"/>
      <c r="X349" s="7"/>
      <c r="Y349" s="699"/>
      <c r="Z349" s="7"/>
      <c r="AA349" s="618">
        <f t="shared" si="27"/>
        <v>0</v>
      </c>
      <c r="AB349" s="7"/>
      <c r="AC349" s="7"/>
      <c r="AD349" s="7"/>
      <c r="AE349" s="7"/>
      <c r="AF349" s="7"/>
      <c r="AG349" s="7"/>
    </row>
    <row r="350" spans="1:33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3"/>
      <c r="I350" s="214"/>
      <c r="J350" s="214"/>
      <c r="K350" s="215"/>
      <c r="L350" s="215"/>
      <c r="M350" s="213"/>
      <c r="N350" s="213"/>
      <c r="O350" s="213"/>
      <c r="P350" s="213"/>
      <c r="Q350" s="215"/>
      <c r="R350" s="372"/>
      <c r="S350" s="215"/>
      <c r="T350" s="616">
        <f t="shared" si="25"/>
        <v>0</v>
      </c>
      <c r="U350" s="633"/>
      <c r="V350" s="636"/>
      <c r="W350" s="636"/>
      <c r="X350" s="7"/>
      <c r="Y350" s="699"/>
      <c r="Z350" s="7"/>
      <c r="AA350" s="618">
        <f t="shared" si="27"/>
        <v>0</v>
      </c>
      <c r="AB350" s="7"/>
      <c r="AC350" s="7"/>
      <c r="AD350" s="7"/>
      <c r="AE350" s="7"/>
      <c r="AF350" s="7"/>
      <c r="AG350" s="7"/>
    </row>
    <row r="351" spans="1:33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3"/>
      <c r="I351" s="214"/>
      <c r="J351" s="214"/>
      <c r="K351" s="215"/>
      <c r="L351" s="215"/>
      <c r="M351" s="213"/>
      <c r="N351" s="213"/>
      <c r="O351" s="213"/>
      <c r="P351" s="213"/>
      <c r="Q351" s="215"/>
      <c r="R351" s="372"/>
      <c r="S351" s="215"/>
      <c r="T351" s="616">
        <f t="shared" si="25"/>
        <v>0</v>
      </c>
      <c r="U351" s="633"/>
      <c r="V351" s="636"/>
      <c r="W351" s="636"/>
      <c r="X351" s="7"/>
      <c r="Y351" s="699"/>
      <c r="Z351" s="7"/>
      <c r="AA351" s="618">
        <f t="shared" si="27"/>
        <v>0</v>
      </c>
      <c r="AB351" s="7"/>
      <c r="AC351" s="7"/>
      <c r="AD351" s="7"/>
      <c r="AE351" s="7"/>
      <c r="AF351" s="7"/>
      <c r="AG351" s="7"/>
    </row>
    <row r="352" spans="1:33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3"/>
      <c r="I352" s="214"/>
      <c r="J352" s="214"/>
      <c r="K352" s="215"/>
      <c r="L352" s="215"/>
      <c r="M352" s="213"/>
      <c r="N352" s="213"/>
      <c r="O352" s="213"/>
      <c r="P352" s="213"/>
      <c r="Q352" s="215"/>
      <c r="R352" s="372"/>
      <c r="S352" s="215"/>
      <c r="T352" s="616">
        <f t="shared" si="25"/>
        <v>0</v>
      </c>
      <c r="U352" s="633"/>
      <c r="V352" s="636"/>
      <c r="W352" s="636"/>
      <c r="X352" s="7"/>
      <c r="Y352" s="699"/>
      <c r="Z352" s="7"/>
      <c r="AA352" s="618">
        <f t="shared" si="27"/>
        <v>0</v>
      </c>
      <c r="AB352" s="7"/>
      <c r="AC352" s="7"/>
      <c r="AD352" s="7"/>
      <c r="AE352" s="7"/>
      <c r="AF352" s="7"/>
      <c r="AG352" s="7"/>
    </row>
    <row r="353" spans="1:33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3"/>
      <c r="I353" s="214"/>
      <c r="J353" s="214"/>
      <c r="K353" s="215"/>
      <c r="L353" s="215"/>
      <c r="M353" s="213"/>
      <c r="N353" s="213"/>
      <c r="O353" s="213"/>
      <c r="P353" s="213"/>
      <c r="Q353" s="215"/>
      <c r="R353" s="372"/>
      <c r="S353" s="215"/>
      <c r="T353" s="616">
        <f t="shared" si="25"/>
        <v>0</v>
      </c>
      <c r="U353" s="633"/>
      <c r="V353" s="640"/>
      <c r="W353" s="640"/>
      <c r="X353" s="7"/>
      <c r="Y353" s="699"/>
      <c r="Z353" s="7"/>
      <c r="AA353" s="618">
        <f t="shared" si="27"/>
        <v>0</v>
      </c>
      <c r="AB353" s="7"/>
      <c r="AC353" s="7"/>
      <c r="AD353" s="7"/>
      <c r="AE353" s="7"/>
      <c r="AF353" s="7"/>
      <c r="AG353" s="7"/>
    </row>
    <row r="354" spans="1:33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3"/>
      <c r="I354" s="214"/>
      <c r="J354" s="214"/>
      <c r="K354" s="215"/>
      <c r="L354" s="215"/>
      <c r="M354" s="213"/>
      <c r="N354" s="213"/>
      <c r="O354" s="213"/>
      <c r="P354" s="213"/>
      <c r="Q354" s="215"/>
      <c r="R354" s="372"/>
      <c r="S354" s="215"/>
      <c r="T354" s="616">
        <f t="shared" si="25"/>
        <v>0</v>
      </c>
      <c r="U354" s="633"/>
      <c r="V354" s="547"/>
      <c r="W354" s="547"/>
      <c r="X354" s="7"/>
      <c r="Y354" s="699"/>
      <c r="Z354" s="7"/>
      <c r="AA354" s="618">
        <f t="shared" si="27"/>
        <v>0</v>
      </c>
      <c r="AB354" s="7"/>
      <c r="AC354" s="7"/>
      <c r="AD354" s="7"/>
      <c r="AE354" s="7"/>
      <c r="AF354" s="7"/>
      <c r="AG354" s="7"/>
    </row>
    <row r="355" spans="1:33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3"/>
      <c r="I355" s="214"/>
      <c r="J355" s="214"/>
      <c r="K355" s="215"/>
      <c r="L355" s="215"/>
      <c r="M355" s="213"/>
      <c r="N355" s="213"/>
      <c r="O355" s="213"/>
      <c r="P355" s="213"/>
      <c r="Q355" s="215"/>
      <c r="R355" s="372"/>
      <c r="S355" s="215"/>
      <c r="T355" s="616">
        <f t="shared" si="25"/>
        <v>0</v>
      </c>
      <c r="U355" s="633"/>
      <c r="V355" s="666"/>
      <c r="W355" s="666"/>
      <c r="X355" s="7"/>
      <c r="Y355" s="699"/>
      <c r="Z355" s="7"/>
      <c r="AA355" s="618">
        <f t="shared" si="27"/>
        <v>0</v>
      </c>
      <c r="AB355" s="7"/>
      <c r="AC355" s="7"/>
      <c r="AD355" s="7"/>
      <c r="AE355" s="7"/>
      <c r="AF355" s="7"/>
      <c r="AG355" s="7"/>
    </row>
    <row r="356" spans="1:33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3"/>
      <c r="I356" s="214"/>
      <c r="J356" s="214"/>
      <c r="K356" s="215"/>
      <c r="L356" s="215"/>
      <c r="M356" s="213"/>
      <c r="N356" s="213"/>
      <c r="O356" s="213"/>
      <c r="P356" s="213"/>
      <c r="Q356" s="215"/>
      <c r="R356" s="372"/>
      <c r="S356" s="215"/>
      <c r="T356" s="616">
        <f t="shared" si="25"/>
        <v>0</v>
      </c>
      <c r="U356" s="633"/>
      <c r="V356" s="666"/>
      <c r="W356" s="666"/>
      <c r="X356" s="7"/>
      <c r="Y356" s="699"/>
      <c r="Z356" s="7"/>
      <c r="AA356" s="618">
        <f t="shared" si="27"/>
        <v>0</v>
      </c>
      <c r="AB356" s="7"/>
      <c r="AC356" s="7"/>
      <c r="AD356" s="7"/>
      <c r="AE356" s="7"/>
      <c r="AF356" s="7"/>
      <c r="AG356" s="7"/>
    </row>
    <row r="357" spans="1:33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3"/>
      <c r="I357" s="214"/>
      <c r="J357" s="214"/>
      <c r="K357" s="215"/>
      <c r="L357" s="215"/>
      <c r="M357" s="213"/>
      <c r="N357" s="213"/>
      <c r="O357" s="213"/>
      <c r="P357" s="213"/>
      <c r="Q357" s="215"/>
      <c r="R357" s="372"/>
      <c r="S357" s="215"/>
      <c r="T357" s="616">
        <f t="shared" si="25"/>
        <v>0</v>
      </c>
      <c r="U357" s="633"/>
      <c r="V357" s="542"/>
      <c r="W357" s="542"/>
      <c r="X357" s="7"/>
      <c r="Y357" s="699"/>
      <c r="Z357" s="7"/>
      <c r="AA357" s="618">
        <f t="shared" si="27"/>
        <v>0</v>
      </c>
      <c r="AB357" s="7"/>
      <c r="AC357" s="7"/>
      <c r="AD357" s="7"/>
      <c r="AE357" s="7"/>
      <c r="AF357" s="7"/>
      <c r="AG357" s="7"/>
    </row>
    <row r="358" spans="1:33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3"/>
      <c r="I358" s="214"/>
      <c r="J358" s="214"/>
      <c r="K358" s="215"/>
      <c r="L358" s="215"/>
      <c r="M358" s="213"/>
      <c r="N358" s="213"/>
      <c r="O358" s="213"/>
      <c r="P358" s="213"/>
      <c r="Q358" s="215"/>
      <c r="R358" s="372"/>
      <c r="S358" s="215"/>
      <c r="T358" s="616">
        <f t="shared" si="25"/>
        <v>0</v>
      </c>
      <c r="U358" s="633"/>
      <c r="V358" s="542"/>
      <c r="W358" s="542"/>
      <c r="X358" s="7"/>
      <c r="Y358" s="699"/>
      <c r="Z358" s="7"/>
      <c r="AA358" s="618">
        <f t="shared" si="27"/>
        <v>0</v>
      </c>
      <c r="AB358" s="7"/>
      <c r="AC358" s="7"/>
      <c r="AD358" s="7"/>
      <c r="AE358" s="7"/>
      <c r="AF358" s="7"/>
      <c r="AG358" s="7"/>
    </row>
    <row r="359" spans="1:33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3"/>
      <c r="I359" s="214"/>
      <c r="J359" s="214"/>
      <c r="K359" s="215"/>
      <c r="L359" s="215"/>
      <c r="M359" s="213"/>
      <c r="N359" s="213"/>
      <c r="O359" s="213"/>
      <c r="P359" s="213"/>
      <c r="Q359" s="215"/>
      <c r="R359" s="372"/>
      <c r="S359" s="215"/>
      <c r="T359" s="616">
        <f t="shared" si="25"/>
        <v>0</v>
      </c>
      <c r="U359" s="633"/>
      <c r="V359" s="542"/>
      <c r="W359" s="542"/>
      <c r="X359" s="7"/>
      <c r="Y359" s="699"/>
      <c r="Z359" s="7"/>
      <c r="AA359" s="618">
        <f t="shared" si="27"/>
        <v>0</v>
      </c>
      <c r="AB359" s="7"/>
      <c r="AC359" s="7"/>
      <c r="AD359" s="7"/>
      <c r="AE359" s="7"/>
      <c r="AF359" s="7"/>
      <c r="AG359" s="7"/>
    </row>
    <row r="360" spans="1:33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3"/>
      <c r="I360" s="214"/>
      <c r="J360" s="214"/>
      <c r="K360" s="215"/>
      <c r="L360" s="215"/>
      <c r="M360" s="213"/>
      <c r="N360" s="213"/>
      <c r="O360" s="213"/>
      <c r="P360" s="213"/>
      <c r="Q360" s="215"/>
      <c r="R360" s="372"/>
      <c r="S360" s="215"/>
      <c r="T360" s="616">
        <f t="shared" si="25"/>
        <v>0</v>
      </c>
      <c r="U360" s="633"/>
      <c r="V360" s="542"/>
      <c r="W360" s="542"/>
      <c r="X360" s="7"/>
      <c r="Y360" s="699"/>
      <c r="Z360" s="7"/>
      <c r="AA360" s="618">
        <f t="shared" si="27"/>
        <v>0</v>
      </c>
      <c r="AB360" s="7"/>
      <c r="AC360" s="7"/>
      <c r="AD360" s="7"/>
      <c r="AE360" s="7"/>
      <c r="AF360" s="7"/>
      <c r="AG360" s="7"/>
    </row>
    <row r="361" spans="1:33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3"/>
      <c r="I361" s="214"/>
      <c r="J361" s="214"/>
      <c r="K361" s="215"/>
      <c r="L361" s="215"/>
      <c r="M361" s="213"/>
      <c r="N361" s="213"/>
      <c r="O361" s="213"/>
      <c r="P361" s="213"/>
      <c r="Q361" s="215"/>
      <c r="R361" s="372"/>
      <c r="S361" s="215"/>
      <c r="T361" s="616">
        <f t="shared" si="25"/>
        <v>0</v>
      </c>
      <c r="U361" s="633"/>
      <c r="V361" s="547"/>
      <c r="W361" s="547"/>
      <c r="X361" s="7"/>
      <c r="Y361" s="699"/>
      <c r="Z361" s="7"/>
      <c r="AA361" s="618">
        <f t="shared" si="27"/>
        <v>0</v>
      </c>
      <c r="AB361" s="7"/>
      <c r="AC361" s="7"/>
      <c r="AD361" s="7"/>
      <c r="AE361" s="7"/>
      <c r="AF361" s="7"/>
      <c r="AG361" s="7"/>
    </row>
    <row r="362" spans="1:33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3"/>
      <c r="I362" s="214"/>
      <c r="J362" s="214"/>
      <c r="K362" s="215"/>
      <c r="L362" s="215"/>
      <c r="M362" s="213"/>
      <c r="N362" s="213"/>
      <c r="O362" s="213"/>
      <c r="P362" s="213"/>
      <c r="Q362" s="215"/>
      <c r="R362" s="372"/>
      <c r="S362" s="215"/>
      <c r="T362" s="616">
        <f t="shared" si="25"/>
        <v>0</v>
      </c>
      <c r="U362" s="633"/>
      <c r="V362" s="241"/>
      <c r="W362" s="241"/>
      <c r="X362" s="7"/>
      <c r="Y362" s="699"/>
      <c r="Z362" s="7"/>
      <c r="AA362" s="618">
        <f t="shared" si="27"/>
        <v>0</v>
      </c>
      <c r="AB362" s="7"/>
      <c r="AC362" s="7"/>
      <c r="AD362" s="7"/>
      <c r="AE362" s="7"/>
      <c r="AF362" s="7"/>
      <c r="AG362" s="7"/>
    </row>
    <row r="363" spans="1:33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3"/>
      <c r="I363" s="214"/>
      <c r="J363" s="214"/>
      <c r="K363" s="215"/>
      <c r="L363" s="215"/>
      <c r="M363" s="213"/>
      <c r="N363" s="213"/>
      <c r="O363" s="213"/>
      <c r="P363" s="213"/>
      <c r="Q363" s="215"/>
      <c r="R363" s="372"/>
      <c r="S363" s="215"/>
      <c r="T363" s="616">
        <f t="shared" si="25"/>
        <v>0</v>
      </c>
      <c r="U363" s="633"/>
      <c r="V363" s="241"/>
      <c r="W363" s="241"/>
      <c r="X363" s="7"/>
      <c r="Y363" s="699"/>
      <c r="Z363" s="7"/>
      <c r="AA363" s="618">
        <f t="shared" si="27"/>
        <v>0</v>
      </c>
      <c r="AB363" s="7"/>
      <c r="AC363" s="7"/>
      <c r="AD363" s="7"/>
      <c r="AE363" s="7"/>
      <c r="AF363" s="7"/>
      <c r="AG363" s="7"/>
    </row>
    <row r="364" spans="1:33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3"/>
      <c r="I364" s="214"/>
      <c r="J364" s="214"/>
      <c r="K364" s="215"/>
      <c r="L364" s="215"/>
      <c r="M364" s="213"/>
      <c r="N364" s="213"/>
      <c r="O364" s="213"/>
      <c r="P364" s="213"/>
      <c r="Q364" s="215"/>
      <c r="R364" s="372"/>
      <c r="S364" s="215"/>
      <c r="T364" s="616">
        <f t="shared" si="25"/>
        <v>0</v>
      </c>
      <c r="U364" s="633"/>
      <c r="V364" s="241"/>
      <c r="W364" s="241"/>
      <c r="X364" s="7"/>
      <c r="Y364" s="699"/>
      <c r="Z364" s="7"/>
      <c r="AA364" s="618">
        <f t="shared" si="27"/>
        <v>0</v>
      </c>
      <c r="AB364" s="7"/>
      <c r="AC364" s="7"/>
      <c r="AD364" s="7"/>
      <c r="AE364" s="7"/>
      <c r="AF364" s="7"/>
      <c r="AG364" s="7"/>
    </row>
    <row r="365" spans="1:33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3"/>
      <c r="I365" s="214"/>
      <c r="J365" s="214"/>
      <c r="K365" s="215"/>
      <c r="L365" s="215"/>
      <c r="M365" s="213"/>
      <c r="N365" s="213"/>
      <c r="O365" s="213"/>
      <c r="P365" s="213"/>
      <c r="Q365" s="215"/>
      <c r="R365" s="372"/>
      <c r="S365" s="215"/>
      <c r="T365" s="616">
        <f t="shared" si="25"/>
        <v>0</v>
      </c>
      <c r="U365" s="633"/>
      <c r="V365" s="241"/>
      <c r="W365" s="241"/>
      <c r="X365" s="7"/>
      <c r="Y365" s="699"/>
      <c r="Z365" s="7"/>
      <c r="AA365" s="618">
        <f t="shared" si="27"/>
        <v>0</v>
      </c>
      <c r="AB365" s="7"/>
      <c r="AC365" s="7"/>
      <c r="AD365" s="7"/>
      <c r="AE365" s="7"/>
      <c r="AF365" s="7"/>
      <c r="AG365" s="7"/>
    </row>
    <row r="366" spans="1:33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3"/>
      <c r="I366" s="214"/>
      <c r="J366" s="214"/>
      <c r="K366" s="215"/>
      <c r="L366" s="215"/>
      <c r="M366" s="213"/>
      <c r="N366" s="213"/>
      <c r="O366" s="213"/>
      <c r="P366" s="213"/>
      <c r="Q366" s="215"/>
      <c r="R366" s="372"/>
      <c r="S366" s="215"/>
      <c r="T366" s="616">
        <f t="shared" si="25"/>
        <v>0</v>
      </c>
      <c r="U366" s="633"/>
      <c r="V366" s="547"/>
      <c r="W366" s="547"/>
      <c r="X366" s="7"/>
      <c r="Y366" s="699"/>
      <c r="Z366" s="7"/>
      <c r="AA366" s="618">
        <f t="shared" si="27"/>
        <v>0</v>
      </c>
      <c r="AB366" s="7"/>
      <c r="AC366" s="7"/>
      <c r="AD366" s="7"/>
      <c r="AE366" s="7"/>
      <c r="AF366" s="7"/>
      <c r="AG366" s="7"/>
    </row>
    <row r="367" spans="1:33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3"/>
      <c r="I367" s="214"/>
      <c r="J367" s="214"/>
      <c r="K367" s="215"/>
      <c r="L367" s="215"/>
      <c r="M367" s="213"/>
      <c r="N367" s="213"/>
      <c r="O367" s="213"/>
      <c r="P367" s="213"/>
      <c r="Q367" s="215"/>
      <c r="R367" s="372"/>
      <c r="S367" s="215"/>
      <c r="T367" s="616">
        <f t="shared" si="25"/>
        <v>0</v>
      </c>
      <c r="U367" s="633"/>
      <c r="V367" s="547"/>
      <c r="W367" s="547"/>
      <c r="X367" s="7"/>
      <c r="Y367" s="699"/>
      <c r="Z367" s="7"/>
      <c r="AA367" s="618">
        <f t="shared" si="27"/>
        <v>0</v>
      </c>
      <c r="AB367" s="7"/>
      <c r="AC367" s="7"/>
      <c r="AD367" s="7"/>
      <c r="AE367" s="7"/>
      <c r="AF367" s="7"/>
      <c r="AG367" s="7"/>
    </row>
    <row r="368" spans="1:33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3"/>
      <c r="I368" s="214"/>
      <c r="J368" s="214"/>
      <c r="K368" s="215"/>
      <c r="L368" s="215"/>
      <c r="M368" s="213"/>
      <c r="N368" s="213"/>
      <c r="O368" s="213"/>
      <c r="P368" s="213"/>
      <c r="Q368" s="215"/>
      <c r="R368" s="372"/>
      <c r="S368" s="215"/>
      <c r="T368" s="616">
        <f t="shared" si="25"/>
        <v>0</v>
      </c>
      <c r="U368" s="633"/>
      <c r="V368" s="640"/>
      <c r="W368" s="640"/>
      <c r="X368" s="7"/>
      <c r="Y368" s="699"/>
      <c r="Z368" s="7"/>
      <c r="AA368" s="618">
        <f t="shared" si="27"/>
        <v>0</v>
      </c>
      <c r="AB368" s="7"/>
      <c r="AC368" s="7"/>
      <c r="AD368" s="7"/>
      <c r="AE368" s="7"/>
      <c r="AF368" s="7"/>
      <c r="AG368" s="7"/>
    </row>
    <row r="369" spans="1:33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>
        <v>7</v>
      </c>
      <c r="H369" s="213"/>
      <c r="I369" s="214"/>
      <c r="J369" s="214"/>
      <c r="K369" s="215">
        <v>5</v>
      </c>
      <c r="L369" s="215"/>
      <c r="M369" s="213"/>
      <c r="N369" s="213"/>
      <c r="O369" s="213">
        <v>5</v>
      </c>
      <c r="P369" s="213"/>
      <c r="Q369" s="215"/>
      <c r="R369" s="372">
        <v>1</v>
      </c>
      <c r="S369" s="215"/>
      <c r="T369" s="616">
        <f t="shared" si="25"/>
        <v>18</v>
      </c>
      <c r="U369" s="633"/>
      <c r="V369" s="636"/>
      <c r="W369" s="636"/>
      <c r="X369" s="7"/>
      <c r="Y369" s="699"/>
      <c r="Z369" s="7"/>
      <c r="AA369" s="618"/>
      <c r="AB369" s="7"/>
      <c r="AC369" s="7"/>
      <c r="AD369" s="7"/>
      <c r="AE369" s="7"/>
      <c r="AF369" s="7"/>
      <c r="AG369" s="7"/>
    </row>
    <row r="370" spans="1:33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3"/>
      <c r="I370" s="214"/>
      <c r="J370" s="214"/>
      <c r="K370" s="215"/>
      <c r="L370" s="215"/>
      <c r="M370" s="213"/>
      <c r="N370" s="213"/>
      <c r="O370" s="213"/>
      <c r="P370" s="213"/>
      <c r="Q370" s="215"/>
      <c r="R370" s="372"/>
      <c r="S370" s="315"/>
      <c r="T370" s="616">
        <f t="shared" si="25"/>
        <v>0</v>
      </c>
      <c r="U370" s="633"/>
      <c r="V370" s="648"/>
      <c r="W370" s="648"/>
      <c r="X370" s="7"/>
      <c r="Y370" s="699"/>
      <c r="Z370" s="7"/>
      <c r="AA370" s="618"/>
      <c r="AB370" s="7"/>
      <c r="AC370" s="7"/>
      <c r="AD370" s="7"/>
      <c r="AE370" s="7"/>
      <c r="AF370" s="7"/>
      <c r="AG370" s="7"/>
    </row>
    <row r="371" spans="1:33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213"/>
      <c r="I371" s="214"/>
      <c r="J371" s="214"/>
      <c r="K371" s="215"/>
      <c r="L371" s="215"/>
      <c r="M371" s="213"/>
      <c r="N371" s="213"/>
      <c r="O371" s="213"/>
      <c r="P371" s="213"/>
      <c r="Q371" s="215"/>
      <c r="R371" s="372"/>
      <c r="S371" s="315"/>
      <c r="T371" s="616">
        <f t="shared" si="25"/>
        <v>0</v>
      </c>
      <c r="U371" s="633"/>
      <c r="V371" s="648"/>
      <c r="W371" s="648"/>
      <c r="X371" s="7"/>
      <c r="Y371" s="699"/>
      <c r="Z371" s="7"/>
      <c r="AA371" s="618"/>
      <c r="AB371" s="7"/>
      <c r="AC371" s="7"/>
      <c r="AD371" s="7"/>
      <c r="AE371" s="7"/>
      <c r="AF371" s="7"/>
      <c r="AG371" s="7"/>
    </row>
    <row r="372" spans="1:33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3"/>
      <c r="I372" s="214"/>
      <c r="J372" s="214"/>
      <c r="K372" s="215"/>
      <c r="L372" s="215"/>
      <c r="M372" s="213"/>
      <c r="N372" s="213"/>
      <c r="O372" s="213"/>
      <c r="P372" s="213"/>
      <c r="Q372" s="215"/>
      <c r="R372" s="372"/>
      <c r="S372" s="315"/>
      <c r="T372" s="616">
        <f t="shared" si="25"/>
        <v>0</v>
      </c>
      <c r="U372" s="633"/>
      <c r="V372" s="636"/>
      <c r="W372" s="636"/>
      <c r="X372" s="7"/>
      <c r="Y372" s="699"/>
      <c r="Z372" s="7"/>
      <c r="AA372" s="618">
        <f t="shared" ref="AA372:AA386" si="28">Y372-T372</f>
        <v>0</v>
      </c>
      <c r="AB372" s="7"/>
      <c r="AC372" s="7"/>
      <c r="AD372" s="7"/>
      <c r="AE372" s="7"/>
      <c r="AF372" s="7"/>
      <c r="AG372" s="7"/>
    </row>
    <row r="373" spans="1:33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3"/>
      <c r="I373" s="214"/>
      <c r="J373" s="214"/>
      <c r="K373" s="215"/>
      <c r="L373" s="215"/>
      <c r="M373" s="213"/>
      <c r="N373" s="213"/>
      <c r="O373" s="213"/>
      <c r="P373" s="213"/>
      <c r="Q373" s="215"/>
      <c r="R373" s="372"/>
      <c r="S373" s="315"/>
      <c r="T373" s="616">
        <f t="shared" si="25"/>
        <v>0</v>
      </c>
      <c r="U373" s="633"/>
      <c r="V373" s="648"/>
      <c r="W373" s="648"/>
      <c r="X373" s="7"/>
      <c r="Y373" s="699"/>
      <c r="Z373" s="7"/>
      <c r="AA373" s="618">
        <f t="shared" si="28"/>
        <v>0</v>
      </c>
      <c r="AB373" s="7"/>
      <c r="AC373" s="7"/>
      <c r="AD373" s="7"/>
      <c r="AE373" s="7"/>
      <c r="AF373" s="7"/>
      <c r="AG373" s="7"/>
    </row>
    <row r="374" spans="1:33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3"/>
      <c r="I374" s="214"/>
      <c r="J374" s="214"/>
      <c r="K374" s="215"/>
      <c r="L374" s="215"/>
      <c r="M374" s="213"/>
      <c r="N374" s="213"/>
      <c r="O374" s="213"/>
      <c r="P374" s="213"/>
      <c r="Q374" s="215"/>
      <c r="R374" s="372"/>
      <c r="S374" s="315"/>
      <c r="T374" s="616">
        <f t="shared" si="25"/>
        <v>0</v>
      </c>
      <c r="U374" s="633"/>
      <c r="V374" s="648"/>
      <c r="W374" s="648"/>
      <c r="X374" s="7"/>
      <c r="Y374" s="699"/>
      <c r="Z374" s="7"/>
      <c r="AA374" s="618">
        <f t="shared" si="28"/>
        <v>0</v>
      </c>
      <c r="AB374" s="7"/>
      <c r="AC374" s="7"/>
      <c r="AD374" s="7"/>
      <c r="AE374" s="7"/>
      <c r="AF374" s="7"/>
      <c r="AG374" s="7"/>
    </row>
    <row r="375" spans="1:33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3"/>
      <c r="I375" s="214"/>
      <c r="J375" s="214"/>
      <c r="K375" s="215"/>
      <c r="L375" s="215"/>
      <c r="M375" s="213"/>
      <c r="N375" s="213"/>
      <c r="O375" s="213"/>
      <c r="P375" s="213"/>
      <c r="Q375" s="215"/>
      <c r="R375" s="372"/>
      <c r="S375" s="315"/>
      <c r="T375" s="616">
        <f t="shared" si="25"/>
        <v>0</v>
      </c>
      <c r="U375" s="633"/>
      <c r="V375" s="636"/>
      <c r="W375" s="636"/>
      <c r="X375" s="7"/>
      <c r="Y375" s="725"/>
      <c r="Z375" s="7"/>
      <c r="AA375" s="618">
        <f t="shared" si="28"/>
        <v>0</v>
      </c>
      <c r="AB375" s="7"/>
      <c r="AC375" s="7"/>
      <c r="AD375" s="7"/>
      <c r="AE375" s="7"/>
      <c r="AF375" s="7"/>
      <c r="AG375" s="7"/>
    </row>
    <row r="376" spans="1:33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3"/>
      <c r="I376" s="214"/>
      <c r="J376" s="214"/>
      <c r="K376" s="215"/>
      <c r="L376" s="215"/>
      <c r="M376" s="213"/>
      <c r="N376" s="213"/>
      <c r="O376" s="213"/>
      <c r="P376" s="213"/>
      <c r="Q376" s="215"/>
      <c r="R376" s="372"/>
      <c r="S376" s="315"/>
      <c r="T376" s="616">
        <f t="shared" si="25"/>
        <v>0</v>
      </c>
      <c r="U376" s="633"/>
      <c r="V376" s="648"/>
      <c r="W376" s="648"/>
      <c r="X376" s="7"/>
      <c r="Y376" s="725"/>
      <c r="Z376" s="7"/>
      <c r="AA376" s="618">
        <f t="shared" si="28"/>
        <v>0</v>
      </c>
      <c r="AB376" s="7"/>
      <c r="AC376" s="7"/>
      <c r="AD376" s="7"/>
      <c r="AE376" s="7"/>
      <c r="AF376" s="7"/>
      <c r="AG376" s="7"/>
    </row>
    <row r="377" spans="1:33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3"/>
      <c r="I377" s="214"/>
      <c r="J377" s="214"/>
      <c r="K377" s="215"/>
      <c r="L377" s="215"/>
      <c r="M377" s="213"/>
      <c r="N377" s="213"/>
      <c r="O377" s="213"/>
      <c r="P377" s="213"/>
      <c r="Q377" s="215"/>
      <c r="R377" s="372"/>
      <c r="S377" s="315"/>
      <c r="T377" s="616">
        <f t="shared" si="25"/>
        <v>0</v>
      </c>
      <c r="U377" s="633"/>
      <c r="V377" s="648"/>
      <c r="W377" s="648"/>
      <c r="X377" s="7"/>
      <c r="Y377" s="725"/>
      <c r="Z377" s="7"/>
      <c r="AA377" s="618">
        <f t="shared" si="28"/>
        <v>0</v>
      </c>
      <c r="AB377" s="7"/>
      <c r="AC377" s="7"/>
      <c r="AD377" s="7"/>
      <c r="AE377" s="7"/>
      <c r="AF377" s="7"/>
      <c r="AG377" s="7"/>
    </row>
    <row r="378" spans="1:33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3"/>
      <c r="I378" s="214"/>
      <c r="J378" s="214"/>
      <c r="K378" s="215"/>
      <c r="L378" s="215"/>
      <c r="M378" s="213"/>
      <c r="N378" s="213"/>
      <c r="O378" s="213"/>
      <c r="P378" s="213"/>
      <c r="Q378" s="215"/>
      <c r="R378" s="372"/>
      <c r="S378" s="315"/>
      <c r="T378" s="616">
        <f t="shared" si="25"/>
        <v>0</v>
      </c>
      <c r="U378" s="633"/>
      <c r="V378" s="636"/>
      <c r="W378" s="636"/>
      <c r="X378" s="7"/>
      <c r="Y378" s="725"/>
      <c r="Z378" s="7"/>
      <c r="AA378" s="618">
        <f t="shared" si="28"/>
        <v>0</v>
      </c>
      <c r="AB378" s="7"/>
      <c r="AC378" s="7"/>
      <c r="AD378" s="7"/>
      <c r="AE378" s="7"/>
      <c r="AF378" s="7"/>
      <c r="AG378" s="7"/>
    </row>
    <row r="379" spans="1:33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3"/>
      <c r="I379" s="214"/>
      <c r="J379" s="214"/>
      <c r="K379" s="215"/>
      <c r="L379" s="215"/>
      <c r="M379" s="213"/>
      <c r="N379" s="213"/>
      <c r="O379" s="213"/>
      <c r="P379" s="213"/>
      <c r="Q379" s="215"/>
      <c r="R379" s="372"/>
      <c r="S379" s="315"/>
      <c r="T379" s="616">
        <f t="shared" si="25"/>
        <v>0</v>
      </c>
      <c r="U379" s="633"/>
      <c r="V379" s="648"/>
      <c r="W379" s="648"/>
      <c r="X379" s="7"/>
      <c r="Y379" s="725"/>
      <c r="Z379" s="7"/>
      <c r="AA379" s="618">
        <f t="shared" si="28"/>
        <v>0</v>
      </c>
      <c r="AB379" s="7"/>
      <c r="AC379" s="7"/>
      <c r="AD379" s="7"/>
      <c r="AE379" s="7"/>
      <c r="AF379" s="7"/>
      <c r="AG379" s="7"/>
    </row>
    <row r="380" spans="1:33" ht="21.75" customHeight="1">
      <c r="A380" s="503" t="s">
        <v>1499</v>
      </c>
      <c r="B380" s="483" t="s">
        <v>828</v>
      </c>
      <c r="C380" s="658" t="s">
        <v>829</v>
      </c>
      <c r="D380" s="504" t="s">
        <v>2451</v>
      </c>
      <c r="E380" s="213"/>
      <c r="F380" s="213"/>
      <c r="G380" s="213"/>
      <c r="H380" s="213"/>
      <c r="I380" s="214"/>
      <c r="J380" s="214"/>
      <c r="K380" s="215"/>
      <c r="L380" s="215"/>
      <c r="M380" s="213"/>
      <c r="N380" s="213"/>
      <c r="O380" s="213"/>
      <c r="P380" s="213"/>
      <c r="Q380" s="215"/>
      <c r="R380" s="372"/>
      <c r="S380" s="315"/>
      <c r="T380" s="616">
        <f t="shared" si="25"/>
        <v>0</v>
      </c>
      <c r="U380" s="633"/>
      <c r="V380" s="648"/>
      <c r="W380" s="648"/>
      <c r="X380" s="7"/>
      <c r="Y380" s="725"/>
      <c r="Z380" s="7"/>
      <c r="AA380" s="618">
        <f t="shared" si="28"/>
        <v>0</v>
      </c>
      <c r="AB380" s="7"/>
      <c r="AC380" s="7"/>
      <c r="AD380" s="7"/>
      <c r="AE380" s="7"/>
      <c r="AF380" s="7"/>
      <c r="AG380" s="7"/>
    </row>
    <row r="381" spans="1:33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3"/>
      <c r="I381" s="214"/>
      <c r="J381" s="214"/>
      <c r="K381" s="215"/>
      <c r="L381" s="215"/>
      <c r="M381" s="213"/>
      <c r="N381" s="213"/>
      <c r="O381" s="213"/>
      <c r="P381" s="213"/>
      <c r="Q381" s="215"/>
      <c r="R381" s="372"/>
      <c r="S381" s="315"/>
      <c r="T381" s="616">
        <f t="shared" si="25"/>
        <v>0</v>
      </c>
      <c r="U381" s="633"/>
      <c r="V381" s="648"/>
      <c r="W381" s="648"/>
      <c r="X381" s="7"/>
      <c r="Y381" s="725"/>
      <c r="Z381" s="7"/>
      <c r="AA381" s="618">
        <f t="shared" si="28"/>
        <v>0</v>
      </c>
      <c r="AB381" s="7"/>
      <c r="AC381" s="7"/>
      <c r="AD381" s="7"/>
      <c r="AE381" s="7"/>
      <c r="AF381" s="7"/>
      <c r="AG381" s="7"/>
    </row>
    <row r="382" spans="1:33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3"/>
      <c r="I382" s="214"/>
      <c r="J382" s="214"/>
      <c r="K382" s="215"/>
      <c r="L382" s="215"/>
      <c r="M382" s="213"/>
      <c r="N382" s="213"/>
      <c r="O382" s="213"/>
      <c r="P382" s="213"/>
      <c r="Q382" s="215"/>
      <c r="R382" s="372"/>
      <c r="S382" s="315"/>
      <c r="T382" s="616">
        <f t="shared" si="25"/>
        <v>0</v>
      </c>
      <c r="U382" s="633"/>
      <c r="V382" s="636"/>
      <c r="W382" s="636"/>
      <c r="X382" s="7"/>
      <c r="Y382" s="725"/>
      <c r="Z382" s="7"/>
      <c r="AA382" s="618">
        <f t="shared" si="28"/>
        <v>0</v>
      </c>
      <c r="AB382" s="7"/>
      <c r="AC382" s="7"/>
      <c r="AD382" s="7"/>
      <c r="AE382" s="7"/>
      <c r="AF382" s="7"/>
      <c r="AG382" s="7"/>
    </row>
    <row r="383" spans="1:33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3"/>
      <c r="I383" s="214"/>
      <c r="J383" s="214"/>
      <c r="K383" s="215"/>
      <c r="L383" s="215"/>
      <c r="M383" s="213"/>
      <c r="N383" s="213"/>
      <c r="O383" s="213"/>
      <c r="P383" s="213"/>
      <c r="Q383" s="215"/>
      <c r="R383" s="372"/>
      <c r="S383" s="315"/>
      <c r="T383" s="616">
        <f t="shared" si="25"/>
        <v>0</v>
      </c>
      <c r="U383" s="633"/>
      <c r="V383" s="636"/>
      <c r="W383" s="636"/>
      <c r="X383" s="7"/>
      <c r="Y383" s="725"/>
      <c r="Z383" s="7"/>
      <c r="AA383" s="618">
        <f t="shared" si="28"/>
        <v>0</v>
      </c>
      <c r="AB383" s="7"/>
      <c r="AC383" s="7"/>
      <c r="AD383" s="7"/>
      <c r="AE383" s="7"/>
      <c r="AF383" s="7"/>
      <c r="AG383" s="7"/>
    </row>
    <row r="384" spans="1:33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3"/>
      <c r="I384" s="214"/>
      <c r="J384" s="214"/>
      <c r="K384" s="215"/>
      <c r="L384" s="215"/>
      <c r="M384" s="213"/>
      <c r="N384" s="213"/>
      <c r="O384" s="213"/>
      <c r="P384" s="213"/>
      <c r="Q384" s="215"/>
      <c r="R384" s="372"/>
      <c r="S384" s="315"/>
      <c r="T384" s="616">
        <f t="shared" si="25"/>
        <v>0</v>
      </c>
      <c r="U384" s="633"/>
      <c r="V384" s="648"/>
      <c r="W384" s="648"/>
      <c r="X384" s="7"/>
      <c r="Y384" s="725"/>
      <c r="Z384" s="7"/>
      <c r="AA384" s="618">
        <f t="shared" si="28"/>
        <v>0</v>
      </c>
      <c r="AB384" s="7"/>
      <c r="AC384" s="7"/>
      <c r="AD384" s="7"/>
      <c r="AE384" s="7"/>
      <c r="AF384" s="7"/>
      <c r="AG384" s="7"/>
    </row>
    <row r="385" spans="1:33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3"/>
      <c r="I385" s="214"/>
      <c r="J385" s="214"/>
      <c r="K385" s="215"/>
      <c r="L385" s="215"/>
      <c r="M385" s="213"/>
      <c r="N385" s="213"/>
      <c r="O385" s="213"/>
      <c r="P385" s="213"/>
      <c r="Q385" s="215"/>
      <c r="R385" s="372"/>
      <c r="S385" s="315"/>
      <c r="T385" s="616">
        <f t="shared" si="25"/>
        <v>0</v>
      </c>
      <c r="U385" s="633"/>
      <c r="V385" s="648"/>
      <c r="W385" s="648"/>
      <c r="X385" s="7"/>
      <c r="Y385" s="725"/>
      <c r="Z385" s="7"/>
      <c r="AA385" s="618">
        <f t="shared" si="28"/>
        <v>0</v>
      </c>
      <c r="AB385" s="7"/>
      <c r="AC385" s="7"/>
      <c r="AD385" s="7"/>
      <c r="AE385" s="7"/>
      <c r="AF385" s="7"/>
      <c r="AG385" s="7"/>
    </row>
    <row r="386" spans="1:33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3"/>
      <c r="I386" s="214"/>
      <c r="J386" s="214"/>
      <c r="K386" s="215"/>
      <c r="L386" s="215"/>
      <c r="M386" s="213"/>
      <c r="N386" s="213"/>
      <c r="O386" s="213"/>
      <c r="P386" s="213"/>
      <c r="Q386" s="215"/>
      <c r="R386" s="372"/>
      <c r="S386" s="315"/>
      <c r="T386" s="616">
        <f t="shared" si="25"/>
        <v>0</v>
      </c>
      <c r="U386" s="633"/>
      <c r="V386" s="648"/>
      <c r="W386" s="648"/>
      <c r="X386" s="7"/>
      <c r="Y386" s="725"/>
      <c r="Z386" s="7"/>
      <c r="AA386" s="618">
        <f t="shared" si="28"/>
        <v>0</v>
      </c>
      <c r="AB386" s="7"/>
      <c r="AC386" s="7"/>
      <c r="AD386" s="7"/>
      <c r="AE386" s="7"/>
      <c r="AF386" s="7"/>
      <c r="AG386" s="7"/>
    </row>
    <row r="387" spans="1:33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3"/>
      <c r="I387" s="214"/>
      <c r="J387" s="214"/>
      <c r="K387" s="215"/>
      <c r="L387" s="215"/>
      <c r="M387" s="213"/>
      <c r="N387" s="213"/>
      <c r="O387" s="213"/>
      <c r="P387" s="213"/>
      <c r="Q387" s="215"/>
      <c r="R387" s="372"/>
      <c r="S387" s="315"/>
      <c r="T387" s="616">
        <f t="shared" si="25"/>
        <v>0</v>
      </c>
      <c r="U387" s="633"/>
      <c r="V387" s="648"/>
      <c r="W387" s="648"/>
      <c r="X387" s="7"/>
      <c r="Y387" s="725"/>
      <c r="Z387" s="7"/>
      <c r="AA387" s="618"/>
      <c r="AB387" s="7"/>
      <c r="AC387" s="7"/>
      <c r="AD387" s="7"/>
      <c r="AE387" s="7"/>
      <c r="AF387" s="7"/>
      <c r="AG387" s="7"/>
    </row>
    <row r="388" spans="1:33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3"/>
      <c r="I388" s="214"/>
      <c r="J388" s="214"/>
      <c r="K388" s="215"/>
      <c r="L388" s="215"/>
      <c r="M388" s="213"/>
      <c r="N388" s="213"/>
      <c r="O388" s="213"/>
      <c r="P388" s="213"/>
      <c r="Q388" s="215"/>
      <c r="R388" s="372"/>
      <c r="S388" s="315"/>
      <c r="T388" s="616">
        <f t="shared" si="25"/>
        <v>0</v>
      </c>
      <c r="U388" s="633"/>
      <c r="V388" s="636"/>
      <c r="W388" s="636"/>
      <c r="X388" s="7"/>
      <c r="Y388" s="725"/>
      <c r="Z388" s="7"/>
      <c r="AA388" s="618">
        <f t="shared" ref="AA388:AA437" si="29">Y388-T388</f>
        <v>0</v>
      </c>
      <c r="AB388" s="7"/>
      <c r="AC388" s="7"/>
      <c r="AD388" s="7"/>
      <c r="AE388" s="7"/>
      <c r="AF388" s="7"/>
      <c r="AG388" s="7"/>
    </row>
    <row r="389" spans="1:33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3"/>
      <c r="I389" s="214"/>
      <c r="J389" s="214"/>
      <c r="K389" s="215"/>
      <c r="L389" s="215"/>
      <c r="M389" s="213"/>
      <c r="N389" s="213"/>
      <c r="O389" s="213"/>
      <c r="P389" s="213"/>
      <c r="Q389" s="215"/>
      <c r="R389" s="372"/>
      <c r="S389" s="315"/>
      <c r="T389" s="616">
        <f t="shared" si="25"/>
        <v>0</v>
      </c>
      <c r="U389" s="633"/>
      <c r="V389" s="636"/>
      <c r="W389" s="636"/>
      <c r="X389" s="7"/>
      <c r="Y389" s="725"/>
      <c r="Z389" s="7"/>
      <c r="AA389" s="618">
        <f t="shared" si="29"/>
        <v>0</v>
      </c>
      <c r="AB389" s="7"/>
      <c r="AC389" s="7"/>
      <c r="AD389" s="7"/>
      <c r="AE389" s="7"/>
      <c r="AF389" s="7"/>
      <c r="AG389" s="7"/>
    </row>
    <row r="390" spans="1:33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3"/>
      <c r="I390" s="214"/>
      <c r="J390" s="214"/>
      <c r="K390" s="215"/>
      <c r="L390" s="215"/>
      <c r="M390" s="213"/>
      <c r="N390" s="213"/>
      <c r="O390" s="213"/>
      <c r="P390" s="213"/>
      <c r="Q390" s="215"/>
      <c r="R390" s="372"/>
      <c r="S390" s="315"/>
      <c r="T390" s="616">
        <f t="shared" si="25"/>
        <v>0</v>
      </c>
      <c r="U390" s="633"/>
      <c r="V390" s="636"/>
      <c r="W390" s="636"/>
      <c r="X390" s="7"/>
      <c r="Y390" s="725"/>
      <c r="Z390" s="7"/>
      <c r="AA390" s="618">
        <f t="shared" si="29"/>
        <v>0</v>
      </c>
      <c r="AB390" s="7"/>
      <c r="AC390" s="7"/>
      <c r="AD390" s="7"/>
      <c r="AE390" s="7"/>
      <c r="AF390" s="7"/>
      <c r="AG390" s="7"/>
    </row>
    <row r="391" spans="1:33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3"/>
      <c r="I391" s="214"/>
      <c r="J391" s="214"/>
      <c r="K391" s="215"/>
      <c r="L391" s="215"/>
      <c r="M391" s="213"/>
      <c r="N391" s="213"/>
      <c r="O391" s="213"/>
      <c r="P391" s="213"/>
      <c r="Q391" s="215"/>
      <c r="R391" s="372"/>
      <c r="S391" s="315"/>
      <c r="T391" s="616">
        <f t="shared" si="25"/>
        <v>0</v>
      </c>
      <c r="U391" s="633"/>
      <c r="V391" s="636"/>
      <c r="W391" s="636"/>
      <c r="X391" s="7"/>
      <c r="Y391" s="725"/>
      <c r="Z391" s="7"/>
      <c r="AA391" s="618">
        <f t="shared" si="29"/>
        <v>0</v>
      </c>
      <c r="AB391" s="7"/>
      <c r="AC391" s="7"/>
      <c r="AD391" s="7"/>
      <c r="AE391" s="7"/>
      <c r="AF391" s="7"/>
      <c r="AG391" s="7"/>
    </row>
    <row r="392" spans="1:33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3"/>
      <c r="I392" s="214"/>
      <c r="J392" s="214"/>
      <c r="K392" s="215"/>
      <c r="L392" s="215"/>
      <c r="M392" s="213"/>
      <c r="N392" s="213"/>
      <c r="O392" s="213"/>
      <c r="P392" s="213"/>
      <c r="Q392" s="215"/>
      <c r="R392" s="372"/>
      <c r="S392" s="315"/>
      <c r="T392" s="616">
        <f t="shared" si="25"/>
        <v>0</v>
      </c>
      <c r="U392" s="633"/>
      <c r="V392" s="636"/>
      <c r="W392" s="636"/>
      <c r="X392" s="7"/>
      <c r="Y392" s="725"/>
      <c r="Z392" s="7"/>
      <c r="AA392" s="618">
        <f t="shared" si="29"/>
        <v>0</v>
      </c>
      <c r="AB392" s="7"/>
      <c r="AC392" s="7"/>
      <c r="AD392" s="7"/>
      <c r="AE392" s="7"/>
      <c r="AF392" s="7"/>
      <c r="AG392" s="7"/>
    </row>
    <row r="393" spans="1:33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3"/>
      <c r="I393" s="214"/>
      <c r="J393" s="214"/>
      <c r="K393" s="215"/>
      <c r="L393" s="215"/>
      <c r="M393" s="213"/>
      <c r="N393" s="213"/>
      <c r="O393" s="213"/>
      <c r="P393" s="213"/>
      <c r="Q393" s="215"/>
      <c r="R393" s="372"/>
      <c r="S393" s="315"/>
      <c r="T393" s="616">
        <f t="shared" si="25"/>
        <v>0</v>
      </c>
      <c r="U393" s="633"/>
      <c r="V393" s="636"/>
      <c r="W393" s="636"/>
      <c r="X393" s="7"/>
      <c r="Y393" s="725"/>
      <c r="Z393" s="7"/>
      <c r="AA393" s="618">
        <f t="shared" si="29"/>
        <v>0</v>
      </c>
      <c r="AB393" s="7"/>
      <c r="AC393" s="7"/>
      <c r="AD393" s="7"/>
      <c r="AE393" s="7"/>
      <c r="AF393" s="7"/>
      <c r="AG393" s="7"/>
    </row>
    <row r="394" spans="1:33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3"/>
      <c r="I394" s="214"/>
      <c r="J394" s="214"/>
      <c r="K394" s="215"/>
      <c r="L394" s="215"/>
      <c r="M394" s="213"/>
      <c r="N394" s="213"/>
      <c r="O394" s="213"/>
      <c r="P394" s="213"/>
      <c r="Q394" s="215"/>
      <c r="R394" s="372"/>
      <c r="S394" s="315"/>
      <c r="T394" s="616">
        <f t="shared" si="25"/>
        <v>0</v>
      </c>
      <c r="U394" s="633"/>
      <c r="V394" s="634"/>
      <c r="W394" s="634"/>
      <c r="X394" s="7"/>
      <c r="Y394" s="725"/>
      <c r="Z394" s="7"/>
      <c r="AA394" s="618">
        <f t="shared" si="29"/>
        <v>0</v>
      </c>
      <c r="AB394" s="7"/>
      <c r="AC394" s="7"/>
      <c r="AD394" s="7"/>
      <c r="AE394" s="7"/>
      <c r="AF394" s="7"/>
      <c r="AG394" s="7"/>
    </row>
    <row r="395" spans="1:33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3"/>
      <c r="I395" s="214"/>
      <c r="J395" s="214"/>
      <c r="K395" s="215"/>
      <c r="L395" s="215"/>
      <c r="M395" s="213"/>
      <c r="N395" s="213"/>
      <c r="O395" s="213"/>
      <c r="P395" s="213"/>
      <c r="Q395" s="215"/>
      <c r="R395" s="372"/>
      <c r="S395" s="315"/>
      <c r="T395" s="616">
        <f t="shared" si="25"/>
        <v>0</v>
      </c>
      <c r="U395" s="633"/>
      <c r="V395" s="634"/>
      <c r="W395" s="634"/>
      <c r="X395" s="7"/>
      <c r="Y395" s="725"/>
      <c r="Z395" s="7"/>
      <c r="AA395" s="618">
        <f t="shared" si="29"/>
        <v>0</v>
      </c>
      <c r="AB395" s="7"/>
      <c r="AC395" s="7"/>
      <c r="AD395" s="7"/>
      <c r="AE395" s="7"/>
      <c r="AF395" s="7"/>
      <c r="AG395" s="7"/>
    </row>
    <row r="396" spans="1:33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3"/>
      <c r="I396" s="214"/>
      <c r="J396" s="214"/>
      <c r="K396" s="215"/>
      <c r="L396" s="215"/>
      <c r="M396" s="213"/>
      <c r="N396" s="213"/>
      <c r="O396" s="213"/>
      <c r="P396" s="213"/>
      <c r="Q396" s="215"/>
      <c r="R396" s="372"/>
      <c r="S396" s="315"/>
      <c r="T396" s="616">
        <f t="shared" si="25"/>
        <v>0</v>
      </c>
      <c r="U396" s="633"/>
      <c r="V396" s="634"/>
      <c r="W396" s="634"/>
      <c r="X396" s="7"/>
      <c r="Y396" s="725"/>
      <c r="Z396" s="7"/>
      <c r="AA396" s="618">
        <f t="shared" si="29"/>
        <v>0</v>
      </c>
      <c r="AB396" s="7"/>
      <c r="AC396" s="7"/>
      <c r="AD396" s="7"/>
      <c r="AE396" s="7"/>
      <c r="AF396" s="7"/>
      <c r="AG396" s="7"/>
    </row>
    <row r="397" spans="1:33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3"/>
      <c r="I397" s="214"/>
      <c r="J397" s="214"/>
      <c r="K397" s="215"/>
      <c r="L397" s="215"/>
      <c r="M397" s="213"/>
      <c r="N397" s="213"/>
      <c r="O397" s="213"/>
      <c r="P397" s="213"/>
      <c r="Q397" s="215"/>
      <c r="R397" s="372"/>
      <c r="S397" s="315"/>
      <c r="T397" s="616">
        <f t="shared" si="25"/>
        <v>0</v>
      </c>
      <c r="U397" s="633"/>
      <c r="V397" s="636"/>
      <c r="W397" s="636"/>
      <c r="X397" s="7"/>
      <c r="Y397" s="725"/>
      <c r="Z397" s="7"/>
      <c r="AA397" s="618">
        <f t="shared" si="29"/>
        <v>0</v>
      </c>
      <c r="AB397" s="7"/>
      <c r="AC397" s="7"/>
      <c r="AD397" s="7"/>
      <c r="AE397" s="7"/>
      <c r="AF397" s="7"/>
      <c r="AG397" s="7"/>
    </row>
    <row r="398" spans="1:33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3"/>
      <c r="I398" s="214"/>
      <c r="J398" s="214"/>
      <c r="K398" s="215"/>
      <c r="L398" s="215"/>
      <c r="M398" s="213"/>
      <c r="N398" s="213"/>
      <c r="O398" s="213"/>
      <c r="P398" s="213"/>
      <c r="Q398" s="215"/>
      <c r="R398" s="372"/>
      <c r="S398" s="315"/>
      <c r="T398" s="616">
        <f t="shared" si="25"/>
        <v>0</v>
      </c>
      <c r="U398" s="633"/>
      <c r="V398" s="634"/>
      <c r="W398" s="634"/>
      <c r="X398" s="7"/>
      <c r="Y398" s="725"/>
      <c r="Z398" s="7"/>
      <c r="AA398" s="618">
        <f t="shared" si="29"/>
        <v>0</v>
      </c>
      <c r="AB398" s="7"/>
      <c r="AC398" s="7"/>
      <c r="AD398" s="7"/>
      <c r="AE398" s="7"/>
      <c r="AF398" s="7"/>
      <c r="AG398" s="7"/>
    </row>
    <row r="399" spans="1:33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3"/>
      <c r="I399" s="214"/>
      <c r="J399" s="214"/>
      <c r="K399" s="215"/>
      <c r="L399" s="215"/>
      <c r="M399" s="213"/>
      <c r="N399" s="213"/>
      <c r="O399" s="213"/>
      <c r="P399" s="213"/>
      <c r="Q399" s="215"/>
      <c r="R399" s="372"/>
      <c r="S399" s="315"/>
      <c r="T399" s="616">
        <f t="shared" si="25"/>
        <v>0</v>
      </c>
      <c r="U399" s="633"/>
      <c r="V399" s="634"/>
      <c r="W399" s="634"/>
      <c r="X399" s="7"/>
      <c r="Y399" s="725"/>
      <c r="Z399" s="7"/>
      <c r="AA399" s="618">
        <f t="shared" si="29"/>
        <v>0</v>
      </c>
      <c r="AB399" s="7"/>
      <c r="AC399" s="7"/>
      <c r="AD399" s="7"/>
      <c r="AE399" s="7"/>
      <c r="AF399" s="7"/>
      <c r="AG399" s="7"/>
    </row>
    <row r="400" spans="1:33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3"/>
      <c r="I400" s="214"/>
      <c r="J400" s="214"/>
      <c r="K400" s="215"/>
      <c r="L400" s="215"/>
      <c r="M400" s="213"/>
      <c r="N400" s="213"/>
      <c r="O400" s="213"/>
      <c r="P400" s="213"/>
      <c r="Q400" s="215"/>
      <c r="R400" s="372"/>
      <c r="S400" s="315"/>
      <c r="T400" s="616">
        <f t="shared" si="25"/>
        <v>0</v>
      </c>
      <c r="U400" s="633"/>
      <c r="V400" s="636"/>
      <c r="W400" s="636"/>
      <c r="X400" s="7"/>
      <c r="Y400" s="725"/>
      <c r="Z400" s="7"/>
      <c r="AA400" s="618">
        <f t="shared" si="29"/>
        <v>0</v>
      </c>
      <c r="AB400" s="7"/>
      <c r="AC400" s="7"/>
      <c r="AD400" s="7"/>
      <c r="AE400" s="7"/>
      <c r="AF400" s="7"/>
      <c r="AG400" s="7"/>
    </row>
    <row r="401" spans="1:33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3"/>
      <c r="I401" s="214"/>
      <c r="J401" s="214"/>
      <c r="K401" s="215"/>
      <c r="L401" s="215"/>
      <c r="M401" s="213"/>
      <c r="N401" s="213"/>
      <c r="O401" s="213"/>
      <c r="P401" s="213"/>
      <c r="Q401" s="215"/>
      <c r="R401" s="372"/>
      <c r="S401" s="315"/>
      <c r="T401" s="616">
        <f t="shared" si="25"/>
        <v>0</v>
      </c>
      <c r="U401" s="633"/>
      <c r="V401" s="634"/>
      <c r="W401" s="634"/>
      <c r="X401" s="7"/>
      <c r="Y401" s="725"/>
      <c r="Z401" s="7"/>
      <c r="AA401" s="618">
        <f t="shared" si="29"/>
        <v>0</v>
      </c>
      <c r="AB401" s="7"/>
      <c r="AC401" s="7"/>
      <c r="AD401" s="7"/>
      <c r="AE401" s="7"/>
      <c r="AF401" s="7"/>
      <c r="AG401" s="7"/>
    </row>
    <row r="402" spans="1:33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3"/>
      <c r="I402" s="214"/>
      <c r="J402" s="214"/>
      <c r="K402" s="215"/>
      <c r="L402" s="215"/>
      <c r="M402" s="213"/>
      <c r="N402" s="213"/>
      <c r="O402" s="213"/>
      <c r="P402" s="213"/>
      <c r="Q402" s="215"/>
      <c r="R402" s="372"/>
      <c r="S402" s="315"/>
      <c r="T402" s="616">
        <f t="shared" si="25"/>
        <v>0</v>
      </c>
      <c r="U402" s="633"/>
      <c r="V402" s="634"/>
      <c r="W402" s="634"/>
      <c r="X402" s="7"/>
      <c r="Y402" s="725"/>
      <c r="Z402" s="7"/>
      <c r="AA402" s="618">
        <f t="shared" si="29"/>
        <v>0</v>
      </c>
      <c r="AB402" s="7"/>
      <c r="AC402" s="7"/>
      <c r="AD402" s="7"/>
      <c r="AE402" s="7"/>
      <c r="AF402" s="7"/>
      <c r="AG402" s="7"/>
    </row>
    <row r="403" spans="1:33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3"/>
      <c r="I403" s="214"/>
      <c r="J403" s="214"/>
      <c r="K403" s="215"/>
      <c r="L403" s="215"/>
      <c r="M403" s="213"/>
      <c r="N403" s="213"/>
      <c r="O403" s="213"/>
      <c r="P403" s="213"/>
      <c r="Q403" s="215"/>
      <c r="R403" s="372"/>
      <c r="S403" s="315"/>
      <c r="T403" s="616">
        <f t="shared" si="25"/>
        <v>0</v>
      </c>
      <c r="U403" s="633"/>
      <c r="V403" s="634"/>
      <c r="W403" s="634"/>
      <c r="X403" s="7"/>
      <c r="Y403" s="725"/>
      <c r="Z403" s="7"/>
      <c r="AA403" s="618">
        <f t="shared" si="29"/>
        <v>0</v>
      </c>
      <c r="AB403" s="7"/>
      <c r="AC403" s="7"/>
      <c r="AD403" s="7"/>
      <c r="AE403" s="7"/>
      <c r="AF403" s="7"/>
      <c r="AG403" s="7"/>
    </row>
    <row r="404" spans="1:33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3"/>
      <c r="I404" s="214"/>
      <c r="J404" s="214"/>
      <c r="K404" s="215"/>
      <c r="L404" s="215"/>
      <c r="M404" s="213"/>
      <c r="N404" s="213"/>
      <c r="O404" s="213"/>
      <c r="P404" s="213"/>
      <c r="Q404" s="215"/>
      <c r="R404" s="372"/>
      <c r="S404" s="315"/>
      <c r="T404" s="616">
        <f t="shared" si="25"/>
        <v>0</v>
      </c>
      <c r="U404" s="633"/>
      <c r="V404" s="640"/>
      <c r="W404" s="640"/>
      <c r="X404" s="7"/>
      <c r="Y404" s="725"/>
      <c r="Z404" s="7"/>
      <c r="AA404" s="618">
        <f t="shared" si="29"/>
        <v>0</v>
      </c>
      <c r="AB404" s="7"/>
      <c r="AC404" s="7"/>
      <c r="AD404" s="7"/>
      <c r="AE404" s="7"/>
      <c r="AF404" s="7"/>
      <c r="AG404" s="7"/>
    </row>
    <row r="405" spans="1:33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3"/>
      <c r="I405" s="214"/>
      <c r="J405" s="214"/>
      <c r="K405" s="215"/>
      <c r="L405" s="215"/>
      <c r="M405" s="213"/>
      <c r="N405" s="213"/>
      <c r="O405" s="213"/>
      <c r="P405" s="213"/>
      <c r="Q405" s="215"/>
      <c r="R405" s="372"/>
      <c r="S405" s="315"/>
      <c r="T405" s="616">
        <f t="shared" si="25"/>
        <v>0</v>
      </c>
      <c r="U405" s="633"/>
      <c r="V405" s="636"/>
      <c r="W405" s="636"/>
      <c r="X405" s="7"/>
      <c r="Y405" s="725"/>
      <c r="Z405" s="7"/>
      <c r="AA405" s="618">
        <f t="shared" si="29"/>
        <v>0</v>
      </c>
      <c r="AB405" s="7"/>
      <c r="AC405" s="7"/>
      <c r="AD405" s="7"/>
      <c r="AE405" s="7"/>
      <c r="AF405" s="7"/>
      <c r="AG405" s="7"/>
    </row>
    <row r="406" spans="1:33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3"/>
      <c r="I406" s="214"/>
      <c r="J406" s="214"/>
      <c r="K406" s="215"/>
      <c r="L406" s="215"/>
      <c r="M406" s="213"/>
      <c r="N406" s="213"/>
      <c r="O406" s="213"/>
      <c r="P406" s="213"/>
      <c r="Q406" s="215"/>
      <c r="R406" s="372"/>
      <c r="S406" s="315"/>
      <c r="T406" s="616">
        <f t="shared" si="25"/>
        <v>0</v>
      </c>
      <c r="U406" s="633"/>
      <c r="V406" s="636"/>
      <c r="W406" s="636"/>
      <c r="X406" s="7"/>
      <c r="Y406" s="725"/>
      <c r="Z406" s="7"/>
      <c r="AA406" s="618">
        <f t="shared" si="29"/>
        <v>0</v>
      </c>
      <c r="AB406" s="7"/>
      <c r="AC406" s="7"/>
      <c r="AD406" s="7"/>
      <c r="AE406" s="7"/>
      <c r="AF406" s="7"/>
      <c r="AG406" s="7"/>
    </row>
    <row r="407" spans="1:33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3"/>
      <c r="I407" s="214"/>
      <c r="J407" s="214"/>
      <c r="K407" s="215"/>
      <c r="L407" s="215"/>
      <c r="M407" s="213"/>
      <c r="N407" s="213"/>
      <c r="O407" s="213"/>
      <c r="P407" s="213"/>
      <c r="Q407" s="215"/>
      <c r="R407" s="372"/>
      <c r="S407" s="315"/>
      <c r="T407" s="616">
        <f t="shared" si="25"/>
        <v>0</v>
      </c>
      <c r="U407" s="633"/>
      <c r="V407" s="636"/>
      <c r="W407" s="636"/>
      <c r="X407" s="7"/>
      <c r="Y407" s="725"/>
      <c r="Z407" s="7"/>
      <c r="AA407" s="618">
        <f t="shared" si="29"/>
        <v>0</v>
      </c>
      <c r="AB407" s="7"/>
      <c r="AC407" s="7"/>
      <c r="AD407" s="7"/>
      <c r="AE407" s="7"/>
      <c r="AF407" s="7"/>
      <c r="AG407" s="7"/>
    </row>
    <row r="408" spans="1:33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3"/>
      <c r="I408" s="214"/>
      <c r="J408" s="214"/>
      <c r="K408" s="215"/>
      <c r="L408" s="215"/>
      <c r="M408" s="213"/>
      <c r="N408" s="213"/>
      <c r="O408" s="213"/>
      <c r="P408" s="213"/>
      <c r="Q408" s="215"/>
      <c r="R408" s="372"/>
      <c r="S408" s="315"/>
      <c r="T408" s="616">
        <f t="shared" si="25"/>
        <v>0</v>
      </c>
      <c r="U408" s="633"/>
      <c r="V408" s="636"/>
      <c r="W408" s="636"/>
      <c r="X408" s="7"/>
      <c r="Y408" s="725"/>
      <c r="Z408" s="7"/>
      <c r="AA408" s="618">
        <f t="shared" si="29"/>
        <v>0</v>
      </c>
      <c r="AB408" s="7"/>
      <c r="AC408" s="7"/>
      <c r="AD408" s="7"/>
      <c r="AE408" s="7"/>
      <c r="AF408" s="7"/>
      <c r="AG408" s="7"/>
    </row>
    <row r="409" spans="1:33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3"/>
      <c r="I409" s="214"/>
      <c r="J409" s="214"/>
      <c r="K409" s="215"/>
      <c r="L409" s="215"/>
      <c r="M409" s="213"/>
      <c r="N409" s="213"/>
      <c r="O409" s="213"/>
      <c r="P409" s="213"/>
      <c r="Q409" s="215"/>
      <c r="R409" s="372"/>
      <c r="S409" s="315"/>
      <c r="T409" s="616">
        <f t="shared" si="25"/>
        <v>0</v>
      </c>
      <c r="U409" s="633"/>
      <c r="V409" s="636"/>
      <c r="W409" s="636"/>
      <c r="X409" s="7"/>
      <c r="Y409" s="725"/>
      <c r="Z409" s="7"/>
      <c r="AA409" s="618">
        <f t="shared" si="29"/>
        <v>0</v>
      </c>
      <c r="AB409" s="7"/>
      <c r="AC409" s="7"/>
      <c r="AD409" s="7"/>
      <c r="AE409" s="7"/>
      <c r="AF409" s="7"/>
      <c r="AG409" s="7"/>
    </row>
    <row r="410" spans="1:33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3"/>
      <c r="I410" s="214"/>
      <c r="J410" s="214"/>
      <c r="K410" s="215"/>
      <c r="L410" s="215"/>
      <c r="M410" s="213"/>
      <c r="N410" s="213"/>
      <c r="O410" s="213"/>
      <c r="P410" s="213"/>
      <c r="Q410" s="215"/>
      <c r="R410" s="372"/>
      <c r="S410" s="315"/>
      <c r="T410" s="616">
        <f t="shared" si="25"/>
        <v>0</v>
      </c>
      <c r="U410" s="633"/>
      <c r="V410" s="636"/>
      <c r="W410" s="636"/>
      <c r="X410" s="7"/>
      <c r="Y410" s="725"/>
      <c r="Z410" s="7"/>
      <c r="AA410" s="618">
        <f t="shared" si="29"/>
        <v>0</v>
      </c>
      <c r="AB410" s="7"/>
      <c r="AC410" s="7"/>
      <c r="AD410" s="7"/>
      <c r="AE410" s="7"/>
      <c r="AF410" s="7"/>
      <c r="AG410" s="7"/>
    </row>
    <row r="411" spans="1:33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3"/>
      <c r="I411" s="214"/>
      <c r="J411" s="214"/>
      <c r="K411" s="215"/>
      <c r="L411" s="215"/>
      <c r="M411" s="213"/>
      <c r="N411" s="213"/>
      <c r="O411" s="213"/>
      <c r="P411" s="213"/>
      <c r="Q411" s="215"/>
      <c r="R411" s="372"/>
      <c r="S411" s="315"/>
      <c r="T411" s="616">
        <f t="shared" si="25"/>
        <v>0</v>
      </c>
      <c r="U411" s="633"/>
      <c r="V411" s="636"/>
      <c r="W411" s="636"/>
      <c r="X411" s="7"/>
      <c r="Y411" s="725"/>
      <c r="Z411" s="7"/>
      <c r="AA411" s="618">
        <f t="shared" si="29"/>
        <v>0</v>
      </c>
      <c r="AB411" s="7"/>
      <c r="AC411" s="7"/>
      <c r="AD411" s="7"/>
      <c r="AE411" s="7"/>
      <c r="AF411" s="7"/>
      <c r="AG411" s="7"/>
    </row>
    <row r="412" spans="1:33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3"/>
      <c r="I412" s="214"/>
      <c r="J412" s="214"/>
      <c r="K412" s="215"/>
      <c r="L412" s="215"/>
      <c r="M412" s="213"/>
      <c r="N412" s="213"/>
      <c r="O412" s="213"/>
      <c r="P412" s="213"/>
      <c r="Q412" s="215"/>
      <c r="R412" s="372"/>
      <c r="S412" s="315"/>
      <c r="T412" s="616">
        <f t="shared" si="25"/>
        <v>0</v>
      </c>
      <c r="U412" s="633"/>
      <c r="V412" s="636"/>
      <c r="W412" s="636"/>
      <c r="X412" s="7"/>
      <c r="Y412" s="725"/>
      <c r="Z412" s="7"/>
      <c r="AA412" s="618">
        <f t="shared" si="29"/>
        <v>0</v>
      </c>
      <c r="AB412" s="7"/>
      <c r="AC412" s="7"/>
      <c r="AD412" s="7"/>
      <c r="AE412" s="7"/>
      <c r="AF412" s="7"/>
      <c r="AG412" s="7"/>
    </row>
    <row r="413" spans="1:33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3"/>
      <c r="I413" s="214"/>
      <c r="J413" s="214"/>
      <c r="K413" s="215"/>
      <c r="L413" s="215"/>
      <c r="M413" s="213"/>
      <c r="N413" s="213"/>
      <c r="O413" s="213"/>
      <c r="P413" s="213"/>
      <c r="Q413" s="215"/>
      <c r="R413" s="372"/>
      <c r="S413" s="315"/>
      <c r="T413" s="616">
        <f t="shared" si="25"/>
        <v>0</v>
      </c>
      <c r="U413" s="633"/>
      <c r="V413" s="636"/>
      <c r="W413" s="636"/>
      <c r="X413" s="7"/>
      <c r="Y413" s="725"/>
      <c r="Z413" s="7"/>
      <c r="AA413" s="618">
        <f t="shared" si="29"/>
        <v>0</v>
      </c>
      <c r="AB413" s="7"/>
      <c r="AC413" s="7"/>
      <c r="AD413" s="7"/>
      <c r="AE413" s="7"/>
      <c r="AF413" s="7"/>
      <c r="AG413" s="7"/>
    </row>
    <row r="414" spans="1:33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3"/>
      <c r="I414" s="214"/>
      <c r="J414" s="214"/>
      <c r="K414" s="215"/>
      <c r="L414" s="215"/>
      <c r="M414" s="213"/>
      <c r="N414" s="213"/>
      <c r="O414" s="213"/>
      <c r="P414" s="213"/>
      <c r="Q414" s="215"/>
      <c r="R414" s="372"/>
      <c r="S414" s="315"/>
      <c r="T414" s="616">
        <f t="shared" si="25"/>
        <v>0</v>
      </c>
      <c r="U414" s="633"/>
      <c r="V414" s="636"/>
      <c r="W414" s="636"/>
      <c r="X414" s="7"/>
      <c r="Y414" s="725"/>
      <c r="Z414" s="7"/>
      <c r="AA414" s="618">
        <f t="shared" si="29"/>
        <v>0</v>
      </c>
      <c r="AB414" s="7"/>
      <c r="AC414" s="7"/>
      <c r="AD414" s="7"/>
      <c r="AE414" s="7"/>
      <c r="AF414" s="7"/>
      <c r="AG414" s="7"/>
    </row>
    <row r="415" spans="1:33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3"/>
      <c r="I415" s="214"/>
      <c r="J415" s="214"/>
      <c r="K415" s="215"/>
      <c r="L415" s="215"/>
      <c r="M415" s="213"/>
      <c r="N415" s="213"/>
      <c r="O415" s="213"/>
      <c r="P415" s="213"/>
      <c r="Q415" s="215"/>
      <c r="R415" s="372"/>
      <c r="S415" s="315"/>
      <c r="T415" s="616">
        <f t="shared" si="25"/>
        <v>0</v>
      </c>
      <c r="U415" s="633"/>
      <c r="V415" s="636"/>
      <c r="W415" s="636"/>
      <c r="X415" s="7"/>
      <c r="Y415" s="725"/>
      <c r="Z415" s="7"/>
      <c r="AA415" s="618">
        <f t="shared" si="29"/>
        <v>0</v>
      </c>
      <c r="AB415" s="7"/>
      <c r="AC415" s="7"/>
      <c r="AD415" s="7"/>
      <c r="AE415" s="7"/>
      <c r="AF415" s="7"/>
      <c r="AG415" s="7"/>
    </row>
    <row r="416" spans="1:33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3"/>
      <c r="I416" s="214"/>
      <c r="J416" s="214"/>
      <c r="K416" s="215"/>
      <c r="L416" s="215"/>
      <c r="M416" s="213"/>
      <c r="N416" s="213"/>
      <c r="O416" s="213"/>
      <c r="P416" s="213"/>
      <c r="Q416" s="215"/>
      <c r="R416" s="372"/>
      <c r="S416" s="315"/>
      <c r="T416" s="616">
        <f t="shared" si="25"/>
        <v>0</v>
      </c>
      <c r="U416" s="633"/>
      <c r="V416" s="636"/>
      <c r="W416" s="636"/>
      <c r="X416" s="7"/>
      <c r="Y416" s="725"/>
      <c r="Z416" s="7"/>
      <c r="AA416" s="618">
        <f t="shared" si="29"/>
        <v>0</v>
      </c>
      <c r="AB416" s="7"/>
      <c r="AC416" s="7"/>
      <c r="AD416" s="7"/>
      <c r="AE416" s="7"/>
      <c r="AF416" s="7"/>
      <c r="AG416" s="7"/>
    </row>
    <row r="417" spans="1:33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3"/>
      <c r="I417" s="214"/>
      <c r="J417" s="214"/>
      <c r="K417" s="215"/>
      <c r="L417" s="215"/>
      <c r="M417" s="213"/>
      <c r="N417" s="213"/>
      <c r="O417" s="213"/>
      <c r="P417" s="213"/>
      <c r="Q417" s="215"/>
      <c r="R417" s="372"/>
      <c r="S417" s="315"/>
      <c r="T417" s="616">
        <f t="shared" si="25"/>
        <v>0</v>
      </c>
      <c r="U417" s="633"/>
      <c r="V417" s="636"/>
      <c r="W417" s="636"/>
      <c r="X417" s="7"/>
      <c r="Y417" s="725"/>
      <c r="Z417" s="7"/>
      <c r="AA417" s="618">
        <f t="shared" si="29"/>
        <v>0</v>
      </c>
      <c r="AB417" s="7"/>
      <c r="AC417" s="7"/>
      <c r="AD417" s="7"/>
      <c r="AE417" s="7"/>
      <c r="AF417" s="7"/>
      <c r="AG417" s="7"/>
    </row>
    <row r="418" spans="1:33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3"/>
      <c r="I418" s="214"/>
      <c r="J418" s="214"/>
      <c r="K418" s="215"/>
      <c r="L418" s="215"/>
      <c r="M418" s="213"/>
      <c r="N418" s="213"/>
      <c r="O418" s="213"/>
      <c r="P418" s="213"/>
      <c r="Q418" s="215"/>
      <c r="R418" s="372"/>
      <c r="S418" s="315"/>
      <c r="T418" s="616">
        <f t="shared" si="25"/>
        <v>0</v>
      </c>
      <c r="U418" s="633"/>
      <c r="V418" s="636"/>
      <c r="W418" s="636"/>
      <c r="X418" s="7"/>
      <c r="Y418" s="725"/>
      <c r="Z418" s="7"/>
      <c r="AA418" s="618">
        <f t="shared" si="29"/>
        <v>0</v>
      </c>
      <c r="AB418" s="7"/>
      <c r="AC418" s="7"/>
      <c r="AD418" s="7"/>
      <c r="AE418" s="7"/>
      <c r="AF418" s="7"/>
      <c r="AG418" s="7"/>
    </row>
    <row r="419" spans="1:33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3"/>
      <c r="I419" s="214"/>
      <c r="J419" s="214"/>
      <c r="K419" s="215"/>
      <c r="L419" s="215"/>
      <c r="M419" s="213"/>
      <c r="N419" s="213"/>
      <c r="O419" s="213"/>
      <c r="P419" s="213"/>
      <c r="Q419" s="215"/>
      <c r="R419" s="372"/>
      <c r="S419" s="315"/>
      <c r="T419" s="616">
        <f t="shared" si="25"/>
        <v>0</v>
      </c>
      <c r="U419" s="633"/>
      <c r="V419" s="636"/>
      <c r="W419" s="636"/>
      <c r="X419" s="7"/>
      <c r="Y419" s="725"/>
      <c r="Z419" s="7"/>
      <c r="AA419" s="618">
        <f t="shared" si="29"/>
        <v>0</v>
      </c>
      <c r="AB419" s="7"/>
      <c r="AC419" s="7"/>
      <c r="AD419" s="7"/>
      <c r="AE419" s="7"/>
      <c r="AF419" s="7"/>
      <c r="AG419" s="7"/>
    </row>
    <row r="420" spans="1:33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3"/>
      <c r="I420" s="214"/>
      <c r="J420" s="214"/>
      <c r="K420" s="215"/>
      <c r="L420" s="215"/>
      <c r="M420" s="213"/>
      <c r="N420" s="213"/>
      <c r="O420" s="213"/>
      <c r="P420" s="213"/>
      <c r="Q420" s="215"/>
      <c r="R420" s="372"/>
      <c r="S420" s="315"/>
      <c r="T420" s="616">
        <f t="shared" si="25"/>
        <v>0</v>
      </c>
      <c r="U420" s="633"/>
      <c r="V420" s="636"/>
      <c r="W420" s="636"/>
      <c r="X420" s="7"/>
      <c r="Y420" s="725"/>
      <c r="Z420" s="7"/>
      <c r="AA420" s="618">
        <f t="shared" si="29"/>
        <v>0</v>
      </c>
      <c r="AB420" s="7"/>
      <c r="AC420" s="7"/>
      <c r="AD420" s="7"/>
      <c r="AE420" s="7"/>
      <c r="AF420" s="7"/>
      <c r="AG420" s="7"/>
    </row>
    <row r="421" spans="1:33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3"/>
      <c r="I421" s="214"/>
      <c r="J421" s="214"/>
      <c r="K421" s="215"/>
      <c r="L421" s="215"/>
      <c r="M421" s="213"/>
      <c r="N421" s="213"/>
      <c r="O421" s="213"/>
      <c r="P421" s="213"/>
      <c r="Q421" s="215"/>
      <c r="R421" s="370"/>
      <c r="S421" s="315"/>
      <c r="T421" s="616">
        <f t="shared" si="25"/>
        <v>0</v>
      </c>
      <c r="U421" s="633"/>
      <c r="V421" s="640"/>
      <c r="W421" s="640"/>
      <c r="X421" s="7"/>
      <c r="Y421" s="725"/>
      <c r="Z421" s="7"/>
      <c r="AA421" s="618">
        <f t="shared" si="29"/>
        <v>0</v>
      </c>
      <c r="AB421" s="7"/>
      <c r="AC421" s="7"/>
      <c r="AD421" s="7"/>
      <c r="AE421" s="7"/>
      <c r="AF421" s="7"/>
      <c r="AG421" s="7"/>
    </row>
    <row r="422" spans="1:33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3"/>
      <c r="I422" s="214"/>
      <c r="J422" s="214"/>
      <c r="K422" s="215"/>
      <c r="L422" s="215"/>
      <c r="M422" s="213"/>
      <c r="N422" s="213"/>
      <c r="O422" s="213"/>
      <c r="P422" s="213"/>
      <c r="Q422" s="215"/>
      <c r="R422" s="370"/>
      <c r="S422" s="316"/>
      <c r="T422" s="616">
        <f t="shared" si="25"/>
        <v>0</v>
      </c>
      <c r="U422" s="633"/>
      <c r="V422" s="634"/>
      <c r="W422" s="634"/>
      <c r="X422" s="7"/>
      <c r="Y422" s="725"/>
      <c r="Z422" s="7"/>
      <c r="AA422" s="618">
        <f t="shared" si="29"/>
        <v>0</v>
      </c>
      <c r="AB422" s="7"/>
      <c r="AC422" s="7"/>
      <c r="AD422" s="7"/>
      <c r="AE422" s="7"/>
      <c r="AF422" s="7"/>
      <c r="AG422" s="7"/>
    </row>
    <row r="423" spans="1:33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3"/>
      <c r="I423" s="214"/>
      <c r="J423" s="214"/>
      <c r="K423" s="215"/>
      <c r="L423" s="215"/>
      <c r="M423" s="213"/>
      <c r="N423" s="213"/>
      <c r="O423" s="213"/>
      <c r="P423" s="213"/>
      <c r="Q423" s="215"/>
      <c r="R423" s="370"/>
      <c r="S423" s="316"/>
      <c r="T423" s="616">
        <f t="shared" si="25"/>
        <v>0</v>
      </c>
      <c r="U423" s="633"/>
      <c r="V423" s="634"/>
      <c r="W423" s="634"/>
      <c r="X423" s="7"/>
      <c r="Y423" s="725"/>
      <c r="Z423" s="7"/>
      <c r="AA423" s="618">
        <f t="shared" si="29"/>
        <v>0</v>
      </c>
      <c r="AB423" s="7"/>
      <c r="AC423" s="7"/>
      <c r="AD423" s="7"/>
      <c r="AE423" s="7"/>
      <c r="AF423" s="7"/>
      <c r="AG423" s="7"/>
    </row>
    <row r="424" spans="1:33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3"/>
      <c r="I424" s="214"/>
      <c r="J424" s="214"/>
      <c r="K424" s="215"/>
      <c r="L424" s="215"/>
      <c r="M424" s="213"/>
      <c r="N424" s="213"/>
      <c r="O424" s="213"/>
      <c r="P424" s="213"/>
      <c r="Q424" s="215"/>
      <c r="R424" s="370"/>
      <c r="S424" s="316"/>
      <c r="T424" s="616">
        <f t="shared" si="25"/>
        <v>0</v>
      </c>
      <c r="U424" s="633"/>
      <c r="V424" s="634"/>
      <c r="W424" s="634"/>
      <c r="X424" s="7"/>
      <c r="Y424" s="725"/>
      <c r="Z424" s="7"/>
      <c r="AA424" s="618">
        <f t="shared" si="29"/>
        <v>0</v>
      </c>
      <c r="AB424" s="7"/>
      <c r="AC424" s="7"/>
      <c r="AD424" s="7"/>
      <c r="AE424" s="7"/>
      <c r="AF424" s="7"/>
      <c r="AG424" s="7"/>
    </row>
    <row r="425" spans="1:33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3"/>
      <c r="I425" s="214"/>
      <c r="J425" s="214"/>
      <c r="K425" s="215"/>
      <c r="L425" s="215"/>
      <c r="M425" s="213"/>
      <c r="N425" s="213"/>
      <c r="O425" s="213"/>
      <c r="P425" s="213"/>
      <c r="Q425" s="215"/>
      <c r="R425" s="370"/>
      <c r="S425" s="316"/>
      <c r="T425" s="616">
        <f t="shared" si="25"/>
        <v>0</v>
      </c>
      <c r="U425" s="633"/>
      <c r="V425" s="636"/>
      <c r="W425" s="636"/>
      <c r="X425" s="7"/>
      <c r="Y425" s="725"/>
      <c r="Z425" s="7"/>
      <c r="AA425" s="618">
        <f t="shared" si="29"/>
        <v>0</v>
      </c>
      <c r="AB425" s="7"/>
      <c r="AC425" s="7"/>
      <c r="AD425" s="7"/>
      <c r="AE425" s="7"/>
      <c r="AF425" s="7"/>
      <c r="AG425" s="7"/>
    </row>
    <row r="426" spans="1:33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3"/>
      <c r="I426" s="214"/>
      <c r="J426" s="214"/>
      <c r="K426" s="215"/>
      <c r="L426" s="215"/>
      <c r="M426" s="213"/>
      <c r="N426" s="213"/>
      <c r="O426" s="213"/>
      <c r="P426" s="213"/>
      <c r="Q426" s="215"/>
      <c r="R426" s="370"/>
      <c r="S426" s="315"/>
      <c r="T426" s="616">
        <f t="shared" si="25"/>
        <v>0</v>
      </c>
      <c r="U426" s="633"/>
      <c r="V426" s="634"/>
      <c r="W426" s="634"/>
      <c r="X426" s="7"/>
      <c r="Y426" s="725"/>
      <c r="Z426" s="7"/>
      <c r="AA426" s="618">
        <f t="shared" si="29"/>
        <v>0</v>
      </c>
      <c r="AB426" s="7"/>
      <c r="AC426" s="7"/>
      <c r="AD426" s="7"/>
      <c r="AE426" s="7"/>
      <c r="AF426" s="7"/>
      <c r="AG426" s="7"/>
    </row>
    <row r="427" spans="1:33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3"/>
      <c r="I427" s="214"/>
      <c r="J427" s="214"/>
      <c r="K427" s="215"/>
      <c r="L427" s="215"/>
      <c r="M427" s="213"/>
      <c r="N427" s="213"/>
      <c r="O427" s="213"/>
      <c r="P427" s="213"/>
      <c r="Q427" s="215"/>
      <c r="R427" s="372"/>
      <c r="S427" s="315"/>
      <c r="T427" s="616">
        <f t="shared" si="25"/>
        <v>0</v>
      </c>
      <c r="U427" s="633"/>
      <c r="V427" s="640"/>
      <c r="W427" s="640"/>
      <c r="X427" s="7"/>
      <c r="Y427" s="725"/>
      <c r="Z427" s="7"/>
      <c r="AA427" s="618">
        <f t="shared" si="29"/>
        <v>0</v>
      </c>
      <c r="AB427" s="7"/>
      <c r="AC427" s="7"/>
      <c r="AD427" s="7"/>
      <c r="AE427" s="7"/>
      <c r="AF427" s="7"/>
      <c r="AG427" s="7"/>
    </row>
    <row r="428" spans="1:33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3"/>
      <c r="I428" s="214"/>
      <c r="J428" s="214"/>
      <c r="K428" s="215"/>
      <c r="L428" s="215"/>
      <c r="M428" s="213"/>
      <c r="N428" s="213"/>
      <c r="O428" s="213"/>
      <c r="P428" s="213"/>
      <c r="Q428" s="215"/>
      <c r="R428" s="372"/>
      <c r="S428" s="315"/>
      <c r="T428" s="616">
        <f t="shared" si="25"/>
        <v>0</v>
      </c>
      <c r="U428" s="633"/>
      <c r="V428" s="636"/>
      <c r="W428" s="636"/>
      <c r="X428" s="7"/>
      <c r="Y428" s="725"/>
      <c r="Z428" s="7"/>
      <c r="AA428" s="618">
        <f t="shared" si="29"/>
        <v>0</v>
      </c>
      <c r="AB428" s="7"/>
      <c r="AC428" s="7"/>
      <c r="AD428" s="7"/>
      <c r="AE428" s="7"/>
      <c r="AF428" s="7"/>
      <c r="AG428" s="7"/>
    </row>
    <row r="429" spans="1:33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3"/>
      <c r="I429" s="214"/>
      <c r="J429" s="214"/>
      <c r="K429" s="215"/>
      <c r="L429" s="215"/>
      <c r="M429" s="213"/>
      <c r="N429" s="213"/>
      <c r="O429" s="213"/>
      <c r="P429" s="213"/>
      <c r="Q429" s="215"/>
      <c r="R429" s="372"/>
      <c r="S429" s="315"/>
      <c r="T429" s="616">
        <f t="shared" si="25"/>
        <v>0</v>
      </c>
      <c r="U429" s="633"/>
      <c r="V429" s="636"/>
      <c r="W429" s="636"/>
      <c r="X429" s="7"/>
      <c r="Y429" s="725"/>
      <c r="Z429" s="7"/>
      <c r="AA429" s="618">
        <f t="shared" si="29"/>
        <v>0</v>
      </c>
      <c r="AB429" s="7"/>
      <c r="AC429" s="7"/>
      <c r="AD429" s="7"/>
      <c r="AE429" s="7"/>
      <c r="AF429" s="7"/>
      <c r="AG429" s="7"/>
    </row>
    <row r="430" spans="1:33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3"/>
      <c r="I430" s="214"/>
      <c r="J430" s="214"/>
      <c r="K430" s="215"/>
      <c r="L430" s="215"/>
      <c r="M430" s="213"/>
      <c r="N430" s="213"/>
      <c r="O430" s="213"/>
      <c r="P430" s="213"/>
      <c r="Q430" s="215"/>
      <c r="R430" s="372"/>
      <c r="S430" s="315"/>
      <c r="T430" s="616">
        <f t="shared" si="25"/>
        <v>0</v>
      </c>
      <c r="U430" s="633"/>
      <c r="V430" s="636"/>
      <c r="W430" s="636"/>
      <c r="X430" s="7"/>
      <c r="Y430" s="725"/>
      <c r="Z430" s="7"/>
      <c r="AA430" s="618">
        <f t="shared" si="29"/>
        <v>0</v>
      </c>
      <c r="AB430" s="7"/>
      <c r="AC430" s="7"/>
      <c r="AD430" s="7"/>
      <c r="AE430" s="7"/>
      <c r="AF430" s="7"/>
      <c r="AG430" s="7"/>
    </row>
    <row r="431" spans="1:33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3"/>
      <c r="I431" s="214"/>
      <c r="J431" s="214"/>
      <c r="K431" s="215"/>
      <c r="L431" s="215"/>
      <c r="M431" s="213"/>
      <c r="N431" s="213"/>
      <c r="O431" s="213"/>
      <c r="P431" s="213"/>
      <c r="Q431" s="215"/>
      <c r="R431" s="372"/>
      <c r="S431" s="315"/>
      <c r="T431" s="616">
        <f t="shared" si="25"/>
        <v>0</v>
      </c>
      <c r="U431" s="633"/>
      <c r="V431" s="636"/>
      <c r="W431" s="636"/>
      <c r="X431" s="7"/>
      <c r="Y431" s="725"/>
      <c r="Z431" s="7"/>
      <c r="AA431" s="618">
        <f t="shared" si="29"/>
        <v>0</v>
      </c>
      <c r="AB431" s="7"/>
      <c r="AC431" s="7"/>
      <c r="AD431" s="7"/>
      <c r="AE431" s="7"/>
      <c r="AF431" s="7"/>
      <c r="AG431" s="7"/>
    </row>
    <row r="432" spans="1:33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3"/>
      <c r="I432" s="214"/>
      <c r="J432" s="214"/>
      <c r="K432" s="215"/>
      <c r="L432" s="215"/>
      <c r="M432" s="213"/>
      <c r="N432" s="213"/>
      <c r="O432" s="213"/>
      <c r="P432" s="213"/>
      <c r="Q432" s="215"/>
      <c r="R432" s="372"/>
      <c r="S432" s="315"/>
      <c r="T432" s="616">
        <f t="shared" si="25"/>
        <v>0</v>
      </c>
      <c r="U432" s="633"/>
      <c r="V432" s="636"/>
      <c r="W432" s="636"/>
      <c r="X432" s="7"/>
      <c r="Y432" s="725"/>
      <c r="Z432" s="7"/>
      <c r="AA432" s="618">
        <f t="shared" si="29"/>
        <v>0</v>
      </c>
      <c r="AB432" s="7"/>
      <c r="AC432" s="7"/>
      <c r="AD432" s="7"/>
      <c r="AE432" s="7"/>
      <c r="AF432" s="7"/>
      <c r="AG432" s="7"/>
    </row>
    <row r="433" spans="1:33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3"/>
      <c r="I433" s="214"/>
      <c r="J433" s="214"/>
      <c r="K433" s="215"/>
      <c r="L433" s="215"/>
      <c r="M433" s="213"/>
      <c r="N433" s="213"/>
      <c r="O433" s="213"/>
      <c r="P433" s="213"/>
      <c r="Q433" s="215"/>
      <c r="R433" s="372"/>
      <c r="S433" s="315"/>
      <c r="T433" s="616">
        <f t="shared" si="25"/>
        <v>0</v>
      </c>
      <c r="U433" s="633"/>
      <c r="V433" s="636"/>
      <c r="W433" s="636"/>
      <c r="X433" s="7"/>
      <c r="Y433" s="725"/>
      <c r="Z433" s="7"/>
      <c r="AA433" s="618">
        <f t="shared" si="29"/>
        <v>0</v>
      </c>
      <c r="AB433" s="7"/>
      <c r="AC433" s="7"/>
      <c r="AD433" s="7"/>
      <c r="AE433" s="7"/>
      <c r="AF433" s="7"/>
      <c r="AG433" s="7"/>
    </row>
    <row r="434" spans="1:33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3"/>
      <c r="I434" s="214"/>
      <c r="J434" s="214"/>
      <c r="K434" s="215"/>
      <c r="L434" s="215"/>
      <c r="M434" s="213"/>
      <c r="N434" s="213"/>
      <c r="O434" s="213"/>
      <c r="P434" s="213"/>
      <c r="Q434" s="215"/>
      <c r="R434" s="372"/>
      <c r="S434" s="315"/>
      <c r="T434" s="616">
        <f t="shared" si="25"/>
        <v>0</v>
      </c>
      <c r="U434" s="633"/>
      <c r="V434" s="636"/>
      <c r="W434" s="636"/>
      <c r="X434" s="7"/>
      <c r="Y434" s="725"/>
      <c r="Z434" s="7"/>
      <c r="AA434" s="618">
        <f t="shared" si="29"/>
        <v>0</v>
      </c>
      <c r="AB434" s="7"/>
      <c r="AC434" s="7"/>
      <c r="AD434" s="7"/>
      <c r="AE434" s="7"/>
      <c r="AF434" s="7"/>
      <c r="AG434" s="7"/>
    </row>
    <row r="435" spans="1:33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3"/>
      <c r="I435" s="214"/>
      <c r="J435" s="214"/>
      <c r="K435" s="215"/>
      <c r="L435" s="215"/>
      <c r="M435" s="213"/>
      <c r="N435" s="213"/>
      <c r="O435" s="213"/>
      <c r="P435" s="213"/>
      <c r="Q435" s="215"/>
      <c r="R435" s="372"/>
      <c r="S435" s="315"/>
      <c r="T435" s="616">
        <f t="shared" si="25"/>
        <v>0</v>
      </c>
      <c r="U435" s="633"/>
      <c r="V435" s="636"/>
      <c r="W435" s="636"/>
      <c r="X435" s="7"/>
      <c r="Y435" s="725"/>
      <c r="Z435" s="7"/>
      <c r="AA435" s="618">
        <f t="shared" si="29"/>
        <v>0</v>
      </c>
      <c r="AB435" s="7"/>
      <c r="AC435" s="7"/>
      <c r="AD435" s="7"/>
      <c r="AE435" s="7"/>
      <c r="AF435" s="7"/>
      <c r="AG435" s="7"/>
    </row>
    <row r="436" spans="1:33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3"/>
      <c r="I436" s="214"/>
      <c r="J436" s="214"/>
      <c r="K436" s="215"/>
      <c r="L436" s="215"/>
      <c r="M436" s="213"/>
      <c r="N436" s="213"/>
      <c r="O436" s="213"/>
      <c r="P436" s="213"/>
      <c r="Q436" s="215"/>
      <c r="R436" s="372"/>
      <c r="S436" s="315"/>
      <c r="T436" s="616">
        <f t="shared" si="25"/>
        <v>0</v>
      </c>
      <c r="U436" s="633"/>
      <c r="V436" s="636"/>
      <c r="W436" s="636"/>
      <c r="X436" s="7"/>
      <c r="Y436" s="725"/>
      <c r="Z436" s="7"/>
      <c r="AA436" s="618">
        <f t="shared" si="29"/>
        <v>0</v>
      </c>
      <c r="AB436" s="7"/>
      <c r="AC436" s="7"/>
      <c r="AD436" s="7"/>
      <c r="AE436" s="7"/>
      <c r="AF436" s="7"/>
      <c r="AG436" s="7"/>
    </row>
    <row r="437" spans="1:33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3"/>
      <c r="I437" s="214"/>
      <c r="J437" s="214"/>
      <c r="K437" s="215"/>
      <c r="L437" s="215"/>
      <c r="M437" s="213"/>
      <c r="N437" s="213"/>
      <c r="O437" s="213"/>
      <c r="P437" s="213"/>
      <c r="Q437" s="215"/>
      <c r="R437" s="372"/>
      <c r="S437" s="315"/>
      <c r="T437" s="616">
        <f t="shared" si="25"/>
        <v>0</v>
      </c>
      <c r="U437" s="633"/>
      <c r="V437" s="636"/>
      <c r="W437" s="636"/>
      <c r="X437" s="7"/>
      <c r="Y437" s="725"/>
      <c r="Z437" s="7"/>
      <c r="AA437" s="618">
        <f t="shared" si="29"/>
        <v>0</v>
      </c>
      <c r="AB437" s="7"/>
      <c r="AC437" s="7"/>
      <c r="AD437" s="7"/>
      <c r="AE437" s="7"/>
      <c r="AF437" s="7"/>
      <c r="AG437" s="7"/>
    </row>
    <row r="438" spans="1:33" ht="21.75" customHeight="1">
      <c r="A438" s="486">
        <v>15.3</v>
      </c>
      <c r="B438" s="487" t="s">
        <v>947</v>
      </c>
      <c r="C438" s="635" t="s">
        <v>948</v>
      </c>
      <c r="D438" s="412" t="s">
        <v>2452</v>
      </c>
      <c r="E438" s="213"/>
      <c r="F438" s="213"/>
      <c r="G438" s="213"/>
      <c r="H438" s="213"/>
      <c r="I438" s="214"/>
      <c r="J438" s="214"/>
      <c r="K438" s="215"/>
      <c r="L438" s="215"/>
      <c r="M438" s="213"/>
      <c r="N438" s="213"/>
      <c r="O438" s="213"/>
      <c r="P438" s="213"/>
      <c r="Q438" s="215"/>
      <c r="R438" s="372"/>
      <c r="S438" s="315"/>
      <c r="T438" s="616">
        <f t="shared" si="25"/>
        <v>0</v>
      </c>
      <c r="U438" s="633"/>
      <c r="V438" s="636"/>
      <c r="W438" s="636"/>
      <c r="X438" s="7"/>
      <c r="Y438" s="725"/>
      <c r="Z438" s="7"/>
      <c r="AA438" s="618"/>
      <c r="AB438" s="7"/>
      <c r="AC438" s="7"/>
      <c r="AD438" s="7"/>
      <c r="AE438" s="7"/>
      <c r="AF438" s="7"/>
      <c r="AG438" s="7"/>
    </row>
    <row r="439" spans="1:33" ht="21.75" customHeight="1">
      <c r="A439" s="503" t="s">
        <v>1515</v>
      </c>
      <c r="B439" s="483" t="s">
        <v>951</v>
      </c>
      <c r="C439" s="629" t="s">
        <v>131</v>
      </c>
      <c r="D439" s="485" t="s">
        <v>2453</v>
      </c>
      <c r="E439" s="213"/>
      <c r="F439" s="213"/>
      <c r="G439" s="213"/>
      <c r="H439" s="213"/>
      <c r="I439" s="214"/>
      <c r="J439" s="214"/>
      <c r="K439" s="215"/>
      <c r="L439" s="215"/>
      <c r="M439" s="213"/>
      <c r="N439" s="213"/>
      <c r="O439" s="213"/>
      <c r="P439" s="213"/>
      <c r="Q439" s="215"/>
      <c r="R439" s="372"/>
      <c r="S439" s="315"/>
      <c r="T439" s="616">
        <f t="shared" si="25"/>
        <v>0</v>
      </c>
      <c r="U439" s="633"/>
      <c r="V439" s="636"/>
      <c r="W439" s="636"/>
      <c r="X439" s="7"/>
      <c r="Y439" s="725"/>
      <c r="Z439" s="7"/>
      <c r="AA439" s="618">
        <f t="shared" ref="AA439:AA443" si="30">Y439-T439</f>
        <v>0</v>
      </c>
      <c r="AB439" s="7"/>
      <c r="AC439" s="7"/>
      <c r="AD439" s="7"/>
      <c r="AE439" s="7"/>
      <c r="AF439" s="7"/>
      <c r="AG439" s="7"/>
    </row>
    <row r="440" spans="1:33" ht="21.75" customHeight="1">
      <c r="A440" s="503" t="s">
        <v>1517</v>
      </c>
      <c r="B440" s="483" t="s">
        <v>953</v>
      </c>
      <c r="C440" s="629" t="s">
        <v>200</v>
      </c>
      <c r="D440" s="485" t="s">
        <v>2454</v>
      </c>
      <c r="E440" s="213"/>
      <c r="F440" s="213"/>
      <c r="G440" s="213"/>
      <c r="H440" s="213"/>
      <c r="I440" s="214"/>
      <c r="J440" s="214"/>
      <c r="K440" s="215"/>
      <c r="L440" s="215"/>
      <c r="M440" s="213"/>
      <c r="N440" s="213"/>
      <c r="O440" s="213"/>
      <c r="P440" s="213"/>
      <c r="Q440" s="215"/>
      <c r="R440" s="372"/>
      <c r="S440" s="315"/>
      <c r="T440" s="616">
        <f t="shared" si="25"/>
        <v>0</v>
      </c>
      <c r="U440" s="633"/>
      <c r="V440" s="636"/>
      <c r="W440" s="636"/>
      <c r="X440" s="7"/>
      <c r="Y440" s="725"/>
      <c r="Z440" s="7"/>
      <c r="AA440" s="618">
        <f t="shared" si="30"/>
        <v>0</v>
      </c>
      <c r="AB440" s="7"/>
      <c r="AC440" s="7"/>
      <c r="AD440" s="7"/>
      <c r="AE440" s="7"/>
      <c r="AF440" s="7"/>
      <c r="AG440" s="7"/>
    </row>
    <row r="441" spans="1:33" ht="21.75" customHeight="1">
      <c r="A441" s="503" t="s">
        <v>1519</v>
      </c>
      <c r="B441" s="483" t="s">
        <v>955</v>
      </c>
      <c r="C441" s="629" t="s">
        <v>203</v>
      </c>
      <c r="D441" s="485" t="s">
        <v>2455</v>
      </c>
      <c r="E441" s="213"/>
      <c r="F441" s="213"/>
      <c r="G441" s="213"/>
      <c r="H441" s="213"/>
      <c r="I441" s="214"/>
      <c r="J441" s="214"/>
      <c r="K441" s="215"/>
      <c r="L441" s="215"/>
      <c r="M441" s="213"/>
      <c r="N441" s="213"/>
      <c r="O441" s="213"/>
      <c r="P441" s="213"/>
      <c r="Q441" s="215"/>
      <c r="R441" s="372"/>
      <c r="S441" s="315"/>
      <c r="T441" s="616">
        <f t="shared" si="25"/>
        <v>0</v>
      </c>
      <c r="U441" s="633"/>
      <c r="V441" s="636"/>
      <c r="W441" s="636"/>
      <c r="X441" s="7"/>
      <c r="Y441" s="725"/>
      <c r="Z441" s="7"/>
      <c r="AA441" s="618">
        <f t="shared" si="30"/>
        <v>0</v>
      </c>
      <c r="AB441" s="7"/>
      <c r="AC441" s="7"/>
      <c r="AD441" s="7"/>
      <c r="AE441" s="7"/>
      <c r="AF441" s="7"/>
      <c r="AG441" s="7"/>
    </row>
    <row r="442" spans="1:33" ht="21.75" customHeight="1">
      <c r="A442" s="503" t="s">
        <v>1521</v>
      </c>
      <c r="B442" s="483" t="s">
        <v>957</v>
      </c>
      <c r="C442" s="629" t="s">
        <v>159</v>
      </c>
      <c r="D442" s="485" t="s">
        <v>2456</v>
      </c>
      <c r="E442" s="213"/>
      <c r="F442" s="213"/>
      <c r="G442" s="213"/>
      <c r="H442" s="213"/>
      <c r="I442" s="214"/>
      <c r="J442" s="214"/>
      <c r="K442" s="215"/>
      <c r="L442" s="215"/>
      <c r="M442" s="213"/>
      <c r="N442" s="213"/>
      <c r="O442" s="213"/>
      <c r="P442" s="213"/>
      <c r="Q442" s="215"/>
      <c r="R442" s="372"/>
      <c r="S442" s="315"/>
      <c r="T442" s="616">
        <f t="shared" si="25"/>
        <v>0</v>
      </c>
      <c r="U442" s="633"/>
      <c r="V442" s="636"/>
      <c r="W442" s="636"/>
      <c r="X442" s="7"/>
      <c r="Y442" s="725"/>
      <c r="Z442" s="7"/>
      <c r="AA442" s="618">
        <f t="shared" si="30"/>
        <v>0</v>
      </c>
      <c r="AB442" s="7"/>
      <c r="AC442" s="7"/>
      <c r="AD442" s="7"/>
      <c r="AE442" s="7"/>
      <c r="AF442" s="7"/>
      <c r="AG442" s="7"/>
    </row>
    <row r="443" spans="1:33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3"/>
      <c r="I443" s="214"/>
      <c r="J443" s="214"/>
      <c r="K443" s="215"/>
      <c r="L443" s="215"/>
      <c r="M443" s="213"/>
      <c r="N443" s="213"/>
      <c r="O443" s="213"/>
      <c r="P443" s="213"/>
      <c r="Q443" s="215"/>
      <c r="R443" s="372"/>
      <c r="S443" s="315"/>
      <c r="T443" s="616">
        <f t="shared" si="25"/>
        <v>0</v>
      </c>
      <c r="U443" s="633"/>
      <c r="V443" s="636"/>
      <c r="W443" s="636"/>
      <c r="X443" s="7"/>
      <c r="Y443" s="725"/>
      <c r="Z443" s="7"/>
      <c r="AA443" s="618">
        <f t="shared" si="30"/>
        <v>0</v>
      </c>
      <c r="AB443" s="7"/>
      <c r="AC443" s="7"/>
      <c r="AD443" s="7"/>
      <c r="AE443" s="7"/>
      <c r="AF443" s="7"/>
      <c r="AG443" s="7"/>
    </row>
    <row r="444" spans="1:33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>
        <v>52</v>
      </c>
      <c r="G444" s="213">
        <f>7+40</f>
        <v>47</v>
      </c>
      <c r="H444" s="213"/>
      <c r="I444" s="214">
        <v>20</v>
      </c>
      <c r="J444" s="214"/>
      <c r="K444" s="215"/>
      <c r="L444" s="215"/>
      <c r="M444" s="213">
        <v>190</v>
      </c>
      <c r="N444" s="213"/>
      <c r="O444" s="213"/>
      <c r="P444" s="213"/>
      <c r="Q444" s="215"/>
      <c r="R444" s="372"/>
      <c r="S444" s="315"/>
      <c r="T444" s="616">
        <f t="shared" si="25"/>
        <v>309</v>
      </c>
      <c r="U444" s="633"/>
      <c r="V444" s="636"/>
      <c r="W444" s="636"/>
      <c r="X444" s="7"/>
      <c r="Y444" s="725"/>
      <c r="Z444" s="7"/>
      <c r="AA444" s="618"/>
      <c r="AB444" s="7"/>
      <c r="AC444" s="7"/>
      <c r="AD444" s="7"/>
      <c r="AE444" s="7"/>
      <c r="AF444" s="7"/>
      <c r="AG444" s="7"/>
    </row>
    <row r="445" spans="1:33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3"/>
      <c r="I445" s="214">
        <v>20</v>
      </c>
      <c r="J445" s="214"/>
      <c r="K445" s="215"/>
      <c r="L445" s="215"/>
      <c r="M445" s="213"/>
      <c r="N445" s="213"/>
      <c r="O445" s="213"/>
      <c r="P445" s="213"/>
      <c r="Q445" s="215"/>
      <c r="R445" s="372"/>
      <c r="S445" s="315"/>
      <c r="T445" s="616">
        <f t="shared" si="25"/>
        <v>20</v>
      </c>
      <c r="U445" s="633"/>
      <c r="V445" s="636"/>
      <c r="W445" s="636"/>
      <c r="X445" s="7"/>
      <c r="Y445" s="725"/>
      <c r="Z445" s="7"/>
      <c r="AA445" s="618"/>
      <c r="AB445" s="7"/>
      <c r="AC445" s="7"/>
      <c r="AD445" s="7"/>
      <c r="AE445" s="7"/>
      <c r="AF445" s="7"/>
      <c r="AG445" s="7"/>
    </row>
    <row r="446" spans="1:33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3"/>
      <c r="I446" s="214"/>
      <c r="J446" s="214"/>
      <c r="K446" s="215"/>
      <c r="L446" s="215"/>
      <c r="M446" s="213"/>
      <c r="N446" s="213"/>
      <c r="O446" s="213"/>
      <c r="P446" s="213"/>
      <c r="Q446" s="215"/>
      <c r="R446" s="372"/>
      <c r="S446" s="315"/>
      <c r="T446" s="616">
        <f t="shared" si="25"/>
        <v>0</v>
      </c>
      <c r="U446" s="633"/>
      <c r="V446" s="636"/>
      <c r="W446" s="636"/>
      <c r="X446" s="7"/>
      <c r="Y446" s="725"/>
      <c r="Z446" s="7"/>
      <c r="AA446" s="618">
        <f t="shared" ref="AA446:AA447" si="31">Y446-T446</f>
        <v>0</v>
      </c>
      <c r="AB446" s="7"/>
      <c r="AC446" s="7"/>
      <c r="AD446" s="7"/>
      <c r="AE446" s="7"/>
      <c r="AF446" s="7"/>
      <c r="AG446" s="7"/>
    </row>
    <row r="447" spans="1:33" ht="42" customHeight="1">
      <c r="A447" s="519"/>
      <c r="B447" s="801" t="s">
        <v>969</v>
      </c>
      <c r="C447" s="771"/>
      <c r="D447" s="491" t="s">
        <v>970</v>
      </c>
      <c r="E447" s="231">
        <v>454</v>
      </c>
      <c r="F447" s="231"/>
      <c r="G447" s="231">
        <v>763</v>
      </c>
      <c r="H447" s="231">
        <v>224.4</v>
      </c>
      <c r="I447" s="374">
        <v>20</v>
      </c>
      <c r="J447" s="374">
        <v>383.1</v>
      </c>
      <c r="K447" s="235">
        <v>534</v>
      </c>
      <c r="L447" s="235">
        <v>20</v>
      </c>
      <c r="M447" s="219">
        <v>245</v>
      </c>
      <c r="N447" s="219"/>
      <c r="O447" s="219">
        <v>18204</v>
      </c>
      <c r="P447" s="219">
        <v>3060</v>
      </c>
      <c r="Q447" s="219">
        <v>27.3</v>
      </c>
      <c r="R447" s="385">
        <v>2500</v>
      </c>
      <c r="S447" s="219"/>
      <c r="T447" s="616">
        <f t="shared" si="25"/>
        <v>26434.799999999999</v>
      </c>
      <c r="U447" s="633"/>
      <c r="V447" s="537"/>
      <c r="W447" s="537"/>
      <c r="X447" s="7"/>
      <c r="Y447" s="679">
        <v>65210</v>
      </c>
      <c r="Z447" s="7"/>
      <c r="AA447" s="618">
        <f t="shared" si="31"/>
        <v>38775.199999999997</v>
      </c>
      <c r="AB447" s="7"/>
      <c r="AC447" s="7"/>
      <c r="AD447" s="7"/>
      <c r="AE447" s="7"/>
      <c r="AF447" s="7"/>
      <c r="AG447" s="7"/>
    </row>
    <row r="448" spans="1:33" ht="21.75" customHeight="1">
      <c r="A448" s="534"/>
      <c r="B448" s="535"/>
      <c r="C448" s="680"/>
      <c r="D448" s="536"/>
      <c r="E448" s="158"/>
      <c r="F448" s="174"/>
      <c r="G448" s="174"/>
      <c r="H448" s="174"/>
      <c r="I448" s="736"/>
    </row>
    <row r="449" spans="1:9" ht="15.75" customHeight="1">
      <c r="A449" s="541"/>
      <c r="B449" s="542" t="s">
        <v>1523</v>
      </c>
      <c r="C449" s="542"/>
      <c r="D449" s="541"/>
      <c r="E449" s="158"/>
      <c r="F449" s="174"/>
      <c r="G449" s="174"/>
      <c r="H449" s="174"/>
      <c r="I449" s="737"/>
    </row>
    <row r="450" spans="1:9" ht="15.75" customHeight="1">
      <c r="A450" s="541"/>
      <c r="B450" s="545" t="s">
        <v>1524</v>
      </c>
      <c r="C450" s="542" t="s">
        <v>1525</v>
      </c>
      <c r="D450" s="541"/>
      <c r="E450" s="158"/>
      <c r="F450" s="174"/>
      <c r="G450" s="174"/>
      <c r="H450" s="174"/>
      <c r="I450" s="737"/>
    </row>
    <row r="451" spans="1:9" ht="15.75" customHeight="1">
      <c r="A451" s="541"/>
      <c r="B451" s="545" t="s">
        <v>1526</v>
      </c>
      <c r="C451" s="542" t="s">
        <v>1527</v>
      </c>
      <c r="D451" s="541"/>
      <c r="E451" s="151"/>
      <c r="F451" s="174"/>
      <c r="G451" s="174"/>
      <c r="H451" s="174"/>
      <c r="I451" s="737"/>
    </row>
    <row r="452" spans="1:9" ht="15.75" customHeight="1">
      <c r="A452" s="541"/>
      <c r="B452" s="545"/>
      <c r="C452" s="542"/>
      <c r="D452" s="541"/>
      <c r="E452" s="151"/>
      <c r="F452" s="174"/>
      <c r="G452" s="174"/>
      <c r="H452" s="174"/>
      <c r="I452" s="737"/>
    </row>
    <row r="453" spans="1:9" ht="15.75" customHeight="1">
      <c r="A453" s="541"/>
      <c r="B453" s="802" t="s">
        <v>1528</v>
      </c>
      <c r="C453" s="791"/>
      <c r="D453" s="541"/>
      <c r="E453" s="151"/>
      <c r="F453" s="174"/>
      <c r="G453" s="174"/>
      <c r="H453" s="174"/>
      <c r="I453" s="737"/>
    </row>
    <row r="454" spans="1:9" ht="15.75" customHeight="1">
      <c r="A454" s="541"/>
      <c r="B454" s="790" t="s">
        <v>1529</v>
      </c>
      <c r="C454" s="791"/>
      <c r="D454" s="541" t="s">
        <v>1530</v>
      </c>
      <c r="E454" s="151"/>
      <c r="F454" s="174"/>
      <c r="G454" s="174"/>
      <c r="H454" s="174"/>
      <c r="I454" s="737"/>
    </row>
    <row r="455" spans="1:9" ht="15.75" customHeight="1">
      <c r="A455" s="541"/>
      <c r="B455" s="545"/>
      <c r="C455" s="542"/>
      <c r="D455" s="541"/>
      <c r="E455" s="151"/>
      <c r="F455" s="174"/>
      <c r="G455" s="174"/>
      <c r="H455" s="174"/>
      <c r="I455" s="737"/>
    </row>
    <row r="456" spans="1:9" ht="15.75" customHeight="1">
      <c r="A456" s="546" t="s">
        <v>971</v>
      </c>
      <c r="B456" s="547"/>
      <c r="C456" s="547"/>
      <c r="D456" s="547"/>
      <c r="E456" s="733"/>
      <c r="F456" s="174"/>
      <c r="G456" s="174"/>
      <c r="H456" s="174"/>
      <c r="I456" s="548"/>
    </row>
    <row r="457" spans="1:9" ht="15.75" customHeight="1">
      <c r="A457" s="549" t="s">
        <v>972</v>
      </c>
      <c r="B457" s="550"/>
      <c r="C457" s="550"/>
      <c r="D457" s="550"/>
      <c r="E457" s="734"/>
      <c r="F457" s="174"/>
      <c r="G457" s="174"/>
      <c r="H457" s="174"/>
      <c r="I457" s="551"/>
    </row>
    <row r="458" spans="1:9" ht="15.75" customHeight="1">
      <c r="A458" s="546"/>
      <c r="B458" s="547"/>
      <c r="C458" s="241" t="s">
        <v>12</v>
      </c>
      <c r="D458" s="242">
        <f>COUNTIF($D$11:$T$11,"Hà Giang")</f>
        <v>0</v>
      </c>
      <c r="E458" s="158"/>
      <c r="F458" s="174"/>
      <c r="G458" s="174"/>
      <c r="H458" s="174"/>
      <c r="I458" s="738"/>
    </row>
    <row r="459" spans="1:9" ht="15.75" customHeight="1">
      <c r="A459" s="546"/>
      <c r="B459" s="547"/>
      <c r="C459" s="241" t="s">
        <v>14</v>
      </c>
      <c r="D459" s="242">
        <f>COUNTIF($D$11:$T$11,"Lào Cai")</f>
        <v>0</v>
      </c>
      <c r="E459" s="158"/>
      <c r="F459" s="174"/>
      <c r="G459" s="174"/>
      <c r="H459" s="174"/>
      <c r="I459" s="738"/>
    </row>
    <row r="460" spans="1:9" ht="15.75" customHeight="1">
      <c r="A460" s="546"/>
      <c r="B460" s="552"/>
      <c r="C460" s="241" t="s">
        <v>23</v>
      </c>
      <c r="D460" s="242">
        <f>COUNTIF($D$11:$T$11,"Lai Châu")</f>
        <v>0</v>
      </c>
      <c r="E460" s="158"/>
      <c r="F460" s="174"/>
      <c r="G460" s="174"/>
      <c r="H460" s="174"/>
      <c r="I460" s="738"/>
    </row>
    <row r="461" spans="1:9" ht="15.75" customHeight="1">
      <c r="A461" s="686"/>
      <c r="B461" s="687"/>
      <c r="C461" s="243" t="s">
        <v>17</v>
      </c>
      <c r="D461" s="242">
        <f>COUNTIF($D$11:$T$11,"Điện Biên")</f>
        <v>0</v>
      </c>
      <c r="E461" s="164"/>
      <c r="F461" s="174"/>
      <c r="G461" s="174"/>
      <c r="H461" s="174"/>
      <c r="I461" s="406"/>
    </row>
    <row r="462" spans="1:9" ht="15.75" customHeight="1">
      <c r="A462" s="686"/>
      <c r="B462" s="687"/>
      <c r="C462" s="243" t="s">
        <v>16</v>
      </c>
      <c r="D462" s="242">
        <f>COUNTIF($D$11:$T$11,"Lạng Sơn")</f>
        <v>0</v>
      </c>
      <c r="E462" s="164"/>
      <c r="F462" s="174"/>
      <c r="G462" s="174"/>
      <c r="H462" s="174"/>
      <c r="I462" s="406"/>
    </row>
    <row r="463" spans="1:9" ht="15.75" customHeight="1">
      <c r="A463" s="686"/>
      <c r="B463" s="687"/>
      <c r="C463" s="243" t="s">
        <v>13</v>
      </c>
      <c r="D463" s="242">
        <f>COUNTIF($D$11:$T$11,"Cao Bằng")</f>
        <v>0</v>
      </c>
      <c r="E463" s="164"/>
      <c r="F463" s="174"/>
      <c r="G463" s="174"/>
      <c r="H463" s="174"/>
      <c r="I463" s="406"/>
    </row>
    <row r="464" spans="1:9" ht="15.75" customHeight="1">
      <c r="A464" s="686"/>
      <c r="B464" s="687"/>
      <c r="C464" s="243" t="s">
        <v>1090</v>
      </c>
      <c r="D464" s="242">
        <f>COUNTIF($D$11:$T$11,"Sơn La")</f>
        <v>0</v>
      </c>
      <c r="E464" s="164"/>
      <c r="F464" s="174"/>
      <c r="G464" s="174"/>
      <c r="H464" s="174"/>
      <c r="I464" s="406"/>
    </row>
    <row r="465" spans="1:9" ht="15.75" customHeight="1">
      <c r="A465" s="686"/>
      <c r="B465" s="687"/>
      <c r="C465" s="243" t="s">
        <v>19</v>
      </c>
      <c r="D465" s="242">
        <f>COUNTIF($D$11:$T$11,"Yên Bái")</f>
        <v>0</v>
      </c>
      <c r="E465" s="164"/>
      <c r="F465" s="174"/>
      <c r="G465" s="174"/>
      <c r="H465" s="174"/>
      <c r="I465" s="406"/>
    </row>
    <row r="466" spans="1:9" ht="15.75" customHeight="1">
      <c r="A466" s="686"/>
      <c r="B466" s="687"/>
      <c r="C466" s="243" t="s">
        <v>18</v>
      </c>
      <c r="D466" s="242">
        <f>COUNTIF($D$11:$T$11,"Tuyên Quang")</f>
        <v>0</v>
      </c>
      <c r="E466" s="164"/>
      <c r="F466" s="174"/>
      <c r="G466" s="174"/>
      <c r="H466" s="174"/>
      <c r="I466" s="406"/>
    </row>
    <row r="467" spans="1:9" ht="15.75" customHeight="1">
      <c r="A467" s="686"/>
      <c r="B467" s="687"/>
      <c r="C467" s="243" t="s">
        <v>1091</v>
      </c>
      <c r="D467" s="242">
        <f>COUNTIF($D$11:$T$11,"Thái Nguyên")</f>
        <v>13</v>
      </c>
      <c r="E467" s="164"/>
      <c r="F467" s="174"/>
      <c r="G467" s="174"/>
      <c r="H467" s="174"/>
      <c r="I467" s="406"/>
    </row>
    <row r="468" spans="1:9" ht="15.75" customHeight="1">
      <c r="A468" s="686"/>
      <c r="B468" s="687"/>
      <c r="C468" s="243" t="s">
        <v>15</v>
      </c>
      <c r="D468" s="242">
        <f>COUNTIF($D$11:$T$11,"Bắc Kạn")</f>
        <v>0</v>
      </c>
      <c r="E468" s="164"/>
      <c r="F468" s="174"/>
      <c r="G468" s="174"/>
      <c r="H468" s="174"/>
      <c r="I468" s="406"/>
    </row>
    <row r="469" spans="1:9" ht="15.75" customHeight="1">
      <c r="A469" s="686"/>
      <c r="B469" s="687"/>
      <c r="C469" s="243" t="s">
        <v>25</v>
      </c>
      <c r="D469" s="242">
        <f>COUNTIF($D$11:$T$11,"Hoà Bình")</f>
        <v>0</v>
      </c>
      <c r="E469" s="164"/>
      <c r="F469" s="174"/>
      <c r="G469" s="174"/>
      <c r="H469" s="174"/>
      <c r="I469" s="406"/>
    </row>
    <row r="470" spans="1:9" ht="15.75" customHeight="1">
      <c r="A470" s="686"/>
      <c r="B470" s="687"/>
      <c r="C470" s="243" t="s">
        <v>1092</v>
      </c>
      <c r="D470" s="242">
        <f>COUNTIF($D$11:$T$11,"Bắc Giang")</f>
        <v>0</v>
      </c>
      <c r="E470" s="164"/>
      <c r="F470" s="174"/>
      <c r="G470" s="174"/>
      <c r="H470" s="174"/>
      <c r="I470" s="406"/>
    </row>
    <row r="471" spans="1:9" ht="15.75" customHeight="1">
      <c r="A471" s="686"/>
      <c r="B471" s="687"/>
      <c r="C471" s="243" t="s">
        <v>28</v>
      </c>
      <c r="D471" s="242">
        <f>COUNTIF($D$11:$T$11,"Quảng Ninh")</f>
        <v>0</v>
      </c>
      <c r="E471" s="164"/>
      <c r="F471" s="174"/>
      <c r="G471" s="174"/>
      <c r="H471" s="174"/>
      <c r="I471" s="406"/>
    </row>
    <row r="472" spans="1:9" ht="15.75" customHeight="1">
      <c r="A472" s="686"/>
      <c r="B472" s="687"/>
      <c r="C472" s="243" t="s">
        <v>26</v>
      </c>
      <c r="D472" s="242">
        <f>COUNTIF($D$11:$T$11,"Hà Nội")</f>
        <v>0</v>
      </c>
      <c r="E472" s="164"/>
      <c r="F472" s="174"/>
      <c r="G472" s="174"/>
      <c r="H472" s="174"/>
      <c r="I472" s="406"/>
    </row>
    <row r="473" spans="1:9" ht="15.75" customHeight="1">
      <c r="A473" s="686"/>
      <c r="B473" s="687"/>
      <c r="C473" s="243" t="s">
        <v>21</v>
      </c>
      <c r="D473" s="242">
        <f>COUNTIF($D$11:$T$11,"Phú Thọ")</f>
        <v>0</v>
      </c>
      <c r="E473" s="164"/>
      <c r="F473" s="174"/>
      <c r="G473" s="174"/>
      <c r="H473" s="174"/>
      <c r="I473" s="406"/>
    </row>
    <row r="474" spans="1:9" ht="15.75" customHeight="1">
      <c r="A474" s="686"/>
      <c r="B474" s="687"/>
      <c r="C474" s="243" t="s">
        <v>1093</v>
      </c>
      <c r="D474" s="242">
        <f>COUNTIF($D$11:$T$11,"Vĩnh Phúc")</f>
        <v>0</v>
      </c>
      <c r="E474" s="164"/>
      <c r="F474" s="174"/>
      <c r="G474" s="174"/>
      <c r="H474" s="174"/>
      <c r="I474" s="406"/>
    </row>
    <row r="475" spans="1:9" ht="15.75" customHeight="1">
      <c r="A475" s="686"/>
      <c r="B475" s="687"/>
      <c r="C475" s="243" t="s">
        <v>32</v>
      </c>
      <c r="D475" s="242">
        <f>COUNTIF($D$11:$T$11,"Bắc Ninh")</f>
        <v>0</v>
      </c>
      <c r="E475" s="164"/>
      <c r="F475" s="174"/>
      <c r="G475" s="174"/>
      <c r="H475" s="174"/>
      <c r="I475" s="406"/>
    </row>
    <row r="476" spans="1:9" ht="15.75" customHeight="1">
      <c r="A476" s="686"/>
      <c r="B476" s="687"/>
      <c r="C476" s="243" t="s">
        <v>29</v>
      </c>
      <c r="D476" s="242">
        <f>COUNTIF($D$11:$T$11,"Hải Dương")</f>
        <v>0</v>
      </c>
      <c r="E476" s="164"/>
      <c r="F476" s="174"/>
      <c r="G476" s="174"/>
      <c r="H476" s="174"/>
      <c r="I476" s="406"/>
    </row>
    <row r="477" spans="1:9" ht="15.75" customHeight="1">
      <c r="A477" s="686"/>
      <c r="B477" s="687"/>
      <c r="C477" s="243" t="s">
        <v>30</v>
      </c>
      <c r="D477" s="242">
        <f>COUNTIF($D$11:$T$11,"Hưng Yên")</f>
        <v>0</v>
      </c>
      <c r="E477" s="164"/>
      <c r="F477" s="174"/>
      <c r="G477" s="174"/>
      <c r="H477" s="174"/>
      <c r="I477" s="406"/>
    </row>
    <row r="478" spans="1:9" ht="15.75" customHeight="1">
      <c r="A478" s="686"/>
      <c r="B478" s="687"/>
      <c r="C478" s="243" t="s">
        <v>27</v>
      </c>
      <c r="D478" s="242">
        <f>COUNTIF($D$11:$T$11,"Hải Phòng")</f>
        <v>0</v>
      </c>
      <c r="E478" s="164"/>
      <c r="F478" s="174"/>
      <c r="G478" s="174"/>
      <c r="H478" s="174"/>
      <c r="I478" s="406"/>
    </row>
    <row r="479" spans="1:9" ht="15.75" customHeight="1">
      <c r="A479" s="686"/>
      <c r="B479" s="687"/>
      <c r="C479" s="243" t="s">
        <v>33</v>
      </c>
      <c r="D479" s="242">
        <f>COUNTIF($D$11:$T$11,"Hà Nam")</f>
        <v>0</v>
      </c>
      <c r="E479" s="164"/>
      <c r="F479" s="174"/>
      <c r="G479" s="174"/>
      <c r="H479" s="174"/>
      <c r="I479" s="406"/>
    </row>
    <row r="480" spans="1:9" ht="15.75" customHeight="1">
      <c r="A480" s="686"/>
      <c r="B480" s="687"/>
      <c r="C480" s="243" t="s">
        <v>36</v>
      </c>
      <c r="D480" s="242">
        <f>COUNTIF($D$11:$T$11,"Nam Định")</f>
        <v>0</v>
      </c>
      <c r="E480" s="164"/>
      <c r="F480" s="174"/>
      <c r="G480" s="174"/>
      <c r="H480" s="174"/>
      <c r="I480" s="406"/>
    </row>
    <row r="481" spans="1:9" ht="15.75" customHeight="1">
      <c r="A481" s="686"/>
      <c r="B481" s="687"/>
      <c r="C481" s="243" t="s">
        <v>1094</v>
      </c>
      <c r="D481" s="242">
        <f>COUNTIF($D$11:$T$11,"Thái Bình")</f>
        <v>0</v>
      </c>
      <c r="E481" s="164"/>
      <c r="F481" s="174"/>
      <c r="G481" s="174"/>
      <c r="H481" s="174"/>
      <c r="I481" s="406"/>
    </row>
    <row r="482" spans="1:9" ht="15.75" customHeight="1">
      <c r="A482" s="686"/>
      <c r="B482" s="687"/>
      <c r="C482" s="243" t="s">
        <v>34</v>
      </c>
      <c r="D482" s="242">
        <f>COUNTIF($D$11:$T$11,"Ninh Bình")</f>
        <v>0</v>
      </c>
      <c r="E482" s="164"/>
      <c r="F482" s="174"/>
      <c r="G482" s="174"/>
      <c r="H482" s="174"/>
      <c r="I482" s="406"/>
    </row>
    <row r="483" spans="1:9" ht="15.75" customHeight="1">
      <c r="A483" s="686"/>
      <c r="B483" s="687"/>
      <c r="C483" s="243" t="s">
        <v>37</v>
      </c>
      <c r="D483" s="242">
        <f>COUNTIF($D$11:$T$11,"Thanh Hoá")</f>
        <v>0</v>
      </c>
      <c r="E483" s="164"/>
      <c r="F483" s="174"/>
      <c r="G483" s="174"/>
      <c r="H483" s="174"/>
      <c r="I483" s="406"/>
    </row>
    <row r="484" spans="1:9" ht="15.75" customHeight="1">
      <c r="A484" s="686"/>
      <c r="B484" s="687"/>
      <c r="C484" s="243" t="s">
        <v>1095</v>
      </c>
      <c r="D484" s="242">
        <f>COUNTIF($D$11:$T$11,"Nghệ An")</f>
        <v>0</v>
      </c>
      <c r="E484" s="164"/>
      <c r="F484" s="174"/>
      <c r="G484" s="174"/>
      <c r="H484" s="174"/>
      <c r="I484" s="406"/>
    </row>
    <row r="485" spans="1:9" ht="15.75" customHeight="1">
      <c r="A485" s="686"/>
      <c r="B485" s="687"/>
      <c r="C485" s="243" t="s">
        <v>1096</v>
      </c>
      <c r="D485" s="242">
        <f>COUNTIF($D$11:$T$11,"Hà Tĩnh")</f>
        <v>0</v>
      </c>
      <c r="E485" s="164"/>
      <c r="F485" s="174"/>
      <c r="G485" s="174"/>
      <c r="H485" s="174"/>
      <c r="I485" s="406"/>
    </row>
    <row r="486" spans="1:9" ht="15.75" customHeight="1">
      <c r="A486" s="686"/>
      <c r="B486" s="687"/>
      <c r="C486" s="243" t="s">
        <v>1097</v>
      </c>
      <c r="D486" s="242">
        <f>COUNTIF($D$11:$T$11,"Quảng Bình")</f>
        <v>0</v>
      </c>
      <c r="E486" s="164"/>
      <c r="F486" s="174"/>
      <c r="G486" s="174"/>
      <c r="H486" s="174"/>
      <c r="I486" s="406"/>
    </row>
    <row r="487" spans="1:9" ht="15.75" customHeight="1">
      <c r="A487" s="686"/>
      <c r="B487" s="687"/>
      <c r="C487" s="243" t="s">
        <v>1098</v>
      </c>
      <c r="D487" s="242">
        <f>COUNTIF($D$11:$T$11,"Quảng Trị")</f>
        <v>0</v>
      </c>
      <c r="E487" s="164"/>
      <c r="F487" s="174"/>
      <c r="G487" s="174"/>
      <c r="H487" s="174"/>
      <c r="I487" s="406"/>
    </row>
    <row r="488" spans="1:9" ht="15.75" customHeight="1">
      <c r="A488" s="686"/>
      <c r="B488" s="687"/>
      <c r="C488" s="243" t="s">
        <v>1099</v>
      </c>
      <c r="D488" s="242">
        <f>COUNTIF($D$11:$T$11,"Thừa Thiên Huế")</f>
        <v>0</v>
      </c>
      <c r="E488" s="164"/>
      <c r="F488" s="174"/>
      <c r="G488" s="174"/>
      <c r="H488" s="174"/>
      <c r="I488" s="406"/>
    </row>
    <row r="489" spans="1:9" ht="15.75" customHeight="1">
      <c r="A489" s="686"/>
      <c r="B489" s="687"/>
      <c r="C489" s="243" t="s">
        <v>1100</v>
      </c>
      <c r="D489" s="242">
        <f>COUNTIF($D$11:$T$11,"Đà Nẵng")</f>
        <v>0</v>
      </c>
      <c r="E489" s="164"/>
      <c r="F489" s="174"/>
      <c r="G489" s="174"/>
      <c r="H489" s="174"/>
      <c r="I489" s="406"/>
    </row>
    <row r="490" spans="1:9" ht="15.75" customHeight="1">
      <c r="A490" s="686"/>
      <c r="B490" s="687"/>
      <c r="C490" s="243" t="s">
        <v>1101</v>
      </c>
      <c r="D490" s="242">
        <f>COUNTIF($D$11:$T$11,"Quảng Nam")</f>
        <v>0</v>
      </c>
      <c r="E490" s="164"/>
      <c r="F490" s="174"/>
      <c r="G490" s="174"/>
      <c r="H490" s="174"/>
      <c r="I490" s="406"/>
    </row>
    <row r="491" spans="1:9" ht="15.75" customHeight="1">
      <c r="A491" s="686"/>
      <c r="B491" s="687"/>
      <c r="C491" s="243" t="s">
        <v>1102</v>
      </c>
      <c r="D491" s="242">
        <f>COUNTIF($D$11:$T$11,"Quảng Ngãi")</f>
        <v>0</v>
      </c>
      <c r="E491" s="164"/>
      <c r="F491" s="174"/>
      <c r="G491" s="174"/>
      <c r="H491" s="174"/>
      <c r="I491" s="406"/>
    </row>
    <row r="492" spans="1:9" ht="15.75" customHeight="1">
      <c r="A492" s="686"/>
      <c r="B492" s="687"/>
      <c r="C492" s="243" t="s">
        <v>1103</v>
      </c>
      <c r="D492" s="242">
        <f>COUNTIF($D$11:$T$11,"Bình Định")</f>
        <v>0</v>
      </c>
      <c r="E492" s="164"/>
      <c r="F492" s="174"/>
      <c r="G492" s="174"/>
      <c r="H492" s="174"/>
      <c r="I492" s="406"/>
    </row>
    <row r="493" spans="1:9" ht="15.75" customHeight="1">
      <c r="A493" s="686"/>
      <c r="B493" s="687"/>
      <c r="C493" s="243" t="s">
        <v>1104</v>
      </c>
      <c r="D493" s="242">
        <f>COUNTIF($D$11:$T$11,"Phú Yên")</f>
        <v>0</v>
      </c>
      <c r="E493" s="164"/>
      <c r="F493" s="174"/>
      <c r="G493" s="174"/>
      <c r="H493" s="174"/>
      <c r="I493" s="406"/>
    </row>
    <row r="494" spans="1:9" ht="15.75" customHeight="1">
      <c r="A494" s="686"/>
      <c r="B494" s="687"/>
      <c r="C494" s="243" t="s">
        <v>1105</v>
      </c>
      <c r="D494" s="242">
        <f>COUNTIF($D$11:$T$11,"Khánh Hoà")</f>
        <v>0</v>
      </c>
      <c r="E494" s="164"/>
      <c r="F494" s="174"/>
      <c r="G494" s="174"/>
      <c r="H494" s="174"/>
      <c r="I494" s="406"/>
    </row>
    <row r="495" spans="1:9" ht="15.75" customHeight="1">
      <c r="A495" s="686"/>
      <c r="B495" s="687"/>
      <c r="C495" s="243" t="s">
        <v>1106</v>
      </c>
      <c r="D495" s="242">
        <f>COUNTIF($D$11:$T$11,"Ninh Thuận")</f>
        <v>0</v>
      </c>
      <c r="E495" s="164"/>
      <c r="F495" s="174"/>
      <c r="G495" s="174"/>
      <c r="H495" s="174"/>
      <c r="I495" s="406"/>
    </row>
    <row r="496" spans="1:9" ht="15.75" customHeight="1">
      <c r="A496" s="686"/>
      <c r="B496" s="687"/>
      <c r="C496" s="243" t="s">
        <v>1107</v>
      </c>
      <c r="D496" s="242">
        <f>COUNTIF($D$11:$T$11,"Bình Thuận")</f>
        <v>0</v>
      </c>
      <c r="E496" s="164"/>
      <c r="F496" s="174"/>
      <c r="G496" s="174"/>
      <c r="H496" s="174"/>
      <c r="I496" s="406"/>
    </row>
    <row r="497" spans="1:9" ht="15.75" customHeight="1">
      <c r="A497" s="686"/>
      <c r="B497" s="687"/>
      <c r="C497" s="243" t="s">
        <v>1108</v>
      </c>
      <c r="D497" s="242">
        <f>COUNTIF($D$11:$T$11,"Kon Tum")</f>
        <v>0</v>
      </c>
      <c r="E497" s="164"/>
      <c r="F497" s="174"/>
      <c r="G497" s="174"/>
      <c r="H497" s="174"/>
      <c r="I497" s="406"/>
    </row>
    <row r="498" spans="1:9" ht="15.75" customHeight="1">
      <c r="A498" s="686"/>
      <c r="B498" s="687"/>
      <c r="C498" s="243" t="s">
        <v>1109</v>
      </c>
      <c r="D498" s="242">
        <f>COUNTIF($D$11:$T$11,"Gia Lai")</f>
        <v>0</v>
      </c>
      <c r="E498" s="164"/>
      <c r="F498" s="174"/>
      <c r="G498" s="174"/>
      <c r="H498" s="174"/>
      <c r="I498" s="406"/>
    </row>
    <row r="499" spans="1:9" ht="15.75" customHeight="1">
      <c r="A499" s="686"/>
      <c r="B499" s="687"/>
      <c r="C499" s="243" t="s">
        <v>1110</v>
      </c>
      <c r="D499" s="242">
        <f>COUNTIF($D$11:$T$11,"Đắk Lắk")</f>
        <v>0</v>
      </c>
      <c r="E499" s="164"/>
      <c r="F499" s="174"/>
      <c r="G499" s="174"/>
      <c r="H499" s="174"/>
      <c r="I499" s="406"/>
    </row>
    <row r="500" spans="1:9" ht="15.75" customHeight="1">
      <c r="A500" s="686"/>
      <c r="B500" s="687"/>
      <c r="C500" s="243" t="s">
        <v>1111</v>
      </c>
      <c r="D500" s="242">
        <f>COUNTIF($D$11:$T$11,"Đắk Nông")</f>
        <v>0</v>
      </c>
      <c r="E500" s="164"/>
      <c r="F500" s="174"/>
      <c r="G500" s="174"/>
      <c r="H500" s="174"/>
      <c r="I500" s="406"/>
    </row>
    <row r="501" spans="1:9" ht="15.75" customHeight="1">
      <c r="A501" s="686"/>
      <c r="B501" s="687"/>
      <c r="C501" s="243" t="s">
        <v>1112</v>
      </c>
      <c r="D501" s="242">
        <f>COUNTIF($D$11:$T$11,"Lâm Đồng")</f>
        <v>0</v>
      </c>
      <c r="E501" s="164"/>
      <c r="F501" s="174"/>
      <c r="G501" s="174"/>
      <c r="H501" s="174"/>
      <c r="I501" s="406"/>
    </row>
    <row r="502" spans="1:9" ht="15.75" customHeight="1">
      <c r="A502" s="686"/>
      <c r="B502" s="687"/>
      <c r="C502" s="243" t="s">
        <v>1113</v>
      </c>
      <c r="D502" s="242">
        <f>COUNTIF($D$11:$T$11,"Tây Ninh")</f>
        <v>0</v>
      </c>
      <c r="E502" s="164"/>
      <c r="F502" s="174"/>
      <c r="G502" s="174"/>
      <c r="H502" s="174"/>
      <c r="I502" s="406"/>
    </row>
    <row r="503" spans="1:9" ht="15.75" customHeight="1">
      <c r="A503" s="686"/>
      <c r="B503" s="687"/>
      <c r="C503" s="243" t="s">
        <v>1114</v>
      </c>
      <c r="D503" s="242">
        <f>COUNTIF($D$11:$T$11,"Bình Phước")</f>
        <v>0</v>
      </c>
      <c r="E503" s="164"/>
      <c r="F503" s="174"/>
      <c r="G503" s="174"/>
      <c r="H503" s="174"/>
      <c r="I503" s="406"/>
    </row>
    <row r="504" spans="1:9" ht="15.75" customHeight="1">
      <c r="A504" s="686"/>
      <c r="B504" s="687"/>
      <c r="C504" s="243" t="s">
        <v>1115</v>
      </c>
      <c r="D504" s="242">
        <f>COUNTIF($D$11:$T$11,"Bình Dương")</f>
        <v>0</v>
      </c>
      <c r="E504" s="164"/>
      <c r="F504" s="174"/>
      <c r="G504" s="174"/>
      <c r="H504" s="174"/>
      <c r="I504" s="406"/>
    </row>
    <row r="505" spans="1:9" ht="15.75" customHeight="1">
      <c r="A505" s="686"/>
      <c r="B505" s="687"/>
      <c r="C505" s="243" t="s">
        <v>1116</v>
      </c>
      <c r="D505" s="242">
        <f>COUNTIF($D$11:$T$11,"Bà Rịa - Vũng Tàu")</f>
        <v>0</v>
      </c>
      <c r="E505" s="164"/>
      <c r="F505" s="174"/>
      <c r="G505" s="174"/>
      <c r="H505" s="174"/>
      <c r="I505" s="406"/>
    </row>
    <row r="506" spans="1:9" ht="15.75" customHeight="1">
      <c r="A506" s="686"/>
      <c r="B506" s="687"/>
      <c r="C506" s="243" t="s">
        <v>1117</v>
      </c>
      <c r="D506" s="242">
        <f>COUNTIF($D$11:$T$11,"Bến Tre")</f>
        <v>0</v>
      </c>
      <c r="E506" s="164"/>
      <c r="F506" s="174"/>
      <c r="G506" s="174"/>
      <c r="H506" s="174"/>
      <c r="I506" s="406"/>
    </row>
    <row r="507" spans="1:9" ht="15.75" customHeight="1">
      <c r="A507" s="686"/>
      <c r="B507" s="687"/>
      <c r="C507" s="243" t="s">
        <v>1118</v>
      </c>
      <c r="D507" s="242">
        <f>COUNTIF($D$11:$T$11,"An Giang")</f>
        <v>0</v>
      </c>
      <c r="E507" s="164"/>
      <c r="F507" s="174"/>
      <c r="G507" s="174"/>
      <c r="H507" s="174"/>
      <c r="I507" s="406"/>
    </row>
    <row r="508" spans="1:9" ht="15.75" customHeight="1">
      <c r="A508" s="686"/>
      <c r="B508" s="687"/>
      <c r="C508" s="243" t="s">
        <v>1119</v>
      </c>
      <c r="D508" s="242">
        <f>COUNTIF($D$11:$T$11,"Vĩnh Long")</f>
        <v>0</v>
      </c>
      <c r="E508" s="164"/>
      <c r="F508" s="174"/>
      <c r="G508" s="174"/>
      <c r="H508" s="174"/>
      <c r="I508" s="406"/>
    </row>
    <row r="509" spans="1:9" ht="15.75" customHeight="1">
      <c r="A509" s="686"/>
      <c r="B509" s="687"/>
      <c r="C509" s="243" t="s">
        <v>1120</v>
      </c>
      <c r="D509" s="242">
        <f>COUNTIF($D$11:$T$11,"Cần Thơ")</f>
        <v>0</v>
      </c>
      <c r="E509" s="164"/>
      <c r="F509" s="174"/>
      <c r="G509" s="174"/>
      <c r="H509" s="174"/>
      <c r="I509" s="406"/>
    </row>
    <row r="510" spans="1:9" ht="15.75" customHeight="1">
      <c r="A510" s="686"/>
      <c r="B510" s="687"/>
      <c r="C510" s="243" t="s">
        <v>1121</v>
      </c>
      <c r="D510" s="242">
        <f>COUNTIF($D$11:$T$11,"Hậu Giang")</f>
        <v>0</v>
      </c>
      <c r="E510" s="164"/>
      <c r="F510" s="174"/>
      <c r="G510" s="174"/>
      <c r="H510" s="174"/>
      <c r="I510" s="406"/>
    </row>
    <row r="511" spans="1:9" ht="15.75" customHeight="1">
      <c r="A511" s="686"/>
      <c r="B511" s="687"/>
      <c r="C511" s="243" t="s">
        <v>1122</v>
      </c>
      <c r="D511" s="242">
        <f>COUNTIF($D$11:$T$11,"Sóc Trăng")</f>
        <v>0</v>
      </c>
      <c r="E511" s="164"/>
      <c r="F511" s="174"/>
      <c r="G511" s="174"/>
      <c r="H511" s="174"/>
      <c r="I511" s="406"/>
    </row>
    <row r="512" spans="1:9" ht="15.75" customHeight="1">
      <c r="A512" s="686"/>
      <c r="B512" s="687"/>
      <c r="C512" s="243" t="s">
        <v>1123</v>
      </c>
      <c r="D512" s="242">
        <f>COUNTIF($D$11:$T$11,"Bạc Liêu")</f>
        <v>0</v>
      </c>
      <c r="E512" s="164"/>
      <c r="F512" s="174"/>
      <c r="G512" s="174"/>
      <c r="H512" s="174"/>
      <c r="I512" s="406"/>
    </row>
    <row r="513" spans="1:9" ht="15.75" customHeight="1">
      <c r="A513" s="686"/>
      <c r="B513" s="687"/>
      <c r="C513" s="243" t="s">
        <v>1124</v>
      </c>
      <c r="D513" s="242">
        <f>COUNTIF($D$11:$T$11,"Cà Mau")</f>
        <v>0</v>
      </c>
      <c r="E513" s="164"/>
      <c r="F513" s="174"/>
      <c r="G513" s="174"/>
      <c r="H513" s="174"/>
      <c r="I513" s="406"/>
    </row>
    <row r="514" spans="1:9" ht="15.75" customHeight="1">
      <c r="A514" s="686"/>
      <c r="B514" s="687"/>
      <c r="C514" s="243" t="s">
        <v>1125</v>
      </c>
      <c r="D514" s="242">
        <f>COUNTIF($D$11:$T$11,"Kiên Giang")</f>
        <v>0</v>
      </c>
      <c r="E514" s="164"/>
      <c r="F514" s="174"/>
      <c r="G514" s="174"/>
      <c r="H514" s="174"/>
      <c r="I514" s="406"/>
    </row>
    <row r="515" spans="1:9" ht="15.75" customHeight="1">
      <c r="A515" s="686"/>
      <c r="B515" s="687"/>
      <c r="C515" s="243" t="s">
        <v>1126</v>
      </c>
      <c r="D515" s="242">
        <f>COUNTIF($D$11:$T$11,"Đồng Tháp")</f>
        <v>0</v>
      </c>
      <c r="E515" s="164"/>
      <c r="F515" s="174"/>
      <c r="G515" s="174"/>
      <c r="H515" s="174"/>
      <c r="I515" s="406"/>
    </row>
    <row r="516" spans="1:9" ht="15.75" customHeight="1">
      <c r="A516" s="686"/>
      <c r="B516" s="687"/>
      <c r="C516" s="243" t="s">
        <v>1127</v>
      </c>
      <c r="D516" s="242">
        <f>COUNTIF($D$11:$T$11,"Trà Vinh")</f>
        <v>0</v>
      </c>
      <c r="E516" s="164"/>
      <c r="F516" s="174"/>
      <c r="G516" s="174"/>
      <c r="H516" s="174"/>
      <c r="I516" s="406"/>
    </row>
    <row r="517" spans="1:9" ht="15.75" customHeight="1">
      <c r="A517" s="686"/>
      <c r="B517" s="687"/>
      <c r="C517" s="243" t="s">
        <v>1128</v>
      </c>
      <c r="D517" s="242">
        <f>COUNTIF($D$11:$T$11,"Tiền Giang")</f>
        <v>0</v>
      </c>
      <c r="E517" s="164"/>
      <c r="F517" s="174"/>
      <c r="G517" s="174"/>
      <c r="H517" s="174"/>
      <c r="I517" s="406"/>
    </row>
    <row r="518" spans="1:9" ht="15.75" customHeight="1">
      <c r="A518" s="686"/>
      <c r="B518" s="687"/>
      <c r="C518" s="243" t="s">
        <v>1129</v>
      </c>
      <c r="D518" s="242">
        <f>COUNTIF($D$11:$T$11,"Long An")</f>
        <v>0</v>
      </c>
      <c r="E518" s="164"/>
      <c r="F518" s="174"/>
      <c r="G518" s="174"/>
      <c r="H518" s="174"/>
      <c r="I518" s="406"/>
    </row>
    <row r="519" spans="1:9" ht="15.75" customHeight="1">
      <c r="A519" s="686"/>
      <c r="B519" s="687"/>
      <c r="C519" s="243" t="s">
        <v>1130</v>
      </c>
      <c r="D519" s="242">
        <f>COUNTIF($D$11:$T$11,"Đồng Nai")</f>
        <v>0</v>
      </c>
      <c r="E519" s="164"/>
      <c r="F519" s="174"/>
      <c r="G519" s="174"/>
      <c r="H519" s="174"/>
      <c r="I519" s="406"/>
    </row>
    <row r="520" spans="1:9" ht="15.75" customHeight="1">
      <c r="A520" s="686"/>
      <c r="B520" s="687"/>
      <c r="C520" s="243" t="s">
        <v>1131</v>
      </c>
      <c r="D520" s="242">
        <f>COUNTIF($D$11:$T$11,"TP Hồ Chí Minh")</f>
        <v>0</v>
      </c>
      <c r="E520" s="164"/>
      <c r="F520" s="174"/>
      <c r="G520" s="174"/>
      <c r="H520" s="174"/>
      <c r="I520" s="406"/>
    </row>
    <row r="521" spans="1:9" ht="15.75" customHeight="1">
      <c r="A521" s="686"/>
      <c r="B521" s="687"/>
      <c r="C521" s="243"/>
      <c r="D521" s="244"/>
      <c r="E521" s="164"/>
      <c r="F521" s="174"/>
      <c r="G521" s="174"/>
      <c r="H521" s="174"/>
      <c r="I521" s="406"/>
    </row>
    <row r="522" spans="1:9" ht="15.75" customHeight="1">
      <c r="A522" s="686"/>
      <c r="B522" s="687"/>
      <c r="C522" s="243"/>
      <c r="D522" s="245">
        <f>SUM(D458:D520)</f>
        <v>13</v>
      </c>
      <c r="E522" s="164"/>
      <c r="F522" s="174"/>
      <c r="G522" s="174"/>
      <c r="H522" s="174"/>
      <c r="I522" s="406"/>
    </row>
    <row r="523" spans="1:9" ht="15.75" customHeight="1">
      <c r="A523" s="686"/>
      <c r="B523" s="687"/>
      <c r="C523" s="243"/>
      <c r="D523" s="244"/>
      <c r="E523" s="164"/>
      <c r="F523" s="174"/>
      <c r="G523" s="174"/>
      <c r="H523" s="174"/>
      <c r="I523" s="406"/>
    </row>
    <row r="524" spans="1:9" ht="15.75" customHeight="1">
      <c r="A524" s="686"/>
      <c r="B524" s="687"/>
      <c r="C524" s="243"/>
      <c r="D524" s="244"/>
      <c r="E524" s="164"/>
      <c r="F524" s="174"/>
      <c r="G524" s="174"/>
      <c r="H524" s="174"/>
      <c r="I524" s="406"/>
    </row>
    <row r="525" spans="1:9" ht="15.75" customHeight="1">
      <c r="A525" s="686"/>
      <c r="B525" s="687"/>
      <c r="C525" s="243"/>
      <c r="D525" s="244"/>
      <c r="E525" s="164"/>
      <c r="F525" s="174"/>
      <c r="G525" s="174"/>
      <c r="H525" s="174"/>
      <c r="I525" s="406"/>
    </row>
    <row r="526" spans="1:9" ht="15.75" customHeight="1">
      <c r="A526" s="686"/>
      <c r="B526" s="687"/>
      <c r="C526" s="243"/>
      <c r="D526" s="244"/>
      <c r="E526" s="164"/>
      <c r="F526" s="174"/>
      <c r="G526" s="174"/>
      <c r="H526" s="174"/>
      <c r="I526" s="406"/>
    </row>
    <row r="527" spans="1:9" ht="15.75" customHeight="1">
      <c r="A527" s="686"/>
      <c r="B527" s="687"/>
      <c r="C527" s="243"/>
      <c r="D527" s="244"/>
      <c r="E527" s="164"/>
      <c r="F527" s="174"/>
      <c r="G527" s="174"/>
      <c r="H527" s="174"/>
      <c r="I527" s="406"/>
    </row>
    <row r="528" spans="1:9" ht="15.75" customHeight="1">
      <c r="A528" s="686"/>
      <c r="B528" s="687"/>
      <c r="C528" s="243"/>
      <c r="D528" s="244"/>
      <c r="E528" s="164"/>
      <c r="F528" s="174"/>
      <c r="G528" s="174"/>
      <c r="H528" s="174"/>
      <c r="I528" s="406"/>
    </row>
    <row r="529" spans="1:9" ht="15.75" customHeight="1">
      <c r="A529" s="686"/>
      <c r="B529" s="687"/>
      <c r="C529" s="243"/>
      <c r="D529" s="244"/>
      <c r="E529" s="164"/>
      <c r="F529" s="174"/>
      <c r="G529" s="174"/>
      <c r="H529" s="174"/>
      <c r="I529" s="406"/>
    </row>
    <row r="530" spans="1:9" ht="15.75" customHeight="1">
      <c r="A530" s="686"/>
      <c r="B530" s="687"/>
      <c r="C530" s="243"/>
      <c r="D530" s="244"/>
      <c r="E530" s="164"/>
      <c r="F530" s="174"/>
      <c r="G530" s="174"/>
      <c r="H530" s="174"/>
      <c r="I530" s="406"/>
    </row>
    <row r="531" spans="1:9" ht="15.75" customHeight="1">
      <c r="A531" s="686"/>
      <c r="B531" s="687"/>
      <c r="C531" s="243"/>
      <c r="D531" s="244"/>
      <c r="E531" s="164"/>
      <c r="F531" s="174"/>
      <c r="G531" s="174"/>
      <c r="H531" s="174"/>
      <c r="I531" s="406"/>
    </row>
    <row r="532" spans="1:9" ht="15.75" customHeight="1">
      <c r="A532" s="686"/>
      <c r="B532" s="687"/>
      <c r="C532" s="243"/>
      <c r="D532" s="244"/>
      <c r="E532" s="164"/>
      <c r="F532" s="174"/>
      <c r="G532" s="174"/>
      <c r="H532" s="174"/>
      <c r="I532" s="406"/>
    </row>
    <row r="533" spans="1:9" ht="15.75" customHeight="1">
      <c r="A533" s="686"/>
      <c r="B533" s="687"/>
      <c r="C533" s="243"/>
      <c r="D533" s="244"/>
      <c r="E533" s="164"/>
      <c r="F533" s="174"/>
      <c r="G533" s="174"/>
      <c r="H533" s="174"/>
      <c r="I533" s="406"/>
    </row>
    <row r="534" spans="1:9" ht="15.75" customHeight="1">
      <c r="A534" s="686"/>
      <c r="B534" s="687"/>
      <c r="C534" s="243"/>
      <c r="D534" s="244"/>
      <c r="E534" s="164"/>
      <c r="F534" s="174"/>
      <c r="G534" s="174"/>
      <c r="H534" s="174"/>
      <c r="I534" s="406"/>
    </row>
    <row r="535" spans="1:9" ht="15.75" customHeight="1">
      <c r="A535" s="686"/>
      <c r="B535" s="687"/>
      <c r="C535" s="243"/>
      <c r="D535" s="244"/>
      <c r="E535" s="164"/>
      <c r="F535" s="174"/>
      <c r="G535" s="174"/>
      <c r="H535" s="174"/>
      <c r="I535" s="406"/>
    </row>
    <row r="536" spans="1:9" ht="15.75" customHeight="1">
      <c r="A536" s="686"/>
      <c r="B536" s="687"/>
      <c r="C536" s="243"/>
      <c r="D536" s="244"/>
      <c r="E536" s="164"/>
      <c r="F536" s="174"/>
      <c r="G536" s="174"/>
      <c r="H536" s="174"/>
      <c r="I536" s="406"/>
    </row>
    <row r="537" spans="1:9" ht="15.75" customHeight="1">
      <c r="A537" s="686"/>
      <c r="B537" s="687"/>
      <c r="C537" s="243"/>
      <c r="D537" s="244"/>
      <c r="E537" s="164"/>
      <c r="F537" s="174"/>
      <c r="G537" s="174"/>
      <c r="H537" s="174"/>
      <c r="I537" s="406"/>
    </row>
    <row r="538" spans="1:9" ht="15.75" customHeight="1">
      <c r="A538" s="686"/>
      <c r="B538" s="687"/>
      <c r="C538" s="243"/>
      <c r="D538" s="244"/>
      <c r="E538" s="164"/>
      <c r="F538" s="174"/>
      <c r="G538" s="174"/>
      <c r="H538" s="174"/>
      <c r="I538" s="406"/>
    </row>
    <row r="539" spans="1:9" ht="15.75" customHeight="1">
      <c r="A539" s="686"/>
      <c r="B539" s="687"/>
      <c r="C539" s="243"/>
      <c r="D539" s="244"/>
      <c r="E539" s="164"/>
      <c r="F539" s="174"/>
      <c r="G539" s="174"/>
      <c r="H539" s="174"/>
      <c r="I539" s="406"/>
    </row>
    <row r="540" spans="1:9" ht="15.75" customHeight="1">
      <c r="A540" s="686"/>
      <c r="B540" s="687"/>
      <c r="C540" s="243"/>
      <c r="D540" s="244"/>
      <c r="E540" s="164"/>
      <c r="F540" s="174"/>
      <c r="G540" s="174"/>
      <c r="H540" s="174"/>
      <c r="I540" s="406"/>
    </row>
    <row r="541" spans="1:9" ht="15.75" customHeight="1">
      <c r="A541" s="686"/>
      <c r="B541" s="687"/>
      <c r="C541" s="243"/>
      <c r="D541" s="244"/>
      <c r="E541" s="164"/>
      <c r="F541" s="174"/>
      <c r="G541" s="174"/>
      <c r="H541" s="174"/>
      <c r="I541" s="406"/>
    </row>
    <row r="542" spans="1:9" ht="15.75" customHeight="1">
      <c r="A542" s="686"/>
      <c r="B542" s="687"/>
      <c r="C542" s="243"/>
      <c r="D542" s="244"/>
      <c r="E542" s="164"/>
      <c r="F542" s="174"/>
      <c r="G542" s="174"/>
      <c r="H542" s="174"/>
      <c r="I542" s="406"/>
    </row>
    <row r="543" spans="1:9" ht="15.75" customHeight="1">
      <c r="A543" s="686"/>
      <c r="B543" s="687"/>
      <c r="C543" s="243"/>
      <c r="D543" s="244"/>
      <c r="E543" s="164"/>
      <c r="F543" s="174"/>
      <c r="G543" s="174"/>
      <c r="H543" s="174"/>
      <c r="I543" s="406"/>
    </row>
    <row r="544" spans="1:9" ht="15.75" customHeight="1">
      <c r="A544" s="686"/>
      <c r="B544" s="687"/>
      <c r="C544" s="243"/>
      <c r="D544" s="244"/>
      <c r="E544" s="164"/>
      <c r="F544" s="174"/>
      <c r="G544" s="174"/>
      <c r="H544" s="174"/>
      <c r="I544" s="406"/>
    </row>
    <row r="545" spans="1:9" ht="15.75" customHeight="1">
      <c r="A545" s="686"/>
      <c r="B545" s="687"/>
      <c r="C545" s="243"/>
      <c r="D545" s="244"/>
      <c r="E545" s="164"/>
      <c r="F545" s="174"/>
      <c r="G545" s="174"/>
      <c r="H545" s="174"/>
      <c r="I545" s="406"/>
    </row>
    <row r="546" spans="1:9" ht="15.75" customHeight="1">
      <c r="A546" s="686"/>
      <c r="B546" s="687"/>
      <c r="C546" s="243"/>
      <c r="D546" s="244"/>
      <c r="E546" s="164"/>
      <c r="F546" s="174"/>
      <c r="G546" s="174"/>
      <c r="H546" s="174"/>
      <c r="I546" s="406"/>
    </row>
    <row r="547" spans="1:9" ht="15.75" customHeight="1">
      <c r="A547" s="686"/>
      <c r="B547" s="687"/>
      <c r="C547" s="243"/>
      <c r="D547" s="244"/>
      <c r="E547" s="164"/>
      <c r="F547" s="174"/>
      <c r="G547" s="174"/>
      <c r="H547" s="174"/>
      <c r="I547" s="406"/>
    </row>
    <row r="548" spans="1:9" ht="15.75" customHeight="1">
      <c r="A548" s="686"/>
      <c r="B548" s="687"/>
      <c r="C548" s="243"/>
      <c r="D548" s="244"/>
      <c r="E548" s="164"/>
      <c r="F548" s="174"/>
      <c r="G548" s="174"/>
      <c r="H548" s="174"/>
      <c r="I548" s="406"/>
    </row>
    <row r="549" spans="1:9" ht="15.75" customHeight="1">
      <c r="A549" s="686"/>
      <c r="B549" s="687"/>
      <c r="C549" s="243"/>
      <c r="D549" s="244"/>
      <c r="E549" s="164"/>
      <c r="F549" s="174"/>
      <c r="G549" s="174"/>
      <c r="H549" s="174"/>
      <c r="I549" s="406"/>
    </row>
    <row r="550" spans="1:9" ht="15.75" customHeight="1">
      <c r="A550" s="686"/>
      <c r="B550" s="687"/>
      <c r="C550" s="243"/>
      <c r="D550" s="244"/>
      <c r="E550" s="164"/>
      <c r="F550" s="174"/>
      <c r="G550" s="174"/>
      <c r="H550" s="174"/>
      <c r="I550" s="406"/>
    </row>
    <row r="551" spans="1:9" ht="15.75" customHeight="1">
      <c r="A551" s="686"/>
      <c r="B551" s="687"/>
      <c r="C551" s="243"/>
      <c r="D551" s="244"/>
      <c r="E551" s="164"/>
      <c r="F551" s="174"/>
      <c r="G551" s="174"/>
      <c r="H551" s="174"/>
      <c r="I551" s="406"/>
    </row>
    <row r="552" spans="1:9" ht="15.75" customHeight="1">
      <c r="A552" s="686"/>
      <c r="B552" s="687"/>
      <c r="C552" s="243"/>
      <c r="D552" s="244"/>
      <c r="E552" s="164"/>
      <c r="F552" s="174"/>
      <c r="G552" s="174"/>
      <c r="H552" s="174"/>
      <c r="I552" s="406"/>
    </row>
    <row r="553" spans="1:9" ht="15.75" customHeight="1">
      <c r="A553" s="686"/>
      <c r="B553" s="687"/>
      <c r="C553" s="243"/>
      <c r="D553" s="244"/>
      <c r="E553" s="164"/>
      <c r="F553" s="174"/>
      <c r="G553" s="174"/>
      <c r="H553" s="174"/>
      <c r="I553" s="406"/>
    </row>
    <row r="554" spans="1:9" ht="15.75" customHeight="1">
      <c r="A554" s="686"/>
      <c r="B554" s="687"/>
      <c r="C554" s="243"/>
      <c r="D554" s="244"/>
      <c r="E554" s="164"/>
      <c r="F554" s="174"/>
      <c r="G554" s="174"/>
      <c r="H554" s="174"/>
      <c r="I554" s="406"/>
    </row>
    <row r="555" spans="1:9" ht="15.75" customHeight="1">
      <c r="A555" s="686"/>
      <c r="B555" s="687"/>
      <c r="C555" s="243"/>
      <c r="D555" s="244"/>
      <c r="E555" s="164"/>
      <c r="F555" s="174"/>
      <c r="G555" s="174"/>
      <c r="H555" s="174"/>
      <c r="I555" s="406"/>
    </row>
    <row r="556" spans="1:9" ht="15.75" customHeight="1">
      <c r="A556" s="686"/>
      <c r="B556" s="687"/>
      <c r="C556" s="243"/>
      <c r="D556" s="244"/>
      <c r="E556" s="164"/>
      <c r="F556" s="174"/>
      <c r="G556" s="174"/>
      <c r="H556" s="174"/>
      <c r="I556" s="406"/>
    </row>
    <row r="557" spans="1:9" ht="15.75" customHeight="1">
      <c r="A557" s="686"/>
      <c r="B557" s="687"/>
      <c r="C557" s="243"/>
      <c r="D557" s="244"/>
      <c r="E557" s="164"/>
      <c r="F557" s="174"/>
      <c r="G557" s="174"/>
      <c r="H557" s="174"/>
      <c r="I557" s="406"/>
    </row>
    <row r="558" spans="1:9" ht="15.75" customHeight="1">
      <c r="A558" s="686"/>
      <c r="B558" s="687"/>
      <c r="C558" s="243"/>
      <c r="D558" s="244"/>
      <c r="E558" s="164"/>
      <c r="F558" s="174"/>
      <c r="G558" s="174"/>
      <c r="H558" s="174"/>
      <c r="I558" s="406"/>
    </row>
    <row r="559" spans="1:9" ht="15.75" customHeight="1">
      <c r="A559" s="686"/>
      <c r="B559" s="687"/>
      <c r="C559" s="243"/>
      <c r="D559" s="244"/>
      <c r="E559" s="164"/>
      <c r="F559" s="174"/>
      <c r="G559" s="174"/>
      <c r="H559" s="174"/>
      <c r="I559" s="406"/>
    </row>
    <row r="560" spans="1:9" ht="15.75" customHeight="1">
      <c r="A560" s="686"/>
      <c r="B560" s="687"/>
      <c r="C560" s="243"/>
      <c r="D560" s="244"/>
      <c r="E560" s="164"/>
      <c r="F560" s="174"/>
      <c r="G560" s="174"/>
      <c r="H560" s="174"/>
      <c r="I560" s="406"/>
    </row>
    <row r="561" spans="1:9" ht="15.75" customHeight="1">
      <c r="A561" s="686"/>
      <c r="B561" s="687"/>
      <c r="C561" s="243"/>
      <c r="D561" s="244"/>
      <c r="E561" s="164"/>
      <c r="F561" s="174"/>
      <c r="G561" s="174"/>
      <c r="H561" s="174"/>
      <c r="I561" s="406"/>
    </row>
    <row r="562" spans="1:9" ht="15.75" customHeight="1">
      <c r="A562" s="686"/>
      <c r="B562" s="687"/>
      <c r="C562" s="243"/>
      <c r="D562" s="244"/>
      <c r="E562" s="164"/>
      <c r="F562" s="174"/>
      <c r="G562" s="174"/>
      <c r="H562" s="174"/>
      <c r="I562" s="406"/>
    </row>
    <row r="563" spans="1:9" ht="15.75" customHeight="1">
      <c r="A563" s="686"/>
      <c r="B563" s="687"/>
      <c r="C563" s="243"/>
      <c r="D563" s="244"/>
      <c r="E563" s="164"/>
      <c r="F563" s="174"/>
      <c r="G563" s="174"/>
      <c r="H563" s="174"/>
      <c r="I563" s="406"/>
    </row>
    <row r="564" spans="1:9" ht="15.75" customHeight="1">
      <c r="A564" s="686"/>
      <c r="B564" s="687"/>
      <c r="C564" s="243"/>
      <c r="D564" s="244"/>
      <c r="E564" s="164"/>
      <c r="F564" s="174"/>
      <c r="G564" s="174"/>
      <c r="H564" s="174"/>
      <c r="I564" s="406"/>
    </row>
    <row r="565" spans="1:9" ht="15.75" customHeight="1">
      <c r="A565" s="686"/>
      <c r="B565" s="687"/>
      <c r="C565" s="243"/>
      <c r="D565" s="244"/>
      <c r="E565" s="164"/>
      <c r="F565" s="174"/>
      <c r="G565" s="174"/>
      <c r="H565" s="174"/>
      <c r="I565" s="406"/>
    </row>
    <row r="566" spans="1:9" ht="15.75" customHeight="1">
      <c r="A566" s="686"/>
      <c r="B566" s="687"/>
      <c r="C566" s="243"/>
      <c r="D566" s="244"/>
      <c r="E566" s="164"/>
      <c r="F566" s="174"/>
      <c r="G566" s="174"/>
      <c r="H566" s="174"/>
      <c r="I566" s="406"/>
    </row>
    <row r="567" spans="1:9" ht="15.75" customHeight="1">
      <c r="A567" s="686"/>
      <c r="B567" s="687"/>
      <c r="C567" s="243"/>
      <c r="D567" s="244"/>
      <c r="E567" s="164"/>
      <c r="F567" s="174"/>
      <c r="G567" s="174"/>
      <c r="H567" s="174"/>
      <c r="I567" s="406"/>
    </row>
    <row r="568" spans="1:9" ht="15.75" customHeight="1">
      <c r="A568" s="686"/>
      <c r="B568" s="687"/>
      <c r="C568" s="243"/>
      <c r="D568" s="244"/>
      <c r="E568" s="164"/>
      <c r="F568" s="174"/>
      <c r="G568" s="174"/>
      <c r="H568" s="174"/>
      <c r="I568" s="406"/>
    </row>
    <row r="569" spans="1:9" ht="15.75" customHeight="1">
      <c r="A569" s="686"/>
      <c r="B569" s="687"/>
      <c r="C569" s="243"/>
      <c r="D569" s="244"/>
      <c r="E569" s="164"/>
      <c r="F569" s="174"/>
      <c r="G569" s="174"/>
      <c r="H569" s="174"/>
      <c r="I569" s="406"/>
    </row>
    <row r="570" spans="1:9" ht="15.75" customHeight="1">
      <c r="A570" s="686"/>
      <c r="B570" s="687"/>
      <c r="C570" s="243"/>
      <c r="D570" s="244"/>
      <c r="E570" s="164"/>
      <c r="F570" s="174"/>
      <c r="G570" s="174"/>
      <c r="H570" s="174"/>
      <c r="I570" s="406"/>
    </row>
    <row r="571" spans="1:9" ht="15.75" customHeight="1">
      <c r="A571" s="686"/>
      <c r="B571" s="687"/>
      <c r="C571" s="243"/>
      <c r="D571" s="244"/>
      <c r="E571" s="164"/>
      <c r="F571" s="174"/>
      <c r="G571" s="174"/>
      <c r="H571" s="174"/>
      <c r="I571" s="406"/>
    </row>
    <row r="572" spans="1:9" ht="15.75" customHeight="1">
      <c r="A572" s="686"/>
      <c r="B572" s="687"/>
      <c r="C572" s="243"/>
      <c r="D572" s="244"/>
      <c r="E572" s="164"/>
      <c r="F572" s="174"/>
      <c r="G572" s="174"/>
      <c r="H572" s="174"/>
      <c r="I572" s="406"/>
    </row>
    <row r="573" spans="1:9" ht="15.75" customHeight="1">
      <c r="A573" s="686"/>
      <c r="B573" s="687"/>
      <c r="C573" s="243"/>
      <c r="D573" s="244"/>
      <c r="E573" s="164"/>
      <c r="F573" s="174"/>
      <c r="G573" s="174"/>
      <c r="H573" s="174"/>
      <c r="I573" s="406"/>
    </row>
    <row r="574" spans="1:9" ht="15.75" customHeight="1">
      <c r="A574" s="686"/>
      <c r="B574" s="687"/>
      <c r="C574" s="243"/>
      <c r="D574" s="244"/>
      <c r="E574" s="164"/>
      <c r="F574" s="174"/>
      <c r="G574" s="174"/>
      <c r="H574" s="174"/>
      <c r="I574" s="406"/>
    </row>
    <row r="575" spans="1:9" ht="15.75" customHeight="1">
      <c r="A575" s="686"/>
      <c r="B575" s="687"/>
      <c r="C575" s="243"/>
      <c r="D575" s="244"/>
      <c r="E575" s="164"/>
      <c r="F575" s="174"/>
      <c r="G575" s="174"/>
      <c r="H575" s="174"/>
      <c r="I575" s="406"/>
    </row>
    <row r="576" spans="1:9" ht="15.75" customHeight="1">
      <c r="A576" s="686"/>
      <c r="B576" s="687"/>
      <c r="C576" s="243"/>
      <c r="D576" s="244"/>
      <c r="E576" s="164"/>
      <c r="F576" s="174"/>
      <c r="G576" s="174"/>
      <c r="H576" s="174"/>
      <c r="I576" s="406"/>
    </row>
    <row r="577" spans="1:9" ht="15.75" customHeight="1">
      <c r="A577" s="686"/>
      <c r="B577" s="687"/>
      <c r="C577" s="243"/>
      <c r="D577" s="244"/>
      <c r="E577" s="164"/>
      <c r="F577" s="174"/>
      <c r="G577" s="174"/>
      <c r="H577" s="174"/>
      <c r="I577" s="406"/>
    </row>
    <row r="578" spans="1:9" ht="15.75" customHeight="1">
      <c r="A578" s="686"/>
      <c r="B578" s="687"/>
      <c r="C578" s="243"/>
      <c r="D578" s="244"/>
      <c r="E578" s="164"/>
      <c r="F578" s="174"/>
      <c r="G578" s="174"/>
      <c r="H578" s="174"/>
      <c r="I578" s="406"/>
    </row>
    <row r="579" spans="1:9" ht="15.75" customHeight="1">
      <c r="A579" s="686"/>
      <c r="B579" s="687"/>
      <c r="C579" s="243"/>
      <c r="D579" s="244"/>
      <c r="E579" s="164"/>
      <c r="F579" s="174"/>
      <c r="G579" s="174"/>
      <c r="H579" s="174"/>
      <c r="I579" s="406"/>
    </row>
    <row r="580" spans="1:9" ht="15.75" customHeight="1">
      <c r="A580" s="686"/>
      <c r="B580" s="687"/>
      <c r="C580" s="243"/>
      <c r="D580" s="244"/>
      <c r="E580" s="164"/>
      <c r="F580" s="174"/>
      <c r="G580" s="174"/>
      <c r="H580" s="174"/>
      <c r="I580" s="406"/>
    </row>
    <row r="581" spans="1:9" ht="15.75" customHeight="1">
      <c r="A581" s="686"/>
      <c r="B581" s="687"/>
      <c r="C581" s="243"/>
      <c r="D581" s="244"/>
      <c r="E581" s="164"/>
      <c r="F581" s="174"/>
      <c r="G581" s="174"/>
      <c r="H581" s="174"/>
      <c r="I581" s="406"/>
    </row>
    <row r="582" spans="1:9" ht="15.75" customHeight="1">
      <c r="A582" s="686"/>
      <c r="B582" s="687"/>
      <c r="C582" s="243"/>
      <c r="D582" s="244"/>
      <c r="E582" s="164"/>
      <c r="F582" s="174"/>
      <c r="G582" s="174"/>
      <c r="H582" s="174"/>
      <c r="I582" s="406"/>
    </row>
    <row r="583" spans="1:9" ht="15.75" customHeight="1">
      <c r="A583" s="686"/>
      <c r="B583" s="687"/>
      <c r="C583" s="243"/>
      <c r="D583" s="244"/>
      <c r="E583" s="164"/>
      <c r="F583" s="174"/>
      <c r="G583" s="174"/>
      <c r="H583" s="174"/>
      <c r="I583" s="406"/>
    </row>
    <row r="584" spans="1:9" ht="15.75" customHeight="1">
      <c r="A584" s="686"/>
      <c r="B584" s="687"/>
      <c r="C584" s="243"/>
      <c r="D584" s="244"/>
      <c r="E584" s="164"/>
      <c r="F584" s="174"/>
      <c r="G584" s="174"/>
      <c r="H584" s="174"/>
      <c r="I584" s="406"/>
    </row>
    <row r="585" spans="1:9" ht="15.75" customHeight="1">
      <c r="A585" s="686"/>
      <c r="B585" s="687"/>
      <c r="C585" s="243"/>
      <c r="D585" s="244"/>
      <c r="E585" s="164"/>
      <c r="F585" s="174"/>
      <c r="G585" s="174"/>
      <c r="H585" s="174"/>
      <c r="I585" s="406"/>
    </row>
    <row r="586" spans="1:9" ht="15.75" customHeight="1">
      <c r="A586" s="686"/>
      <c r="B586" s="687"/>
      <c r="C586" s="243"/>
      <c r="D586" s="244"/>
      <c r="E586" s="164"/>
      <c r="F586" s="174"/>
      <c r="G586" s="174"/>
      <c r="H586" s="174"/>
      <c r="I586" s="406"/>
    </row>
    <row r="587" spans="1:9" ht="15.75" customHeight="1">
      <c r="A587" s="686"/>
      <c r="B587" s="687"/>
      <c r="C587" s="243"/>
      <c r="D587" s="244"/>
      <c r="E587" s="164"/>
      <c r="F587" s="174"/>
      <c r="G587" s="174"/>
      <c r="H587" s="174"/>
      <c r="I587" s="406"/>
    </row>
    <row r="588" spans="1:9" ht="15.75" customHeight="1">
      <c r="A588" s="686"/>
      <c r="B588" s="687"/>
      <c r="C588" s="243"/>
      <c r="D588" s="244"/>
      <c r="E588" s="164"/>
      <c r="F588" s="174"/>
      <c r="G588" s="174"/>
      <c r="H588" s="174"/>
      <c r="I588" s="406"/>
    </row>
    <row r="589" spans="1:9" ht="15.75" customHeight="1">
      <c r="A589" s="686"/>
      <c r="B589" s="687"/>
      <c r="C589" s="243"/>
      <c r="D589" s="244"/>
      <c r="E589" s="164"/>
      <c r="F589" s="174"/>
      <c r="G589" s="174"/>
      <c r="H589" s="174"/>
      <c r="I589" s="406"/>
    </row>
    <row r="590" spans="1:9" ht="15.75" customHeight="1">
      <c r="A590" s="686"/>
      <c r="B590" s="687"/>
      <c r="C590" s="243"/>
      <c r="D590" s="244"/>
      <c r="E590" s="164"/>
      <c r="F590" s="174"/>
      <c r="G590" s="174"/>
      <c r="H590" s="174"/>
      <c r="I590" s="406"/>
    </row>
    <row r="591" spans="1:9" ht="15.75" customHeight="1">
      <c r="A591" s="686"/>
      <c r="B591" s="687"/>
      <c r="C591" s="243"/>
      <c r="D591" s="244"/>
      <c r="E591" s="164"/>
      <c r="F591" s="174"/>
      <c r="G591" s="174"/>
      <c r="H591" s="174"/>
      <c r="I591" s="406"/>
    </row>
    <row r="592" spans="1:9" ht="15.75" customHeight="1">
      <c r="A592" s="686"/>
      <c r="B592" s="687"/>
      <c r="C592" s="243"/>
      <c r="D592" s="244"/>
      <c r="E592" s="164"/>
      <c r="F592" s="174"/>
      <c r="G592" s="174"/>
      <c r="H592" s="174"/>
      <c r="I592" s="406"/>
    </row>
    <row r="593" spans="1:9" ht="15.75" customHeight="1">
      <c r="A593" s="686"/>
      <c r="B593" s="687"/>
      <c r="C593" s="243"/>
      <c r="D593" s="244"/>
      <c r="E593" s="164"/>
      <c r="F593" s="174"/>
      <c r="G593" s="174"/>
      <c r="H593" s="174"/>
      <c r="I593" s="406"/>
    </row>
    <row r="594" spans="1:9" ht="15.75" customHeight="1">
      <c r="A594" s="686"/>
      <c r="B594" s="687"/>
      <c r="C594" s="243"/>
      <c r="D594" s="244"/>
      <c r="E594" s="164"/>
      <c r="F594" s="174"/>
      <c r="G594" s="174"/>
      <c r="H594" s="174"/>
      <c r="I594" s="406"/>
    </row>
    <row r="595" spans="1:9" ht="15.75" customHeight="1">
      <c r="A595" s="686"/>
      <c r="B595" s="687"/>
      <c r="C595" s="243"/>
      <c r="D595" s="244"/>
      <c r="E595" s="164"/>
      <c r="F595" s="174"/>
      <c r="G595" s="174"/>
      <c r="H595" s="174"/>
      <c r="I595" s="406"/>
    </row>
    <row r="596" spans="1:9" ht="15.75" customHeight="1">
      <c r="A596" s="686"/>
      <c r="B596" s="687"/>
      <c r="C596" s="243"/>
      <c r="D596" s="244"/>
      <c r="E596" s="164"/>
      <c r="F596" s="174"/>
      <c r="G596" s="174"/>
      <c r="H596" s="174"/>
      <c r="I596" s="406"/>
    </row>
    <row r="597" spans="1:9" ht="15.75" customHeight="1">
      <c r="A597" s="686"/>
      <c r="B597" s="687"/>
      <c r="C597" s="243"/>
      <c r="D597" s="244"/>
      <c r="E597" s="164"/>
      <c r="F597" s="174"/>
      <c r="G597" s="174"/>
      <c r="H597" s="174"/>
      <c r="I597" s="406"/>
    </row>
    <row r="598" spans="1:9" ht="15.75" customHeight="1">
      <c r="A598" s="686"/>
      <c r="B598" s="687"/>
      <c r="C598" s="243"/>
      <c r="D598" s="244"/>
      <c r="E598" s="164"/>
      <c r="F598" s="174"/>
      <c r="G598" s="174"/>
      <c r="H598" s="174"/>
      <c r="I598" s="406"/>
    </row>
    <row r="599" spans="1:9" ht="15.75" customHeight="1">
      <c r="A599" s="686"/>
      <c r="B599" s="687"/>
      <c r="C599" s="243"/>
      <c r="D599" s="244"/>
      <c r="E599" s="164"/>
      <c r="F599" s="174"/>
      <c r="G599" s="174"/>
      <c r="H599" s="174"/>
      <c r="I599" s="406"/>
    </row>
    <row r="600" spans="1:9" ht="15.75" customHeight="1">
      <c r="A600" s="686"/>
      <c r="B600" s="687"/>
      <c r="C600" s="243"/>
      <c r="D600" s="244"/>
      <c r="E600" s="164"/>
      <c r="F600" s="174"/>
      <c r="G600" s="174"/>
      <c r="H600" s="174"/>
      <c r="I600" s="406"/>
    </row>
    <row r="601" spans="1:9" ht="15.75" customHeight="1">
      <c r="A601" s="686"/>
      <c r="B601" s="687"/>
      <c r="C601" s="243"/>
      <c r="D601" s="244"/>
      <c r="E601" s="164"/>
      <c r="F601" s="174"/>
      <c r="G601" s="174"/>
      <c r="H601" s="174"/>
      <c r="I601" s="406"/>
    </row>
    <row r="602" spans="1:9" ht="15.75" customHeight="1">
      <c r="A602" s="686"/>
      <c r="B602" s="687"/>
      <c r="C602" s="243"/>
      <c r="D602" s="244"/>
      <c r="E602" s="164"/>
      <c r="F602" s="174"/>
      <c r="G602" s="174"/>
      <c r="H602" s="174"/>
      <c r="I602" s="406"/>
    </row>
    <row r="603" spans="1:9" ht="15.75" customHeight="1">
      <c r="A603" s="686"/>
      <c r="B603" s="687"/>
      <c r="C603" s="243"/>
      <c r="D603" s="244"/>
      <c r="E603" s="164"/>
      <c r="F603" s="174"/>
      <c r="G603" s="174"/>
      <c r="H603" s="174"/>
      <c r="I603" s="406"/>
    </row>
    <row r="604" spans="1:9" ht="15.75" customHeight="1">
      <c r="A604" s="686"/>
      <c r="B604" s="687"/>
      <c r="C604" s="243"/>
      <c r="D604" s="244"/>
      <c r="E604" s="164"/>
      <c r="F604" s="174"/>
      <c r="G604" s="174"/>
      <c r="H604" s="174"/>
      <c r="I604" s="406"/>
    </row>
    <row r="605" spans="1:9" ht="15.75" customHeight="1">
      <c r="A605" s="686"/>
      <c r="B605" s="687"/>
      <c r="C605" s="243"/>
      <c r="D605" s="244"/>
      <c r="E605" s="164"/>
      <c r="F605" s="174"/>
      <c r="G605" s="174"/>
      <c r="H605" s="174"/>
      <c r="I605" s="406"/>
    </row>
    <row r="606" spans="1:9" ht="15.75" customHeight="1">
      <c r="A606" s="686"/>
      <c r="B606" s="687"/>
      <c r="C606" s="243"/>
      <c r="D606" s="244"/>
      <c r="E606" s="164"/>
      <c r="F606" s="174"/>
      <c r="G606" s="174"/>
      <c r="H606" s="174"/>
      <c r="I606" s="406"/>
    </row>
    <row r="607" spans="1:9" ht="15.75" customHeight="1">
      <c r="A607" s="686"/>
      <c r="B607" s="687"/>
      <c r="C607" s="243"/>
      <c r="D607" s="244"/>
      <c r="E607" s="164"/>
      <c r="F607" s="174"/>
      <c r="G607" s="174"/>
      <c r="H607" s="174"/>
      <c r="I607" s="406"/>
    </row>
    <row r="608" spans="1:9" ht="15.75" customHeight="1">
      <c r="A608" s="686"/>
      <c r="B608" s="687"/>
      <c r="C608" s="243"/>
      <c r="D608" s="244"/>
      <c r="E608" s="164"/>
      <c r="F608" s="174"/>
      <c r="G608" s="174"/>
      <c r="H608" s="174"/>
      <c r="I608" s="406"/>
    </row>
    <row r="609" spans="1:9" ht="15.75" customHeight="1">
      <c r="A609" s="686"/>
      <c r="B609" s="687"/>
      <c r="C609" s="243"/>
      <c r="D609" s="244"/>
      <c r="E609" s="164"/>
      <c r="F609" s="174"/>
      <c r="G609" s="174"/>
      <c r="H609" s="174"/>
      <c r="I609" s="406"/>
    </row>
    <row r="610" spans="1:9" ht="15.75" customHeight="1">
      <c r="A610" s="686"/>
      <c r="B610" s="687"/>
      <c r="C610" s="243"/>
      <c r="D610" s="244"/>
      <c r="E610" s="164"/>
      <c r="F610" s="174"/>
      <c r="G610" s="174"/>
      <c r="H610" s="174"/>
      <c r="I610" s="406"/>
    </row>
    <row r="611" spans="1:9" ht="15.75" customHeight="1">
      <c r="A611" s="686"/>
      <c r="B611" s="687"/>
      <c r="C611" s="243"/>
      <c r="D611" s="244"/>
      <c r="E611" s="164"/>
      <c r="F611" s="174"/>
      <c r="G611" s="174"/>
      <c r="H611" s="174"/>
      <c r="I611" s="406"/>
    </row>
    <row r="612" spans="1:9" ht="15.75" customHeight="1">
      <c r="A612" s="686"/>
      <c r="B612" s="687"/>
      <c r="C612" s="243"/>
      <c r="D612" s="244"/>
      <c r="E612" s="164"/>
      <c r="F612" s="174"/>
      <c r="G612" s="174"/>
      <c r="H612" s="174"/>
      <c r="I612" s="406"/>
    </row>
    <row r="613" spans="1:9" ht="15.75" customHeight="1">
      <c r="A613" s="686"/>
      <c r="B613" s="687"/>
      <c r="C613" s="243"/>
      <c r="D613" s="244"/>
      <c r="E613" s="164"/>
      <c r="F613" s="174"/>
      <c r="G613" s="174"/>
      <c r="H613" s="174"/>
      <c r="I613" s="406"/>
    </row>
    <row r="614" spans="1:9" ht="15.75" customHeight="1">
      <c r="A614" s="686"/>
      <c r="B614" s="687"/>
      <c r="C614" s="243"/>
      <c r="D614" s="244"/>
      <c r="E614" s="164"/>
      <c r="F614" s="174"/>
      <c r="G614" s="174"/>
      <c r="H614" s="174"/>
      <c r="I614" s="406"/>
    </row>
    <row r="615" spans="1:9" ht="15.75" customHeight="1">
      <c r="A615" s="686"/>
      <c r="B615" s="687"/>
      <c r="C615" s="243"/>
      <c r="D615" s="244"/>
      <c r="E615" s="164"/>
      <c r="F615" s="174"/>
      <c r="G615" s="174"/>
      <c r="H615" s="174"/>
      <c r="I615" s="406"/>
    </row>
    <row r="616" spans="1:9" ht="15.75" customHeight="1">
      <c r="A616" s="686"/>
      <c r="B616" s="687"/>
      <c r="C616" s="243"/>
      <c r="D616" s="244"/>
      <c r="E616" s="164"/>
      <c r="F616" s="174"/>
      <c r="G616" s="174"/>
      <c r="H616" s="174"/>
      <c r="I616" s="406"/>
    </row>
    <row r="617" spans="1:9" ht="15.75" customHeight="1">
      <c r="A617" s="686"/>
      <c r="B617" s="687"/>
      <c r="C617" s="243"/>
      <c r="D617" s="244"/>
      <c r="E617" s="164"/>
      <c r="F617" s="174"/>
      <c r="G617" s="174"/>
      <c r="H617" s="174"/>
      <c r="I617" s="406"/>
    </row>
    <row r="618" spans="1:9" ht="15.75" customHeight="1">
      <c r="A618" s="686"/>
      <c r="B618" s="687"/>
      <c r="C618" s="243"/>
      <c r="D618" s="244"/>
      <c r="E618" s="164"/>
      <c r="F618" s="174"/>
      <c r="G618" s="174"/>
      <c r="H618" s="174"/>
      <c r="I618" s="406"/>
    </row>
    <row r="619" spans="1:9" ht="15.75" customHeight="1">
      <c r="A619" s="686"/>
      <c r="B619" s="687"/>
      <c r="C619" s="243"/>
      <c r="D619" s="244"/>
      <c r="E619" s="164"/>
      <c r="F619" s="174"/>
      <c r="G619" s="174"/>
      <c r="H619" s="174"/>
      <c r="I619" s="406"/>
    </row>
    <row r="620" spans="1:9" ht="15.75" customHeight="1">
      <c r="A620" s="686"/>
      <c r="B620" s="687"/>
      <c r="C620" s="243"/>
      <c r="D620" s="244"/>
      <c r="E620" s="164"/>
      <c r="F620" s="174"/>
      <c r="G620" s="174"/>
      <c r="H620" s="174"/>
      <c r="I620" s="406"/>
    </row>
    <row r="621" spans="1:9" ht="15.75" customHeight="1">
      <c r="A621" s="686"/>
      <c r="B621" s="687"/>
      <c r="C621" s="243"/>
      <c r="D621" s="244"/>
      <c r="E621" s="164"/>
      <c r="F621" s="174"/>
      <c r="G621" s="174"/>
      <c r="H621" s="174"/>
      <c r="I621" s="406"/>
    </row>
    <row r="622" spans="1:9" ht="15.75" customHeight="1">
      <c r="A622" s="686"/>
      <c r="B622" s="687"/>
      <c r="C622" s="243"/>
      <c r="D622" s="244"/>
      <c r="E622" s="164"/>
      <c r="F622" s="174"/>
      <c r="G622" s="174"/>
      <c r="H622" s="174"/>
      <c r="I622" s="406"/>
    </row>
    <row r="623" spans="1:9" ht="15.75" customHeight="1">
      <c r="A623" s="686"/>
      <c r="B623" s="687"/>
      <c r="C623" s="243"/>
      <c r="D623" s="244"/>
      <c r="E623" s="164"/>
      <c r="F623" s="174"/>
      <c r="G623" s="174"/>
      <c r="H623" s="174"/>
      <c r="I623" s="406"/>
    </row>
    <row r="624" spans="1:9" ht="15.75" customHeight="1">
      <c r="A624" s="686"/>
      <c r="B624" s="687"/>
      <c r="C624" s="243"/>
      <c r="D624" s="244"/>
      <c r="E624" s="164"/>
      <c r="F624" s="174"/>
      <c r="G624" s="174"/>
      <c r="H624" s="174"/>
      <c r="I624" s="406"/>
    </row>
    <row r="625" spans="1:9" ht="15.75" customHeight="1">
      <c r="A625" s="686"/>
      <c r="B625" s="687"/>
      <c r="C625" s="243"/>
      <c r="D625" s="244"/>
      <c r="E625" s="164"/>
      <c r="F625" s="174"/>
      <c r="G625" s="174"/>
      <c r="H625" s="174"/>
      <c r="I625" s="406"/>
    </row>
    <row r="626" spans="1:9" ht="15.75" customHeight="1">
      <c r="A626" s="686"/>
      <c r="B626" s="687"/>
      <c r="C626" s="243"/>
      <c r="D626" s="244"/>
      <c r="E626" s="164"/>
      <c r="F626" s="174"/>
      <c r="G626" s="174"/>
      <c r="H626" s="174"/>
      <c r="I626" s="406"/>
    </row>
    <row r="627" spans="1:9" ht="15.75" customHeight="1">
      <c r="A627" s="686"/>
      <c r="B627" s="687"/>
      <c r="C627" s="243"/>
      <c r="D627" s="244"/>
      <c r="E627" s="164"/>
      <c r="F627" s="174"/>
      <c r="G627" s="174"/>
      <c r="H627" s="174"/>
      <c r="I627" s="406"/>
    </row>
    <row r="628" spans="1:9" ht="15.75" customHeight="1">
      <c r="A628" s="686"/>
      <c r="B628" s="687"/>
      <c r="C628" s="243"/>
      <c r="D628" s="244"/>
      <c r="E628" s="164"/>
      <c r="F628" s="174"/>
      <c r="G628" s="174"/>
      <c r="H628" s="174"/>
      <c r="I628" s="406"/>
    </row>
    <row r="629" spans="1:9" ht="15.75" customHeight="1">
      <c r="A629" s="686"/>
      <c r="B629" s="687"/>
      <c r="C629" s="243"/>
      <c r="D629" s="244"/>
      <c r="E629" s="164"/>
      <c r="F629" s="174"/>
      <c r="G629" s="174"/>
      <c r="H629" s="174"/>
      <c r="I629" s="406"/>
    </row>
    <row r="630" spans="1:9" ht="15.75" customHeight="1">
      <c r="A630" s="686"/>
      <c r="B630" s="687"/>
      <c r="C630" s="243"/>
      <c r="D630" s="244"/>
      <c r="E630" s="164"/>
      <c r="F630" s="174"/>
      <c r="G630" s="174"/>
      <c r="H630" s="174"/>
      <c r="I630" s="406"/>
    </row>
    <row r="631" spans="1:9" ht="15.75" customHeight="1">
      <c r="A631" s="686"/>
      <c r="B631" s="687"/>
      <c r="C631" s="243"/>
      <c r="D631" s="244"/>
      <c r="E631" s="164"/>
      <c r="F631" s="174"/>
      <c r="G631" s="174"/>
      <c r="H631" s="174"/>
      <c r="I631" s="406"/>
    </row>
    <row r="632" spans="1:9" ht="15.75" customHeight="1">
      <c r="A632" s="686"/>
      <c r="B632" s="687"/>
      <c r="C632" s="243"/>
      <c r="D632" s="244"/>
      <c r="E632" s="164"/>
      <c r="F632" s="174"/>
      <c r="G632" s="174"/>
      <c r="H632" s="174"/>
      <c r="I632" s="406"/>
    </row>
    <row r="633" spans="1:9" ht="15.75" customHeight="1">
      <c r="A633" s="686"/>
      <c r="B633" s="687"/>
      <c r="C633" s="243"/>
      <c r="D633" s="244"/>
      <c r="E633" s="164"/>
      <c r="F633" s="174"/>
      <c r="G633" s="174"/>
      <c r="H633" s="174"/>
      <c r="I633" s="406"/>
    </row>
    <row r="634" spans="1:9" ht="15.75" customHeight="1">
      <c r="A634" s="686"/>
      <c r="B634" s="687"/>
      <c r="C634" s="243"/>
      <c r="D634" s="244"/>
      <c r="E634" s="164"/>
      <c r="F634" s="174"/>
      <c r="G634" s="174"/>
      <c r="H634" s="174"/>
      <c r="I634" s="406"/>
    </row>
    <row r="635" spans="1:9" ht="15.75" customHeight="1">
      <c r="A635" s="686"/>
      <c r="B635" s="687"/>
      <c r="C635" s="243"/>
      <c r="D635" s="244"/>
      <c r="E635" s="164"/>
      <c r="F635" s="174"/>
      <c r="G635" s="174"/>
      <c r="H635" s="174"/>
      <c r="I635" s="406"/>
    </row>
    <row r="636" spans="1:9" ht="15.75" customHeight="1">
      <c r="A636" s="686"/>
      <c r="B636" s="687"/>
      <c r="C636" s="243"/>
      <c r="D636" s="244"/>
      <c r="E636" s="164"/>
      <c r="F636" s="174"/>
      <c r="G636" s="174"/>
      <c r="H636" s="174"/>
      <c r="I636" s="406"/>
    </row>
    <row r="637" spans="1:9" ht="15.75" customHeight="1">
      <c r="A637" s="686"/>
      <c r="B637" s="687"/>
      <c r="C637" s="243"/>
      <c r="D637" s="244"/>
      <c r="E637" s="164"/>
      <c r="F637" s="174"/>
      <c r="G637" s="174"/>
      <c r="H637" s="174"/>
      <c r="I637" s="406"/>
    </row>
    <row r="638" spans="1:9" ht="15.75" customHeight="1">
      <c r="A638" s="686"/>
      <c r="B638" s="687"/>
      <c r="C638" s="243"/>
      <c r="D638" s="244"/>
      <c r="E638" s="164"/>
      <c r="F638" s="174"/>
      <c r="G638" s="174"/>
      <c r="H638" s="174"/>
      <c r="I638" s="406"/>
    </row>
    <row r="639" spans="1:9" ht="15.75" customHeight="1">
      <c r="A639" s="686"/>
      <c r="B639" s="687"/>
      <c r="C639" s="243"/>
      <c r="D639" s="244"/>
      <c r="E639" s="164"/>
      <c r="F639" s="174"/>
      <c r="G639" s="174"/>
      <c r="H639" s="174"/>
      <c r="I639" s="406"/>
    </row>
    <row r="640" spans="1:9" ht="15.75" customHeight="1">
      <c r="A640" s="686"/>
      <c r="B640" s="687"/>
      <c r="C640" s="243"/>
      <c r="D640" s="244"/>
      <c r="E640" s="164"/>
      <c r="F640" s="174"/>
      <c r="G640" s="174"/>
      <c r="H640" s="174"/>
      <c r="I640" s="406"/>
    </row>
    <row r="641" spans="1:9" ht="15.75" customHeight="1">
      <c r="A641" s="686"/>
      <c r="B641" s="687"/>
      <c r="C641" s="243"/>
      <c r="D641" s="244"/>
      <c r="E641" s="164"/>
      <c r="F641" s="174"/>
      <c r="G641" s="174"/>
      <c r="H641" s="174"/>
      <c r="I641" s="406"/>
    </row>
    <row r="642" spans="1:9" ht="15.75" customHeight="1">
      <c r="A642" s="686"/>
      <c r="B642" s="687"/>
      <c r="C642" s="243"/>
      <c r="D642" s="244"/>
      <c r="E642" s="164"/>
      <c r="F642" s="174"/>
      <c r="G642" s="174"/>
      <c r="H642" s="174"/>
      <c r="I642" s="406"/>
    </row>
    <row r="643" spans="1:9" ht="15.75" customHeight="1">
      <c r="A643" s="686"/>
      <c r="B643" s="687"/>
      <c r="C643" s="243"/>
      <c r="D643" s="244"/>
      <c r="E643" s="164"/>
      <c r="F643" s="174"/>
      <c r="G643" s="174"/>
      <c r="H643" s="174"/>
      <c r="I643" s="406"/>
    </row>
    <row r="644" spans="1:9" ht="15.75" customHeight="1">
      <c r="A644" s="686"/>
      <c r="B644" s="687"/>
      <c r="C644" s="243"/>
      <c r="D644" s="244"/>
      <c r="E644" s="164"/>
      <c r="F644" s="174"/>
      <c r="G644" s="174"/>
      <c r="H644" s="174"/>
      <c r="I644" s="406"/>
    </row>
    <row r="645" spans="1:9" ht="15.75" customHeight="1">
      <c r="A645" s="686"/>
      <c r="B645" s="687"/>
      <c r="C645" s="243"/>
      <c r="D645" s="244"/>
      <c r="E645" s="164"/>
      <c r="F645" s="174"/>
      <c r="G645" s="174"/>
      <c r="H645" s="174"/>
      <c r="I645" s="406"/>
    </row>
    <row r="646" spans="1:9" ht="15.75" customHeight="1">
      <c r="A646" s="686"/>
      <c r="B646" s="687"/>
      <c r="C646" s="243"/>
      <c r="D646" s="244"/>
      <c r="E646" s="164"/>
      <c r="F646" s="174"/>
      <c r="G646" s="174"/>
      <c r="H646" s="174"/>
      <c r="I646" s="406"/>
    </row>
    <row r="647" spans="1:9" ht="15.75" customHeight="1">
      <c r="A647" s="686"/>
      <c r="B647" s="687"/>
      <c r="C647" s="243"/>
      <c r="D647" s="244"/>
      <c r="E647" s="164"/>
      <c r="F647" s="174"/>
      <c r="G647" s="174"/>
      <c r="H647" s="174"/>
      <c r="I647" s="406"/>
    </row>
    <row r="648" spans="1:9" ht="15.75" customHeight="1">
      <c r="A648" s="686"/>
      <c r="B648" s="687"/>
      <c r="C648" s="243"/>
      <c r="D648" s="244"/>
      <c r="E648" s="164"/>
      <c r="F648" s="174"/>
      <c r="G648" s="174"/>
      <c r="H648" s="174"/>
      <c r="I648" s="406"/>
    </row>
    <row r="649" spans="1:9" ht="15.75" customHeight="1">
      <c r="A649" s="686"/>
      <c r="B649" s="687"/>
      <c r="C649" s="243"/>
      <c r="D649" s="244"/>
      <c r="E649" s="164"/>
      <c r="F649" s="174"/>
      <c r="G649" s="174"/>
      <c r="H649" s="174"/>
      <c r="I649" s="406"/>
    </row>
    <row r="650" spans="1:9" ht="15.75" customHeight="1">
      <c r="A650" s="686"/>
      <c r="B650" s="687"/>
      <c r="C650" s="243"/>
      <c r="D650" s="244"/>
      <c r="E650" s="164"/>
      <c r="F650" s="174"/>
      <c r="G650" s="174"/>
      <c r="H650" s="174"/>
      <c r="I650" s="406"/>
    </row>
    <row r="651" spans="1:9" ht="15.75" customHeight="1">
      <c r="A651" s="686"/>
      <c r="B651" s="687"/>
      <c r="C651" s="243"/>
      <c r="D651" s="244"/>
      <c r="E651" s="164"/>
      <c r="F651" s="174"/>
      <c r="G651" s="174"/>
      <c r="H651" s="174"/>
      <c r="I651" s="406"/>
    </row>
    <row r="652" spans="1:9" ht="15.75" customHeight="1">
      <c r="A652" s="686"/>
      <c r="B652" s="687"/>
      <c r="C652" s="243"/>
      <c r="D652" s="244"/>
      <c r="E652" s="164"/>
      <c r="F652" s="174"/>
      <c r="G652" s="174"/>
      <c r="H652" s="174"/>
      <c r="I652" s="406"/>
    </row>
    <row r="653" spans="1:9" ht="15.75" customHeight="1">
      <c r="A653" s="686"/>
      <c r="B653" s="687"/>
      <c r="C653" s="243"/>
      <c r="D653" s="244"/>
      <c r="E653" s="164"/>
      <c r="F653" s="174"/>
      <c r="G653" s="174"/>
      <c r="H653" s="174"/>
      <c r="I653" s="406"/>
    </row>
    <row r="654" spans="1:9" ht="15.75" customHeight="1">
      <c r="A654" s="686"/>
      <c r="B654" s="687"/>
      <c r="C654" s="243"/>
      <c r="D654" s="244"/>
      <c r="E654" s="164"/>
      <c r="F654" s="174"/>
      <c r="G654" s="174"/>
      <c r="H654" s="174"/>
      <c r="I654" s="406"/>
    </row>
    <row r="655" spans="1:9" ht="15.75" customHeight="1">
      <c r="A655" s="686"/>
      <c r="B655" s="687"/>
      <c r="C655" s="243"/>
      <c r="D655" s="244"/>
      <c r="E655" s="164"/>
      <c r="F655" s="174"/>
      <c r="G655" s="174"/>
      <c r="H655" s="174"/>
      <c r="I655" s="406"/>
    </row>
    <row r="656" spans="1:9" ht="15.75" customHeight="1">
      <c r="A656" s="686"/>
      <c r="B656" s="687"/>
      <c r="C656" s="243"/>
      <c r="D656" s="244"/>
      <c r="E656" s="164"/>
      <c r="F656" s="174"/>
      <c r="G656" s="174"/>
      <c r="H656" s="174"/>
      <c r="I656" s="406"/>
    </row>
    <row r="657" spans="1:9" ht="15.75" customHeight="1">
      <c r="A657" s="686"/>
      <c r="B657" s="687"/>
      <c r="C657" s="243"/>
      <c r="D657" s="244"/>
      <c r="E657" s="164"/>
      <c r="F657" s="174"/>
      <c r="G657" s="174"/>
      <c r="H657" s="174"/>
      <c r="I657" s="406"/>
    </row>
    <row r="658" spans="1:9" ht="14.25" customHeight="1">
      <c r="A658" s="7"/>
      <c r="B658" s="7"/>
      <c r="C658" s="7"/>
      <c r="D658" s="7"/>
      <c r="E658" s="174"/>
      <c r="F658" s="174"/>
      <c r="G658" s="174"/>
      <c r="H658" s="174"/>
      <c r="I658" s="406"/>
    </row>
    <row r="659" spans="1:9" ht="14.25" customHeight="1">
      <c r="A659" s="7"/>
      <c r="B659" s="7"/>
      <c r="C659" s="7"/>
      <c r="D659" s="7"/>
      <c r="E659" s="174"/>
      <c r="F659" s="174"/>
      <c r="G659" s="174"/>
      <c r="H659" s="174"/>
      <c r="I659" s="406"/>
    </row>
    <row r="660" spans="1:9" ht="14.25" customHeight="1">
      <c r="A660" s="7"/>
      <c r="B660" s="7"/>
      <c r="C660" s="7"/>
      <c r="D660" s="7"/>
      <c r="E660" s="174"/>
      <c r="F660" s="174"/>
      <c r="G660" s="174"/>
      <c r="H660" s="174"/>
      <c r="I660" s="406"/>
    </row>
    <row r="661" spans="1:9" ht="14.25" customHeight="1">
      <c r="A661" s="7"/>
      <c r="B661" s="7"/>
      <c r="C661" s="7"/>
      <c r="D661" s="7"/>
      <c r="E661" s="174"/>
      <c r="F661" s="174"/>
      <c r="G661" s="174"/>
      <c r="H661" s="174"/>
      <c r="I661" s="406"/>
    </row>
    <row r="662" spans="1:9" ht="14.25" customHeight="1">
      <c r="A662" s="7"/>
      <c r="B662" s="7"/>
      <c r="C662" s="7"/>
      <c r="D662" s="7"/>
      <c r="E662" s="174"/>
      <c r="F662" s="174"/>
      <c r="G662" s="174"/>
      <c r="H662" s="174"/>
      <c r="I662" s="406"/>
    </row>
    <row r="663" spans="1:9" ht="14.25" customHeight="1">
      <c r="A663" s="7"/>
      <c r="B663" s="7"/>
      <c r="C663" s="7"/>
      <c r="D663" s="7"/>
      <c r="E663" s="174"/>
      <c r="F663" s="174"/>
      <c r="G663" s="174"/>
      <c r="H663" s="174"/>
      <c r="I663" s="406"/>
    </row>
    <row r="664" spans="1:9" ht="14.25" customHeight="1">
      <c r="A664" s="7"/>
      <c r="B664" s="7"/>
      <c r="C664" s="7"/>
      <c r="D664" s="7"/>
      <c r="E664" s="174"/>
      <c r="F664" s="174"/>
      <c r="G664" s="174"/>
      <c r="H664" s="174"/>
      <c r="I664" s="406"/>
    </row>
    <row r="665" spans="1:9" ht="14.25" customHeight="1">
      <c r="A665" s="7"/>
      <c r="B665" s="7"/>
      <c r="C665" s="7"/>
      <c r="D665" s="7"/>
      <c r="E665" s="174"/>
      <c r="F665" s="174"/>
      <c r="G665" s="174"/>
      <c r="H665" s="174"/>
      <c r="I665" s="406"/>
    </row>
    <row r="666" spans="1:9" ht="14.25" customHeight="1">
      <c r="A666" s="7"/>
      <c r="B666" s="7"/>
      <c r="C666" s="7"/>
      <c r="D666" s="7"/>
      <c r="E666" s="174"/>
      <c r="F666" s="174"/>
      <c r="G666" s="174"/>
      <c r="H666" s="174"/>
      <c r="I666" s="406"/>
    </row>
    <row r="667" spans="1:9" ht="14.25" customHeight="1">
      <c r="A667" s="7"/>
      <c r="B667" s="7"/>
      <c r="C667" s="7"/>
      <c r="D667" s="7"/>
      <c r="E667" s="174"/>
      <c r="F667" s="174"/>
      <c r="G667" s="174"/>
      <c r="H667" s="174"/>
      <c r="I667" s="406"/>
    </row>
    <row r="668" spans="1:9" ht="14.25" customHeight="1">
      <c r="A668" s="7"/>
      <c r="B668" s="7"/>
      <c r="C668" s="7"/>
      <c r="D668" s="7"/>
      <c r="E668" s="174"/>
      <c r="F668" s="174"/>
      <c r="G668" s="174"/>
      <c r="H668" s="174"/>
      <c r="I668" s="406"/>
    </row>
    <row r="669" spans="1:9" ht="14.25" customHeight="1">
      <c r="A669" s="7"/>
      <c r="B669" s="7"/>
      <c r="C669" s="7"/>
      <c r="D669" s="7"/>
      <c r="E669" s="174"/>
      <c r="F669" s="174"/>
      <c r="G669" s="174"/>
      <c r="H669" s="174"/>
      <c r="I669" s="406"/>
    </row>
    <row r="670" spans="1:9" ht="14.25" customHeight="1">
      <c r="A670" s="7"/>
      <c r="B670" s="7"/>
      <c r="C670" s="7"/>
      <c r="D670" s="7"/>
      <c r="E670" s="174"/>
      <c r="F670" s="174"/>
      <c r="G670" s="174"/>
      <c r="H670" s="174"/>
      <c r="I670" s="406"/>
    </row>
    <row r="671" spans="1:9" ht="14.25" customHeight="1">
      <c r="A671" s="7"/>
      <c r="B671" s="7"/>
      <c r="C671" s="7"/>
      <c r="D671" s="7"/>
      <c r="E671" s="174"/>
      <c r="F671" s="174"/>
      <c r="G671" s="174"/>
      <c r="H671" s="174"/>
      <c r="I671" s="406"/>
    </row>
    <row r="672" spans="1:9" ht="14.25" customHeight="1">
      <c r="A672" s="7"/>
      <c r="B672" s="7"/>
      <c r="C672" s="7"/>
      <c r="D672" s="7"/>
      <c r="E672" s="174"/>
      <c r="F672" s="174"/>
      <c r="G672" s="174"/>
      <c r="H672" s="174"/>
      <c r="I672" s="406"/>
    </row>
    <row r="673" spans="1:9" ht="14.25" customHeight="1">
      <c r="A673" s="7"/>
      <c r="B673" s="7"/>
      <c r="C673" s="7"/>
      <c r="D673" s="7"/>
      <c r="E673" s="174"/>
      <c r="F673" s="174"/>
      <c r="G673" s="174"/>
      <c r="H673" s="174"/>
      <c r="I673" s="406"/>
    </row>
    <row r="674" spans="1:9" ht="14.25" customHeight="1">
      <c r="A674" s="7"/>
      <c r="B674" s="7"/>
      <c r="C674" s="7"/>
      <c r="D674" s="7"/>
      <c r="E674" s="174"/>
      <c r="F674" s="174"/>
      <c r="G674" s="174"/>
      <c r="H674" s="174"/>
      <c r="I674" s="406"/>
    </row>
    <row r="675" spans="1:9" ht="14.25" customHeight="1">
      <c r="A675" s="7"/>
      <c r="B675" s="7"/>
      <c r="C675" s="7"/>
      <c r="D675" s="7"/>
      <c r="E675" s="174"/>
      <c r="F675" s="174"/>
      <c r="G675" s="174"/>
      <c r="H675" s="174"/>
      <c r="I675" s="406"/>
    </row>
    <row r="676" spans="1:9" ht="14.25" customHeight="1">
      <c r="A676" s="7"/>
      <c r="B676" s="7"/>
      <c r="C676" s="7"/>
      <c r="D676" s="7"/>
      <c r="E676" s="174"/>
      <c r="F676" s="174"/>
      <c r="G676" s="174"/>
      <c r="H676" s="174"/>
      <c r="I676" s="406"/>
    </row>
    <row r="677" spans="1:9" ht="14.25" customHeight="1">
      <c r="A677" s="7"/>
      <c r="B677" s="7"/>
      <c r="C677" s="7"/>
      <c r="D677" s="7"/>
      <c r="E677" s="174"/>
      <c r="F677" s="174"/>
      <c r="G677" s="174"/>
      <c r="H677" s="174"/>
      <c r="I677" s="406"/>
    </row>
    <row r="678" spans="1:9" ht="14.25" customHeight="1">
      <c r="A678" s="7"/>
      <c r="B678" s="7"/>
      <c r="C678" s="7"/>
      <c r="D678" s="7"/>
      <c r="E678" s="174"/>
      <c r="F678" s="174"/>
      <c r="G678" s="174"/>
      <c r="H678" s="174"/>
      <c r="I678" s="406"/>
    </row>
    <row r="679" spans="1:9" ht="14.25" customHeight="1">
      <c r="A679" s="7"/>
      <c r="B679" s="7"/>
      <c r="C679" s="7"/>
      <c r="D679" s="7"/>
      <c r="E679" s="174"/>
      <c r="F679" s="174"/>
      <c r="G679" s="174"/>
      <c r="H679" s="174"/>
      <c r="I679" s="406"/>
    </row>
    <row r="680" spans="1:9" ht="14.25" customHeight="1">
      <c r="A680" s="7"/>
      <c r="B680" s="7"/>
      <c r="C680" s="7"/>
      <c r="D680" s="7"/>
      <c r="E680" s="174"/>
      <c r="F680" s="174"/>
      <c r="G680" s="174"/>
      <c r="H680" s="174"/>
      <c r="I680" s="406"/>
    </row>
    <row r="681" spans="1:9" ht="14.25" customHeight="1">
      <c r="A681" s="7"/>
      <c r="B681" s="7"/>
      <c r="C681" s="7"/>
      <c r="D681" s="7"/>
      <c r="E681" s="174"/>
      <c r="F681" s="174"/>
      <c r="G681" s="174"/>
      <c r="H681" s="174"/>
      <c r="I681" s="406"/>
    </row>
    <row r="682" spans="1:9" ht="14.25" customHeight="1">
      <c r="A682" s="7"/>
      <c r="B682" s="7"/>
      <c r="C682" s="7"/>
      <c r="D682" s="7"/>
      <c r="E682" s="174"/>
      <c r="F682" s="174"/>
      <c r="G682" s="174"/>
      <c r="H682" s="174"/>
      <c r="I682" s="406"/>
    </row>
    <row r="683" spans="1:9" ht="14.25" customHeight="1">
      <c r="A683" s="7"/>
      <c r="B683" s="7"/>
      <c r="C683" s="7"/>
      <c r="D683" s="7"/>
      <c r="E683" s="174"/>
      <c r="F683" s="174"/>
      <c r="G683" s="174"/>
      <c r="H683" s="174"/>
      <c r="I683" s="406"/>
    </row>
    <row r="684" spans="1:9" ht="14.25" customHeight="1">
      <c r="A684" s="7"/>
      <c r="B684" s="7"/>
      <c r="C684" s="7"/>
      <c r="D684" s="7"/>
      <c r="E684" s="174"/>
      <c r="F684" s="174"/>
      <c r="G684" s="174"/>
      <c r="H684" s="174"/>
      <c r="I684" s="406"/>
    </row>
    <row r="685" spans="1:9" ht="14.25" customHeight="1">
      <c r="A685" s="7"/>
      <c r="B685" s="7"/>
      <c r="C685" s="7"/>
      <c r="D685" s="7"/>
      <c r="E685" s="174"/>
      <c r="F685" s="174"/>
      <c r="G685" s="174"/>
      <c r="H685" s="174"/>
      <c r="I685" s="406"/>
    </row>
    <row r="686" spans="1:9" ht="14.25" customHeight="1">
      <c r="A686" s="7"/>
      <c r="B686" s="7"/>
      <c r="C686" s="7"/>
      <c r="D686" s="7"/>
      <c r="E686" s="174"/>
      <c r="F686" s="174"/>
      <c r="G686" s="174"/>
      <c r="H686" s="174"/>
      <c r="I686" s="406"/>
    </row>
    <row r="687" spans="1:9" ht="14.25" customHeight="1">
      <c r="A687" s="7"/>
      <c r="B687" s="7"/>
      <c r="C687" s="7"/>
      <c r="D687" s="7"/>
      <c r="E687" s="174"/>
      <c r="F687" s="174"/>
      <c r="G687" s="174"/>
      <c r="H687" s="174"/>
      <c r="I687" s="406"/>
    </row>
    <row r="688" spans="1:9" ht="14.25" customHeight="1">
      <c r="A688" s="7"/>
      <c r="B688" s="7"/>
      <c r="C688" s="7"/>
      <c r="D688" s="7"/>
      <c r="E688" s="174"/>
      <c r="F688" s="174"/>
      <c r="G688" s="174"/>
      <c r="H688" s="174"/>
      <c r="I688" s="406"/>
    </row>
    <row r="689" spans="1:9" ht="14.25" customHeight="1">
      <c r="A689" s="7"/>
      <c r="B689" s="7"/>
      <c r="C689" s="7"/>
      <c r="D689" s="7"/>
      <c r="E689" s="174"/>
      <c r="F689" s="174"/>
      <c r="G689" s="174"/>
      <c r="H689" s="174"/>
      <c r="I689" s="406"/>
    </row>
    <row r="690" spans="1:9" ht="14.25" customHeight="1">
      <c r="A690" s="7"/>
      <c r="B690" s="7"/>
      <c r="C690" s="7"/>
      <c r="D690" s="7"/>
      <c r="E690" s="174"/>
      <c r="F690" s="174"/>
      <c r="G690" s="174"/>
      <c r="H690" s="174"/>
      <c r="I690" s="406"/>
    </row>
    <row r="691" spans="1:9" ht="14.25" customHeight="1">
      <c r="A691" s="7"/>
      <c r="B691" s="7"/>
      <c r="C691" s="7"/>
      <c r="D691" s="7"/>
      <c r="E691" s="174"/>
      <c r="F691" s="174"/>
      <c r="G691" s="174"/>
      <c r="H691" s="174"/>
      <c r="I691" s="406"/>
    </row>
    <row r="692" spans="1:9" ht="14.25" customHeight="1">
      <c r="A692" s="7"/>
      <c r="B692" s="7"/>
      <c r="C692" s="7"/>
      <c r="D692" s="7"/>
      <c r="E692" s="174"/>
      <c r="F692" s="174"/>
      <c r="G692" s="174"/>
      <c r="H692" s="174"/>
      <c r="I692" s="406"/>
    </row>
    <row r="693" spans="1:9" ht="14.25" customHeight="1">
      <c r="A693" s="7"/>
      <c r="B693" s="7"/>
      <c r="C693" s="7"/>
      <c r="D693" s="7"/>
      <c r="E693" s="174"/>
      <c r="F693" s="174"/>
      <c r="G693" s="174"/>
      <c r="H693" s="174"/>
      <c r="I693" s="406"/>
    </row>
    <row r="694" spans="1:9" ht="14.25" customHeight="1">
      <c r="A694" s="7"/>
      <c r="B694" s="7"/>
      <c r="C694" s="7"/>
      <c r="D694" s="7"/>
      <c r="E694" s="174"/>
      <c r="F694" s="174"/>
      <c r="G694" s="174"/>
      <c r="H694" s="174"/>
      <c r="I694" s="406"/>
    </row>
    <row r="695" spans="1:9" ht="14.25" customHeight="1">
      <c r="A695" s="7"/>
      <c r="B695" s="7"/>
      <c r="C695" s="7"/>
      <c r="D695" s="7"/>
      <c r="E695" s="174"/>
      <c r="F695" s="174"/>
      <c r="G695" s="174"/>
      <c r="H695" s="174"/>
      <c r="I695" s="406"/>
    </row>
    <row r="696" spans="1:9" ht="14.25" customHeight="1">
      <c r="A696" s="7"/>
      <c r="B696" s="7"/>
      <c r="C696" s="7"/>
      <c r="D696" s="7"/>
      <c r="E696" s="174"/>
      <c r="F696" s="174"/>
      <c r="G696" s="174"/>
      <c r="H696" s="174"/>
      <c r="I696" s="406"/>
    </row>
    <row r="697" spans="1:9" ht="14.25" customHeight="1">
      <c r="A697" s="7"/>
      <c r="B697" s="7"/>
      <c r="C697" s="7"/>
      <c r="D697" s="7"/>
      <c r="E697" s="174"/>
      <c r="F697" s="174"/>
      <c r="G697" s="174"/>
      <c r="H697" s="174"/>
      <c r="I697" s="406"/>
    </row>
    <row r="698" spans="1:9" ht="14.25" customHeight="1">
      <c r="A698" s="7"/>
      <c r="B698" s="7"/>
      <c r="C698" s="7"/>
      <c r="D698" s="7"/>
      <c r="E698" s="174"/>
      <c r="F698" s="174"/>
      <c r="G698" s="174"/>
      <c r="H698" s="174"/>
      <c r="I698" s="406"/>
    </row>
    <row r="699" spans="1:9" ht="14.25" customHeight="1">
      <c r="A699" s="7"/>
      <c r="B699" s="7"/>
      <c r="C699" s="7"/>
      <c r="D699" s="7"/>
      <c r="E699" s="174"/>
      <c r="F699" s="174"/>
      <c r="G699" s="174"/>
      <c r="H699" s="174"/>
      <c r="I699" s="406"/>
    </row>
    <row r="700" spans="1:9" ht="14.25" customHeight="1">
      <c r="A700" s="7"/>
      <c r="B700" s="7"/>
      <c r="C700" s="7"/>
      <c r="D700" s="7"/>
      <c r="E700" s="174"/>
      <c r="F700" s="174"/>
      <c r="G700" s="174"/>
      <c r="H700" s="174"/>
      <c r="I700" s="406"/>
    </row>
    <row r="701" spans="1:9" ht="14.25" customHeight="1">
      <c r="A701" s="7"/>
      <c r="B701" s="7"/>
      <c r="C701" s="7"/>
      <c r="D701" s="7"/>
      <c r="E701" s="174"/>
      <c r="F701" s="174"/>
      <c r="G701" s="174"/>
      <c r="H701" s="174"/>
      <c r="I701" s="406"/>
    </row>
    <row r="702" spans="1:9" ht="14.25" customHeight="1">
      <c r="A702" s="7"/>
      <c r="B702" s="7"/>
      <c r="C702" s="7"/>
      <c r="D702" s="7"/>
      <c r="E702" s="174"/>
      <c r="F702" s="174"/>
      <c r="G702" s="174"/>
      <c r="H702" s="174"/>
      <c r="I702" s="406"/>
    </row>
    <row r="703" spans="1:9" ht="14.25" customHeight="1">
      <c r="A703" s="7"/>
      <c r="B703" s="7"/>
      <c r="C703" s="7"/>
      <c r="D703" s="7"/>
      <c r="E703" s="174"/>
      <c r="F703" s="174"/>
      <c r="G703" s="174"/>
      <c r="H703" s="174"/>
      <c r="I703" s="406"/>
    </row>
    <row r="704" spans="1:9" ht="14.25" customHeight="1">
      <c r="A704" s="7"/>
      <c r="B704" s="7"/>
      <c r="C704" s="7"/>
      <c r="D704" s="7"/>
      <c r="E704" s="174"/>
      <c r="F704" s="174"/>
      <c r="G704" s="174"/>
      <c r="H704" s="174"/>
      <c r="I704" s="406"/>
    </row>
    <row r="705" spans="1:9" ht="14.25" customHeight="1">
      <c r="A705" s="7"/>
      <c r="B705" s="7"/>
      <c r="C705" s="7"/>
      <c r="D705" s="7"/>
      <c r="E705" s="174"/>
      <c r="F705" s="174"/>
      <c r="G705" s="174"/>
      <c r="H705" s="174"/>
      <c r="I705" s="406"/>
    </row>
    <row r="706" spans="1:9" ht="14.25" customHeight="1">
      <c r="A706" s="7"/>
      <c r="B706" s="7"/>
      <c r="C706" s="7"/>
      <c r="D706" s="7"/>
      <c r="E706" s="174"/>
      <c r="F706" s="174"/>
      <c r="G706" s="174"/>
      <c r="H706" s="174"/>
      <c r="I706" s="406"/>
    </row>
    <row r="707" spans="1:9" ht="14.25" customHeight="1">
      <c r="A707" s="7"/>
      <c r="B707" s="7"/>
      <c r="C707" s="7"/>
      <c r="D707" s="7"/>
      <c r="E707" s="174"/>
      <c r="F707" s="174"/>
      <c r="G707" s="174"/>
      <c r="H707" s="174"/>
      <c r="I707" s="406"/>
    </row>
    <row r="708" spans="1:9" ht="14.25" customHeight="1">
      <c r="A708" s="7"/>
      <c r="B708" s="7"/>
      <c r="C708" s="7"/>
      <c r="D708" s="7"/>
      <c r="E708" s="174"/>
      <c r="F708" s="174"/>
      <c r="G708" s="174"/>
      <c r="H708" s="174"/>
      <c r="I708" s="406"/>
    </row>
    <row r="709" spans="1:9" ht="14.25" customHeight="1">
      <c r="A709" s="7"/>
      <c r="B709" s="7"/>
      <c r="C709" s="7"/>
      <c r="D709" s="7"/>
      <c r="E709" s="174"/>
      <c r="F709" s="174"/>
      <c r="G709" s="174"/>
      <c r="H709" s="174"/>
      <c r="I709" s="406"/>
    </row>
    <row r="710" spans="1:9" ht="14.25" customHeight="1">
      <c r="A710" s="7"/>
      <c r="B710" s="7"/>
      <c r="C710" s="7"/>
      <c r="D710" s="7"/>
      <c r="E710" s="174"/>
      <c r="F710" s="174"/>
      <c r="G710" s="174"/>
      <c r="H710" s="174"/>
      <c r="I710" s="406"/>
    </row>
    <row r="711" spans="1:9" ht="14.25" customHeight="1">
      <c r="A711" s="7"/>
      <c r="B711" s="7"/>
      <c r="C711" s="7"/>
      <c r="D711" s="7"/>
      <c r="E711" s="174"/>
      <c r="F711" s="174"/>
      <c r="G711" s="174"/>
      <c r="H711" s="174"/>
      <c r="I711" s="406"/>
    </row>
    <row r="712" spans="1:9" ht="14.25" customHeight="1">
      <c r="A712" s="7"/>
      <c r="B712" s="7"/>
      <c r="C712" s="7"/>
      <c r="D712" s="7"/>
      <c r="E712" s="174"/>
      <c r="F712" s="174"/>
      <c r="G712" s="174"/>
      <c r="H712" s="174"/>
      <c r="I712" s="406"/>
    </row>
    <row r="713" spans="1:9" ht="14.25" customHeight="1">
      <c r="A713" s="7"/>
      <c r="B713" s="7"/>
      <c r="C713" s="7"/>
      <c r="D713" s="7"/>
      <c r="E713" s="174"/>
      <c r="F713" s="174"/>
      <c r="G713" s="174"/>
      <c r="H713" s="174"/>
      <c r="I713" s="406"/>
    </row>
    <row r="714" spans="1:9" ht="14.25" customHeight="1">
      <c r="A714" s="7"/>
      <c r="B714" s="7"/>
      <c r="C714" s="7"/>
      <c r="D714" s="7"/>
      <c r="E714" s="174"/>
      <c r="F714" s="174"/>
      <c r="G714" s="174"/>
      <c r="H714" s="174"/>
      <c r="I714" s="406"/>
    </row>
    <row r="715" spans="1:9" ht="14.25" customHeight="1">
      <c r="A715" s="7"/>
      <c r="B715" s="7"/>
      <c r="C715" s="7"/>
      <c r="D715" s="7"/>
      <c r="E715" s="174"/>
      <c r="F715" s="174"/>
      <c r="G715" s="174"/>
      <c r="H715" s="174"/>
      <c r="I715" s="406"/>
    </row>
    <row r="716" spans="1:9" ht="14.25" customHeight="1">
      <c r="A716" s="7"/>
      <c r="B716" s="7"/>
      <c r="C716" s="7"/>
      <c r="D716" s="7"/>
      <c r="E716" s="174"/>
      <c r="F716" s="174"/>
      <c r="G716" s="174"/>
      <c r="H716" s="174"/>
      <c r="I716" s="406"/>
    </row>
    <row r="717" spans="1:9" ht="14.25" customHeight="1">
      <c r="A717" s="7"/>
      <c r="B717" s="7"/>
      <c r="C717" s="7"/>
      <c r="D717" s="7"/>
      <c r="E717" s="174"/>
      <c r="F717" s="174"/>
      <c r="G717" s="174"/>
      <c r="H717" s="174"/>
      <c r="I717" s="406"/>
    </row>
    <row r="718" spans="1:9" ht="14.25" customHeight="1">
      <c r="A718" s="7"/>
      <c r="B718" s="7"/>
      <c r="C718" s="7"/>
      <c r="D718" s="7"/>
      <c r="E718" s="174"/>
      <c r="F718" s="174"/>
      <c r="G718" s="174"/>
      <c r="H718" s="174"/>
      <c r="I718" s="406"/>
    </row>
    <row r="719" spans="1:9" ht="14.25" customHeight="1">
      <c r="A719" s="7"/>
      <c r="B719" s="7"/>
      <c r="C719" s="7"/>
      <c r="D719" s="7"/>
      <c r="E719" s="174"/>
      <c r="F719" s="174"/>
      <c r="G719" s="174"/>
      <c r="H719" s="174"/>
      <c r="I719" s="406"/>
    </row>
    <row r="720" spans="1:9" ht="14.25" customHeight="1">
      <c r="A720" s="7"/>
      <c r="B720" s="7"/>
      <c r="C720" s="7"/>
      <c r="D720" s="7"/>
      <c r="E720" s="174"/>
      <c r="F720" s="174"/>
      <c r="G720" s="174"/>
      <c r="H720" s="174"/>
      <c r="I720" s="406"/>
    </row>
    <row r="721" spans="1:9" ht="14.25" customHeight="1">
      <c r="A721" s="7"/>
      <c r="B721" s="7"/>
      <c r="C721" s="7"/>
      <c r="D721" s="7"/>
      <c r="E721" s="174"/>
      <c r="F721" s="174"/>
      <c r="G721" s="174"/>
      <c r="H721" s="174"/>
      <c r="I721" s="406"/>
    </row>
    <row r="722" spans="1:9" ht="14.25" customHeight="1">
      <c r="A722" s="7"/>
      <c r="B722" s="7"/>
      <c r="C722" s="7"/>
      <c r="D722" s="7"/>
      <c r="E722" s="174"/>
      <c r="F722" s="174"/>
      <c r="G722" s="174"/>
      <c r="H722" s="174"/>
      <c r="I722" s="406"/>
    </row>
    <row r="723" spans="1:9" ht="15.75" customHeight="1"/>
    <row r="724" spans="1:9" ht="15.75" customHeight="1"/>
    <row r="725" spans="1:9" ht="15.75" customHeight="1"/>
    <row r="726" spans="1:9" ht="15.75" customHeight="1"/>
    <row r="727" spans="1:9" ht="15.75" customHeight="1"/>
    <row r="728" spans="1:9" ht="15.75" customHeight="1"/>
    <row r="729" spans="1:9" ht="15.75" customHeight="1"/>
    <row r="730" spans="1:9" ht="15.75" customHeight="1"/>
    <row r="731" spans="1:9" ht="15.75" customHeight="1"/>
    <row r="732" spans="1:9" ht="15.75" customHeight="1"/>
    <row r="733" spans="1:9" ht="15.75" customHeight="1"/>
    <row r="734" spans="1:9" ht="15.75" customHeight="1"/>
    <row r="735" spans="1:9" ht="15.75" customHeight="1"/>
    <row r="736" spans="1:9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B454:C454"/>
    <mergeCell ref="A2:C2"/>
    <mergeCell ref="A3:C3"/>
    <mergeCell ref="A4:E4"/>
    <mergeCell ref="A5:D5"/>
    <mergeCell ref="A6:E6"/>
    <mergeCell ref="M11:N11"/>
    <mergeCell ref="M12:N12"/>
    <mergeCell ref="C9:D9"/>
    <mergeCell ref="B447:C447"/>
    <mergeCell ref="B453:C453"/>
  </mergeCells>
  <conditionalFormatting sqref="E11:P11">
    <cfRule type="containsText" dxfId="7" priority="1" operator="containsText" text="thái nguyên">
      <formula>NOT(ISERROR(SEARCH(("thái nguyên"),(E11))))</formula>
    </cfRule>
  </conditionalFormatting>
  <conditionalFormatting sqref="Q11 S11">
    <cfRule type="containsText" dxfId="6" priority="2" operator="containsText" text="điện biên">
      <formula>NOT(ISERROR(SEARCH(("điện biên"),(Q11))))</formula>
    </cfRule>
  </conditionalFormatting>
  <conditionalFormatting sqref="AA17:AA447">
    <cfRule type="cellIs" dxfId="5" priority="3" operator="lessThan">
      <formula>0</formula>
    </cfRule>
  </conditionalFormatting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1000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9" sqref="E9"/>
    </sheetView>
  </sheetViews>
  <sheetFormatPr defaultColWidth="14.453125" defaultRowHeight="15" customHeight="1"/>
  <cols>
    <col min="1" max="1" width="7.453125" customWidth="1"/>
    <col min="2" max="2" width="9.7265625" hidden="1" customWidth="1"/>
    <col min="3" max="3" width="36.7265625" customWidth="1"/>
    <col min="4" max="4" width="9.7265625" customWidth="1"/>
    <col min="5" max="5" width="12.453125" customWidth="1"/>
    <col min="6" max="6" width="14.453125" customWidth="1"/>
  </cols>
  <sheetData>
    <row r="1" spans="1:28" ht="24.75" hidden="1" customHeight="1">
      <c r="A1" s="397" t="s">
        <v>0</v>
      </c>
      <c r="B1" s="398"/>
      <c r="C1" s="398"/>
      <c r="D1" s="399"/>
      <c r="E1" s="562"/>
      <c r="F1" s="7"/>
    </row>
    <row r="2" spans="1:28" ht="33" hidden="1" customHeight="1">
      <c r="A2" s="792" t="s">
        <v>1</v>
      </c>
      <c r="B2" s="793"/>
      <c r="C2" s="791"/>
      <c r="D2" s="399"/>
      <c r="E2" s="562"/>
      <c r="F2" s="7"/>
    </row>
    <row r="3" spans="1:28" ht="23.25" hidden="1" customHeight="1">
      <c r="A3" s="794" t="s">
        <v>2</v>
      </c>
      <c r="B3" s="793"/>
      <c r="C3" s="791"/>
      <c r="D3" s="399"/>
      <c r="E3" s="562"/>
      <c r="F3" s="7"/>
    </row>
    <row r="4" spans="1:28" ht="39.75" customHeight="1">
      <c r="A4" s="803" t="s">
        <v>1537</v>
      </c>
      <c r="B4" s="793"/>
      <c r="C4" s="793"/>
      <c r="D4" s="793"/>
      <c r="E4" s="791"/>
      <c r="F4" s="7"/>
    </row>
    <row r="5" spans="1:28" ht="33.75" hidden="1" customHeight="1">
      <c r="A5" s="796" t="e">
        <f>+'[1]Phu luc 01- Danh sach bieu mau'!A3:C3</f>
        <v>#REF!</v>
      </c>
      <c r="B5" s="793"/>
      <c r="C5" s="793"/>
      <c r="D5" s="791"/>
      <c r="E5" s="563"/>
      <c r="F5" s="7"/>
    </row>
    <row r="6" spans="1:28" ht="21" hidden="1" customHeight="1">
      <c r="A6" s="804" t="s">
        <v>1338</v>
      </c>
      <c r="B6" s="793"/>
      <c r="C6" s="793"/>
      <c r="D6" s="793"/>
      <c r="E6" s="791"/>
      <c r="F6" s="7"/>
    </row>
    <row r="7" spans="1:28" ht="18.75" hidden="1" customHeight="1">
      <c r="A7" s="244"/>
      <c r="B7" s="401"/>
      <c r="C7" s="564" t="s">
        <v>1339</v>
      </c>
      <c r="D7" s="403"/>
      <c r="E7" s="565"/>
      <c r="F7" s="7"/>
    </row>
    <row r="8" spans="1:28" ht="14.25" hidden="1" customHeight="1">
      <c r="A8" s="244"/>
      <c r="B8" s="404"/>
      <c r="C8" s="564" t="s">
        <v>1340</v>
      </c>
      <c r="D8" s="405"/>
      <c r="E8" s="566"/>
      <c r="F8" s="7"/>
    </row>
    <row r="9" spans="1:28" ht="14.25" hidden="1" customHeight="1">
      <c r="A9" s="244"/>
      <c r="B9" s="404"/>
      <c r="C9" s="798" t="s">
        <v>1341</v>
      </c>
      <c r="D9" s="791"/>
      <c r="E9" s="567"/>
      <c r="F9" s="7"/>
    </row>
    <row r="10" spans="1:28" ht="25.5" customHeight="1">
      <c r="A10" s="568"/>
      <c r="B10" s="569"/>
      <c r="C10" s="570"/>
      <c r="D10" s="571"/>
      <c r="E10" s="572"/>
      <c r="F10" s="7"/>
    </row>
    <row r="11" spans="1:28" ht="31.5" customHeight="1">
      <c r="A11" s="430" t="s">
        <v>5</v>
      </c>
      <c r="B11" s="430" t="s">
        <v>6</v>
      </c>
      <c r="C11" s="507" t="s">
        <v>7</v>
      </c>
      <c r="D11" s="412" t="s">
        <v>8</v>
      </c>
      <c r="E11" s="22" t="s">
        <v>1344</v>
      </c>
      <c r="F11" s="22" t="s">
        <v>1344</v>
      </c>
      <c r="G11" s="22" t="s">
        <v>1344</v>
      </c>
      <c r="H11" s="21" t="s">
        <v>1344</v>
      </c>
      <c r="I11" s="742" t="s">
        <v>1344</v>
      </c>
      <c r="J11" s="289" t="s">
        <v>1344</v>
      </c>
      <c r="K11" s="743" t="s">
        <v>1344</v>
      </c>
      <c r="L11" s="348" t="s">
        <v>1344</v>
      </c>
      <c r="M11" s="744" t="s">
        <v>1344</v>
      </c>
      <c r="N11" s="22"/>
      <c r="O11" s="576" t="s">
        <v>38</v>
      </c>
      <c r="P11" s="577"/>
      <c r="Q11" s="535"/>
      <c r="R11" s="535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 spans="1:28" ht="29.25" customHeight="1">
      <c r="A12" s="578"/>
      <c r="B12" s="430"/>
      <c r="C12" s="579" t="s">
        <v>39</v>
      </c>
      <c r="D12" s="186"/>
      <c r="E12" s="29">
        <v>1</v>
      </c>
      <c r="F12" s="30">
        <v>1</v>
      </c>
      <c r="G12" s="29">
        <v>1</v>
      </c>
      <c r="H12" s="293">
        <v>1</v>
      </c>
      <c r="I12" s="186">
        <v>1</v>
      </c>
      <c r="J12" s="190"/>
      <c r="K12" s="291">
        <v>1</v>
      </c>
      <c r="L12" s="351">
        <v>1</v>
      </c>
      <c r="M12" s="323"/>
      <c r="N12" s="29"/>
      <c r="O12" s="581">
        <f>SUM(E12:N12)</f>
        <v>7</v>
      </c>
      <c r="P12" s="582"/>
      <c r="Q12" s="582"/>
      <c r="R12" s="582"/>
      <c r="S12" s="7"/>
      <c r="T12" s="7"/>
      <c r="U12" s="7"/>
      <c r="V12" s="7">
        <v>6</v>
      </c>
      <c r="W12" s="7"/>
      <c r="X12" s="7"/>
      <c r="Y12" s="7"/>
      <c r="Z12" s="7"/>
      <c r="AA12" s="7"/>
      <c r="AB12" s="7"/>
    </row>
    <row r="13" spans="1:28" ht="37.5" customHeight="1">
      <c r="A13" s="583"/>
      <c r="B13" s="584"/>
      <c r="C13" s="585" t="s">
        <v>40</v>
      </c>
      <c r="D13" s="584"/>
      <c r="E13" s="32" t="s">
        <v>2457</v>
      </c>
      <c r="F13" s="32" t="s">
        <v>2458</v>
      </c>
      <c r="G13" s="32" t="s">
        <v>1621</v>
      </c>
      <c r="H13" s="32" t="s">
        <v>2459</v>
      </c>
      <c r="I13" s="745" t="s">
        <v>2460</v>
      </c>
      <c r="J13" s="190"/>
      <c r="K13" s="295"/>
      <c r="L13" s="352"/>
      <c r="M13" s="327"/>
      <c r="N13" s="189"/>
      <c r="O13" s="581"/>
      <c r="P13" s="591"/>
      <c r="Q13" s="582"/>
      <c r="R13" s="591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28" ht="53.25" customHeight="1">
      <c r="A14" s="578"/>
      <c r="B14" s="430"/>
      <c r="C14" s="579" t="s">
        <v>41</v>
      </c>
      <c r="D14" s="430"/>
      <c r="E14" s="30" t="s">
        <v>2461</v>
      </c>
      <c r="F14" s="30" t="s">
        <v>2462</v>
      </c>
      <c r="G14" s="30" t="s">
        <v>2463</v>
      </c>
      <c r="H14" s="186"/>
      <c r="I14" s="186"/>
      <c r="J14" s="714"/>
      <c r="K14" s="298"/>
      <c r="L14" s="350"/>
      <c r="M14" s="388"/>
      <c r="N14" s="30"/>
      <c r="O14" s="581"/>
      <c r="P14" s="582"/>
      <c r="Q14" s="582"/>
      <c r="R14" s="582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28" ht="51" customHeight="1">
      <c r="A15" s="578"/>
      <c r="B15" s="430"/>
      <c r="C15" s="579" t="s">
        <v>42</v>
      </c>
      <c r="D15" s="430"/>
      <c r="E15" s="30" t="s">
        <v>1553</v>
      </c>
      <c r="F15" s="30" t="s">
        <v>2464</v>
      </c>
      <c r="G15" s="30" t="s">
        <v>1553</v>
      </c>
      <c r="H15" s="186" t="s">
        <v>2050</v>
      </c>
      <c r="I15" s="186" t="s">
        <v>2465</v>
      </c>
      <c r="J15" s="714"/>
      <c r="K15" s="298"/>
      <c r="L15" s="350"/>
      <c r="M15" s="321"/>
      <c r="N15" s="30"/>
      <c r="O15" s="576"/>
      <c r="P15" s="582"/>
      <c r="Q15" s="582"/>
      <c r="R15" s="582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28" ht="30.75" customHeight="1">
      <c r="A16" s="579"/>
      <c r="B16" s="186"/>
      <c r="C16" s="579" t="s">
        <v>43</v>
      </c>
      <c r="D16" s="186"/>
      <c r="E16" s="34" t="s">
        <v>2466</v>
      </c>
      <c r="F16" s="34"/>
      <c r="G16" s="34" t="s">
        <v>2467</v>
      </c>
      <c r="H16" s="354" t="s">
        <v>2468</v>
      </c>
      <c r="I16" s="186" t="s">
        <v>2469</v>
      </c>
      <c r="J16" s="190" t="s">
        <v>2470</v>
      </c>
      <c r="K16" s="298" t="s">
        <v>2471</v>
      </c>
      <c r="L16" s="350"/>
      <c r="M16" s="396" t="s">
        <v>2472</v>
      </c>
      <c r="N16" s="34"/>
      <c r="O16" s="598"/>
      <c r="P16" s="599"/>
      <c r="Q16" s="599"/>
      <c r="R16" s="599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1:28" ht="33.75" customHeight="1">
      <c r="A17" s="583"/>
      <c r="B17" s="584"/>
      <c r="C17" s="585" t="s">
        <v>70</v>
      </c>
      <c r="D17" s="584"/>
      <c r="E17" s="32" t="s">
        <v>2473</v>
      </c>
      <c r="F17" s="32" t="s">
        <v>1671</v>
      </c>
      <c r="G17" s="32" t="s">
        <v>1621</v>
      </c>
      <c r="H17" s="601" t="s">
        <v>2474</v>
      </c>
      <c r="I17" s="745" t="s">
        <v>2475</v>
      </c>
      <c r="J17" s="586" t="s">
        <v>2476</v>
      </c>
      <c r="K17" s="746" t="s">
        <v>2477</v>
      </c>
      <c r="L17" s="747" t="s">
        <v>1446</v>
      </c>
      <c r="M17" s="748" t="s">
        <v>2478</v>
      </c>
      <c r="N17" s="189"/>
      <c r="O17" s="581"/>
      <c r="P17" s="591"/>
      <c r="Q17" s="591"/>
      <c r="R17" s="591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28" ht="16.5" customHeight="1">
      <c r="A18" s="457" t="s">
        <v>84</v>
      </c>
      <c r="B18" s="196" t="s">
        <v>85</v>
      </c>
      <c r="C18" s="457" t="s">
        <v>86</v>
      </c>
      <c r="D18" s="196">
        <v>1</v>
      </c>
      <c r="E18" s="43"/>
      <c r="F18" s="602"/>
      <c r="G18" s="43"/>
      <c r="H18" s="196"/>
      <c r="I18" s="196"/>
      <c r="J18" s="605"/>
      <c r="K18" s="749"/>
      <c r="L18" s="357"/>
      <c r="M18" s="389"/>
      <c r="N18" s="302"/>
      <c r="O18" s="607"/>
      <c r="P18" s="608"/>
      <c r="Q18" s="609"/>
      <c r="R18" s="609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1:28" ht="27" customHeight="1">
      <c r="A19" s="466">
        <v>1</v>
      </c>
      <c r="B19" s="467" t="s">
        <v>87</v>
      </c>
      <c r="C19" s="610" t="s">
        <v>88</v>
      </c>
      <c r="D19" s="466"/>
      <c r="E19" s="201"/>
      <c r="F19" s="201"/>
      <c r="G19" s="201"/>
      <c r="H19" s="202"/>
      <c r="I19" s="202"/>
      <c r="J19" s="614"/>
      <c r="K19" s="362"/>
      <c r="L19" s="360"/>
      <c r="M19" s="390"/>
      <c r="N19" s="21"/>
      <c r="O19" s="616"/>
      <c r="P19" s="617"/>
      <c r="Q19" s="577"/>
      <c r="R19" s="577"/>
      <c r="S19" s="7"/>
      <c r="T19" s="363"/>
      <c r="U19" s="7"/>
      <c r="V19" s="618">
        <f t="shared" ref="V19:V29" si="0">T19-O19</f>
        <v>0</v>
      </c>
      <c r="W19" s="7"/>
      <c r="X19" s="7"/>
      <c r="Y19" s="7"/>
      <c r="Z19" s="7"/>
      <c r="AA19" s="7"/>
      <c r="AB19" s="7"/>
    </row>
    <row r="20" spans="1:28" ht="20.25" customHeight="1">
      <c r="A20" s="474"/>
      <c r="B20" s="475" t="s">
        <v>89</v>
      </c>
      <c r="C20" s="619" t="s">
        <v>90</v>
      </c>
      <c r="D20" s="416" t="s">
        <v>91</v>
      </c>
      <c r="E20" s="715">
        <v>1</v>
      </c>
      <c r="F20" s="209"/>
      <c r="G20" s="715">
        <v>1</v>
      </c>
      <c r="H20" s="210"/>
      <c r="I20" s="214"/>
      <c r="J20" s="718">
        <v>1</v>
      </c>
      <c r="K20" s="367"/>
      <c r="L20" s="211"/>
      <c r="M20" s="750">
        <v>1</v>
      </c>
      <c r="N20" s="215"/>
      <c r="O20" s="625">
        <f t="shared" ref="O20:O274" si="1">+SUM(E20:N20)</f>
        <v>4</v>
      </c>
      <c r="P20" s="626"/>
      <c r="Q20" s="627"/>
      <c r="R20" s="627"/>
      <c r="S20" s="7"/>
      <c r="T20" s="723">
        <v>3</v>
      </c>
      <c r="U20" s="7"/>
      <c r="V20" s="618">
        <f t="shared" si="0"/>
        <v>-1</v>
      </c>
      <c r="W20" s="7"/>
      <c r="X20" s="7"/>
      <c r="Y20" s="7"/>
      <c r="Z20" s="7"/>
      <c r="AA20" s="7"/>
      <c r="AB20" s="7"/>
    </row>
    <row r="21" spans="1:28" ht="20.25" customHeight="1">
      <c r="A21" s="482"/>
      <c r="B21" s="483" t="s">
        <v>94</v>
      </c>
      <c r="C21" s="629" t="s">
        <v>95</v>
      </c>
      <c r="D21" s="485" t="s">
        <v>91</v>
      </c>
      <c r="E21" s="213"/>
      <c r="F21" s="213"/>
      <c r="G21" s="213"/>
      <c r="H21" s="214"/>
      <c r="I21" s="214"/>
      <c r="J21" s="632"/>
      <c r="K21" s="362"/>
      <c r="L21" s="369"/>
      <c r="M21" s="392"/>
      <c r="N21" s="215"/>
      <c r="O21" s="616">
        <f t="shared" si="1"/>
        <v>0</v>
      </c>
      <c r="P21" s="633"/>
      <c r="Q21" s="634"/>
      <c r="R21" s="634"/>
      <c r="S21" s="7"/>
      <c r="T21" s="699"/>
      <c r="U21" s="7"/>
      <c r="V21" s="618">
        <f t="shared" si="0"/>
        <v>0</v>
      </c>
      <c r="W21" s="7"/>
      <c r="X21" s="7"/>
      <c r="Y21" s="7"/>
      <c r="Z21" s="7"/>
      <c r="AA21" s="7"/>
      <c r="AB21" s="7"/>
    </row>
    <row r="22" spans="1:28" ht="20.25" customHeight="1">
      <c r="A22" s="482"/>
      <c r="B22" s="483" t="s">
        <v>96</v>
      </c>
      <c r="C22" s="629" t="s">
        <v>97</v>
      </c>
      <c r="D22" s="485" t="s">
        <v>91</v>
      </c>
      <c r="E22" s="213"/>
      <c r="F22" s="213"/>
      <c r="G22" s="213"/>
      <c r="H22" s="214"/>
      <c r="I22" s="214"/>
      <c r="J22" s="632"/>
      <c r="K22" s="362"/>
      <c r="L22" s="369"/>
      <c r="M22" s="392"/>
      <c r="N22" s="215"/>
      <c r="O22" s="616">
        <f t="shared" si="1"/>
        <v>0</v>
      </c>
      <c r="P22" s="633"/>
      <c r="Q22" s="634"/>
      <c r="R22" s="634"/>
      <c r="S22" s="7"/>
      <c r="T22" s="699"/>
      <c r="U22" s="7"/>
      <c r="V22" s="618">
        <f t="shared" si="0"/>
        <v>0</v>
      </c>
      <c r="W22" s="7"/>
      <c r="X22" s="7"/>
      <c r="Y22" s="7"/>
      <c r="Z22" s="7"/>
      <c r="AA22" s="7"/>
      <c r="AB22" s="7"/>
    </row>
    <row r="23" spans="1:28" ht="20.25" customHeight="1">
      <c r="A23" s="482"/>
      <c r="B23" s="483" t="s">
        <v>98</v>
      </c>
      <c r="C23" s="629" t="s">
        <v>99</v>
      </c>
      <c r="D23" s="485" t="s">
        <v>91</v>
      </c>
      <c r="E23" s="213"/>
      <c r="F23" s="213"/>
      <c r="G23" s="213"/>
      <c r="H23" s="214"/>
      <c r="I23" s="214"/>
      <c r="J23" s="632"/>
      <c r="K23" s="362"/>
      <c r="L23" s="369"/>
      <c r="M23" s="392"/>
      <c r="N23" s="215"/>
      <c r="O23" s="616">
        <f t="shared" si="1"/>
        <v>0</v>
      </c>
      <c r="P23" s="633"/>
      <c r="Q23" s="634"/>
      <c r="R23" s="634"/>
      <c r="S23" s="7"/>
      <c r="T23" s="699"/>
      <c r="U23" s="7"/>
      <c r="V23" s="618">
        <f t="shared" si="0"/>
        <v>0</v>
      </c>
      <c r="W23" s="7"/>
      <c r="X23" s="7"/>
      <c r="Y23" s="7"/>
      <c r="Z23" s="7"/>
      <c r="AA23" s="7"/>
      <c r="AB23" s="7"/>
    </row>
    <row r="24" spans="1:28" ht="20.25" customHeight="1">
      <c r="A24" s="482"/>
      <c r="B24" s="483" t="s">
        <v>100</v>
      </c>
      <c r="C24" s="629" t="s">
        <v>101</v>
      </c>
      <c r="D24" s="485" t="s">
        <v>91</v>
      </c>
      <c r="E24" s="213"/>
      <c r="F24" s="213"/>
      <c r="G24" s="213"/>
      <c r="H24" s="214"/>
      <c r="I24" s="214"/>
      <c r="J24" s="632"/>
      <c r="K24" s="362"/>
      <c r="L24" s="369"/>
      <c r="M24" s="392"/>
      <c r="N24" s="215"/>
      <c r="O24" s="616">
        <f t="shared" si="1"/>
        <v>0</v>
      </c>
      <c r="P24" s="633"/>
      <c r="Q24" s="634"/>
      <c r="R24" s="634"/>
      <c r="S24" s="7"/>
      <c r="T24" s="699"/>
      <c r="U24" s="7"/>
      <c r="V24" s="618">
        <f t="shared" si="0"/>
        <v>0</v>
      </c>
      <c r="W24" s="7"/>
      <c r="X24" s="7"/>
      <c r="Y24" s="7"/>
      <c r="Z24" s="7"/>
      <c r="AA24" s="7"/>
      <c r="AB24" s="7"/>
    </row>
    <row r="25" spans="1:28" ht="20.25" customHeight="1">
      <c r="A25" s="474"/>
      <c r="B25" s="475" t="s">
        <v>102</v>
      </c>
      <c r="C25" s="619" t="s">
        <v>103</v>
      </c>
      <c r="D25" s="416" t="s">
        <v>91</v>
      </c>
      <c r="E25" s="209"/>
      <c r="F25" s="209"/>
      <c r="G25" s="209"/>
      <c r="H25" s="210"/>
      <c r="I25" s="214"/>
      <c r="J25" s="623"/>
      <c r="K25" s="367"/>
      <c r="L25" s="211"/>
      <c r="M25" s="391"/>
      <c r="N25" s="215"/>
      <c r="O25" s="625">
        <f t="shared" si="1"/>
        <v>0</v>
      </c>
      <c r="P25" s="626"/>
      <c r="Q25" s="627"/>
      <c r="R25" s="627"/>
      <c r="S25" s="7"/>
      <c r="T25" s="699"/>
      <c r="U25" s="7"/>
      <c r="V25" s="618">
        <f t="shared" si="0"/>
        <v>0</v>
      </c>
      <c r="W25" s="7"/>
      <c r="X25" s="7"/>
      <c r="Y25" s="7"/>
      <c r="Z25" s="7"/>
      <c r="AA25" s="7"/>
      <c r="AB25" s="7"/>
    </row>
    <row r="26" spans="1:28" ht="20.25" customHeight="1">
      <c r="A26" s="482"/>
      <c r="B26" s="483" t="s">
        <v>105</v>
      </c>
      <c r="C26" s="629" t="s">
        <v>95</v>
      </c>
      <c r="D26" s="485" t="s">
        <v>91</v>
      </c>
      <c r="E26" s="213"/>
      <c r="F26" s="213"/>
      <c r="G26" s="213"/>
      <c r="H26" s="214"/>
      <c r="I26" s="214"/>
      <c r="J26" s="632"/>
      <c r="K26" s="362"/>
      <c r="L26" s="369"/>
      <c r="M26" s="392"/>
      <c r="N26" s="215"/>
      <c r="O26" s="616">
        <f t="shared" si="1"/>
        <v>0</v>
      </c>
      <c r="P26" s="633"/>
      <c r="Q26" s="634"/>
      <c r="R26" s="634"/>
      <c r="S26" s="7"/>
      <c r="T26" s="699"/>
      <c r="U26" s="7"/>
      <c r="V26" s="618">
        <f t="shared" si="0"/>
        <v>0</v>
      </c>
      <c r="W26" s="7"/>
      <c r="X26" s="7"/>
      <c r="Y26" s="7"/>
      <c r="Z26" s="7"/>
      <c r="AA26" s="7"/>
      <c r="AB26" s="7"/>
    </row>
    <row r="27" spans="1:28" ht="20.25" customHeight="1">
      <c r="A27" s="482"/>
      <c r="B27" s="483" t="s">
        <v>106</v>
      </c>
      <c r="C27" s="629" t="s">
        <v>97</v>
      </c>
      <c r="D27" s="485" t="s">
        <v>91</v>
      </c>
      <c r="E27" s="213"/>
      <c r="F27" s="213"/>
      <c r="G27" s="213"/>
      <c r="H27" s="214"/>
      <c r="I27" s="214"/>
      <c r="J27" s="632"/>
      <c r="K27" s="362"/>
      <c r="L27" s="369"/>
      <c r="M27" s="392"/>
      <c r="N27" s="215"/>
      <c r="O27" s="616">
        <f t="shared" si="1"/>
        <v>0</v>
      </c>
      <c r="P27" s="633"/>
      <c r="Q27" s="634"/>
      <c r="R27" s="634"/>
      <c r="S27" s="7"/>
      <c r="T27" s="699"/>
      <c r="U27" s="7"/>
      <c r="V27" s="618">
        <f t="shared" si="0"/>
        <v>0</v>
      </c>
      <c r="W27" s="7"/>
      <c r="X27" s="7"/>
      <c r="Y27" s="7"/>
      <c r="Z27" s="7"/>
      <c r="AA27" s="7"/>
      <c r="AB27" s="7"/>
    </row>
    <row r="28" spans="1:28" ht="20.25" customHeight="1">
      <c r="A28" s="482"/>
      <c r="B28" s="483" t="s">
        <v>107</v>
      </c>
      <c r="C28" s="629" t="s">
        <v>99</v>
      </c>
      <c r="D28" s="485" t="s">
        <v>91</v>
      </c>
      <c r="E28" s="213"/>
      <c r="F28" s="213"/>
      <c r="G28" s="213"/>
      <c r="H28" s="214"/>
      <c r="I28" s="214"/>
      <c r="J28" s="632"/>
      <c r="K28" s="362"/>
      <c r="L28" s="369"/>
      <c r="M28" s="392"/>
      <c r="N28" s="215"/>
      <c r="O28" s="616">
        <f t="shared" si="1"/>
        <v>0</v>
      </c>
      <c r="P28" s="633"/>
      <c r="Q28" s="634"/>
      <c r="R28" s="634"/>
      <c r="S28" s="7"/>
      <c r="T28" s="699"/>
      <c r="U28" s="7"/>
      <c r="V28" s="618">
        <f t="shared" si="0"/>
        <v>0</v>
      </c>
      <c r="W28" s="7"/>
      <c r="X28" s="7"/>
      <c r="Y28" s="7"/>
      <c r="Z28" s="7"/>
      <c r="AA28" s="7"/>
      <c r="AB28" s="7"/>
    </row>
    <row r="29" spans="1:28" ht="20.25" customHeight="1">
      <c r="A29" s="482"/>
      <c r="B29" s="483" t="s">
        <v>108</v>
      </c>
      <c r="C29" s="629" t="s">
        <v>101</v>
      </c>
      <c r="D29" s="485" t="s">
        <v>91</v>
      </c>
      <c r="E29" s="213"/>
      <c r="F29" s="213"/>
      <c r="G29" s="213"/>
      <c r="H29" s="214"/>
      <c r="I29" s="214"/>
      <c r="J29" s="632"/>
      <c r="K29" s="362"/>
      <c r="L29" s="369"/>
      <c r="M29" s="392"/>
      <c r="N29" s="215"/>
      <c r="O29" s="616">
        <f t="shared" si="1"/>
        <v>0</v>
      </c>
      <c r="P29" s="633"/>
      <c r="Q29" s="634"/>
      <c r="R29" s="634"/>
      <c r="S29" s="7"/>
      <c r="T29" s="699"/>
      <c r="U29" s="7"/>
      <c r="V29" s="618">
        <f t="shared" si="0"/>
        <v>0</v>
      </c>
      <c r="W29" s="7"/>
      <c r="X29" s="7"/>
      <c r="Y29" s="7"/>
      <c r="Z29" s="7"/>
      <c r="AA29" s="7"/>
      <c r="AB29" s="7"/>
    </row>
    <row r="30" spans="1:28" ht="20.25" customHeight="1">
      <c r="A30" s="474"/>
      <c r="B30" s="475" t="s">
        <v>109</v>
      </c>
      <c r="C30" s="619" t="s">
        <v>110</v>
      </c>
      <c r="D30" s="416" t="s">
        <v>91</v>
      </c>
      <c r="E30" s="209"/>
      <c r="F30" s="209"/>
      <c r="G30" s="209"/>
      <c r="H30" s="210"/>
      <c r="I30" s="214"/>
      <c r="J30" s="623"/>
      <c r="K30" s="367">
        <v>13</v>
      </c>
      <c r="L30" s="211"/>
      <c r="M30" s="391">
        <v>4</v>
      </c>
      <c r="N30" s="215"/>
      <c r="O30" s="625">
        <f t="shared" si="1"/>
        <v>17</v>
      </c>
      <c r="P30" s="626"/>
      <c r="Q30" s="627"/>
      <c r="R30" s="627"/>
      <c r="S30" s="7"/>
      <c r="T30" s="699">
        <v>1</v>
      </c>
      <c r="U30" s="7"/>
      <c r="V30" s="618"/>
      <c r="W30" s="7"/>
      <c r="X30" s="7"/>
      <c r="Y30" s="7"/>
      <c r="Z30" s="7"/>
      <c r="AA30" s="7"/>
      <c r="AB30" s="7"/>
    </row>
    <row r="31" spans="1:28" ht="20.25" customHeight="1">
      <c r="A31" s="482" t="s">
        <v>112</v>
      </c>
      <c r="B31" s="483" t="s">
        <v>113</v>
      </c>
      <c r="C31" s="629" t="s">
        <v>95</v>
      </c>
      <c r="D31" s="485" t="s">
        <v>91</v>
      </c>
      <c r="E31" s="213"/>
      <c r="F31" s="213"/>
      <c r="G31" s="213"/>
      <c r="H31" s="214"/>
      <c r="I31" s="214"/>
      <c r="J31" s="632"/>
      <c r="K31" s="362"/>
      <c r="L31" s="369"/>
      <c r="M31" s="392"/>
      <c r="N31" s="215"/>
      <c r="O31" s="616">
        <f t="shared" si="1"/>
        <v>0</v>
      </c>
      <c r="P31" s="633"/>
      <c r="Q31" s="634"/>
      <c r="R31" s="634"/>
      <c r="S31" s="7"/>
      <c r="T31" s="699"/>
      <c r="U31" s="7"/>
      <c r="V31" s="618">
        <f t="shared" ref="V31:V34" si="2">T31-O31</f>
        <v>0</v>
      </c>
      <c r="W31" s="7"/>
      <c r="X31" s="7"/>
      <c r="Y31" s="7"/>
      <c r="Z31" s="7"/>
      <c r="AA31" s="7"/>
      <c r="AB31" s="7"/>
    </row>
    <row r="32" spans="1:28" ht="20.25" customHeight="1">
      <c r="A32" s="482" t="s">
        <v>114</v>
      </c>
      <c r="B32" s="483" t="s">
        <v>115</v>
      </c>
      <c r="C32" s="629" t="s">
        <v>97</v>
      </c>
      <c r="D32" s="485" t="s">
        <v>91</v>
      </c>
      <c r="E32" s="213"/>
      <c r="F32" s="213"/>
      <c r="G32" s="213"/>
      <c r="H32" s="214"/>
      <c r="I32" s="214"/>
      <c r="J32" s="632"/>
      <c r="K32" s="362"/>
      <c r="L32" s="369"/>
      <c r="M32" s="392"/>
      <c r="N32" s="215"/>
      <c r="O32" s="616">
        <f t="shared" si="1"/>
        <v>0</v>
      </c>
      <c r="P32" s="633"/>
      <c r="Q32" s="634"/>
      <c r="R32" s="634"/>
      <c r="S32" s="7"/>
      <c r="T32" s="699"/>
      <c r="U32" s="7"/>
      <c r="V32" s="618">
        <f t="shared" si="2"/>
        <v>0</v>
      </c>
      <c r="W32" s="7"/>
      <c r="X32" s="7"/>
      <c r="Y32" s="7"/>
      <c r="Z32" s="7"/>
      <c r="AA32" s="7"/>
      <c r="AB32" s="7"/>
    </row>
    <row r="33" spans="1:28" ht="20.25" customHeight="1">
      <c r="A33" s="482" t="s">
        <v>116</v>
      </c>
      <c r="B33" s="483" t="s">
        <v>117</v>
      </c>
      <c r="C33" s="629" t="s">
        <v>99</v>
      </c>
      <c r="D33" s="485" t="s">
        <v>91</v>
      </c>
      <c r="E33" s="213"/>
      <c r="F33" s="213"/>
      <c r="G33" s="213"/>
      <c r="H33" s="214"/>
      <c r="I33" s="214"/>
      <c r="J33" s="632"/>
      <c r="K33" s="362"/>
      <c r="L33" s="369"/>
      <c r="M33" s="392"/>
      <c r="N33" s="215"/>
      <c r="O33" s="616">
        <f t="shared" si="1"/>
        <v>0</v>
      </c>
      <c r="P33" s="633"/>
      <c r="Q33" s="634"/>
      <c r="R33" s="634"/>
      <c r="S33" s="7"/>
      <c r="T33" s="699"/>
      <c r="U33" s="7"/>
      <c r="V33" s="618">
        <f t="shared" si="2"/>
        <v>0</v>
      </c>
      <c r="W33" s="7"/>
      <c r="X33" s="7"/>
      <c r="Y33" s="7"/>
      <c r="Z33" s="7"/>
      <c r="AA33" s="7"/>
      <c r="AB33" s="7"/>
    </row>
    <row r="34" spans="1:28" ht="20.25" customHeight="1">
      <c r="A34" s="482" t="s">
        <v>118</v>
      </c>
      <c r="B34" s="483" t="s">
        <v>119</v>
      </c>
      <c r="C34" s="629" t="s">
        <v>101</v>
      </c>
      <c r="D34" s="485" t="s">
        <v>91</v>
      </c>
      <c r="E34" s="213"/>
      <c r="F34" s="213"/>
      <c r="G34" s="213"/>
      <c r="H34" s="214"/>
      <c r="I34" s="214"/>
      <c r="J34" s="632"/>
      <c r="K34" s="362"/>
      <c r="L34" s="369"/>
      <c r="M34" s="392"/>
      <c r="N34" s="215"/>
      <c r="O34" s="616">
        <f t="shared" si="1"/>
        <v>0</v>
      </c>
      <c r="P34" s="633"/>
      <c r="Q34" s="634"/>
      <c r="R34" s="634"/>
      <c r="S34" s="7"/>
      <c r="T34" s="699"/>
      <c r="U34" s="7"/>
      <c r="V34" s="618">
        <f t="shared" si="2"/>
        <v>0</v>
      </c>
      <c r="W34" s="7"/>
      <c r="X34" s="7"/>
      <c r="Y34" s="7"/>
      <c r="Z34" s="7"/>
      <c r="AA34" s="7"/>
      <c r="AB34" s="7"/>
    </row>
    <row r="35" spans="1:28" ht="20.25" customHeight="1">
      <c r="A35" s="486">
        <v>1.4</v>
      </c>
      <c r="B35" s="487" t="s">
        <v>120</v>
      </c>
      <c r="C35" s="635" t="s">
        <v>121</v>
      </c>
      <c r="D35" s="412" t="s">
        <v>122</v>
      </c>
      <c r="E35" s="213"/>
      <c r="F35" s="213"/>
      <c r="G35" s="213"/>
      <c r="H35" s="214"/>
      <c r="I35" s="214"/>
      <c r="J35" s="632"/>
      <c r="K35" s="362"/>
      <c r="L35" s="369"/>
      <c r="M35" s="392">
        <v>3968</v>
      </c>
      <c r="N35" s="215"/>
      <c r="O35" s="616">
        <f t="shared" si="1"/>
        <v>3968</v>
      </c>
      <c r="P35" s="633"/>
      <c r="Q35" s="636"/>
      <c r="R35" s="636"/>
      <c r="S35" s="7"/>
      <c r="T35" s="699"/>
      <c r="U35" s="7"/>
      <c r="V35" s="618"/>
      <c r="W35" s="7"/>
      <c r="X35" s="7"/>
      <c r="Y35" s="7"/>
      <c r="Z35" s="7"/>
      <c r="AA35" s="7"/>
      <c r="AB35" s="7"/>
    </row>
    <row r="36" spans="1:28" ht="20.25" customHeight="1">
      <c r="A36" s="486">
        <v>1.5</v>
      </c>
      <c r="B36" s="487" t="s">
        <v>125</v>
      </c>
      <c r="C36" s="635" t="s">
        <v>126</v>
      </c>
      <c r="D36" s="412" t="s">
        <v>91</v>
      </c>
      <c r="E36" s="213"/>
      <c r="F36" s="213"/>
      <c r="G36" s="213"/>
      <c r="H36" s="214"/>
      <c r="I36" s="214"/>
      <c r="J36" s="632"/>
      <c r="K36" s="362"/>
      <c r="L36" s="369"/>
      <c r="M36" s="392">
        <v>13888</v>
      </c>
      <c r="N36" s="215"/>
      <c r="O36" s="616">
        <f t="shared" si="1"/>
        <v>13888</v>
      </c>
      <c r="P36" s="633"/>
      <c r="Q36" s="547" t="s">
        <v>1576</v>
      </c>
      <c r="R36" s="636"/>
      <c r="S36" s="7"/>
      <c r="T36" s="699"/>
      <c r="U36" s="7"/>
      <c r="V36" s="618">
        <f>T36-O36</f>
        <v>-13888</v>
      </c>
      <c r="W36" s="7"/>
      <c r="X36" s="7"/>
      <c r="Y36" s="7"/>
      <c r="Z36" s="7"/>
      <c r="AA36" s="7"/>
      <c r="AB36" s="7"/>
    </row>
    <row r="37" spans="1:28" ht="19.5" customHeight="1">
      <c r="A37" s="489">
        <v>2</v>
      </c>
      <c r="B37" s="490" t="s">
        <v>128</v>
      </c>
      <c r="C37" s="637" t="s">
        <v>129</v>
      </c>
      <c r="D37" s="491"/>
      <c r="E37" s="213"/>
      <c r="F37" s="213"/>
      <c r="G37" s="213"/>
      <c r="H37" s="214"/>
      <c r="I37" s="214"/>
      <c r="J37" s="632"/>
      <c r="K37" s="362"/>
      <c r="L37" s="369"/>
      <c r="M37" s="392"/>
      <c r="N37" s="215"/>
      <c r="O37" s="616">
        <f t="shared" si="1"/>
        <v>0</v>
      </c>
      <c r="P37" s="633"/>
      <c r="Q37" s="640"/>
      <c r="R37" s="640"/>
      <c r="S37" s="7"/>
      <c r="T37" s="699"/>
      <c r="U37" s="7"/>
      <c r="V37" s="618"/>
      <c r="W37" s="7"/>
      <c r="X37" s="7"/>
      <c r="Y37" s="7"/>
      <c r="Z37" s="7"/>
      <c r="AA37" s="7"/>
      <c r="AB37" s="7"/>
    </row>
    <row r="38" spans="1:28" ht="20.25" customHeight="1">
      <c r="A38" s="492"/>
      <c r="B38" s="493" t="s">
        <v>130</v>
      </c>
      <c r="C38" s="641" t="s">
        <v>131</v>
      </c>
      <c r="D38" s="495" t="s">
        <v>132</v>
      </c>
      <c r="E38" s="209"/>
      <c r="F38" s="209"/>
      <c r="G38" s="209"/>
      <c r="H38" s="210"/>
      <c r="I38" s="214"/>
      <c r="J38" s="623">
        <v>50</v>
      </c>
      <c r="K38" s="367">
        <v>4</v>
      </c>
      <c r="L38" s="211"/>
      <c r="M38" s="391">
        <v>3</v>
      </c>
      <c r="N38" s="215"/>
      <c r="O38" s="625">
        <f t="shared" si="1"/>
        <v>57</v>
      </c>
      <c r="P38" s="626"/>
      <c r="Q38" s="627" t="s">
        <v>1577</v>
      </c>
      <c r="R38" s="642">
        <f>O38</f>
        <v>57</v>
      </c>
      <c r="S38" s="7"/>
      <c r="T38" s="699">
        <v>5</v>
      </c>
      <c r="U38" s="7"/>
      <c r="V38" s="618">
        <f t="shared" ref="V38:V42" si="3">T38-O38</f>
        <v>-52</v>
      </c>
      <c r="W38" s="7"/>
      <c r="X38" s="7"/>
      <c r="Y38" s="7"/>
      <c r="Z38" s="7"/>
      <c r="AA38" s="7"/>
      <c r="AB38" s="7"/>
    </row>
    <row r="39" spans="1:28" ht="20.25" hidden="1" customHeight="1">
      <c r="A39" s="482"/>
      <c r="B39" s="483" t="s">
        <v>135</v>
      </c>
      <c r="C39" s="629" t="s">
        <v>136</v>
      </c>
      <c r="D39" s="485" t="s">
        <v>132</v>
      </c>
      <c r="E39" s="213"/>
      <c r="F39" s="213"/>
      <c r="G39" s="213"/>
      <c r="H39" s="214"/>
      <c r="I39" s="214"/>
      <c r="J39" s="632"/>
      <c r="K39" s="362"/>
      <c r="L39" s="369"/>
      <c r="M39" s="392"/>
      <c r="N39" s="215"/>
      <c r="O39" s="616">
        <f t="shared" si="1"/>
        <v>0</v>
      </c>
      <c r="P39" s="633"/>
      <c r="Q39" s="644" t="s">
        <v>1578</v>
      </c>
      <c r="R39" s="645">
        <f>P43</f>
        <v>440</v>
      </c>
      <c r="S39" s="7"/>
      <c r="T39" s="699"/>
      <c r="U39" s="7"/>
      <c r="V39" s="618">
        <f t="shared" si="3"/>
        <v>0</v>
      </c>
      <c r="W39" s="7"/>
      <c r="X39" s="7"/>
      <c r="Y39" s="7"/>
      <c r="Z39" s="7"/>
      <c r="AA39" s="7"/>
      <c r="AB39" s="7"/>
    </row>
    <row r="40" spans="1:28" ht="20.25" hidden="1" customHeight="1">
      <c r="A40" s="482"/>
      <c r="B40" s="483" t="s">
        <v>137</v>
      </c>
      <c r="C40" s="629" t="s">
        <v>138</v>
      </c>
      <c r="D40" s="485" t="s">
        <v>132</v>
      </c>
      <c r="E40" s="213"/>
      <c r="F40" s="213"/>
      <c r="G40" s="213"/>
      <c r="H40" s="214"/>
      <c r="I40" s="214"/>
      <c r="J40" s="632"/>
      <c r="K40" s="362"/>
      <c r="L40" s="369"/>
      <c r="M40" s="392"/>
      <c r="N40" s="215"/>
      <c r="O40" s="616">
        <f t="shared" si="1"/>
        <v>0</v>
      </c>
      <c r="P40" s="633"/>
      <c r="Q40" s="636"/>
      <c r="R40" s="636"/>
      <c r="S40" s="7"/>
      <c r="T40" s="699"/>
      <c r="U40" s="7"/>
      <c r="V40" s="618">
        <f t="shared" si="3"/>
        <v>0</v>
      </c>
      <c r="W40" s="7"/>
      <c r="X40" s="7"/>
      <c r="Y40" s="7"/>
      <c r="Z40" s="7"/>
      <c r="AA40" s="7"/>
      <c r="AB40" s="7"/>
    </row>
    <row r="41" spans="1:28" ht="20.25" hidden="1" customHeight="1">
      <c r="A41" s="482"/>
      <c r="B41" s="483" t="s">
        <v>139</v>
      </c>
      <c r="C41" s="629" t="s">
        <v>140</v>
      </c>
      <c r="D41" s="485" t="s">
        <v>132</v>
      </c>
      <c r="E41" s="213"/>
      <c r="F41" s="213"/>
      <c r="G41" s="213"/>
      <c r="H41" s="214"/>
      <c r="I41" s="214"/>
      <c r="J41" s="632"/>
      <c r="K41" s="362"/>
      <c r="L41" s="369"/>
      <c r="M41" s="392"/>
      <c r="N41" s="215"/>
      <c r="O41" s="616">
        <f t="shared" si="1"/>
        <v>0</v>
      </c>
      <c r="P41" s="633"/>
      <c r="Q41" s="636"/>
      <c r="R41" s="636"/>
      <c r="S41" s="7"/>
      <c r="T41" s="699"/>
      <c r="U41" s="7"/>
      <c r="V41" s="618">
        <f t="shared" si="3"/>
        <v>0</v>
      </c>
      <c r="W41" s="7"/>
      <c r="X41" s="7"/>
      <c r="Y41" s="7"/>
      <c r="Z41" s="7"/>
      <c r="AA41" s="7"/>
      <c r="AB41" s="7"/>
    </row>
    <row r="42" spans="1:28" ht="20.25" hidden="1" customHeight="1">
      <c r="A42" s="482"/>
      <c r="B42" s="483" t="s">
        <v>141</v>
      </c>
      <c r="C42" s="629" t="s">
        <v>142</v>
      </c>
      <c r="D42" s="485" t="s">
        <v>132</v>
      </c>
      <c r="E42" s="213"/>
      <c r="F42" s="213"/>
      <c r="G42" s="213"/>
      <c r="H42" s="214"/>
      <c r="I42" s="214"/>
      <c r="J42" s="632"/>
      <c r="K42" s="362"/>
      <c r="L42" s="369"/>
      <c r="M42" s="392"/>
      <c r="N42" s="215"/>
      <c r="O42" s="616">
        <f t="shared" si="1"/>
        <v>0</v>
      </c>
      <c r="P42" s="633"/>
      <c r="Q42" s="636"/>
      <c r="R42" s="636"/>
      <c r="S42" s="7"/>
      <c r="T42" s="699"/>
      <c r="U42" s="7"/>
      <c r="V42" s="618">
        <f t="shared" si="3"/>
        <v>0</v>
      </c>
      <c r="W42" s="7"/>
      <c r="X42" s="7"/>
      <c r="Y42" s="7"/>
      <c r="Z42" s="7"/>
      <c r="AA42" s="7"/>
      <c r="AB42" s="7"/>
    </row>
    <row r="43" spans="1:28" ht="20.25" customHeight="1">
      <c r="A43" s="482"/>
      <c r="B43" s="496" t="s">
        <v>143</v>
      </c>
      <c r="C43" s="555" t="s">
        <v>144</v>
      </c>
      <c r="D43" s="485" t="s">
        <v>132</v>
      </c>
      <c r="E43" s="213"/>
      <c r="F43" s="213"/>
      <c r="G43" s="213"/>
      <c r="H43" s="214"/>
      <c r="I43" s="214"/>
      <c r="J43" s="632">
        <v>15</v>
      </c>
      <c r="K43" s="303">
        <v>2</v>
      </c>
      <c r="L43" s="369"/>
      <c r="M43" s="392"/>
      <c r="N43" s="215"/>
      <c r="O43" s="616">
        <f t="shared" si="1"/>
        <v>17</v>
      </c>
      <c r="P43" s="633">
        <f>O43+O48+O53+O62</f>
        <v>440</v>
      </c>
      <c r="Q43" s="634"/>
      <c r="R43" s="634"/>
      <c r="S43" s="7"/>
      <c r="T43" s="699"/>
      <c r="U43" s="7"/>
      <c r="V43" s="618"/>
      <c r="W43" s="7"/>
      <c r="X43" s="618">
        <f>SUM(V43:V53)</f>
        <v>0</v>
      </c>
      <c r="Y43" s="7"/>
      <c r="Z43" s="7"/>
      <c r="AA43" s="7"/>
      <c r="AB43" s="7"/>
    </row>
    <row r="44" spans="1:28" ht="20.25" hidden="1" customHeight="1">
      <c r="A44" s="482"/>
      <c r="B44" s="483" t="s">
        <v>147</v>
      </c>
      <c r="C44" s="629" t="s">
        <v>136</v>
      </c>
      <c r="D44" s="485" t="s">
        <v>132</v>
      </c>
      <c r="E44" s="213"/>
      <c r="F44" s="213"/>
      <c r="G44" s="213"/>
      <c r="H44" s="214"/>
      <c r="I44" s="214"/>
      <c r="J44" s="632"/>
      <c r="K44" s="303"/>
      <c r="L44" s="369"/>
      <c r="M44" s="392"/>
      <c r="N44" s="215"/>
      <c r="O44" s="616">
        <f t="shared" si="1"/>
        <v>0</v>
      </c>
      <c r="P44" s="633"/>
      <c r="Q44" s="634"/>
      <c r="R44" s="634"/>
      <c r="S44" s="7"/>
      <c r="T44" s="699"/>
      <c r="U44" s="7"/>
      <c r="V44" s="618"/>
      <c r="W44" s="7"/>
      <c r="X44" s="7"/>
      <c r="Y44" s="7"/>
      <c r="Z44" s="7"/>
      <c r="AA44" s="7"/>
      <c r="AB44" s="7"/>
    </row>
    <row r="45" spans="1:28" ht="20.25" hidden="1" customHeight="1">
      <c r="A45" s="482"/>
      <c r="B45" s="483" t="s">
        <v>148</v>
      </c>
      <c r="C45" s="629" t="s">
        <v>138</v>
      </c>
      <c r="D45" s="485" t="s">
        <v>132</v>
      </c>
      <c r="E45" s="213"/>
      <c r="F45" s="213"/>
      <c r="G45" s="213"/>
      <c r="H45" s="214"/>
      <c r="I45" s="214"/>
      <c r="J45" s="632"/>
      <c r="K45" s="303"/>
      <c r="L45" s="369"/>
      <c r="M45" s="392"/>
      <c r="N45" s="215"/>
      <c r="O45" s="616">
        <f t="shared" si="1"/>
        <v>0</v>
      </c>
      <c r="P45" s="633"/>
      <c r="Q45" s="634"/>
      <c r="R45" s="634"/>
      <c r="S45" s="7"/>
      <c r="T45" s="699"/>
      <c r="U45" s="7"/>
      <c r="V45" s="618"/>
      <c r="W45" s="7"/>
      <c r="X45" s="7"/>
      <c r="Y45" s="7"/>
      <c r="Z45" s="7"/>
      <c r="AA45" s="7"/>
      <c r="AB45" s="7"/>
    </row>
    <row r="46" spans="1:28" ht="20.25" hidden="1" customHeight="1">
      <c r="A46" s="482"/>
      <c r="B46" s="483" t="s">
        <v>149</v>
      </c>
      <c r="C46" s="629" t="s">
        <v>140</v>
      </c>
      <c r="D46" s="485" t="s">
        <v>132</v>
      </c>
      <c r="E46" s="213"/>
      <c r="F46" s="213"/>
      <c r="G46" s="213"/>
      <c r="H46" s="214"/>
      <c r="I46" s="214"/>
      <c r="J46" s="632"/>
      <c r="K46" s="303"/>
      <c r="L46" s="369"/>
      <c r="M46" s="392"/>
      <c r="N46" s="215"/>
      <c r="O46" s="616">
        <f t="shared" si="1"/>
        <v>0</v>
      </c>
      <c r="P46" s="633"/>
      <c r="Q46" s="634"/>
      <c r="R46" s="634"/>
      <c r="S46" s="7"/>
      <c r="T46" s="699"/>
      <c r="U46" s="7"/>
      <c r="V46" s="618"/>
      <c r="W46" s="7"/>
      <c r="X46" s="7"/>
      <c r="Y46" s="7"/>
      <c r="Z46" s="7"/>
      <c r="AA46" s="7"/>
      <c r="AB46" s="7"/>
    </row>
    <row r="47" spans="1:28" ht="20.25" hidden="1" customHeight="1">
      <c r="A47" s="482"/>
      <c r="B47" s="483" t="s">
        <v>150</v>
      </c>
      <c r="C47" s="629" t="s">
        <v>142</v>
      </c>
      <c r="D47" s="485" t="s">
        <v>132</v>
      </c>
      <c r="E47" s="213"/>
      <c r="F47" s="213"/>
      <c r="G47" s="213"/>
      <c r="H47" s="214"/>
      <c r="I47" s="214"/>
      <c r="J47" s="632"/>
      <c r="K47" s="303"/>
      <c r="L47" s="369"/>
      <c r="M47" s="392"/>
      <c r="N47" s="215"/>
      <c r="O47" s="616">
        <f t="shared" si="1"/>
        <v>0</v>
      </c>
      <c r="P47" s="633"/>
      <c r="Q47" s="634"/>
      <c r="R47" s="634"/>
      <c r="S47" s="7"/>
      <c r="T47" s="699"/>
      <c r="U47" s="7"/>
      <c r="V47" s="618"/>
      <c r="W47" s="7"/>
      <c r="X47" s="7"/>
      <c r="Y47" s="7"/>
      <c r="Z47" s="7"/>
      <c r="AA47" s="7"/>
      <c r="AB47" s="7"/>
    </row>
    <row r="48" spans="1:28" ht="20.25" customHeight="1">
      <c r="A48" s="482"/>
      <c r="B48" s="496" t="s">
        <v>151</v>
      </c>
      <c r="C48" s="555" t="s">
        <v>152</v>
      </c>
      <c r="D48" s="485" t="s">
        <v>132</v>
      </c>
      <c r="E48" s="213"/>
      <c r="F48" s="213">
        <v>20</v>
      </c>
      <c r="G48" s="213"/>
      <c r="H48" s="214"/>
      <c r="I48" s="214"/>
      <c r="J48" s="632"/>
      <c r="K48" s="309">
        <v>35</v>
      </c>
      <c r="L48" s="369"/>
      <c r="M48" s="392"/>
      <c r="N48" s="215"/>
      <c r="O48" s="616">
        <f t="shared" si="1"/>
        <v>55</v>
      </c>
      <c r="P48" s="633"/>
      <c r="Q48" s="634"/>
      <c r="R48" s="634"/>
      <c r="S48" s="7"/>
      <c r="T48" s="699">
        <v>5</v>
      </c>
      <c r="U48" s="7"/>
      <c r="V48" s="618"/>
      <c r="W48" s="7"/>
      <c r="X48" s="7"/>
      <c r="Y48" s="7"/>
      <c r="Z48" s="7"/>
      <c r="AA48" s="7"/>
      <c r="AB48" s="7"/>
    </row>
    <row r="49" spans="1:28" ht="20.25" hidden="1" customHeight="1">
      <c r="A49" s="482"/>
      <c r="B49" s="483" t="s">
        <v>154</v>
      </c>
      <c r="C49" s="629" t="s">
        <v>136</v>
      </c>
      <c r="D49" s="485" t="s">
        <v>132</v>
      </c>
      <c r="E49" s="213"/>
      <c r="F49" s="213"/>
      <c r="G49" s="213"/>
      <c r="H49" s="214"/>
      <c r="I49" s="214"/>
      <c r="J49" s="632"/>
      <c r="K49" s="303"/>
      <c r="L49" s="369"/>
      <c r="M49" s="392"/>
      <c r="N49" s="215"/>
      <c r="O49" s="616">
        <f t="shared" si="1"/>
        <v>0</v>
      </c>
      <c r="P49" s="633"/>
      <c r="Q49" s="634"/>
      <c r="R49" s="634"/>
      <c r="S49" s="7"/>
      <c r="T49" s="699"/>
      <c r="U49" s="7"/>
      <c r="V49" s="618"/>
      <c r="W49" s="7"/>
      <c r="X49" s="7"/>
      <c r="Y49" s="7"/>
      <c r="Z49" s="7"/>
      <c r="AA49" s="7"/>
      <c r="AB49" s="7"/>
    </row>
    <row r="50" spans="1:28" ht="20.25" hidden="1" customHeight="1">
      <c r="A50" s="482"/>
      <c r="B50" s="483" t="s">
        <v>155</v>
      </c>
      <c r="C50" s="629" t="s">
        <v>138</v>
      </c>
      <c r="D50" s="485" t="s">
        <v>132</v>
      </c>
      <c r="E50" s="213"/>
      <c r="F50" s="213"/>
      <c r="G50" s="213"/>
      <c r="H50" s="214"/>
      <c r="I50" s="214"/>
      <c r="J50" s="632"/>
      <c r="K50" s="303"/>
      <c r="L50" s="369"/>
      <c r="M50" s="392"/>
      <c r="N50" s="215"/>
      <c r="O50" s="616">
        <f t="shared" si="1"/>
        <v>0</v>
      </c>
      <c r="P50" s="633"/>
      <c r="Q50" s="634"/>
      <c r="R50" s="634"/>
      <c r="S50" s="7"/>
      <c r="T50" s="699"/>
      <c r="U50" s="7"/>
      <c r="V50" s="618"/>
      <c r="W50" s="7"/>
      <c r="X50" s="7"/>
      <c r="Y50" s="7"/>
      <c r="Z50" s="7"/>
      <c r="AA50" s="7"/>
      <c r="AB50" s="7"/>
    </row>
    <row r="51" spans="1:28" ht="20.25" hidden="1" customHeight="1">
      <c r="A51" s="482"/>
      <c r="B51" s="483" t="s">
        <v>156</v>
      </c>
      <c r="C51" s="629" t="s">
        <v>140</v>
      </c>
      <c r="D51" s="485" t="s">
        <v>132</v>
      </c>
      <c r="E51" s="213"/>
      <c r="F51" s="213"/>
      <c r="G51" s="213"/>
      <c r="H51" s="214"/>
      <c r="I51" s="214"/>
      <c r="J51" s="632"/>
      <c r="K51" s="303"/>
      <c r="L51" s="369"/>
      <c r="M51" s="392"/>
      <c r="N51" s="215"/>
      <c r="O51" s="616">
        <f t="shared" si="1"/>
        <v>0</v>
      </c>
      <c r="P51" s="633"/>
      <c r="Q51" s="634"/>
      <c r="R51" s="634"/>
      <c r="S51" s="7"/>
      <c r="T51" s="699"/>
      <c r="U51" s="7"/>
      <c r="V51" s="618"/>
      <c r="W51" s="7"/>
      <c r="X51" s="7"/>
      <c r="Y51" s="7"/>
      <c r="Z51" s="7"/>
      <c r="AA51" s="7"/>
      <c r="AB51" s="7"/>
    </row>
    <row r="52" spans="1:28" ht="20.25" hidden="1" customHeight="1">
      <c r="A52" s="482"/>
      <c r="B52" s="483" t="s">
        <v>157</v>
      </c>
      <c r="C52" s="629" t="s">
        <v>142</v>
      </c>
      <c r="D52" s="485" t="s">
        <v>132</v>
      </c>
      <c r="E52" s="213"/>
      <c r="F52" s="213"/>
      <c r="G52" s="213"/>
      <c r="H52" s="214"/>
      <c r="I52" s="214"/>
      <c r="J52" s="632"/>
      <c r="K52" s="303"/>
      <c r="L52" s="369"/>
      <c r="M52" s="392"/>
      <c r="N52" s="215"/>
      <c r="O52" s="616">
        <f t="shared" si="1"/>
        <v>0</v>
      </c>
      <c r="P52" s="633"/>
      <c r="Q52" s="634"/>
      <c r="R52" s="634"/>
      <c r="S52" s="7"/>
      <c r="T52" s="699"/>
      <c r="U52" s="7"/>
      <c r="V52" s="618"/>
      <c r="W52" s="7"/>
      <c r="X52" s="7"/>
      <c r="Y52" s="7"/>
      <c r="Z52" s="7"/>
      <c r="AA52" s="7"/>
      <c r="AB52" s="7"/>
    </row>
    <row r="53" spans="1:28" ht="20.25" customHeight="1">
      <c r="A53" s="482"/>
      <c r="B53" s="483" t="s">
        <v>158</v>
      </c>
      <c r="C53" s="555" t="s">
        <v>159</v>
      </c>
      <c r="D53" s="485" t="s">
        <v>132</v>
      </c>
      <c r="E53" s="213"/>
      <c r="F53" s="213"/>
      <c r="G53" s="213"/>
      <c r="H53" s="214"/>
      <c r="I53" s="214"/>
      <c r="J53" s="632">
        <v>1</v>
      </c>
      <c r="K53" s="303">
        <v>214</v>
      </c>
      <c r="L53" s="369"/>
      <c r="M53" s="392">
        <v>12</v>
      </c>
      <c r="N53" s="215"/>
      <c r="O53" s="616">
        <f t="shared" si="1"/>
        <v>227</v>
      </c>
      <c r="P53" s="633"/>
      <c r="Q53" s="634"/>
      <c r="R53" s="634"/>
      <c r="S53" s="7"/>
      <c r="T53" s="699">
        <v>42</v>
      </c>
      <c r="U53" s="7"/>
      <c r="V53" s="618"/>
      <c r="W53" s="7"/>
      <c r="X53" s="7"/>
      <c r="Y53" s="7"/>
      <c r="Z53" s="7"/>
      <c r="AA53" s="7"/>
      <c r="AB53" s="7"/>
    </row>
    <row r="54" spans="1:28" ht="20.25" hidden="1" customHeight="1">
      <c r="A54" s="482"/>
      <c r="B54" s="483" t="s">
        <v>161</v>
      </c>
      <c r="C54" s="629" t="s">
        <v>136</v>
      </c>
      <c r="D54" s="485" t="s">
        <v>132</v>
      </c>
      <c r="E54" s="213"/>
      <c r="F54" s="213"/>
      <c r="G54" s="213"/>
      <c r="H54" s="214"/>
      <c r="I54" s="214"/>
      <c r="J54" s="632"/>
      <c r="K54" s="362"/>
      <c r="L54" s="369"/>
      <c r="M54" s="392"/>
      <c r="N54" s="215"/>
      <c r="O54" s="616">
        <f t="shared" si="1"/>
        <v>0</v>
      </c>
      <c r="P54" s="633"/>
      <c r="Q54" s="634"/>
      <c r="R54" s="634"/>
      <c r="S54" s="7"/>
      <c r="T54" s="699"/>
      <c r="U54" s="7"/>
      <c r="V54" s="618"/>
      <c r="W54" s="7"/>
      <c r="X54" s="7"/>
      <c r="Y54" s="7"/>
      <c r="Z54" s="7"/>
      <c r="AA54" s="7"/>
      <c r="AB54" s="7"/>
    </row>
    <row r="55" spans="1:28" ht="20.25" hidden="1" customHeight="1">
      <c r="A55" s="482"/>
      <c r="B55" s="483" t="s">
        <v>162</v>
      </c>
      <c r="C55" s="629" t="s">
        <v>138</v>
      </c>
      <c r="D55" s="485" t="s">
        <v>132</v>
      </c>
      <c r="E55" s="213"/>
      <c r="F55" s="213"/>
      <c r="G55" s="213"/>
      <c r="H55" s="214"/>
      <c r="I55" s="214"/>
      <c r="J55" s="632"/>
      <c r="K55" s="362"/>
      <c r="L55" s="369"/>
      <c r="M55" s="392"/>
      <c r="N55" s="215"/>
      <c r="O55" s="616">
        <f t="shared" si="1"/>
        <v>0</v>
      </c>
      <c r="P55" s="633"/>
      <c r="Q55" s="634"/>
      <c r="R55" s="634"/>
      <c r="S55" s="7"/>
      <c r="T55" s="699"/>
      <c r="U55" s="7"/>
      <c r="V55" s="618"/>
      <c r="W55" s="7"/>
      <c r="X55" s="7"/>
      <c r="Y55" s="7"/>
      <c r="Z55" s="7"/>
      <c r="AA55" s="7"/>
      <c r="AB55" s="7"/>
    </row>
    <row r="56" spans="1:28" ht="20.25" hidden="1" customHeight="1">
      <c r="A56" s="482"/>
      <c r="B56" s="483" t="s">
        <v>163</v>
      </c>
      <c r="C56" s="629" t="s">
        <v>140</v>
      </c>
      <c r="D56" s="485" t="s">
        <v>132</v>
      </c>
      <c r="E56" s="213"/>
      <c r="F56" s="213"/>
      <c r="G56" s="213"/>
      <c r="H56" s="214"/>
      <c r="I56" s="214"/>
      <c r="J56" s="632"/>
      <c r="K56" s="362"/>
      <c r="L56" s="369"/>
      <c r="M56" s="392"/>
      <c r="N56" s="215"/>
      <c r="O56" s="616">
        <f t="shared" si="1"/>
        <v>0</v>
      </c>
      <c r="P56" s="633"/>
      <c r="Q56" s="634"/>
      <c r="R56" s="634"/>
      <c r="S56" s="7"/>
      <c r="T56" s="699"/>
      <c r="U56" s="7"/>
      <c r="V56" s="618"/>
      <c r="W56" s="7"/>
      <c r="X56" s="7"/>
      <c r="Y56" s="7"/>
      <c r="Z56" s="7"/>
      <c r="AA56" s="7"/>
      <c r="AB56" s="7"/>
    </row>
    <row r="57" spans="1:28" ht="20.25" hidden="1" customHeight="1">
      <c r="A57" s="482"/>
      <c r="B57" s="483" t="s">
        <v>164</v>
      </c>
      <c r="C57" s="629" t="s">
        <v>142</v>
      </c>
      <c r="D57" s="485" t="s">
        <v>132</v>
      </c>
      <c r="E57" s="213"/>
      <c r="F57" s="213"/>
      <c r="G57" s="213"/>
      <c r="H57" s="214"/>
      <c r="I57" s="214"/>
      <c r="J57" s="632"/>
      <c r="K57" s="362"/>
      <c r="L57" s="369"/>
      <c r="M57" s="392"/>
      <c r="N57" s="215"/>
      <c r="O57" s="616">
        <f t="shared" si="1"/>
        <v>0</v>
      </c>
      <c r="P57" s="633"/>
      <c r="Q57" s="634"/>
      <c r="R57" s="634"/>
      <c r="S57" s="7"/>
      <c r="T57" s="699"/>
      <c r="U57" s="7"/>
      <c r="V57" s="618"/>
      <c r="W57" s="7"/>
      <c r="X57" s="7"/>
      <c r="Y57" s="7"/>
      <c r="Z57" s="7"/>
      <c r="AA57" s="7"/>
      <c r="AB57" s="7"/>
    </row>
    <row r="58" spans="1:28" ht="20.25" customHeight="1">
      <c r="A58" s="482"/>
      <c r="B58" s="496" t="s">
        <v>165</v>
      </c>
      <c r="C58" s="555" t="s">
        <v>166</v>
      </c>
      <c r="D58" s="485" t="s">
        <v>132</v>
      </c>
      <c r="E58" s="219"/>
      <c r="F58" s="219"/>
      <c r="G58" s="219"/>
      <c r="H58" s="374"/>
      <c r="I58" s="214"/>
      <c r="J58" s="632">
        <v>820</v>
      </c>
      <c r="K58" s="362">
        <v>1</v>
      </c>
      <c r="L58" s="369"/>
      <c r="M58" s="392">
        <v>3320</v>
      </c>
      <c r="N58" s="215"/>
      <c r="O58" s="616">
        <f t="shared" si="1"/>
        <v>4141</v>
      </c>
      <c r="P58" s="633"/>
      <c r="Q58" s="634"/>
      <c r="R58" s="634"/>
      <c r="S58" s="7"/>
      <c r="T58" s="699">
        <v>69</v>
      </c>
      <c r="U58" s="7"/>
      <c r="V58" s="618"/>
      <c r="W58" s="7"/>
      <c r="X58" s="7"/>
      <c r="Y58" s="7"/>
      <c r="Z58" s="7"/>
      <c r="AA58" s="7"/>
      <c r="AB58" s="7"/>
    </row>
    <row r="59" spans="1:28" ht="20.25" hidden="1" customHeight="1">
      <c r="A59" s="503" t="s">
        <v>168</v>
      </c>
      <c r="B59" s="483" t="s">
        <v>169</v>
      </c>
      <c r="C59" s="629" t="s">
        <v>170</v>
      </c>
      <c r="D59" s="504" t="s">
        <v>171</v>
      </c>
      <c r="E59" s="213"/>
      <c r="F59" s="213"/>
      <c r="G59" s="213"/>
      <c r="H59" s="214"/>
      <c r="I59" s="214"/>
      <c r="J59" s="632"/>
      <c r="K59" s="362"/>
      <c r="L59" s="369"/>
      <c r="M59" s="392"/>
      <c r="N59" s="215"/>
      <c r="O59" s="616">
        <f t="shared" si="1"/>
        <v>0</v>
      </c>
      <c r="P59" s="633"/>
      <c r="Q59" s="648"/>
      <c r="R59" s="648"/>
      <c r="S59" s="7"/>
      <c r="T59" s="699"/>
      <c r="U59" s="7"/>
      <c r="V59" s="618">
        <f t="shared" ref="V59:V61" si="4">T59-O59</f>
        <v>0</v>
      </c>
      <c r="W59" s="7"/>
      <c r="X59" s="7"/>
      <c r="Y59" s="7"/>
      <c r="Z59" s="7"/>
      <c r="AA59" s="7"/>
      <c r="AB59" s="7"/>
    </row>
    <row r="60" spans="1:28" ht="20.25" hidden="1" customHeight="1">
      <c r="A60" s="503" t="s">
        <v>172</v>
      </c>
      <c r="B60" s="483" t="s">
        <v>173</v>
      </c>
      <c r="C60" s="629" t="s">
        <v>174</v>
      </c>
      <c r="D60" s="504" t="s">
        <v>171</v>
      </c>
      <c r="E60" s="213"/>
      <c r="F60" s="213"/>
      <c r="G60" s="213"/>
      <c r="H60" s="214"/>
      <c r="I60" s="214"/>
      <c r="J60" s="632"/>
      <c r="K60" s="362"/>
      <c r="L60" s="369"/>
      <c r="M60" s="392"/>
      <c r="N60" s="215"/>
      <c r="O60" s="616">
        <f t="shared" si="1"/>
        <v>0</v>
      </c>
      <c r="P60" s="633"/>
      <c r="Q60" s="648"/>
      <c r="R60" s="648"/>
      <c r="S60" s="7"/>
      <c r="T60" s="699"/>
      <c r="U60" s="7"/>
      <c r="V60" s="618">
        <f t="shared" si="4"/>
        <v>0</v>
      </c>
      <c r="W60" s="7"/>
      <c r="X60" s="7"/>
      <c r="Y60" s="7"/>
      <c r="Z60" s="7"/>
      <c r="AA60" s="7"/>
      <c r="AB60" s="7"/>
    </row>
    <row r="61" spans="1:28" ht="20.25" hidden="1" customHeight="1">
      <c r="A61" s="503" t="s">
        <v>175</v>
      </c>
      <c r="B61" s="483" t="s">
        <v>176</v>
      </c>
      <c r="C61" s="629" t="s">
        <v>177</v>
      </c>
      <c r="D61" s="504" t="s">
        <v>171</v>
      </c>
      <c r="E61" s="213"/>
      <c r="F61" s="213"/>
      <c r="G61" s="213"/>
      <c r="H61" s="214"/>
      <c r="I61" s="214"/>
      <c r="J61" s="632"/>
      <c r="K61" s="362"/>
      <c r="L61" s="369"/>
      <c r="M61" s="392"/>
      <c r="N61" s="215"/>
      <c r="O61" s="616">
        <f t="shared" si="1"/>
        <v>0</v>
      </c>
      <c r="P61" s="633"/>
      <c r="Q61" s="648"/>
      <c r="R61" s="648"/>
      <c r="S61" s="7"/>
      <c r="T61" s="699"/>
      <c r="U61" s="7"/>
      <c r="V61" s="618">
        <f t="shared" si="4"/>
        <v>0</v>
      </c>
      <c r="W61" s="7"/>
      <c r="X61" s="7"/>
      <c r="Y61" s="7"/>
      <c r="Z61" s="7"/>
      <c r="AA61" s="7"/>
      <c r="AB61" s="7"/>
    </row>
    <row r="62" spans="1:28" ht="20.25" customHeight="1">
      <c r="A62" s="486">
        <v>2.6</v>
      </c>
      <c r="B62" s="487" t="s">
        <v>178</v>
      </c>
      <c r="C62" s="555" t="s">
        <v>179</v>
      </c>
      <c r="D62" s="412" t="s">
        <v>132</v>
      </c>
      <c r="E62" s="213"/>
      <c r="F62" s="213"/>
      <c r="G62" s="213"/>
      <c r="H62" s="214"/>
      <c r="I62" s="214"/>
      <c r="J62" s="632"/>
      <c r="K62" s="362"/>
      <c r="L62" s="369"/>
      <c r="M62" s="392">
        <v>141</v>
      </c>
      <c r="N62" s="215"/>
      <c r="O62" s="616">
        <f t="shared" si="1"/>
        <v>141</v>
      </c>
      <c r="P62" s="633"/>
      <c r="Q62" s="636"/>
      <c r="R62" s="636"/>
      <c r="S62" s="7"/>
      <c r="T62" s="699">
        <v>13</v>
      </c>
      <c r="U62" s="7"/>
      <c r="V62" s="618"/>
      <c r="W62" s="7"/>
      <c r="X62" s="7"/>
      <c r="Y62" s="7"/>
      <c r="Z62" s="7"/>
      <c r="AA62" s="7"/>
      <c r="AB62" s="7"/>
    </row>
    <row r="63" spans="1:28" ht="20.25" customHeight="1">
      <c r="A63" s="486">
        <v>2.7</v>
      </c>
      <c r="B63" s="487" t="s">
        <v>181</v>
      </c>
      <c r="C63" s="635" t="s">
        <v>182</v>
      </c>
      <c r="D63" s="491" t="s">
        <v>183</v>
      </c>
      <c r="E63" s="213"/>
      <c r="F63" s="213"/>
      <c r="G63" s="213"/>
      <c r="H63" s="214"/>
      <c r="I63" s="214"/>
      <c r="J63" s="632"/>
      <c r="K63" s="362"/>
      <c r="L63" s="369"/>
      <c r="M63" s="392">
        <v>2093</v>
      </c>
      <c r="N63" s="215"/>
      <c r="O63" s="616">
        <f t="shared" si="1"/>
        <v>2093</v>
      </c>
      <c r="P63" s="633"/>
      <c r="Q63" s="636"/>
      <c r="R63" s="636"/>
      <c r="S63" s="7"/>
      <c r="T63" s="699"/>
      <c r="U63" s="7"/>
      <c r="V63" s="618">
        <f t="shared" ref="V63:V64" si="5">T63-O63</f>
        <v>-2093</v>
      </c>
      <c r="W63" s="7"/>
      <c r="X63" s="7"/>
      <c r="Y63" s="7"/>
      <c r="Z63" s="7"/>
      <c r="AA63" s="7"/>
      <c r="AB63" s="7"/>
    </row>
    <row r="64" spans="1:28" ht="24.75" customHeight="1">
      <c r="A64" s="489">
        <v>3</v>
      </c>
      <c r="B64" s="490" t="s">
        <v>187</v>
      </c>
      <c r="C64" s="637" t="s">
        <v>188</v>
      </c>
      <c r="D64" s="491" t="s">
        <v>183</v>
      </c>
      <c r="E64" s="213"/>
      <c r="F64" s="213"/>
      <c r="G64" s="213"/>
      <c r="H64" s="214"/>
      <c r="I64" s="214"/>
      <c r="J64" s="632"/>
      <c r="K64" s="362"/>
      <c r="L64" s="369"/>
      <c r="M64" s="392"/>
      <c r="N64" s="215"/>
      <c r="O64" s="616">
        <f t="shared" si="1"/>
        <v>0</v>
      </c>
      <c r="P64" s="633"/>
      <c r="Q64" s="640"/>
      <c r="R64" s="640"/>
      <c r="S64" s="7"/>
      <c r="T64" s="699"/>
      <c r="U64" s="7"/>
      <c r="V64" s="618">
        <f t="shared" si="5"/>
        <v>0</v>
      </c>
      <c r="W64" s="7"/>
      <c r="X64" s="7"/>
      <c r="Y64" s="7"/>
      <c r="Z64" s="7"/>
      <c r="AA64" s="7"/>
      <c r="AB64" s="7"/>
    </row>
    <row r="65" spans="1:28" ht="15.75" customHeight="1">
      <c r="A65" s="486">
        <v>3.1</v>
      </c>
      <c r="B65" s="487" t="s">
        <v>192</v>
      </c>
      <c r="C65" s="635" t="s">
        <v>193</v>
      </c>
      <c r="D65" s="412" t="s">
        <v>194</v>
      </c>
      <c r="E65" s="213"/>
      <c r="F65" s="213"/>
      <c r="G65" s="213"/>
      <c r="H65" s="214"/>
      <c r="I65" s="214"/>
      <c r="J65" s="632"/>
      <c r="K65" s="362">
        <v>1</v>
      </c>
      <c r="L65" s="369"/>
      <c r="M65" s="392">
        <v>31</v>
      </c>
      <c r="N65" s="215"/>
      <c r="O65" s="616">
        <f t="shared" si="1"/>
        <v>32</v>
      </c>
      <c r="P65" s="633"/>
      <c r="Q65" s="636"/>
      <c r="R65" s="636"/>
      <c r="S65" s="7"/>
      <c r="T65" s="699">
        <v>5</v>
      </c>
      <c r="U65" s="7"/>
      <c r="V65" s="618"/>
      <c r="W65" s="7"/>
      <c r="X65" s="7"/>
      <c r="Y65" s="7"/>
      <c r="Z65" s="7"/>
      <c r="AA65" s="7"/>
      <c r="AB65" s="7"/>
    </row>
    <row r="66" spans="1:28" ht="15.75" customHeight="1">
      <c r="A66" s="486">
        <v>3.2</v>
      </c>
      <c r="B66" s="505" t="s">
        <v>190</v>
      </c>
      <c r="C66" s="635" t="s">
        <v>191</v>
      </c>
      <c r="D66" s="412" t="s">
        <v>132</v>
      </c>
      <c r="E66" s="213"/>
      <c r="F66" s="213"/>
      <c r="G66" s="213"/>
      <c r="H66" s="214"/>
      <c r="I66" s="214"/>
      <c r="J66" s="632"/>
      <c r="K66" s="362"/>
      <c r="L66" s="369"/>
      <c r="M66" s="392">
        <v>5</v>
      </c>
      <c r="N66" s="215"/>
      <c r="O66" s="616">
        <f t="shared" si="1"/>
        <v>5</v>
      </c>
      <c r="P66" s="633"/>
      <c r="Q66" s="636"/>
      <c r="R66" s="636"/>
      <c r="S66" s="7"/>
      <c r="T66" s="699">
        <v>2</v>
      </c>
      <c r="U66" s="7"/>
      <c r="V66" s="618"/>
      <c r="W66" s="7"/>
      <c r="X66" s="7"/>
      <c r="Y66" s="7"/>
      <c r="Z66" s="7"/>
      <c r="AA66" s="7"/>
      <c r="AB66" s="7"/>
    </row>
    <row r="67" spans="1:28" ht="20.25" customHeight="1">
      <c r="A67" s="482" t="s">
        <v>196</v>
      </c>
      <c r="B67" s="483" t="s">
        <v>197</v>
      </c>
      <c r="C67" s="629" t="s">
        <v>131</v>
      </c>
      <c r="D67" s="485" t="s">
        <v>132</v>
      </c>
      <c r="E67" s="213"/>
      <c r="F67" s="213"/>
      <c r="G67" s="213"/>
      <c r="H67" s="214"/>
      <c r="I67" s="214"/>
      <c r="J67" s="632"/>
      <c r="K67" s="362"/>
      <c r="L67" s="369"/>
      <c r="M67" s="392"/>
      <c r="N67" s="215"/>
      <c r="O67" s="616">
        <f t="shared" si="1"/>
        <v>0</v>
      </c>
      <c r="P67" s="633"/>
      <c r="Q67" s="634"/>
      <c r="R67" s="634"/>
      <c r="S67" s="7"/>
      <c r="T67" s="699"/>
      <c r="U67" s="7"/>
      <c r="V67" s="618">
        <f t="shared" ref="V67:V90" si="6">T67-O67</f>
        <v>0</v>
      </c>
      <c r="W67" s="7"/>
      <c r="X67" s="7"/>
      <c r="Y67" s="7"/>
      <c r="Z67" s="7"/>
      <c r="AA67" s="7"/>
      <c r="AB67" s="7"/>
    </row>
    <row r="68" spans="1:28" ht="20.25" customHeight="1">
      <c r="A68" s="482" t="s">
        <v>198</v>
      </c>
      <c r="B68" s="483" t="s">
        <v>199</v>
      </c>
      <c r="C68" s="629" t="s">
        <v>200</v>
      </c>
      <c r="D68" s="485" t="s">
        <v>132</v>
      </c>
      <c r="E68" s="213"/>
      <c r="F68" s="213"/>
      <c r="G68" s="213"/>
      <c r="H68" s="214"/>
      <c r="I68" s="214"/>
      <c r="J68" s="632"/>
      <c r="K68" s="362"/>
      <c r="L68" s="369"/>
      <c r="M68" s="392"/>
      <c r="N68" s="215"/>
      <c r="O68" s="616">
        <f t="shared" si="1"/>
        <v>0</v>
      </c>
      <c r="P68" s="633"/>
      <c r="Q68" s="634"/>
      <c r="R68" s="634"/>
      <c r="S68" s="7"/>
      <c r="T68" s="699"/>
      <c r="U68" s="7"/>
      <c r="V68" s="618">
        <f t="shared" si="6"/>
        <v>0</v>
      </c>
      <c r="W68" s="7"/>
      <c r="X68" s="7"/>
      <c r="Y68" s="7"/>
      <c r="Z68" s="7"/>
      <c r="AA68" s="7"/>
      <c r="AB68" s="7"/>
    </row>
    <row r="69" spans="1:28" ht="20.25" customHeight="1">
      <c r="A69" s="482" t="s">
        <v>201</v>
      </c>
      <c r="B69" s="483" t="s">
        <v>202</v>
      </c>
      <c r="C69" s="629" t="s">
        <v>203</v>
      </c>
      <c r="D69" s="485" t="s">
        <v>132</v>
      </c>
      <c r="E69" s="213"/>
      <c r="F69" s="213"/>
      <c r="G69" s="213"/>
      <c r="H69" s="214"/>
      <c r="I69" s="214"/>
      <c r="J69" s="632"/>
      <c r="K69" s="362"/>
      <c r="L69" s="369"/>
      <c r="M69" s="392"/>
      <c r="N69" s="215"/>
      <c r="O69" s="616">
        <f t="shared" si="1"/>
        <v>0</v>
      </c>
      <c r="P69" s="633"/>
      <c r="Q69" s="634"/>
      <c r="R69" s="634"/>
      <c r="S69" s="7"/>
      <c r="T69" s="699"/>
      <c r="U69" s="7"/>
      <c r="V69" s="618">
        <f t="shared" si="6"/>
        <v>0</v>
      </c>
      <c r="W69" s="7"/>
      <c r="X69" s="7"/>
      <c r="Y69" s="7"/>
      <c r="Z69" s="7"/>
      <c r="AA69" s="7"/>
      <c r="AB69" s="7"/>
    </row>
    <row r="70" spans="1:28" ht="20.25" customHeight="1">
      <c r="A70" s="482" t="s">
        <v>204</v>
      </c>
      <c r="B70" s="483" t="s">
        <v>205</v>
      </c>
      <c r="C70" s="629" t="s">
        <v>159</v>
      </c>
      <c r="D70" s="485" t="s">
        <v>132</v>
      </c>
      <c r="E70" s="213"/>
      <c r="F70" s="213"/>
      <c r="G70" s="213"/>
      <c r="H70" s="214"/>
      <c r="I70" s="214"/>
      <c r="J70" s="632"/>
      <c r="K70" s="362"/>
      <c r="L70" s="369"/>
      <c r="M70" s="392"/>
      <c r="N70" s="215"/>
      <c r="O70" s="616">
        <f t="shared" si="1"/>
        <v>0</v>
      </c>
      <c r="P70" s="633"/>
      <c r="Q70" s="634"/>
      <c r="R70" s="634"/>
      <c r="S70" s="7"/>
      <c r="T70" s="699"/>
      <c r="U70" s="7"/>
      <c r="V70" s="618">
        <f t="shared" si="6"/>
        <v>0</v>
      </c>
      <c r="W70" s="7"/>
      <c r="X70" s="7"/>
      <c r="Y70" s="7"/>
      <c r="Z70" s="7"/>
      <c r="AA70" s="7"/>
      <c r="AB70" s="7"/>
    </row>
    <row r="71" spans="1:28" ht="15.75" customHeight="1">
      <c r="A71" s="486">
        <v>3.3</v>
      </c>
      <c r="B71" s="487" t="s">
        <v>206</v>
      </c>
      <c r="C71" s="635" t="s">
        <v>207</v>
      </c>
      <c r="D71" s="412" t="s">
        <v>132</v>
      </c>
      <c r="E71" s="213"/>
      <c r="F71" s="213"/>
      <c r="G71" s="213"/>
      <c r="H71" s="214"/>
      <c r="I71" s="214"/>
      <c r="J71" s="632"/>
      <c r="K71" s="362"/>
      <c r="L71" s="369"/>
      <c r="M71" s="392"/>
      <c r="N71" s="215"/>
      <c r="O71" s="616">
        <f t="shared" si="1"/>
        <v>0</v>
      </c>
      <c r="P71" s="633"/>
      <c r="Q71" s="636"/>
      <c r="R71" s="636"/>
      <c r="S71" s="7"/>
      <c r="T71" s="699"/>
      <c r="U71" s="7"/>
      <c r="V71" s="618">
        <f t="shared" si="6"/>
        <v>0</v>
      </c>
      <c r="W71" s="7"/>
      <c r="X71" s="7"/>
      <c r="Y71" s="7"/>
      <c r="Z71" s="7"/>
      <c r="AA71" s="7"/>
      <c r="AB71" s="7"/>
    </row>
    <row r="72" spans="1:28" ht="20.25" hidden="1" customHeight="1">
      <c r="A72" s="503" t="s">
        <v>208</v>
      </c>
      <c r="B72" s="483" t="s">
        <v>209</v>
      </c>
      <c r="C72" s="629" t="s">
        <v>170</v>
      </c>
      <c r="D72" s="504" t="s">
        <v>132</v>
      </c>
      <c r="E72" s="213"/>
      <c r="F72" s="213"/>
      <c r="G72" s="213"/>
      <c r="H72" s="214"/>
      <c r="I72" s="214"/>
      <c r="J72" s="632"/>
      <c r="K72" s="362"/>
      <c r="L72" s="369"/>
      <c r="M72" s="392"/>
      <c r="N72" s="215"/>
      <c r="O72" s="616">
        <f t="shared" si="1"/>
        <v>0</v>
      </c>
      <c r="P72" s="633"/>
      <c r="Q72" s="648"/>
      <c r="R72" s="648"/>
      <c r="S72" s="7"/>
      <c r="T72" s="699"/>
      <c r="U72" s="7"/>
      <c r="V72" s="618">
        <f t="shared" si="6"/>
        <v>0</v>
      </c>
      <c r="W72" s="7"/>
      <c r="X72" s="7"/>
      <c r="Y72" s="7"/>
      <c r="Z72" s="7"/>
      <c r="AA72" s="7"/>
      <c r="AB72" s="7"/>
    </row>
    <row r="73" spans="1:28" ht="20.25" hidden="1" customHeight="1">
      <c r="A73" s="503" t="s">
        <v>210</v>
      </c>
      <c r="B73" s="483" t="s">
        <v>211</v>
      </c>
      <c r="C73" s="629" t="s">
        <v>174</v>
      </c>
      <c r="D73" s="504" t="s">
        <v>132</v>
      </c>
      <c r="E73" s="213"/>
      <c r="F73" s="213"/>
      <c r="G73" s="213"/>
      <c r="H73" s="214"/>
      <c r="I73" s="214"/>
      <c r="J73" s="632"/>
      <c r="K73" s="362"/>
      <c r="L73" s="369"/>
      <c r="M73" s="392"/>
      <c r="N73" s="215"/>
      <c r="O73" s="616">
        <f t="shared" si="1"/>
        <v>0</v>
      </c>
      <c r="P73" s="633"/>
      <c r="Q73" s="648"/>
      <c r="R73" s="648"/>
      <c r="S73" s="7"/>
      <c r="T73" s="699"/>
      <c r="U73" s="7"/>
      <c r="V73" s="618">
        <f t="shared" si="6"/>
        <v>0</v>
      </c>
      <c r="W73" s="7"/>
      <c r="X73" s="7"/>
      <c r="Y73" s="7"/>
      <c r="Z73" s="7"/>
      <c r="AA73" s="7"/>
      <c r="AB73" s="7"/>
    </row>
    <row r="74" spans="1:28" ht="20.25" hidden="1" customHeight="1">
      <c r="A74" s="503" t="s">
        <v>212</v>
      </c>
      <c r="B74" s="483" t="s">
        <v>213</v>
      </c>
      <c r="C74" s="629" t="s">
        <v>177</v>
      </c>
      <c r="D74" s="504" t="s">
        <v>132</v>
      </c>
      <c r="E74" s="213"/>
      <c r="F74" s="213"/>
      <c r="G74" s="213"/>
      <c r="H74" s="214"/>
      <c r="I74" s="214"/>
      <c r="J74" s="632"/>
      <c r="K74" s="362"/>
      <c r="L74" s="369"/>
      <c r="M74" s="392"/>
      <c r="N74" s="215"/>
      <c r="O74" s="616">
        <f t="shared" si="1"/>
        <v>0</v>
      </c>
      <c r="P74" s="633"/>
      <c r="Q74" s="648"/>
      <c r="R74" s="648"/>
      <c r="S74" s="7"/>
      <c r="T74" s="699"/>
      <c r="U74" s="7"/>
      <c r="V74" s="618">
        <f t="shared" si="6"/>
        <v>0</v>
      </c>
      <c r="W74" s="7"/>
      <c r="X74" s="7"/>
      <c r="Y74" s="7"/>
      <c r="Z74" s="7"/>
      <c r="AA74" s="7"/>
      <c r="AB74" s="7"/>
    </row>
    <row r="75" spans="1:28" ht="28.5" customHeight="1">
      <c r="A75" s="486">
        <v>3.4</v>
      </c>
      <c r="B75" s="487" t="s">
        <v>214</v>
      </c>
      <c r="C75" s="635" t="s">
        <v>215</v>
      </c>
      <c r="D75" s="491" t="s">
        <v>183</v>
      </c>
      <c r="E75" s="213"/>
      <c r="F75" s="213"/>
      <c r="G75" s="213"/>
      <c r="H75" s="214"/>
      <c r="I75" s="214"/>
      <c r="J75" s="632"/>
      <c r="K75" s="362"/>
      <c r="L75" s="369"/>
      <c r="M75" s="392"/>
      <c r="N75" s="215"/>
      <c r="O75" s="616">
        <f t="shared" si="1"/>
        <v>0</v>
      </c>
      <c r="P75" s="633"/>
      <c r="Q75" s="636"/>
      <c r="R75" s="636"/>
      <c r="S75" s="7"/>
      <c r="T75" s="699"/>
      <c r="U75" s="7"/>
      <c r="V75" s="618">
        <f t="shared" si="6"/>
        <v>0</v>
      </c>
      <c r="W75" s="7"/>
      <c r="X75" s="7"/>
      <c r="Y75" s="7"/>
      <c r="Z75" s="7"/>
      <c r="AA75" s="7"/>
      <c r="AB75" s="7"/>
    </row>
    <row r="76" spans="1:28" ht="24" customHeight="1">
      <c r="A76" s="486">
        <v>3.5</v>
      </c>
      <c r="B76" s="487" t="s">
        <v>216</v>
      </c>
      <c r="C76" s="635" t="s">
        <v>217</v>
      </c>
      <c r="D76" s="491" t="s">
        <v>183</v>
      </c>
      <c r="E76" s="213"/>
      <c r="F76" s="213"/>
      <c r="G76" s="213"/>
      <c r="H76" s="214"/>
      <c r="I76" s="214"/>
      <c r="J76" s="632"/>
      <c r="K76" s="362"/>
      <c r="L76" s="369"/>
      <c r="M76" s="392"/>
      <c r="N76" s="215"/>
      <c r="O76" s="616">
        <f t="shared" si="1"/>
        <v>0</v>
      </c>
      <c r="P76" s="633"/>
      <c r="Q76" s="636"/>
      <c r="R76" s="636"/>
      <c r="S76" s="7"/>
      <c r="T76" s="699"/>
      <c r="U76" s="7"/>
      <c r="V76" s="618">
        <f t="shared" si="6"/>
        <v>0</v>
      </c>
      <c r="W76" s="7"/>
      <c r="X76" s="7"/>
      <c r="Y76" s="7"/>
      <c r="Z76" s="7"/>
      <c r="AA76" s="7"/>
      <c r="AB76" s="7"/>
    </row>
    <row r="77" spans="1:28" ht="24" customHeight="1">
      <c r="A77" s="489">
        <v>4</v>
      </c>
      <c r="B77" s="490" t="s">
        <v>218</v>
      </c>
      <c r="C77" s="637" t="s">
        <v>219</v>
      </c>
      <c r="D77" s="491" t="s">
        <v>183</v>
      </c>
      <c r="E77" s="213"/>
      <c r="F77" s="213"/>
      <c r="G77" s="213"/>
      <c r="H77" s="214"/>
      <c r="I77" s="214"/>
      <c r="J77" s="632"/>
      <c r="K77" s="362"/>
      <c r="L77" s="369"/>
      <c r="M77" s="392"/>
      <c r="N77" s="215"/>
      <c r="O77" s="616">
        <f t="shared" si="1"/>
        <v>0</v>
      </c>
      <c r="P77" s="633"/>
      <c r="Q77" s="640"/>
      <c r="R77" s="640"/>
      <c r="S77" s="7"/>
      <c r="T77" s="699"/>
      <c r="U77" s="7"/>
      <c r="V77" s="618">
        <f t="shared" si="6"/>
        <v>0</v>
      </c>
      <c r="W77" s="7"/>
      <c r="X77" s="7"/>
      <c r="Y77" s="7"/>
      <c r="Z77" s="7"/>
      <c r="AA77" s="7"/>
      <c r="AB77" s="7"/>
    </row>
    <row r="78" spans="1:28" ht="15.75" customHeight="1">
      <c r="A78" s="486">
        <v>4.0999999999999996</v>
      </c>
      <c r="B78" s="506" t="s">
        <v>221</v>
      </c>
      <c r="C78" s="635" t="s">
        <v>222</v>
      </c>
      <c r="D78" s="507" t="s">
        <v>132</v>
      </c>
      <c r="E78" s="213"/>
      <c r="F78" s="213"/>
      <c r="G78" s="213"/>
      <c r="H78" s="214"/>
      <c r="I78" s="214"/>
      <c r="J78" s="632"/>
      <c r="K78" s="362">
        <v>2</v>
      </c>
      <c r="L78" s="369"/>
      <c r="M78" s="392"/>
      <c r="N78" s="215"/>
      <c r="O78" s="616">
        <f t="shared" si="1"/>
        <v>2</v>
      </c>
      <c r="P78" s="633"/>
      <c r="Q78" s="636"/>
      <c r="R78" s="636"/>
      <c r="S78" s="7"/>
      <c r="T78" s="699"/>
      <c r="U78" s="7"/>
      <c r="V78" s="618">
        <f t="shared" si="6"/>
        <v>-2</v>
      </c>
      <c r="W78" s="7"/>
      <c r="X78" s="7"/>
      <c r="Y78" s="7"/>
      <c r="Z78" s="7"/>
      <c r="AA78" s="7"/>
      <c r="AB78" s="7"/>
    </row>
    <row r="79" spans="1:28" ht="20.25" customHeight="1">
      <c r="A79" s="482" t="s">
        <v>224</v>
      </c>
      <c r="B79" s="508" t="s">
        <v>225</v>
      </c>
      <c r="C79" s="629" t="s">
        <v>131</v>
      </c>
      <c r="D79" s="485" t="s">
        <v>132</v>
      </c>
      <c r="E79" s="213"/>
      <c r="F79" s="213"/>
      <c r="G79" s="213"/>
      <c r="H79" s="214"/>
      <c r="I79" s="214"/>
      <c r="J79" s="632"/>
      <c r="K79" s="362"/>
      <c r="L79" s="369"/>
      <c r="M79" s="392"/>
      <c r="N79" s="215"/>
      <c r="O79" s="616">
        <f t="shared" si="1"/>
        <v>0</v>
      </c>
      <c r="P79" s="633"/>
      <c r="Q79" s="634"/>
      <c r="R79" s="634"/>
      <c r="S79" s="7"/>
      <c r="T79" s="699"/>
      <c r="U79" s="7"/>
      <c r="V79" s="618">
        <f t="shared" si="6"/>
        <v>0</v>
      </c>
      <c r="W79" s="7"/>
      <c r="X79" s="7"/>
      <c r="Y79" s="7"/>
      <c r="Z79" s="7"/>
      <c r="AA79" s="7"/>
      <c r="AB79" s="7"/>
    </row>
    <row r="80" spans="1:28" ht="20.25" customHeight="1">
      <c r="A80" s="482" t="s">
        <v>226</v>
      </c>
      <c r="B80" s="508" t="s">
        <v>227</v>
      </c>
      <c r="C80" s="629" t="s">
        <v>200</v>
      </c>
      <c r="D80" s="485" t="s">
        <v>132</v>
      </c>
      <c r="E80" s="213"/>
      <c r="F80" s="213"/>
      <c r="G80" s="213"/>
      <c r="H80" s="214"/>
      <c r="I80" s="214"/>
      <c r="J80" s="632"/>
      <c r="K80" s="362"/>
      <c r="L80" s="369"/>
      <c r="M80" s="392"/>
      <c r="N80" s="215"/>
      <c r="O80" s="616">
        <f t="shared" si="1"/>
        <v>0</v>
      </c>
      <c r="P80" s="633"/>
      <c r="Q80" s="634"/>
      <c r="R80" s="634"/>
      <c r="S80" s="7"/>
      <c r="T80" s="699"/>
      <c r="U80" s="7"/>
      <c r="V80" s="618">
        <f t="shared" si="6"/>
        <v>0</v>
      </c>
      <c r="W80" s="7"/>
      <c r="X80" s="7"/>
      <c r="Y80" s="7"/>
      <c r="Z80" s="7"/>
      <c r="AA80" s="7"/>
      <c r="AB80" s="7"/>
    </row>
    <row r="81" spans="1:28" ht="20.25" customHeight="1">
      <c r="A81" s="482" t="s">
        <v>228</v>
      </c>
      <c r="B81" s="508" t="s">
        <v>229</v>
      </c>
      <c r="C81" s="629" t="s">
        <v>203</v>
      </c>
      <c r="D81" s="485" t="s">
        <v>132</v>
      </c>
      <c r="E81" s="213"/>
      <c r="F81" s="213"/>
      <c r="G81" s="213"/>
      <c r="H81" s="214"/>
      <c r="I81" s="214"/>
      <c r="J81" s="632"/>
      <c r="K81" s="362"/>
      <c r="L81" s="369"/>
      <c r="M81" s="392"/>
      <c r="N81" s="215"/>
      <c r="O81" s="616">
        <f t="shared" si="1"/>
        <v>0</v>
      </c>
      <c r="P81" s="633"/>
      <c r="Q81" s="634"/>
      <c r="R81" s="634"/>
      <c r="S81" s="7"/>
      <c r="T81" s="699"/>
      <c r="U81" s="7"/>
      <c r="V81" s="618">
        <f t="shared" si="6"/>
        <v>0</v>
      </c>
      <c r="W81" s="7"/>
      <c r="X81" s="7"/>
      <c r="Y81" s="7"/>
      <c r="Z81" s="7"/>
      <c r="AA81" s="7"/>
      <c r="AB81" s="7"/>
    </row>
    <row r="82" spans="1:28" ht="20.25" customHeight="1">
      <c r="A82" s="482" t="s">
        <v>230</v>
      </c>
      <c r="B82" s="508" t="s">
        <v>231</v>
      </c>
      <c r="C82" s="629" t="s">
        <v>159</v>
      </c>
      <c r="D82" s="485" t="s">
        <v>132</v>
      </c>
      <c r="E82" s="213"/>
      <c r="F82" s="213"/>
      <c r="G82" s="213"/>
      <c r="H82" s="214"/>
      <c r="I82" s="214"/>
      <c r="J82" s="632"/>
      <c r="K82" s="362"/>
      <c r="L82" s="369"/>
      <c r="M82" s="392"/>
      <c r="N82" s="215"/>
      <c r="O82" s="616">
        <f t="shared" si="1"/>
        <v>0</v>
      </c>
      <c r="P82" s="633"/>
      <c r="Q82" s="634"/>
      <c r="R82" s="634"/>
      <c r="S82" s="7"/>
      <c r="T82" s="699"/>
      <c r="U82" s="7"/>
      <c r="V82" s="618">
        <f t="shared" si="6"/>
        <v>0</v>
      </c>
      <c r="W82" s="7"/>
      <c r="X82" s="7"/>
      <c r="Y82" s="7"/>
      <c r="Z82" s="7"/>
      <c r="AA82" s="7"/>
      <c r="AB82" s="7"/>
    </row>
    <row r="83" spans="1:28" ht="36" customHeight="1">
      <c r="A83" s="486">
        <v>4.2</v>
      </c>
      <c r="B83" s="506" t="s">
        <v>227</v>
      </c>
      <c r="C83" s="635" t="s">
        <v>232</v>
      </c>
      <c r="D83" s="507" t="s">
        <v>132</v>
      </c>
      <c r="E83" s="213"/>
      <c r="F83" s="213"/>
      <c r="G83" s="213"/>
      <c r="H83" s="214"/>
      <c r="I83" s="214"/>
      <c r="J83" s="632"/>
      <c r="K83" s="362"/>
      <c r="L83" s="369"/>
      <c r="M83" s="392"/>
      <c r="N83" s="215"/>
      <c r="O83" s="616">
        <f t="shared" si="1"/>
        <v>0</v>
      </c>
      <c r="P83" s="633"/>
      <c r="Q83" s="636"/>
      <c r="R83" s="636"/>
      <c r="S83" s="7"/>
      <c r="T83" s="699"/>
      <c r="U83" s="7"/>
      <c r="V83" s="618">
        <f t="shared" si="6"/>
        <v>0</v>
      </c>
      <c r="W83" s="7"/>
      <c r="X83" s="7"/>
      <c r="Y83" s="7"/>
      <c r="Z83" s="7"/>
      <c r="AA83" s="7"/>
      <c r="AB83" s="7"/>
    </row>
    <row r="84" spans="1:28" ht="20.25" customHeight="1">
      <c r="A84" s="503" t="s">
        <v>233</v>
      </c>
      <c r="B84" s="508" t="s">
        <v>234</v>
      </c>
      <c r="C84" s="629" t="s">
        <v>170</v>
      </c>
      <c r="D84" s="504" t="s">
        <v>132</v>
      </c>
      <c r="E84" s="213"/>
      <c r="F84" s="213"/>
      <c r="G84" s="213"/>
      <c r="H84" s="214"/>
      <c r="I84" s="214"/>
      <c r="J84" s="632"/>
      <c r="K84" s="362"/>
      <c r="L84" s="369"/>
      <c r="M84" s="392"/>
      <c r="N84" s="215"/>
      <c r="O84" s="616">
        <f t="shared" si="1"/>
        <v>0</v>
      </c>
      <c r="P84" s="633"/>
      <c r="Q84" s="648"/>
      <c r="R84" s="648"/>
      <c r="S84" s="7"/>
      <c r="T84" s="699"/>
      <c r="U84" s="7"/>
      <c r="V84" s="618">
        <f t="shared" si="6"/>
        <v>0</v>
      </c>
      <c r="W84" s="7"/>
      <c r="X84" s="7"/>
      <c r="Y84" s="7"/>
      <c r="Z84" s="7"/>
      <c r="AA84" s="7"/>
      <c r="AB84" s="7"/>
    </row>
    <row r="85" spans="1:28" ht="20.25" customHeight="1">
      <c r="A85" s="503" t="s">
        <v>235</v>
      </c>
      <c r="B85" s="508" t="s">
        <v>236</v>
      </c>
      <c r="C85" s="629" t="s">
        <v>174</v>
      </c>
      <c r="D85" s="504" t="s">
        <v>132</v>
      </c>
      <c r="E85" s="213"/>
      <c r="F85" s="213"/>
      <c r="G85" s="213"/>
      <c r="H85" s="214"/>
      <c r="I85" s="214"/>
      <c r="J85" s="632"/>
      <c r="K85" s="362"/>
      <c r="L85" s="369"/>
      <c r="M85" s="392"/>
      <c r="N85" s="215"/>
      <c r="O85" s="616">
        <f t="shared" si="1"/>
        <v>0</v>
      </c>
      <c r="P85" s="633"/>
      <c r="Q85" s="648"/>
      <c r="R85" s="648"/>
      <c r="S85" s="7"/>
      <c r="T85" s="699"/>
      <c r="U85" s="7"/>
      <c r="V85" s="618">
        <f t="shared" si="6"/>
        <v>0</v>
      </c>
      <c r="W85" s="7"/>
      <c r="X85" s="7"/>
      <c r="Y85" s="7"/>
      <c r="Z85" s="7"/>
      <c r="AA85" s="7"/>
      <c r="AB85" s="7"/>
    </row>
    <row r="86" spans="1:28" ht="20.25" customHeight="1">
      <c r="A86" s="503" t="s">
        <v>237</v>
      </c>
      <c r="B86" s="508" t="s">
        <v>238</v>
      </c>
      <c r="C86" s="629" t="s">
        <v>177</v>
      </c>
      <c r="D86" s="504" t="s">
        <v>132</v>
      </c>
      <c r="E86" s="213"/>
      <c r="F86" s="213"/>
      <c r="G86" s="213"/>
      <c r="H86" s="214"/>
      <c r="I86" s="214"/>
      <c r="J86" s="632"/>
      <c r="K86" s="362"/>
      <c r="L86" s="369"/>
      <c r="M86" s="392"/>
      <c r="N86" s="215"/>
      <c r="O86" s="616">
        <f t="shared" si="1"/>
        <v>0</v>
      </c>
      <c r="P86" s="633"/>
      <c r="Q86" s="648"/>
      <c r="R86" s="648"/>
      <c r="S86" s="7"/>
      <c r="T86" s="699"/>
      <c r="U86" s="7"/>
      <c r="V86" s="618">
        <f t="shared" si="6"/>
        <v>0</v>
      </c>
      <c r="W86" s="7"/>
      <c r="X86" s="7"/>
      <c r="Y86" s="7"/>
      <c r="Z86" s="7"/>
      <c r="AA86" s="7"/>
      <c r="AB86" s="7"/>
    </row>
    <row r="87" spans="1:28" ht="20.25" customHeight="1">
      <c r="A87" s="486">
        <v>4.3</v>
      </c>
      <c r="B87" s="506" t="s">
        <v>239</v>
      </c>
      <c r="C87" s="635" t="s">
        <v>240</v>
      </c>
      <c r="D87" s="491" t="s">
        <v>183</v>
      </c>
      <c r="E87" s="213"/>
      <c r="F87" s="213"/>
      <c r="G87" s="213"/>
      <c r="H87" s="214"/>
      <c r="I87" s="214"/>
      <c r="J87" s="632"/>
      <c r="K87" s="362"/>
      <c r="L87" s="369"/>
      <c r="M87" s="392"/>
      <c r="N87" s="215"/>
      <c r="O87" s="616">
        <f t="shared" si="1"/>
        <v>0</v>
      </c>
      <c r="P87" s="633"/>
      <c r="Q87" s="636"/>
      <c r="R87" s="636"/>
      <c r="S87" s="7"/>
      <c r="T87" s="699"/>
      <c r="U87" s="7"/>
      <c r="V87" s="618">
        <f t="shared" si="6"/>
        <v>0</v>
      </c>
      <c r="W87" s="7"/>
      <c r="X87" s="7"/>
      <c r="Y87" s="7"/>
      <c r="Z87" s="7"/>
      <c r="AA87" s="7"/>
      <c r="AB87" s="7"/>
    </row>
    <row r="88" spans="1:28" ht="28.5" customHeight="1">
      <c r="A88" s="486">
        <v>4.4000000000000004</v>
      </c>
      <c r="B88" s="506" t="s">
        <v>241</v>
      </c>
      <c r="C88" s="635" t="s">
        <v>242</v>
      </c>
      <c r="D88" s="491" t="s">
        <v>183</v>
      </c>
      <c r="E88" s="213"/>
      <c r="F88" s="213"/>
      <c r="G88" s="213"/>
      <c r="H88" s="214"/>
      <c r="I88" s="214"/>
      <c r="J88" s="632"/>
      <c r="K88" s="362"/>
      <c r="L88" s="369"/>
      <c r="M88" s="392"/>
      <c r="N88" s="215"/>
      <c r="O88" s="616">
        <f t="shared" si="1"/>
        <v>0</v>
      </c>
      <c r="P88" s="633"/>
      <c r="Q88" s="636"/>
      <c r="R88" s="636"/>
      <c r="S88" s="7"/>
      <c r="T88" s="699"/>
      <c r="U88" s="7"/>
      <c r="V88" s="618">
        <f t="shared" si="6"/>
        <v>0</v>
      </c>
      <c r="W88" s="7"/>
      <c r="X88" s="7"/>
      <c r="Y88" s="7"/>
      <c r="Z88" s="7"/>
      <c r="AA88" s="7"/>
      <c r="AB88" s="7"/>
    </row>
    <row r="89" spans="1:28" ht="20.25" customHeight="1">
      <c r="A89" s="486">
        <v>4.5</v>
      </c>
      <c r="B89" s="487" t="s">
        <v>243</v>
      </c>
      <c r="C89" s="635" t="s">
        <v>244</v>
      </c>
      <c r="D89" s="491" t="s">
        <v>183</v>
      </c>
      <c r="E89" s="213"/>
      <c r="F89" s="213"/>
      <c r="G89" s="213"/>
      <c r="H89" s="214"/>
      <c r="I89" s="214"/>
      <c r="J89" s="632"/>
      <c r="K89" s="362"/>
      <c r="L89" s="369"/>
      <c r="M89" s="392"/>
      <c r="N89" s="215"/>
      <c r="O89" s="616">
        <f t="shared" si="1"/>
        <v>0</v>
      </c>
      <c r="P89" s="633"/>
      <c r="Q89" s="636"/>
      <c r="R89" s="636"/>
      <c r="S89" s="7"/>
      <c r="T89" s="699"/>
      <c r="U89" s="7"/>
      <c r="V89" s="618">
        <f t="shared" si="6"/>
        <v>0</v>
      </c>
      <c r="W89" s="7"/>
      <c r="X89" s="7"/>
      <c r="Y89" s="7"/>
      <c r="Z89" s="7"/>
      <c r="AA89" s="7"/>
      <c r="AB89" s="7"/>
    </row>
    <row r="90" spans="1:28" ht="21.75" customHeight="1">
      <c r="A90" s="489">
        <v>5</v>
      </c>
      <c r="B90" s="490" t="s">
        <v>245</v>
      </c>
      <c r="C90" s="637" t="s">
        <v>246</v>
      </c>
      <c r="D90" s="491" t="s">
        <v>183</v>
      </c>
      <c r="E90" s="213"/>
      <c r="F90" s="213"/>
      <c r="G90" s="213"/>
      <c r="H90" s="214"/>
      <c r="I90" s="214"/>
      <c r="J90" s="632"/>
      <c r="K90" s="362"/>
      <c r="L90" s="369"/>
      <c r="M90" s="392"/>
      <c r="N90" s="215"/>
      <c r="O90" s="616">
        <f t="shared" si="1"/>
        <v>0</v>
      </c>
      <c r="P90" s="633"/>
      <c r="Q90" s="640"/>
      <c r="R90" s="640"/>
      <c r="S90" s="7"/>
      <c r="T90" s="699"/>
      <c r="U90" s="7"/>
      <c r="V90" s="618">
        <f t="shared" si="6"/>
        <v>0</v>
      </c>
      <c r="W90" s="7"/>
      <c r="X90" s="7"/>
      <c r="Y90" s="7"/>
      <c r="Z90" s="7"/>
      <c r="AA90" s="7"/>
      <c r="AB90" s="7"/>
    </row>
    <row r="91" spans="1:28" ht="20.25" customHeight="1">
      <c r="A91" s="486">
        <v>5.0999999999999996</v>
      </c>
      <c r="B91" s="487" t="s">
        <v>248</v>
      </c>
      <c r="C91" s="635" t="s">
        <v>249</v>
      </c>
      <c r="D91" s="412" t="s">
        <v>132</v>
      </c>
      <c r="E91" s="213"/>
      <c r="F91" s="213"/>
      <c r="G91" s="213"/>
      <c r="H91" s="214"/>
      <c r="I91" s="214"/>
      <c r="J91" s="632"/>
      <c r="K91" s="362">
        <v>2</v>
      </c>
      <c r="L91" s="369"/>
      <c r="M91" s="392">
        <v>3</v>
      </c>
      <c r="N91" s="215"/>
      <c r="O91" s="616">
        <f t="shared" si="1"/>
        <v>5</v>
      </c>
      <c r="P91" s="633"/>
      <c r="Q91" s="636"/>
      <c r="R91" s="636"/>
      <c r="S91" s="7"/>
      <c r="T91" s="699">
        <v>1</v>
      </c>
      <c r="U91" s="7"/>
      <c r="V91" s="618"/>
      <c r="W91" s="7"/>
      <c r="X91" s="7"/>
      <c r="Y91" s="7"/>
      <c r="Z91" s="7"/>
      <c r="AA91" s="7"/>
      <c r="AB91" s="7"/>
    </row>
    <row r="92" spans="1:28" ht="20.25" customHeight="1">
      <c r="A92" s="482" t="s">
        <v>982</v>
      </c>
      <c r="B92" s="496" t="s">
        <v>248</v>
      </c>
      <c r="C92" s="629" t="s">
        <v>131</v>
      </c>
      <c r="D92" s="485" t="s">
        <v>132</v>
      </c>
      <c r="E92" s="213"/>
      <c r="F92" s="213"/>
      <c r="G92" s="213"/>
      <c r="H92" s="214"/>
      <c r="I92" s="214"/>
      <c r="J92" s="632"/>
      <c r="K92" s="362"/>
      <c r="L92" s="369"/>
      <c r="M92" s="392"/>
      <c r="N92" s="215"/>
      <c r="O92" s="616">
        <f t="shared" si="1"/>
        <v>0</v>
      </c>
      <c r="P92" s="633"/>
      <c r="Q92" s="636"/>
      <c r="R92" s="636"/>
      <c r="S92" s="7"/>
      <c r="T92" s="699"/>
      <c r="U92" s="7"/>
      <c r="V92" s="618">
        <f t="shared" ref="V92:V94" si="7">T92-O92</f>
        <v>0</v>
      </c>
      <c r="W92" s="7"/>
      <c r="X92" s="7"/>
      <c r="Y92" s="7"/>
      <c r="Z92" s="7"/>
      <c r="AA92" s="7"/>
      <c r="AB92" s="7"/>
    </row>
    <row r="93" spans="1:28" ht="20.25" customHeight="1">
      <c r="A93" s="482" t="s">
        <v>983</v>
      </c>
      <c r="B93" s="496" t="s">
        <v>251</v>
      </c>
      <c r="C93" s="629" t="s">
        <v>200</v>
      </c>
      <c r="D93" s="485" t="s">
        <v>132</v>
      </c>
      <c r="E93" s="213"/>
      <c r="F93" s="213"/>
      <c r="G93" s="213"/>
      <c r="H93" s="214"/>
      <c r="I93" s="214"/>
      <c r="J93" s="632"/>
      <c r="K93" s="362"/>
      <c r="L93" s="369"/>
      <c r="M93" s="392"/>
      <c r="N93" s="215"/>
      <c r="O93" s="616">
        <f t="shared" si="1"/>
        <v>0</v>
      </c>
      <c r="P93" s="633"/>
      <c r="Q93" s="636"/>
      <c r="R93" s="636"/>
      <c r="S93" s="7"/>
      <c r="T93" s="699"/>
      <c r="U93" s="7"/>
      <c r="V93" s="618">
        <f t="shared" si="7"/>
        <v>0</v>
      </c>
      <c r="W93" s="7"/>
      <c r="X93" s="7"/>
      <c r="Y93" s="7"/>
      <c r="Z93" s="7"/>
      <c r="AA93" s="7"/>
      <c r="AB93" s="7"/>
    </row>
    <row r="94" spans="1:28" ht="20.25" customHeight="1">
      <c r="A94" s="482" t="s">
        <v>984</v>
      </c>
      <c r="B94" s="496" t="s">
        <v>252</v>
      </c>
      <c r="C94" s="629" t="s">
        <v>203</v>
      </c>
      <c r="D94" s="485" t="s">
        <v>132</v>
      </c>
      <c r="E94" s="213"/>
      <c r="F94" s="213"/>
      <c r="G94" s="213"/>
      <c r="H94" s="214"/>
      <c r="I94" s="214"/>
      <c r="J94" s="632"/>
      <c r="K94" s="362"/>
      <c r="L94" s="369"/>
      <c r="M94" s="392"/>
      <c r="N94" s="215"/>
      <c r="O94" s="616">
        <f t="shared" si="1"/>
        <v>0</v>
      </c>
      <c r="P94" s="633"/>
      <c r="Q94" s="636"/>
      <c r="R94" s="636"/>
      <c r="S94" s="7"/>
      <c r="T94" s="699"/>
      <c r="U94" s="7"/>
      <c r="V94" s="618">
        <f t="shared" si="7"/>
        <v>0</v>
      </c>
      <c r="W94" s="7"/>
      <c r="X94" s="7"/>
      <c r="Y94" s="7"/>
      <c r="Z94" s="7"/>
      <c r="AA94" s="7"/>
      <c r="AB94" s="7"/>
    </row>
    <row r="95" spans="1:28" ht="20.25" customHeight="1">
      <c r="A95" s="482" t="s">
        <v>985</v>
      </c>
      <c r="B95" s="496" t="s">
        <v>253</v>
      </c>
      <c r="C95" s="629" t="s">
        <v>159</v>
      </c>
      <c r="D95" s="485" t="s">
        <v>132</v>
      </c>
      <c r="E95" s="213"/>
      <c r="F95" s="213"/>
      <c r="G95" s="213"/>
      <c r="H95" s="214"/>
      <c r="I95" s="214"/>
      <c r="J95" s="632"/>
      <c r="K95" s="362"/>
      <c r="L95" s="369"/>
      <c r="M95" s="392"/>
      <c r="N95" s="215"/>
      <c r="O95" s="616">
        <f t="shared" si="1"/>
        <v>0</v>
      </c>
      <c r="P95" s="633"/>
      <c r="Q95" s="636"/>
      <c r="R95" s="636"/>
      <c r="S95" s="7"/>
      <c r="T95" s="699"/>
      <c r="U95" s="7"/>
      <c r="V95" s="618"/>
      <c r="W95" s="7"/>
      <c r="X95" s="7"/>
      <c r="Y95" s="7"/>
      <c r="Z95" s="7"/>
      <c r="AA95" s="7"/>
      <c r="AB95" s="7"/>
    </row>
    <row r="96" spans="1:28" ht="15.75" customHeight="1">
      <c r="A96" s="486">
        <v>5.2</v>
      </c>
      <c r="B96" s="487" t="s">
        <v>251</v>
      </c>
      <c r="C96" s="635" t="s">
        <v>254</v>
      </c>
      <c r="D96" s="412" t="s">
        <v>132</v>
      </c>
      <c r="E96" s="213"/>
      <c r="F96" s="213"/>
      <c r="G96" s="213"/>
      <c r="H96" s="214"/>
      <c r="I96" s="214"/>
      <c r="J96" s="632"/>
      <c r="K96" s="362"/>
      <c r="L96" s="369"/>
      <c r="M96" s="392"/>
      <c r="N96" s="215"/>
      <c r="O96" s="616">
        <f t="shared" si="1"/>
        <v>0</v>
      </c>
      <c r="P96" s="633"/>
      <c r="Q96" s="636"/>
      <c r="R96" s="636"/>
      <c r="S96" s="7"/>
      <c r="T96" s="699"/>
      <c r="U96" s="7"/>
      <c r="V96" s="618">
        <f t="shared" ref="V96:V103" si="8">T96-O96</f>
        <v>0</v>
      </c>
      <c r="W96" s="7"/>
      <c r="X96" s="7"/>
      <c r="Y96" s="7"/>
      <c r="Z96" s="7"/>
      <c r="AA96" s="7"/>
      <c r="AB96" s="7"/>
    </row>
    <row r="97" spans="1:28" ht="20.25" customHeight="1">
      <c r="A97" s="482" t="s">
        <v>256</v>
      </c>
      <c r="B97" s="496" t="s">
        <v>257</v>
      </c>
      <c r="C97" s="629" t="s">
        <v>131</v>
      </c>
      <c r="D97" s="485" t="s">
        <v>132</v>
      </c>
      <c r="E97" s="213"/>
      <c r="F97" s="213"/>
      <c r="G97" s="213"/>
      <c r="H97" s="214"/>
      <c r="I97" s="214"/>
      <c r="J97" s="632"/>
      <c r="K97" s="362"/>
      <c r="L97" s="369"/>
      <c r="M97" s="392"/>
      <c r="N97" s="215"/>
      <c r="O97" s="616">
        <f t="shared" si="1"/>
        <v>0</v>
      </c>
      <c r="P97" s="633"/>
      <c r="Q97" s="636"/>
      <c r="R97" s="636"/>
      <c r="S97" s="7"/>
      <c r="T97" s="699"/>
      <c r="U97" s="7"/>
      <c r="V97" s="618">
        <f t="shared" si="8"/>
        <v>0</v>
      </c>
      <c r="W97" s="7"/>
      <c r="X97" s="7"/>
      <c r="Y97" s="7"/>
      <c r="Z97" s="7"/>
      <c r="AA97" s="7"/>
      <c r="AB97" s="7"/>
    </row>
    <row r="98" spans="1:28" ht="20.25" customHeight="1">
      <c r="A98" s="482" t="s">
        <v>258</v>
      </c>
      <c r="B98" s="496" t="s">
        <v>259</v>
      </c>
      <c r="C98" s="629" t="s">
        <v>200</v>
      </c>
      <c r="D98" s="485" t="s">
        <v>132</v>
      </c>
      <c r="E98" s="213"/>
      <c r="F98" s="213"/>
      <c r="G98" s="213"/>
      <c r="H98" s="214"/>
      <c r="I98" s="214"/>
      <c r="J98" s="632"/>
      <c r="K98" s="362"/>
      <c r="L98" s="369"/>
      <c r="M98" s="392"/>
      <c r="N98" s="215"/>
      <c r="O98" s="616">
        <f t="shared" si="1"/>
        <v>0</v>
      </c>
      <c r="P98" s="633"/>
      <c r="Q98" s="636"/>
      <c r="R98" s="636"/>
      <c r="S98" s="7"/>
      <c r="T98" s="699"/>
      <c r="U98" s="7"/>
      <c r="V98" s="618">
        <f t="shared" si="8"/>
        <v>0</v>
      </c>
      <c r="W98" s="7"/>
      <c r="X98" s="7"/>
      <c r="Y98" s="7"/>
      <c r="Z98" s="7"/>
      <c r="AA98" s="7"/>
      <c r="AB98" s="7"/>
    </row>
    <row r="99" spans="1:28" ht="20.25" customHeight="1">
      <c r="A99" s="482" t="s">
        <v>260</v>
      </c>
      <c r="B99" s="496" t="s">
        <v>261</v>
      </c>
      <c r="C99" s="629" t="s">
        <v>203</v>
      </c>
      <c r="D99" s="485" t="s">
        <v>132</v>
      </c>
      <c r="E99" s="213"/>
      <c r="F99" s="213"/>
      <c r="G99" s="213"/>
      <c r="H99" s="214"/>
      <c r="I99" s="214"/>
      <c r="J99" s="632"/>
      <c r="K99" s="362"/>
      <c r="L99" s="369"/>
      <c r="M99" s="392"/>
      <c r="N99" s="215"/>
      <c r="O99" s="616">
        <f t="shared" si="1"/>
        <v>0</v>
      </c>
      <c r="P99" s="633"/>
      <c r="Q99" s="636"/>
      <c r="R99" s="636"/>
      <c r="S99" s="7"/>
      <c r="T99" s="699"/>
      <c r="U99" s="7"/>
      <c r="V99" s="618">
        <f t="shared" si="8"/>
        <v>0</v>
      </c>
      <c r="W99" s="7"/>
      <c r="X99" s="7"/>
      <c r="Y99" s="7"/>
      <c r="Z99" s="7"/>
      <c r="AA99" s="7"/>
      <c r="AB99" s="7"/>
    </row>
    <row r="100" spans="1:28" ht="20.25" customHeight="1">
      <c r="A100" s="482" t="s">
        <v>262</v>
      </c>
      <c r="B100" s="496" t="s">
        <v>263</v>
      </c>
      <c r="C100" s="629" t="s">
        <v>159</v>
      </c>
      <c r="D100" s="485" t="s">
        <v>132</v>
      </c>
      <c r="E100" s="213"/>
      <c r="F100" s="213"/>
      <c r="G100" s="213"/>
      <c r="H100" s="214"/>
      <c r="I100" s="214"/>
      <c r="J100" s="632"/>
      <c r="K100" s="362"/>
      <c r="L100" s="369"/>
      <c r="M100" s="392"/>
      <c r="N100" s="215"/>
      <c r="O100" s="616">
        <f t="shared" si="1"/>
        <v>0</v>
      </c>
      <c r="P100" s="633"/>
      <c r="Q100" s="636"/>
      <c r="R100" s="636"/>
      <c r="S100" s="7"/>
      <c r="T100" s="699"/>
      <c r="U100" s="7"/>
      <c r="V100" s="618">
        <f t="shared" si="8"/>
        <v>0</v>
      </c>
      <c r="W100" s="7"/>
      <c r="X100" s="7"/>
      <c r="Y100" s="7"/>
      <c r="Z100" s="7"/>
      <c r="AA100" s="7"/>
      <c r="AB100" s="7"/>
    </row>
    <row r="101" spans="1:28" ht="28.5" customHeight="1">
      <c r="A101" s="486">
        <v>5.3</v>
      </c>
      <c r="B101" s="487" t="s">
        <v>252</v>
      </c>
      <c r="C101" s="635" t="s">
        <v>264</v>
      </c>
      <c r="D101" s="491" t="s">
        <v>183</v>
      </c>
      <c r="E101" s="213"/>
      <c r="F101" s="213"/>
      <c r="G101" s="213"/>
      <c r="H101" s="214"/>
      <c r="I101" s="214"/>
      <c r="J101" s="632"/>
      <c r="K101" s="362"/>
      <c r="L101" s="369"/>
      <c r="M101" s="392"/>
      <c r="N101" s="215"/>
      <c r="O101" s="616">
        <f t="shared" si="1"/>
        <v>0</v>
      </c>
      <c r="P101" s="633"/>
      <c r="Q101" s="636"/>
      <c r="R101" s="636"/>
      <c r="S101" s="7"/>
      <c r="T101" s="699"/>
      <c r="U101" s="7"/>
      <c r="V101" s="618">
        <f t="shared" si="8"/>
        <v>0</v>
      </c>
      <c r="W101" s="7"/>
      <c r="X101" s="7"/>
      <c r="Y101" s="7"/>
      <c r="Z101" s="7"/>
      <c r="AA101" s="7"/>
      <c r="AB101" s="7"/>
    </row>
    <row r="102" spans="1:28" ht="18" customHeight="1">
      <c r="A102" s="486">
        <v>5.4</v>
      </c>
      <c r="B102" s="487" t="s">
        <v>253</v>
      </c>
      <c r="C102" s="635" t="s">
        <v>265</v>
      </c>
      <c r="D102" s="491" t="s">
        <v>183</v>
      </c>
      <c r="E102" s="213"/>
      <c r="F102" s="213"/>
      <c r="G102" s="213"/>
      <c r="H102" s="214"/>
      <c r="I102" s="214"/>
      <c r="J102" s="632"/>
      <c r="K102" s="362"/>
      <c r="L102" s="369"/>
      <c r="M102" s="392"/>
      <c r="N102" s="215"/>
      <c r="O102" s="616">
        <f t="shared" si="1"/>
        <v>0</v>
      </c>
      <c r="P102" s="633"/>
      <c r="Q102" s="636"/>
      <c r="R102" s="636"/>
      <c r="S102" s="7"/>
      <c r="T102" s="699"/>
      <c r="U102" s="7"/>
      <c r="V102" s="618">
        <f t="shared" si="8"/>
        <v>0</v>
      </c>
      <c r="W102" s="7"/>
      <c r="X102" s="7"/>
      <c r="Y102" s="7"/>
      <c r="Z102" s="7"/>
      <c r="AA102" s="7"/>
      <c r="AB102" s="7"/>
    </row>
    <row r="103" spans="1:28" ht="18.75" customHeight="1">
      <c r="A103" s="489">
        <v>3</v>
      </c>
      <c r="B103" s="490" t="s">
        <v>266</v>
      </c>
      <c r="C103" s="637" t="s">
        <v>267</v>
      </c>
      <c r="D103" s="491"/>
      <c r="E103" s="213"/>
      <c r="F103" s="213"/>
      <c r="G103" s="213"/>
      <c r="H103" s="214"/>
      <c r="I103" s="214"/>
      <c r="J103" s="632"/>
      <c r="K103" s="362"/>
      <c r="L103" s="369"/>
      <c r="M103" s="392"/>
      <c r="N103" s="215"/>
      <c r="O103" s="616">
        <f t="shared" si="1"/>
        <v>0</v>
      </c>
      <c r="P103" s="650" t="s">
        <v>1579</v>
      </c>
      <c r="Q103" s="640"/>
      <c r="R103" s="640"/>
      <c r="S103" s="7"/>
      <c r="T103" s="699"/>
      <c r="U103" s="7"/>
      <c r="V103" s="618">
        <f t="shared" si="8"/>
        <v>0</v>
      </c>
      <c r="W103" s="7"/>
      <c r="X103" s="7"/>
      <c r="Y103" s="7"/>
      <c r="Z103" s="7"/>
      <c r="AA103" s="7"/>
      <c r="AB103" s="7"/>
    </row>
    <row r="104" spans="1:28" ht="20.25" customHeight="1">
      <c r="A104" s="486"/>
      <c r="B104" s="487" t="s">
        <v>269</v>
      </c>
      <c r="C104" s="635" t="s">
        <v>270</v>
      </c>
      <c r="D104" s="412" t="s">
        <v>271</v>
      </c>
      <c r="E104" s="213"/>
      <c r="F104" s="213">
        <v>4</v>
      </c>
      <c r="G104" s="213"/>
      <c r="H104" s="214">
        <v>3664.15</v>
      </c>
      <c r="I104" s="214"/>
      <c r="J104" s="632">
        <v>11718.3</v>
      </c>
      <c r="K104" s="751">
        <v>232.1</v>
      </c>
      <c r="L104" s="369"/>
      <c r="M104" s="392">
        <v>20.8</v>
      </c>
      <c r="N104" s="215"/>
      <c r="O104" s="616">
        <f t="shared" si="1"/>
        <v>15639.349999999999</v>
      </c>
      <c r="P104" s="633">
        <f>O104+O126+O115</f>
        <v>19556.25</v>
      </c>
      <c r="Q104" s="636"/>
      <c r="R104" s="636"/>
      <c r="S104" s="7"/>
      <c r="T104" s="699">
        <v>1052.5</v>
      </c>
      <c r="U104" s="7"/>
      <c r="V104" s="618"/>
      <c r="W104" s="7"/>
      <c r="X104" s="7"/>
      <c r="Y104" s="7"/>
      <c r="Z104" s="7"/>
      <c r="AA104" s="7"/>
      <c r="AB104" s="7"/>
    </row>
    <row r="105" spans="1:28" ht="20.25" customHeight="1">
      <c r="A105" s="510"/>
      <c r="B105" s="505" t="s">
        <v>273</v>
      </c>
      <c r="C105" s="653" t="s">
        <v>274</v>
      </c>
      <c r="D105" s="512" t="s">
        <v>271</v>
      </c>
      <c r="E105" s="213"/>
      <c r="F105" s="213"/>
      <c r="G105" s="213"/>
      <c r="H105" s="214"/>
      <c r="I105" s="214"/>
      <c r="J105" s="632">
        <v>11718.3</v>
      </c>
      <c r="K105" s="362"/>
      <c r="L105" s="369"/>
      <c r="M105" s="392">
        <v>20.8</v>
      </c>
      <c r="N105" s="215"/>
      <c r="O105" s="616">
        <f t="shared" si="1"/>
        <v>11739.099999999999</v>
      </c>
      <c r="P105" s="633"/>
      <c r="Q105" s="654"/>
      <c r="R105" s="654"/>
      <c r="S105" s="7"/>
      <c r="T105" s="699"/>
      <c r="U105" s="7"/>
      <c r="V105" s="618"/>
      <c r="W105" s="7"/>
      <c r="X105" s="7"/>
      <c r="Y105" s="7"/>
      <c r="Z105" s="7"/>
      <c r="AA105" s="7"/>
      <c r="AB105" s="7"/>
    </row>
    <row r="106" spans="1:28" ht="20.25" customHeight="1">
      <c r="A106" s="503"/>
      <c r="B106" s="483" t="s">
        <v>275</v>
      </c>
      <c r="C106" s="629" t="s">
        <v>131</v>
      </c>
      <c r="D106" s="504" t="s">
        <v>271</v>
      </c>
      <c r="E106" s="213"/>
      <c r="F106" s="213"/>
      <c r="G106" s="213"/>
      <c r="H106" s="214"/>
      <c r="I106" s="214"/>
      <c r="J106" s="632">
        <v>8640.9</v>
      </c>
      <c r="K106" s="362"/>
      <c r="L106" s="369"/>
      <c r="M106" s="392"/>
      <c r="N106" s="215"/>
      <c r="O106" s="616">
        <f t="shared" si="1"/>
        <v>8640.9</v>
      </c>
      <c r="P106" s="633"/>
      <c r="Q106" s="648"/>
      <c r="R106" s="648"/>
      <c r="S106" s="7"/>
      <c r="T106" s="699"/>
      <c r="U106" s="7"/>
      <c r="V106" s="618"/>
      <c r="W106" s="7"/>
      <c r="X106" s="7"/>
      <c r="Y106" s="7"/>
      <c r="Z106" s="7"/>
      <c r="AA106" s="7"/>
      <c r="AB106" s="7"/>
    </row>
    <row r="107" spans="1:28" ht="20.25" customHeight="1">
      <c r="A107" s="503"/>
      <c r="B107" s="483" t="s">
        <v>276</v>
      </c>
      <c r="C107" s="629" t="s">
        <v>200</v>
      </c>
      <c r="D107" s="504" t="s">
        <v>271</v>
      </c>
      <c r="E107" s="213"/>
      <c r="F107" s="213"/>
      <c r="G107" s="213"/>
      <c r="H107" s="214"/>
      <c r="I107" s="214"/>
      <c r="J107" s="632">
        <v>1068.5999999999999</v>
      </c>
      <c r="K107" s="362"/>
      <c r="L107" s="369"/>
      <c r="M107" s="392"/>
      <c r="N107" s="215"/>
      <c r="O107" s="616">
        <f t="shared" si="1"/>
        <v>1068.5999999999999</v>
      </c>
      <c r="P107" s="633"/>
      <c r="Q107" s="648"/>
      <c r="R107" s="648"/>
      <c r="S107" s="7"/>
      <c r="T107" s="699"/>
      <c r="U107" s="7"/>
      <c r="V107" s="618"/>
      <c r="W107" s="7"/>
      <c r="X107" s="7"/>
      <c r="Y107" s="7"/>
      <c r="Z107" s="7"/>
      <c r="AA107" s="7"/>
      <c r="AB107" s="7"/>
    </row>
    <row r="108" spans="1:28" ht="20.25" customHeight="1">
      <c r="A108" s="503"/>
      <c r="B108" s="483" t="s">
        <v>277</v>
      </c>
      <c r="C108" s="629" t="s">
        <v>203</v>
      </c>
      <c r="D108" s="504" t="s">
        <v>271</v>
      </c>
      <c r="E108" s="213"/>
      <c r="F108" s="213"/>
      <c r="G108" s="213"/>
      <c r="H108" s="214"/>
      <c r="I108" s="214"/>
      <c r="J108" s="632">
        <v>1129.0999999999999</v>
      </c>
      <c r="K108" s="362"/>
      <c r="L108" s="369"/>
      <c r="M108" s="392">
        <v>9.6</v>
      </c>
      <c r="N108" s="215"/>
      <c r="O108" s="616">
        <f t="shared" si="1"/>
        <v>1138.6999999999998</v>
      </c>
      <c r="P108" s="633"/>
      <c r="Q108" s="648"/>
      <c r="R108" s="648"/>
      <c r="S108" s="7"/>
      <c r="T108" s="699"/>
      <c r="U108" s="7"/>
      <c r="V108" s="618"/>
      <c r="W108" s="7"/>
      <c r="X108" s="7"/>
      <c r="Y108" s="7"/>
      <c r="Z108" s="7"/>
      <c r="AA108" s="7"/>
      <c r="AB108" s="7"/>
    </row>
    <row r="109" spans="1:28" ht="20.25" customHeight="1">
      <c r="A109" s="503"/>
      <c r="B109" s="483" t="s">
        <v>278</v>
      </c>
      <c r="C109" s="629" t="s">
        <v>159</v>
      </c>
      <c r="D109" s="504" t="s">
        <v>271</v>
      </c>
      <c r="E109" s="213"/>
      <c r="F109" s="213"/>
      <c r="G109" s="213"/>
      <c r="H109" s="214"/>
      <c r="I109" s="214"/>
      <c r="J109" s="632">
        <v>879.8</v>
      </c>
      <c r="K109" s="362"/>
      <c r="L109" s="369"/>
      <c r="M109" s="392">
        <v>11.2</v>
      </c>
      <c r="N109" s="215"/>
      <c r="O109" s="616">
        <f t="shared" si="1"/>
        <v>891</v>
      </c>
      <c r="P109" s="633"/>
      <c r="Q109" s="648"/>
      <c r="R109" s="648"/>
      <c r="S109" s="7"/>
      <c r="T109" s="699"/>
      <c r="U109" s="7"/>
      <c r="V109" s="618"/>
      <c r="W109" s="7"/>
      <c r="X109" s="7"/>
      <c r="Y109" s="7"/>
      <c r="Z109" s="7"/>
      <c r="AA109" s="7"/>
      <c r="AB109" s="7"/>
    </row>
    <row r="110" spans="1:28" ht="20.25" customHeight="1">
      <c r="A110" s="510"/>
      <c r="B110" s="505" t="s">
        <v>279</v>
      </c>
      <c r="C110" s="655" t="s">
        <v>280</v>
      </c>
      <c r="D110" s="512" t="s">
        <v>271</v>
      </c>
      <c r="E110" s="213"/>
      <c r="F110" s="213"/>
      <c r="G110" s="213"/>
      <c r="H110" s="214"/>
      <c r="I110" s="214"/>
      <c r="J110" s="632"/>
      <c r="K110" s="362"/>
      <c r="L110" s="369"/>
      <c r="M110" s="392"/>
      <c r="N110" s="215"/>
      <c r="O110" s="616">
        <f t="shared" si="1"/>
        <v>0</v>
      </c>
      <c r="P110" s="633"/>
      <c r="Q110" s="654"/>
      <c r="R110" s="654"/>
      <c r="S110" s="7"/>
      <c r="T110" s="699"/>
      <c r="U110" s="7"/>
      <c r="V110" s="618"/>
      <c r="W110" s="7"/>
      <c r="X110" s="7"/>
      <c r="Y110" s="7"/>
      <c r="Z110" s="7"/>
      <c r="AA110" s="7"/>
      <c r="AB110" s="7"/>
    </row>
    <row r="111" spans="1:28" ht="20.25" customHeight="1">
      <c r="A111" s="482"/>
      <c r="B111" s="483" t="s">
        <v>281</v>
      </c>
      <c r="C111" s="629" t="s">
        <v>131</v>
      </c>
      <c r="D111" s="504" t="s">
        <v>271</v>
      </c>
      <c r="E111" s="213"/>
      <c r="F111" s="213"/>
      <c r="G111" s="213"/>
      <c r="H111" s="214"/>
      <c r="I111" s="214"/>
      <c r="J111" s="632"/>
      <c r="K111" s="362"/>
      <c r="L111" s="369"/>
      <c r="M111" s="392"/>
      <c r="N111" s="215"/>
      <c r="O111" s="616">
        <f t="shared" si="1"/>
        <v>0</v>
      </c>
      <c r="P111" s="633"/>
      <c r="Q111" s="634"/>
      <c r="R111" s="634"/>
      <c r="S111" s="7"/>
      <c r="T111" s="699"/>
      <c r="U111" s="7"/>
      <c r="V111" s="618"/>
      <c r="W111" s="7"/>
      <c r="X111" s="7"/>
      <c r="Y111" s="7"/>
      <c r="Z111" s="7"/>
      <c r="AA111" s="7"/>
      <c r="AB111" s="7"/>
    </row>
    <row r="112" spans="1:28" ht="20.25" customHeight="1">
      <c r="A112" s="482"/>
      <c r="B112" s="483" t="s">
        <v>282</v>
      </c>
      <c r="C112" s="629" t="s">
        <v>200</v>
      </c>
      <c r="D112" s="504" t="s">
        <v>271</v>
      </c>
      <c r="E112" s="213"/>
      <c r="F112" s="213"/>
      <c r="G112" s="213"/>
      <c r="H112" s="214"/>
      <c r="I112" s="214"/>
      <c r="J112" s="632"/>
      <c r="K112" s="362"/>
      <c r="L112" s="369"/>
      <c r="M112" s="392"/>
      <c r="N112" s="215"/>
      <c r="O112" s="616">
        <f t="shared" si="1"/>
        <v>0</v>
      </c>
      <c r="P112" s="633"/>
      <c r="Q112" s="634"/>
      <c r="R112" s="634"/>
      <c r="S112" s="7"/>
      <c r="T112" s="699"/>
      <c r="U112" s="7"/>
      <c r="V112" s="618"/>
      <c r="W112" s="7"/>
      <c r="X112" s="7"/>
      <c r="Y112" s="7"/>
      <c r="Z112" s="7"/>
      <c r="AA112" s="7"/>
      <c r="AB112" s="7"/>
    </row>
    <row r="113" spans="1:28" ht="20.25" customHeight="1">
      <c r="A113" s="482"/>
      <c r="B113" s="483" t="s">
        <v>283</v>
      </c>
      <c r="C113" s="629" t="s">
        <v>203</v>
      </c>
      <c r="D113" s="504" t="s">
        <v>271</v>
      </c>
      <c r="E113" s="213"/>
      <c r="F113" s="213"/>
      <c r="G113" s="213"/>
      <c r="H113" s="214"/>
      <c r="I113" s="214"/>
      <c r="J113" s="632"/>
      <c r="K113" s="362"/>
      <c r="L113" s="369"/>
      <c r="M113" s="392"/>
      <c r="N113" s="215"/>
      <c r="O113" s="616">
        <f t="shared" si="1"/>
        <v>0</v>
      </c>
      <c r="P113" s="633"/>
      <c r="Q113" s="634"/>
      <c r="R113" s="634"/>
      <c r="S113" s="7"/>
      <c r="T113" s="699"/>
      <c r="U113" s="7"/>
      <c r="V113" s="618"/>
      <c r="W113" s="7"/>
      <c r="X113" s="7"/>
      <c r="Y113" s="7"/>
      <c r="Z113" s="7"/>
      <c r="AA113" s="7"/>
      <c r="AB113" s="7"/>
    </row>
    <row r="114" spans="1:28" ht="20.25" customHeight="1">
      <c r="A114" s="482"/>
      <c r="B114" s="483" t="s">
        <v>284</v>
      </c>
      <c r="C114" s="629" t="s">
        <v>159</v>
      </c>
      <c r="D114" s="504" t="s">
        <v>271</v>
      </c>
      <c r="E114" s="213"/>
      <c r="F114" s="213"/>
      <c r="G114" s="213"/>
      <c r="H114" s="214"/>
      <c r="I114" s="214"/>
      <c r="J114" s="632"/>
      <c r="K114" s="362"/>
      <c r="L114" s="369"/>
      <c r="M114" s="392"/>
      <c r="N114" s="215"/>
      <c r="O114" s="616">
        <f t="shared" si="1"/>
        <v>0</v>
      </c>
      <c r="P114" s="633"/>
      <c r="Q114" s="634"/>
      <c r="R114" s="634"/>
      <c r="S114" s="7"/>
      <c r="T114" s="699"/>
      <c r="U114" s="7"/>
      <c r="V114" s="618"/>
      <c r="W114" s="7"/>
      <c r="X114" s="7"/>
      <c r="Y114" s="7"/>
      <c r="Z114" s="7"/>
      <c r="AA114" s="7"/>
      <c r="AB114" s="7"/>
    </row>
    <row r="115" spans="1:28" ht="20.25" customHeight="1">
      <c r="A115" s="486"/>
      <c r="B115" s="487" t="s">
        <v>285</v>
      </c>
      <c r="C115" s="635" t="s">
        <v>286</v>
      </c>
      <c r="D115" s="512" t="s">
        <v>271</v>
      </c>
      <c r="E115" s="213"/>
      <c r="F115" s="213"/>
      <c r="G115" s="213"/>
      <c r="H115" s="214"/>
      <c r="I115" s="214"/>
      <c r="J115" s="632"/>
      <c r="K115" s="362"/>
      <c r="L115" s="369"/>
      <c r="M115" s="392"/>
      <c r="N115" s="215"/>
      <c r="O115" s="616">
        <f t="shared" si="1"/>
        <v>0</v>
      </c>
      <c r="P115" s="633"/>
      <c r="Q115" s="636"/>
      <c r="R115" s="636"/>
      <c r="S115" s="7"/>
      <c r="T115" s="699"/>
      <c r="U115" s="7"/>
      <c r="V115" s="618"/>
      <c r="W115" s="7"/>
      <c r="X115" s="7"/>
      <c r="Y115" s="7"/>
      <c r="Z115" s="7"/>
      <c r="AA115" s="7"/>
      <c r="AB115" s="7"/>
    </row>
    <row r="116" spans="1:28" ht="20.25" hidden="1" customHeight="1">
      <c r="A116" s="510"/>
      <c r="B116" s="505" t="s">
        <v>287</v>
      </c>
      <c r="C116" s="655" t="s">
        <v>288</v>
      </c>
      <c r="D116" s="512" t="s">
        <v>271</v>
      </c>
      <c r="E116" s="213"/>
      <c r="F116" s="213"/>
      <c r="G116" s="213"/>
      <c r="H116" s="214"/>
      <c r="I116" s="214"/>
      <c r="J116" s="632"/>
      <c r="K116" s="362"/>
      <c r="L116" s="369"/>
      <c r="M116" s="392"/>
      <c r="N116" s="215"/>
      <c r="O116" s="616">
        <f t="shared" si="1"/>
        <v>0</v>
      </c>
      <c r="P116" s="633"/>
      <c r="Q116" s="654"/>
      <c r="R116" s="654"/>
      <c r="S116" s="7"/>
      <c r="T116" s="699"/>
      <c r="U116" s="7"/>
      <c r="V116" s="618">
        <f t="shared" ref="V116:V126" si="9">T116-O116</f>
        <v>0</v>
      </c>
      <c r="W116" s="7"/>
      <c r="X116" s="7"/>
      <c r="Y116" s="7"/>
      <c r="Z116" s="7"/>
      <c r="AA116" s="7"/>
      <c r="AB116" s="7"/>
    </row>
    <row r="117" spans="1:28" ht="20.25" hidden="1" customHeight="1">
      <c r="A117" s="503"/>
      <c r="B117" s="483" t="s">
        <v>289</v>
      </c>
      <c r="C117" s="629" t="s">
        <v>131</v>
      </c>
      <c r="D117" s="504" t="s">
        <v>271</v>
      </c>
      <c r="E117" s="213"/>
      <c r="F117" s="213"/>
      <c r="G117" s="213"/>
      <c r="H117" s="214"/>
      <c r="I117" s="214"/>
      <c r="J117" s="632"/>
      <c r="K117" s="362"/>
      <c r="L117" s="369"/>
      <c r="M117" s="392"/>
      <c r="N117" s="215"/>
      <c r="O117" s="616">
        <f t="shared" si="1"/>
        <v>0</v>
      </c>
      <c r="P117" s="633"/>
      <c r="Q117" s="648"/>
      <c r="R117" s="648"/>
      <c r="S117" s="7"/>
      <c r="T117" s="699"/>
      <c r="U117" s="7"/>
      <c r="V117" s="618">
        <f t="shared" si="9"/>
        <v>0</v>
      </c>
      <c r="W117" s="7"/>
      <c r="X117" s="7"/>
      <c r="Y117" s="7"/>
      <c r="Z117" s="7"/>
      <c r="AA117" s="7"/>
      <c r="AB117" s="7"/>
    </row>
    <row r="118" spans="1:28" ht="20.25" hidden="1" customHeight="1">
      <c r="A118" s="503"/>
      <c r="B118" s="483" t="s">
        <v>290</v>
      </c>
      <c r="C118" s="629" t="s">
        <v>200</v>
      </c>
      <c r="D118" s="504" t="s">
        <v>271</v>
      </c>
      <c r="E118" s="213"/>
      <c r="F118" s="213"/>
      <c r="G118" s="213"/>
      <c r="H118" s="214"/>
      <c r="I118" s="214"/>
      <c r="J118" s="632"/>
      <c r="K118" s="362"/>
      <c r="L118" s="369"/>
      <c r="M118" s="392"/>
      <c r="N118" s="215"/>
      <c r="O118" s="616">
        <f t="shared" si="1"/>
        <v>0</v>
      </c>
      <c r="P118" s="633"/>
      <c r="Q118" s="648"/>
      <c r="R118" s="648"/>
      <c r="S118" s="7"/>
      <c r="T118" s="699"/>
      <c r="U118" s="7"/>
      <c r="V118" s="618">
        <f t="shared" si="9"/>
        <v>0</v>
      </c>
      <c r="W118" s="7"/>
      <c r="X118" s="7"/>
      <c r="Y118" s="7"/>
      <c r="Z118" s="7"/>
      <c r="AA118" s="7"/>
      <c r="AB118" s="7"/>
    </row>
    <row r="119" spans="1:28" ht="20.25" hidden="1" customHeight="1">
      <c r="A119" s="503"/>
      <c r="B119" s="483" t="s">
        <v>291</v>
      </c>
      <c r="C119" s="629" t="s">
        <v>203</v>
      </c>
      <c r="D119" s="504" t="s">
        <v>271</v>
      </c>
      <c r="E119" s="213"/>
      <c r="F119" s="213"/>
      <c r="G119" s="213"/>
      <c r="H119" s="214"/>
      <c r="I119" s="214"/>
      <c r="J119" s="632"/>
      <c r="K119" s="362"/>
      <c r="L119" s="369"/>
      <c r="M119" s="392"/>
      <c r="N119" s="215"/>
      <c r="O119" s="616">
        <f t="shared" si="1"/>
        <v>0</v>
      </c>
      <c r="P119" s="633"/>
      <c r="Q119" s="648"/>
      <c r="R119" s="648"/>
      <c r="S119" s="7"/>
      <c r="T119" s="699"/>
      <c r="U119" s="7"/>
      <c r="V119" s="618">
        <f t="shared" si="9"/>
        <v>0</v>
      </c>
      <c r="W119" s="7"/>
      <c r="X119" s="7"/>
      <c r="Y119" s="7"/>
      <c r="Z119" s="7"/>
      <c r="AA119" s="7"/>
      <c r="AB119" s="7"/>
    </row>
    <row r="120" spans="1:28" ht="20.25" hidden="1" customHeight="1">
      <c r="A120" s="503"/>
      <c r="B120" s="483" t="s">
        <v>292</v>
      </c>
      <c r="C120" s="629" t="s">
        <v>159</v>
      </c>
      <c r="D120" s="504" t="s">
        <v>271</v>
      </c>
      <c r="E120" s="213"/>
      <c r="F120" s="213"/>
      <c r="G120" s="213"/>
      <c r="H120" s="214"/>
      <c r="I120" s="214"/>
      <c r="J120" s="632"/>
      <c r="K120" s="362"/>
      <c r="L120" s="369"/>
      <c r="M120" s="392"/>
      <c r="N120" s="215"/>
      <c r="O120" s="616">
        <f t="shared" si="1"/>
        <v>0</v>
      </c>
      <c r="P120" s="633"/>
      <c r="Q120" s="648"/>
      <c r="R120" s="648"/>
      <c r="S120" s="7"/>
      <c r="T120" s="699"/>
      <c r="U120" s="7"/>
      <c r="V120" s="618">
        <f t="shared" si="9"/>
        <v>0</v>
      </c>
      <c r="W120" s="7"/>
      <c r="X120" s="7"/>
      <c r="Y120" s="7"/>
      <c r="Z120" s="7"/>
      <c r="AA120" s="7"/>
      <c r="AB120" s="7"/>
    </row>
    <row r="121" spans="1:28" ht="20.25" hidden="1" customHeight="1">
      <c r="A121" s="510"/>
      <c r="B121" s="505" t="s">
        <v>293</v>
      </c>
      <c r="C121" s="655" t="s">
        <v>294</v>
      </c>
      <c r="D121" s="512" t="s">
        <v>271</v>
      </c>
      <c r="E121" s="213"/>
      <c r="F121" s="213"/>
      <c r="G121" s="213"/>
      <c r="H121" s="214"/>
      <c r="I121" s="214"/>
      <c r="J121" s="632"/>
      <c r="K121" s="362"/>
      <c r="L121" s="369"/>
      <c r="M121" s="392"/>
      <c r="N121" s="215"/>
      <c r="O121" s="616">
        <f t="shared" si="1"/>
        <v>0</v>
      </c>
      <c r="P121" s="633"/>
      <c r="Q121" s="654"/>
      <c r="R121" s="654"/>
      <c r="S121" s="7"/>
      <c r="T121" s="699"/>
      <c r="U121" s="7"/>
      <c r="V121" s="618">
        <f t="shared" si="9"/>
        <v>0</v>
      </c>
      <c r="W121" s="7"/>
      <c r="X121" s="7"/>
      <c r="Y121" s="7"/>
      <c r="Z121" s="7"/>
      <c r="AA121" s="7"/>
      <c r="AB121" s="7"/>
    </row>
    <row r="122" spans="1:28" ht="20.25" hidden="1" customHeight="1">
      <c r="A122" s="503"/>
      <c r="B122" s="483" t="s">
        <v>295</v>
      </c>
      <c r="C122" s="629" t="s">
        <v>131</v>
      </c>
      <c r="D122" s="504" t="s">
        <v>271</v>
      </c>
      <c r="E122" s="213"/>
      <c r="F122" s="213"/>
      <c r="G122" s="213"/>
      <c r="H122" s="214"/>
      <c r="I122" s="214"/>
      <c r="J122" s="632"/>
      <c r="K122" s="362"/>
      <c r="L122" s="369"/>
      <c r="M122" s="392"/>
      <c r="N122" s="215"/>
      <c r="O122" s="616">
        <f t="shared" si="1"/>
        <v>0</v>
      </c>
      <c r="P122" s="633"/>
      <c r="Q122" s="648"/>
      <c r="R122" s="648"/>
      <c r="S122" s="7"/>
      <c r="T122" s="699"/>
      <c r="U122" s="7"/>
      <c r="V122" s="618">
        <f t="shared" si="9"/>
        <v>0</v>
      </c>
      <c r="W122" s="7"/>
      <c r="X122" s="7"/>
      <c r="Y122" s="7"/>
      <c r="Z122" s="7"/>
      <c r="AA122" s="7"/>
      <c r="AB122" s="7"/>
    </row>
    <row r="123" spans="1:28" ht="20.25" hidden="1" customHeight="1">
      <c r="A123" s="503"/>
      <c r="B123" s="483" t="s">
        <v>296</v>
      </c>
      <c r="C123" s="629" t="s">
        <v>200</v>
      </c>
      <c r="D123" s="504" t="s">
        <v>271</v>
      </c>
      <c r="E123" s="213"/>
      <c r="F123" s="213"/>
      <c r="G123" s="213"/>
      <c r="H123" s="214"/>
      <c r="I123" s="214"/>
      <c r="J123" s="632"/>
      <c r="K123" s="362"/>
      <c r="L123" s="369"/>
      <c r="M123" s="392"/>
      <c r="N123" s="215"/>
      <c r="O123" s="616">
        <f t="shared" si="1"/>
        <v>0</v>
      </c>
      <c r="P123" s="633"/>
      <c r="Q123" s="648"/>
      <c r="R123" s="648"/>
      <c r="S123" s="7"/>
      <c r="T123" s="699"/>
      <c r="U123" s="7"/>
      <c r="V123" s="618">
        <f t="shared" si="9"/>
        <v>0</v>
      </c>
      <c r="W123" s="7"/>
      <c r="X123" s="7"/>
      <c r="Y123" s="7"/>
      <c r="Z123" s="7"/>
      <c r="AA123" s="7"/>
      <c r="AB123" s="7"/>
    </row>
    <row r="124" spans="1:28" ht="20.25" hidden="1" customHeight="1">
      <c r="A124" s="503"/>
      <c r="B124" s="483" t="s">
        <v>297</v>
      </c>
      <c r="C124" s="629" t="s">
        <v>203</v>
      </c>
      <c r="D124" s="504" t="s">
        <v>271</v>
      </c>
      <c r="E124" s="213"/>
      <c r="F124" s="213"/>
      <c r="G124" s="213"/>
      <c r="H124" s="214"/>
      <c r="I124" s="214"/>
      <c r="J124" s="632"/>
      <c r="K124" s="362"/>
      <c r="L124" s="369"/>
      <c r="M124" s="392"/>
      <c r="N124" s="215"/>
      <c r="O124" s="616">
        <f t="shared" si="1"/>
        <v>0</v>
      </c>
      <c r="P124" s="633"/>
      <c r="Q124" s="648"/>
      <c r="R124" s="648"/>
      <c r="S124" s="7"/>
      <c r="T124" s="699"/>
      <c r="U124" s="7"/>
      <c r="V124" s="618">
        <f t="shared" si="9"/>
        <v>0</v>
      </c>
      <c r="W124" s="7"/>
      <c r="X124" s="7"/>
      <c r="Y124" s="7"/>
      <c r="Z124" s="7"/>
      <c r="AA124" s="7"/>
      <c r="AB124" s="7"/>
    </row>
    <row r="125" spans="1:28" ht="20.25" hidden="1" customHeight="1">
      <c r="A125" s="503"/>
      <c r="B125" s="483" t="s">
        <v>298</v>
      </c>
      <c r="C125" s="629" t="s">
        <v>159</v>
      </c>
      <c r="D125" s="504" t="s">
        <v>271</v>
      </c>
      <c r="E125" s="213"/>
      <c r="F125" s="213"/>
      <c r="G125" s="213"/>
      <c r="H125" s="214"/>
      <c r="I125" s="214"/>
      <c r="J125" s="632"/>
      <c r="K125" s="362"/>
      <c r="L125" s="369"/>
      <c r="M125" s="392"/>
      <c r="N125" s="215"/>
      <c r="O125" s="616">
        <f t="shared" si="1"/>
        <v>0</v>
      </c>
      <c r="P125" s="633"/>
      <c r="Q125" s="648"/>
      <c r="R125" s="648"/>
      <c r="S125" s="7"/>
      <c r="T125" s="699"/>
      <c r="U125" s="7"/>
      <c r="V125" s="618">
        <f t="shared" si="9"/>
        <v>0</v>
      </c>
      <c r="W125" s="7"/>
      <c r="X125" s="7"/>
      <c r="Y125" s="7"/>
      <c r="Z125" s="7"/>
      <c r="AA125" s="7"/>
      <c r="AB125" s="7"/>
    </row>
    <row r="126" spans="1:28" ht="20.25" customHeight="1">
      <c r="A126" s="486"/>
      <c r="B126" s="487" t="s">
        <v>299</v>
      </c>
      <c r="C126" s="635" t="s">
        <v>300</v>
      </c>
      <c r="D126" s="412" t="s">
        <v>271</v>
      </c>
      <c r="E126" s="213"/>
      <c r="F126" s="213"/>
      <c r="G126" s="213"/>
      <c r="H126" s="214"/>
      <c r="I126" s="214"/>
      <c r="J126" s="632">
        <v>2578.6</v>
      </c>
      <c r="K126" s="751">
        <v>877.8</v>
      </c>
      <c r="L126" s="376"/>
      <c r="M126" s="752">
        <v>460.5</v>
      </c>
      <c r="N126" s="215"/>
      <c r="O126" s="616">
        <f t="shared" si="1"/>
        <v>3916.8999999999996</v>
      </c>
      <c r="P126" s="633"/>
      <c r="Q126" s="636"/>
      <c r="R126" s="636"/>
      <c r="S126" s="7"/>
      <c r="T126" s="699">
        <v>264.60000000000002</v>
      </c>
      <c r="U126" s="7"/>
      <c r="V126" s="618">
        <f t="shared" si="9"/>
        <v>-3652.2999999999997</v>
      </c>
      <c r="W126" s="7"/>
      <c r="X126" s="7"/>
      <c r="Y126" s="7"/>
      <c r="Z126" s="7"/>
      <c r="AA126" s="7"/>
      <c r="AB126" s="7"/>
    </row>
    <row r="127" spans="1:28" ht="19.5" customHeight="1">
      <c r="A127" s="482"/>
      <c r="B127" s="483" t="s">
        <v>302</v>
      </c>
      <c r="C127" s="629" t="s">
        <v>131</v>
      </c>
      <c r="D127" s="504" t="s">
        <v>271</v>
      </c>
      <c r="E127" s="213"/>
      <c r="F127" s="213"/>
      <c r="G127" s="213"/>
      <c r="H127" s="214"/>
      <c r="I127" s="214"/>
      <c r="J127" s="632">
        <v>2341.5</v>
      </c>
      <c r="K127" s="362"/>
      <c r="L127" s="369"/>
      <c r="M127" s="392">
        <v>267.10000000000002</v>
      </c>
      <c r="N127" s="215"/>
      <c r="O127" s="616">
        <f t="shared" si="1"/>
        <v>2608.6</v>
      </c>
      <c r="P127" s="633"/>
      <c r="Q127" s="634"/>
      <c r="R127" s="634"/>
      <c r="S127" s="7"/>
      <c r="T127" s="699"/>
      <c r="U127" s="7"/>
      <c r="V127" s="618"/>
      <c r="W127" s="7"/>
      <c r="X127" s="7"/>
      <c r="Y127" s="7"/>
      <c r="Z127" s="7"/>
      <c r="AA127" s="7"/>
      <c r="AB127" s="7"/>
    </row>
    <row r="128" spans="1:28" ht="20.25" customHeight="1">
      <c r="A128" s="482"/>
      <c r="B128" s="483" t="s">
        <v>303</v>
      </c>
      <c r="C128" s="629" t="s">
        <v>200</v>
      </c>
      <c r="D128" s="504" t="s">
        <v>271</v>
      </c>
      <c r="E128" s="213"/>
      <c r="F128" s="213"/>
      <c r="G128" s="213"/>
      <c r="H128" s="214"/>
      <c r="I128" s="214"/>
      <c r="J128" s="632">
        <v>36.700000000000003</v>
      </c>
      <c r="K128" s="362"/>
      <c r="L128" s="369"/>
      <c r="M128" s="392">
        <v>53.3</v>
      </c>
      <c r="N128" s="215"/>
      <c r="O128" s="616">
        <f t="shared" si="1"/>
        <v>90</v>
      </c>
      <c r="P128" s="633"/>
      <c r="Q128" s="634"/>
      <c r="R128" s="634"/>
      <c r="S128" s="7"/>
      <c r="T128" s="699"/>
      <c r="U128" s="7"/>
      <c r="V128" s="618"/>
      <c r="W128" s="7"/>
      <c r="X128" s="7"/>
      <c r="Y128" s="7"/>
      <c r="Z128" s="7"/>
      <c r="AA128" s="7"/>
      <c r="AB128" s="7"/>
    </row>
    <row r="129" spans="1:28" ht="20.25" customHeight="1">
      <c r="A129" s="482"/>
      <c r="B129" s="483" t="s">
        <v>304</v>
      </c>
      <c r="C129" s="629" t="s">
        <v>203</v>
      </c>
      <c r="D129" s="504" t="s">
        <v>271</v>
      </c>
      <c r="E129" s="213"/>
      <c r="F129" s="213"/>
      <c r="G129" s="213"/>
      <c r="H129" s="214"/>
      <c r="I129" s="214"/>
      <c r="J129" s="632">
        <v>112.2</v>
      </c>
      <c r="K129" s="362"/>
      <c r="L129" s="369"/>
      <c r="M129" s="392">
        <v>140.1</v>
      </c>
      <c r="N129" s="215"/>
      <c r="O129" s="616">
        <f t="shared" si="1"/>
        <v>252.3</v>
      </c>
      <c r="P129" s="633"/>
      <c r="Q129" s="634"/>
      <c r="R129" s="634"/>
      <c r="S129" s="7"/>
      <c r="T129" s="699"/>
      <c r="U129" s="7"/>
      <c r="V129" s="618"/>
      <c r="W129" s="7"/>
      <c r="X129" s="7"/>
      <c r="Y129" s="7"/>
      <c r="Z129" s="7"/>
      <c r="AA129" s="7"/>
      <c r="AB129" s="7"/>
    </row>
    <row r="130" spans="1:28" ht="20.25" customHeight="1">
      <c r="A130" s="482"/>
      <c r="B130" s="483" t="s">
        <v>305</v>
      </c>
      <c r="C130" s="629" t="s">
        <v>159</v>
      </c>
      <c r="D130" s="504" t="s">
        <v>271</v>
      </c>
      <c r="E130" s="213"/>
      <c r="F130" s="213"/>
      <c r="G130" s="213"/>
      <c r="H130" s="214"/>
      <c r="I130" s="214"/>
      <c r="J130" s="632">
        <v>88.3</v>
      </c>
      <c r="K130" s="362"/>
      <c r="L130" s="369"/>
      <c r="M130" s="392"/>
      <c r="N130" s="215"/>
      <c r="O130" s="616">
        <f t="shared" si="1"/>
        <v>88.3</v>
      </c>
      <c r="P130" s="633"/>
      <c r="Q130" s="634"/>
      <c r="R130" s="634"/>
      <c r="S130" s="7"/>
      <c r="T130" s="699"/>
      <c r="U130" s="7"/>
      <c r="V130" s="618"/>
      <c r="W130" s="7"/>
      <c r="X130" s="7"/>
      <c r="Y130" s="7"/>
      <c r="Z130" s="7"/>
      <c r="AA130" s="7"/>
      <c r="AB130" s="7"/>
    </row>
    <row r="131" spans="1:28" ht="20.25" customHeight="1">
      <c r="A131" s="486"/>
      <c r="B131" s="505" t="s">
        <v>306</v>
      </c>
      <c r="C131" s="635" t="s">
        <v>307</v>
      </c>
      <c r="D131" s="412" t="s">
        <v>308</v>
      </c>
      <c r="E131" s="213"/>
      <c r="F131" s="213"/>
      <c r="G131" s="213"/>
      <c r="H131" s="214"/>
      <c r="I131" s="214"/>
      <c r="J131" s="632"/>
      <c r="K131" s="362"/>
      <c r="L131" s="369"/>
      <c r="M131" s="392"/>
      <c r="N131" s="215"/>
      <c r="O131" s="616">
        <f t="shared" si="1"/>
        <v>0</v>
      </c>
      <c r="P131" s="633"/>
      <c r="Q131" s="636"/>
      <c r="R131" s="636"/>
      <c r="S131" s="7"/>
      <c r="T131" s="699"/>
      <c r="U131" s="7"/>
      <c r="V131" s="618">
        <f t="shared" ref="V131:V135" si="10">T131-O131</f>
        <v>0</v>
      </c>
      <c r="W131" s="7"/>
      <c r="X131" s="7"/>
      <c r="Y131" s="7"/>
      <c r="Z131" s="7"/>
      <c r="AA131" s="7"/>
      <c r="AB131" s="7"/>
    </row>
    <row r="132" spans="1:28" ht="20.25" customHeight="1">
      <c r="A132" s="482"/>
      <c r="B132" s="483" t="s">
        <v>310</v>
      </c>
      <c r="C132" s="629" t="s">
        <v>131</v>
      </c>
      <c r="D132" s="504" t="s">
        <v>308</v>
      </c>
      <c r="E132" s="213"/>
      <c r="F132" s="213"/>
      <c r="G132" s="213"/>
      <c r="H132" s="214"/>
      <c r="I132" s="214"/>
      <c r="J132" s="632"/>
      <c r="K132" s="362"/>
      <c r="L132" s="369"/>
      <c r="M132" s="392"/>
      <c r="N132" s="215"/>
      <c r="O132" s="616">
        <f t="shared" si="1"/>
        <v>0</v>
      </c>
      <c r="P132" s="633"/>
      <c r="Q132" s="634"/>
      <c r="R132" s="634"/>
      <c r="S132" s="7"/>
      <c r="T132" s="699"/>
      <c r="U132" s="7"/>
      <c r="V132" s="618">
        <f t="shared" si="10"/>
        <v>0</v>
      </c>
      <c r="W132" s="7"/>
      <c r="X132" s="7"/>
      <c r="Y132" s="7"/>
      <c r="Z132" s="7"/>
      <c r="AA132" s="7"/>
      <c r="AB132" s="7"/>
    </row>
    <row r="133" spans="1:28" ht="20.25" customHeight="1">
      <c r="A133" s="482"/>
      <c r="B133" s="483" t="s">
        <v>311</v>
      </c>
      <c r="C133" s="629" t="s">
        <v>200</v>
      </c>
      <c r="D133" s="504" t="s">
        <v>308</v>
      </c>
      <c r="E133" s="213"/>
      <c r="F133" s="213"/>
      <c r="G133" s="213"/>
      <c r="H133" s="214"/>
      <c r="I133" s="214"/>
      <c r="J133" s="632"/>
      <c r="K133" s="362"/>
      <c r="L133" s="369"/>
      <c r="M133" s="392"/>
      <c r="N133" s="215"/>
      <c r="O133" s="616">
        <f t="shared" si="1"/>
        <v>0</v>
      </c>
      <c r="P133" s="633"/>
      <c r="Q133" s="634"/>
      <c r="R133" s="634"/>
      <c r="S133" s="7"/>
      <c r="T133" s="699"/>
      <c r="U133" s="7"/>
      <c r="V133" s="618">
        <f t="shared" si="10"/>
        <v>0</v>
      </c>
      <c r="W133" s="7"/>
      <c r="X133" s="7"/>
      <c r="Y133" s="7"/>
      <c r="Z133" s="7"/>
      <c r="AA133" s="7"/>
      <c r="AB133" s="7"/>
    </row>
    <row r="134" spans="1:28" ht="20.25" customHeight="1">
      <c r="A134" s="482"/>
      <c r="B134" s="483" t="s">
        <v>312</v>
      </c>
      <c r="C134" s="629" t="s">
        <v>203</v>
      </c>
      <c r="D134" s="504" t="s">
        <v>308</v>
      </c>
      <c r="E134" s="213"/>
      <c r="F134" s="213"/>
      <c r="G134" s="213"/>
      <c r="H134" s="214"/>
      <c r="I134" s="214"/>
      <c r="J134" s="632"/>
      <c r="K134" s="362"/>
      <c r="L134" s="369"/>
      <c r="M134" s="392"/>
      <c r="N134" s="215"/>
      <c r="O134" s="616">
        <f t="shared" si="1"/>
        <v>0</v>
      </c>
      <c r="P134" s="633"/>
      <c r="Q134" s="634"/>
      <c r="R134" s="634"/>
      <c r="S134" s="7"/>
      <c r="T134" s="699"/>
      <c r="U134" s="7"/>
      <c r="V134" s="618">
        <f t="shared" si="10"/>
        <v>0</v>
      </c>
      <c r="W134" s="7"/>
      <c r="X134" s="7"/>
      <c r="Y134" s="7"/>
      <c r="Z134" s="7"/>
      <c r="AA134" s="7"/>
      <c r="AB134" s="7"/>
    </row>
    <row r="135" spans="1:28" ht="20.25" customHeight="1">
      <c r="A135" s="482"/>
      <c r="B135" s="483" t="s">
        <v>313</v>
      </c>
      <c r="C135" s="629" t="s">
        <v>159</v>
      </c>
      <c r="D135" s="504" t="s">
        <v>308</v>
      </c>
      <c r="E135" s="213"/>
      <c r="F135" s="213"/>
      <c r="G135" s="213"/>
      <c r="H135" s="214"/>
      <c r="I135" s="214"/>
      <c r="J135" s="632"/>
      <c r="K135" s="362"/>
      <c r="L135" s="369"/>
      <c r="M135" s="392"/>
      <c r="N135" s="215"/>
      <c r="O135" s="616">
        <f t="shared" si="1"/>
        <v>0</v>
      </c>
      <c r="P135" s="633"/>
      <c r="Q135" s="634"/>
      <c r="R135" s="634"/>
      <c r="S135" s="7"/>
      <c r="T135" s="699"/>
      <c r="U135" s="7"/>
      <c r="V135" s="618">
        <f t="shared" si="10"/>
        <v>0</v>
      </c>
      <c r="W135" s="7"/>
      <c r="X135" s="7"/>
      <c r="Y135" s="7"/>
      <c r="Z135" s="7"/>
      <c r="AA135" s="7"/>
      <c r="AB135" s="7"/>
    </row>
    <row r="136" spans="1:28" ht="20.25" customHeight="1">
      <c r="A136" s="486"/>
      <c r="B136" s="487" t="s">
        <v>314</v>
      </c>
      <c r="C136" s="656" t="s">
        <v>315</v>
      </c>
      <c r="D136" s="412" t="s">
        <v>271</v>
      </c>
      <c r="E136" s="213"/>
      <c r="F136" s="213"/>
      <c r="G136" s="213"/>
      <c r="H136" s="214"/>
      <c r="I136" s="214"/>
      <c r="J136" s="632"/>
      <c r="K136" s="362">
        <v>87.9</v>
      </c>
      <c r="L136" s="369"/>
      <c r="M136" s="392"/>
      <c r="N136" s="215"/>
      <c r="O136" s="616">
        <f t="shared" si="1"/>
        <v>87.9</v>
      </c>
      <c r="P136" s="633"/>
      <c r="Q136" s="636"/>
      <c r="R136" s="636"/>
      <c r="S136" s="7"/>
      <c r="T136" s="699">
        <v>21.73</v>
      </c>
      <c r="U136" s="7"/>
      <c r="V136" s="618"/>
      <c r="W136" s="7"/>
      <c r="X136" s="7"/>
      <c r="Y136" s="7"/>
      <c r="Z136" s="7"/>
      <c r="AA136" s="7"/>
      <c r="AB136" s="7"/>
    </row>
    <row r="137" spans="1:28" ht="20.25" customHeight="1">
      <c r="A137" s="503"/>
      <c r="B137" s="483" t="s">
        <v>317</v>
      </c>
      <c r="C137" s="629" t="s">
        <v>131</v>
      </c>
      <c r="D137" s="504" t="s">
        <v>271</v>
      </c>
      <c r="E137" s="213"/>
      <c r="F137" s="213"/>
      <c r="G137" s="213"/>
      <c r="H137" s="214"/>
      <c r="I137" s="214"/>
      <c r="J137" s="632"/>
      <c r="K137" s="362"/>
      <c r="L137" s="369"/>
      <c r="M137" s="392"/>
      <c r="N137" s="215"/>
      <c r="O137" s="616">
        <f t="shared" si="1"/>
        <v>0</v>
      </c>
      <c r="P137" s="633"/>
      <c r="Q137" s="648"/>
      <c r="R137" s="648"/>
      <c r="S137" s="7"/>
      <c r="T137" s="699"/>
      <c r="U137" s="7"/>
      <c r="V137" s="618">
        <f t="shared" ref="V137:V139" si="11">T137-O137</f>
        <v>0</v>
      </c>
      <c r="W137" s="7"/>
      <c r="X137" s="7"/>
      <c r="Y137" s="7"/>
      <c r="Z137" s="7"/>
      <c r="AA137" s="7"/>
      <c r="AB137" s="7"/>
    </row>
    <row r="138" spans="1:28" ht="20.25" customHeight="1">
      <c r="A138" s="503"/>
      <c r="B138" s="483" t="s">
        <v>318</v>
      </c>
      <c r="C138" s="629" t="s">
        <v>200</v>
      </c>
      <c r="D138" s="504" t="s">
        <v>271</v>
      </c>
      <c r="E138" s="213"/>
      <c r="F138" s="213"/>
      <c r="G138" s="213"/>
      <c r="H138" s="214"/>
      <c r="I138" s="214"/>
      <c r="J138" s="632"/>
      <c r="K138" s="362"/>
      <c r="L138" s="369"/>
      <c r="M138" s="392"/>
      <c r="N138" s="215"/>
      <c r="O138" s="616">
        <f t="shared" si="1"/>
        <v>0</v>
      </c>
      <c r="P138" s="633"/>
      <c r="Q138" s="648"/>
      <c r="R138" s="648"/>
      <c r="S138" s="7"/>
      <c r="T138" s="699"/>
      <c r="U138" s="7"/>
      <c r="V138" s="618">
        <f t="shared" si="11"/>
        <v>0</v>
      </c>
      <c r="W138" s="7"/>
      <c r="X138" s="7"/>
      <c r="Y138" s="7"/>
      <c r="Z138" s="7"/>
      <c r="AA138" s="7"/>
      <c r="AB138" s="7"/>
    </row>
    <row r="139" spans="1:28" ht="20.25" customHeight="1">
      <c r="A139" s="503"/>
      <c r="B139" s="483" t="s">
        <v>319</v>
      </c>
      <c r="C139" s="629" t="s">
        <v>203</v>
      </c>
      <c r="D139" s="504" t="s">
        <v>271</v>
      </c>
      <c r="E139" s="213"/>
      <c r="F139" s="213"/>
      <c r="G139" s="213"/>
      <c r="H139" s="214"/>
      <c r="I139" s="214"/>
      <c r="J139" s="632"/>
      <c r="K139" s="362"/>
      <c r="L139" s="369"/>
      <c r="M139" s="392"/>
      <c r="N139" s="215"/>
      <c r="O139" s="616">
        <f t="shared" si="1"/>
        <v>0</v>
      </c>
      <c r="P139" s="633"/>
      <c r="Q139" s="648"/>
      <c r="R139" s="648"/>
      <c r="S139" s="7"/>
      <c r="T139" s="699"/>
      <c r="U139" s="7"/>
      <c r="V139" s="618">
        <f t="shared" si="11"/>
        <v>0</v>
      </c>
      <c r="W139" s="7"/>
      <c r="X139" s="7"/>
      <c r="Y139" s="7"/>
      <c r="Z139" s="7"/>
      <c r="AA139" s="7"/>
      <c r="AB139" s="7"/>
    </row>
    <row r="140" spans="1:28" ht="20.25" customHeight="1">
      <c r="A140" s="503"/>
      <c r="B140" s="483" t="s">
        <v>320</v>
      </c>
      <c r="C140" s="629" t="s">
        <v>159</v>
      </c>
      <c r="D140" s="504" t="s">
        <v>271</v>
      </c>
      <c r="E140" s="213"/>
      <c r="F140" s="213"/>
      <c r="G140" s="213"/>
      <c r="H140" s="214"/>
      <c r="I140" s="214"/>
      <c r="J140" s="632"/>
      <c r="K140" s="362"/>
      <c r="L140" s="369"/>
      <c r="M140" s="392"/>
      <c r="N140" s="215"/>
      <c r="O140" s="616">
        <f t="shared" si="1"/>
        <v>0</v>
      </c>
      <c r="P140" s="633"/>
      <c r="Q140" s="648"/>
      <c r="R140" s="648"/>
      <c r="S140" s="7"/>
      <c r="T140" s="699"/>
      <c r="U140" s="7"/>
      <c r="V140" s="618"/>
      <c r="W140" s="7"/>
      <c r="X140" s="7"/>
      <c r="Y140" s="7"/>
      <c r="Z140" s="7"/>
      <c r="AA140" s="7"/>
      <c r="AB140" s="7"/>
    </row>
    <row r="141" spans="1:28" ht="20.25" customHeight="1">
      <c r="A141" s="486"/>
      <c r="B141" s="487" t="s">
        <v>321</v>
      </c>
      <c r="C141" s="656" t="s">
        <v>322</v>
      </c>
      <c r="D141" s="412" t="s">
        <v>271</v>
      </c>
      <c r="E141" s="213"/>
      <c r="F141" s="213"/>
      <c r="G141" s="213"/>
      <c r="H141" s="214">
        <v>1</v>
      </c>
      <c r="I141" s="214"/>
      <c r="J141" s="632">
        <v>1388.1</v>
      </c>
      <c r="K141" s="362">
        <v>20.6</v>
      </c>
      <c r="L141" s="369"/>
      <c r="M141" s="392">
        <v>1</v>
      </c>
      <c r="N141" s="215"/>
      <c r="O141" s="616">
        <f t="shared" si="1"/>
        <v>1410.6999999999998</v>
      </c>
      <c r="P141" s="633"/>
      <c r="Q141" s="636"/>
      <c r="R141" s="636"/>
      <c r="S141" s="7"/>
      <c r="T141" s="699">
        <v>361.97</v>
      </c>
      <c r="U141" s="7"/>
      <c r="V141" s="618"/>
      <c r="W141" s="7"/>
      <c r="X141" s="7"/>
      <c r="Y141" s="7"/>
      <c r="Z141" s="7"/>
      <c r="AA141" s="7"/>
      <c r="AB141" s="7"/>
    </row>
    <row r="142" spans="1:28" ht="20.25" customHeight="1">
      <c r="A142" s="503"/>
      <c r="B142" s="483" t="s">
        <v>324</v>
      </c>
      <c r="C142" s="629" t="s">
        <v>131</v>
      </c>
      <c r="D142" s="504" t="s">
        <v>271</v>
      </c>
      <c r="E142" s="213"/>
      <c r="F142" s="213"/>
      <c r="G142" s="213"/>
      <c r="H142" s="214"/>
      <c r="I142" s="214"/>
      <c r="J142" s="632">
        <v>565.20000000000005</v>
      </c>
      <c r="K142" s="362"/>
      <c r="L142" s="369"/>
      <c r="M142" s="392"/>
      <c r="N142" s="215"/>
      <c r="O142" s="616">
        <f t="shared" si="1"/>
        <v>565.20000000000005</v>
      </c>
      <c r="P142" s="633"/>
      <c r="Q142" s="648"/>
      <c r="R142" s="648"/>
      <c r="S142" s="7"/>
      <c r="T142" s="699"/>
      <c r="U142" s="7"/>
      <c r="V142" s="618">
        <f t="shared" ref="V142:V145" si="12">T142-O142</f>
        <v>-565.20000000000005</v>
      </c>
      <c r="W142" s="7"/>
      <c r="X142" s="7"/>
      <c r="Y142" s="7"/>
      <c r="Z142" s="7"/>
      <c r="AA142" s="7"/>
      <c r="AB142" s="7"/>
    </row>
    <row r="143" spans="1:28" ht="20.25" customHeight="1">
      <c r="A143" s="503"/>
      <c r="B143" s="483" t="s">
        <v>325</v>
      </c>
      <c r="C143" s="629" t="s">
        <v>200</v>
      </c>
      <c r="D143" s="504" t="s">
        <v>271</v>
      </c>
      <c r="E143" s="213"/>
      <c r="F143" s="213"/>
      <c r="G143" s="213"/>
      <c r="H143" s="214"/>
      <c r="I143" s="214"/>
      <c r="J143" s="632">
        <v>408</v>
      </c>
      <c r="K143" s="362"/>
      <c r="L143" s="369"/>
      <c r="M143" s="392"/>
      <c r="N143" s="215"/>
      <c r="O143" s="616">
        <f t="shared" si="1"/>
        <v>408</v>
      </c>
      <c r="P143" s="633"/>
      <c r="Q143" s="648"/>
      <c r="R143" s="648"/>
      <c r="S143" s="7"/>
      <c r="T143" s="699"/>
      <c r="U143" s="7"/>
      <c r="V143" s="618">
        <f t="shared" si="12"/>
        <v>-408</v>
      </c>
      <c r="W143" s="7"/>
      <c r="X143" s="7"/>
      <c r="Y143" s="7"/>
      <c r="Z143" s="7"/>
      <c r="AA143" s="7"/>
      <c r="AB143" s="7"/>
    </row>
    <row r="144" spans="1:28" ht="20.25" customHeight="1">
      <c r="A144" s="503"/>
      <c r="B144" s="483" t="s">
        <v>326</v>
      </c>
      <c r="C144" s="629" t="s">
        <v>203</v>
      </c>
      <c r="D144" s="504" t="s">
        <v>271</v>
      </c>
      <c r="E144" s="213"/>
      <c r="F144" s="213"/>
      <c r="G144" s="213"/>
      <c r="H144" s="214"/>
      <c r="I144" s="214"/>
      <c r="J144" s="632">
        <v>338.7</v>
      </c>
      <c r="K144" s="362"/>
      <c r="L144" s="369"/>
      <c r="M144" s="392"/>
      <c r="N144" s="215"/>
      <c r="O144" s="616">
        <f t="shared" si="1"/>
        <v>338.7</v>
      </c>
      <c r="P144" s="633"/>
      <c r="Q144" s="648"/>
      <c r="R144" s="648"/>
      <c r="S144" s="7"/>
      <c r="T144" s="699"/>
      <c r="U144" s="7"/>
      <c r="V144" s="618">
        <f t="shared" si="12"/>
        <v>-338.7</v>
      </c>
      <c r="W144" s="7"/>
      <c r="X144" s="7"/>
      <c r="Y144" s="7"/>
      <c r="Z144" s="7"/>
      <c r="AA144" s="7"/>
      <c r="AB144" s="7"/>
    </row>
    <row r="145" spans="1:28" ht="20.25" customHeight="1">
      <c r="A145" s="503"/>
      <c r="B145" s="483" t="s">
        <v>327</v>
      </c>
      <c r="C145" s="629" t="s">
        <v>159</v>
      </c>
      <c r="D145" s="504" t="s">
        <v>271</v>
      </c>
      <c r="E145" s="213"/>
      <c r="F145" s="213"/>
      <c r="G145" s="213"/>
      <c r="H145" s="214"/>
      <c r="I145" s="214"/>
      <c r="J145" s="632">
        <v>76.2</v>
      </c>
      <c r="K145" s="362"/>
      <c r="L145" s="369"/>
      <c r="M145" s="392"/>
      <c r="N145" s="215"/>
      <c r="O145" s="616">
        <f t="shared" si="1"/>
        <v>76.2</v>
      </c>
      <c r="P145" s="633"/>
      <c r="Q145" s="648"/>
      <c r="R145" s="648"/>
      <c r="S145" s="7"/>
      <c r="T145" s="699"/>
      <c r="U145" s="7"/>
      <c r="V145" s="618">
        <f t="shared" si="12"/>
        <v>-76.2</v>
      </c>
      <c r="W145" s="7"/>
      <c r="X145" s="7"/>
      <c r="Y145" s="7"/>
      <c r="Z145" s="7"/>
      <c r="AA145" s="7"/>
      <c r="AB145" s="7"/>
    </row>
    <row r="146" spans="1:28" ht="20.25" customHeight="1">
      <c r="A146" s="486"/>
      <c r="B146" s="487" t="s">
        <v>328</v>
      </c>
      <c r="C146" s="635" t="s">
        <v>329</v>
      </c>
      <c r="D146" s="412" t="s">
        <v>271</v>
      </c>
      <c r="E146" s="213"/>
      <c r="F146" s="213"/>
      <c r="G146" s="213"/>
      <c r="H146" s="214"/>
      <c r="I146" s="214"/>
      <c r="J146" s="632"/>
      <c r="K146" s="362">
        <v>229.6</v>
      </c>
      <c r="L146" s="369"/>
      <c r="M146" s="392">
        <v>8.6</v>
      </c>
      <c r="N146" s="215"/>
      <c r="O146" s="616">
        <f t="shared" si="1"/>
        <v>238.2</v>
      </c>
      <c r="P146" s="633"/>
      <c r="Q146" s="636"/>
      <c r="R146" s="636"/>
      <c r="S146" s="7"/>
      <c r="T146" s="699">
        <v>8.65</v>
      </c>
      <c r="U146" s="7"/>
      <c r="V146" s="618"/>
      <c r="W146" s="7"/>
      <c r="X146" s="7"/>
      <c r="Y146" s="7"/>
      <c r="Z146" s="7"/>
      <c r="AA146" s="7"/>
      <c r="AB146" s="7"/>
    </row>
    <row r="147" spans="1:28" ht="20.25" customHeight="1">
      <c r="A147" s="482"/>
      <c r="B147" s="483" t="s">
        <v>331</v>
      </c>
      <c r="C147" s="629" t="s">
        <v>131</v>
      </c>
      <c r="D147" s="504" t="s">
        <v>271</v>
      </c>
      <c r="E147" s="213"/>
      <c r="F147" s="213"/>
      <c r="G147" s="213"/>
      <c r="H147" s="214"/>
      <c r="I147" s="214"/>
      <c r="J147" s="632"/>
      <c r="K147" s="362"/>
      <c r="L147" s="369"/>
      <c r="M147" s="392">
        <v>0.1</v>
      </c>
      <c r="N147" s="215"/>
      <c r="O147" s="616">
        <f t="shared" si="1"/>
        <v>0.1</v>
      </c>
      <c r="P147" s="633"/>
      <c r="Q147" s="634"/>
      <c r="R147" s="634"/>
      <c r="S147" s="7"/>
      <c r="T147" s="699"/>
      <c r="U147" s="7"/>
      <c r="V147" s="618">
        <f t="shared" ref="V147:V150" si="13">T147-O147</f>
        <v>-0.1</v>
      </c>
      <c r="W147" s="7"/>
      <c r="X147" s="7"/>
      <c r="Y147" s="7"/>
      <c r="Z147" s="7"/>
      <c r="AA147" s="7"/>
      <c r="AB147" s="7"/>
    </row>
    <row r="148" spans="1:28" ht="20.25" customHeight="1">
      <c r="A148" s="482"/>
      <c r="B148" s="483" t="s">
        <v>332</v>
      </c>
      <c r="C148" s="629" t="s">
        <v>200</v>
      </c>
      <c r="D148" s="504" t="s">
        <v>271</v>
      </c>
      <c r="E148" s="213"/>
      <c r="F148" s="213"/>
      <c r="G148" s="213"/>
      <c r="H148" s="214"/>
      <c r="I148" s="214"/>
      <c r="J148" s="632"/>
      <c r="K148" s="362"/>
      <c r="L148" s="369"/>
      <c r="M148" s="392"/>
      <c r="N148" s="215"/>
      <c r="O148" s="616">
        <f t="shared" si="1"/>
        <v>0</v>
      </c>
      <c r="P148" s="633"/>
      <c r="Q148" s="634"/>
      <c r="R148" s="634"/>
      <c r="S148" s="7"/>
      <c r="T148" s="699"/>
      <c r="U148" s="7"/>
      <c r="V148" s="618">
        <f t="shared" si="13"/>
        <v>0</v>
      </c>
      <c r="W148" s="7"/>
      <c r="X148" s="7"/>
      <c r="Y148" s="7"/>
      <c r="Z148" s="7"/>
      <c r="AA148" s="7"/>
      <c r="AB148" s="7"/>
    </row>
    <row r="149" spans="1:28" ht="20.25" customHeight="1">
      <c r="A149" s="482"/>
      <c r="B149" s="483" t="s">
        <v>333</v>
      </c>
      <c r="C149" s="629" t="s">
        <v>203</v>
      </c>
      <c r="D149" s="504" t="s">
        <v>271</v>
      </c>
      <c r="E149" s="213"/>
      <c r="F149" s="213"/>
      <c r="G149" s="213"/>
      <c r="H149" s="214"/>
      <c r="I149" s="214"/>
      <c r="J149" s="632"/>
      <c r="K149" s="362"/>
      <c r="L149" s="369"/>
      <c r="M149" s="392">
        <v>8.5</v>
      </c>
      <c r="N149" s="215"/>
      <c r="O149" s="616">
        <f t="shared" si="1"/>
        <v>8.5</v>
      </c>
      <c r="P149" s="633"/>
      <c r="Q149" s="634"/>
      <c r="R149" s="634"/>
      <c r="S149" s="7"/>
      <c r="T149" s="699"/>
      <c r="U149" s="7"/>
      <c r="V149" s="618">
        <f t="shared" si="13"/>
        <v>-8.5</v>
      </c>
      <c r="W149" s="7"/>
      <c r="X149" s="7"/>
      <c r="Y149" s="7"/>
      <c r="Z149" s="7"/>
      <c r="AA149" s="7"/>
      <c r="AB149" s="7"/>
    </row>
    <row r="150" spans="1:28" ht="20.25" customHeight="1">
      <c r="A150" s="482"/>
      <c r="B150" s="483" t="s">
        <v>334</v>
      </c>
      <c r="C150" s="629" t="s">
        <v>159</v>
      </c>
      <c r="D150" s="504" t="s">
        <v>271</v>
      </c>
      <c r="E150" s="213"/>
      <c r="F150" s="213"/>
      <c r="G150" s="213"/>
      <c r="H150" s="214"/>
      <c r="I150" s="214"/>
      <c r="J150" s="632"/>
      <c r="K150" s="362"/>
      <c r="L150" s="369"/>
      <c r="M150" s="392"/>
      <c r="N150" s="215"/>
      <c r="O150" s="616">
        <f t="shared" si="1"/>
        <v>0</v>
      </c>
      <c r="P150" s="633"/>
      <c r="Q150" s="634"/>
      <c r="R150" s="634"/>
      <c r="S150" s="7"/>
      <c r="T150" s="699"/>
      <c r="U150" s="7"/>
      <c r="V150" s="618">
        <f t="shared" si="13"/>
        <v>0</v>
      </c>
      <c r="W150" s="7"/>
      <c r="X150" s="7"/>
      <c r="Y150" s="7"/>
      <c r="Z150" s="7"/>
      <c r="AA150" s="7"/>
      <c r="AB150" s="7"/>
    </row>
    <row r="151" spans="1:28" ht="20.25" customHeight="1">
      <c r="A151" s="486"/>
      <c r="B151" s="487" t="s">
        <v>335</v>
      </c>
      <c r="C151" s="635" t="s">
        <v>336</v>
      </c>
      <c r="D151" s="412" t="s">
        <v>271</v>
      </c>
      <c r="E151" s="213"/>
      <c r="F151" s="213"/>
      <c r="G151" s="213"/>
      <c r="H151" s="214"/>
      <c r="I151" s="214"/>
      <c r="J151" s="632">
        <v>8.6999999999999993</v>
      </c>
      <c r="K151" s="362">
        <v>393</v>
      </c>
      <c r="L151" s="369"/>
      <c r="M151" s="392">
        <v>18</v>
      </c>
      <c r="N151" s="215"/>
      <c r="O151" s="616">
        <f t="shared" si="1"/>
        <v>419.7</v>
      </c>
      <c r="P151" s="633"/>
      <c r="Q151" s="636"/>
      <c r="R151" s="636"/>
      <c r="S151" s="7"/>
      <c r="T151" s="699">
        <f>3.02+2.25</f>
        <v>5.27</v>
      </c>
      <c r="U151" s="7"/>
      <c r="V151" s="618"/>
      <c r="W151" s="7"/>
      <c r="X151" s="7"/>
      <c r="Y151" s="7"/>
      <c r="Z151" s="7"/>
      <c r="AA151" s="7"/>
      <c r="AB151" s="7"/>
    </row>
    <row r="152" spans="1:28" ht="20.25" customHeight="1">
      <c r="A152" s="482" t="s">
        <v>1455</v>
      </c>
      <c r="B152" s="483" t="s">
        <v>338</v>
      </c>
      <c r="C152" s="629" t="s">
        <v>131</v>
      </c>
      <c r="D152" s="504" t="s">
        <v>271</v>
      </c>
      <c r="E152" s="213"/>
      <c r="F152" s="213"/>
      <c r="G152" s="213"/>
      <c r="H152" s="214"/>
      <c r="I152" s="214"/>
      <c r="J152" s="632">
        <v>8</v>
      </c>
      <c r="K152" s="362"/>
      <c r="L152" s="369"/>
      <c r="M152" s="392">
        <v>1</v>
      </c>
      <c r="N152" s="215"/>
      <c r="O152" s="616">
        <f t="shared" si="1"/>
        <v>9</v>
      </c>
      <c r="P152" s="633"/>
      <c r="Q152" s="634"/>
      <c r="R152" s="634"/>
      <c r="S152" s="7"/>
      <c r="T152" s="699"/>
      <c r="U152" s="7"/>
      <c r="V152" s="618">
        <f t="shared" ref="V152:V153" si="14">T152-O152</f>
        <v>-9</v>
      </c>
      <c r="W152" s="7"/>
      <c r="X152" s="7"/>
      <c r="Y152" s="7"/>
      <c r="Z152" s="7"/>
      <c r="AA152" s="7"/>
      <c r="AB152" s="7"/>
    </row>
    <row r="153" spans="1:28" ht="20.25" customHeight="1">
      <c r="A153" s="482" t="s">
        <v>1456</v>
      </c>
      <c r="B153" s="483" t="s">
        <v>339</v>
      </c>
      <c r="C153" s="629" t="s">
        <v>200</v>
      </c>
      <c r="D153" s="504" t="s">
        <v>271</v>
      </c>
      <c r="E153" s="213"/>
      <c r="F153" s="213"/>
      <c r="G153" s="213"/>
      <c r="H153" s="214"/>
      <c r="I153" s="214"/>
      <c r="J153" s="632">
        <v>0.7</v>
      </c>
      <c r="K153" s="362"/>
      <c r="L153" s="369"/>
      <c r="M153" s="392"/>
      <c r="N153" s="215"/>
      <c r="O153" s="616">
        <f t="shared" si="1"/>
        <v>0.7</v>
      </c>
      <c r="P153" s="633"/>
      <c r="Q153" s="634"/>
      <c r="R153" s="634"/>
      <c r="S153" s="7"/>
      <c r="T153" s="699"/>
      <c r="U153" s="7"/>
      <c r="V153" s="618">
        <f t="shared" si="14"/>
        <v>-0.7</v>
      </c>
      <c r="W153" s="7"/>
      <c r="X153" s="7"/>
      <c r="Y153" s="7"/>
      <c r="Z153" s="7"/>
      <c r="AA153" s="7"/>
      <c r="AB153" s="7"/>
    </row>
    <row r="154" spans="1:28" ht="20.25" customHeight="1">
      <c r="A154" s="482" t="s">
        <v>1457</v>
      </c>
      <c r="B154" s="483" t="s">
        <v>340</v>
      </c>
      <c r="C154" s="629" t="s">
        <v>203</v>
      </c>
      <c r="D154" s="504" t="s">
        <v>271</v>
      </c>
      <c r="E154" s="213"/>
      <c r="F154" s="213"/>
      <c r="G154" s="213"/>
      <c r="H154" s="214"/>
      <c r="I154" s="214"/>
      <c r="J154" s="632"/>
      <c r="K154" s="362"/>
      <c r="L154" s="369"/>
      <c r="M154" s="392"/>
      <c r="N154" s="215"/>
      <c r="O154" s="616">
        <f t="shared" si="1"/>
        <v>0</v>
      </c>
      <c r="P154" s="633"/>
      <c r="Q154" s="634"/>
      <c r="R154" s="634"/>
      <c r="S154" s="7"/>
      <c r="T154" s="699"/>
      <c r="U154" s="7"/>
      <c r="V154" s="618"/>
      <c r="W154" s="7"/>
      <c r="X154" s="7"/>
      <c r="Y154" s="7"/>
      <c r="Z154" s="7"/>
      <c r="AA154" s="7"/>
      <c r="AB154" s="7"/>
    </row>
    <row r="155" spans="1:28" ht="20.25" customHeight="1">
      <c r="A155" s="482" t="s">
        <v>1458</v>
      </c>
      <c r="B155" s="483" t="s">
        <v>341</v>
      </c>
      <c r="C155" s="629" t="s">
        <v>159</v>
      </c>
      <c r="D155" s="504" t="s">
        <v>271</v>
      </c>
      <c r="E155" s="213"/>
      <c r="F155" s="213"/>
      <c r="G155" s="213"/>
      <c r="H155" s="214"/>
      <c r="I155" s="214"/>
      <c r="J155" s="632"/>
      <c r="K155" s="362"/>
      <c r="L155" s="369"/>
      <c r="M155" s="392">
        <v>17</v>
      </c>
      <c r="N155" s="215"/>
      <c r="O155" s="616">
        <f t="shared" si="1"/>
        <v>17</v>
      </c>
      <c r="P155" s="633"/>
      <c r="Q155" s="634"/>
      <c r="R155" s="634"/>
      <c r="S155" s="7"/>
      <c r="T155" s="699"/>
      <c r="U155" s="7"/>
      <c r="V155" s="618">
        <f t="shared" ref="V155:V163" si="15">T155-O155</f>
        <v>-17</v>
      </c>
      <c r="W155" s="7"/>
      <c r="X155" s="7"/>
      <c r="Y155" s="7"/>
      <c r="Z155" s="7"/>
      <c r="AA155" s="7"/>
      <c r="AB155" s="7"/>
    </row>
    <row r="156" spans="1:28" ht="20.25" customHeight="1">
      <c r="A156" s="486"/>
      <c r="B156" s="487" t="s">
        <v>342</v>
      </c>
      <c r="C156" s="635" t="s">
        <v>343</v>
      </c>
      <c r="D156" s="412" t="s">
        <v>271</v>
      </c>
      <c r="E156" s="213"/>
      <c r="F156" s="213"/>
      <c r="G156" s="213"/>
      <c r="H156" s="214"/>
      <c r="I156" s="214"/>
      <c r="J156" s="632"/>
      <c r="K156" s="362"/>
      <c r="L156" s="369"/>
      <c r="M156" s="392"/>
      <c r="N156" s="215"/>
      <c r="O156" s="616">
        <f t="shared" si="1"/>
        <v>0</v>
      </c>
      <c r="P156" s="633"/>
      <c r="Q156" s="636"/>
      <c r="R156" s="636"/>
      <c r="S156" s="7"/>
      <c r="T156" s="699"/>
      <c r="U156" s="7"/>
      <c r="V156" s="618">
        <f t="shared" si="15"/>
        <v>0</v>
      </c>
      <c r="W156" s="7"/>
      <c r="X156" s="7"/>
      <c r="Y156" s="7"/>
      <c r="Z156" s="7"/>
      <c r="AA156" s="7"/>
      <c r="AB156" s="7"/>
    </row>
    <row r="157" spans="1:28" ht="20.25" customHeight="1">
      <c r="A157" s="503" t="s">
        <v>1459</v>
      </c>
      <c r="B157" s="483" t="s">
        <v>344</v>
      </c>
      <c r="C157" s="629" t="s">
        <v>131</v>
      </c>
      <c r="D157" s="504" t="s">
        <v>271</v>
      </c>
      <c r="E157" s="213"/>
      <c r="F157" s="213"/>
      <c r="G157" s="213"/>
      <c r="H157" s="214"/>
      <c r="I157" s="214"/>
      <c r="J157" s="632"/>
      <c r="K157" s="362"/>
      <c r="L157" s="369"/>
      <c r="M157" s="392"/>
      <c r="N157" s="215"/>
      <c r="O157" s="616">
        <f t="shared" si="1"/>
        <v>0</v>
      </c>
      <c r="P157" s="633"/>
      <c r="Q157" s="648"/>
      <c r="R157" s="648"/>
      <c r="S157" s="7"/>
      <c r="T157" s="699"/>
      <c r="U157" s="7"/>
      <c r="V157" s="618">
        <f t="shared" si="15"/>
        <v>0</v>
      </c>
      <c r="W157" s="7"/>
      <c r="X157" s="7"/>
      <c r="Y157" s="7"/>
      <c r="Z157" s="7"/>
      <c r="AA157" s="7"/>
      <c r="AB157" s="7"/>
    </row>
    <row r="158" spans="1:28" ht="20.25" customHeight="1">
      <c r="A158" s="503" t="s">
        <v>1460</v>
      </c>
      <c r="B158" s="483" t="s">
        <v>345</v>
      </c>
      <c r="C158" s="629" t="s">
        <v>200</v>
      </c>
      <c r="D158" s="504" t="s">
        <v>271</v>
      </c>
      <c r="E158" s="213"/>
      <c r="F158" s="213"/>
      <c r="G158" s="213"/>
      <c r="H158" s="214"/>
      <c r="I158" s="214"/>
      <c r="J158" s="632"/>
      <c r="K158" s="362"/>
      <c r="L158" s="369"/>
      <c r="M158" s="392"/>
      <c r="N158" s="215"/>
      <c r="O158" s="616">
        <f t="shared" si="1"/>
        <v>0</v>
      </c>
      <c r="P158" s="633"/>
      <c r="Q158" s="648"/>
      <c r="R158" s="648"/>
      <c r="S158" s="7"/>
      <c r="T158" s="699"/>
      <c r="U158" s="7"/>
      <c r="V158" s="618">
        <f t="shared" si="15"/>
        <v>0</v>
      </c>
      <c r="W158" s="7"/>
      <c r="X158" s="7"/>
      <c r="Y158" s="7"/>
      <c r="Z158" s="7"/>
      <c r="AA158" s="7"/>
      <c r="AB158" s="7"/>
    </row>
    <row r="159" spans="1:28" ht="20.25" customHeight="1">
      <c r="A159" s="503" t="s">
        <v>1461</v>
      </c>
      <c r="B159" s="483" t="s">
        <v>346</v>
      </c>
      <c r="C159" s="629" t="s">
        <v>203</v>
      </c>
      <c r="D159" s="504" t="s">
        <v>271</v>
      </c>
      <c r="E159" s="213"/>
      <c r="F159" s="213"/>
      <c r="G159" s="213"/>
      <c r="H159" s="214"/>
      <c r="I159" s="214"/>
      <c r="J159" s="632"/>
      <c r="K159" s="362"/>
      <c r="L159" s="369"/>
      <c r="M159" s="392"/>
      <c r="N159" s="215"/>
      <c r="O159" s="616">
        <f t="shared" si="1"/>
        <v>0</v>
      </c>
      <c r="P159" s="633"/>
      <c r="Q159" s="648"/>
      <c r="R159" s="648"/>
      <c r="S159" s="7"/>
      <c r="T159" s="699"/>
      <c r="U159" s="7"/>
      <c r="V159" s="618">
        <f t="shared" si="15"/>
        <v>0</v>
      </c>
      <c r="W159" s="7"/>
      <c r="X159" s="7"/>
      <c r="Y159" s="7"/>
      <c r="Z159" s="7"/>
      <c r="AA159" s="7"/>
      <c r="AB159" s="7"/>
    </row>
    <row r="160" spans="1:28" ht="20.25" customHeight="1">
      <c r="A160" s="503" t="s">
        <v>1462</v>
      </c>
      <c r="B160" s="483" t="s">
        <v>347</v>
      </c>
      <c r="C160" s="629" t="s">
        <v>159</v>
      </c>
      <c r="D160" s="504" t="s">
        <v>271</v>
      </c>
      <c r="E160" s="213"/>
      <c r="F160" s="213"/>
      <c r="G160" s="213"/>
      <c r="H160" s="214"/>
      <c r="I160" s="214"/>
      <c r="J160" s="632"/>
      <c r="K160" s="362"/>
      <c r="L160" s="369"/>
      <c r="M160" s="392"/>
      <c r="N160" s="215"/>
      <c r="O160" s="616">
        <f t="shared" si="1"/>
        <v>0</v>
      </c>
      <c r="P160" s="633"/>
      <c r="Q160" s="648"/>
      <c r="R160" s="648"/>
      <c r="S160" s="7"/>
      <c r="T160" s="699"/>
      <c r="U160" s="7"/>
      <c r="V160" s="618">
        <f t="shared" si="15"/>
        <v>0</v>
      </c>
      <c r="W160" s="7"/>
      <c r="X160" s="7"/>
      <c r="Y160" s="7"/>
      <c r="Z160" s="7"/>
      <c r="AA160" s="7"/>
      <c r="AB160" s="7"/>
    </row>
    <row r="161" spans="1:28" ht="15.75" customHeight="1">
      <c r="A161" s="486">
        <v>6.9</v>
      </c>
      <c r="B161" s="487" t="s">
        <v>348</v>
      </c>
      <c r="C161" s="635" t="s">
        <v>349</v>
      </c>
      <c r="D161" s="412" t="s">
        <v>350</v>
      </c>
      <c r="E161" s="213"/>
      <c r="F161" s="213"/>
      <c r="G161" s="213"/>
      <c r="H161" s="214"/>
      <c r="I161" s="214"/>
      <c r="J161" s="632">
        <v>1</v>
      </c>
      <c r="K161" s="7">
        <v>222</v>
      </c>
      <c r="L161" s="369"/>
      <c r="M161" s="392"/>
      <c r="N161" s="215"/>
      <c r="O161" s="616">
        <f t="shared" si="1"/>
        <v>223</v>
      </c>
      <c r="P161" s="633"/>
      <c r="Q161" s="636"/>
      <c r="R161" s="636"/>
      <c r="S161" s="7"/>
      <c r="T161" s="699"/>
      <c r="U161" s="7"/>
      <c r="V161" s="618">
        <f t="shared" si="15"/>
        <v>-223</v>
      </c>
      <c r="W161" s="7"/>
      <c r="X161" s="7"/>
      <c r="Y161" s="7"/>
      <c r="Z161" s="7"/>
      <c r="AA161" s="7"/>
      <c r="AB161" s="7"/>
    </row>
    <row r="162" spans="1:28" ht="20.25" customHeight="1">
      <c r="A162" s="486" t="s">
        <v>1463</v>
      </c>
      <c r="B162" s="487" t="s">
        <v>352</v>
      </c>
      <c r="C162" s="635" t="s">
        <v>353</v>
      </c>
      <c r="D162" s="412" t="s">
        <v>271</v>
      </c>
      <c r="E162" s="213"/>
      <c r="F162" s="213"/>
      <c r="G162" s="213"/>
      <c r="H162" s="214"/>
      <c r="I162" s="214"/>
      <c r="J162" s="632"/>
      <c r="K162" s="362"/>
      <c r="L162" s="369"/>
      <c r="M162" s="392"/>
      <c r="N162" s="215"/>
      <c r="O162" s="616">
        <f t="shared" si="1"/>
        <v>0</v>
      </c>
      <c r="P162" s="633"/>
      <c r="Q162" s="636"/>
      <c r="R162" s="636"/>
      <c r="S162" s="7"/>
      <c r="T162" s="699"/>
      <c r="U162" s="7"/>
      <c r="V162" s="618">
        <f t="shared" si="15"/>
        <v>0</v>
      </c>
      <c r="W162" s="7"/>
      <c r="X162" s="7"/>
      <c r="Y162" s="7"/>
      <c r="Z162" s="7"/>
      <c r="AA162" s="7"/>
      <c r="AB162" s="7"/>
    </row>
    <row r="163" spans="1:28" ht="20.25" customHeight="1">
      <c r="A163" s="486">
        <v>6.11</v>
      </c>
      <c r="B163" s="487" t="s">
        <v>356</v>
      </c>
      <c r="C163" s="635" t="s">
        <v>357</v>
      </c>
      <c r="D163" s="412" t="s">
        <v>358</v>
      </c>
      <c r="E163" s="213"/>
      <c r="F163" s="213"/>
      <c r="G163" s="213"/>
      <c r="H163" s="214"/>
      <c r="I163" s="214"/>
      <c r="J163" s="632"/>
      <c r="K163" s="362"/>
      <c r="L163" s="369"/>
      <c r="M163" s="392"/>
      <c r="N163" s="215"/>
      <c r="O163" s="616">
        <f t="shared" si="1"/>
        <v>0</v>
      </c>
      <c r="P163" s="633"/>
      <c r="Q163" s="636"/>
      <c r="R163" s="636"/>
      <c r="S163" s="7"/>
      <c r="T163" s="699"/>
      <c r="U163" s="7"/>
      <c r="V163" s="618">
        <f t="shared" si="15"/>
        <v>0</v>
      </c>
      <c r="W163" s="7"/>
      <c r="X163" s="7"/>
      <c r="Y163" s="7"/>
      <c r="Z163" s="7"/>
      <c r="AA163" s="7"/>
      <c r="AB163" s="7"/>
    </row>
    <row r="164" spans="1:28" ht="15.75" customHeight="1">
      <c r="A164" s="486">
        <v>6.12</v>
      </c>
      <c r="B164" s="487" t="s">
        <v>360</v>
      </c>
      <c r="C164" s="635" t="s">
        <v>361</v>
      </c>
      <c r="D164" s="412" t="s">
        <v>358</v>
      </c>
      <c r="E164" s="213"/>
      <c r="F164" s="213">
        <v>30</v>
      </c>
      <c r="G164" s="213"/>
      <c r="H164" s="214"/>
      <c r="I164" s="214"/>
      <c r="J164" s="632"/>
      <c r="K164" s="362"/>
      <c r="L164" s="369"/>
      <c r="M164" s="392"/>
      <c r="N164" s="215"/>
      <c r="O164" s="616">
        <f t="shared" si="1"/>
        <v>30</v>
      </c>
      <c r="P164" s="633"/>
      <c r="Q164" s="636"/>
      <c r="R164" s="636"/>
      <c r="S164" s="7"/>
      <c r="T164" s="699"/>
      <c r="U164" s="7"/>
      <c r="V164" s="618"/>
      <c r="W164" s="7"/>
      <c r="X164" s="7"/>
      <c r="Y164" s="7"/>
      <c r="Z164" s="7"/>
      <c r="AA164" s="7"/>
      <c r="AB164" s="7"/>
    </row>
    <row r="165" spans="1:28" ht="20.25" customHeight="1">
      <c r="A165" s="486">
        <v>6.13</v>
      </c>
      <c r="B165" s="487" t="s">
        <v>363</v>
      </c>
      <c r="C165" s="635" t="s">
        <v>364</v>
      </c>
      <c r="D165" s="412" t="s">
        <v>271</v>
      </c>
      <c r="E165" s="213"/>
      <c r="F165" s="213"/>
      <c r="G165" s="213"/>
      <c r="H165" s="214"/>
      <c r="I165" s="214"/>
      <c r="J165" s="632"/>
      <c r="K165" s="362"/>
      <c r="L165" s="369"/>
      <c r="M165" s="392"/>
      <c r="N165" s="215"/>
      <c r="O165" s="616">
        <f t="shared" si="1"/>
        <v>0</v>
      </c>
      <c r="P165" s="633"/>
      <c r="Q165" s="636"/>
      <c r="R165" s="636"/>
      <c r="S165" s="7"/>
      <c r="T165" s="699"/>
      <c r="U165" s="7"/>
      <c r="V165" s="618">
        <f t="shared" ref="V165:V172" si="16">T165-O165</f>
        <v>0</v>
      </c>
      <c r="W165" s="7"/>
      <c r="X165" s="7"/>
      <c r="Y165" s="7"/>
      <c r="Z165" s="7"/>
      <c r="AA165" s="7"/>
      <c r="AB165" s="7"/>
    </row>
    <row r="166" spans="1:28" ht="15.75" customHeight="1">
      <c r="A166" s="486">
        <v>6.14</v>
      </c>
      <c r="B166" s="487" t="s">
        <v>365</v>
      </c>
      <c r="C166" s="635" t="s">
        <v>366</v>
      </c>
      <c r="D166" s="412" t="s">
        <v>271</v>
      </c>
      <c r="E166" s="213"/>
      <c r="F166" s="213"/>
      <c r="G166" s="213"/>
      <c r="H166" s="214"/>
      <c r="I166" s="214"/>
      <c r="J166" s="632"/>
      <c r="K166" s="362"/>
      <c r="L166" s="369"/>
      <c r="M166" s="392"/>
      <c r="N166" s="215"/>
      <c r="O166" s="616">
        <f t="shared" si="1"/>
        <v>0</v>
      </c>
      <c r="P166" s="633"/>
      <c r="Q166" s="636"/>
      <c r="R166" s="636"/>
      <c r="S166" s="7"/>
      <c r="T166" s="699"/>
      <c r="U166" s="7"/>
      <c r="V166" s="618">
        <f t="shared" si="16"/>
        <v>0</v>
      </c>
      <c r="W166" s="7"/>
      <c r="X166" s="7"/>
      <c r="Y166" s="7"/>
      <c r="Z166" s="7"/>
      <c r="AA166" s="7"/>
      <c r="AB166" s="7"/>
    </row>
    <row r="167" spans="1:28" ht="20.25" customHeight="1">
      <c r="A167" s="486">
        <v>6.15</v>
      </c>
      <c r="B167" s="487" t="s">
        <v>367</v>
      </c>
      <c r="C167" s="635" t="s">
        <v>368</v>
      </c>
      <c r="D167" s="412" t="s">
        <v>358</v>
      </c>
      <c r="E167" s="213"/>
      <c r="F167" s="213"/>
      <c r="G167" s="213"/>
      <c r="H167" s="214"/>
      <c r="I167" s="214"/>
      <c r="J167" s="632"/>
      <c r="K167" s="362"/>
      <c r="L167" s="369"/>
      <c r="M167" s="392"/>
      <c r="N167" s="215"/>
      <c r="O167" s="616">
        <f t="shared" si="1"/>
        <v>0</v>
      </c>
      <c r="P167" s="633"/>
      <c r="Q167" s="636"/>
      <c r="R167" s="636"/>
      <c r="S167" s="7"/>
      <c r="T167" s="699"/>
      <c r="U167" s="7"/>
      <c r="V167" s="618">
        <f t="shared" si="16"/>
        <v>0</v>
      </c>
      <c r="W167" s="7"/>
      <c r="X167" s="7"/>
      <c r="Y167" s="7"/>
      <c r="Z167" s="7"/>
      <c r="AA167" s="7"/>
      <c r="AB167" s="7"/>
    </row>
    <row r="168" spans="1:28" ht="20.25" customHeight="1">
      <c r="A168" s="486">
        <v>6.16</v>
      </c>
      <c r="B168" s="487" t="s">
        <v>369</v>
      </c>
      <c r="C168" s="635" t="s">
        <v>370</v>
      </c>
      <c r="D168" s="412" t="s">
        <v>271</v>
      </c>
      <c r="E168" s="213"/>
      <c r="F168" s="213"/>
      <c r="G168" s="213"/>
      <c r="H168" s="214"/>
      <c r="I168" s="214"/>
      <c r="J168" s="632"/>
      <c r="K168" s="362"/>
      <c r="L168" s="369"/>
      <c r="M168" s="392"/>
      <c r="N168" s="215"/>
      <c r="O168" s="616">
        <f t="shared" si="1"/>
        <v>0</v>
      </c>
      <c r="P168" s="633"/>
      <c r="Q168" s="636"/>
      <c r="R168" s="636"/>
      <c r="S168" s="7"/>
      <c r="T168" s="699"/>
      <c r="U168" s="7"/>
      <c r="V168" s="618">
        <f t="shared" si="16"/>
        <v>0</v>
      </c>
      <c r="W168" s="7"/>
      <c r="X168" s="7"/>
      <c r="Y168" s="7"/>
      <c r="Z168" s="7"/>
      <c r="AA168" s="7"/>
      <c r="AB168" s="7"/>
    </row>
    <row r="169" spans="1:28" ht="32.25" customHeight="1">
      <c r="A169" s="486">
        <v>6.12</v>
      </c>
      <c r="B169" s="487" t="s">
        <v>371</v>
      </c>
      <c r="C169" s="635" t="s">
        <v>372</v>
      </c>
      <c r="D169" s="412" t="s">
        <v>271</v>
      </c>
      <c r="E169" s="213"/>
      <c r="F169" s="213"/>
      <c r="G169" s="213"/>
      <c r="H169" s="214"/>
      <c r="I169" s="214"/>
      <c r="J169" s="632"/>
      <c r="K169" s="362"/>
      <c r="L169" s="369"/>
      <c r="M169" s="392"/>
      <c r="N169" s="215"/>
      <c r="O169" s="616">
        <f t="shared" si="1"/>
        <v>0</v>
      </c>
      <c r="P169" s="633"/>
      <c r="Q169" s="636"/>
      <c r="R169" s="636"/>
      <c r="S169" s="7"/>
      <c r="T169" s="699"/>
      <c r="U169" s="7"/>
      <c r="V169" s="618">
        <f t="shared" si="16"/>
        <v>0</v>
      </c>
      <c r="W169" s="7"/>
      <c r="X169" s="7"/>
      <c r="Y169" s="7"/>
      <c r="Z169" s="7"/>
      <c r="AA169" s="7"/>
      <c r="AB169" s="7"/>
    </row>
    <row r="170" spans="1:28" ht="15.75" customHeight="1">
      <c r="A170" s="486">
        <v>6.12</v>
      </c>
      <c r="B170" s="487" t="s">
        <v>373</v>
      </c>
      <c r="C170" s="635" t="s">
        <v>374</v>
      </c>
      <c r="D170" s="412" t="s">
        <v>271</v>
      </c>
      <c r="E170" s="213"/>
      <c r="F170" s="213"/>
      <c r="G170" s="213"/>
      <c r="H170" s="214"/>
      <c r="I170" s="214"/>
      <c r="J170" s="632"/>
      <c r="K170" s="362"/>
      <c r="L170" s="369"/>
      <c r="M170" s="392"/>
      <c r="N170" s="215"/>
      <c r="O170" s="616">
        <f t="shared" si="1"/>
        <v>0</v>
      </c>
      <c r="P170" s="633"/>
      <c r="Q170" s="636"/>
      <c r="R170" s="636"/>
      <c r="S170" s="7"/>
      <c r="T170" s="699"/>
      <c r="U170" s="7"/>
      <c r="V170" s="618">
        <f t="shared" si="16"/>
        <v>0</v>
      </c>
      <c r="W170" s="7"/>
      <c r="X170" s="7"/>
      <c r="Y170" s="7"/>
      <c r="Z170" s="7"/>
      <c r="AA170" s="7"/>
      <c r="AB170" s="7"/>
    </row>
    <row r="171" spans="1:28" ht="28.5" customHeight="1">
      <c r="A171" s="486">
        <v>6.17</v>
      </c>
      <c r="B171" s="487" t="s">
        <v>375</v>
      </c>
      <c r="C171" s="635" t="s">
        <v>376</v>
      </c>
      <c r="D171" s="491" t="s">
        <v>183</v>
      </c>
      <c r="E171" s="213"/>
      <c r="F171" s="213"/>
      <c r="G171" s="213"/>
      <c r="H171" s="214"/>
      <c r="I171" s="214"/>
      <c r="J171" s="632"/>
      <c r="K171" s="362"/>
      <c r="L171" s="369"/>
      <c r="M171" s="392"/>
      <c r="N171" s="215"/>
      <c r="O171" s="616">
        <f t="shared" si="1"/>
        <v>0</v>
      </c>
      <c r="P171" s="633"/>
      <c r="Q171" s="636"/>
      <c r="R171" s="636"/>
      <c r="S171" s="7"/>
      <c r="T171" s="699"/>
      <c r="U171" s="7"/>
      <c r="V171" s="618">
        <f t="shared" si="16"/>
        <v>0</v>
      </c>
      <c r="W171" s="7"/>
      <c r="X171" s="7"/>
      <c r="Y171" s="7"/>
      <c r="Z171" s="7"/>
      <c r="AA171" s="7"/>
      <c r="AB171" s="7"/>
    </row>
    <row r="172" spans="1:28" ht="21" customHeight="1">
      <c r="A172" s="489">
        <v>4</v>
      </c>
      <c r="B172" s="490" t="s">
        <v>378</v>
      </c>
      <c r="C172" s="637" t="s">
        <v>379</v>
      </c>
      <c r="D172" s="491"/>
      <c r="E172" s="213"/>
      <c r="F172" s="213"/>
      <c r="G172" s="213"/>
      <c r="H172" s="214"/>
      <c r="I172" s="214"/>
      <c r="J172" s="632"/>
      <c r="K172" s="362"/>
      <c r="L172" s="369"/>
      <c r="M172" s="392"/>
      <c r="N172" s="215"/>
      <c r="O172" s="616">
        <f t="shared" si="1"/>
        <v>0</v>
      </c>
      <c r="P172" s="633"/>
      <c r="Q172" s="640"/>
      <c r="R172" s="640"/>
      <c r="S172" s="7"/>
      <c r="T172" s="699"/>
      <c r="U172" s="7"/>
      <c r="V172" s="618">
        <f t="shared" si="16"/>
        <v>0</v>
      </c>
      <c r="W172" s="7"/>
      <c r="X172" s="7"/>
      <c r="Y172" s="7"/>
      <c r="Z172" s="7"/>
      <c r="AA172" s="7"/>
      <c r="AB172" s="7"/>
    </row>
    <row r="173" spans="1:28" ht="20.25" customHeight="1">
      <c r="A173" s="486"/>
      <c r="B173" s="487" t="s">
        <v>381</v>
      </c>
      <c r="C173" s="635" t="s">
        <v>382</v>
      </c>
      <c r="D173" s="412" t="s">
        <v>383</v>
      </c>
      <c r="E173" s="213"/>
      <c r="F173" s="213"/>
      <c r="G173" s="213"/>
      <c r="H173" s="214"/>
      <c r="I173" s="214"/>
      <c r="J173" s="632">
        <v>13</v>
      </c>
      <c r="K173" s="362">
        <v>31</v>
      </c>
      <c r="L173" s="369"/>
      <c r="M173" s="392">
        <v>36</v>
      </c>
      <c r="N173" s="215"/>
      <c r="O173" s="616">
        <f t="shared" si="1"/>
        <v>80</v>
      </c>
      <c r="P173" s="633"/>
      <c r="Q173" s="636"/>
      <c r="R173" s="636"/>
      <c r="S173" s="7"/>
      <c r="T173" s="699">
        <v>46</v>
      </c>
      <c r="U173" s="7"/>
      <c r="V173" s="618"/>
      <c r="W173" s="7"/>
      <c r="X173" s="7"/>
      <c r="Y173" s="7"/>
      <c r="Z173" s="7"/>
      <c r="AA173" s="7"/>
      <c r="AB173" s="7"/>
    </row>
    <row r="174" spans="1:28" ht="20.25" customHeight="1">
      <c r="A174" s="503"/>
      <c r="B174" s="483" t="s">
        <v>386</v>
      </c>
      <c r="C174" s="629" t="s">
        <v>387</v>
      </c>
      <c r="D174" s="504" t="s">
        <v>383</v>
      </c>
      <c r="E174" s="213"/>
      <c r="F174" s="213"/>
      <c r="G174" s="213"/>
      <c r="H174" s="214"/>
      <c r="I174" s="214"/>
      <c r="J174" s="632">
        <v>1</v>
      </c>
      <c r="K174" s="362"/>
      <c r="L174" s="369"/>
      <c r="M174" s="392">
        <v>7</v>
      </c>
      <c r="N174" s="215"/>
      <c r="O174" s="616">
        <f t="shared" si="1"/>
        <v>8</v>
      </c>
      <c r="P174" s="633"/>
      <c r="Q174" s="648"/>
      <c r="R174" s="648"/>
      <c r="S174" s="7"/>
      <c r="T174" s="699"/>
      <c r="U174" s="7"/>
      <c r="V174" s="618"/>
      <c r="W174" s="7"/>
      <c r="X174" s="7"/>
      <c r="Y174" s="7"/>
      <c r="Z174" s="7"/>
      <c r="AA174" s="7"/>
      <c r="AB174" s="7"/>
    </row>
    <row r="175" spans="1:28" ht="20.25" customHeight="1">
      <c r="A175" s="503"/>
      <c r="B175" s="483" t="s">
        <v>388</v>
      </c>
      <c r="C175" s="629" t="s">
        <v>389</v>
      </c>
      <c r="D175" s="504" t="s">
        <v>383</v>
      </c>
      <c r="E175" s="213"/>
      <c r="F175" s="213"/>
      <c r="G175" s="213"/>
      <c r="H175" s="214"/>
      <c r="I175" s="214"/>
      <c r="J175" s="632"/>
      <c r="K175" s="362"/>
      <c r="L175" s="369"/>
      <c r="M175" s="392">
        <v>8</v>
      </c>
      <c r="N175" s="215"/>
      <c r="O175" s="616">
        <f t="shared" si="1"/>
        <v>8</v>
      </c>
      <c r="P175" s="633"/>
      <c r="Q175" s="648"/>
      <c r="R175" s="648"/>
      <c r="S175" s="7"/>
      <c r="T175" s="699"/>
      <c r="U175" s="7"/>
      <c r="V175" s="618"/>
      <c r="W175" s="7"/>
      <c r="X175" s="7"/>
      <c r="Y175" s="7"/>
      <c r="Z175" s="7"/>
      <c r="AA175" s="7"/>
      <c r="AB175" s="7"/>
    </row>
    <row r="176" spans="1:28" ht="20.25" customHeight="1">
      <c r="A176" s="503"/>
      <c r="B176" s="483" t="s">
        <v>390</v>
      </c>
      <c r="C176" s="629" t="s">
        <v>391</v>
      </c>
      <c r="D176" s="504" t="s">
        <v>383</v>
      </c>
      <c r="E176" s="213"/>
      <c r="F176" s="213"/>
      <c r="G176" s="213"/>
      <c r="H176" s="214"/>
      <c r="I176" s="214"/>
      <c r="J176" s="632">
        <v>2</v>
      </c>
      <c r="K176" s="362"/>
      <c r="L176" s="369"/>
      <c r="M176" s="392">
        <v>21</v>
      </c>
      <c r="N176" s="215"/>
      <c r="O176" s="616">
        <f t="shared" si="1"/>
        <v>23</v>
      </c>
      <c r="P176" s="633"/>
      <c r="Q176" s="648"/>
      <c r="R176" s="648"/>
      <c r="S176" s="7"/>
      <c r="T176" s="699"/>
      <c r="U176" s="7"/>
      <c r="V176" s="618"/>
      <c r="W176" s="7"/>
      <c r="X176" s="7"/>
      <c r="Y176" s="7"/>
      <c r="Z176" s="7"/>
      <c r="AA176" s="7"/>
      <c r="AB176" s="7"/>
    </row>
    <row r="177" spans="1:28" ht="20.25" customHeight="1">
      <c r="A177" s="503"/>
      <c r="B177" s="483" t="s">
        <v>392</v>
      </c>
      <c r="C177" s="629" t="s">
        <v>393</v>
      </c>
      <c r="D177" s="504" t="s">
        <v>383</v>
      </c>
      <c r="E177" s="213"/>
      <c r="F177" s="213"/>
      <c r="G177" s="213"/>
      <c r="H177" s="214"/>
      <c r="I177" s="214"/>
      <c r="J177" s="632">
        <v>10</v>
      </c>
      <c r="K177" s="362"/>
      <c r="L177" s="369"/>
      <c r="M177" s="392"/>
      <c r="N177" s="215"/>
      <c r="O177" s="616">
        <f t="shared" si="1"/>
        <v>10</v>
      </c>
      <c r="P177" s="633"/>
      <c r="Q177" s="648"/>
      <c r="R177" s="648"/>
      <c r="S177" s="7"/>
      <c r="T177" s="699"/>
      <c r="U177" s="7"/>
      <c r="V177" s="618">
        <f>T177-O177</f>
        <v>-10</v>
      </c>
      <c r="W177" s="7"/>
      <c r="X177" s="7"/>
      <c r="Y177" s="7"/>
      <c r="Z177" s="7"/>
      <c r="AA177" s="7"/>
      <c r="AB177" s="7"/>
    </row>
    <row r="178" spans="1:28" ht="20.25" customHeight="1">
      <c r="A178" s="486"/>
      <c r="B178" s="487" t="s">
        <v>388</v>
      </c>
      <c r="C178" s="635" t="s">
        <v>394</v>
      </c>
      <c r="D178" s="412" t="s">
        <v>383</v>
      </c>
      <c r="E178" s="213"/>
      <c r="F178" s="213"/>
      <c r="G178" s="213"/>
      <c r="H178" s="214"/>
      <c r="I178" s="214"/>
      <c r="J178" s="632"/>
      <c r="K178" s="362">
        <v>271</v>
      </c>
      <c r="L178" s="369"/>
      <c r="M178" s="392">
        <v>397</v>
      </c>
      <c r="N178" s="215"/>
      <c r="O178" s="616">
        <f t="shared" si="1"/>
        <v>668</v>
      </c>
      <c r="P178" s="633"/>
      <c r="Q178" s="636"/>
      <c r="R178" s="636"/>
      <c r="S178" s="7"/>
      <c r="T178" s="699">
        <v>10013</v>
      </c>
      <c r="U178" s="7"/>
      <c r="V178" s="618"/>
      <c r="W178" s="7"/>
      <c r="X178" s="7"/>
      <c r="Y178" s="7"/>
      <c r="Z178" s="7"/>
      <c r="AA178" s="7"/>
      <c r="AB178" s="7"/>
    </row>
    <row r="179" spans="1:28" ht="20.25" customHeight="1">
      <c r="A179" s="503" t="s">
        <v>396</v>
      </c>
      <c r="B179" s="483" t="s">
        <v>397</v>
      </c>
      <c r="C179" s="629" t="s">
        <v>398</v>
      </c>
      <c r="D179" s="504" t="s">
        <v>383</v>
      </c>
      <c r="E179" s="213"/>
      <c r="F179" s="213"/>
      <c r="G179" s="213"/>
      <c r="H179" s="214"/>
      <c r="I179" s="214"/>
      <c r="J179" s="632"/>
      <c r="K179" s="362"/>
      <c r="L179" s="369"/>
      <c r="M179" s="392">
        <v>397</v>
      </c>
      <c r="N179" s="215"/>
      <c r="O179" s="616">
        <f t="shared" si="1"/>
        <v>397</v>
      </c>
      <c r="P179" s="633"/>
      <c r="Q179" s="648"/>
      <c r="R179" s="648"/>
      <c r="S179" s="7"/>
      <c r="T179" s="699"/>
      <c r="U179" s="7"/>
      <c r="V179" s="618"/>
      <c r="W179" s="7"/>
      <c r="X179" s="7"/>
      <c r="Y179" s="7"/>
      <c r="Z179" s="7"/>
      <c r="AA179" s="7"/>
      <c r="AB179" s="7"/>
    </row>
    <row r="180" spans="1:28" ht="20.25" customHeight="1">
      <c r="A180" s="503" t="s">
        <v>399</v>
      </c>
      <c r="B180" s="483" t="s">
        <v>400</v>
      </c>
      <c r="C180" s="629" t="s">
        <v>401</v>
      </c>
      <c r="D180" s="504" t="s">
        <v>383</v>
      </c>
      <c r="E180" s="213"/>
      <c r="F180" s="213"/>
      <c r="G180" s="213"/>
      <c r="H180" s="214"/>
      <c r="I180" s="214"/>
      <c r="J180" s="632"/>
      <c r="K180" s="362"/>
      <c r="L180" s="369"/>
      <c r="M180" s="392"/>
      <c r="N180" s="215"/>
      <c r="O180" s="616">
        <f t="shared" si="1"/>
        <v>0</v>
      </c>
      <c r="P180" s="633"/>
      <c r="Q180" s="648"/>
      <c r="R180" s="648"/>
      <c r="S180" s="7"/>
      <c r="T180" s="699"/>
      <c r="U180" s="7"/>
      <c r="V180" s="618"/>
      <c r="W180" s="7"/>
      <c r="X180" s="7"/>
      <c r="Y180" s="7"/>
      <c r="Z180" s="7"/>
      <c r="AA180" s="7"/>
      <c r="AB180" s="7"/>
    </row>
    <row r="181" spans="1:28" ht="15.75" customHeight="1">
      <c r="A181" s="486">
        <v>7.3</v>
      </c>
      <c r="B181" s="487" t="s">
        <v>390</v>
      </c>
      <c r="C181" s="635" t="s">
        <v>402</v>
      </c>
      <c r="D181" s="504" t="s">
        <v>383</v>
      </c>
      <c r="E181" s="213"/>
      <c r="F181" s="213"/>
      <c r="G181" s="213"/>
      <c r="H181" s="214"/>
      <c r="I181" s="214"/>
      <c r="J181" s="632"/>
      <c r="K181" s="362"/>
      <c r="L181" s="369"/>
      <c r="M181" s="392"/>
      <c r="N181" s="215"/>
      <c r="O181" s="616">
        <f t="shared" si="1"/>
        <v>0</v>
      </c>
      <c r="P181" s="633"/>
      <c r="Q181" s="636"/>
      <c r="R181" s="636"/>
      <c r="S181" s="7"/>
      <c r="T181" s="699"/>
      <c r="U181" s="7"/>
      <c r="V181" s="618">
        <f t="shared" ref="V181:V205" si="17">T181-O181</f>
        <v>0</v>
      </c>
      <c r="W181" s="7"/>
      <c r="X181" s="7"/>
      <c r="Y181" s="7"/>
      <c r="Z181" s="7"/>
      <c r="AA181" s="7"/>
      <c r="AB181" s="7"/>
    </row>
    <row r="182" spans="1:28" ht="15.75" customHeight="1">
      <c r="A182" s="486">
        <v>7.4</v>
      </c>
      <c r="B182" s="487" t="s">
        <v>392</v>
      </c>
      <c r="C182" s="635" t="s">
        <v>403</v>
      </c>
      <c r="D182" s="412" t="s">
        <v>358</v>
      </c>
      <c r="E182" s="213"/>
      <c r="F182" s="213"/>
      <c r="G182" s="213"/>
      <c r="H182" s="214"/>
      <c r="I182" s="214"/>
      <c r="J182" s="632"/>
      <c r="K182" s="362"/>
      <c r="L182" s="369"/>
      <c r="M182" s="392"/>
      <c r="N182" s="215"/>
      <c r="O182" s="616">
        <f t="shared" si="1"/>
        <v>0</v>
      </c>
      <c r="P182" s="633"/>
      <c r="Q182" s="636"/>
      <c r="R182" s="636"/>
      <c r="S182" s="7"/>
      <c r="T182" s="699"/>
      <c r="U182" s="7"/>
      <c r="V182" s="618">
        <f t="shared" si="17"/>
        <v>0</v>
      </c>
      <c r="W182" s="7"/>
      <c r="X182" s="7"/>
      <c r="Y182" s="7"/>
      <c r="Z182" s="7"/>
      <c r="AA182" s="7"/>
      <c r="AB182" s="7"/>
    </row>
    <row r="183" spans="1:28" ht="28.5" customHeight="1">
      <c r="A183" s="486">
        <v>7.5</v>
      </c>
      <c r="B183" s="487" t="s">
        <v>404</v>
      </c>
      <c r="C183" s="635" t="s">
        <v>405</v>
      </c>
      <c r="D183" s="491" t="s">
        <v>183</v>
      </c>
      <c r="E183" s="213"/>
      <c r="F183" s="213"/>
      <c r="G183" s="213"/>
      <c r="H183" s="214"/>
      <c r="I183" s="214"/>
      <c r="J183" s="632"/>
      <c r="K183" s="362"/>
      <c r="L183" s="369"/>
      <c r="M183" s="392"/>
      <c r="N183" s="215"/>
      <c r="O183" s="616">
        <f t="shared" si="1"/>
        <v>0</v>
      </c>
      <c r="P183" s="633"/>
      <c r="Q183" s="636"/>
      <c r="R183" s="636"/>
      <c r="S183" s="7"/>
      <c r="T183" s="699"/>
      <c r="U183" s="7"/>
      <c r="V183" s="618">
        <f t="shared" si="17"/>
        <v>0</v>
      </c>
      <c r="W183" s="7"/>
      <c r="X183" s="7"/>
      <c r="Y183" s="7"/>
      <c r="Z183" s="7"/>
      <c r="AA183" s="7"/>
      <c r="AB183" s="7"/>
    </row>
    <row r="184" spans="1:28" ht="28.5" customHeight="1">
      <c r="A184" s="486">
        <v>7.6</v>
      </c>
      <c r="B184" s="487" t="s">
        <v>406</v>
      </c>
      <c r="C184" s="635" t="s">
        <v>407</v>
      </c>
      <c r="D184" s="491" t="s">
        <v>183</v>
      </c>
      <c r="E184" s="213"/>
      <c r="F184" s="213"/>
      <c r="G184" s="213"/>
      <c r="H184" s="214"/>
      <c r="I184" s="214"/>
      <c r="J184" s="632"/>
      <c r="K184" s="362"/>
      <c r="L184" s="369"/>
      <c r="M184" s="392"/>
      <c r="N184" s="215"/>
      <c r="O184" s="616">
        <f t="shared" si="1"/>
        <v>0</v>
      </c>
      <c r="P184" s="633"/>
      <c r="Q184" s="636"/>
      <c r="R184" s="636"/>
      <c r="S184" s="7"/>
      <c r="T184" s="699"/>
      <c r="U184" s="7"/>
      <c r="V184" s="618">
        <f t="shared" si="17"/>
        <v>0</v>
      </c>
      <c r="W184" s="7"/>
      <c r="X184" s="7"/>
      <c r="Y184" s="7"/>
      <c r="Z184" s="7"/>
      <c r="AA184" s="7"/>
      <c r="AB184" s="7"/>
    </row>
    <row r="185" spans="1:28" ht="18.75" customHeight="1">
      <c r="A185" s="486">
        <v>7.7</v>
      </c>
      <c r="B185" s="487" t="s">
        <v>412</v>
      </c>
      <c r="C185" s="635" t="s">
        <v>413</v>
      </c>
      <c r="D185" s="412" t="s">
        <v>2479</v>
      </c>
      <c r="E185" s="213"/>
      <c r="F185" s="213"/>
      <c r="G185" s="213"/>
      <c r="H185" s="214"/>
      <c r="I185" s="214"/>
      <c r="J185" s="632"/>
      <c r="K185" s="362"/>
      <c r="L185" s="369"/>
      <c r="M185" s="392"/>
      <c r="N185" s="215"/>
      <c r="O185" s="616">
        <f t="shared" si="1"/>
        <v>0</v>
      </c>
      <c r="P185" s="633"/>
      <c r="Q185" s="636"/>
      <c r="R185" s="636"/>
      <c r="S185" s="7"/>
      <c r="T185" s="699"/>
      <c r="U185" s="7"/>
      <c r="V185" s="618">
        <f t="shared" si="17"/>
        <v>0</v>
      </c>
      <c r="W185" s="7"/>
      <c r="X185" s="7"/>
      <c r="Y185" s="7"/>
      <c r="Z185" s="7"/>
      <c r="AA185" s="7"/>
      <c r="AB185" s="7"/>
    </row>
    <row r="186" spans="1:28" ht="28.5" customHeight="1">
      <c r="A186" s="486">
        <v>7.8</v>
      </c>
      <c r="B186" s="487" t="s">
        <v>412</v>
      </c>
      <c r="C186" s="635" t="s">
        <v>415</v>
      </c>
      <c r="D186" s="491" t="s">
        <v>183</v>
      </c>
      <c r="E186" s="213"/>
      <c r="F186" s="213"/>
      <c r="G186" s="213"/>
      <c r="H186" s="214"/>
      <c r="I186" s="214"/>
      <c r="J186" s="632"/>
      <c r="K186" s="362"/>
      <c r="L186" s="369"/>
      <c r="M186" s="392"/>
      <c r="N186" s="215"/>
      <c r="O186" s="616">
        <f t="shared" si="1"/>
        <v>0</v>
      </c>
      <c r="P186" s="633"/>
      <c r="Q186" s="636"/>
      <c r="R186" s="636"/>
      <c r="S186" s="7"/>
      <c r="T186" s="699"/>
      <c r="U186" s="7"/>
      <c r="V186" s="618">
        <f t="shared" si="17"/>
        <v>0</v>
      </c>
      <c r="W186" s="7"/>
      <c r="X186" s="7"/>
      <c r="Y186" s="7"/>
      <c r="Z186" s="7"/>
      <c r="AA186" s="7"/>
      <c r="AB186" s="7"/>
    </row>
    <row r="187" spans="1:28" ht="29.25" customHeight="1">
      <c r="A187" s="489">
        <v>5</v>
      </c>
      <c r="B187" s="490" t="s">
        <v>416</v>
      </c>
      <c r="C187" s="637" t="s">
        <v>417</v>
      </c>
      <c r="D187" s="491"/>
      <c r="E187" s="213"/>
      <c r="F187" s="213"/>
      <c r="G187" s="213"/>
      <c r="H187" s="214"/>
      <c r="I187" s="214"/>
      <c r="J187" s="632"/>
      <c r="K187" s="362"/>
      <c r="L187" s="369"/>
      <c r="M187" s="392"/>
      <c r="N187" s="215"/>
      <c r="O187" s="616">
        <f t="shared" si="1"/>
        <v>0</v>
      </c>
      <c r="P187" s="633"/>
      <c r="Q187" s="640"/>
      <c r="R187" s="640"/>
      <c r="S187" s="7"/>
      <c r="T187" s="699"/>
      <c r="U187" s="7"/>
      <c r="V187" s="618">
        <f t="shared" si="17"/>
        <v>0</v>
      </c>
      <c r="W187" s="7"/>
      <c r="X187" s="7"/>
      <c r="Y187" s="7"/>
      <c r="Z187" s="7"/>
      <c r="AA187" s="7"/>
      <c r="AB187" s="7"/>
    </row>
    <row r="188" spans="1:28" ht="20.25" customHeight="1">
      <c r="A188" s="486"/>
      <c r="B188" s="487" t="s">
        <v>419</v>
      </c>
      <c r="C188" s="635" t="s">
        <v>420</v>
      </c>
      <c r="D188" s="512"/>
      <c r="E188" s="213"/>
      <c r="F188" s="213"/>
      <c r="G188" s="213"/>
      <c r="H188" s="214"/>
      <c r="I188" s="214"/>
      <c r="J188" s="632"/>
      <c r="K188" s="362"/>
      <c r="L188" s="369"/>
      <c r="M188" s="392"/>
      <c r="N188" s="215"/>
      <c r="O188" s="616">
        <f t="shared" si="1"/>
        <v>0</v>
      </c>
      <c r="P188" s="633"/>
      <c r="Q188" s="636"/>
      <c r="R188" s="636"/>
      <c r="S188" s="7"/>
      <c r="T188" s="699"/>
      <c r="U188" s="7"/>
      <c r="V188" s="618">
        <f t="shared" si="17"/>
        <v>0</v>
      </c>
      <c r="W188" s="7"/>
      <c r="X188" s="7"/>
      <c r="Y188" s="7"/>
      <c r="Z188" s="7"/>
      <c r="AA188" s="7"/>
      <c r="AB188" s="7"/>
    </row>
    <row r="189" spans="1:28" ht="35.25" customHeight="1">
      <c r="A189" s="503"/>
      <c r="B189" s="483" t="s">
        <v>422</v>
      </c>
      <c r="C189" s="658" t="s">
        <v>423</v>
      </c>
      <c r="D189" s="504" t="s">
        <v>424</v>
      </c>
      <c r="E189" s="213"/>
      <c r="F189" s="213"/>
      <c r="G189" s="213"/>
      <c r="H189" s="214"/>
      <c r="I189" s="214"/>
      <c r="J189" s="632"/>
      <c r="K189" s="362"/>
      <c r="L189" s="369"/>
      <c r="M189" s="392"/>
      <c r="N189" s="215"/>
      <c r="O189" s="616">
        <f t="shared" si="1"/>
        <v>0</v>
      </c>
      <c r="P189" s="633"/>
      <c r="Q189" s="648"/>
      <c r="R189" s="648"/>
      <c r="S189" s="7"/>
      <c r="T189" s="699"/>
      <c r="U189" s="7"/>
      <c r="V189" s="618">
        <f t="shared" si="17"/>
        <v>0</v>
      </c>
      <c r="W189" s="7"/>
      <c r="X189" s="7"/>
      <c r="Y189" s="7"/>
      <c r="Z189" s="7"/>
      <c r="AA189" s="7"/>
      <c r="AB189" s="7"/>
    </row>
    <row r="190" spans="1:28" ht="20.25" customHeight="1">
      <c r="A190" s="503"/>
      <c r="B190" s="483" t="s">
        <v>426</v>
      </c>
      <c r="C190" s="658" t="s">
        <v>427</v>
      </c>
      <c r="D190" s="504" t="s">
        <v>132</v>
      </c>
      <c r="E190" s="213"/>
      <c r="F190" s="213"/>
      <c r="G190" s="213"/>
      <c r="H190" s="214"/>
      <c r="I190" s="214"/>
      <c r="J190" s="632"/>
      <c r="K190" s="362"/>
      <c r="L190" s="369"/>
      <c r="M190" s="392"/>
      <c r="N190" s="215"/>
      <c r="O190" s="616">
        <f t="shared" si="1"/>
        <v>0</v>
      </c>
      <c r="P190" s="633"/>
      <c r="Q190" s="648"/>
      <c r="R190" s="648"/>
      <c r="S190" s="7"/>
      <c r="T190" s="699"/>
      <c r="U190" s="7"/>
      <c r="V190" s="618">
        <f t="shared" si="17"/>
        <v>0</v>
      </c>
      <c r="W190" s="7"/>
      <c r="X190" s="7"/>
      <c r="Y190" s="7"/>
      <c r="Z190" s="7"/>
      <c r="AA190" s="7"/>
      <c r="AB190" s="7"/>
    </row>
    <row r="191" spans="1:28" ht="20.25" customHeight="1">
      <c r="A191" s="503"/>
      <c r="B191" s="483" t="s">
        <v>428</v>
      </c>
      <c r="C191" s="658" t="s">
        <v>429</v>
      </c>
      <c r="D191" s="504" t="s">
        <v>2480</v>
      </c>
      <c r="E191" s="213"/>
      <c r="F191" s="213"/>
      <c r="G191" s="213"/>
      <c r="H191" s="214"/>
      <c r="I191" s="214"/>
      <c r="J191" s="632"/>
      <c r="K191" s="362"/>
      <c r="L191" s="369"/>
      <c r="M191" s="392"/>
      <c r="N191" s="215"/>
      <c r="O191" s="616">
        <f t="shared" si="1"/>
        <v>0</v>
      </c>
      <c r="P191" s="633"/>
      <c r="Q191" s="648"/>
      <c r="R191" s="648"/>
      <c r="S191" s="7"/>
      <c r="T191" s="699"/>
      <c r="U191" s="7"/>
      <c r="V191" s="618">
        <f t="shared" si="17"/>
        <v>0</v>
      </c>
      <c r="W191" s="7"/>
      <c r="X191" s="7"/>
      <c r="Y191" s="7"/>
      <c r="Z191" s="7"/>
      <c r="AA191" s="7"/>
      <c r="AB191" s="7"/>
    </row>
    <row r="192" spans="1:28" ht="20.25" customHeight="1">
      <c r="A192" s="503"/>
      <c r="B192" s="483" t="s">
        <v>426</v>
      </c>
      <c r="C192" s="658" t="s">
        <v>431</v>
      </c>
      <c r="D192" s="504" t="s">
        <v>2481</v>
      </c>
      <c r="E192" s="213"/>
      <c r="F192" s="213"/>
      <c r="G192" s="213"/>
      <c r="H192" s="214"/>
      <c r="I192" s="214"/>
      <c r="J192" s="632"/>
      <c r="K192" s="362"/>
      <c r="L192" s="369"/>
      <c r="M192" s="392"/>
      <c r="N192" s="215"/>
      <c r="O192" s="616">
        <f t="shared" si="1"/>
        <v>0</v>
      </c>
      <c r="P192" s="633"/>
      <c r="Q192" s="636"/>
      <c r="R192" s="636"/>
      <c r="S192" s="7"/>
      <c r="T192" s="699"/>
      <c r="U192" s="7"/>
      <c r="V192" s="618">
        <f t="shared" si="17"/>
        <v>0</v>
      </c>
      <c r="W192" s="7"/>
      <c r="X192" s="7"/>
      <c r="Y192" s="7"/>
      <c r="Z192" s="7"/>
      <c r="AA192" s="7"/>
      <c r="AB192" s="7"/>
    </row>
    <row r="193" spans="1:28" ht="20.25" customHeight="1">
      <c r="A193" s="503"/>
      <c r="B193" s="483" t="s">
        <v>428</v>
      </c>
      <c r="C193" s="658" t="s">
        <v>433</v>
      </c>
      <c r="D193" s="504" t="s">
        <v>2482</v>
      </c>
      <c r="E193" s="213"/>
      <c r="F193" s="213"/>
      <c r="G193" s="213"/>
      <c r="H193" s="214"/>
      <c r="I193" s="214"/>
      <c r="J193" s="632"/>
      <c r="K193" s="362"/>
      <c r="L193" s="369"/>
      <c r="M193" s="392"/>
      <c r="N193" s="215"/>
      <c r="O193" s="616">
        <f t="shared" si="1"/>
        <v>0</v>
      </c>
      <c r="P193" s="633"/>
      <c r="Q193" s="648"/>
      <c r="R193" s="648"/>
      <c r="S193" s="7"/>
      <c r="T193" s="699"/>
      <c r="U193" s="7"/>
      <c r="V193" s="618">
        <f t="shared" si="17"/>
        <v>0</v>
      </c>
      <c r="W193" s="7"/>
      <c r="X193" s="7"/>
      <c r="Y193" s="7"/>
      <c r="Z193" s="7"/>
      <c r="AA193" s="7"/>
      <c r="AB193" s="7"/>
    </row>
    <row r="194" spans="1:28" ht="15.75" customHeight="1">
      <c r="A194" s="486"/>
      <c r="B194" s="487" t="s">
        <v>435</v>
      </c>
      <c r="C194" s="656" t="s">
        <v>436</v>
      </c>
      <c r="D194" s="412"/>
      <c r="E194" s="213"/>
      <c r="F194" s="213"/>
      <c r="G194" s="213"/>
      <c r="H194" s="214"/>
      <c r="I194" s="214"/>
      <c r="J194" s="632"/>
      <c r="K194" s="362"/>
      <c r="L194" s="369"/>
      <c r="M194" s="392"/>
      <c r="N194" s="215"/>
      <c r="O194" s="616">
        <f t="shared" si="1"/>
        <v>0</v>
      </c>
      <c r="P194" s="633"/>
      <c r="Q194" s="654"/>
      <c r="R194" s="654"/>
      <c r="S194" s="7"/>
      <c r="T194" s="699"/>
      <c r="U194" s="7"/>
      <c r="V194" s="618">
        <f t="shared" si="17"/>
        <v>0</v>
      </c>
      <c r="W194" s="7"/>
      <c r="X194" s="7"/>
      <c r="Y194" s="7"/>
      <c r="Z194" s="7"/>
      <c r="AA194" s="7"/>
      <c r="AB194" s="7"/>
    </row>
    <row r="195" spans="1:28" ht="33.75" customHeight="1">
      <c r="A195" s="503"/>
      <c r="B195" s="483" t="s">
        <v>438</v>
      </c>
      <c r="C195" s="658" t="s">
        <v>423</v>
      </c>
      <c r="D195" s="504" t="s">
        <v>424</v>
      </c>
      <c r="E195" s="213"/>
      <c r="F195" s="213"/>
      <c r="G195" s="213"/>
      <c r="H195" s="214"/>
      <c r="I195" s="214"/>
      <c r="J195" s="632">
        <v>22360</v>
      </c>
      <c r="K195" s="362">
        <v>500</v>
      </c>
      <c r="L195" s="369"/>
      <c r="M195" s="392">
        <v>670</v>
      </c>
      <c r="N195" s="215"/>
      <c r="O195" s="616">
        <f t="shared" si="1"/>
        <v>23530</v>
      </c>
      <c r="P195" s="633"/>
      <c r="Q195" s="648"/>
      <c r="R195" s="648"/>
      <c r="S195" s="7"/>
      <c r="T195" s="699"/>
      <c r="U195" s="7"/>
      <c r="V195" s="618">
        <f t="shared" si="17"/>
        <v>-23530</v>
      </c>
      <c r="W195" s="7"/>
      <c r="X195" s="7"/>
      <c r="Y195" s="7"/>
      <c r="Z195" s="7"/>
      <c r="AA195" s="7"/>
      <c r="AB195" s="7"/>
    </row>
    <row r="196" spans="1:28" ht="20.25" customHeight="1">
      <c r="A196" s="503"/>
      <c r="B196" s="483" t="s">
        <v>439</v>
      </c>
      <c r="C196" s="658" t="s">
        <v>427</v>
      </c>
      <c r="D196" s="504" t="s">
        <v>132</v>
      </c>
      <c r="E196" s="213"/>
      <c r="F196" s="213"/>
      <c r="G196" s="213"/>
      <c r="H196" s="214"/>
      <c r="I196" s="214"/>
      <c r="J196" s="632"/>
      <c r="K196" s="362"/>
      <c r="L196" s="369"/>
      <c r="M196" s="392"/>
      <c r="N196" s="215"/>
      <c r="O196" s="616">
        <f t="shared" si="1"/>
        <v>0</v>
      </c>
      <c r="P196" s="633"/>
      <c r="Q196" s="636"/>
      <c r="R196" s="636"/>
      <c r="S196" s="7"/>
      <c r="T196" s="699"/>
      <c r="U196" s="7"/>
      <c r="V196" s="618">
        <f t="shared" si="17"/>
        <v>0</v>
      </c>
      <c r="W196" s="7"/>
      <c r="X196" s="7"/>
      <c r="Y196" s="7"/>
      <c r="Z196" s="7"/>
      <c r="AA196" s="7"/>
      <c r="AB196" s="7"/>
    </row>
    <row r="197" spans="1:28" ht="20.25" customHeight="1">
      <c r="A197" s="503"/>
      <c r="B197" s="483" t="s">
        <v>440</v>
      </c>
      <c r="C197" s="658" t="s">
        <v>429</v>
      </c>
      <c r="D197" s="504" t="s">
        <v>2483</v>
      </c>
      <c r="E197" s="213"/>
      <c r="F197" s="213"/>
      <c r="G197" s="213"/>
      <c r="H197" s="214"/>
      <c r="I197" s="214"/>
      <c r="J197" s="632"/>
      <c r="K197" s="362"/>
      <c r="L197" s="369"/>
      <c r="M197" s="392"/>
      <c r="N197" s="215"/>
      <c r="O197" s="616">
        <f t="shared" si="1"/>
        <v>0</v>
      </c>
      <c r="P197" s="633"/>
      <c r="Q197" s="648"/>
      <c r="R197" s="648"/>
      <c r="S197" s="7"/>
      <c r="T197" s="699"/>
      <c r="U197" s="7"/>
      <c r="V197" s="618">
        <f t="shared" si="17"/>
        <v>0</v>
      </c>
      <c r="W197" s="7"/>
      <c r="X197" s="7"/>
      <c r="Y197" s="7"/>
      <c r="Z197" s="7"/>
      <c r="AA197" s="7"/>
      <c r="AB197" s="7"/>
    </row>
    <row r="198" spans="1:28" ht="20.25" customHeight="1">
      <c r="A198" s="503"/>
      <c r="B198" s="483" t="s">
        <v>439</v>
      </c>
      <c r="C198" s="658" t="s">
        <v>431</v>
      </c>
      <c r="D198" s="504" t="s">
        <v>2484</v>
      </c>
      <c r="E198" s="213"/>
      <c r="F198" s="213"/>
      <c r="G198" s="213"/>
      <c r="H198" s="214"/>
      <c r="I198" s="214"/>
      <c r="J198" s="632"/>
      <c r="K198" s="362"/>
      <c r="L198" s="369"/>
      <c r="M198" s="392"/>
      <c r="N198" s="215"/>
      <c r="O198" s="616">
        <f t="shared" si="1"/>
        <v>0</v>
      </c>
      <c r="P198" s="633"/>
      <c r="Q198" s="648"/>
      <c r="R198" s="648"/>
      <c r="S198" s="7"/>
      <c r="T198" s="699"/>
      <c r="U198" s="7"/>
      <c r="V198" s="618">
        <f t="shared" si="17"/>
        <v>0</v>
      </c>
      <c r="W198" s="7"/>
      <c r="X198" s="7"/>
      <c r="Y198" s="7"/>
      <c r="Z198" s="7"/>
      <c r="AA198" s="7"/>
      <c r="AB198" s="7"/>
    </row>
    <row r="199" spans="1:28" ht="20.25" customHeight="1">
      <c r="A199" s="503"/>
      <c r="B199" s="483" t="s">
        <v>440</v>
      </c>
      <c r="C199" s="658" t="s">
        <v>433</v>
      </c>
      <c r="D199" s="504" t="s">
        <v>2485</v>
      </c>
      <c r="E199" s="213"/>
      <c r="F199" s="213"/>
      <c r="G199" s="213"/>
      <c r="H199" s="214"/>
      <c r="I199" s="214"/>
      <c r="J199" s="632"/>
      <c r="K199" s="362"/>
      <c r="L199" s="369"/>
      <c r="M199" s="392"/>
      <c r="N199" s="215"/>
      <c r="O199" s="616">
        <f t="shared" si="1"/>
        <v>0</v>
      </c>
      <c r="P199" s="633"/>
      <c r="Q199" s="648"/>
      <c r="R199" s="648"/>
      <c r="S199" s="7"/>
      <c r="T199" s="699"/>
      <c r="U199" s="7"/>
      <c r="V199" s="618">
        <f t="shared" si="17"/>
        <v>0</v>
      </c>
      <c r="W199" s="7"/>
      <c r="X199" s="7"/>
      <c r="Y199" s="7"/>
      <c r="Z199" s="7"/>
      <c r="AA199" s="7"/>
      <c r="AB199" s="7"/>
    </row>
    <row r="200" spans="1:28" ht="20.25" customHeight="1">
      <c r="A200" s="486"/>
      <c r="B200" s="487" t="s">
        <v>444</v>
      </c>
      <c r="C200" s="656" t="s">
        <v>445</v>
      </c>
      <c r="D200" s="412"/>
      <c r="E200" s="213"/>
      <c r="F200" s="213"/>
      <c r="G200" s="213"/>
      <c r="H200" s="214"/>
      <c r="I200" s="214"/>
      <c r="J200" s="632"/>
      <c r="K200" s="362"/>
      <c r="L200" s="369"/>
      <c r="M200" s="392"/>
      <c r="N200" s="215"/>
      <c r="O200" s="616">
        <f t="shared" si="1"/>
        <v>0</v>
      </c>
      <c r="P200" s="633"/>
      <c r="Q200" s="636"/>
      <c r="R200" s="636"/>
      <c r="S200" s="7"/>
      <c r="T200" s="699"/>
      <c r="U200" s="7"/>
      <c r="V200" s="618">
        <f t="shared" si="17"/>
        <v>0</v>
      </c>
      <c r="W200" s="7"/>
      <c r="X200" s="7"/>
      <c r="Y200" s="7"/>
      <c r="Z200" s="7"/>
      <c r="AA200" s="7"/>
      <c r="AB200" s="7"/>
    </row>
    <row r="201" spans="1:28" ht="20.25" customHeight="1">
      <c r="A201" s="503"/>
      <c r="B201" s="483" t="s">
        <v>446</v>
      </c>
      <c r="C201" s="658" t="s">
        <v>447</v>
      </c>
      <c r="D201" s="504" t="s">
        <v>424</v>
      </c>
      <c r="E201" s="213"/>
      <c r="F201" s="213"/>
      <c r="G201" s="213"/>
      <c r="H201" s="214"/>
      <c r="I201" s="214"/>
      <c r="J201" s="632"/>
      <c r="K201" s="362">
        <v>505</v>
      </c>
      <c r="L201" s="369"/>
      <c r="M201" s="392">
        <v>83</v>
      </c>
      <c r="N201" s="215"/>
      <c r="O201" s="616">
        <f t="shared" si="1"/>
        <v>588</v>
      </c>
      <c r="P201" s="633"/>
      <c r="Q201" s="648"/>
      <c r="R201" s="648"/>
      <c r="S201" s="7"/>
      <c r="T201" s="699">
        <v>70</v>
      </c>
      <c r="U201" s="7"/>
      <c r="V201" s="618">
        <f t="shared" si="17"/>
        <v>-518</v>
      </c>
      <c r="W201" s="7"/>
      <c r="X201" s="7"/>
      <c r="Y201" s="7"/>
      <c r="Z201" s="7"/>
      <c r="AA201" s="7"/>
      <c r="AB201" s="7"/>
    </row>
    <row r="202" spans="1:28" ht="20.25" customHeight="1">
      <c r="A202" s="503"/>
      <c r="B202" s="483" t="s">
        <v>449</v>
      </c>
      <c r="C202" s="658" t="s">
        <v>450</v>
      </c>
      <c r="D202" s="504" t="s">
        <v>2486</v>
      </c>
      <c r="E202" s="213"/>
      <c r="F202" s="213"/>
      <c r="G202" s="213"/>
      <c r="H202" s="214"/>
      <c r="I202" s="214"/>
      <c r="J202" s="632"/>
      <c r="K202" s="362"/>
      <c r="L202" s="369"/>
      <c r="M202" s="392"/>
      <c r="N202" s="215"/>
      <c r="O202" s="616">
        <f t="shared" si="1"/>
        <v>0</v>
      </c>
      <c r="P202" s="633"/>
      <c r="Q202" s="648"/>
      <c r="R202" s="648"/>
      <c r="S202" s="7"/>
      <c r="T202" s="699"/>
      <c r="U202" s="7"/>
      <c r="V202" s="618">
        <f t="shared" si="17"/>
        <v>0</v>
      </c>
      <c r="W202" s="7"/>
      <c r="X202" s="7"/>
      <c r="Y202" s="7"/>
      <c r="Z202" s="7"/>
      <c r="AA202" s="7"/>
      <c r="AB202" s="7"/>
    </row>
    <row r="203" spans="1:28" ht="20.25" customHeight="1">
      <c r="A203" s="503"/>
      <c r="B203" s="483" t="s">
        <v>449</v>
      </c>
      <c r="C203" s="658" t="s">
        <v>431</v>
      </c>
      <c r="D203" s="504" t="s">
        <v>2487</v>
      </c>
      <c r="E203" s="213"/>
      <c r="F203" s="213"/>
      <c r="G203" s="213"/>
      <c r="H203" s="214"/>
      <c r="I203" s="214"/>
      <c r="J203" s="632"/>
      <c r="K203" s="362"/>
      <c r="L203" s="369"/>
      <c r="M203" s="392">
        <v>9000</v>
      </c>
      <c r="N203" s="215"/>
      <c r="O203" s="616">
        <f t="shared" si="1"/>
        <v>9000</v>
      </c>
      <c r="P203" s="633"/>
      <c r="Q203" s="648"/>
      <c r="R203" s="648"/>
      <c r="S203" s="7"/>
      <c r="T203" s="699"/>
      <c r="U203" s="7"/>
      <c r="V203" s="618">
        <f t="shared" si="17"/>
        <v>-9000</v>
      </c>
      <c r="W203" s="7"/>
      <c r="X203" s="7"/>
      <c r="Y203" s="7"/>
      <c r="Z203" s="7"/>
      <c r="AA203" s="7"/>
      <c r="AB203" s="7"/>
    </row>
    <row r="204" spans="1:28" ht="20.25" customHeight="1">
      <c r="A204" s="503"/>
      <c r="B204" s="483" t="s">
        <v>453</v>
      </c>
      <c r="C204" s="658" t="s">
        <v>433</v>
      </c>
      <c r="D204" s="504" t="s">
        <v>2488</v>
      </c>
      <c r="E204" s="213"/>
      <c r="F204" s="213"/>
      <c r="G204" s="213"/>
      <c r="H204" s="214"/>
      <c r="I204" s="214"/>
      <c r="J204" s="632"/>
      <c r="K204" s="362"/>
      <c r="L204" s="369"/>
      <c r="M204" s="392"/>
      <c r="N204" s="215"/>
      <c r="O204" s="616">
        <f t="shared" si="1"/>
        <v>0</v>
      </c>
      <c r="P204" s="633"/>
      <c r="Q204" s="636"/>
      <c r="R204" s="636"/>
      <c r="S204" s="7"/>
      <c r="T204" s="699"/>
      <c r="U204" s="7"/>
      <c r="V204" s="618">
        <f t="shared" si="17"/>
        <v>0</v>
      </c>
      <c r="W204" s="7"/>
      <c r="X204" s="7"/>
      <c r="Y204" s="7"/>
      <c r="Z204" s="7"/>
      <c r="AA204" s="7"/>
      <c r="AB204" s="7"/>
    </row>
    <row r="205" spans="1:28" ht="21" customHeight="1">
      <c r="A205" s="486"/>
      <c r="B205" s="487" t="s">
        <v>455</v>
      </c>
      <c r="C205" s="656" t="s">
        <v>456</v>
      </c>
      <c r="D205" s="512"/>
      <c r="E205" s="213"/>
      <c r="F205" s="213"/>
      <c r="G205" s="213"/>
      <c r="H205" s="214"/>
      <c r="I205" s="214"/>
      <c r="J205" s="632"/>
      <c r="K205" s="362"/>
      <c r="L205" s="369"/>
      <c r="M205" s="392"/>
      <c r="N205" s="215"/>
      <c r="O205" s="616">
        <f t="shared" si="1"/>
        <v>0</v>
      </c>
      <c r="P205" s="633"/>
      <c r="Q205" s="636"/>
      <c r="R205" s="636"/>
      <c r="S205" s="7"/>
      <c r="T205" s="699"/>
      <c r="U205" s="7"/>
      <c r="V205" s="618">
        <f t="shared" si="17"/>
        <v>0</v>
      </c>
      <c r="W205" s="7"/>
      <c r="X205" s="7"/>
      <c r="Y205" s="7"/>
      <c r="Z205" s="7"/>
      <c r="AA205" s="7"/>
      <c r="AB205" s="7"/>
    </row>
    <row r="206" spans="1:28" ht="20.25" customHeight="1">
      <c r="A206" s="503"/>
      <c r="B206" s="483" t="s">
        <v>458</v>
      </c>
      <c r="C206" s="658" t="s">
        <v>459</v>
      </c>
      <c r="D206" s="504" t="s">
        <v>424</v>
      </c>
      <c r="E206" s="213"/>
      <c r="F206" s="213"/>
      <c r="G206" s="213"/>
      <c r="H206" s="214"/>
      <c r="I206" s="214"/>
      <c r="J206" s="632">
        <f>161250+300</f>
        <v>161550</v>
      </c>
      <c r="K206" s="362">
        <v>2200</v>
      </c>
      <c r="L206" s="369"/>
      <c r="M206" s="392">
        <v>802</v>
      </c>
      <c r="N206" s="215"/>
      <c r="O206" s="616">
        <f t="shared" si="1"/>
        <v>164552</v>
      </c>
      <c r="P206" s="633"/>
      <c r="Q206" s="648"/>
      <c r="R206" s="648"/>
      <c r="S206" s="7"/>
      <c r="T206" s="699"/>
      <c r="U206" s="7"/>
      <c r="V206" s="618"/>
      <c r="W206" s="7"/>
      <c r="X206" s="7"/>
      <c r="Y206" s="7"/>
      <c r="Z206" s="7"/>
      <c r="AA206" s="7"/>
      <c r="AB206" s="7"/>
    </row>
    <row r="207" spans="1:28" ht="20.25" customHeight="1">
      <c r="A207" s="503"/>
      <c r="B207" s="483" t="s">
        <v>461</v>
      </c>
      <c r="C207" s="658" t="s">
        <v>431</v>
      </c>
      <c r="D207" s="504" t="s">
        <v>2489</v>
      </c>
      <c r="E207" s="213"/>
      <c r="F207" s="213"/>
      <c r="G207" s="213"/>
      <c r="H207" s="214"/>
      <c r="I207" s="214"/>
      <c r="J207" s="632">
        <f>22297.5+620</f>
        <v>22917.5</v>
      </c>
      <c r="K207" s="362"/>
      <c r="L207" s="369"/>
      <c r="M207" s="392">
        <v>350</v>
      </c>
      <c r="N207" s="215"/>
      <c r="O207" s="616">
        <f t="shared" si="1"/>
        <v>23267.5</v>
      </c>
      <c r="P207" s="633"/>
      <c r="Q207" s="648"/>
      <c r="R207" s="648"/>
      <c r="S207" s="7"/>
      <c r="T207" s="699"/>
      <c r="U207" s="7"/>
      <c r="V207" s="618"/>
      <c r="W207" s="7"/>
      <c r="X207" s="7"/>
      <c r="Y207" s="7"/>
      <c r="Z207" s="7"/>
      <c r="AA207" s="7"/>
      <c r="AB207" s="7"/>
    </row>
    <row r="208" spans="1:28" ht="20.25" customHeight="1">
      <c r="A208" s="503"/>
      <c r="B208" s="483" t="s">
        <v>464</v>
      </c>
      <c r="C208" s="658" t="s">
        <v>433</v>
      </c>
      <c r="D208" s="504" t="s">
        <v>2490</v>
      </c>
      <c r="E208" s="213"/>
      <c r="F208" s="213"/>
      <c r="G208" s="213"/>
      <c r="H208" s="214"/>
      <c r="I208" s="214"/>
      <c r="J208" s="632">
        <f>4236.8+45</f>
        <v>4281.8</v>
      </c>
      <c r="K208" s="362"/>
      <c r="L208" s="369"/>
      <c r="M208" s="392">
        <v>142</v>
      </c>
      <c r="N208" s="215"/>
      <c r="O208" s="616">
        <f t="shared" si="1"/>
        <v>4423.8</v>
      </c>
      <c r="P208" s="633"/>
      <c r="Q208" s="636"/>
      <c r="R208" s="636"/>
      <c r="S208" s="7"/>
      <c r="T208" s="699"/>
      <c r="U208" s="7"/>
      <c r="V208" s="618">
        <f t="shared" ref="V208:V215" si="18">T208-O208</f>
        <v>-4423.8</v>
      </c>
      <c r="W208" s="7"/>
      <c r="X208" s="7"/>
      <c r="Y208" s="7"/>
      <c r="Z208" s="7"/>
      <c r="AA208" s="7"/>
      <c r="AB208" s="7"/>
    </row>
    <row r="209" spans="1:28" ht="20.25" customHeight="1">
      <c r="A209" s="486"/>
      <c r="B209" s="487" t="s">
        <v>455</v>
      </c>
      <c r="C209" s="635" t="s">
        <v>467</v>
      </c>
      <c r="D209" s="412"/>
      <c r="E209" s="213"/>
      <c r="F209" s="213"/>
      <c r="G209" s="213"/>
      <c r="H209" s="214"/>
      <c r="I209" s="214"/>
      <c r="J209" s="632"/>
      <c r="K209" s="362">
        <v>4</v>
      </c>
      <c r="L209" s="369"/>
      <c r="M209" s="392">
        <v>3</v>
      </c>
      <c r="N209" s="215"/>
      <c r="O209" s="616">
        <f t="shared" si="1"/>
        <v>7</v>
      </c>
      <c r="P209" s="633"/>
      <c r="Q209" s="648"/>
      <c r="R209" s="648"/>
      <c r="S209" s="7"/>
      <c r="T209" s="699"/>
      <c r="U209" s="7"/>
      <c r="V209" s="618">
        <f t="shared" si="18"/>
        <v>-7</v>
      </c>
      <c r="W209" s="7"/>
      <c r="X209" s="7"/>
      <c r="Y209" s="7"/>
      <c r="Z209" s="7"/>
      <c r="AA209" s="7"/>
      <c r="AB209" s="7"/>
    </row>
    <row r="210" spans="1:28" ht="20.25" customHeight="1">
      <c r="A210" s="503"/>
      <c r="B210" s="483" t="s">
        <v>458</v>
      </c>
      <c r="C210" s="658" t="s">
        <v>469</v>
      </c>
      <c r="D210" s="504" t="s">
        <v>132</v>
      </c>
      <c r="E210" s="213"/>
      <c r="F210" s="213"/>
      <c r="G210" s="213"/>
      <c r="H210" s="214"/>
      <c r="I210" s="214"/>
      <c r="J210" s="632">
        <v>9</v>
      </c>
      <c r="K210" s="362">
        <v>4</v>
      </c>
      <c r="L210" s="369"/>
      <c r="M210" s="392">
        <v>2</v>
      </c>
      <c r="N210" s="215"/>
      <c r="O210" s="616">
        <f t="shared" si="1"/>
        <v>15</v>
      </c>
      <c r="P210" s="633"/>
      <c r="Q210" s="648"/>
      <c r="R210" s="648"/>
      <c r="S210" s="7"/>
      <c r="T210" s="699"/>
      <c r="U210" s="7"/>
      <c r="V210" s="618">
        <f t="shared" si="18"/>
        <v>-15</v>
      </c>
      <c r="W210" s="7"/>
      <c r="X210" s="7"/>
      <c r="Y210" s="7"/>
      <c r="Z210" s="7"/>
      <c r="AA210" s="7"/>
      <c r="AB210" s="7"/>
    </row>
    <row r="211" spans="1:28" ht="20.25" customHeight="1">
      <c r="A211" s="503"/>
      <c r="B211" s="483" t="s">
        <v>461</v>
      </c>
      <c r="C211" s="658" t="s">
        <v>471</v>
      </c>
      <c r="D211" s="504" t="s">
        <v>132</v>
      </c>
      <c r="E211" s="213"/>
      <c r="F211" s="213"/>
      <c r="G211" s="213"/>
      <c r="H211" s="214"/>
      <c r="I211" s="214"/>
      <c r="J211" s="632">
        <v>1</v>
      </c>
      <c r="K211" s="362"/>
      <c r="L211" s="369"/>
      <c r="M211" s="392"/>
      <c r="N211" s="215"/>
      <c r="O211" s="616">
        <f t="shared" si="1"/>
        <v>1</v>
      </c>
      <c r="P211" s="633"/>
      <c r="Q211" s="636"/>
      <c r="R211" s="636"/>
      <c r="S211" s="7"/>
      <c r="T211" s="699"/>
      <c r="U211" s="7"/>
      <c r="V211" s="618">
        <f t="shared" si="18"/>
        <v>-1</v>
      </c>
      <c r="W211" s="7"/>
      <c r="X211" s="7"/>
      <c r="Y211" s="7"/>
      <c r="Z211" s="7"/>
      <c r="AA211" s="7"/>
      <c r="AB211" s="7"/>
    </row>
    <row r="212" spans="1:28" ht="20.25" customHeight="1">
      <c r="A212" s="503"/>
      <c r="B212" s="483" t="s">
        <v>464</v>
      </c>
      <c r="C212" s="658" t="s">
        <v>473</v>
      </c>
      <c r="D212" s="504" t="s">
        <v>132</v>
      </c>
      <c r="E212" s="213"/>
      <c r="F212" s="213"/>
      <c r="G212" s="213"/>
      <c r="H212" s="214"/>
      <c r="I212" s="214"/>
      <c r="J212" s="632">
        <v>2</v>
      </c>
      <c r="K212" s="362"/>
      <c r="L212" s="369"/>
      <c r="M212" s="392">
        <v>1</v>
      </c>
      <c r="N212" s="215"/>
      <c r="O212" s="616">
        <f t="shared" si="1"/>
        <v>3</v>
      </c>
      <c r="P212" s="633"/>
      <c r="Q212" s="636"/>
      <c r="R212" s="636"/>
      <c r="S212" s="7"/>
      <c r="T212" s="699"/>
      <c r="U212" s="7"/>
      <c r="V212" s="618">
        <f t="shared" si="18"/>
        <v>-3</v>
      </c>
      <c r="W212" s="7"/>
      <c r="X212" s="7"/>
      <c r="Y212" s="7"/>
      <c r="Z212" s="7"/>
      <c r="AA212" s="7"/>
      <c r="AB212" s="7"/>
    </row>
    <row r="213" spans="1:28" ht="20.25" customHeight="1">
      <c r="A213" s="486"/>
      <c r="B213" s="487" t="s">
        <v>475</v>
      </c>
      <c r="C213" s="635" t="s">
        <v>476</v>
      </c>
      <c r="D213" s="412"/>
      <c r="E213" s="213"/>
      <c r="F213" s="213"/>
      <c r="G213" s="213"/>
      <c r="H213" s="214"/>
      <c r="I213" s="214"/>
      <c r="J213" s="632"/>
      <c r="K213" s="362">
        <v>1</v>
      </c>
      <c r="L213" s="368"/>
      <c r="M213" s="392">
        <v>3</v>
      </c>
      <c r="N213" s="215"/>
      <c r="O213" s="616">
        <f t="shared" si="1"/>
        <v>4</v>
      </c>
      <c r="P213" s="633"/>
      <c r="Q213" s="636"/>
      <c r="R213" s="636"/>
      <c r="S213" s="7"/>
      <c r="T213" s="703"/>
      <c r="U213" s="7"/>
      <c r="V213" s="618">
        <f t="shared" si="18"/>
        <v>-4</v>
      </c>
      <c r="W213" s="7"/>
      <c r="X213" s="7"/>
      <c r="Y213" s="7"/>
      <c r="Z213" s="7"/>
      <c r="AA213" s="7"/>
      <c r="AB213" s="7"/>
    </row>
    <row r="214" spans="1:28" ht="20.25" customHeight="1">
      <c r="A214" s="503"/>
      <c r="B214" s="483" t="s">
        <v>478</v>
      </c>
      <c r="C214" s="658" t="s">
        <v>479</v>
      </c>
      <c r="D214" s="504" t="s">
        <v>132</v>
      </c>
      <c r="E214" s="213"/>
      <c r="F214" s="213"/>
      <c r="G214" s="213"/>
      <c r="H214" s="214"/>
      <c r="I214" s="214"/>
      <c r="J214" s="632"/>
      <c r="K214" s="362">
        <v>1</v>
      </c>
      <c r="L214" s="369"/>
      <c r="M214" s="392">
        <v>2</v>
      </c>
      <c r="N214" s="215"/>
      <c r="O214" s="616">
        <f t="shared" si="1"/>
        <v>3</v>
      </c>
      <c r="P214" s="633"/>
      <c r="Q214" s="636"/>
      <c r="R214" s="636"/>
      <c r="S214" s="7"/>
      <c r="T214" s="699"/>
      <c r="U214" s="7"/>
      <c r="V214" s="618">
        <f t="shared" si="18"/>
        <v>-3</v>
      </c>
      <c r="W214" s="7"/>
      <c r="X214" s="7"/>
      <c r="Y214" s="7"/>
      <c r="Z214" s="7"/>
      <c r="AA214" s="7"/>
      <c r="AB214" s="7"/>
    </row>
    <row r="215" spans="1:28" ht="20.25" customHeight="1">
      <c r="A215" s="503"/>
      <c r="B215" s="483" t="s">
        <v>481</v>
      </c>
      <c r="C215" s="658" t="s">
        <v>482</v>
      </c>
      <c r="D215" s="504" t="s">
        <v>132</v>
      </c>
      <c r="E215" s="213"/>
      <c r="F215" s="213"/>
      <c r="G215" s="213"/>
      <c r="H215" s="214"/>
      <c r="I215" s="214"/>
      <c r="J215" s="632"/>
      <c r="K215" s="362"/>
      <c r="L215" s="369"/>
      <c r="M215" s="392"/>
      <c r="N215" s="215"/>
      <c r="O215" s="616">
        <f t="shared" si="1"/>
        <v>0</v>
      </c>
      <c r="P215" s="633"/>
      <c r="Q215" s="636"/>
      <c r="R215" s="636"/>
      <c r="S215" s="7"/>
      <c r="T215" s="699"/>
      <c r="U215" s="7"/>
      <c r="V215" s="618">
        <f t="shared" si="18"/>
        <v>0</v>
      </c>
      <c r="W215" s="7"/>
      <c r="X215" s="7"/>
      <c r="Y215" s="7"/>
      <c r="Z215" s="7"/>
      <c r="AA215" s="7"/>
      <c r="AB215" s="7"/>
    </row>
    <row r="216" spans="1:28" ht="20.25" customHeight="1">
      <c r="A216" s="486"/>
      <c r="B216" s="487" t="s">
        <v>484</v>
      </c>
      <c r="C216" s="656" t="s">
        <v>485</v>
      </c>
      <c r="D216" s="512" t="s">
        <v>132</v>
      </c>
      <c r="E216" s="213"/>
      <c r="F216" s="213"/>
      <c r="G216" s="213"/>
      <c r="H216" s="214"/>
      <c r="I216" s="214"/>
      <c r="J216" s="632">
        <v>9</v>
      </c>
      <c r="K216" s="362">
        <v>1</v>
      </c>
      <c r="L216" s="369"/>
      <c r="M216" s="392">
        <v>3</v>
      </c>
      <c r="N216" s="215"/>
      <c r="O216" s="616">
        <f t="shared" si="1"/>
        <v>13</v>
      </c>
      <c r="P216" s="633"/>
      <c r="Q216" s="636"/>
      <c r="R216" s="636"/>
      <c r="S216" s="7"/>
      <c r="T216" s="699"/>
      <c r="U216" s="7"/>
      <c r="V216" s="618"/>
      <c r="W216" s="7"/>
      <c r="X216" s="7"/>
      <c r="Y216" s="7"/>
      <c r="Z216" s="7"/>
      <c r="AA216" s="7"/>
      <c r="AB216" s="7"/>
    </row>
    <row r="217" spans="1:28" ht="20.25" customHeight="1">
      <c r="A217" s="503"/>
      <c r="B217" s="483" t="s">
        <v>487</v>
      </c>
      <c r="C217" s="658" t="s">
        <v>488</v>
      </c>
      <c r="D217" s="504" t="s">
        <v>132</v>
      </c>
      <c r="E217" s="213"/>
      <c r="F217" s="213"/>
      <c r="G217" s="213"/>
      <c r="H217" s="214"/>
      <c r="I217" s="214"/>
      <c r="J217" s="632">
        <v>9</v>
      </c>
      <c r="K217" s="362">
        <v>1</v>
      </c>
      <c r="L217" s="369"/>
      <c r="M217" s="392">
        <v>1</v>
      </c>
      <c r="N217" s="215"/>
      <c r="O217" s="616">
        <f t="shared" si="1"/>
        <v>11</v>
      </c>
      <c r="P217" s="633"/>
      <c r="Q217" s="636"/>
      <c r="R217" s="636"/>
      <c r="S217" s="7"/>
      <c r="T217" s="699"/>
      <c r="U217" s="7"/>
      <c r="V217" s="618">
        <f t="shared" ref="V217:V218" si="19">T217-O217</f>
        <v>-11</v>
      </c>
      <c r="W217" s="7"/>
      <c r="X217" s="7"/>
      <c r="Y217" s="7"/>
      <c r="Z217" s="7"/>
      <c r="AA217" s="7"/>
      <c r="AB217" s="7"/>
    </row>
    <row r="218" spans="1:28" ht="20.25" customHeight="1">
      <c r="A218" s="503"/>
      <c r="B218" s="483" t="s">
        <v>490</v>
      </c>
      <c r="C218" s="658" t="s">
        <v>491</v>
      </c>
      <c r="D218" s="504" t="s">
        <v>132</v>
      </c>
      <c r="E218" s="213"/>
      <c r="F218" s="213"/>
      <c r="G218" s="213"/>
      <c r="H218" s="214"/>
      <c r="I218" s="214"/>
      <c r="J218" s="632"/>
      <c r="K218" s="362"/>
      <c r="L218" s="369"/>
      <c r="M218" s="392"/>
      <c r="N218" s="215"/>
      <c r="O218" s="616">
        <f t="shared" si="1"/>
        <v>0</v>
      </c>
      <c r="P218" s="633"/>
      <c r="Q218" s="636"/>
      <c r="R218" s="636"/>
      <c r="S218" s="7"/>
      <c r="T218" s="699"/>
      <c r="U218" s="7"/>
      <c r="V218" s="618">
        <f t="shared" si="19"/>
        <v>0</v>
      </c>
      <c r="W218" s="7"/>
      <c r="X218" s="7"/>
      <c r="Y218" s="7"/>
      <c r="Z218" s="7"/>
      <c r="AA218" s="7"/>
      <c r="AB218" s="7"/>
    </row>
    <row r="219" spans="1:28" ht="15.75" customHeight="1">
      <c r="A219" s="486"/>
      <c r="B219" s="487" t="s">
        <v>493</v>
      </c>
      <c r="C219" s="656" t="s">
        <v>494</v>
      </c>
      <c r="D219" s="512" t="s">
        <v>132</v>
      </c>
      <c r="E219" s="213"/>
      <c r="F219" s="213"/>
      <c r="G219" s="213"/>
      <c r="H219" s="214"/>
      <c r="I219" s="214"/>
      <c r="J219" s="632"/>
      <c r="K219" s="362">
        <v>3</v>
      </c>
      <c r="L219" s="369"/>
      <c r="M219" s="392"/>
      <c r="N219" s="215"/>
      <c r="O219" s="616">
        <f t="shared" si="1"/>
        <v>3</v>
      </c>
      <c r="P219" s="633"/>
      <c r="Q219" s="636"/>
      <c r="R219" s="636"/>
      <c r="S219" s="7"/>
      <c r="T219" s="699"/>
      <c r="U219" s="7"/>
      <c r="V219" s="618"/>
      <c r="W219" s="7"/>
      <c r="X219" s="7"/>
      <c r="Y219" s="7"/>
      <c r="Z219" s="7"/>
      <c r="AA219" s="7"/>
      <c r="AB219" s="7"/>
    </row>
    <row r="220" spans="1:28" ht="20.25" customHeight="1">
      <c r="A220" s="486"/>
      <c r="B220" s="487" t="s">
        <v>496</v>
      </c>
      <c r="C220" s="635" t="s">
        <v>497</v>
      </c>
      <c r="D220" s="512"/>
      <c r="E220" s="213"/>
      <c r="F220" s="213"/>
      <c r="G220" s="213"/>
      <c r="H220" s="214"/>
      <c r="I220" s="214"/>
      <c r="J220" s="632"/>
      <c r="K220" s="362"/>
      <c r="L220" s="369"/>
      <c r="M220" s="392"/>
      <c r="N220" s="215"/>
      <c r="O220" s="616">
        <f t="shared" si="1"/>
        <v>0</v>
      </c>
      <c r="P220" s="633"/>
      <c r="Q220" s="636"/>
      <c r="R220" s="636"/>
      <c r="S220" s="7"/>
      <c r="T220" s="699"/>
      <c r="U220" s="7"/>
      <c r="V220" s="618">
        <f>T220-O220</f>
        <v>0</v>
      </c>
      <c r="W220" s="7"/>
      <c r="X220" s="7"/>
      <c r="Y220" s="7"/>
      <c r="Z220" s="7"/>
      <c r="AA220" s="7"/>
      <c r="AB220" s="7"/>
    </row>
    <row r="221" spans="1:28" ht="20.25" customHeight="1">
      <c r="A221" s="482"/>
      <c r="B221" s="483" t="s">
        <v>499</v>
      </c>
      <c r="C221" s="629" t="s">
        <v>500</v>
      </c>
      <c r="D221" s="485" t="s">
        <v>424</v>
      </c>
      <c r="E221" s="213"/>
      <c r="F221" s="213"/>
      <c r="G221" s="213"/>
      <c r="H221" s="214"/>
      <c r="I221" s="214"/>
      <c r="J221" s="632">
        <v>4550</v>
      </c>
      <c r="K221" s="362">
        <v>5390</v>
      </c>
      <c r="L221" s="369"/>
      <c r="M221" s="392">
        <v>5340</v>
      </c>
      <c r="N221" s="215"/>
      <c r="O221" s="616">
        <f t="shared" si="1"/>
        <v>15280</v>
      </c>
      <c r="P221" s="633"/>
      <c r="Q221" s="634"/>
      <c r="R221" s="634"/>
      <c r="S221" s="7"/>
      <c r="T221" s="699"/>
      <c r="U221" s="7"/>
      <c r="V221" s="618"/>
      <c r="W221" s="7"/>
      <c r="X221" s="7"/>
      <c r="Y221" s="7"/>
      <c r="Z221" s="7"/>
      <c r="AA221" s="7"/>
      <c r="AB221" s="7"/>
    </row>
    <row r="222" spans="1:28" ht="20.25" customHeight="1">
      <c r="A222" s="482" t="s">
        <v>1007</v>
      </c>
      <c r="B222" s="483" t="s">
        <v>502</v>
      </c>
      <c r="C222" s="629" t="s">
        <v>503</v>
      </c>
      <c r="D222" s="504" t="s">
        <v>2491</v>
      </c>
      <c r="E222" s="213"/>
      <c r="F222" s="213"/>
      <c r="G222" s="213"/>
      <c r="H222" s="214"/>
      <c r="I222" s="214"/>
      <c r="J222" s="632">
        <v>9775</v>
      </c>
      <c r="K222" s="362">
        <v>2500</v>
      </c>
      <c r="L222" s="369"/>
      <c r="M222" s="392">
        <v>2000</v>
      </c>
      <c r="N222" s="215"/>
      <c r="O222" s="616">
        <f t="shared" si="1"/>
        <v>14275</v>
      </c>
      <c r="P222" s="633"/>
      <c r="Q222" s="634"/>
      <c r="R222" s="634"/>
      <c r="S222" s="7"/>
      <c r="T222" s="699"/>
      <c r="U222" s="7"/>
      <c r="V222" s="618"/>
      <c r="W222" s="7"/>
      <c r="X222" s="7"/>
      <c r="Y222" s="7"/>
      <c r="Z222" s="7"/>
      <c r="AA222" s="7"/>
      <c r="AB222" s="7"/>
    </row>
    <row r="223" spans="1:28" ht="20.25" customHeight="1">
      <c r="A223" s="482"/>
      <c r="B223" s="483" t="s">
        <v>506</v>
      </c>
      <c r="C223" s="629" t="s">
        <v>507</v>
      </c>
      <c r="D223" s="485" t="s">
        <v>2492</v>
      </c>
      <c r="E223" s="213"/>
      <c r="F223" s="213"/>
      <c r="G223" s="213"/>
      <c r="H223" s="214"/>
      <c r="I223" s="214"/>
      <c r="J223" s="632"/>
      <c r="K223" s="362"/>
      <c r="L223" s="369"/>
      <c r="M223" s="392"/>
      <c r="N223" s="215"/>
      <c r="O223" s="616">
        <f t="shared" si="1"/>
        <v>0</v>
      </c>
      <c r="P223" s="633"/>
      <c r="Q223" s="634"/>
      <c r="R223" s="634"/>
      <c r="S223" s="7"/>
      <c r="T223" s="699"/>
      <c r="U223" s="7"/>
      <c r="V223" s="618">
        <f t="shared" ref="V223:V232" si="20">T223-O223</f>
        <v>0</v>
      </c>
      <c r="W223" s="7"/>
      <c r="X223" s="7"/>
      <c r="Y223" s="7"/>
      <c r="Z223" s="7"/>
      <c r="AA223" s="7"/>
      <c r="AB223" s="7"/>
    </row>
    <row r="224" spans="1:28" ht="20.25" customHeight="1">
      <c r="A224" s="486"/>
      <c r="B224" s="487" t="s">
        <v>509</v>
      </c>
      <c r="C224" s="635" t="s">
        <v>510</v>
      </c>
      <c r="D224" s="491" t="s">
        <v>183</v>
      </c>
      <c r="E224" s="213"/>
      <c r="F224" s="213"/>
      <c r="G224" s="213"/>
      <c r="H224" s="214"/>
      <c r="I224" s="214"/>
      <c r="J224" s="632"/>
      <c r="K224" s="362"/>
      <c r="L224" s="369"/>
      <c r="M224" s="392"/>
      <c r="N224" s="215"/>
      <c r="O224" s="616">
        <f t="shared" si="1"/>
        <v>0</v>
      </c>
      <c r="P224" s="633"/>
      <c r="Q224" s="636"/>
      <c r="R224" s="636"/>
      <c r="S224" s="7"/>
      <c r="T224" s="699"/>
      <c r="U224" s="7"/>
      <c r="V224" s="618">
        <f t="shared" si="20"/>
        <v>0</v>
      </c>
      <c r="W224" s="7"/>
      <c r="X224" s="7"/>
      <c r="Y224" s="7"/>
      <c r="Z224" s="7"/>
      <c r="AA224" s="7"/>
      <c r="AB224" s="7"/>
    </row>
    <row r="225" spans="1:28" ht="18.75" customHeight="1">
      <c r="A225" s="489">
        <v>6</v>
      </c>
      <c r="B225" s="490" t="s">
        <v>512</v>
      </c>
      <c r="C225" s="637" t="s">
        <v>513</v>
      </c>
      <c r="D225" s="491"/>
      <c r="E225" s="213"/>
      <c r="F225" s="213"/>
      <c r="G225" s="213"/>
      <c r="H225" s="214"/>
      <c r="I225" s="214"/>
      <c r="J225" s="632"/>
      <c r="K225" s="362"/>
      <c r="L225" s="369"/>
      <c r="M225" s="392"/>
      <c r="N225" s="215"/>
      <c r="O225" s="616">
        <f t="shared" si="1"/>
        <v>0</v>
      </c>
      <c r="P225" s="660" t="s">
        <v>1594</v>
      </c>
      <c r="Q225" s="640"/>
      <c r="R225" s="640"/>
      <c r="S225" s="7"/>
      <c r="T225" s="699"/>
      <c r="U225" s="7"/>
      <c r="V225" s="618">
        <f t="shared" si="20"/>
        <v>0</v>
      </c>
      <c r="W225" s="7"/>
      <c r="X225" s="7"/>
      <c r="Y225" s="7"/>
      <c r="Z225" s="7"/>
      <c r="AA225" s="7"/>
      <c r="AB225" s="7"/>
    </row>
    <row r="226" spans="1:28" ht="15.75" customHeight="1">
      <c r="A226" s="486"/>
      <c r="B226" s="487" t="s">
        <v>515</v>
      </c>
      <c r="C226" s="635" t="s">
        <v>516</v>
      </c>
      <c r="D226" s="512"/>
      <c r="E226" s="213"/>
      <c r="F226" s="213"/>
      <c r="G226" s="213"/>
      <c r="H226" s="214"/>
      <c r="I226" s="214"/>
      <c r="J226" s="632"/>
      <c r="K226" s="362"/>
      <c r="L226" s="369"/>
      <c r="M226" s="392" t="s">
        <v>2493</v>
      </c>
      <c r="N226" s="215"/>
      <c r="O226" s="616">
        <f t="shared" si="1"/>
        <v>0</v>
      </c>
      <c r="P226" s="642">
        <f>O227+O237</f>
        <v>35166</v>
      </c>
      <c r="Q226" s="636"/>
      <c r="R226" s="636"/>
      <c r="S226" s="7"/>
      <c r="T226" s="699"/>
      <c r="U226" s="7"/>
      <c r="V226" s="618">
        <f t="shared" si="20"/>
        <v>0</v>
      </c>
      <c r="W226" s="7"/>
      <c r="X226" s="7"/>
      <c r="Y226" s="7"/>
      <c r="Z226" s="7"/>
      <c r="AA226" s="7"/>
      <c r="AB226" s="7"/>
    </row>
    <row r="227" spans="1:28" ht="20.25" customHeight="1">
      <c r="A227" s="503"/>
      <c r="B227" s="483" t="s">
        <v>518</v>
      </c>
      <c r="C227" s="629" t="s">
        <v>447</v>
      </c>
      <c r="D227" s="504" t="s">
        <v>424</v>
      </c>
      <c r="E227" s="213"/>
      <c r="F227" s="213"/>
      <c r="G227" s="213"/>
      <c r="H227" s="214"/>
      <c r="I227" s="214"/>
      <c r="J227" s="632"/>
      <c r="K227" s="362"/>
      <c r="L227" s="369"/>
      <c r="M227" s="392"/>
      <c r="N227" s="215"/>
      <c r="O227" s="616">
        <f t="shared" si="1"/>
        <v>0</v>
      </c>
      <c r="P227" s="648"/>
      <c r="Q227" s="648"/>
      <c r="R227" s="648"/>
      <c r="S227" s="7"/>
      <c r="T227" s="699"/>
      <c r="U227" s="7"/>
      <c r="V227" s="618">
        <f t="shared" si="20"/>
        <v>0</v>
      </c>
      <c r="W227" s="7"/>
      <c r="X227" s="7"/>
      <c r="Y227" s="7"/>
      <c r="Z227" s="7"/>
      <c r="AA227" s="7"/>
      <c r="AB227" s="7"/>
    </row>
    <row r="228" spans="1:28" ht="20.25" customHeight="1">
      <c r="A228" s="503"/>
      <c r="B228" s="483" t="s">
        <v>520</v>
      </c>
      <c r="C228" s="629" t="s">
        <v>521</v>
      </c>
      <c r="D228" s="504" t="s">
        <v>424</v>
      </c>
      <c r="E228" s="213"/>
      <c r="F228" s="213"/>
      <c r="G228" s="213"/>
      <c r="H228" s="214"/>
      <c r="I228" s="214"/>
      <c r="J228" s="632"/>
      <c r="K228" s="362"/>
      <c r="L228" s="369"/>
      <c r="M228" s="392"/>
      <c r="N228" s="215"/>
      <c r="O228" s="616">
        <f t="shared" si="1"/>
        <v>0</v>
      </c>
      <c r="P228" s="661" t="s">
        <v>1595</v>
      </c>
      <c r="Q228" s="648"/>
      <c r="R228" s="648"/>
      <c r="S228" s="7"/>
      <c r="T228" s="699"/>
      <c r="U228" s="7"/>
      <c r="V228" s="618">
        <f t="shared" si="20"/>
        <v>0</v>
      </c>
      <c r="W228" s="7"/>
      <c r="X228" s="7"/>
      <c r="Y228" s="7"/>
      <c r="Z228" s="7"/>
      <c r="AA228" s="7"/>
      <c r="AB228" s="7"/>
    </row>
    <row r="229" spans="1:28" ht="19.5" customHeight="1">
      <c r="A229" s="503"/>
      <c r="B229" s="483" t="s">
        <v>523</v>
      </c>
      <c r="C229" s="629" t="s">
        <v>524</v>
      </c>
      <c r="D229" s="504" t="s">
        <v>2494</v>
      </c>
      <c r="E229" s="213"/>
      <c r="F229" s="213"/>
      <c r="G229" s="213"/>
      <c r="H229" s="214"/>
      <c r="I229" s="214"/>
      <c r="J229" s="632">
        <v>500</v>
      </c>
      <c r="K229" s="362">
        <v>6000</v>
      </c>
      <c r="L229" s="369"/>
      <c r="M229" s="392">
        <v>2662</v>
      </c>
      <c r="N229" s="215"/>
      <c r="O229" s="616">
        <f t="shared" si="1"/>
        <v>9162</v>
      </c>
      <c r="P229" s="642">
        <f>O229+O230+O239+O240</f>
        <v>348685</v>
      </c>
      <c r="Q229" s="648"/>
      <c r="R229" s="648"/>
      <c r="S229" s="7"/>
      <c r="T229" s="699"/>
      <c r="U229" s="7"/>
      <c r="V229" s="618">
        <f t="shared" si="20"/>
        <v>-9162</v>
      </c>
      <c r="W229" s="7"/>
      <c r="X229" s="7"/>
      <c r="Y229" s="7"/>
      <c r="Z229" s="7"/>
      <c r="AA229" s="7"/>
      <c r="AB229" s="7"/>
    </row>
    <row r="230" spans="1:28" ht="20.25" customHeight="1">
      <c r="A230" s="503"/>
      <c r="B230" s="483" t="s">
        <v>526</v>
      </c>
      <c r="C230" s="629" t="s">
        <v>527</v>
      </c>
      <c r="D230" s="504" t="s">
        <v>2495</v>
      </c>
      <c r="E230" s="213"/>
      <c r="F230" s="213"/>
      <c r="G230" s="213"/>
      <c r="H230" s="214"/>
      <c r="I230" s="214"/>
      <c r="J230" s="632">
        <v>123329</v>
      </c>
      <c r="K230" s="362">
        <v>17500</v>
      </c>
      <c r="L230" s="369"/>
      <c r="M230" s="392">
        <v>3910</v>
      </c>
      <c r="N230" s="215"/>
      <c r="O230" s="616">
        <f t="shared" si="1"/>
        <v>144739</v>
      </c>
      <c r="P230" s="633"/>
      <c r="Q230" s="648"/>
      <c r="R230" s="648"/>
      <c r="S230" s="7"/>
      <c r="T230" s="699"/>
      <c r="U230" s="7"/>
      <c r="V230" s="618">
        <f t="shared" si="20"/>
        <v>-144739</v>
      </c>
      <c r="W230" s="7"/>
      <c r="X230" s="7"/>
      <c r="Y230" s="7"/>
      <c r="Z230" s="7"/>
      <c r="AA230" s="7"/>
      <c r="AB230" s="7"/>
    </row>
    <row r="231" spans="1:28" ht="24.75" customHeight="1">
      <c r="A231" s="503"/>
      <c r="B231" s="483" t="s">
        <v>530</v>
      </c>
      <c r="C231" s="629" t="s">
        <v>531</v>
      </c>
      <c r="D231" s="504" t="s">
        <v>132</v>
      </c>
      <c r="E231" s="213"/>
      <c r="F231" s="213"/>
      <c r="G231" s="213"/>
      <c r="H231" s="214"/>
      <c r="I231" s="214"/>
      <c r="J231" s="632"/>
      <c r="K231" s="362"/>
      <c r="L231" s="369"/>
      <c r="M231" s="392"/>
      <c r="N231" s="215"/>
      <c r="O231" s="616">
        <f t="shared" si="1"/>
        <v>0</v>
      </c>
      <c r="P231" s="633"/>
      <c r="Q231" s="648"/>
      <c r="R231" s="648"/>
      <c r="S231" s="7"/>
      <c r="T231" s="699"/>
      <c r="U231" s="7"/>
      <c r="V231" s="618">
        <f t="shared" si="20"/>
        <v>0</v>
      </c>
      <c r="W231" s="7"/>
      <c r="X231" s="7"/>
      <c r="Y231" s="7"/>
      <c r="Z231" s="7"/>
      <c r="AA231" s="7"/>
      <c r="AB231" s="7"/>
    </row>
    <row r="232" spans="1:28" ht="24" customHeight="1">
      <c r="A232" s="503"/>
      <c r="B232" s="483" t="s">
        <v>533</v>
      </c>
      <c r="C232" s="629" t="s">
        <v>534</v>
      </c>
      <c r="D232" s="504" t="s">
        <v>132</v>
      </c>
      <c r="E232" s="213"/>
      <c r="F232" s="213"/>
      <c r="G232" s="213"/>
      <c r="H232" s="214"/>
      <c r="I232" s="214"/>
      <c r="J232" s="632"/>
      <c r="K232" s="362"/>
      <c r="L232" s="369"/>
      <c r="M232" s="392"/>
      <c r="N232" s="215"/>
      <c r="O232" s="616">
        <f t="shared" si="1"/>
        <v>0</v>
      </c>
      <c r="P232" s="633"/>
      <c r="Q232" s="648"/>
      <c r="R232" s="648"/>
      <c r="S232" s="7"/>
      <c r="T232" s="699"/>
      <c r="U232" s="7"/>
      <c r="V232" s="618">
        <f t="shared" si="20"/>
        <v>0</v>
      </c>
      <c r="W232" s="7"/>
      <c r="X232" s="7"/>
      <c r="Y232" s="7"/>
      <c r="Z232" s="7"/>
      <c r="AA232" s="7"/>
      <c r="AB232" s="7"/>
    </row>
    <row r="233" spans="1:28" ht="28.5" customHeight="1">
      <c r="A233" s="503"/>
      <c r="B233" s="483" t="s">
        <v>536</v>
      </c>
      <c r="C233" s="629" t="s">
        <v>537</v>
      </c>
      <c r="D233" s="504" t="s">
        <v>194</v>
      </c>
      <c r="E233" s="213"/>
      <c r="F233" s="213"/>
      <c r="G233" s="213"/>
      <c r="H233" s="214"/>
      <c r="I233" s="214"/>
      <c r="J233" s="632"/>
      <c r="K233" s="379"/>
      <c r="L233" s="369"/>
      <c r="M233" s="392"/>
      <c r="N233" s="215"/>
      <c r="O233" s="616">
        <f t="shared" si="1"/>
        <v>0</v>
      </c>
      <c r="P233" s="633"/>
      <c r="Q233" s="648"/>
      <c r="R233" s="648"/>
      <c r="S233" s="7"/>
      <c r="T233" s="699"/>
      <c r="U233" s="7"/>
      <c r="V233" s="618"/>
      <c r="W233" s="7"/>
      <c r="X233" s="7"/>
      <c r="Y233" s="7"/>
      <c r="Z233" s="7"/>
      <c r="AA233" s="7"/>
      <c r="AB233" s="7"/>
    </row>
    <row r="234" spans="1:28" ht="20.25" customHeight="1">
      <c r="A234" s="503"/>
      <c r="B234" s="483" t="s">
        <v>539</v>
      </c>
      <c r="C234" s="629" t="s">
        <v>540</v>
      </c>
      <c r="D234" s="515" t="s">
        <v>183</v>
      </c>
      <c r="E234" s="213"/>
      <c r="F234" s="213"/>
      <c r="G234" s="213"/>
      <c r="H234" s="214"/>
      <c r="I234" s="214"/>
      <c r="J234" s="632"/>
      <c r="K234" s="362"/>
      <c r="L234" s="369"/>
      <c r="M234" s="392"/>
      <c r="N234" s="215"/>
      <c r="O234" s="616">
        <f t="shared" si="1"/>
        <v>0</v>
      </c>
      <c r="P234" s="633"/>
      <c r="Q234" s="648"/>
      <c r="R234" s="648"/>
      <c r="S234" s="7"/>
      <c r="T234" s="699"/>
      <c r="U234" s="7"/>
      <c r="V234" s="618">
        <f t="shared" ref="V234:V235" si="21">T234-O234</f>
        <v>0</v>
      </c>
      <c r="W234" s="7"/>
      <c r="X234" s="7"/>
      <c r="Y234" s="7"/>
      <c r="Z234" s="7"/>
      <c r="AA234" s="7"/>
      <c r="AB234" s="7"/>
    </row>
    <row r="235" spans="1:28" ht="20.25" customHeight="1">
      <c r="A235" s="503"/>
      <c r="B235" s="483" t="s">
        <v>542</v>
      </c>
      <c r="C235" s="629" t="s">
        <v>543</v>
      </c>
      <c r="D235" s="504" t="s">
        <v>132</v>
      </c>
      <c r="E235" s="213"/>
      <c r="F235" s="213"/>
      <c r="G235" s="213"/>
      <c r="H235" s="214"/>
      <c r="I235" s="214"/>
      <c r="J235" s="632"/>
      <c r="K235" s="362">
        <v>3</v>
      </c>
      <c r="L235" s="369"/>
      <c r="M235" s="392"/>
      <c r="N235" s="215"/>
      <c r="O235" s="616">
        <f t="shared" si="1"/>
        <v>3</v>
      </c>
      <c r="P235" s="633"/>
      <c r="Q235" s="648"/>
      <c r="R235" s="648"/>
      <c r="S235" s="7"/>
      <c r="T235" s="699"/>
      <c r="U235" s="7"/>
      <c r="V235" s="618">
        <f t="shared" si="21"/>
        <v>-3</v>
      </c>
      <c r="W235" s="7"/>
      <c r="X235" s="7"/>
      <c r="Y235" s="7"/>
      <c r="Z235" s="7"/>
      <c r="AA235" s="7"/>
      <c r="AB235" s="7"/>
    </row>
    <row r="236" spans="1:28" ht="15.75" customHeight="1">
      <c r="A236" s="486"/>
      <c r="B236" s="487" t="s">
        <v>545</v>
      </c>
      <c r="C236" s="635" t="s">
        <v>546</v>
      </c>
      <c r="D236" s="512"/>
      <c r="E236" s="213"/>
      <c r="F236" s="213"/>
      <c r="G236" s="213"/>
      <c r="H236" s="214"/>
      <c r="I236" s="214"/>
      <c r="J236" s="632"/>
      <c r="K236" s="362"/>
      <c r="L236" s="369"/>
      <c r="M236" s="392"/>
      <c r="N236" s="215"/>
      <c r="O236" s="616">
        <f t="shared" si="1"/>
        <v>0</v>
      </c>
      <c r="P236" s="633"/>
      <c r="Q236" s="636"/>
      <c r="R236" s="636"/>
      <c r="S236" s="7"/>
      <c r="T236" s="699"/>
      <c r="U236" s="7"/>
      <c r="V236" s="618"/>
      <c r="W236" s="7"/>
      <c r="X236" s="7"/>
      <c r="Y236" s="7"/>
      <c r="Z236" s="7"/>
      <c r="AA236" s="7"/>
      <c r="AB236" s="7"/>
    </row>
    <row r="237" spans="1:28" ht="20.25" customHeight="1">
      <c r="A237" s="503"/>
      <c r="B237" s="483" t="s">
        <v>548</v>
      </c>
      <c r="C237" s="629" t="s">
        <v>447</v>
      </c>
      <c r="D237" s="504" t="s">
        <v>424</v>
      </c>
      <c r="E237" s="213"/>
      <c r="F237" s="213"/>
      <c r="G237" s="213"/>
      <c r="H237" s="214"/>
      <c r="I237" s="214"/>
      <c r="J237" s="632">
        <v>14350</v>
      </c>
      <c r="K237" s="362">
        <v>13331</v>
      </c>
      <c r="L237" s="369">
        <f>15+60</f>
        <v>75</v>
      </c>
      <c r="M237" s="392">
        <v>7410</v>
      </c>
      <c r="N237" s="215"/>
      <c r="O237" s="616">
        <f t="shared" si="1"/>
        <v>35166</v>
      </c>
      <c r="P237" s="633"/>
      <c r="Q237" s="648"/>
      <c r="R237" s="648"/>
      <c r="S237" s="7"/>
      <c r="T237" s="699"/>
      <c r="U237" s="7"/>
      <c r="V237" s="618"/>
      <c r="W237" s="7"/>
      <c r="X237" s="7"/>
      <c r="Y237" s="7"/>
      <c r="Z237" s="7"/>
      <c r="AA237" s="7"/>
      <c r="AB237" s="7"/>
    </row>
    <row r="238" spans="1:28" ht="20.25" customHeight="1">
      <c r="A238" s="503"/>
      <c r="B238" s="483" t="s">
        <v>550</v>
      </c>
      <c r="C238" s="629" t="s">
        <v>521</v>
      </c>
      <c r="D238" s="504" t="s">
        <v>424</v>
      </c>
      <c r="E238" s="213"/>
      <c r="F238" s="213"/>
      <c r="G238" s="213"/>
      <c r="H238" s="214"/>
      <c r="I238" s="214"/>
      <c r="J238" s="632"/>
      <c r="K238" s="362">
        <v>3000</v>
      </c>
      <c r="L238" s="369"/>
      <c r="M238" s="392">
        <v>100</v>
      </c>
      <c r="N238" s="215"/>
      <c r="O238" s="616">
        <f t="shared" si="1"/>
        <v>3100</v>
      </c>
      <c r="P238" s="633"/>
      <c r="Q238" s="648"/>
      <c r="R238" s="648"/>
      <c r="S238" s="7"/>
      <c r="T238" s="699"/>
      <c r="U238" s="7"/>
      <c r="V238" s="618"/>
      <c r="W238" s="7"/>
      <c r="X238" s="7"/>
      <c r="Y238" s="7"/>
      <c r="Z238" s="7"/>
      <c r="AA238" s="7"/>
      <c r="AB238" s="7"/>
    </row>
    <row r="239" spans="1:28" ht="20.25" customHeight="1">
      <c r="A239" s="503"/>
      <c r="B239" s="483" t="s">
        <v>551</v>
      </c>
      <c r="C239" s="629" t="s">
        <v>524</v>
      </c>
      <c r="D239" s="504" t="s">
        <v>2496</v>
      </c>
      <c r="E239" s="213"/>
      <c r="F239" s="213"/>
      <c r="G239" s="213"/>
      <c r="H239" s="214"/>
      <c r="I239" s="214"/>
      <c r="J239" s="632">
        <f>122+4952</f>
        <v>5074</v>
      </c>
      <c r="K239" s="362">
        <f>3000+580</f>
        <v>3580</v>
      </c>
      <c r="L239" s="369">
        <f>50+70</f>
        <v>120</v>
      </c>
      <c r="M239" s="392">
        <f>6235+2915</f>
        <v>9150</v>
      </c>
      <c r="N239" s="215"/>
      <c r="O239" s="616">
        <f t="shared" si="1"/>
        <v>17924</v>
      </c>
      <c r="P239" s="633"/>
      <c r="Q239" s="648"/>
      <c r="R239" s="648"/>
      <c r="S239" s="7"/>
      <c r="T239" s="699"/>
      <c r="U239" s="7"/>
      <c r="V239" s="618"/>
      <c r="W239" s="7"/>
      <c r="X239" s="7"/>
      <c r="Y239" s="7"/>
      <c r="Z239" s="7"/>
      <c r="AA239" s="7"/>
      <c r="AB239" s="7"/>
    </row>
    <row r="240" spans="1:28" ht="20.25" customHeight="1">
      <c r="A240" s="503"/>
      <c r="B240" s="483" t="s">
        <v>553</v>
      </c>
      <c r="C240" s="629" t="s">
        <v>527</v>
      </c>
      <c r="D240" s="504" t="s">
        <v>2497</v>
      </c>
      <c r="E240" s="213"/>
      <c r="F240" s="213"/>
      <c r="G240" s="213"/>
      <c r="H240" s="214"/>
      <c r="I240" s="214"/>
      <c r="J240" s="632">
        <f>122077+1440</f>
        <v>123517</v>
      </c>
      <c r="K240" s="362">
        <v>175</v>
      </c>
      <c r="L240" s="369"/>
      <c r="M240" s="392">
        <f>51998+1170</f>
        <v>53168</v>
      </c>
      <c r="N240" s="215"/>
      <c r="O240" s="616">
        <f t="shared" si="1"/>
        <v>176860</v>
      </c>
      <c r="P240" s="633"/>
      <c r="Q240" s="648"/>
      <c r="R240" s="648"/>
      <c r="S240" s="7"/>
      <c r="T240" s="699"/>
      <c r="U240" s="7"/>
      <c r="V240" s="618">
        <f>T240-O240</f>
        <v>-176860</v>
      </c>
      <c r="W240" s="7"/>
      <c r="X240" s="7"/>
      <c r="Y240" s="7"/>
      <c r="Z240" s="7"/>
      <c r="AA240" s="7"/>
      <c r="AB240" s="7"/>
    </row>
    <row r="241" spans="1:28" ht="20.25" customHeight="1">
      <c r="A241" s="503"/>
      <c r="B241" s="483" t="s">
        <v>555</v>
      </c>
      <c r="C241" s="629" t="s">
        <v>531</v>
      </c>
      <c r="D241" s="504" t="s">
        <v>132</v>
      </c>
      <c r="E241" s="213"/>
      <c r="F241" s="213"/>
      <c r="G241" s="213"/>
      <c r="H241" s="214"/>
      <c r="I241" s="214"/>
      <c r="J241" s="632"/>
      <c r="K241" s="362">
        <v>2</v>
      </c>
      <c r="L241" s="369"/>
      <c r="M241" s="392">
        <v>5</v>
      </c>
      <c r="N241" s="215"/>
      <c r="O241" s="616">
        <f t="shared" si="1"/>
        <v>7</v>
      </c>
      <c r="P241" s="633"/>
      <c r="Q241" s="648"/>
      <c r="R241" s="648"/>
      <c r="S241" s="7"/>
      <c r="T241" s="699"/>
      <c r="U241" s="7"/>
      <c r="V241" s="618"/>
      <c r="W241" s="7"/>
      <c r="X241" s="7"/>
      <c r="Y241" s="7"/>
      <c r="Z241" s="7"/>
      <c r="AA241" s="7"/>
      <c r="AB241" s="7"/>
    </row>
    <row r="242" spans="1:28" ht="20.25" customHeight="1">
      <c r="A242" s="503"/>
      <c r="B242" s="483" t="s">
        <v>556</v>
      </c>
      <c r="C242" s="629" t="s">
        <v>534</v>
      </c>
      <c r="D242" s="504" t="s">
        <v>132</v>
      </c>
      <c r="E242" s="213"/>
      <c r="F242" s="213"/>
      <c r="G242" s="213"/>
      <c r="H242" s="214"/>
      <c r="I242" s="214"/>
      <c r="J242" s="632"/>
      <c r="K242" s="362"/>
      <c r="L242" s="369">
        <v>1</v>
      </c>
      <c r="M242" s="392">
        <v>1</v>
      </c>
      <c r="N242" s="215"/>
      <c r="O242" s="616">
        <f t="shared" si="1"/>
        <v>2</v>
      </c>
      <c r="P242" s="633"/>
      <c r="Q242" s="648"/>
      <c r="R242" s="648"/>
      <c r="S242" s="7"/>
      <c r="T242" s="699"/>
      <c r="U242" s="7"/>
      <c r="V242" s="618"/>
      <c r="W242" s="7"/>
      <c r="X242" s="7"/>
      <c r="Y242" s="7"/>
      <c r="Z242" s="7"/>
      <c r="AA242" s="7"/>
      <c r="AB242" s="7"/>
    </row>
    <row r="243" spans="1:28" ht="15.75" customHeight="1">
      <c r="A243" s="503" t="s">
        <v>1483</v>
      </c>
      <c r="B243" s="483" t="s">
        <v>557</v>
      </c>
      <c r="C243" s="629" t="s">
        <v>537</v>
      </c>
      <c r="D243" s="504" t="s">
        <v>194</v>
      </c>
      <c r="E243" s="213"/>
      <c r="F243" s="213"/>
      <c r="G243" s="213"/>
      <c r="H243" s="214"/>
      <c r="I243" s="214"/>
      <c r="J243" s="632"/>
      <c r="K243" s="362"/>
      <c r="L243" s="369"/>
      <c r="M243" s="392"/>
      <c r="N243" s="215"/>
      <c r="O243" s="616">
        <f t="shared" si="1"/>
        <v>0</v>
      </c>
      <c r="P243" s="633"/>
      <c r="Q243" s="648"/>
      <c r="R243" s="648"/>
      <c r="S243" s="7"/>
      <c r="T243" s="699"/>
      <c r="U243" s="7"/>
      <c r="V243" s="618"/>
      <c r="W243" s="7"/>
      <c r="X243" s="7"/>
      <c r="Y243" s="7"/>
      <c r="Z243" s="7"/>
      <c r="AA243" s="7"/>
      <c r="AB243" s="7"/>
    </row>
    <row r="244" spans="1:28" ht="20.25" customHeight="1">
      <c r="A244" s="503" t="s">
        <v>1016</v>
      </c>
      <c r="B244" s="483" t="s">
        <v>558</v>
      </c>
      <c r="C244" s="629" t="s">
        <v>540</v>
      </c>
      <c r="D244" s="515" t="s">
        <v>183</v>
      </c>
      <c r="E244" s="213"/>
      <c r="F244" s="213"/>
      <c r="G244" s="213"/>
      <c r="H244" s="214"/>
      <c r="I244" s="214"/>
      <c r="J244" s="632"/>
      <c r="K244" s="362"/>
      <c r="L244" s="369"/>
      <c r="M244" s="392"/>
      <c r="N244" s="215"/>
      <c r="O244" s="616">
        <f t="shared" si="1"/>
        <v>0</v>
      </c>
      <c r="P244" s="633"/>
      <c r="Q244" s="648"/>
      <c r="R244" s="648"/>
      <c r="S244" s="7"/>
      <c r="T244" s="699"/>
      <c r="U244" s="7"/>
      <c r="V244" s="618">
        <f t="shared" ref="V244:V250" si="22">T244-O244</f>
        <v>0</v>
      </c>
      <c r="W244" s="7"/>
      <c r="X244" s="7"/>
      <c r="Y244" s="7"/>
      <c r="Z244" s="7"/>
      <c r="AA244" s="7"/>
      <c r="AB244" s="7"/>
    </row>
    <row r="245" spans="1:28" ht="20.25" customHeight="1">
      <c r="A245" s="503" t="s">
        <v>1017</v>
      </c>
      <c r="B245" s="483" t="s">
        <v>559</v>
      </c>
      <c r="C245" s="629" t="s">
        <v>543</v>
      </c>
      <c r="D245" s="504" t="s">
        <v>132</v>
      </c>
      <c r="E245" s="213"/>
      <c r="F245" s="213"/>
      <c r="G245" s="213"/>
      <c r="H245" s="214"/>
      <c r="I245" s="214"/>
      <c r="J245" s="632"/>
      <c r="K245" s="362">
        <v>1</v>
      </c>
      <c r="L245" s="369"/>
      <c r="M245" s="392"/>
      <c r="N245" s="215"/>
      <c r="O245" s="616">
        <f t="shared" si="1"/>
        <v>1</v>
      </c>
      <c r="P245" s="633"/>
      <c r="Q245" s="648"/>
      <c r="R245" s="648"/>
      <c r="S245" s="7"/>
      <c r="T245" s="699"/>
      <c r="U245" s="7"/>
      <c r="V245" s="618">
        <f t="shared" si="22"/>
        <v>-1</v>
      </c>
      <c r="W245" s="7"/>
      <c r="X245" s="7"/>
      <c r="Y245" s="7"/>
      <c r="Z245" s="7"/>
      <c r="AA245" s="7"/>
      <c r="AB245" s="7"/>
    </row>
    <row r="246" spans="1:28" ht="19.5" customHeight="1">
      <c r="A246" s="486">
        <v>9.3000000000000007</v>
      </c>
      <c r="B246" s="487" t="s">
        <v>560</v>
      </c>
      <c r="C246" s="635" t="s">
        <v>561</v>
      </c>
      <c r="D246" s="412"/>
      <c r="E246" s="213"/>
      <c r="F246" s="213"/>
      <c r="G246" s="213"/>
      <c r="H246" s="214"/>
      <c r="I246" s="214"/>
      <c r="J246" s="632"/>
      <c r="K246" s="362"/>
      <c r="L246" s="369"/>
      <c r="M246" s="392"/>
      <c r="N246" s="215"/>
      <c r="O246" s="616">
        <f t="shared" si="1"/>
        <v>0</v>
      </c>
      <c r="P246" s="633"/>
      <c r="Q246" s="636"/>
      <c r="R246" s="636"/>
      <c r="S246" s="7"/>
      <c r="T246" s="699"/>
      <c r="U246" s="7"/>
      <c r="V246" s="618">
        <f t="shared" si="22"/>
        <v>0</v>
      </c>
      <c r="W246" s="7"/>
      <c r="X246" s="7"/>
      <c r="Y246" s="7"/>
      <c r="Z246" s="7"/>
      <c r="AA246" s="7"/>
      <c r="AB246" s="7"/>
    </row>
    <row r="247" spans="1:28" ht="20.25" customHeight="1">
      <c r="A247" s="503" t="s">
        <v>1018</v>
      </c>
      <c r="B247" s="483" t="s">
        <v>562</v>
      </c>
      <c r="C247" s="629" t="s">
        <v>563</v>
      </c>
      <c r="D247" s="485" t="s">
        <v>424</v>
      </c>
      <c r="E247" s="213"/>
      <c r="F247" s="213"/>
      <c r="G247" s="213"/>
      <c r="H247" s="214"/>
      <c r="I247" s="214"/>
      <c r="J247" s="632"/>
      <c r="K247" s="362"/>
      <c r="L247" s="369"/>
      <c r="M247" s="392"/>
      <c r="N247" s="215"/>
      <c r="O247" s="616">
        <f t="shared" si="1"/>
        <v>0</v>
      </c>
      <c r="P247" s="633"/>
      <c r="Q247" s="636"/>
      <c r="R247" s="636"/>
      <c r="S247" s="7"/>
      <c r="T247" s="699"/>
      <c r="U247" s="7"/>
      <c r="V247" s="618">
        <f t="shared" si="22"/>
        <v>0</v>
      </c>
      <c r="W247" s="7"/>
      <c r="X247" s="7"/>
      <c r="Y247" s="7"/>
      <c r="Z247" s="7"/>
      <c r="AA247" s="7"/>
      <c r="AB247" s="7"/>
    </row>
    <row r="248" spans="1:28" ht="20.25" customHeight="1">
      <c r="A248" s="503" t="s">
        <v>1019</v>
      </c>
      <c r="B248" s="483" t="s">
        <v>564</v>
      </c>
      <c r="C248" s="629" t="s">
        <v>565</v>
      </c>
      <c r="D248" s="485" t="s">
        <v>424</v>
      </c>
      <c r="E248" s="213"/>
      <c r="F248" s="213"/>
      <c r="G248" s="213"/>
      <c r="H248" s="214"/>
      <c r="I248" s="214"/>
      <c r="J248" s="632"/>
      <c r="K248" s="362"/>
      <c r="L248" s="369"/>
      <c r="M248" s="392"/>
      <c r="N248" s="215"/>
      <c r="O248" s="616">
        <f t="shared" si="1"/>
        <v>0</v>
      </c>
      <c r="P248" s="633"/>
      <c r="Q248" s="636"/>
      <c r="R248" s="636"/>
      <c r="S248" s="7"/>
      <c r="T248" s="699"/>
      <c r="U248" s="7"/>
      <c r="V248" s="618">
        <f t="shared" si="22"/>
        <v>0</v>
      </c>
      <c r="W248" s="7"/>
      <c r="X248" s="7"/>
      <c r="Y248" s="7"/>
      <c r="Z248" s="7"/>
      <c r="AA248" s="7"/>
      <c r="AB248" s="7"/>
    </row>
    <row r="249" spans="1:28" ht="20.25" customHeight="1">
      <c r="A249" s="503" t="s">
        <v>1020</v>
      </c>
      <c r="B249" s="483" t="s">
        <v>566</v>
      </c>
      <c r="C249" s="629" t="s">
        <v>567</v>
      </c>
      <c r="D249" s="485" t="s">
        <v>2498</v>
      </c>
      <c r="E249" s="213"/>
      <c r="F249" s="213"/>
      <c r="G249" s="213"/>
      <c r="H249" s="214"/>
      <c r="I249" s="214"/>
      <c r="J249" s="632"/>
      <c r="K249" s="362"/>
      <c r="L249" s="369"/>
      <c r="M249" s="392"/>
      <c r="N249" s="215"/>
      <c r="O249" s="616">
        <f t="shared" si="1"/>
        <v>0</v>
      </c>
      <c r="P249" s="633"/>
      <c r="Q249" s="636"/>
      <c r="R249" s="636"/>
      <c r="S249" s="7"/>
      <c r="T249" s="699"/>
      <c r="U249" s="7"/>
      <c r="V249" s="618">
        <f t="shared" si="22"/>
        <v>0</v>
      </c>
      <c r="W249" s="7"/>
      <c r="X249" s="7"/>
      <c r="Y249" s="7"/>
      <c r="Z249" s="7"/>
      <c r="AA249" s="7"/>
      <c r="AB249" s="7"/>
    </row>
    <row r="250" spans="1:28" ht="20.25" customHeight="1">
      <c r="A250" s="503" t="s">
        <v>1022</v>
      </c>
      <c r="B250" s="483" t="s">
        <v>569</v>
      </c>
      <c r="C250" s="629" t="s">
        <v>570</v>
      </c>
      <c r="D250" s="485" t="s">
        <v>2499</v>
      </c>
      <c r="E250" s="213"/>
      <c r="F250" s="213"/>
      <c r="G250" s="213"/>
      <c r="H250" s="214"/>
      <c r="I250" s="214"/>
      <c r="J250" s="632"/>
      <c r="K250" s="362"/>
      <c r="L250" s="369"/>
      <c r="M250" s="392"/>
      <c r="N250" s="215"/>
      <c r="O250" s="616">
        <f t="shared" si="1"/>
        <v>0</v>
      </c>
      <c r="P250" s="633"/>
      <c r="Q250" s="636"/>
      <c r="R250" s="636"/>
      <c r="S250" s="7"/>
      <c r="T250" s="699"/>
      <c r="U250" s="7"/>
      <c r="V250" s="618">
        <f t="shared" si="22"/>
        <v>0</v>
      </c>
      <c r="W250" s="7"/>
      <c r="X250" s="7"/>
      <c r="Y250" s="7"/>
      <c r="Z250" s="7"/>
      <c r="AA250" s="7"/>
      <c r="AB250" s="7"/>
    </row>
    <row r="251" spans="1:28" ht="20.25" customHeight="1">
      <c r="A251" s="503" t="s">
        <v>1024</v>
      </c>
      <c r="B251" s="483" t="s">
        <v>572</v>
      </c>
      <c r="C251" s="629" t="s">
        <v>573</v>
      </c>
      <c r="D251" s="504" t="s">
        <v>132</v>
      </c>
      <c r="E251" s="213"/>
      <c r="F251" s="213"/>
      <c r="G251" s="213"/>
      <c r="H251" s="214"/>
      <c r="I251" s="214"/>
      <c r="J251" s="632"/>
      <c r="K251" s="362"/>
      <c r="L251" s="369"/>
      <c r="M251" s="392"/>
      <c r="N251" s="215"/>
      <c r="O251" s="616">
        <f t="shared" si="1"/>
        <v>0</v>
      </c>
      <c r="P251" s="633"/>
      <c r="Q251" s="636"/>
      <c r="R251" s="636"/>
      <c r="S251" s="7"/>
      <c r="T251" s="699"/>
      <c r="U251" s="7"/>
      <c r="V251" s="618"/>
      <c r="W251" s="7"/>
      <c r="X251" s="7"/>
      <c r="Y251" s="7"/>
      <c r="Z251" s="7"/>
      <c r="AA251" s="7"/>
      <c r="AB251" s="7"/>
    </row>
    <row r="252" spans="1:28" ht="20.25" customHeight="1">
      <c r="A252" s="503" t="s">
        <v>1025</v>
      </c>
      <c r="B252" s="483" t="s">
        <v>574</v>
      </c>
      <c r="C252" s="629" t="s">
        <v>575</v>
      </c>
      <c r="D252" s="504" t="s">
        <v>132</v>
      </c>
      <c r="E252" s="213"/>
      <c r="F252" s="213"/>
      <c r="G252" s="213"/>
      <c r="H252" s="214"/>
      <c r="I252" s="214"/>
      <c r="J252" s="632"/>
      <c r="K252" s="362"/>
      <c r="L252" s="369"/>
      <c r="M252" s="392"/>
      <c r="N252" s="215"/>
      <c r="O252" s="616">
        <f t="shared" si="1"/>
        <v>0</v>
      </c>
      <c r="P252" s="633"/>
      <c r="Q252" s="636"/>
      <c r="R252" s="636"/>
      <c r="S252" s="7"/>
      <c r="T252" s="699"/>
      <c r="U252" s="7"/>
      <c r="V252" s="618">
        <f t="shared" ref="V252:V282" si="23">T252-O252</f>
        <v>0</v>
      </c>
      <c r="W252" s="7"/>
      <c r="X252" s="7"/>
      <c r="Y252" s="7"/>
      <c r="Z252" s="7"/>
      <c r="AA252" s="7"/>
      <c r="AB252" s="7"/>
    </row>
    <row r="253" spans="1:28" ht="20.25" customHeight="1">
      <c r="A253" s="503" t="s">
        <v>1026</v>
      </c>
      <c r="B253" s="483" t="s">
        <v>576</v>
      </c>
      <c r="C253" s="629" t="s">
        <v>577</v>
      </c>
      <c r="D253" s="515" t="s">
        <v>183</v>
      </c>
      <c r="E253" s="213"/>
      <c r="F253" s="213"/>
      <c r="G253" s="213"/>
      <c r="H253" s="214"/>
      <c r="I253" s="214"/>
      <c r="J253" s="632"/>
      <c r="K253" s="362"/>
      <c r="L253" s="369"/>
      <c r="M253" s="392"/>
      <c r="N253" s="215"/>
      <c r="O253" s="616">
        <f t="shared" si="1"/>
        <v>0</v>
      </c>
      <c r="P253" s="633"/>
      <c r="Q253" s="636"/>
      <c r="R253" s="636"/>
      <c r="S253" s="7"/>
      <c r="T253" s="699"/>
      <c r="U253" s="7"/>
      <c r="V253" s="618">
        <f t="shared" si="23"/>
        <v>0</v>
      </c>
      <c r="W253" s="7"/>
      <c r="X253" s="7"/>
      <c r="Y253" s="7"/>
      <c r="Z253" s="7"/>
      <c r="AA253" s="7"/>
      <c r="AB253" s="7"/>
    </row>
    <row r="254" spans="1:28" ht="15.75" customHeight="1">
      <c r="A254" s="503" t="s">
        <v>1027</v>
      </c>
      <c r="B254" s="483" t="s">
        <v>578</v>
      </c>
      <c r="C254" s="629" t="s">
        <v>579</v>
      </c>
      <c r="D254" s="485" t="s">
        <v>194</v>
      </c>
      <c r="E254" s="213"/>
      <c r="F254" s="213"/>
      <c r="G254" s="213"/>
      <c r="H254" s="214"/>
      <c r="I254" s="214"/>
      <c r="J254" s="632"/>
      <c r="K254" s="362"/>
      <c r="L254" s="369"/>
      <c r="M254" s="392"/>
      <c r="N254" s="215"/>
      <c r="O254" s="616">
        <f t="shared" si="1"/>
        <v>0</v>
      </c>
      <c r="P254" s="633"/>
      <c r="Q254" s="636"/>
      <c r="R254" s="636"/>
      <c r="S254" s="7"/>
      <c r="T254" s="699"/>
      <c r="U254" s="7"/>
      <c r="V254" s="618">
        <f t="shared" si="23"/>
        <v>0</v>
      </c>
      <c r="W254" s="7"/>
      <c r="X254" s="7"/>
      <c r="Y254" s="7"/>
      <c r="Z254" s="7"/>
      <c r="AA254" s="7"/>
      <c r="AB254" s="7"/>
    </row>
    <row r="255" spans="1:28" ht="20.25" customHeight="1">
      <c r="A255" s="503" t="s">
        <v>1028</v>
      </c>
      <c r="B255" s="483" t="s">
        <v>580</v>
      </c>
      <c r="C255" s="629" t="s">
        <v>543</v>
      </c>
      <c r="D255" s="504" t="s">
        <v>132</v>
      </c>
      <c r="E255" s="213"/>
      <c r="F255" s="213"/>
      <c r="G255" s="213"/>
      <c r="H255" s="214"/>
      <c r="I255" s="214"/>
      <c r="J255" s="632"/>
      <c r="K255" s="362"/>
      <c r="L255" s="369"/>
      <c r="M255" s="392"/>
      <c r="N255" s="215"/>
      <c r="O255" s="616">
        <f t="shared" si="1"/>
        <v>0</v>
      </c>
      <c r="P255" s="633"/>
      <c r="Q255" s="636"/>
      <c r="R255" s="636"/>
      <c r="S255" s="7"/>
      <c r="T255" s="699"/>
      <c r="U255" s="7"/>
      <c r="V255" s="618">
        <f t="shared" si="23"/>
        <v>0</v>
      </c>
      <c r="W255" s="7"/>
      <c r="X255" s="7"/>
      <c r="Y255" s="7"/>
      <c r="Z255" s="7"/>
      <c r="AA255" s="7"/>
      <c r="AB255" s="7"/>
    </row>
    <row r="256" spans="1:28" ht="20.25" customHeight="1">
      <c r="A256" s="486">
        <v>9.4</v>
      </c>
      <c r="B256" s="487" t="s">
        <v>581</v>
      </c>
      <c r="C256" s="635" t="s">
        <v>582</v>
      </c>
      <c r="D256" s="512"/>
      <c r="E256" s="213"/>
      <c r="F256" s="213"/>
      <c r="G256" s="213"/>
      <c r="H256" s="214"/>
      <c r="I256" s="214"/>
      <c r="J256" s="632"/>
      <c r="K256" s="362"/>
      <c r="L256" s="369"/>
      <c r="M256" s="392"/>
      <c r="N256" s="215"/>
      <c r="O256" s="616">
        <f t="shared" si="1"/>
        <v>0</v>
      </c>
      <c r="P256" s="633"/>
      <c r="Q256" s="636"/>
      <c r="R256" s="636"/>
      <c r="S256" s="7"/>
      <c r="T256" s="699"/>
      <c r="U256" s="7"/>
      <c r="V256" s="618">
        <f t="shared" si="23"/>
        <v>0</v>
      </c>
      <c r="W256" s="7"/>
      <c r="X256" s="7"/>
      <c r="Y256" s="7"/>
      <c r="Z256" s="7"/>
      <c r="AA256" s="7"/>
      <c r="AB256" s="7"/>
    </row>
    <row r="257" spans="1:28" ht="20.25" customHeight="1">
      <c r="A257" s="503" t="s">
        <v>1029</v>
      </c>
      <c r="B257" s="483" t="s">
        <v>584</v>
      </c>
      <c r="C257" s="629" t="s">
        <v>585</v>
      </c>
      <c r="D257" s="504" t="s">
        <v>132</v>
      </c>
      <c r="E257" s="213"/>
      <c r="F257" s="213"/>
      <c r="G257" s="213"/>
      <c r="H257" s="214"/>
      <c r="I257" s="214"/>
      <c r="J257" s="632"/>
      <c r="K257" s="362"/>
      <c r="L257" s="369"/>
      <c r="M257" s="392"/>
      <c r="N257" s="215"/>
      <c r="O257" s="616">
        <f t="shared" si="1"/>
        <v>0</v>
      </c>
      <c r="P257" s="633"/>
      <c r="Q257" s="648"/>
      <c r="R257" s="648"/>
      <c r="S257" s="7"/>
      <c r="T257" s="699"/>
      <c r="U257" s="7"/>
      <c r="V257" s="618">
        <f t="shared" si="23"/>
        <v>0</v>
      </c>
      <c r="W257" s="7"/>
      <c r="X257" s="7"/>
      <c r="Y257" s="7"/>
      <c r="Z257" s="7"/>
      <c r="AA257" s="7"/>
      <c r="AB257" s="7"/>
    </row>
    <row r="258" spans="1:28" ht="27" customHeight="1">
      <c r="A258" s="503" t="s">
        <v>1030</v>
      </c>
      <c r="B258" s="483" t="s">
        <v>586</v>
      </c>
      <c r="C258" s="629" t="s">
        <v>587</v>
      </c>
      <c r="D258" s="504" t="s">
        <v>132</v>
      </c>
      <c r="E258" s="213"/>
      <c r="F258" s="213"/>
      <c r="G258" s="213"/>
      <c r="H258" s="214"/>
      <c r="I258" s="214"/>
      <c r="J258" s="632"/>
      <c r="K258" s="362"/>
      <c r="L258" s="369"/>
      <c r="M258" s="392"/>
      <c r="N258" s="215"/>
      <c r="O258" s="616">
        <f t="shared" si="1"/>
        <v>0</v>
      </c>
      <c r="P258" s="633"/>
      <c r="Q258" s="648"/>
      <c r="R258" s="648"/>
      <c r="S258" s="7"/>
      <c r="T258" s="699"/>
      <c r="U258" s="7"/>
      <c r="V258" s="618">
        <f t="shared" si="23"/>
        <v>0</v>
      </c>
      <c r="W258" s="7"/>
      <c r="X258" s="7"/>
      <c r="Y258" s="7"/>
      <c r="Z258" s="7"/>
      <c r="AA258" s="7"/>
      <c r="AB258" s="7"/>
    </row>
    <row r="259" spans="1:28" ht="20.25" customHeight="1">
      <c r="A259" s="503" t="s">
        <v>1031</v>
      </c>
      <c r="B259" s="483" t="s">
        <v>589</v>
      </c>
      <c r="C259" s="629" t="s">
        <v>540</v>
      </c>
      <c r="D259" s="515" t="s">
        <v>183</v>
      </c>
      <c r="E259" s="213"/>
      <c r="F259" s="213"/>
      <c r="G259" s="213"/>
      <c r="H259" s="214"/>
      <c r="I259" s="214"/>
      <c r="J259" s="632"/>
      <c r="K259" s="362"/>
      <c r="L259" s="369"/>
      <c r="M259" s="392">
        <v>1</v>
      </c>
      <c r="N259" s="215"/>
      <c r="O259" s="616">
        <f t="shared" si="1"/>
        <v>1</v>
      </c>
      <c r="P259" s="633"/>
      <c r="Q259" s="648"/>
      <c r="R259" s="648"/>
      <c r="S259" s="7"/>
      <c r="T259" s="699"/>
      <c r="U259" s="7"/>
      <c r="V259" s="618">
        <f t="shared" si="23"/>
        <v>-1</v>
      </c>
      <c r="W259" s="7"/>
      <c r="X259" s="7"/>
      <c r="Y259" s="7"/>
      <c r="Z259" s="7"/>
      <c r="AA259" s="7"/>
      <c r="AB259" s="7"/>
    </row>
    <row r="260" spans="1:28" ht="20.25" customHeight="1">
      <c r="A260" s="503" t="s">
        <v>1032</v>
      </c>
      <c r="B260" s="483" t="s">
        <v>590</v>
      </c>
      <c r="C260" s="629" t="s">
        <v>591</v>
      </c>
      <c r="D260" s="504" t="s">
        <v>132</v>
      </c>
      <c r="E260" s="213"/>
      <c r="F260" s="213"/>
      <c r="G260" s="213"/>
      <c r="H260" s="214"/>
      <c r="I260" s="214"/>
      <c r="J260" s="632"/>
      <c r="K260" s="362"/>
      <c r="L260" s="369"/>
      <c r="M260" s="392"/>
      <c r="N260" s="215"/>
      <c r="O260" s="616">
        <f t="shared" si="1"/>
        <v>0</v>
      </c>
      <c r="P260" s="633"/>
      <c r="Q260" s="648"/>
      <c r="R260" s="648"/>
      <c r="S260" s="7"/>
      <c r="T260" s="699"/>
      <c r="U260" s="7"/>
      <c r="V260" s="618">
        <f t="shared" si="23"/>
        <v>0</v>
      </c>
      <c r="W260" s="7"/>
      <c r="X260" s="7"/>
      <c r="Y260" s="7"/>
      <c r="Z260" s="7"/>
      <c r="AA260" s="7"/>
      <c r="AB260" s="7"/>
    </row>
    <row r="261" spans="1:28" ht="20.25" customHeight="1">
      <c r="A261" s="503" t="s">
        <v>1033</v>
      </c>
      <c r="B261" s="483" t="s">
        <v>592</v>
      </c>
      <c r="C261" s="629" t="s">
        <v>593</v>
      </c>
      <c r="D261" s="504" t="s">
        <v>594</v>
      </c>
      <c r="E261" s="213"/>
      <c r="F261" s="213"/>
      <c r="G261" s="213"/>
      <c r="H261" s="214"/>
      <c r="I261" s="214"/>
      <c r="J261" s="632"/>
      <c r="K261" s="362"/>
      <c r="L261" s="369"/>
      <c r="M261" s="392"/>
      <c r="N261" s="215"/>
      <c r="O261" s="616">
        <f t="shared" si="1"/>
        <v>0</v>
      </c>
      <c r="P261" s="633"/>
      <c r="Q261" s="648"/>
      <c r="R261" s="648"/>
      <c r="S261" s="7"/>
      <c r="T261" s="699"/>
      <c r="U261" s="7"/>
      <c r="V261" s="618">
        <f t="shared" si="23"/>
        <v>0</v>
      </c>
      <c r="W261" s="7"/>
      <c r="X261" s="7"/>
      <c r="Y261" s="7"/>
      <c r="Z261" s="7"/>
      <c r="AA261" s="7"/>
      <c r="AB261" s="7"/>
    </row>
    <row r="262" spans="1:28" ht="20.25" customHeight="1">
      <c r="A262" s="503" t="s">
        <v>1034</v>
      </c>
      <c r="B262" s="483" t="s">
        <v>595</v>
      </c>
      <c r="C262" s="629" t="s">
        <v>543</v>
      </c>
      <c r="D262" s="504" t="s">
        <v>132</v>
      </c>
      <c r="E262" s="213"/>
      <c r="F262" s="213"/>
      <c r="G262" s="213"/>
      <c r="H262" s="214"/>
      <c r="I262" s="214"/>
      <c r="J262" s="632"/>
      <c r="K262" s="362"/>
      <c r="L262" s="369"/>
      <c r="M262" s="392"/>
      <c r="N262" s="215"/>
      <c r="O262" s="616">
        <f t="shared" si="1"/>
        <v>0</v>
      </c>
      <c r="P262" s="633"/>
      <c r="Q262" s="648"/>
      <c r="R262" s="648"/>
      <c r="S262" s="7"/>
      <c r="T262" s="699"/>
      <c r="U262" s="7"/>
      <c r="V262" s="618">
        <f t="shared" si="23"/>
        <v>0</v>
      </c>
      <c r="W262" s="7"/>
      <c r="X262" s="7"/>
      <c r="Y262" s="7"/>
      <c r="Z262" s="7"/>
      <c r="AA262" s="7"/>
      <c r="AB262" s="7"/>
    </row>
    <row r="263" spans="1:28" ht="20.25" customHeight="1">
      <c r="A263" s="486">
        <v>9.5</v>
      </c>
      <c r="B263" s="487" t="s">
        <v>596</v>
      </c>
      <c r="C263" s="635" t="s">
        <v>597</v>
      </c>
      <c r="D263" s="504"/>
      <c r="E263" s="213"/>
      <c r="F263" s="213"/>
      <c r="G263" s="213"/>
      <c r="H263" s="214"/>
      <c r="I263" s="214"/>
      <c r="J263" s="632"/>
      <c r="K263" s="362"/>
      <c r="L263" s="369"/>
      <c r="M263" s="392"/>
      <c r="N263" s="215"/>
      <c r="O263" s="616">
        <f t="shared" si="1"/>
        <v>0</v>
      </c>
      <c r="P263" s="633"/>
      <c r="Q263" s="636"/>
      <c r="R263" s="636"/>
      <c r="S263" s="7"/>
      <c r="T263" s="699"/>
      <c r="U263" s="7"/>
      <c r="V263" s="618">
        <f t="shared" si="23"/>
        <v>0</v>
      </c>
      <c r="W263" s="7"/>
      <c r="X263" s="7"/>
      <c r="Y263" s="7"/>
      <c r="Z263" s="7"/>
      <c r="AA263" s="7"/>
      <c r="AB263" s="7"/>
    </row>
    <row r="264" spans="1:28" ht="20.25" customHeight="1">
      <c r="A264" s="503" t="s">
        <v>1035</v>
      </c>
      <c r="B264" s="483" t="s">
        <v>599</v>
      </c>
      <c r="C264" s="629" t="s">
        <v>585</v>
      </c>
      <c r="D264" s="504" t="s">
        <v>132</v>
      </c>
      <c r="E264" s="213"/>
      <c r="F264" s="213"/>
      <c r="G264" s="213"/>
      <c r="H264" s="214"/>
      <c r="I264" s="214"/>
      <c r="J264" s="632"/>
      <c r="K264" s="362"/>
      <c r="L264" s="369"/>
      <c r="M264" s="392"/>
      <c r="N264" s="215"/>
      <c r="O264" s="616">
        <f t="shared" si="1"/>
        <v>0</v>
      </c>
      <c r="P264" s="633"/>
      <c r="Q264" s="648"/>
      <c r="R264" s="648"/>
      <c r="S264" s="7"/>
      <c r="T264" s="699"/>
      <c r="U264" s="7"/>
      <c r="V264" s="618">
        <f t="shared" si="23"/>
        <v>0</v>
      </c>
      <c r="W264" s="7"/>
      <c r="X264" s="7"/>
      <c r="Y264" s="7"/>
      <c r="Z264" s="7"/>
      <c r="AA264" s="7"/>
      <c r="AB264" s="7"/>
    </row>
    <row r="265" spans="1:28" ht="20.25" customHeight="1">
      <c r="A265" s="503" t="s">
        <v>601</v>
      </c>
      <c r="B265" s="483" t="s">
        <v>602</v>
      </c>
      <c r="C265" s="629" t="s">
        <v>540</v>
      </c>
      <c r="D265" s="515" t="s">
        <v>183</v>
      </c>
      <c r="E265" s="213"/>
      <c r="F265" s="213"/>
      <c r="G265" s="213"/>
      <c r="H265" s="214"/>
      <c r="I265" s="214"/>
      <c r="J265" s="632"/>
      <c r="K265" s="362"/>
      <c r="L265" s="369"/>
      <c r="M265" s="392"/>
      <c r="N265" s="215"/>
      <c r="O265" s="616">
        <f t="shared" si="1"/>
        <v>0</v>
      </c>
      <c r="P265" s="633"/>
      <c r="Q265" s="648"/>
      <c r="R265" s="648"/>
      <c r="S265" s="7"/>
      <c r="T265" s="699"/>
      <c r="U265" s="7"/>
      <c r="V265" s="618">
        <f t="shared" si="23"/>
        <v>0</v>
      </c>
      <c r="W265" s="7"/>
      <c r="X265" s="7"/>
      <c r="Y265" s="7"/>
      <c r="Z265" s="7"/>
      <c r="AA265" s="7"/>
      <c r="AB265" s="7"/>
    </row>
    <row r="266" spans="1:28" ht="20.25" customHeight="1">
      <c r="A266" s="503" t="s">
        <v>603</v>
      </c>
      <c r="B266" s="483" t="s">
        <v>604</v>
      </c>
      <c r="C266" s="629" t="s">
        <v>591</v>
      </c>
      <c r="D266" s="504" t="s">
        <v>132</v>
      </c>
      <c r="E266" s="213"/>
      <c r="F266" s="213"/>
      <c r="G266" s="213"/>
      <c r="H266" s="214"/>
      <c r="I266" s="214"/>
      <c r="J266" s="632"/>
      <c r="K266" s="362"/>
      <c r="L266" s="369"/>
      <c r="M266" s="392"/>
      <c r="N266" s="215"/>
      <c r="O266" s="616">
        <f t="shared" si="1"/>
        <v>0</v>
      </c>
      <c r="P266" s="633"/>
      <c r="Q266" s="648"/>
      <c r="R266" s="648"/>
      <c r="S266" s="7"/>
      <c r="T266" s="699"/>
      <c r="U266" s="7"/>
      <c r="V266" s="618">
        <f t="shared" si="23"/>
        <v>0</v>
      </c>
      <c r="W266" s="7"/>
      <c r="X266" s="7"/>
      <c r="Y266" s="7"/>
      <c r="Z266" s="7"/>
      <c r="AA266" s="7"/>
      <c r="AB266" s="7"/>
    </row>
    <row r="267" spans="1:28" ht="20.25" customHeight="1">
      <c r="A267" s="503" t="s">
        <v>605</v>
      </c>
      <c r="B267" s="483" t="s">
        <v>606</v>
      </c>
      <c r="C267" s="629" t="s">
        <v>593</v>
      </c>
      <c r="D267" s="485" t="s">
        <v>2500</v>
      </c>
      <c r="E267" s="213"/>
      <c r="F267" s="213"/>
      <c r="G267" s="213"/>
      <c r="H267" s="214"/>
      <c r="I267" s="214"/>
      <c r="J267" s="632"/>
      <c r="K267" s="362"/>
      <c r="L267" s="369"/>
      <c r="M267" s="392"/>
      <c r="N267" s="215"/>
      <c r="O267" s="616">
        <f t="shared" si="1"/>
        <v>0</v>
      </c>
      <c r="P267" s="633"/>
      <c r="Q267" s="648"/>
      <c r="R267" s="648"/>
      <c r="S267" s="7"/>
      <c r="T267" s="699"/>
      <c r="U267" s="7"/>
      <c r="V267" s="618">
        <f t="shared" si="23"/>
        <v>0</v>
      </c>
      <c r="W267" s="7"/>
      <c r="X267" s="7"/>
      <c r="Y267" s="7"/>
      <c r="Z267" s="7"/>
      <c r="AA267" s="7"/>
      <c r="AB267" s="7"/>
    </row>
    <row r="268" spans="1:28" ht="20.25" customHeight="1">
      <c r="A268" s="503" t="s">
        <v>608</v>
      </c>
      <c r="B268" s="483" t="s">
        <v>609</v>
      </c>
      <c r="C268" s="629" t="s">
        <v>543</v>
      </c>
      <c r="D268" s="504" t="s">
        <v>132</v>
      </c>
      <c r="E268" s="213"/>
      <c r="F268" s="213"/>
      <c r="G268" s="213"/>
      <c r="H268" s="214"/>
      <c r="I268" s="214"/>
      <c r="J268" s="632"/>
      <c r="K268" s="362"/>
      <c r="L268" s="369"/>
      <c r="M268" s="392"/>
      <c r="N268" s="215"/>
      <c r="O268" s="616">
        <f t="shared" si="1"/>
        <v>0</v>
      </c>
      <c r="P268" s="633"/>
      <c r="Q268" s="648"/>
      <c r="R268" s="648"/>
      <c r="S268" s="7"/>
      <c r="T268" s="699"/>
      <c r="U268" s="7"/>
      <c r="V268" s="618">
        <f t="shared" si="23"/>
        <v>0</v>
      </c>
      <c r="W268" s="7"/>
      <c r="X268" s="7"/>
      <c r="Y268" s="7"/>
      <c r="Z268" s="7"/>
      <c r="AA268" s="7"/>
      <c r="AB268" s="7"/>
    </row>
    <row r="269" spans="1:28" ht="20.25" customHeight="1">
      <c r="A269" s="486">
        <v>9.6</v>
      </c>
      <c r="B269" s="487" t="s">
        <v>610</v>
      </c>
      <c r="C269" s="635" t="s">
        <v>611</v>
      </c>
      <c r="D269" s="504"/>
      <c r="E269" s="213"/>
      <c r="F269" s="213"/>
      <c r="G269" s="213"/>
      <c r="H269" s="214"/>
      <c r="I269" s="214"/>
      <c r="J269" s="632"/>
      <c r="K269" s="362"/>
      <c r="L269" s="369"/>
      <c r="M269" s="392"/>
      <c r="N269" s="215"/>
      <c r="O269" s="616">
        <f t="shared" si="1"/>
        <v>0</v>
      </c>
      <c r="P269" s="633"/>
      <c r="Q269" s="636"/>
      <c r="R269" s="636"/>
      <c r="S269" s="7"/>
      <c r="T269" s="699"/>
      <c r="U269" s="7"/>
      <c r="V269" s="618">
        <f t="shared" si="23"/>
        <v>0</v>
      </c>
      <c r="W269" s="7"/>
      <c r="X269" s="7"/>
      <c r="Y269" s="7"/>
      <c r="Z269" s="7"/>
      <c r="AA269" s="7"/>
      <c r="AB269" s="7"/>
    </row>
    <row r="270" spans="1:28" ht="20.25" customHeight="1">
      <c r="A270" s="503" t="s">
        <v>612</v>
      </c>
      <c r="B270" s="483" t="s">
        <v>613</v>
      </c>
      <c r="C270" s="629" t="s">
        <v>614</v>
      </c>
      <c r="D270" s="504" t="s">
        <v>132</v>
      </c>
      <c r="E270" s="213"/>
      <c r="F270" s="213"/>
      <c r="G270" s="213"/>
      <c r="H270" s="214"/>
      <c r="I270" s="214"/>
      <c r="J270" s="632"/>
      <c r="K270" s="362"/>
      <c r="L270" s="369"/>
      <c r="M270" s="392"/>
      <c r="N270" s="215"/>
      <c r="O270" s="616">
        <f t="shared" si="1"/>
        <v>0</v>
      </c>
      <c r="P270" s="633"/>
      <c r="Q270" s="648"/>
      <c r="R270" s="648"/>
      <c r="S270" s="7"/>
      <c r="T270" s="699"/>
      <c r="U270" s="7"/>
      <c r="V270" s="618">
        <f t="shared" si="23"/>
        <v>0</v>
      </c>
      <c r="W270" s="7"/>
      <c r="X270" s="7"/>
      <c r="Y270" s="7"/>
      <c r="Z270" s="7"/>
      <c r="AA270" s="7"/>
      <c r="AB270" s="7"/>
    </row>
    <row r="271" spans="1:28" ht="20.25" customHeight="1">
      <c r="A271" s="503" t="s">
        <v>615</v>
      </c>
      <c r="B271" s="483" t="s">
        <v>616</v>
      </c>
      <c r="C271" s="629" t="s">
        <v>591</v>
      </c>
      <c r="D271" s="504" t="s">
        <v>132</v>
      </c>
      <c r="E271" s="213"/>
      <c r="F271" s="213"/>
      <c r="G271" s="213"/>
      <c r="H271" s="214"/>
      <c r="I271" s="214"/>
      <c r="J271" s="632"/>
      <c r="K271" s="362"/>
      <c r="L271" s="369"/>
      <c r="M271" s="392"/>
      <c r="N271" s="215"/>
      <c r="O271" s="616">
        <f t="shared" si="1"/>
        <v>0</v>
      </c>
      <c r="P271" s="633"/>
      <c r="Q271" s="648"/>
      <c r="R271" s="648"/>
      <c r="S271" s="7"/>
      <c r="T271" s="699"/>
      <c r="U271" s="7"/>
      <c r="V271" s="618">
        <f t="shared" si="23"/>
        <v>0</v>
      </c>
      <c r="W271" s="7"/>
      <c r="X271" s="7"/>
      <c r="Y271" s="7"/>
      <c r="Z271" s="7"/>
      <c r="AA271" s="7"/>
      <c r="AB271" s="7"/>
    </row>
    <row r="272" spans="1:28" ht="20.25" customHeight="1">
      <c r="A272" s="503" t="s">
        <v>617</v>
      </c>
      <c r="B272" s="483" t="s">
        <v>618</v>
      </c>
      <c r="C272" s="629" t="s">
        <v>619</v>
      </c>
      <c r="D272" s="515" t="s">
        <v>183</v>
      </c>
      <c r="E272" s="213"/>
      <c r="F272" s="213"/>
      <c r="G272" s="213"/>
      <c r="H272" s="214"/>
      <c r="I272" s="214"/>
      <c r="J272" s="632"/>
      <c r="K272" s="362"/>
      <c r="L272" s="369"/>
      <c r="M272" s="392"/>
      <c r="N272" s="215"/>
      <c r="O272" s="616">
        <f t="shared" si="1"/>
        <v>0</v>
      </c>
      <c r="P272" s="633"/>
      <c r="Q272" s="648"/>
      <c r="R272" s="648"/>
      <c r="S272" s="7"/>
      <c r="T272" s="699"/>
      <c r="U272" s="7"/>
      <c r="V272" s="618">
        <f t="shared" si="23"/>
        <v>0</v>
      </c>
      <c r="W272" s="7"/>
      <c r="X272" s="7"/>
      <c r="Y272" s="7"/>
      <c r="Z272" s="7"/>
      <c r="AA272" s="7"/>
      <c r="AB272" s="7"/>
    </row>
    <row r="273" spans="1:28" ht="20.25" customHeight="1">
      <c r="A273" s="503" t="s">
        <v>620</v>
      </c>
      <c r="B273" s="483" t="s">
        <v>621</v>
      </c>
      <c r="C273" s="629" t="s">
        <v>622</v>
      </c>
      <c r="D273" s="485" t="s">
        <v>2501</v>
      </c>
      <c r="E273" s="213"/>
      <c r="F273" s="213"/>
      <c r="G273" s="213"/>
      <c r="H273" s="214"/>
      <c r="I273" s="214"/>
      <c r="J273" s="632"/>
      <c r="K273" s="362"/>
      <c r="L273" s="369"/>
      <c r="M273" s="392"/>
      <c r="N273" s="215"/>
      <c r="O273" s="616">
        <f t="shared" si="1"/>
        <v>0</v>
      </c>
      <c r="P273" s="633"/>
      <c r="Q273" s="648"/>
      <c r="R273" s="648"/>
      <c r="S273" s="7"/>
      <c r="T273" s="699"/>
      <c r="U273" s="7"/>
      <c r="V273" s="618">
        <f t="shared" si="23"/>
        <v>0</v>
      </c>
      <c r="W273" s="7"/>
      <c r="X273" s="7"/>
      <c r="Y273" s="7"/>
      <c r="Z273" s="7"/>
      <c r="AA273" s="7"/>
      <c r="AB273" s="7"/>
    </row>
    <row r="274" spans="1:28" ht="20.25" customHeight="1">
      <c r="A274" s="503" t="s">
        <v>624</v>
      </c>
      <c r="B274" s="483" t="s">
        <v>625</v>
      </c>
      <c r="C274" s="629" t="s">
        <v>543</v>
      </c>
      <c r="D274" s="504" t="s">
        <v>132</v>
      </c>
      <c r="E274" s="213"/>
      <c r="F274" s="213"/>
      <c r="G274" s="213"/>
      <c r="H274" s="214"/>
      <c r="I274" s="214"/>
      <c r="J274" s="632"/>
      <c r="K274" s="362"/>
      <c r="L274" s="369"/>
      <c r="M274" s="392"/>
      <c r="N274" s="215"/>
      <c r="O274" s="616">
        <f t="shared" si="1"/>
        <v>0</v>
      </c>
      <c r="P274" s="633"/>
      <c r="Q274" s="648"/>
      <c r="R274" s="648"/>
      <c r="S274" s="7"/>
      <c r="T274" s="699"/>
      <c r="U274" s="7"/>
      <c r="V274" s="618">
        <f t="shared" si="23"/>
        <v>0</v>
      </c>
      <c r="W274" s="7"/>
      <c r="X274" s="7"/>
      <c r="Y274" s="7"/>
      <c r="Z274" s="7"/>
      <c r="AA274" s="7"/>
      <c r="AB274" s="7"/>
    </row>
    <row r="275" spans="1:28" ht="18" customHeight="1">
      <c r="A275" s="486">
        <v>9.6999999999999993</v>
      </c>
      <c r="B275" s="487" t="s">
        <v>626</v>
      </c>
      <c r="C275" s="635" t="s">
        <v>627</v>
      </c>
      <c r="D275" s="412"/>
      <c r="E275" s="213"/>
      <c r="F275" s="213"/>
      <c r="G275" s="213"/>
      <c r="H275" s="214"/>
      <c r="I275" s="214"/>
      <c r="J275" s="632"/>
      <c r="K275" s="362"/>
      <c r="L275" s="369"/>
      <c r="M275" s="392"/>
      <c r="N275" s="215"/>
      <c r="O275" s="616">
        <f t="shared" ref="O275:O447" si="24">+SUM(E275:N275)</f>
        <v>0</v>
      </c>
      <c r="P275" s="633"/>
      <c r="Q275" s="636"/>
      <c r="R275" s="636"/>
      <c r="S275" s="7"/>
      <c r="T275" s="699"/>
      <c r="U275" s="7"/>
      <c r="V275" s="618">
        <f t="shared" si="23"/>
        <v>0</v>
      </c>
      <c r="W275" s="7"/>
      <c r="X275" s="7"/>
      <c r="Y275" s="7"/>
      <c r="Z275" s="7"/>
      <c r="AA275" s="7"/>
      <c r="AB275" s="7"/>
    </row>
    <row r="276" spans="1:28" ht="15.75" customHeight="1">
      <c r="A276" s="503" t="s">
        <v>628</v>
      </c>
      <c r="B276" s="483" t="s">
        <v>629</v>
      </c>
      <c r="C276" s="629" t="s">
        <v>630</v>
      </c>
      <c r="D276" s="504" t="s">
        <v>132</v>
      </c>
      <c r="E276" s="213"/>
      <c r="F276" s="213"/>
      <c r="G276" s="213"/>
      <c r="H276" s="214"/>
      <c r="I276" s="214"/>
      <c r="J276" s="632"/>
      <c r="K276" s="362"/>
      <c r="L276" s="369"/>
      <c r="M276" s="392"/>
      <c r="N276" s="215"/>
      <c r="O276" s="616">
        <f t="shared" si="24"/>
        <v>0</v>
      </c>
      <c r="P276" s="633"/>
      <c r="Q276" s="648"/>
      <c r="R276" s="648"/>
      <c r="S276" s="7"/>
      <c r="T276" s="699"/>
      <c r="U276" s="7"/>
      <c r="V276" s="618">
        <f t="shared" si="23"/>
        <v>0</v>
      </c>
      <c r="W276" s="7"/>
      <c r="X276" s="7"/>
      <c r="Y276" s="7"/>
      <c r="Z276" s="7"/>
      <c r="AA276" s="7"/>
      <c r="AB276" s="7"/>
    </row>
    <row r="277" spans="1:28" ht="20.25" customHeight="1">
      <c r="A277" s="503" t="s">
        <v>631</v>
      </c>
      <c r="B277" s="483" t="s">
        <v>632</v>
      </c>
      <c r="C277" s="629" t="s">
        <v>633</v>
      </c>
      <c r="D277" s="515" t="s">
        <v>183</v>
      </c>
      <c r="E277" s="213"/>
      <c r="F277" s="213"/>
      <c r="G277" s="213"/>
      <c r="H277" s="214"/>
      <c r="I277" s="214"/>
      <c r="J277" s="632"/>
      <c r="K277" s="362"/>
      <c r="L277" s="369"/>
      <c r="M277" s="392"/>
      <c r="N277" s="215"/>
      <c r="O277" s="616">
        <f t="shared" si="24"/>
        <v>0</v>
      </c>
      <c r="P277" s="633"/>
      <c r="Q277" s="648"/>
      <c r="R277" s="648"/>
      <c r="S277" s="7"/>
      <c r="T277" s="699"/>
      <c r="U277" s="7"/>
      <c r="V277" s="618">
        <f t="shared" si="23"/>
        <v>0</v>
      </c>
      <c r="W277" s="7"/>
      <c r="X277" s="7"/>
      <c r="Y277" s="7"/>
      <c r="Z277" s="7"/>
      <c r="AA277" s="7"/>
      <c r="AB277" s="7"/>
    </row>
    <row r="278" spans="1:28" ht="20.25" customHeight="1">
      <c r="A278" s="503" t="s">
        <v>634</v>
      </c>
      <c r="B278" s="483" t="s">
        <v>635</v>
      </c>
      <c r="C278" s="629" t="s">
        <v>591</v>
      </c>
      <c r="D278" s="504" t="s">
        <v>132</v>
      </c>
      <c r="E278" s="213"/>
      <c r="F278" s="213"/>
      <c r="G278" s="213"/>
      <c r="H278" s="214"/>
      <c r="I278" s="214"/>
      <c r="J278" s="632"/>
      <c r="K278" s="362"/>
      <c r="L278" s="369"/>
      <c r="M278" s="392"/>
      <c r="N278" s="215"/>
      <c r="O278" s="616">
        <f t="shared" si="24"/>
        <v>0</v>
      </c>
      <c r="P278" s="633"/>
      <c r="Q278" s="648"/>
      <c r="R278" s="648"/>
      <c r="S278" s="7"/>
      <c r="T278" s="699"/>
      <c r="U278" s="7"/>
      <c r="V278" s="618">
        <f t="shared" si="23"/>
        <v>0</v>
      </c>
      <c r="W278" s="7"/>
      <c r="X278" s="7"/>
      <c r="Y278" s="7"/>
      <c r="Z278" s="7"/>
      <c r="AA278" s="7"/>
      <c r="AB278" s="7"/>
    </row>
    <row r="279" spans="1:28" ht="20.25" customHeight="1">
      <c r="A279" s="503" t="s">
        <v>636</v>
      </c>
      <c r="B279" s="483" t="s">
        <v>637</v>
      </c>
      <c r="C279" s="629" t="s">
        <v>638</v>
      </c>
      <c r="D279" s="485" t="s">
        <v>2502</v>
      </c>
      <c r="E279" s="213"/>
      <c r="F279" s="213"/>
      <c r="G279" s="213"/>
      <c r="H279" s="214"/>
      <c r="I279" s="214"/>
      <c r="J279" s="632"/>
      <c r="K279" s="362"/>
      <c r="L279" s="369"/>
      <c r="M279" s="392"/>
      <c r="N279" s="215"/>
      <c r="O279" s="616">
        <f t="shared" si="24"/>
        <v>0</v>
      </c>
      <c r="P279" s="633"/>
      <c r="Q279" s="648"/>
      <c r="R279" s="648"/>
      <c r="S279" s="7"/>
      <c r="T279" s="699"/>
      <c r="U279" s="7"/>
      <c r="V279" s="618">
        <f t="shared" si="23"/>
        <v>0</v>
      </c>
      <c r="W279" s="7"/>
      <c r="X279" s="7"/>
      <c r="Y279" s="7"/>
      <c r="Z279" s="7"/>
      <c r="AA279" s="7"/>
      <c r="AB279" s="7"/>
    </row>
    <row r="280" spans="1:28" ht="21" customHeight="1">
      <c r="A280" s="503" t="s">
        <v>640</v>
      </c>
      <c r="B280" s="483" t="s">
        <v>637</v>
      </c>
      <c r="C280" s="629" t="s">
        <v>543</v>
      </c>
      <c r="D280" s="504" t="s">
        <v>132</v>
      </c>
      <c r="E280" s="213"/>
      <c r="F280" s="213"/>
      <c r="G280" s="213"/>
      <c r="H280" s="214"/>
      <c r="I280" s="214"/>
      <c r="J280" s="632"/>
      <c r="K280" s="362"/>
      <c r="L280" s="369"/>
      <c r="M280" s="392"/>
      <c r="N280" s="215"/>
      <c r="O280" s="616">
        <f t="shared" si="24"/>
        <v>0</v>
      </c>
      <c r="P280" s="633"/>
      <c r="Q280" s="648"/>
      <c r="R280" s="648"/>
      <c r="S280" s="7"/>
      <c r="T280" s="699"/>
      <c r="U280" s="7"/>
      <c r="V280" s="618">
        <f t="shared" si="23"/>
        <v>0</v>
      </c>
      <c r="W280" s="7"/>
      <c r="X280" s="7"/>
      <c r="Y280" s="7"/>
      <c r="Z280" s="7"/>
      <c r="AA280" s="7"/>
      <c r="AB280" s="7"/>
    </row>
    <row r="281" spans="1:28" ht="30" customHeight="1">
      <c r="A281" s="486">
        <v>10.9</v>
      </c>
      <c r="B281" s="487" t="s">
        <v>641</v>
      </c>
      <c r="C281" s="635" t="s">
        <v>642</v>
      </c>
      <c r="D281" s="515" t="s">
        <v>183</v>
      </c>
      <c r="E281" s="213"/>
      <c r="F281" s="213"/>
      <c r="G281" s="213"/>
      <c r="H281" s="214"/>
      <c r="I281" s="214"/>
      <c r="J281" s="632"/>
      <c r="K281" s="362"/>
      <c r="L281" s="369"/>
      <c r="M281" s="392"/>
      <c r="N281" s="215"/>
      <c r="O281" s="616">
        <f t="shared" si="24"/>
        <v>0</v>
      </c>
      <c r="P281" s="633"/>
      <c r="Q281" s="648"/>
      <c r="R281" s="648"/>
      <c r="S281" s="7"/>
      <c r="T281" s="699"/>
      <c r="U281" s="7"/>
      <c r="V281" s="618">
        <f t="shared" si="23"/>
        <v>0</v>
      </c>
      <c r="W281" s="7"/>
      <c r="X281" s="7"/>
      <c r="Y281" s="7"/>
      <c r="Z281" s="7"/>
      <c r="AA281" s="7"/>
      <c r="AB281" s="7"/>
    </row>
    <row r="282" spans="1:28" ht="21" customHeight="1">
      <c r="A282" s="489">
        <v>7</v>
      </c>
      <c r="B282" s="490" t="s">
        <v>643</v>
      </c>
      <c r="C282" s="637" t="s">
        <v>644</v>
      </c>
      <c r="D282" s="516"/>
      <c r="E282" s="213"/>
      <c r="F282" s="213"/>
      <c r="G282" s="213"/>
      <c r="H282" s="214"/>
      <c r="I282" s="214"/>
      <c r="J282" s="632"/>
      <c r="K282" s="362"/>
      <c r="L282" s="369"/>
      <c r="M282" s="392"/>
      <c r="N282" s="215"/>
      <c r="O282" s="616">
        <f t="shared" si="24"/>
        <v>0</v>
      </c>
      <c r="P282" s="633"/>
      <c r="Q282" s="640"/>
      <c r="R282" s="640"/>
      <c r="S282" s="7"/>
      <c r="T282" s="699"/>
      <c r="U282" s="7"/>
      <c r="V282" s="618">
        <f t="shared" si="23"/>
        <v>0</v>
      </c>
      <c r="W282" s="7"/>
      <c r="X282" s="7"/>
      <c r="Y282" s="7"/>
      <c r="Z282" s="7"/>
      <c r="AA282" s="7"/>
      <c r="AB282" s="7"/>
    </row>
    <row r="283" spans="1:28" ht="21" customHeight="1">
      <c r="A283" s="486"/>
      <c r="B283" s="487" t="s">
        <v>646</v>
      </c>
      <c r="C283" s="635" t="s">
        <v>647</v>
      </c>
      <c r="D283" s="412" t="s">
        <v>271</v>
      </c>
      <c r="E283" s="213"/>
      <c r="F283" s="213"/>
      <c r="G283" s="213"/>
      <c r="H283" s="214"/>
      <c r="I283" s="214"/>
      <c r="J283" s="632">
        <v>456.6</v>
      </c>
      <c r="K283" s="362">
        <v>4.3</v>
      </c>
      <c r="L283" s="369"/>
      <c r="M283" s="392">
        <v>11.6</v>
      </c>
      <c r="N283" s="215"/>
      <c r="O283" s="616">
        <f t="shared" si="24"/>
        <v>472.50000000000006</v>
      </c>
      <c r="P283" s="633"/>
      <c r="Q283" s="636"/>
      <c r="R283" s="636"/>
      <c r="S283" s="7"/>
      <c r="T283" s="699"/>
      <c r="U283" s="7"/>
      <c r="V283" s="618"/>
      <c r="W283" s="7"/>
      <c r="X283" s="7"/>
      <c r="Y283" s="7"/>
      <c r="Z283" s="7"/>
      <c r="AA283" s="7"/>
      <c r="AB283" s="7"/>
    </row>
    <row r="284" spans="1:28" ht="21" customHeight="1">
      <c r="A284" s="510"/>
      <c r="B284" s="505" t="s">
        <v>649</v>
      </c>
      <c r="C284" s="655" t="s">
        <v>650</v>
      </c>
      <c r="D284" s="512" t="s">
        <v>271</v>
      </c>
      <c r="E284" s="213"/>
      <c r="F284" s="213"/>
      <c r="G284" s="213"/>
      <c r="H284" s="214"/>
      <c r="I284" s="214"/>
      <c r="J284" s="632">
        <v>400.6</v>
      </c>
      <c r="K284" s="362"/>
      <c r="L284" s="369"/>
      <c r="M284" s="392">
        <v>11.6</v>
      </c>
      <c r="N284" s="215"/>
      <c r="O284" s="616">
        <f t="shared" si="24"/>
        <v>412.20000000000005</v>
      </c>
      <c r="P284" s="633"/>
      <c r="Q284" s="654"/>
      <c r="R284" s="654"/>
      <c r="S284" s="7"/>
      <c r="T284" s="699"/>
      <c r="U284" s="7"/>
      <c r="V284" s="618"/>
      <c r="W284" s="7"/>
      <c r="X284" s="7"/>
      <c r="Y284" s="7"/>
      <c r="Z284" s="7"/>
      <c r="AA284" s="7"/>
      <c r="AB284" s="7"/>
    </row>
    <row r="285" spans="1:28" ht="21" customHeight="1">
      <c r="A285" s="503"/>
      <c r="B285" s="483" t="s">
        <v>651</v>
      </c>
      <c r="C285" s="629" t="s">
        <v>131</v>
      </c>
      <c r="D285" s="504" t="s">
        <v>271</v>
      </c>
      <c r="E285" s="213"/>
      <c r="F285" s="213"/>
      <c r="G285" s="213"/>
      <c r="H285" s="214"/>
      <c r="I285" s="214"/>
      <c r="J285" s="632">
        <v>393.6</v>
      </c>
      <c r="K285" s="362"/>
      <c r="L285" s="369"/>
      <c r="M285" s="392">
        <v>10.5</v>
      </c>
      <c r="N285" s="215"/>
      <c r="O285" s="616">
        <f t="shared" si="24"/>
        <v>404.1</v>
      </c>
      <c r="P285" s="633"/>
      <c r="Q285" s="654"/>
      <c r="R285" s="654"/>
      <c r="S285" s="7"/>
      <c r="T285" s="699"/>
      <c r="U285" s="7"/>
      <c r="V285" s="618"/>
      <c r="W285" s="7"/>
      <c r="X285" s="7"/>
      <c r="Y285" s="7"/>
      <c r="Z285" s="7"/>
      <c r="AA285" s="7"/>
      <c r="AB285" s="7"/>
    </row>
    <row r="286" spans="1:28" ht="21" customHeight="1">
      <c r="A286" s="503"/>
      <c r="B286" s="483" t="s">
        <v>652</v>
      </c>
      <c r="C286" s="629" t="s">
        <v>200</v>
      </c>
      <c r="D286" s="504" t="s">
        <v>271</v>
      </c>
      <c r="E286" s="213"/>
      <c r="F286" s="213"/>
      <c r="G286" s="213"/>
      <c r="H286" s="214"/>
      <c r="I286" s="214"/>
      <c r="J286" s="632">
        <v>7</v>
      </c>
      <c r="K286" s="362"/>
      <c r="L286" s="369"/>
      <c r="M286" s="392">
        <v>1.1000000000000001</v>
      </c>
      <c r="N286" s="215"/>
      <c r="O286" s="616">
        <f t="shared" si="24"/>
        <v>8.1</v>
      </c>
      <c r="P286" s="633"/>
      <c r="Q286" s="654"/>
      <c r="R286" s="654"/>
      <c r="S286" s="7"/>
      <c r="T286" s="699"/>
      <c r="U286" s="7"/>
      <c r="V286" s="618"/>
      <c r="W286" s="7"/>
      <c r="X286" s="7"/>
      <c r="Y286" s="7"/>
      <c r="Z286" s="7"/>
      <c r="AA286" s="7"/>
      <c r="AB286" s="7"/>
    </row>
    <row r="287" spans="1:28" ht="21" customHeight="1">
      <c r="A287" s="503"/>
      <c r="B287" s="483" t="s">
        <v>653</v>
      </c>
      <c r="C287" s="629" t="s">
        <v>203</v>
      </c>
      <c r="D287" s="504" t="s">
        <v>271</v>
      </c>
      <c r="E287" s="213"/>
      <c r="F287" s="213"/>
      <c r="G287" s="213"/>
      <c r="H287" s="214"/>
      <c r="I287" s="214"/>
      <c r="J287" s="632"/>
      <c r="K287" s="362"/>
      <c r="L287" s="369"/>
      <c r="M287" s="392"/>
      <c r="N287" s="215"/>
      <c r="O287" s="616">
        <f t="shared" si="24"/>
        <v>0</v>
      </c>
      <c r="P287" s="633"/>
      <c r="Q287" s="654"/>
      <c r="R287" s="654"/>
      <c r="S287" s="7"/>
      <c r="T287" s="699"/>
      <c r="U287" s="7"/>
      <c r="V287" s="618"/>
      <c r="W287" s="7"/>
      <c r="X287" s="7"/>
      <c r="Y287" s="7"/>
      <c r="Z287" s="7"/>
      <c r="AA287" s="7"/>
      <c r="AB287" s="7"/>
    </row>
    <row r="288" spans="1:28" ht="21" customHeight="1">
      <c r="A288" s="503"/>
      <c r="B288" s="483" t="s">
        <v>654</v>
      </c>
      <c r="C288" s="629" t="s">
        <v>159</v>
      </c>
      <c r="D288" s="504" t="s">
        <v>271</v>
      </c>
      <c r="E288" s="213"/>
      <c r="F288" s="213"/>
      <c r="G288" s="213"/>
      <c r="H288" s="214"/>
      <c r="I288" s="214"/>
      <c r="J288" s="632"/>
      <c r="K288" s="362"/>
      <c r="L288" s="369"/>
      <c r="M288" s="392"/>
      <c r="N288" s="215"/>
      <c r="O288" s="616">
        <f t="shared" si="24"/>
        <v>0</v>
      </c>
      <c r="P288" s="633"/>
      <c r="Q288" s="654"/>
      <c r="R288" s="654"/>
      <c r="S288" s="7"/>
      <c r="T288" s="699"/>
      <c r="U288" s="7"/>
      <c r="V288" s="618">
        <f t="shared" ref="V288:V329" si="25">T288-O288</f>
        <v>0</v>
      </c>
      <c r="W288" s="7"/>
      <c r="X288" s="7"/>
      <c r="Y288" s="7"/>
      <c r="Z288" s="7"/>
      <c r="AA288" s="7"/>
      <c r="AB288" s="7"/>
    </row>
    <row r="289" spans="1:28" ht="15.75" customHeight="1">
      <c r="A289" s="510"/>
      <c r="B289" s="505" t="s">
        <v>655</v>
      </c>
      <c r="C289" s="655" t="s">
        <v>656</v>
      </c>
      <c r="D289" s="512" t="s">
        <v>271</v>
      </c>
      <c r="E289" s="213"/>
      <c r="F289" s="213"/>
      <c r="G289" s="213"/>
      <c r="H289" s="214"/>
      <c r="I289" s="214"/>
      <c r="J289" s="632">
        <v>56</v>
      </c>
      <c r="K289" s="362"/>
      <c r="L289" s="369"/>
      <c r="M289" s="392"/>
      <c r="N289" s="215"/>
      <c r="O289" s="616">
        <f t="shared" si="24"/>
        <v>56</v>
      </c>
      <c r="P289" s="633"/>
      <c r="Q289" s="654"/>
      <c r="R289" s="654"/>
      <c r="S289" s="7"/>
      <c r="T289" s="699"/>
      <c r="U289" s="7"/>
      <c r="V289" s="618">
        <f t="shared" si="25"/>
        <v>-56</v>
      </c>
      <c r="W289" s="7"/>
      <c r="X289" s="7"/>
      <c r="Y289" s="7"/>
      <c r="Z289" s="7"/>
      <c r="AA289" s="7"/>
      <c r="AB289" s="7"/>
    </row>
    <row r="290" spans="1:28" ht="21" customHeight="1">
      <c r="A290" s="503"/>
      <c r="B290" s="483" t="s">
        <v>657</v>
      </c>
      <c r="C290" s="629" t="s">
        <v>131</v>
      </c>
      <c r="D290" s="504" t="s">
        <v>271</v>
      </c>
      <c r="E290" s="213"/>
      <c r="F290" s="213"/>
      <c r="G290" s="213"/>
      <c r="H290" s="214"/>
      <c r="I290" s="214"/>
      <c r="J290" s="632">
        <v>56</v>
      </c>
      <c r="K290" s="362"/>
      <c r="L290" s="369"/>
      <c r="M290" s="392"/>
      <c r="N290" s="215"/>
      <c r="O290" s="616">
        <f t="shared" si="24"/>
        <v>56</v>
      </c>
      <c r="P290" s="633"/>
      <c r="Q290" s="648"/>
      <c r="R290" s="648"/>
      <c r="S290" s="7"/>
      <c r="T290" s="699"/>
      <c r="U290" s="7"/>
      <c r="V290" s="618">
        <f t="shared" si="25"/>
        <v>-56</v>
      </c>
      <c r="W290" s="7"/>
      <c r="X290" s="7"/>
      <c r="Y290" s="7"/>
      <c r="Z290" s="7"/>
      <c r="AA290" s="7"/>
      <c r="AB290" s="7"/>
    </row>
    <row r="291" spans="1:28" ht="21" customHeight="1">
      <c r="A291" s="503"/>
      <c r="B291" s="483" t="s">
        <v>658</v>
      </c>
      <c r="C291" s="629" t="s">
        <v>200</v>
      </c>
      <c r="D291" s="504" t="s">
        <v>271</v>
      </c>
      <c r="E291" s="213"/>
      <c r="F291" s="213"/>
      <c r="G291" s="213"/>
      <c r="H291" s="214"/>
      <c r="I291" s="214"/>
      <c r="J291" s="632"/>
      <c r="K291" s="362"/>
      <c r="L291" s="369"/>
      <c r="M291" s="392"/>
      <c r="N291" s="215"/>
      <c r="O291" s="616">
        <f t="shared" si="24"/>
        <v>0</v>
      </c>
      <c r="P291" s="633"/>
      <c r="Q291" s="648"/>
      <c r="R291" s="648"/>
      <c r="S291" s="7"/>
      <c r="T291" s="699"/>
      <c r="U291" s="7"/>
      <c r="V291" s="618">
        <f t="shared" si="25"/>
        <v>0</v>
      </c>
      <c r="W291" s="7"/>
      <c r="X291" s="7"/>
      <c r="Y291" s="7"/>
      <c r="Z291" s="7"/>
      <c r="AA291" s="7"/>
      <c r="AB291" s="7"/>
    </row>
    <row r="292" spans="1:28" ht="21" customHeight="1">
      <c r="A292" s="503"/>
      <c r="B292" s="483" t="s">
        <v>659</v>
      </c>
      <c r="C292" s="629" t="s">
        <v>203</v>
      </c>
      <c r="D292" s="504" t="s">
        <v>271</v>
      </c>
      <c r="E292" s="213"/>
      <c r="F292" s="213"/>
      <c r="G292" s="213"/>
      <c r="H292" s="214"/>
      <c r="I292" s="214"/>
      <c r="J292" s="632"/>
      <c r="K292" s="362"/>
      <c r="L292" s="369"/>
      <c r="M292" s="392"/>
      <c r="N292" s="215"/>
      <c r="O292" s="616">
        <f t="shared" si="24"/>
        <v>0</v>
      </c>
      <c r="P292" s="633"/>
      <c r="Q292" s="648"/>
      <c r="R292" s="648"/>
      <c r="S292" s="7"/>
      <c r="T292" s="699"/>
      <c r="U292" s="7"/>
      <c r="V292" s="618">
        <f t="shared" si="25"/>
        <v>0</v>
      </c>
      <c r="W292" s="7"/>
      <c r="X292" s="7"/>
      <c r="Y292" s="7"/>
      <c r="Z292" s="7"/>
      <c r="AA292" s="7"/>
      <c r="AB292" s="7"/>
    </row>
    <row r="293" spans="1:28" ht="21" customHeight="1">
      <c r="A293" s="503"/>
      <c r="B293" s="483" t="s">
        <v>660</v>
      </c>
      <c r="C293" s="629" t="s">
        <v>159</v>
      </c>
      <c r="D293" s="504" t="s">
        <v>271</v>
      </c>
      <c r="E293" s="213"/>
      <c r="F293" s="213"/>
      <c r="G293" s="213"/>
      <c r="H293" s="214"/>
      <c r="I293" s="214"/>
      <c r="J293" s="632"/>
      <c r="K293" s="362"/>
      <c r="L293" s="369"/>
      <c r="M293" s="392"/>
      <c r="N293" s="215"/>
      <c r="O293" s="616">
        <f t="shared" si="24"/>
        <v>0</v>
      </c>
      <c r="P293" s="633"/>
      <c r="Q293" s="648"/>
      <c r="R293" s="648"/>
      <c r="S293" s="7"/>
      <c r="T293" s="699"/>
      <c r="U293" s="7"/>
      <c r="V293" s="618">
        <f t="shared" si="25"/>
        <v>0</v>
      </c>
      <c r="W293" s="7"/>
      <c r="X293" s="7"/>
      <c r="Y293" s="7"/>
      <c r="Z293" s="7"/>
      <c r="AA293" s="7"/>
      <c r="AB293" s="7"/>
    </row>
    <row r="294" spans="1:28" ht="21" customHeight="1">
      <c r="A294" s="510"/>
      <c r="B294" s="487" t="s">
        <v>661</v>
      </c>
      <c r="C294" s="635" t="s">
        <v>662</v>
      </c>
      <c r="D294" s="412" t="s">
        <v>271</v>
      </c>
      <c r="E294" s="213"/>
      <c r="F294" s="213"/>
      <c r="G294" s="213"/>
      <c r="H294" s="214"/>
      <c r="I294" s="214"/>
      <c r="J294" s="632"/>
      <c r="K294" s="362"/>
      <c r="L294" s="369"/>
      <c r="M294" s="392"/>
      <c r="N294" s="215"/>
      <c r="O294" s="616">
        <f t="shared" si="24"/>
        <v>0</v>
      </c>
      <c r="P294" s="633"/>
      <c r="Q294" s="654"/>
      <c r="R294" s="654"/>
      <c r="S294" s="7"/>
      <c r="T294" s="699"/>
      <c r="U294" s="7"/>
      <c r="V294" s="618">
        <f t="shared" si="25"/>
        <v>0</v>
      </c>
      <c r="W294" s="7"/>
      <c r="X294" s="7"/>
      <c r="Y294" s="7"/>
      <c r="Z294" s="7"/>
      <c r="AA294" s="7"/>
      <c r="AB294" s="7"/>
    </row>
    <row r="295" spans="1:28" ht="21" customHeight="1">
      <c r="A295" s="503"/>
      <c r="B295" s="483" t="s">
        <v>664</v>
      </c>
      <c r="C295" s="629" t="s">
        <v>131</v>
      </c>
      <c r="D295" s="504" t="s">
        <v>271</v>
      </c>
      <c r="E295" s="213"/>
      <c r="F295" s="213"/>
      <c r="G295" s="213"/>
      <c r="H295" s="214"/>
      <c r="I295" s="214"/>
      <c r="J295" s="632"/>
      <c r="K295" s="362"/>
      <c r="L295" s="369"/>
      <c r="M295" s="392"/>
      <c r="N295" s="215"/>
      <c r="O295" s="616">
        <f t="shared" si="24"/>
        <v>0</v>
      </c>
      <c r="P295" s="633"/>
      <c r="Q295" s="648"/>
      <c r="R295" s="648"/>
      <c r="S295" s="7"/>
      <c r="T295" s="699"/>
      <c r="U295" s="7"/>
      <c r="V295" s="618">
        <f t="shared" si="25"/>
        <v>0</v>
      </c>
      <c r="W295" s="7"/>
      <c r="X295" s="7"/>
      <c r="Y295" s="7"/>
      <c r="Z295" s="7"/>
      <c r="AA295" s="7"/>
      <c r="AB295" s="7"/>
    </row>
    <row r="296" spans="1:28" ht="21" customHeight="1">
      <c r="A296" s="503"/>
      <c r="B296" s="483" t="s">
        <v>665</v>
      </c>
      <c r="C296" s="629" t="s">
        <v>200</v>
      </c>
      <c r="D296" s="504" t="s">
        <v>271</v>
      </c>
      <c r="E296" s="213"/>
      <c r="F296" s="213"/>
      <c r="G296" s="213"/>
      <c r="H296" s="214"/>
      <c r="I296" s="214"/>
      <c r="J296" s="632"/>
      <c r="K296" s="362"/>
      <c r="L296" s="369"/>
      <c r="M296" s="392"/>
      <c r="N296" s="215"/>
      <c r="O296" s="616">
        <f t="shared" si="24"/>
        <v>0</v>
      </c>
      <c r="P296" s="633"/>
      <c r="Q296" s="648"/>
      <c r="R296" s="648"/>
      <c r="S296" s="7"/>
      <c r="T296" s="699"/>
      <c r="U296" s="7"/>
      <c r="V296" s="618">
        <f t="shared" si="25"/>
        <v>0</v>
      </c>
      <c r="W296" s="7"/>
      <c r="X296" s="7"/>
      <c r="Y296" s="7"/>
      <c r="Z296" s="7"/>
      <c r="AA296" s="7"/>
      <c r="AB296" s="7"/>
    </row>
    <row r="297" spans="1:28" ht="21" customHeight="1">
      <c r="A297" s="503"/>
      <c r="B297" s="483" t="s">
        <v>666</v>
      </c>
      <c r="C297" s="629" t="s">
        <v>203</v>
      </c>
      <c r="D297" s="504" t="s">
        <v>271</v>
      </c>
      <c r="E297" s="213"/>
      <c r="F297" s="213"/>
      <c r="G297" s="213"/>
      <c r="H297" s="214"/>
      <c r="I297" s="214"/>
      <c r="J297" s="632"/>
      <c r="K297" s="362"/>
      <c r="L297" s="369"/>
      <c r="M297" s="392"/>
      <c r="N297" s="215"/>
      <c r="O297" s="616">
        <f t="shared" si="24"/>
        <v>0</v>
      </c>
      <c r="P297" s="633"/>
      <c r="Q297" s="648"/>
      <c r="R297" s="648"/>
      <c r="S297" s="7"/>
      <c r="T297" s="699"/>
      <c r="U297" s="7"/>
      <c r="V297" s="618">
        <f t="shared" si="25"/>
        <v>0</v>
      </c>
      <c r="W297" s="7"/>
      <c r="X297" s="7"/>
      <c r="Y297" s="7"/>
      <c r="Z297" s="7"/>
      <c r="AA297" s="7"/>
      <c r="AB297" s="7"/>
    </row>
    <row r="298" spans="1:28" ht="21" customHeight="1">
      <c r="A298" s="503"/>
      <c r="B298" s="483" t="s">
        <v>667</v>
      </c>
      <c r="C298" s="629" t="s">
        <v>159</v>
      </c>
      <c r="D298" s="504" t="s">
        <v>271</v>
      </c>
      <c r="E298" s="213"/>
      <c r="F298" s="213"/>
      <c r="G298" s="213"/>
      <c r="H298" s="214"/>
      <c r="I298" s="214"/>
      <c r="J298" s="632"/>
      <c r="K298" s="362"/>
      <c r="L298" s="369"/>
      <c r="M298" s="392"/>
      <c r="N298" s="215"/>
      <c r="O298" s="616">
        <f t="shared" si="24"/>
        <v>0</v>
      </c>
      <c r="P298" s="633"/>
      <c r="Q298" s="648"/>
      <c r="R298" s="648"/>
      <c r="S298" s="7"/>
      <c r="T298" s="699"/>
      <c r="U298" s="7"/>
      <c r="V298" s="618">
        <f t="shared" si="25"/>
        <v>0</v>
      </c>
      <c r="W298" s="7"/>
      <c r="X298" s="7"/>
      <c r="Y298" s="7"/>
      <c r="Z298" s="7"/>
      <c r="AA298" s="7"/>
      <c r="AB298" s="7"/>
    </row>
    <row r="299" spans="1:28" ht="21" customHeight="1">
      <c r="A299" s="486"/>
      <c r="B299" s="487" t="s">
        <v>668</v>
      </c>
      <c r="C299" s="635" t="s">
        <v>669</v>
      </c>
      <c r="D299" s="412" t="s">
        <v>271</v>
      </c>
      <c r="E299" s="213"/>
      <c r="F299" s="213"/>
      <c r="G299" s="213"/>
      <c r="H299" s="214"/>
      <c r="I299" s="214"/>
      <c r="J299" s="632">
        <f>J300+J305</f>
        <v>44.8</v>
      </c>
      <c r="K299" s="362">
        <v>6.4</v>
      </c>
      <c r="L299" s="369"/>
      <c r="M299" s="392">
        <v>2</v>
      </c>
      <c r="N299" s="215"/>
      <c r="O299" s="616">
        <f t="shared" si="24"/>
        <v>53.199999999999996</v>
      </c>
      <c r="P299" s="633"/>
      <c r="Q299" s="636"/>
      <c r="R299" s="636"/>
      <c r="S299" s="7"/>
      <c r="T299" s="699"/>
      <c r="U299" s="7"/>
      <c r="V299" s="618">
        <f t="shared" si="25"/>
        <v>-53.199999999999996</v>
      </c>
      <c r="W299" s="7"/>
      <c r="X299" s="7"/>
      <c r="Y299" s="7"/>
      <c r="Z299" s="7"/>
      <c r="AA299" s="7"/>
      <c r="AB299" s="7"/>
    </row>
    <row r="300" spans="1:28" ht="18" customHeight="1">
      <c r="A300" s="486"/>
      <c r="B300" s="487" t="s">
        <v>671</v>
      </c>
      <c r="C300" s="655" t="s">
        <v>672</v>
      </c>
      <c r="D300" s="485" t="s">
        <v>271</v>
      </c>
      <c r="E300" s="213"/>
      <c r="F300" s="213"/>
      <c r="G300" s="213"/>
      <c r="H300" s="214"/>
      <c r="I300" s="214"/>
      <c r="J300" s="632">
        <v>29.8</v>
      </c>
      <c r="K300" s="362"/>
      <c r="L300" s="369"/>
      <c r="M300" s="392"/>
      <c r="N300" s="215"/>
      <c r="O300" s="616">
        <f t="shared" si="24"/>
        <v>29.8</v>
      </c>
      <c r="P300" s="633"/>
      <c r="Q300" s="636"/>
      <c r="R300" s="636"/>
      <c r="S300" s="7"/>
      <c r="T300" s="699"/>
      <c r="U300" s="7"/>
      <c r="V300" s="618">
        <f t="shared" si="25"/>
        <v>-29.8</v>
      </c>
      <c r="W300" s="7"/>
      <c r="X300" s="7"/>
      <c r="Y300" s="7"/>
      <c r="Z300" s="7"/>
      <c r="AA300" s="7"/>
      <c r="AB300" s="7"/>
    </row>
    <row r="301" spans="1:28" ht="26.25" customHeight="1">
      <c r="A301" s="503"/>
      <c r="B301" s="483" t="s">
        <v>673</v>
      </c>
      <c r="C301" s="629" t="s">
        <v>131</v>
      </c>
      <c r="D301" s="504" t="s">
        <v>271</v>
      </c>
      <c r="E301" s="213"/>
      <c r="F301" s="213"/>
      <c r="G301" s="213"/>
      <c r="H301" s="214"/>
      <c r="I301" s="214"/>
      <c r="J301" s="632">
        <v>29.8</v>
      </c>
      <c r="K301" s="362"/>
      <c r="L301" s="369"/>
      <c r="M301" s="392"/>
      <c r="N301" s="215"/>
      <c r="O301" s="616">
        <f t="shared" si="24"/>
        <v>29.8</v>
      </c>
      <c r="P301" s="633"/>
      <c r="Q301" s="648"/>
      <c r="R301" s="648"/>
      <c r="S301" s="7"/>
      <c r="T301" s="699"/>
      <c r="U301" s="7"/>
      <c r="V301" s="618">
        <f t="shared" si="25"/>
        <v>-29.8</v>
      </c>
      <c r="W301" s="7"/>
      <c r="X301" s="7"/>
      <c r="Y301" s="7"/>
      <c r="Z301" s="7"/>
      <c r="AA301" s="7"/>
      <c r="AB301" s="7"/>
    </row>
    <row r="302" spans="1:28" ht="21" customHeight="1">
      <c r="A302" s="503"/>
      <c r="B302" s="483" t="s">
        <v>674</v>
      </c>
      <c r="C302" s="629" t="s">
        <v>200</v>
      </c>
      <c r="D302" s="504" t="s">
        <v>271</v>
      </c>
      <c r="E302" s="213"/>
      <c r="F302" s="213"/>
      <c r="G302" s="213"/>
      <c r="H302" s="214"/>
      <c r="I302" s="214"/>
      <c r="J302" s="632"/>
      <c r="K302" s="362"/>
      <c r="L302" s="369"/>
      <c r="M302" s="392"/>
      <c r="N302" s="215"/>
      <c r="O302" s="616">
        <f t="shared" si="24"/>
        <v>0</v>
      </c>
      <c r="P302" s="633"/>
      <c r="Q302" s="648"/>
      <c r="R302" s="648"/>
      <c r="S302" s="7"/>
      <c r="T302" s="699"/>
      <c r="U302" s="7"/>
      <c r="V302" s="618">
        <f t="shared" si="25"/>
        <v>0</v>
      </c>
      <c r="W302" s="7"/>
      <c r="X302" s="7"/>
      <c r="Y302" s="7"/>
      <c r="Z302" s="7"/>
      <c r="AA302" s="7"/>
      <c r="AB302" s="7"/>
    </row>
    <row r="303" spans="1:28" ht="21" customHeight="1">
      <c r="A303" s="503"/>
      <c r="B303" s="483" t="s">
        <v>675</v>
      </c>
      <c r="C303" s="629" t="s">
        <v>203</v>
      </c>
      <c r="D303" s="504" t="s">
        <v>271</v>
      </c>
      <c r="E303" s="213"/>
      <c r="F303" s="213"/>
      <c r="G303" s="213"/>
      <c r="H303" s="214"/>
      <c r="I303" s="214"/>
      <c r="J303" s="632"/>
      <c r="K303" s="362"/>
      <c r="L303" s="369"/>
      <c r="M303" s="392"/>
      <c r="N303" s="215"/>
      <c r="O303" s="616">
        <f t="shared" si="24"/>
        <v>0</v>
      </c>
      <c r="P303" s="633"/>
      <c r="Q303" s="648"/>
      <c r="R303" s="648"/>
      <c r="S303" s="7"/>
      <c r="T303" s="699"/>
      <c r="U303" s="7"/>
      <c r="V303" s="618">
        <f t="shared" si="25"/>
        <v>0</v>
      </c>
      <c r="W303" s="7"/>
      <c r="X303" s="7"/>
      <c r="Y303" s="7"/>
      <c r="Z303" s="7"/>
      <c r="AA303" s="7"/>
      <c r="AB303" s="7"/>
    </row>
    <row r="304" spans="1:28" ht="21" customHeight="1">
      <c r="A304" s="503"/>
      <c r="B304" s="483" t="s">
        <v>676</v>
      </c>
      <c r="C304" s="629" t="s">
        <v>159</v>
      </c>
      <c r="D304" s="504" t="s">
        <v>271</v>
      </c>
      <c r="E304" s="213"/>
      <c r="F304" s="213"/>
      <c r="G304" s="213"/>
      <c r="H304" s="214"/>
      <c r="I304" s="214"/>
      <c r="J304" s="632"/>
      <c r="K304" s="362"/>
      <c r="L304" s="369"/>
      <c r="M304" s="392"/>
      <c r="N304" s="215"/>
      <c r="O304" s="616">
        <f t="shared" si="24"/>
        <v>0</v>
      </c>
      <c r="P304" s="633"/>
      <c r="Q304" s="648"/>
      <c r="R304" s="648"/>
      <c r="S304" s="7"/>
      <c r="T304" s="699"/>
      <c r="U304" s="7"/>
      <c r="V304" s="618">
        <f t="shared" si="25"/>
        <v>0</v>
      </c>
      <c r="W304" s="7"/>
      <c r="X304" s="7"/>
      <c r="Y304" s="7"/>
      <c r="Z304" s="7"/>
      <c r="AA304" s="7"/>
      <c r="AB304" s="7"/>
    </row>
    <row r="305" spans="1:28" ht="21" customHeight="1">
      <c r="A305" s="486"/>
      <c r="B305" s="487" t="s">
        <v>677</v>
      </c>
      <c r="C305" s="655" t="s">
        <v>678</v>
      </c>
      <c r="D305" s="485" t="s">
        <v>271</v>
      </c>
      <c r="E305" s="213"/>
      <c r="F305" s="213"/>
      <c r="G305" s="213"/>
      <c r="H305" s="214"/>
      <c r="I305" s="214"/>
      <c r="J305" s="632">
        <v>15</v>
      </c>
      <c r="K305" s="362"/>
      <c r="L305" s="369"/>
      <c r="M305" s="392">
        <v>2</v>
      </c>
      <c r="N305" s="215"/>
      <c r="O305" s="616">
        <f t="shared" si="24"/>
        <v>17</v>
      </c>
      <c r="P305" s="633"/>
      <c r="Q305" s="636"/>
      <c r="R305" s="636"/>
      <c r="S305" s="7"/>
      <c r="T305" s="699"/>
      <c r="U305" s="7"/>
      <c r="V305" s="618">
        <f t="shared" si="25"/>
        <v>-17</v>
      </c>
      <c r="W305" s="7"/>
      <c r="X305" s="7"/>
      <c r="Y305" s="7"/>
      <c r="Z305" s="7"/>
      <c r="AA305" s="7"/>
      <c r="AB305" s="7"/>
    </row>
    <row r="306" spans="1:28" ht="21" customHeight="1">
      <c r="A306" s="503"/>
      <c r="B306" s="483" t="s">
        <v>679</v>
      </c>
      <c r="C306" s="629" t="s">
        <v>131</v>
      </c>
      <c r="D306" s="504" t="s">
        <v>271</v>
      </c>
      <c r="E306" s="213"/>
      <c r="F306" s="213"/>
      <c r="G306" s="213"/>
      <c r="H306" s="214"/>
      <c r="I306" s="214"/>
      <c r="J306" s="632"/>
      <c r="K306" s="362"/>
      <c r="L306" s="369"/>
      <c r="M306" s="392"/>
      <c r="N306" s="215"/>
      <c r="O306" s="616">
        <f t="shared" si="24"/>
        <v>0</v>
      </c>
      <c r="P306" s="633"/>
      <c r="Q306" s="648"/>
      <c r="R306" s="648"/>
      <c r="S306" s="7"/>
      <c r="T306" s="699"/>
      <c r="U306" s="7"/>
      <c r="V306" s="618">
        <f t="shared" si="25"/>
        <v>0</v>
      </c>
      <c r="W306" s="7"/>
      <c r="X306" s="7"/>
      <c r="Y306" s="7"/>
      <c r="Z306" s="7"/>
      <c r="AA306" s="7"/>
      <c r="AB306" s="7"/>
    </row>
    <row r="307" spans="1:28" ht="21" customHeight="1">
      <c r="A307" s="503"/>
      <c r="B307" s="483" t="s">
        <v>680</v>
      </c>
      <c r="C307" s="629" t="s">
        <v>200</v>
      </c>
      <c r="D307" s="504" t="s">
        <v>271</v>
      </c>
      <c r="E307" s="213"/>
      <c r="F307" s="213"/>
      <c r="G307" s="213"/>
      <c r="H307" s="214"/>
      <c r="I307" s="214"/>
      <c r="J307" s="632">
        <v>15</v>
      </c>
      <c r="K307" s="362"/>
      <c r="L307" s="369"/>
      <c r="M307" s="392"/>
      <c r="N307" s="215"/>
      <c r="O307" s="616">
        <f t="shared" si="24"/>
        <v>15</v>
      </c>
      <c r="P307" s="633"/>
      <c r="Q307" s="648"/>
      <c r="R307" s="648"/>
      <c r="S307" s="7"/>
      <c r="T307" s="699"/>
      <c r="U307" s="7"/>
      <c r="V307" s="618">
        <f t="shared" si="25"/>
        <v>-15</v>
      </c>
      <c r="W307" s="7"/>
      <c r="X307" s="7"/>
      <c r="Y307" s="7"/>
      <c r="Z307" s="7"/>
      <c r="AA307" s="7"/>
      <c r="AB307" s="7"/>
    </row>
    <row r="308" spans="1:28" ht="21" customHeight="1">
      <c r="A308" s="503"/>
      <c r="B308" s="483" t="s">
        <v>681</v>
      </c>
      <c r="C308" s="629" t="s">
        <v>203</v>
      </c>
      <c r="D308" s="504" t="s">
        <v>271</v>
      </c>
      <c r="E308" s="213"/>
      <c r="F308" s="213"/>
      <c r="G308" s="213"/>
      <c r="H308" s="214"/>
      <c r="I308" s="214"/>
      <c r="J308" s="632"/>
      <c r="K308" s="362"/>
      <c r="L308" s="369"/>
      <c r="M308" s="392"/>
      <c r="N308" s="215"/>
      <c r="O308" s="616">
        <f t="shared" si="24"/>
        <v>0</v>
      </c>
      <c r="P308" s="633"/>
      <c r="Q308" s="648"/>
      <c r="R308" s="648"/>
      <c r="S308" s="7"/>
      <c r="T308" s="699"/>
      <c r="U308" s="7"/>
      <c r="V308" s="618">
        <f t="shared" si="25"/>
        <v>0</v>
      </c>
      <c r="W308" s="7"/>
      <c r="X308" s="7"/>
      <c r="Y308" s="7"/>
      <c r="Z308" s="7"/>
      <c r="AA308" s="7"/>
      <c r="AB308" s="7"/>
    </row>
    <row r="309" spans="1:28" ht="21" customHeight="1">
      <c r="A309" s="503"/>
      <c r="B309" s="483" t="s">
        <v>682</v>
      </c>
      <c r="C309" s="629" t="s">
        <v>159</v>
      </c>
      <c r="D309" s="504" t="s">
        <v>271</v>
      </c>
      <c r="E309" s="213"/>
      <c r="F309" s="213"/>
      <c r="G309" s="213"/>
      <c r="H309" s="214"/>
      <c r="I309" s="214"/>
      <c r="J309" s="632"/>
      <c r="K309" s="362"/>
      <c r="L309" s="369"/>
      <c r="M309" s="392"/>
      <c r="N309" s="215"/>
      <c r="O309" s="616">
        <f t="shared" si="24"/>
        <v>0</v>
      </c>
      <c r="P309" s="633"/>
      <c r="Q309" s="648"/>
      <c r="R309" s="648"/>
      <c r="S309" s="7"/>
      <c r="T309" s="699"/>
      <c r="U309" s="7"/>
      <c r="V309" s="618">
        <f t="shared" si="25"/>
        <v>0</v>
      </c>
      <c r="W309" s="7"/>
      <c r="X309" s="7"/>
      <c r="Y309" s="7"/>
      <c r="Z309" s="7"/>
      <c r="AA309" s="7"/>
      <c r="AB309" s="7"/>
    </row>
    <row r="310" spans="1:28" ht="21" customHeight="1">
      <c r="A310" s="486"/>
      <c r="B310" s="487" t="s">
        <v>683</v>
      </c>
      <c r="C310" s="655" t="s">
        <v>684</v>
      </c>
      <c r="D310" s="485" t="s">
        <v>271</v>
      </c>
      <c r="E310" s="213"/>
      <c r="F310" s="213"/>
      <c r="G310" s="213"/>
      <c r="H310" s="214"/>
      <c r="I310" s="214"/>
      <c r="J310" s="632"/>
      <c r="K310" s="362"/>
      <c r="L310" s="369"/>
      <c r="M310" s="392"/>
      <c r="N310" s="215"/>
      <c r="O310" s="616">
        <f t="shared" si="24"/>
        <v>0</v>
      </c>
      <c r="P310" s="633"/>
      <c r="Q310" s="636"/>
      <c r="R310" s="636"/>
      <c r="S310" s="7"/>
      <c r="T310" s="699"/>
      <c r="U310" s="7"/>
      <c r="V310" s="618">
        <f t="shared" si="25"/>
        <v>0</v>
      </c>
      <c r="W310" s="7"/>
      <c r="X310" s="7"/>
      <c r="Y310" s="7"/>
      <c r="Z310" s="7"/>
      <c r="AA310" s="7"/>
      <c r="AB310" s="7"/>
    </row>
    <row r="311" spans="1:28" ht="21" customHeight="1">
      <c r="A311" s="503"/>
      <c r="B311" s="483" t="s">
        <v>685</v>
      </c>
      <c r="C311" s="629" t="s">
        <v>131</v>
      </c>
      <c r="D311" s="504" t="s">
        <v>271</v>
      </c>
      <c r="E311" s="213"/>
      <c r="F311" s="213"/>
      <c r="G311" s="213"/>
      <c r="H311" s="214"/>
      <c r="I311" s="214"/>
      <c r="J311" s="632"/>
      <c r="K311" s="362"/>
      <c r="L311" s="369"/>
      <c r="M311" s="392"/>
      <c r="N311" s="215"/>
      <c r="O311" s="616">
        <f t="shared" si="24"/>
        <v>0</v>
      </c>
      <c r="P311" s="633"/>
      <c r="Q311" s="648"/>
      <c r="R311" s="648"/>
      <c r="S311" s="7"/>
      <c r="T311" s="699"/>
      <c r="U311" s="7"/>
      <c r="V311" s="618">
        <f t="shared" si="25"/>
        <v>0</v>
      </c>
      <c r="W311" s="7"/>
      <c r="X311" s="7"/>
      <c r="Y311" s="7"/>
      <c r="Z311" s="7"/>
      <c r="AA311" s="7"/>
      <c r="AB311" s="7"/>
    </row>
    <row r="312" spans="1:28" ht="21" customHeight="1">
      <c r="A312" s="503"/>
      <c r="B312" s="483" t="s">
        <v>686</v>
      </c>
      <c r="C312" s="629" t="s">
        <v>200</v>
      </c>
      <c r="D312" s="504" t="s">
        <v>271</v>
      </c>
      <c r="E312" s="213"/>
      <c r="F312" s="213"/>
      <c r="G312" s="213"/>
      <c r="H312" s="214"/>
      <c r="I312" s="214"/>
      <c r="J312" s="632"/>
      <c r="K312" s="362"/>
      <c r="L312" s="369"/>
      <c r="M312" s="392"/>
      <c r="N312" s="215"/>
      <c r="O312" s="616">
        <f t="shared" si="24"/>
        <v>0</v>
      </c>
      <c r="P312" s="633"/>
      <c r="Q312" s="648"/>
      <c r="R312" s="648"/>
      <c r="S312" s="7"/>
      <c r="T312" s="699"/>
      <c r="U312" s="7"/>
      <c r="V312" s="618">
        <f t="shared" si="25"/>
        <v>0</v>
      </c>
      <c r="W312" s="7"/>
      <c r="X312" s="7"/>
      <c r="Y312" s="7"/>
      <c r="Z312" s="7"/>
      <c r="AA312" s="7"/>
      <c r="AB312" s="7"/>
    </row>
    <row r="313" spans="1:28" ht="21" customHeight="1">
      <c r="A313" s="503"/>
      <c r="B313" s="483" t="s">
        <v>687</v>
      </c>
      <c r="C313" s="629" t="s">
        <v>203</v>
      </c>
      <c r="D313" s="504" t="s">
        <v>271</v>
      </c>
      <c r="E313" s="213"/>
      <c r="F313" s="213"/>
      <c r="G313" s="213"/>
      <c r="H313" s="214"/>
      <c r="I313" s="214"/>
      <c r="J313" s="632"/>
      <c r="K313" s="362"/>
      <c r="L313" s="369"/>
      <c r="M313" s="392"/>
      <c r="N313" s="215"/>
      <c r="O313" s="616">
        <f t="shared" si="24"/>
        <v>0</v>
      </c>
      <c r="P313" s="633"/>
      <c r="Q313" s="648"/>
      <c r="R313" s="648"/>
      <c r="S313" s="7"/>
      <c r="T313" s="699"/>
      <c r="U313" s="7"/>
      <c r="V313" s="618">
        <f t="shared" si="25"/>
        <v>0</v>
      </c>
      <c r="W313" s="7"/>
      <c r="X313" s="7"/>
      <c r="Y313" s="7"/>
      <c r="Z313" s="7"/>
      <c r="AA313" s="7"/>
      <c r="AB313" s="7"/>
    </row>
    <row r="314" spans="1:28" ht="21" customHeight="1">
      <c r="A314" s="503"/>
      <c r="B314" s="483" t="s">
        <v>688</v>
      </c>
      <c r="C314" s="629" t="s">
        <v>159</v>
      </c>
      <c r="D314" s="504" t="s">
        <v>271</v>
      </c>
      <c r="E314" s="213"/>
      <c r="F314" s="213"/>
      <c r="G314" s="213"/>
      <c r="H314" s="214"/>
      <c r="I314" s="214"/>
      <c r="J314" s="632"/>
      <c r="K314" s="362"/>
      <c r="L314" s="369"/>
      <c r="M314" s="392"/>
      <c r="N314" s="215"/>
      <c r="O314" s="616">
        <f t="shared" si="24"/>
        <v>0</v>
      </c>
      <c r="P314" s="633"/>
      <c r="Q314" s="648"/>
      <c r="R314" s="648"/>
      <c r="S314" s="7"/>
      <c r="T314" s="699"/>
      <c r="U314" s="7"/>
      <c r="V314" s="618">
        <f t="shared" si="25"/>
        <v>0</v>
      </c>
      <c r="W314" s="7"/>
      <c r="X314" s="7"/>
      <c r="Y314" s="7"/>
      <c r="Z314" s="7"/>
      <c r="AA314" s="7"/>
      <c r="AB314" s="7"/>
    </row>
    <row r="315" spans="1:28" ht="21" customHeight="1">
      <c r="A315" s="486"/>
      <c r="B315" s="487" t="s">
        <v>689</v>
      </c>
      <c r="C315" s="635" t="s">
        <v>690</v>
      </c>
      <c r="D315" s="512" t="s">
        <v>271</v>
      </c>
      <c r="E315" s="213"/>
      <c r="F315" s="213"/>
      <c r="G315" s="213"/>
      <c r="H315" s="214"/>
      <c r="I315" s="214"/>
      <c r="J315" s="632"/>
      <c r="K315" s="362"/>
      <c r="L315" s="369"/>
      <c r="M315" s="392"/>
      <c r="N315" s="215"/>
      <c r="O315" s="616">
        <f t="shared" si="24"/>
        <v>0</v>
      </c>
      <c r="P315" s="633"/>
      <c r="Q315" s="636"/>
      <c r="R315" s="636"/>
      <c r="S315" s="7"/>
      <c r="T315" s="699"/>
      <c r="U315" s="7"/>
      <c r="V315" s="618">
        <f t="shared" si="25"/>
        <v>0</v>
      </c>
      <c r="W315" s="7"/>
      <c r="X315" s="7"/>
      <c r="Y315" s="7"/>
      <c r="Z315" s="7"/>
      <c r="AA315" s="7"/>
      <c r="AB315" s="7"/>
    </row>
    <row r="316" spans="1:28" ht="21" customHeight="1">
      <c r="A316" s="503"/>
      <c r="B316" s="483" t="s">
        <v>692</v>
      </c>
      <c r="C316" s="629" t="s">
        <v>131</v>
      </c>
      <c r="D316" s="504" t="s">
        <v>271</v>
      </c>
      <c r="E316" s="213"/>
      <c r="F316" s="213"/>
      <c r="G316" s="213"/>
      <c r="H316" s="214"/>
      <c r="I316" s="214"/>
      <c r="J316" s="632"/>
      <c r="K316" s="362"/>
      <c r="L316" s="369"/>
      <c r="M316" s="392"/>
      <c r="N316" s="215"/>
      <c r="O316" s="616">
        <f t="shared" si="24"/>
        <v>0</v>
      </c>
      <c r="P316" s="633"/>
      <c r="Q316" s="648"/>
      <c r="R316" s="648"/>
      <c r="S316" s="7"/>
      <c r="T316" s="699"/>
      <c r="U316" s="7"/>
      <c r="V316" s="618">
        <f t="shared" si="25"/>
        <v>0</v>
      </c>
      <c r="W316" s="7"/>
      <c r="X316" s="7"/>
      <c r="Y316" s="7"/>
      <c r="Z316" s="7"/>
      <c r="AA316" s="7"/>
      <c r="AB316" s="7"/>
    </row>
    <row r="317" spans="1:28" ht="21" customHeight="1">
      <c r="A317" s="503"/>
      <c r="B317" s="483" t="s">
        <v>693</v>
      </c>
      <c r="C317" s="629" t="s">
        <v>200</v>
      </c>
      <c r="D317" s="504" t="s">
        <v>271</v>
      </c>
      <c r="E317" s="213"/>
      <c r="F317" s="213"/>
      <c r="G317" s="213"/>
      <c r="H317" s="214"/>
      <c r="I317" s="214"/>
      <c r="J317" s="632"/>
      <c r="K317" s="362"/>
      <c r="L317" s="369"/>
      <c r="M317" s="392"/>
      <c r="N317" s="215"/>
      <c r="O317" s="616">
        <f t="shared" si="24"/>
        <v>0</v>
      </c>
      <c r="P317" s="633"/>
      <c r="Q317" s="648"/>
      <c r="R317" s="648"/>
      <c r="S317" s="7"/>
      <c r="T317" s="699"/>
      <c r="U317" s="7"/>
      <c r="V317" s="618">
        <f t="shared" si="25"/>
        <v>0</v>
      </c>
      <c r="W317" s="7"/>
      <c r="X317" s="7"/>
      <c r="Y317" s="7"/>
      <c r="Z317" s="7"/>
      <c r="AA317" s="7"/>
      <c r="AB317" s="7"/>
    </row>
    <row r="318" spans="1:28" ht="21" customHeight="1">
      <c r="A318" s="503"/>
      <c r="B318" s="483" t="s">
        <v>694</v>
      </c>
      <c r="C318" s="629" t="s">
        <v>203</v>
      </c>
      <c r="D318" s="504" t="s">
        <v>271</v>
      </c>
      <c r="E318" s="213"/>
      <c r="F318" s="213"/>
      <c r="G318" s="213"/>
      <c r="H318" s="214"/>
      <c r="I318" s="214"/>
      <c r="J318" s="632"/>
      <c r="K318" s="362"/>
      <c r="L318" s="369"/>
      <c r="M318" s="392"/>
      <c r="N318" s="215"/>
      <c r="O318" s="616">
        <f t="shared" si="24"/>
        <v>0</v>
      </c>
      <c r="P318" s="633"/>
      <c r="Q318" s="648"/>
      <c r="R318" s="648"/>
      <c r="S318" s="7"/>
      <c r="T318" s="699"/>
      <c r="U318" s="7"/>
      <c r="V318" s="618">
        <f t="shared" si="25"/>
        <v>0</v>
      </c>
      <c r="W318" s="7"/>
      <c r="X318" s="7"/>
      <c r="Y318" s="7"/>
      <c r="Z318" s="7"/>
      <c r="AA318" s="7"/>
      <c r="AB318" s="7"/>
    </row>
    <row r="319" spans="1:28" ht="21" customHeight="1">
      <c r="A319" s="503"/>
      <c r="B319" s="483" t="s">
        <v>695</v>
      </c>
      <c r="C319" s="629" t="s">
        <v>159</v>
      </c>
      <c r="D319" s="504" t="s">
        <v>271</v>
      </c>
      <c r="E319" s="213"/>
      <c r="F319" s="213"/>
      <c r="G319" s="213"/>
      <c r="H319" s="214"/>
      <c r="I319" s="214"/>
      <c r="J319" s="632"/>
      <c r="K319" s="362"/>
      <c r="L319" s="369"/>
      <c r="M319" s="392"/>
      <c r="N319" s="215"/>
      <c r="O319" s="616">
        <f t="shared" si="24"/>
        <v>0</v>
      </c>
      <c r="P319" s="633"/>
      <c r="Q319" s="648"/>
      <c r="R319" s="648"/>
      <c r="S319" s="7"/>
      <c r="T319" s="699"/>
      <c r="U319" s="7"/>
      <c r="V319" s="618">
        <f t="shared" si="25"/>
        <v>0</v>
      </c>
      <c r="W319" s="7"/>
      <c r="X319" s="7"/>
      <c r="Y319" s="7"/>
      <c r="Z319" s="7"/>
      <c r="AA319" s="7"/>
      <c r="AB319" s="7"/>
    </row>
    <row r="320" spans="1:28" ht="21" customHeight="1">
      <c r="A320" s="486"/>
      <c r="B320" s="487" t="s">
        <v>696</v>
      </c>
      <c r="C320" s="635" t="s">
        <v>697</v>
      </c>
      <c r="D320" s="412" t="s">
        <v>271</v>
      </c>
      <c r="E320" s="213"/>
      <c r="F320" s="213"/>
      <c r="G320" s="213"/>
      <c r="H320" s="214"/>
      <c r="I320" s="214"/>
      <c r="J320" s="632"/>
      <c r="K320" s="362"/>
      <c r="L320" s="369"/>
      <c r="M320" s="392"/>
      <c r="N320" s="215"/>
      <c r="O320" s="616">
        <f t="shared" si="24"/>
        <v>0</v>
      </c>
      <c r="P320" s="633"/>
      <c r="Q320" s="636"/>
      <c r="R320" s="636"/>
      <c r="S320" s="7"/>
      <c r="T320" s="699"/>
      <c r="U320" s="7"/>
      <c r="V320" s="618">
        <f t="shared" si="25"/>
        <v>0</v>
      </c>
      <c r="W320" s="7"/>
      <c r="X320" s="7"/>
      <c r="Y320" s="7"/>
      <c r="Z320" s="7"/>
      <c r="AA320" s="7"/>
      <c r="AB320" s="7"/>
    </row>
    <row r="321" spans="1:28" ht="21" customHeight="1">
      <c r="A321" s="503"/>
      <c r="B321" s="483" t="s">
        <v>699</v>
      </c>
      <c r="C321" s="629" t="s">
        <v>131</v>
      </c>
      <c r="D321" s="504" t="s">
        <v>271</v>
      </c>
      <c r="E321" s="213"/>
      <c r="F321" s="213"/>
      <c r="G321" s="213"/>
      <c r="H321" s="214"/>
      <c r="I321" s="214"/>
      <c r="J321" s="632"/>
      <c r="K321" s="362"/>
      <c r="L321" s="369"/>
      <c r="M321" s="392"/>
      <c r="N321" s="215"/>
      <c r="O321" s="616">
        <f t="shared" si="24"/>
        <v>0</v>
      </c>
      <c r="P321" s="633"/>
      <c r="Q321" s="636"/>
      <c r="R321" s="636"/>
      <c r="S321" s="7"/>
      <c r="T321" s="699"/>
      <c r="U321" s="7"/>
      <c r="V321" s="618">
        <f t="shared" si="25"/>
        <v>0</v>
      </c>
      <c r="W321" s="7"/>
      <c r="X321" s="7"/>
      <c r="Y321" s="7"/>
      <c r="Z321" s="7"/>
      <c r="AA321" s="7"/>
      <c r="AB321" s="7"/>
    </row>
    <row r="322" spans="1:28" ht="21" customHeight="1">
      <c r="A322" s="503"/>
      <c r="B322" s="483" t="s">
        <v>700</v>
      </c>
      <c r="C322" s="629" t="s">
        <v>200</v>
      </c>
      <c r="D322" s="504" t="s">
        <v>271</v>
      </c>
      <c r="E322" s="213"/>
      <c r="F322" s="213"/>
      <c r="G322" s="213"/>
      <c r="H322" s="214"/>
      <c r="I322" s="214"/>
      <c r="J322" s="632"/>
      <c r="K322" s="362"/>
      <c r="L322" s="369"/>
      <c r="M322" s="392"/>
      <c r="N322" s="215"/>
      <c r="O322" s="616">
        <f t="shared" si="24"/>
        <v>0</v>
      </c>
      <c r="P322" s="633"/>
      <c r="Q322" s="636"/>
      <c r="R322" s="636"/>
      <c r="S322" s="7"/>
      <c r="T322" s="699"/>
      <c r="U322" s="7"/>
      <c r="V322" s="618">
        <f t="shared" si="25"/>
        <v>0</v>
      </c>
      <c r="W322" s="7"/>
      <c r="X322" s="7"/>
      <c r="Y322" s="7"/>
      <c r="Z322" s="7"/>
      <c r="AA322" s="7"/>
      <c r="AB322" s="7"/>
    </row>
    <row r="323" spans="1:28" ht="21" customHeight="1">
      <c r="A323" s="503"/>
      <c r="B323" s="483" t="s">
        <v>701</v>
      </c>
      <c r="C323" s="629" t="s">
        <v>203</v>
      </c>
      <c r="D323" s="504" t="s">
        <v>271</v>
      </c>
      <c r="E323" s="213"/>
      <c r="F323" s="213"/>
      <c r="G323" s="213"/>
      <c r="H323" s="214"/>
      <c r="I323" s="214"/>
      <c r="J323" s="632"/>
      <c r="K323" s="362"/>
      <c r="L323" s="369"/>
      <c r="M323" s="392"/>
      <c r="N323" s="215"/>
      <c r="O323" s="616">
        <f t="shared" si="24"/>
        <v>0</v>
      </c>
      <c r="P323" s="633"/>
      <c r="Q323" s="636"/>
      <c r="R323" s="636"/>
      <c r="S323" s="7"/>
      <c r="T323" s="699"/>
      <c r="U323" s="7"/>
      <c r="V323" s="618">
        <f t="shared" si="25"/>
        <v>0</v>
      </c>
      <c r="W323" s="7"/>
      <c r="X323" s="7"/>
      <c r="Y323" s="7"/>
      <c r="Z323" s="7"/>
      <c r="AA323" s="7"/>
      <c r="AB323" s="7"/>
    </row>
    <row r="324" spans="1:28" ht="21" customHeight="1">
      <c r="A324" s="503"/>
      <c r="B324" s="483" t="s">
        <v>702</v>
      </c>
      <c r="C324" s="629" t="s">
        <v>159</v>
      </c>
      <c r="D324" s="504" t="s">
        <v>271</v>
      </c>
      <c r="E324" s="213"/>
      <c r="F324" s="213"/>
      <c r="G324" s="213"/>
      <c r="H324" s="214"/>
      <c r="I324" s="214"/>
      <c r="J324" s="632"/>
      <c r="K324" s="362"/>
      <c r="L324" s="369"/>
      <c r="M324" s="392"/>
      <c r="N324" s="215"/>
      <c r="O324" s="616">
        <f t="shared" si="24"/>
        <v>0</v>
      </c>
      <c r="P324" s="633"/>
      <c r="Q324" s="636"/>
      <c r="R324" s="636"/>
      <c r="S324" s="7"/>
      <c r="T324" s="699"/>
      <c r="U324" s="7"/>
      <c r="V324" s="618">
        <f t="shared" si="25"/>
        <v>0</v>
      </c>
      <c r="W324" s="7"/>
      <c r="X324" s="7"/>
      <c r="Y324" s="7"/>
      <c r="Z324" s="7"/>
      <c r="AA324" s="7"/>
      <c r="AB324" s="7"/>
    </row>
    <row r="325" spans="1:28" ht="33.75" customHeight="1">
      <c r="A325" s="486"/>
      <c r="B325" s="487" t="s">
        <v>703</v>
      </c>
      <c r="C325" s="656" t="s">
        <v>704</v>
      </c>
      <c r="D325" s="519" t="s">
        <v>2503</v>
      </c>
      <c r="E325" s="213"/>
      <c r="F325" s="213"/>
      <c r="G325" s="213"/>
      <c r="H325" s="214"/>
      <c r="I325" s="214"/>
      <c r="J325" s="632">
        <v>45.8</v>
      </c>
      <c r="K325" s="362"/>
      <c r="L325" s="369"/>
      <c r="M325" s="392"/>
      <c r="N325" s="215"/>
      <c r="O325" s="616">
        <f t="shared" si="24"/>
        <v>45.8</v>
      </c>
      <c r="P325" s="633"/>
      <c r="Q325" s="636"/>
      <c r="R325" s="636"/>
      <c r="S325" s="7"/>
      <c r="T325" s="699"/>
      <c r="U325" s="7"/>
      <c r="V325" s="618">
        <f t="shared" si="25"/>
        <v>-45.8</v>
      </c>
      <c r="W325" s="7"/>
      <c r="X325" s="7"/>
      <c r="Y325" s="7"/>
      <c r="Z325" s="7"/>
      <c r="AA325" s="7"/>
      <c r="AB325" s="7"/>
    </row>
    <row r="326" spans="1:28" ht="25.5" customHeight="1">
      <c r="A326" s="503"/>
      <c r="B326" s="483" t="s">
        <v>707</v>
      </c>
      <c r="C326" s="629" t="s">
        <v>131</v>
      </c>
      <c r="D326" s="354" t="s">
        <v>2504</v>
      </c>
      <c r="E326" s="213"/>
      <c r="F326" s="213"/>
      <c r="G326" s="213"/>
      <c r="H326" s="214"/>
      <c r="I326" s="214"/>
      <c r="J326" s="632">
        <v>43.3</v>
      </c>
      <c r="K326" s="362"/>
      <c r="L326" s="369"/>
      <c r="M326" s="392"/>
      <c r="N326" s="215"/>
      <c r="O326" s="616">
        <f t="shared" si="24"/>
        <v>43.3</v>
      </c>
      <c r="P326" s="633"/>
      <c r="Q326" s="634"/>
      <c r="R326" s="634"/>
      <c r="S326" s="7"/>
      <c r="T326" s="699"/>
      <c r="U326" s="7"/>
      <c r="V326" s="618">
        <f t="shared" si="25"/>
        <v>-43.3</v>
      </c>
      <c r="W326" s="7"/>
      <c r="X326" s="7"/>
      <c r="Y326" s="7"/>
      <c r="Z326" s="7"/>
      <c r="AA326" s="7"/>
      <c r="AB326" s="7"/>
    </row>
    <row r="327" spans="1:28" ht="21" customHeight="1">
      <c r="A327" s="503"/>
      <c r="B327" s="483" t="s">
        <v>709</v>
      </c>
      <c r="C327" s="629" t="s">
        <v>200</v>
      </c>
      <c r="D327" s="354" t="s">
        <v>2505</v>
      </c>
      <c r="E327" s="213"/>
      <c r="F327" s="213"/>
      <c r="G327" s="213"/>
      <c r="H327" s="214"/>
      <c r="I327" s="214"/>
      <c r="J327" s="632">
        <v>2.5</v>
      </c>
      <c r="K327" s="362"/>
      <c r="L327" s="369"/>
      <c r="M327" s="392"/>
      <c r="N327" s="215"/>
      <c r="O327" s="616">
        <f t="shared" si="24"/>
        <v>2.5</v>
      </c>
      <c r="P327" s="633"/>
      <c r="Q327" s="636"/>
      <c r="R327" s="636"/>
      <c r="S327" s="7"/>
      <c r="T327" s="699"/>
      <c r="U327" s="7"/>
      <c r="V327" s="618">
        <f t="shared" si="25"/>
        <v>-2.5</v>
      </c>
      <c r="W327" s="7"/>
      <c r="X327" s="7"/>
      <c r="Y327" s="7"/>
      <c r="Z327" s="7"/>
      <c r="AA327" s="7"/>
      <c r="AB327" s="7"/>
    </row>
    <row r="328" spans="1:28" ht="21" customHeight="1">
      <c r="A328" s="503"/>
      <c r="B328" s="483" t="s">
        <v>711</v>
      </c>
      <c r="C328" s="629" t="s">
        <v>203</v>
      </c>
      <c r="D328" s="354" t="s">
        <v>2506</v>
      </c>
      <c r="E328" s="213"/>
      <c r="F328" s="213"/>
      <c r="G328" s="213"/>
      <c r="H328" s="214"/>
      <c r="I328" s="214"/>
      <c r="J328" s="632"/>
      <c r="K328" s="362"/>
      <c r="L328" s="369"/>
      <c r="M328" s="392"/>
      <c r="N328" s="215"/>
      <c r="O328" s="616">
        <f t="shared" si="24"/>
        <v>0</v>
      </c>
      <c r="P328" s="633"/>
      <c r="Q328" s="636"/>
      <c r="R328" s="636"/>
      <c r="S328" s="7"/>
      <c r="T328" s="699"/>
      <c r="U328" s="7"/>
      <c r="V328" s="618">
        <f t="shared" si="25"/>
        <v>0</v>
      </c>
      <c r="W328" s="7"/>
      <c r="X328" s="7"/>
      <c r="Y328" s="7"/>
      <c r="Z328" s="7"/>
      <c r="AA328" s="7"/>
      <c r="AB328" s="7"/>
    </row>
    <row r="329" spans="1:28" ht="21" customHeight="1">
      <c r="A329" s="503"/>
      <c r="B329" s="483" t="s">
        <v>713</v>
      </c>
      <c r="C329" s="629" t="s">
        <v>159</v>
      </c>
      <c r="D329" s="354" t="s">
        <v>2507</v>
      </c>
      <c r="E329" s="213"/>
      <c r="F329" s="213"/>
      <c r="G329" s="213"/>
      <c r="H329" s="214"/>
      <c r="I329" s="214"/>
      <c r="J329" s="632"/>
      <c r="K329" s="362"/>
      <c r="L329" s="369"/>
      <c r="M329" s="392"/>
      <c r="N329" s="215"/>
      <c r="O329" s="616">
        <f t="shared" si="24"/>
        <v>0</v>
      </c>
      <c r="P329" s="633"/>
      <c r="Q329" s="636"/>
      <c r="R329" s="636"/>
      <c r="S329" s="7"/>
      <c r="T329" s="699"/>
      <c r="U329" s="7"/>
      <c r="V329" s="618">
        <f t="shared" si="25"/>
        <v>0</v>
      </c>
      <c r="W329" s="7"/>
      <c r="X329" s="7"/>
      <c r="Y329" s="7"/>
      <c r="Z329" s="7"/>
      <c r="AA329" s="7"/>
      <c r="AB329" s="7"/>
    </row>
    <row r="330" spans="1:28" ht="30.75" customHeight="1">
      <c r="A330" s="486"/>
      <c r="B330" s="487" t="s">
        <v>715</v>
      </c>
      <c r="C330" s="656" t="s">
        <v>716</v>
      </c>
      <c r="D330" s="412" t="s">
        <v>717</v>
      </c>
      <c r="E330" s="213"/>
      <c r="F330" s="213"/>
      <c r="G330" s="213"/>
      <c r="H330" s="214"/>
      <c r="I330" s="214">
        <v>2</v>
      </c>
      <c r="J330" s="632">
        <v>1</v>
      </c>
      <c r="K330" s="362"/>
      <c r="L330" s="369"/>
      <c r="M330" s="392">
        <v>6</v>
      </c>
      <c r="N330" s="215"/>
      <c r="O330" s="616">
        <f t="shared" si="24"/>
        <v>9</v>
      </c>
      <c r="P330" s="633"/>
      <c r="Q330" s="636"/>
      <c r="R330" s="636"/>
      <c r="S330" s="7"/>
      <c r="T330" s="699"/>
      <c r="U330" s="7"/>
      <c r="V330" s="618"/>
      <c r="W330" s="7"/>
      <c r="X330" s="7"/>
      <c r="Y330" s="7"/>
      <c r="Z330" s="7"/>
      <c r="AA330" s="7"/>
      <c r="AB330" s="7"/>
    </row>
    <row r="331" spans="1:28" ht="21" customHeight="1">
      <c r="A331" s="510" t="s">
        <v>719</v>
      </c>
      <c r="B331" s="505" t="s">
        <v>720</v>
      </c>
      <c r="C331" s="664" t="s">
        <v>721</v>
      </c>
      <c r="D331" s="504" t="s">
        <v>717</v>
      </c>
      <c r="E331" s="213"/>
      <c r="F331" s="213"/>
      <c r="G331" s="213"/>
      <c r="H331" s="214"/>
      <c r="I331" s="214"/>
      <c r="J331" s="632">
        <v>1</v>
      </c>
      <c r="K331" s="362"/>
      <c r="L331" s="369"/>
      <c r="M331" s="392"/>
      <c r="N331" s="215"/>
      <c r="O331" s="616">
        <f t="shared" si="24"/>
        <v>1</v>
      </c>
      <c r="P331" s="633"/>
      <c r="Q331" s="654"/>
      <c r="R331" s="654"/>
      <c r="S331" s="7"/>
      <c r="T331" s="699"/>
      <c r="U331" s="7"/>
      <c r="V331" s="618">
        <f t="shared" ref="V331:V368" si="26">T331-O331</f>
        <v>-1</v>
      </c>
      <c r="W331" s="7"/>
      <c r="X331" s="7"/>
      <c r="Y331" s="7"/>
      <c r="Z331" s="7"/>
      <c r="AA331" s="7"/>
      <c r="AB331" s="7"/>
    </row>
    <row r="332" spans="1:28" ht="21" customHeight="1">
      <c r="A332" s="503" t="s">
        <v>722</v>
      </c>
      <c r="B332" s="483" t="s">
        <v>723</v>
      </c>
      <c r="C332" s="629" t="s">
        <v>131</v>
      </c>
      <c r="D332" s="504" t="s">
        <v>717</v>
      </c>
      <c r="E332" s="213"/>
      <c r="F332" s="213"/>
      <c r="G332" s="213"/>
      <c r="H332" s="214"/>
      <c r="I332" s="214"/>
      <c r="J332" s="632">
        <v>1</v>
      </c>
      <c r="K332" s="362"/>
      <c r="L332" s="369"/>
      <c r="M332" s="392"/>
      <c r="N332" s="215"/>
      <c r="O332" s="616">
        <f t="shared" si="24"/>
        <v>1</v>
      </c>
      <c r="P332" s="633"/>
      <c r="Q332" s="648"/>
      <c r="R332" s="648"/>
      <c r="S332" s="7"/>
      <c r="T332" s="699"/>
      <c r="U332" s="7"/>
      <c r="V332" s="618">
        <f t="shared" si="26"/>
        <v>-1</v>
      </c>
      <c r="W332" s="7"/>
      <c r="X332" s="7"/>
      <c r="Y332" s="7"/>
      <c r="Z332" s="7"/>
      <c r="AA332" s="7"/>
      <c r="AB332" s="7"/>
    </row>
    <row r="333" spans="1:28" ht="21" customHeight="1">
      <c r="A333" s="503" t="s">
        <v>724</v>
      </c>
      <c r="B333" s="483" t="s">
        <v>725</v>
      </c>
      <c r="C333" s="629" t="s">
        <v>200</v>
      </c>
      <c r="D333" s="504" t="s">
        <v>717</v>
      </c>
      <c r="E333" s="213"/>
      <c r="F333" s="213"/>
      <c r="G333" s="213"/>
      <c r="H333" s="214"/>
      <c r="I333" s="214"/>
      <c r="J333" s="632"/>
      <c r="K333" s="362"/>
      <c r="L333" s="369"/>
      <c r="M333" s="392"/>
      <c r="N333" s="215"/>
      <c r="O333" s="616">
        <f t="shared" si="24"/>
        <v>0</v>
      </c>
      <c r="P333" s="633"/>
      <c r="Q333" s="648"/>
      <c r="R333" s="648"/>
      <c r="S333" s="7"/>
      <c r="T333" s="699"/>
      <c r="U333" s="7"/>
      <c r="V333" s="618">
        <f t="shared" si="26"/>
        <v>0</v>
      </c>
      <c r="W333" s="7"/>
      <c r="X333" s="7"/>
      <c r="Y333" s="7"/>
      <c r="Z333" s="7"/>
      <c r="AA333" s="7"/>
      <c r="AB333" s="7"/>
    </row>
    <row r="334" spans="1:28" ht="21" customHeight="1">
      <c r="A334" s="503" t="s">
        <v>726</v>
      </c>
      <c r="B334" s="483" t="s">
        <v>727</v>
      </c>
      <c r="C334" s="629" t="s">
        <v>203</v>
      </c>
      <c r="D334" s="504" t="s">
        <v>717</v>
      </c>
      <c r="E334" s="213"/>
      <c r="F334" s="213"/>
      <c r="G334" s="213"/>
      <c r="H334" s="214"/>
      <c r="I334" s="214"/>
      <c r="J334" s="632"/>
      <c r="K334" s="362"/>
      <c r="L334" s="369"/>
      <c r="M334" s="392"/>
      <c r="N334" s="215"/>
      <c r="O334" s="616">
        <f t="shared" si="24"/>
        <v>0</v>
      </c>
      <c r="P334" s="633"/>
      <c r="Q334" s="648"/>
      <c r="R334" s="648"/>
      <c r="S334" s="7"/>
      <c r="T334" s="699"/>
      <c r="U334" s="7"/>
      <c r="V334" s="618">
        <f t="shared" si="26"/>
        <v>0</v>
      </c>
      <c r="W334" s="7"/>
      <c r="X334" s="7"/>
      <c r="Y334" s="7"/>
      <c r="Z334" s="7"/>
      <c r="AA334" s="7"/>
      <c r="AB334" s="7"/>
    </row>
    <row r="335" spans="1:28" ht="21" customHeight="1">
      <c r="A335" s="503" t="s">
        <v>728</v>
      </c>
      <c r="B335" s="483" t="s">
        <v>729</v>
      </c>
      <c r="C335" s="629" t="s">
        <v>159</v>
      </c>
      <c r="D335" s="504" t="s">
        <v>717</v>
      </c>
      <c r="E335" s="213"/>
      <c r="F335" s="213"/>
      <c r="G335" s="213"/>
      <c r="H335" s="214"/>
      <c r="I335" s="214"/>
      <c r="J335" s="632"/>
      <c r="K335" s="362"/>
      <c r="L335" s="369"/>
      <c r="M335" s="392"/>
      <c r="N335" s="215"/>
      <c r="O335" s="616">
        <f t="shared" si="24"/>
        <v>0</v>
      </c>
      <c r="P335" s="633"/>
      <c r="Q335" s="648"/>
      <c r="R335" s="648"/>
      <c r="S335" s="7"/>
      <c r="T335" s="699"/>
      <c r="U335" s="7"/>
      <c r="V335" s="618">
        <f t="shared" si="26"/>
        <v>0</v>
      </c>
      <c r="W335" s="7"/>
      <c r="X335" s="7"/>
      <c r="Y335" s="7"/>
      <c r="Z335" s="7"/>
      <c r="AA335" s="7"/>
      <c r="AB335" s="7"/>
    </row>
    <row r="336" spans="1:28" ht="21" customHeight="1">
      <c r="A336" s="510" t="s">
        <v>730</v>
      </c>
      <c r="B336" s="505" t="s">
        <v>731</v>
      </c>
      <c r="C336" s="664" t="s">
        <v>732</v>
      </c>
      <c r="D336" s="512" t="s">
        <v>717</v>
      </c>
      <c r="E336" s="213"/>
      <c r="F336" s="213"/>
      <c r="G336" s="213"/>
      <c r="H336" s="214"/>
      <c r="I336" s="214"/>
      <c r="J336" s="632"/>
      <c r="K336" s="362"/>
      <c r="L336" s="369"/>
      <c r="M336" s="392"/>
      <c r="N336" s="215"/>
      <c r="O336" s="616">
        <f t="shared" si="24"/>
        <v>0</v>
      </c>
      <c r="P336" s="633"/>
      <c r="Q336" s="654"/>
      <c r="R336" s="654"/>
      <c r="S336" s="7"/>
      <c r="T336" s="699"/>
      <c r="U336" s="7"/>
      <c r="V336" s="618">
        <f t="shared" si="26"/>
        <v>0</v>
      </c>
      <c r="W336" s="7"/>
      <c r="X336" s="7"/>
      <c r="Y336" s="7"/>
      <c r="Z336" s="7"/>
      <c r="AA336" s="7"/>
      <c r="AB336" s="7"/>
    </row>
    <row r="337" spans="1:28" ht="21" customHeight="1">
      <c r="A337" s="503" t="s">
        <v>733</v>
      </c>
      <c r="B337" s="483" t="s">
        <v>734</v>
      </c>
      <c r="C337" s="629" t="s">
        <v>131</v>
      </c>
      <c r="D337" s="504" t="s">
        <v>717</v>
      </c>
      <c r="E337" s="213"/>
      <c r="F337" s="213"/>
      <c r="G337" s="213"/>
      <c r="H337" s="214"/>
      <c r="I337" s="214"/>
      <c r="J337" s="632"/>
      <c r="K337" s="362"/>
      <c r="L337" s="369"/>
      <c r="M337" s="392"/>
      <c r="N337" s="215"/>
      <c r="O337" s="616">
        <f t="shared" si="24"/>
        <v>0</v>
      </c>
      <c r="P337" s="633"/>
      <c r="Q337" s="654"/>
      <c r="R337" s="654"/>
      <c r="S337" s="7"/>
      <c r="T337" s="699"/>
      <c r="U337" s="7"/>
      <c r="V337" s="618">
        <f t="shared" si="26"/>
        <v>0</v>
      </c>
      <c r="W337" s="7"/>
      <c r="X337" s="7"/>
      <c r="Y337" s="7"/>
      <c r="Z337" s="7"/>
      <c r="AA337" s="7"/>
      <c r="AB337" s="7"/>
    </row>
    <row r="338" spans="1:28" ht="21" customHeight="1">
      <c r="A338" s="503" t="s">
        <v>735</v>
      </c>
      <c r="B338" s="483" t="s">
        <v>736</v>
      </c>
      <c r="C338" s="629" t="s">
        <v>200</v>
      </c>
      <c r="D338" s="504" t="s">
        <v>717</v>
      </c>
      <c r="E338" s="213"/>
      <c r="F338" s="213"/>
      <c r="G338" s="213"/>
      <c r="H338" s="214"/>
      <c r="I338" s="214"/>
      <c r="J338" s="632"/>
      <c r="K338" s="362"/>
      <c r="L338" s="369"/>
      <c r="M338" s="392"/>
      <c r="N338" s="215"/>
      <c r="O338" s="616">
        <f t="shared" si="24"/>
        <v>0</v>
      </c>
      <c r="P338" s="633"/>
      <c r="Q338" s="654"/>
      <c r="R338" s="654"/>
      <c r="S338" s="7"/>
      <c r="T338" s="699"/>
      <c r="U338" s="7"/>
      <c r="V338" s="618">
        <f t="shared" si="26"/>
        <v>0</v>
      </c>
      <c r="W338" s="7"/>
      <c r="X338" s="7"/>
      <c r="Y338" s="7"/>
      <c r="Z338" s="7"/>
      <c r="AA338" s="7"/>
      <c r="AB338" s="7"/>
    </row>
    <row r="339" spans="1:28" ht="21" customHeight="1">
      <c r="A339" s="503" t="s">
        <v>737</v>
      </c>
      <c r="B339" s="483" t="s">
        <v>738</v>
      </c>
      <c r="C339" s="629" t="s">
        <v>203</v>
      </c>
      <c r="D339" s="504" t="s">
        <v>717</v>
      </c>
      <c r="E339" s="213"/>
      <c r="F339" s="213"/>
      <c r="G339" s="213"/>
      <c r="H339" s="214"/>
      <c r="I339" s="214"/>
      <c r="J339" s="632"/>
      <c r="K339" s="362"/>
      <c r="L339" s="369"/>
      <c r="M339" s="392"/>
      <c r="N339" s="215"/>
      <c r="O339" s="616">
        <f t="shared" si="24"/>
        <v>0</v>
      </c>
      <c r="P339" s="633"/>
      <c r="Q339" s="654"/>
      <c r="R339" s="654"/>
      <c r="S339" s="7"/>
      <c r="T339" s="699"/>
      <c r="U339" s="7"/>
      <c r="V339" s="618">
        <f t="shared" si="26"/>
        <v>0</v>
      </c>
      <c r="W339" s="7"/>
      <c r="X339" s="7"/>
      <c r="Y339" s="7"/>
      <c r="Z339" s="7"/>
      <c r="AA339" s="7"/>
      <c r="AB339" s="7"/>
    </row>
    <row r="340" spans="1:28" ht="21" customHeight="1">
      <c r="A340" s="503" t="s">
        <v>739</v>
      </c>
      <c r="B340" s="483" t="s">
        <v>740</v>
      </c>
      <c r="C340" s="629" t="s">
        <v>159</v>
      </c>
      <c r="D340" s="504" t="s">
        <v>717</v>
      </c>
      <c r="E340" s="213"/>
      <c r="F340" s="213"/>
      <c r="G340" s="213"/>
      <c r="H340" s="214"/>
      <c r="I340" s="214"/>
      <c r="J340" s="632"/>
      <c r="K340" s="362"/>
      <c r="L340" s="369"/>
      <c r="M340" s="392"/>
      <c r="N340" s="215"/>
      <c r="O340" s="616">
        <f t="shared" si="24"/>
        <v>0</v>
      </c>
      <c r="P340" s="633"/>
      <c r="Q340" s="648"/>
      <c r="R340" s="648"/>
      <c r="S340" s="7"/>
      <c r="T340" s="699"/>
      <c r="U340" s="7"/>
      <c r="V340" s="618">
        <f t="shared" si="26"/>
        <v>0</v>
      </c>
      <c r="W340" s="7"/>
      <c r="X340" s="7"/>
      <c r="Y340" s="7"/>
      <c r="Z340" s="7"/>
      <c r="AA340" s="7"/>
      <c r="AB340" s="7"/>
    </row>
    <row r="341" spans="1:28" ht="21" customHeight="1">
      <c r="A341" s="510" t="s">
        <v>741</v>
      </c>
      <c r="B341" s="505" t="s">
        <v>742</v>
      </c>
      <c r="C341" s="664" t="s">
        <v>743</v>
      </c>
      <c r="D341" s="512" t="s">
        <v>717</v>
      </c>
      <c r="E341" s="213"/>
      <c r="F341" s="213"/>
      <c r="G341" s="213"/>
      <c r="H341" s="214"/>
      <c r="I341" s="214"/>
      <c r="J341" s="632"/>
      <c r="K341" s="362"/>
      <c r="L341" s="369"/>
      <c r="M341" s="392"/>
      <c r="N341" s="215"/>
      <c r="O341" s="616">
        <f t="shared" si="24"/>
        <v>0</v>
      </c>
      <c r="P341" s="633"/>
      <c r="Q341" s="654"/>
      <c r="R341" s="654"/>
      <c r="S341" s="7"/>
      <c r="T341" s="699"/>
      <c r="U341" s="7"/>
      <c r="V341" s="618">
        <f t="shared" si="26"/>
        <v>0</v>
      </c>
      <c r="W341" s="7"/>
      <c r="X341" s="7"/>
      <c r="Y341" s="7"/>
      <c r="Z341" s="7"/>
      <c r="AA341" s="7"/>
      <c r="AB341" s="7"/>
    </row>
    <row r="342" spans="1:28" ht="21" customHeight="1">
      <c r="A342" s="503" t="s">
        <v>744</v>
      </c>
      <c r="B342" s="483" t="s">
        <v>720</v>
      </c>
      <c r="C342" s="629" t="s">
        <v>131</v>
      </c>
      <c r="D342" s="504" t="s">
        <v>717</v>
      </c>
      <c r="E342" s="213"/>
      <c r="F342" s="213"/>
      <c r="G342" s="213"/>
      <c r="H342" s="214"/>
      <c r="I342" s="214"/>
      <c r="J342" s="632"/>
      <c r="K342" s="362"/>
      <c r="L342" s="369"/>
      <c r="M342" s="392"/>
      <c r="N342" s="215"/>
      <c r="O342" s="616">
        <f t="shared" si="24"/>
        <v>0</v>
      </c>
      <c r="P342" s="633"/>
      <c r="Q342" s="654"/>
      <c r="R342" s="654"/>
      <c r="S342" s="7"/>
      <c r="T342" s="699"/>
      <c r="U342" s="7"/>
      <c r="V342" s="618">
        <f t="shared" si="26"/>
        <v>0</v>
      </c>
      <c r="W342" s="7"/>
      <c r="X342" s="7"/>
      <c r="Y342" s="7"/>
      <c r="Z342" s="7"/>
      <c r="AA342" s="7"/>
      <c r="AB342" s="7"/>
    </row>
    <row r="343" spans="1:28" ht="21" customHeight="1">
      <c r="A343" s="503" t="s">
        <v>745</v>
      </c>
      <c r="B343" s="483" t="s">
        <v>731</v>
      </c>
      <c r="C343" s="629" t="s">
        <v>200</v>
      </c>
      <c r="D343" s="504" t="s">
        <v>717</v>
      </c>
      <c r="E343" s="213"/>
      <c r="F343" s="213"/>
      <c r="G343" s="213"/>
      <c r="H343" s="214"/>
      <c r="I343" s="214"/>
      <c r="J343" s="632"/>
      <c r="K343" s="362"/>
      <c r="L343" s="369"/>
      <c r="M343" s="392"/>
      <c r="N343" s="215"/>
      <c r="O343" s="616">
        <f t="shared" si="24"/>
        <v>0</v>
      </c>
      <c r="P343" s="633"/>
      <c r="Q343" s="654"/>
      <c r="R343" s="654"/>
      <c r="S343" s="7"/>
      <c r="T343" s="699"/>
      <c r="U343" s="7"/>
      <c r="V343" s="618">
        <f t="shared" si="26"/>
        <v>0</v>
      </c>
      <c r="W343" s="7"/>
      <c r="X343" s="7"/>
      <c r="Y343" s="7"/>
      <c r="Z343" s="7"/>
      <c r="AA343" s="7"/>
      <c r="AB343" s="7"/>
    </row>
    <row r="344" spans="1:28" ht="21" customHeight="1">
      <c r="A344" s="503" t="s">
        <v>746</v>
      </c>
      <c r="B344" s="483" t="s">
        <v>742</v>
      </c>
      <c r="C344" s="629" t="s">
        <v>203</v>
      </c>
      <c r="D344" s="504" t="s">
        <v>717</v>
      </c>
      <c r="E344" s="213"/>
      <c r="F344" s="213"/>
      <c r="G344" s="213"/>
      <c r="H344" s="214"/>
      <c r="I344" s="214"/>
      <c r="J344" s="632"/>
      <c r="K344" s="362"/>
      <c r="L344" s="369"/>
      <c r="M344" s="392"/>
      <c r="N344" s="215"/>
      <c r="O344" s="616">
        <f t="shared" si="24"/>
        <v>0</v>
      </c>
      <c r="P344" s="633"/>
      <c r="Q344" s="654"/>
      <c r="R344" s="654"/>
      <c r="S344" s="7"/>
      <c r="T344" s="699"/>
      <c r="U344" s="7"/>
      <c r="V344" s="618">
        <f t="shared" si="26"/>
        <v>0</v>
      </c>
      <c r="W344" s="7"/>
      <c r="X344" s="7"/>
      <c r="Y344" s="7"/>
      <c r="Z344" s="7"/>
      <c r="AA344" s="7"/>
      <c r="AB344" s="7"/>
    </row>
    <row r="345" spans="1:28" ht="21" customHeight="1">
      <c r="A345" s="503" t="s">
        <v>747</v>
      </c>
      <c r="B345" s="483" t="s">
        <v>748</v>
      </c>
      <c r="C345" s="629" t="s">
        <v>159</v>
      </c>
      <c r="D345" s="504" t="s">
        <v>717</v>
      </c>
      <c r="E345" s="213"/>
      <c r="F345" s="213"/>
      <c r="G345" s="213"/>
      <c r="H345" s="214"/>
      <c r="I345" s="214"/>
      <c r="J345" s="632"/>
      <c r="K345" s="362"/>
      <c r="L345" s="369"/>
      <c r="M345" s="392"/>
      <c r="N345" s="215"/>
      <c r="O345" s="616">
        <f t="shared" si="24"/>
        <v>0</v>
      </c>
      <c r="P345" s="633"/>
      <c r="Q345" s="654"/>
      <c r="R345" s="654"/>
      <c r="S345" s="7"/>
      <c r="T345" s="699"/>
      <c r="U345" s="7"/>
      <c r="V345" s="618">
        <f t="shared" si="26"/>
        <v>0</v>
      </c>
      <c r="W345" s="7"/>
      <c r="X345" s="7"/>
      <c r="Y345" s="7"/>
      <c r="Z345" s="7"/>
      <c r="AA345" s="7"/>
      <c r="AB345" s="7"/>
    </row>
    <row r="346" spans="1:28" ht="39" customHeight="1">
      <c r="A346" s="486">
        <v>10.8</v>
      </c>
      <c r="B346" s="487" t="s">
        <v>749</v>
      </c>
      <c r="C346" s="656" t="s">
        <v>750</v>
      </c>
      <c r="D346" s="515" t="s">
        <v>183</v>
      </c>
      <c r="E346" s="213"/>
      <c r="F346" s="213"/>
      <c r="G346" s="213"/>
      <c r="H346" s="214"/>
      <c r="I346" s="214"/>
      <c r="J346" s="632"/>
      <c r="K346" s="362"/>
      <c r="L346" s="369"/>
      <c r="M346" s="392"/>
      <c r="N346" s="215"/>
      <c r="O346" s="616">
        <f t="shared" si="24"/>
        <v>0</v>
      </c>
      <c r="P346" s="633"/>
      <c r="Q346" s="636"/>
      <c r="R346" s="636"/>
      <c r="S346" s="7"/>
      <c r="T346" s="699"/>
      <c r="U346" s="7"/>
      <c r="V346" s="618">
        <f t="shared" si="26"/>
        <v>0</v>
      </c>
      <c r="W346" s="7"/>
      <c r="X346" s="7"/>
      <c r="Y346" s="7"/>
      <c r="Z346" s="7"/>
      <c r="AA346" s="7"/>
      <c r="AB346" s="7"/>
    </row>
    <row r="347" spans="1:28" ht="21" customHeight="1">
      <c r="A347" s="503" t="s">
        <v>751</v>
      </c>
      <c r="B347" s="483" t="s">
        <v>752</v>
      </c>
      <c r="C347" s="629" t="s">
        <v>131</v>
      </c>
      <c r="D347" s="515" t="s">
        <v>183</v>
      </c>
      <c r="E347" s="213"/>
      <c r="F347" s="213"/>
      <c r="G347" s="213"/>
      <c r="H347" s="214"/>
      <c r="I347" s="214"/>
      <c r="J347" s="632"/>
      <c r="K347" s="362"/>
      <c r="L347" s="369"/>
      <c r="M347" s="392"/>
      <c r="N347" s="215"/>
      <c r="O347" s="616">
        <f t="shared" si="24"/>
        <v>0</v>
      </c>
      <c r="P347" s="633"/>
      <c r="Q347" s="636"/>
      <c r="R347" s="636"/>
      <c r="S347" s="7"/>
      <c r="T347" s="699"/>
      <c r="U347" s="7"/>
      <c r="V347" s="618">
        <f t="shared" si="26"/>
        <v>0</v>
      </c>
      <c r="W347" s="7"/>
      <c r="X347" s="7"/>
      <c r="Y347" s="7"/>
      <c r="Z347" s="7"/>
      <c r="AA347" s="7"/>
      <c r="AB347" s="7"/>
    </row>
    <row r="348" spans="1:28" ht="21" customHeight="1">
      <c r="A348" s="503" t="s">
        <v>753</v>
      </c>
      <c r="B348" s="483" t="s">
        <v>754</v>
      </c>
      <c r="C348" s="629" t="s">
        <v>200</v>
      </c>
      <c r="D348" s="515" t="s">
        <v>183</v>
      </c>
      <c r="E348" s="213"/>
      <c r="F348" s="213"/>
      <c r="G348" s="213"/>
      <c r="H348" s="214"/>
      <c r="I348" s="214"/>
      <c r="J348" s="632"/>
      <c r="K348" s="362"/>
      <c r="L348" s="369"/>
      <c r="M348" s="392"/>
      <c r="N348" s="215"/>
      <c r="O348" s="616">
        <f t="shared" si="24"/>
        <v>0</v>
      </c>
      <c r="P348" s="633"/>
      <c r="Q348" s="636"/>
      <c r="R348" s="636"/>
      <c r="S348" s="7"/>
      <c r="T348" s="699"/>
      <c r="U348" s="7"/>
      <c r="V348" s="618">
        <f t="shared" si="26"/>
        <v>0</v>
      </c>
      <c r="W348" s="7"/>
      <c r="X348" s="7"/>
      <c r="Y348" s="7"/>
      <c r="Z348" s="7"/>
      <c r="AA348" s="7"/>
      <c r="AB348" s="7"/>
    </row>
    <row r="349" spans="1:28" ht="21" customHeight="1">
      <c r="A349" s="503" t="s">
        <v>755</v>
      </c>
      <c r="B349" s="483" t="s">
        <v>756</v>
      </c>
      <c r="C349" s="629" t="s">
        <v>203</v>
      </c>
      <c r="D349" s="515" t="s">
        <v>183</v>
      </c>
      <c r="E349" s="213"/>
      <c r="F349" s="213"/>
      <c r="G349" s="213"/>
      <c r="H349" s="214"/>
      <c r="I349" s="214"/>
      <c r="J349" s="632"/>
      <c r="K349" s="362"/>
      <c r="L349" s="369"/>
      <c r="M349" s="392"/>
      <c r="N349" s="215"/>
      <c r="O349" s="616">
        <f t="shared" si="24"/>
        <v>0</v>
      </c>
      <c r="P349" s="633"/>
      <c r="Q349" s="636"/>
      <c r="R349" s="636"/>
      <c r="S349" s="7"/>
      <c r="T349" s="699"/>
      <c r="U349" s="7"/>
      <c r="V349" s="618">
        <f t="shared" si="26"/>
        <v>0</v>
      </c>
      <c r="W349" s="7"/>
      <c r="X349" s="7"/>
      <c r="Y349" s="7"/>
      <c r="Z349" s="7"/>
      <c r="AA349" s="7"/>
      <c r="AB349" s="7"/>
    </row>
    <row r="350" spans="1:28" ht="21" customHeight="1">
      <c r="A350" s="503" t="s">
        <v>757</v>
      </c>
      <c r="B350" s="483" t="s">
        <v>758</v>
      </c>
      <c r="C350" s="629" t="s">
        <v>159</v>
      </c>
      <c r="D350" s="515" t="s">
        <v>183</v>
      </c>
      <c r="E350" s="213"/>
      <c r="F350" s="213"/>
      <c r="G350" s="213"/>
      <c r="H350" s="214"/>
      <c r="I350" s="214"/>
      <c r="J350" s="632"/>
      <c r="K350" s="362"/>
      <c r="L350" s="369"/>
      <c r="M350" s="392"/>
      <c r="N350" s="215"/>
      <c r="O350" s="616">
        <f t="shared" si="24"/>
        <v>0</v>
      </c>
      <c r="P350" s="633"/>
      <c r="Q350" s="636"/>
      <c r="R350" s="636"/>
      <c r="S350" s="7"/>
      <c r="T350" s="699"/>
      <c r="U350" s="7"/>
      <c r="V350" s="618">
        <f t="shared" si="26"/>
        <v>0</v>
      </c>
      <c r="W350" s="7"/>
      <c r="X350" s="7"/>
      <c r="Y350" s="7"/>
      <c r="Z350" s="7"/>
      <c r="AA350" s="7"/>
      <c r="AB350" s="7"/>
    </row>
    <row r="351" spans="1:28" ht="21" customHeight="1">
      <c r="A351" s="486">
        <v>10.9</v>
      </c>
      <c r="B351" s="487" t="s">
        <v>641</v>
      </c>
      <c r="C351" s="656" t="s">
        <v>759</v>
      </c>
      <c r="D351" s="513" t="s">
        <v>760</v>
      </c>
      <c r="E351" s="213"/>
      <c r="F351" s="213"/>
      <c r="G351" s="213"/>
      <c r="H351" s="214"/>
      <c r="I351" s="214"/>
      <c r="J351" s="632"/>
      <c r="K351" s="362"/>
      <c r="L351" s="369"/>
      <c r="M351" s="392"/>
      <c r="N351" s="215"/>
      <c r="O351" s="616">
        <f t="shared" si="24"/>
        <v>0</v>
      </c>
      <c r="P351" s="633"/>
      <c r="Q351" s="636"/>
      <c r="R351" s="636"/>
      <c r="S351" s="7"/>
      <c r="T351" s="699"/>
      <c r="U351" s="7"/>
      <c r="V351" s="618">
        <f t="shared" si="26"/>
        <v>0</v>
      </c>
      <c r="W351" s="7"/>
      <c r="X351" s="7"/>
      <c r="Y351" s="7"/>
      <c r="Z351" s="7"/>
      <c r="AA351" s="7"/>
      <c r="AB351" s="7"/>
    </row>
    <row r="352" spans="1:28" ht="21" customHeight="1">
      <c r="A352" s="486" t="s">
        <v>1081</v>
      </c>
      <c r="B352" s="521" t="s">
        <v>761</v>
      </c>
      <c r="C352" s="656" t="s">
        <v>762</v>
      </c>
      <c r="D352" s="515" t="s">
        <v>183</v>
      </c>
      <c r="E352" s="213"/>
      <c r="F352" s="213"/>
      <c r="G352" s="213"/>
      <c r="H352" s="214"/>
      <c r="I352" s="214"/>
      <c r="J352" s="632"/>
      <c r="K352" s="362"/>
      <c r="L352" s="369"/>
      <c r="M352" s="392"/>
      <c r="N352" s="215"/>
      <c r="O352" s="616">
        <f t="shared" si="24"/>
        <v>0</v>
      </c>
      <c r="P352" s="633"/>
      <c r="Q352" s="636"/>
      <c r="R352" s="636"/>
      <c r="S352" s="7"/>
      <c r="T352" s="699"/>
      <c r="U352" s="7"/>
      <c r="V352" s="618">
        <f t="shared" si="26"/>
        <v>0</v>
      </c>
      <c r="W352" s="7"/>
      <c r="X352" s="7"/>
      <c r="Y352" s="7"/>
      <c r="Z352" s="7"/>
      <c r="AA352" s="7"/>
      <c r="AB352" s="7"/>
    </row>
    <row r="353" spans="1:28" ht="18.75" customHeight="1">
      <c r="A353" s="489">
        <v>8</v>
      </c>
      <c r="B353" s="490" t="s">
        <v>5</v>
      </c>
      <c r="C353" s="637" t="s">
        <v>764</v>
      </c>
      <c r="D353" s="516"/>
      <c r="E353" s="213"/>
      <c r="F353" s="213"/>
      <c r="G353" s="213"/>
      <c r="H353" s="214"/>
      <c r="I353" s="214"/>
      <c r="J353" s="632"/>
      <c r="K353" s="362"/>
      <c r="L353" s="369"/>
      <c r="M353" s="392"/>
      <c r="N353" s="215"/>
      <c r="O353" s="616">
        <f t="shared" si="24"/>
        <v>0</v>
      </c>
      <c r="P353" s="633"/>
      <c r="Q353" s="640"/>
      <c r="R353" s="640"/>
      <c r="S353" s="7"/>
      <c r="T353" s="699"/>
      <c r="U353" s="7"/>
      <c r="V353" s="618">
        <f t="shared" si="26"/>
        <v>0</v>
      </c>
      <c r="W353" s="7"/>
      <c r="X353" s="7"/>
      <c r="Y353" s="7"/>
      <c r="Z353" s="7"/>
      <c r="AA353" s="7"/>
      <c r="AB353" s="7"/>
    </row>
    <row r="354" spans="1:28" ht="21.75" customHeight="1">
      <c r="A354" s="522"/>
      <c r="B354" s="488" t="s">
        <v>766</v>
      </c>
      <c r="C354" s="635" t="s">
        <v>1082</v>
      </c>
      <c r="D354" s="507" t="s">
        <v>132</v>
      </c>
      <c r="E354" s="213"/>
      <c r="F354" s="213"/>
      <c r="G354" s="213"/>
      <c r="H354" s="214"/>
      <c r="I354" s="214"/>
      <c r="J354" s="632"/>
      <c r="K354" s="362"/>
      <c r="L354" s="369"/>
      <c r="M354" s="392"/>
      <c r="N354" s="215"/>
      <c r="O354" s="616">
        <f t="shared" si="24"/>
        <v>0</v>
      </c>
      <c r="P354" s="633"/>
      <c r="Q354" s="547"/>
      <c r="R354" s="547"/>
      <c r="S354" s="7"/>
      <c r="T354" s="699"/>
      <c r="U354" s="7"/>
      <c r="V354" s="618">
        <f t="shared" si="26"/>
        <v>0</v>
      </c>
      <c r="W354" s="7"/>
      <c r="X354" s="7"/>
      <c r="Y354" s="7"/>
      <c r="Z354" s="7"/>
      <c r="AA354" s="7"/>
      <c r="AB354" s="7"/>
    </row>
    <row r="355" spans="1:28" ht="21.75" customHeight="1">
      <c r="A355" s="523"/>
      <c r="B355" s="488" t="s">
        <v>769</v>
      </c>
      <c r="C355" s="635" t="s">
        <v>770</v>
      </c>
      <c r="D355" s="507" t="s">
        <v>132</v>
      </c>
      <c r="E355" s="213"/>
      <c r="F355" s="213"/>
      <c r="G355" s="213"/>
      <c r="H355" s="214"/>
      <c r="I355" s="214"/>
      <c r="J355" s="632"/>
      <c r="K355" s="362"/>
      <c r="L355" s="369"/>
      <c r="M355" s="392"/>
      <c r="N355" s="215"/>
      <c r="O355" s="616">
        <f t="shared" si="24"/>
        <v>0</v>
      </c>
      <c r="P355" s="633"/>
      <c r="Q355" s="666"/>
      <c r="R355" s="666"/>
      <c r="S355" s="7"/>
      <c r="T355" s="699"/>
      <c r="U355" s="7"/>
      <c r="V355" s="618">
        <f t="shared" si="26"/>
        <v>0</v>
      </c>
      <c r="W355" s="7"/>
      <c r="X355" s="7"/>
      <c r="Y355" s="7"/>
      <c r="Z355" s="7"/>
      <c r="AA355" s="7"/>
      <c r="AB355" s="7"/>
    </row>
    <row r="356" spans="1:28" ht="21.75" customHeight="1">
      <c r="A356" s="522"/>
      <c r="B356" s="488" t="s">
        <v>772</v>
      </c>
      <c r="C356" s="635" t="s">
        <v>773</v>
      </c>
      <c r="D356" s="507" t="s">
        <v>132</v>
      </c>
      <c r="E356" s="213"/>
      <c r="F356" s="213"/>
      <c r="G356" s="213"/>
      <c r="H356" s="214"/>
      <c r="I356" s="214"/>
      <c r="J356" s="632"/>
      <c r="K356" s="362"/>
      <c r="L356" s="369"/>
      <c r="M356" s="392"/>
      <c r="N356" s="215"/>
      <c r="O356" s="616">
        <f t="shared" si="24"/>
        <v>0</v>
      </c>
      <c r="P356" s="633"/>
      <c r="Q356" s="666"/>
      <c r="R356" s="666"/>
      <c r="S356" s="7"/>
      <c r="T356" s="699"/>
      <c r="U356" s="7"/>
      <c r="V356" s="618">
        <f t="shared" si="26"/>
        <v>0</v>
      </c>
      <c r="W356" s="7"/>
      <c r="X356" s="7"/>
      <c r="Y356" s="7"/>
      <c r="Z356" s="7"/>
      <c r="AA356" s="7"/>
      <c r="AB356" s="7"/>
    </row>
    <row r="357" spans="1:28" ht="21.75" customHeight="1">
      <c r="A357" s="503" t="s">
        <v>775</v>
      </c>
      <c r="B357" s="524" t="s">
        <v>776</v>
      </c>
      <c r="C357" s="629" t="s">
        <v>131</v>
      </c>
      <c r="D357" s="525" t="s">
        <v>132</v>
      </c>
      <c r="E357" s="213"/>
      <c r="F357" s="213"/>
      <c r="G357" s="213"/>
      <c r="H357" s="214"/>
      <c r="I357" s="214"/>
      <c r="J357" s="632"/>
      <c r="K357" s="362"/>
      <c r="L357" s="369"/>
      <c r="M357" s="392"/>
      <c r="N357" s="215"/>
      <c r="O357" s="616">
        <f t="shared" si="24"/>
        <v>0</v>
      </c>
      <c r="P357" s="633"/>
      <c r="Q357" s="542"/>
      <c r="R357" s="542"/>
      <c r="S357" s="7"/>
      <c r="T357" s="699"/>
      <c r="U357" s="7"/>
      <c r="V357" s="618">
        <f t="shared" si="26"/>
        <v>0</v>
      </c>
      <c r="W357" s="7"/>
      <c r="X357" s="7"/>
      <c r="Y357" s="7"/>
      <c r="Z357" s="7"/>
      <c r="AA357" s="7"/>
      <c r="AB357" s="7"/>
    </row>
    <row r="358" spans="1:28" ht="21.75" customHeight="1">
      <c r="A358" s="503" t="s">
        <v>777</v>
      </c>
      <c r="B358" s="524" t="s">
        <v>778</v>
      </c>
      <c r="C358" s="629" t="s">
        <v>200</v>
      </c>
      <c r="D358" s="525" t="s">
        <v>132</v>
      </c>
      <c r="E358" s="213"/>
      <c r="F358" s="213"/>
      <c r="G358" s="213"/>
      <c r="H358" s="214"/>
      <c r="I358" s="214"/>
      <c r="J358" s="632"/>
      <c r="K358" s="362"/>
      <c r="L358" s="369"/>
      <c r="M358" s="392"/>
      <c r="N358" s="215"/>
      <c r="O358" s="616">
        <f t="shared" si="24"/>
        <v>0</v>
      </c>
      <c r="P358" s="633"/>
      <c r="Q358" s="542"/>
      <c r="R358" s="542"/>
      <c r="S358" s="7"/>
      <c r="T358" s="699"/>
      <c r="U358" s="7"/>
      <c r="V358" s="618">
        <f t="shared" si="26"/>
        <v>0</v>
      </c>
      <c r="W358" s="7"/>
      <c r="X358" s="7"/>
      <c r="Y358" s="7"/>
      <c r="Z358" s="7"/>
      <c r="AA358" s="7"/>
      <c r="AB358" s="7"/>
    </row>
    <row r="359" spans="1:28" ht="21.75" customHeight="1">
      <c r="A359" s="503" t="s">
        <v>779</v>
      </c>
      <c r="B359" s="524" t="s">
        <v>780</v>
      </c>
      <c r="C359" s="629" t="s">
        <v>203</v>
      </c>
      <c r="D359" s="525" t="s">
        <v>132</v>
      </c>
      <c r="E359" s="213"/>
      <c r="F359" s="213"/>
      <c r="G359" s="213"/>
      <c r="H359" s="214"/>
      <c r="I359" s="214"/>
      <c r="J359" s="632"/>
      <c r="K359" s="362"/>
      <c r="L359" s="369"/>
      <c r="M359" s="392"/>
      <c r="N359" s="215"/>
      <c r="O359" s="616">
        <f t="shared" si="24"/>
        <v>0</v>
      </c>
      <c r="P359" s="633"/>
      <c r="Q359" s="542"/>
      <c r="R359" s="542"/>
      <c r="S359" s="7"/>
      <c r="T359" s="699"/>
      <c r="U359" s="7"/>
      <c r="V359" s="618">
        <f t="shared" si="26"/>
        <v>0</v>
      </c>
      <c r="W359" s="7"/>
      <c r="X359" s="7"/>
      <c r="Y359" s="7"/>
      <c r="Z359" s="7"/>
      <c r="AA359" s="7"/>
      <c r="AB359" s="7"/>
    </row>
    <row r="360" spans="1:28" ht="21.75" customHeight="1">
      <c r="A360" s="503" t="s">
        <v>781</v>
      </c>
      <c r="B360" s="524" t="s">
        <v>782</v>
      </c>
      <c r="C360" s="629" t="s">
        <v>159</v>
      </c>
      <c r="D360" s="525" t="s">
        <v>132</v>
      </c>
      <c r="E360" s="213"/>
      <c r="F360" s="213"/>
      <c r="G360" s="213"/>
      <c r="H360" s="214"/>
      <c r="I360" s="214"/>
      <c r="J360" s="632"/>
      <c r="K360" s="362"/>
      <c r="L360" s="369"/>
      <c r="M360" s="392"/>
      <c r="N360" s="215"/>
      <c r="O360" s="616">
        <f t="shared" si="24"/>
        <v>0</v>
      </c>
      <c r="P360" s="633"/>
      <c r="Q360" s="542"/>
      <c r="R360" s="542"/>
      <c r="S360" s="7"/>
      <c r="T360" s="699"/>
      <c r="U360" s="7"/>
      <c r="V360" s="618">
        <f t="shared" si="26"/>
        <v>0</v>
      </c>
      <c r="W360" s="7"/>
      <c r="X360" s="7"/>
      <c r="Y360" s="7"/>
      <c r="Z360" s="7"/>
      <c r="AA360" s="7"/>
      <c r="AB360" s="7"/>
    </row>
    <row r="361" spans="1:28" ht="21.75" customHeight="1">
      <c r="A361" s="510">
        <v>11.4</v>
      </c>
      <c r="B361" s="526" t="s">
        <v>783</v>
      </c>
      <c r="C361" s="635" t="s">
        <v>784</v>
      </c>
      <c r="D361" s="515" t="s">
        <v>183</v>
      </c>
      <c r="E361" s="213"/>
      <c r="F361" s="213"/>
      <c r="G361" s="213"/>
      <c r="H361" s="214"/>
      <c r="I361" s="214"/>
      <c r="J361" s="632"/>
      <c r="K361" s="362"/>
      <c r="L361" s="369"/>
      <c r="M361" s="392"/>
      <c r="N361" s="215"/>
      <c r="O361" s="616">
        <f t="shared" si="24"/>
        <v>0</v>
      </c>
      <c r="P361" s="633"/>
      <c r="Q361" s="547"/>
      <c r="R361" s="547"/>
      <c r="S361" s="7"/>
      <c r="T361" s="699"/>
      <c r="U361" s="7"/>
      <c r="V361" s="618">
        <f t="shared" si="26"/>
        <v>0</v>
      </c>
      <c r="W361" s="7"/>
      <c r="X361" s="7"/>
      <c r="Y361" s="7"/>
      <c r="Z361" s="7"/>
      <c r="AA361" s="7"/>
      <c r="AB361" s="7"/>
    </row>
    <row r="362" spans="1:28" ht="21.75" customHeight="1">
      <c r="A362" s="503" t="s">
        <v>786</v>
      </c>
      <c r="B362" s="524" t="s">
        <v>787</v>
      </c>
      <c r="C362" s="629" t="s">
        <v>131</v>
      </c>
      <c r="D362" s="515" t="s">
        <v>183</v>
      </c>
      <c r="E362" s="213"/>
      <c r="F362" s="213"/>
      <c r="G362" s="213"/>
      <c r="H362" s="214"/>
      <c r="I362" s="214"/>
      <c r="J362" s="632"/>
      <c r="K362" s="362"/>
      <c r="L362" s="369"/>
      <c r="M362" s="392"/>
      <c r="N362" s="215"/>
      <c r="O362" s="616">
        <f t="shared" si="24"/>
        <v>0</v>
      </c>
      <c r="P362" s="633"/>
      <c r="Q362" s="241"/>
      <c r="R362" s="241"/>
      <c r="S362" s="7"/>
      <c r="T362" s="699"/>
      <c r="U362" s="7"/>
      <c r="V362" s="618">
        <f t="shared" si="26"/>
        <v>0</v>
      </c>
      <c r="W362" s="7"/>
      <c r="X362" s="7"/>
      <c r="Y362" s="7"/>
      <c r="Z362" s="7"/>
      <c r="AA362" s="7"/>
      <c r="AB362" s="7"/>
    </row>
    <row r="363" spans="1:28" ht="21.75" customHeight="1">
      <c r="A363" s="503" t="s">
        <v>788</v>
      </c>
      <c r="B363" s="524" t="s">
        <v>789</v>
      </c>
      <c r="C363" s="629" t="s">
        <v>200</v>
      </c>
      <c r="D363" s="515" t="s">
        <v>183</v>
      </c>
      <c r="E363" s="213"/>
      <c r="F363" s="213"/>
      <c r="G363" s="213"/>
      <c r="H363" s="214"/>
      <c r="I363" s="214"/>
      <c r="J363" s="632"/>
      <c r="K363" s="362"/>
      <c r="L363" s="369"/>
      <c r="M363" s="392"/>
      <c r="N363" s="215"/>
      <c r="O363" s="616">
        <f t="shared" si="24"/>
        <v>0</v>
      </c>
      <c r="P363" s="633"/>
      <c r="Q363" s="241"/>
      <c r="R363" s="241"/>
      <c r="S363" s="7"/>
      <c r="T363" s="699"/>
      <c r="U363" s="7"/>
      <c r="V363" s="618">
        <f t="shared" si="26"/>
        <v>0</v>
      </c>
      <c r="W363" s="7"/>
      <c r="X363" s="7"/>
      <c r="Y363" s="7"/>
      <c r="Z363" s="7"/>
      <c r="AA363" s="7"/>
      <c r="AB363" s="7"/>
    </row>
    <row r="364" spans="1:28" ht="21.75" customHeight="1">
      <c r="A364" s="503" t="s">
        <v>790</v>
      </c>
      <c r="B364" s="524" t="s">
        <v>791</v>
      </c>
      <c r="C364" s="629" t="s">
        <v>203</v>
      </c>
      <c r="D364" s="515" t="s">
        <v>183</v>
      </c>
      <c r="E364" s="213"/>
      <c r="F364" s="213"/>
      <c r="G364" s="213"/>
      <c r="H364" s="214"/>
      <c r="I364" s="214"/>
      <c r="J364" s="632"/>
      <c r="K364" s="362"/>
      <c r="L364" s="369"/>
      <c r="M364" s="392"/>
      <c r="N364" s="215"/>
      <c r="O364" s="616">
        <f t="shared" si="24"/>
        <v>0</v>
      </c>
      <c r="P364" s="633"/>
      <c r="Q364" s="241"/>
      <c r="R364" s="241"/>
      <c r="S364" s="7"/>
      <c r="T364" s="699"/>
      <c r="U364" s="7"/>
      <c r="V364" s="618">
        <f t="shared" si="26"/>
        <v>0</v>
      </c>
      <c r="W364" s="7"/>
      <c r="X364" s="7"/>
      <c r="Y364" s="7"/>
      <c r="Z364" s="7"/>
      <c r="AA364" s="7"/>
      <c r="AB364" s="7"/>
    </row>
    <row r="365" spans="1:28" ht="21.75" customHeight="1">
      <c r="A365" s="503" t="s">
        <v>792</v>
      </c>
      <c r="B365" s="524" t="s">
        <v>793</v>
      </c>
      <c r="C365" s="629" t="s">
        <v>159</v>
      </c>
      <c r="D365" s="515" t="s">
        <v>183</v>
      </c>
      <c r="E365" s="213"/>
      <c r="F365" s="213"/>
      <c r="G365" s="213"/>
      <c r="H365" s="214"/>
      <c r="I365" s="214"/>
      <c r="J365" s="632"/>
      <c r="K365" s="362"/>
      <c r="L365" s="369"/>
      <c r="M365" s="392"/>
      <c r="N365" s="215"/>
      <c r="O365" s="616">
        <f t="shared" si="24"/>
        <v>0</v>
      </c>
      <c r="P365" s="633"/>
      <c r="Q365" s="241"/>
      <c r="R365" s="241"/>
      <c r="S365" s="7"/>
      <c r="T365" s="699"/>
      <c r="U365" s="7"/>
      <c r="V365" s="618">
        <f t="shared" si="26"/>
        <v>0</v>
      </c>
      <c r="W365" s="7"/>
      <c r="X365" s="7"/>
      <c r="Y365" s="7"/>
      <c r="Z365" s="7"/>
      <c r="AA365" s="7"/>
      <c r="AB365" s="7"/>
    </row>
    <row r="366" spans="1:28" ht="30" customHeight="1">
      <c r="A366" s="522">
        <v>11.5</v>
      </c>
      <c r="B366" s="488" t="s">
        <v>794</v>
      </c>
      <c r="C366" s="635" t="s">
        <v>795</v>
      </c>
      <c r="D366" s="515" t="s">
        <v>183</v>
      </c>
      <c r="E366" s="213"/>
      <c r="F366" s="213"/>
      <c r="G366" s="213"/>
      <c r="H366" s="214"/>
      <c r="I366" s="214"/>
      <c r="J366" s="632"/>
      <c r="K366" s="362"/>
      <c r="L366" s="369"/>
      <c r="M366" s="392"/>
      <c r="N366" s="215"/>
      <c r="O366" s="616">
        <f t="shared" si="24"/>
        <v>0</v>
      </c>
      <c r="P366" s="633"/>
      <c r="Q366" s="547"/>
      <c r="R366" s="547"/>
      <c r="S366" s="7"/>
      <c r="T366" s="699"/>
      <c r="U366" s="7"/>
      <c r="V366" s="618">
        <f t="shared" si="26"/>
        <v>0</v>
      </c>
      <c r="W366" s="7"/>
      <c r="X366" s="7"/>
      <c r="Y366" s="7"/>
      <c r="Z366" s="7"/>
      <c r="AA366" s="7"/>
      <c r="AB366" s="7"/>
    </row>
    <row r="367" spans="1:28" ht="30" customHeight="1">
      <c r="A367" s="523">
        <v>11.6</v>
      </c>
      <c r="B367" s="488" t="s">
        <v>797</v>
      </c>
      <c r="C367" s="635" t="s">
        <v>798</v>
      </c>
      <c r="D367" s="515" t="s">
        <v>183</v>
      </c>
      <c r="E367" s="213"/>
      <c r="F367" s="213"/>
      <c r="G367" s="213"/>
      <c r="H367" s="214"/>
      <c r="I367" s="214"/>
      <c r="J367" s="632"/>
      <c r="K367" s="362"/>
      <c r="L367" s="369"/>
      <c r="M367" s="392"/>
      <c r="N367" s="215"/>
      <c r="O367" s="616">
        <f t="shared" si="24"/>
        <v>0</v>
      </c>
      <c r="P367" s="633"/>
      <c r="Q367" s="547"/>
      <c r="R367" s="547"/>
      <c r="S367" s="7"/>
      <c r="T367" s="699"/>
      <c r="U367" s="7"/>
      <c r="V367" s="618">
        <f t="shared" si="26"/>
        <v>0</v>
      </c>
      <c r="W367" s="7"/>
      <c r="X367" s="7"/>
      <c r="Y367" s="7"/>
      <c r="Z367" s="7"/>
      <c r="AA367" s="7"/>
      <c r="AB367" s="7"/>
    </row>
    <row r="368" spans="1:28" ht="18.75" customHeight="1">
      <c r="A368" s="489">
        <v>9</v>
      </c>
      <c r="B368" s="490" t="s">
        <v>800</v>
      </c>
      <c r="C368" s="637" t="s">
        <v>801</v>
      </c>
      <c r="D368" s="516"/>
      <c r="E368" s="213"/>
      <c r="F368" s="213"/>
      <c r="G368" s="213"/>
      <c r="H368" s="214"/>
      <c r="I368" s="214"/>
      <c r="J368" s="632"/>
      <c r="K368" s="362"/>
      <c r="L368" s="369"/>
      <c r="M368" s="392"/>
      <c r="N368" s="215"/>
      <c r="O368" s="616">
        <f t="shared" si="24"/>
        <v>0</v>
      </c>
      <c r="P368" s="633"/>
      <c r="Q368" s="640"/>
      <c r="R368" s="640"/>
      <c r="S368" s="7"/>
      <c r="T368" s="699"/>
      <c r="U368" s="7"/>
      <c r="V368" s="618">
        <f t="shared" si="26"/>
        <v>0</v>
      </c>
      <c r="W368" s="7"/>
      <c r="X368" s="7"/>
      <c r="Y368" s="7"/>
      <c r="Z368" s="7"/>
      <c r="AA368" s="7"/>
      <c r="AB368" s="7"/>
    </row>
    <row r="369" spans="1:28" ht="21.75" customHeight="1">
      <c r="A369" s="486"/>
      <c r="B369" s="487" t="s">
        <v>803</v>
      </c>
      <c r="C369" s="635" t="s">
        <v>1083</v>
      </c>
      <c r="D369" s="412" t="s">
        <v>805</v>
      </c>
      <c r="E369" s="213"/>
      <c r="F369" s="213"/>
      <c r="G369" s="213"/>
      <c r="H369" s="214"/>
      <c r="I369" s="214"/>
      <c r="J369" s="632"/>
      <c r="K369" s="362">
        <v>7</v>
      </c>
      <c r="L369" s="369"/>
      <c r="M369" s="392">
        <v>1</v>
      </c>
      <c r="N369" s="215"/>
      <c r="O369" s="616">
        <f t="shared" si="24"/>
        <v>8</v>
      </c>
      <c r="P369" s="633"/>
      <c r="Q369" s="636"/>
      <c r="R369" s="636"/>
      <c r="S369" s="7"/>
      <c r="T369" s="699"/>
      <c r="U369" s="7"/>
      <c r="V369" s="618"/>
      <c r="W369" s="7"/>
      <c r="X369" s="7"/>
      <c r="Y369" s="7"/>
      <c r="Z369" s="7"/>
      <c r="AA369" s="7"/>
      <c r="AB369" s="7"/>
    </row>
    <row r="370" spans="1:28" ht="21.75" customHeight="1">
      <c r="A370" s="503"/>
      <c r="B370" s="483" t="s">
        <v>807</v>
      </c>
      <c r="C370" s="629" t="s">
        <v>808</v>
      </c>
      <c r="D370" s="504" t="s">
        <v>132</v>
      </c>
      <c r="E370" s="213"/>
      <c r="F370" s="213"/>
      <c r="G370" s="213"/>
      <c r="H370" s="214"/>
      <c r="I370" s="214"/>
      <c r="J370" s="668"/>
      <c r="K370" s="362">
        <v>2</v>
      </c>
      <c r="L370" s="369"/>
      <c r="M370" s="392"/>
      <c r="N370" s="315"/>
      <c r="O370" s="616">
        <f t="shared" si="24"/>
        <v>2</v>
      </c>
      <c r="P370" s="633"/>
      <c r="Q370" s="648"/>
      <c r="R370" s="648"/>
      <c r="S370" s="7"/>
      <c r="T370" s="699"/>
      <c r="U370" s="7"/>
      <c r="V370" s="618"/>
      <c r="W370" s="7"/>
      <c r="X370" s="7"/>
      <c r="Y370" s="7"/>
      <c r="Z370" s="7"/>
      <c r="AA370" s="7"/>
      <c r="AB370" s="7"/>
    </row>
    <row r="371" spans="1:28" ht="21.75" customHeight="1">
      <c r="A371" s="503"/>
      <c r="B371" s="483" t="s">
        <v>810</v>
      </c>
      <c r="C371" s="629" t="s">
        <v>811</v>
      </c>
      <c r="D371" s="504" t="s">
        <v>132</v>
      </c>
      <c r="E371" s="213"/>
      <c r="F371" s="213"/>
      <c r="G371" s="213"/>
      <c r="H371" s="214"/>
      <c r="I371" s="214"/>
      <c r="J371" s="668"/>
      <c r="K371" s="362">
        <v>5</v>
      </c>
      <c r="L371" s="369"/>
      <c r="M371" s="392"/>
      <c r="N371" s="315"/>
      <c r="O371" s="616">
        <f t="shared" si="24"/>
        <v>5</v>
      </c>
      <c r="P371" s="633"/>
      <c r="Q371" s="648"/>
      <c r="R371" s="648"/>
      <c r="S371" s="7"/>
      <c r="T371" s="699"/>
      <c r="U371" s="7"/>
      <c r="V371" s="618"/>
      <c r="W371" s="7"/>
      <c r="X371" s="7"/>
      <c r="Y371" s="7"/>
      <c r="Z371" s="7"/>
      <c r="AA371" s="7"/>
      <c r="AB371" s="7"/>
    </row>
    <row r="372" spans="1:28" ht="21.75" customHeight="1">
      <c r="A372" s="486"/>
      <c r="B372" s="487" t="s">
        <v>813</v>
      </c>
      <c r="C372" s="635" t="s">
        <v>814</v>
      </c>
      <c r="D372" s="412" t="s">
        <v>424</v>
      </c>
      <c r="E372" s="213"/>
      <c r="F372" s="213"/>
      <c r="G372" s="213"/>
      <c r="H372" s="214"/>
      <c r="I372" s="214"/>
      <c r="J372" s="668"/>
      <c r="K372" s="362"/>
      <c r="L372" s="369"/>
      <c r="M372" s="392"/>
      <c r="N372" s="315"/>
      <c r="O372" s="616">
        <f t="shared" si="24"/>
        <v>0</v>
      </c>
      <c r="P372" s="633"/>
      <c r="Q372" s="636"/>
      <c r="R372" s="636"/>
      <c r="S372" s="7"/>
      <c r="T372" s="699"/>
      <c r="U372" s="7"/>
      <c r="V372" s="618">
        <f t="shared" ref="V372:V386" si="27">T372-O372</f>
        <v>0</v>
      </c>
      <c r="W372" s="7"/>
      <c r="X372" s="7"/>
      <c r="Y372" s="7"/>
      <c r="Z372" s="7"/>
      <c r="AA372" s="7"/>
      <c r="AB372" s="7"/>
    </row>
    <row r="373" spans="1:28" ht="21.75" customHeight="1">
      <c r="A373" s="503" t="s">
        <v>1494</v>
      </c>
      <c r="B373" s="483" t="s">
        <v>816</v>
      </c>
      <c r="C373" s="629" t="s">
        <v>808</v>
      </c>
      <c r="D373" s="504" t="s">
        <v>424</v>
      </c>
      <c r="E373" s="213"/>
      <c r="F373" s="213"/>
      <c r="G373" s="213"/>
      <c r="H373" s="214"/>
      <c r="I373" s="214"/>
      <c r="J373" s="668"/>
      <c r="K373" s="362"/>
      <c r="L373" s="369"/>
      <c r="M373" s="392"/>
      <c r="N373" s="315"/>
      <c r="O373" s="616">
        <f t="shared" si="24"/>
        <v>0</v>
      </c>
      <c r="P373" s="633"/>
      <c r="Q373" s="648"/>
      <c r="R373" s="648"/>
      <c r="S373" s="7"/>
      <c r="T373" s="699"/>
      <c r="U373" s="7"/>
      <c r="V373" s="618">
        <f t="shared" si="27"/>
        <v>0</v>
      </c>
      <c r="W373" s="7"/>
      <c r="X373" s="7"/>
      <c r="Y373" s="7"/>
      <c r="Z373" s="7"/>
      <c r="AA373" s="7"/>
      <c r="AB373" s="7"/>
    </row>
    <row r="374" spans="1:28" ht="21.75" customHeight="1">
      <c r="A374" s="503" t="s">
        <v>1495</v>
      </c>
      <c r="B374" s="483" t="s">
        <v>817</v>
      </c>
      <c r="C374" s="629" t="s">
        <v>811</v>
      </c>
      <c r="D374" s="504" t="s">
        <v>424</v>
      </c>
      <c r="E374" s="213"/>
      <c r="F374" s="213"/>
      <c r="G374" s="213"/>
      <c r="H374" s="214"/>
      <c r="I374" s="214"/>
      <c r="J374" s="668"/>
      <c r="K374" s="362"/>
      <c r="L374" s="369"/>
      <c r="M374" s="392"/>
      <c r="N374" s="315"/>
      <c r="O374" s="616">
        <f t="shared" si="24"/>
        <v>0</v>
      </c>
      <c r="P374" s="633"/>
      <c r="Q374" s="648"/>
      <c r="R374" s="648"/>
      <c r="S374" s="7"/>
      <c r="T374" s="699"/>
      <c r="U374" s="7"/>
      <c r="V374" s="618">
        <f t="shared" si="27"/>
        <v>0</v>
      </c>
      <c r="W374" s="7"/>
      <c r="X374" s="7"/>
      <c r="Y374" s="7"/>
      <c r="Z374" s="7"/>
      <c r="AA374" s="7"/>
      <c r="AB374" s="7"/>
    </row>
    <row r="375" spans="1:28" ht="21.75" customHeight="1">
      <c r="A375" s="486">
        <v>12.3</v>
      </c>
      <c r="B375" s="487" t="s">
        <v>818</v>
      </c>
      <c r="C375" s="635" t="s">
        <v>819</v>
      </c>
      <c r="D375" s="412" t="s">
        <v>132</v>
      </c>
      <c r="E375" s="213"/>
      <c r="F375" s="213"/>
      <c r="G375" s="213"/>
      <c r="H375" s="214"/>
      <c r="I375" s="214"/>
      <c r="J375" s="668"/>
      <c r="K375" s="362"/>
      <c r="L375" s="369"/>
      <c r="M375" s="392"/>
      <c r="N375" s="315"/>
      <c r="O375" s="616">
        <f t="shared" si="24"/>
        <v>0</v>
      </c>
      <c r="P375" s="633"/>
      <c r="Q375" s="636"/>
      <c r="R375" s="636"/>
      <c r="S375" s="7"/>
      <c r="T375" s="725"/>
      <c r="U375" s="7"/>
      <c r="V375" s="618">
        <f t="shared" si="27"/>
        <v>0</v>
      </c>
      <c r="W375" s="7"/>
      <c r="X375" s="7"/>
      <c r="Y375" s="7"/>
      <c r="Z375" s="7"/>
      <c r="AA375" s="7"/>
      <c r="AB375" s="7"/>
    </row>
    <row r="376" spans="1:28" ht="21.75" customHeight="1">
      <c r="A376" s="503" t="s">
        <v>1496</v>
      </c>
      <c r="B376" s="483" t="s">
        <v>821</v>
      </c>
      <c r="C376" s="629" t="s">
        <v>808</v>
      </c>
      <c r="D376" s="504" t="s">
        <v>132</v>
      </c>
      <c r="E376" s="213"/>
      <c r="F376" s="213"/>
      <c r="G376" s="213"/>
      <c r="H376" s="214"/>
      <c r="I376" s="214"/>
      <c r="J376" s="668"/>
      <c r="K376" s="362"/>
      <c r="L376" s="369"/>
      <c r="M376" s="392"/>
      <c r="N376" s="315"/>
      <c r="O376" s="616">
        <f t="shared" si="24"/>
        <v>0</v>
      </c>
      <c r="P376" s="633"/>
      <c r="Q376" s="648"/>
      <c r="R376" s="648"/>
      <c r="S376" s="7"/>
      <c r="T376" s="725"/>
      <c r="U376" s="7"/>
      <c r="V376" s="618">
        <f t="shared" si="27"/>
        <v>0</v>
      </c>
      <c r="W376" s="7"/>
      <c r="X376" s="7"/>
      <c r="Y376" s="7"/>
      <c r="Z376" s="7"/>
      <c r="AA376" s="7"/>
      <c r="AB376" s="7"/>
    </row>
    <row r="377" spans="1:28" ht="21.75" customHeight="1">
      <c r="A377" s="503" t="s">
        <v>1497</v>
      </c>
      <c r="B377" s="483" t="s">
        <v>822</v>
      </c>
      <c r="C377" s="629" t="s">
        <v>811</v>
      </c>
      <c r="D377" s="504" t="s">
        <v>132</v>
      </c>
      <c r="E377" s="213"/>
      <c r="F377" s="213"/>
      <c r="G377" s="213"/>
      <c r="H377" s="214"/>
      <c r="I377" s="214"/>
      <c r="J377" s="668"/>
      <c r="K377" s="362"/>
      <c r="L377" s="369"/>
      <c r="M377" s="392"/>
      <c r="N377" s="315"/>
      <c r="O377" s="616">
        <f t="shared" si="24"/>
        <v>0</v>
      </c>
      <c r="P377" s="633"/>
      <c r="Q377" s="648"/>
      <c r="R377" s="648"/>
      <c r="S377" s="7"/>
      <c r="T377" s="725"/>
      <c r="U377" s="7"/>
      <c r="V377" s="618">
        <f t="shared" si="27"/>
        <v>0</v>
      </c>
      <c r="W377" s="7"/>
      <c r="X377" s="7"/>
      <c r="Y377" s="7"/>
      <c r="Z377" s="7"/>
      <c r="AA377" s="7"/>
      <c r="AB377" s="7"/>
    </row>
    <row r="378" spans="1:28" ht="21.75" customHeight="1">
      <c r="A378" s="486">
        <v>12.4</v>
      </c>
      <c r="B378" s="487" t="s">
        <v>823</v>
      </c>
      <c r="C378" s="635" t="s">
        <v>824</v>
      </c>
      <c r="D378" s="412" t="s">
        <v>424</v>
      </c>
      <c r="E378" s="213"/>
      <c r="F378" s="213"/>
      <c r="G378" s="213"/>
      <c r="H378" s="214"/>
      <c r="I378" s="214"/>
      <c r="J378" s="668"/>
      <c r="K378" s="362"/>
      <c r="L378" s="369"/>
      <c r="M378" s="392"/>
      <c r="N378" s="315"/>
      <c r="O378" s="616">
        <f t="shared" si="24"/>
        <v>0</v>
      </c>
      <c r="P378" s="633"/>
      <c r="Q378" s="636"/>
      <c r="R378" s="636"/>
      <c r="S378" s="7"/>
      <c r="T378" s="725"/>
      <c r="U378" s="7"/>
      <c r="V378" s="618">
        <f t="shared" si="27"/>
        <v>0</v>
      </c>
      <c r="W378" s="7"/>
      <c r="X378" s="7"/>
      <c r="Y378" s="7"/>
      <c r="Z378" s="7"/>
      <c r="AA378" s="7"/>
      <c r="AB378" s="7"/>
    </row>
    <row r="379" spans="1:28" ht="21.75" customHeight="1">
      <c r="A379" s="503" t="s">
        <v>1498</v>
      </c>
      <c r="B379" s="483" t="s">
        <v>826</v>
      </c>
      <c r="C379" s="658" t="s">
        <v>827</v>
      </c>
      <c r="D379" s="504" t="s">
        <v>424</v>
      </c>
      <c r="E379" s="213"/>
      <c r="F379" s="213"/>
      <c r="G379" s="213"/>
      <c r="H379" s="214"/>
      <c r="I379" s="214"/>
      <c r="J379" s="668"/>
      <c r="K379" s="362"/>
      <c r="L379" s="369"/>
      <c r="M379" s="392"/>
      <c r="N379" s="315"/>
      <c r="O379" s="616">
        <f t="shared" si="24"/>
        <v>0</v>
      </c>
      <c r="P379" s="633"/>
      <c r="Q379" s="648"/>
      <c r="R379" s="648"/>
      <c r="S379" s="7"/>
      <c r="T379" s="725"/>
      <c r="U379" s="7"/>
      <c r="V379" s="618">
        <f t="shared" si="27"/>
        <v>0</v>
      </c>
      <c r="W379" s="7"/>
      <c r="X379" s="7"/>
      <c r="Y379" s="7"/>
      <c r="Z379" s="7"/>
      <c r="AA379" s="7"/>
      <c r="AB379" s="7"/>
    </row>
    <row r="380" spans="1:28" ht="21.75" customHeight="1">
      <c r="A380" s="503" t="s">
        <v>1499</v>
      </c>
      <c r="B380" s="483" t="s">
        <v>828</v>
      </c>
      <c r="C380" s="658" t="s">
        <v>829</v>
      </c>
      <c r="D380" s="504" t="s">
        <v>2508</v>
      </c>
      <c r="E380" s="213"/>
      <c r="F380" s="213"/>
      <c r="G380" s="213"/>
      <c r="H380" s="214"/>
      <c r="I380" s="214"/>
      <c r="J380" s="668"/>
      <c r="K380" s="362"/>
      <c r="L380" s="369"/>
      <c r="M380" s="392"/>
      <c r="N380" s="315"/>
      <c r="O380" s="616">
        <f t="shared" si="24"/>
        <v>0</v>
      </c>
      <c r="P380" s="633"/>
      <c r="Q380" s="648"/>
      <c r="R380" s="648"/>
      <c r="S380" s="7"/>
      <c r="T380" s="725"/>
      <c r="U380" s="7"/>
      <c r="V380" s="618">
        <f t="shared" si="27"/>
        <v>0</v>
      </c>
      <c r="W380" s="7"/>
      <c r="X380" s="7"/>
      <c r="Y380" s="7"/>
      <c r="Z380" s="7"/>
      <c r="AA380" s="7"/>
      <c r="AB380" s="7"/>
    </row>
    <row r="381" spans="1:28" ht="21.75" customHeight="1">
      <c r="A381" s="503" t="s">
        <v>1501</v>
      </c>
      <c r="B381" s="483" t="s">
        <v>831</v>
      </c>
      <c r="C381" s="658" t="s">
        <v>433</v>
      </c>
      <c r="D381" s="504" t="s">
        <v>594</v>
      </c>
      <c r="E381" s="213"/>
      <c r="F381" s="213"/>
      <c r="G381" s="213"/>
      <c r="H381" s="214"/>
      <c r="I381" s="214"/>
      <c r="J381" s="668"/>
      <c r="K381" s="362"/>
      <c r="L381" s="369"/>
      <c r="M381" s="392"/>
      <c r="N381" s="315"/>
      <c r="O381" s="616">
        <f t="shared" si="24"/>
        <v>0</v>
      </c>
      <c r="P381" s="633"/>
      <c r="Q381" s="648"/>
      <c r="R381" s="648"/>
      <c r="S381" s="7"/>
      <c r="T381" s="725"/>
      <c r="U381" s="7"/>
      <c r="V381" s="618">
        <f t="shared" si="27"/>
        <v>0</v>
      </c>
      <c r="W381" s="7"/>
      <c r="X381" s="7"/>
      <c r="Y381" s="7"/>
      <c r="Z381" s="7"/>
      <c r="AA381" s="7"/>
      <c r="AB381" s="7"/>
    </row>
    <row r="382" spans="1:28" ht="15.75" customHeight="1">
      <c r="A382" s="486">
        <v>12.5</v>
      </c>
      <c r="B382" s="487" t="s">
        <v>832</v>
      </c>
      <c r="C382" s="635" t="s">
        <v>833</v>
      </c>
      <c r="D382" s="412" t="s">
        <v>424</v>
      </c>
      <c r="E382" s="213"/>
      <c r="F382" s="213"/>
      <c r="G382" s="213"/>
      <c r="H382" s="214"/>
      <c r="I382" s="214"/>
      <c r="J382" s="668"/>
      <c r="K382" s="362"/>
      <c r="L382" s="369"/>
      <c r="M382" s="392"/>
      <c r="N382" s="315"/>
      <c r="O382" s="616">
        <f t="shared" si="24"/>
        <v>0</v>
      </c>
      <c r="P382" s="633"/>
      <c r="Q382" s="636"/>
      <c r="R382" s="636"/>
      <c r="S382" s="7"/>
      <c r="T382" s="725"/>
      <c r="U382" s="7"/>
      <c r="V382" s="618">
        <f t="shared" si="27"/>
        <v>0</v>
      </c>
      <c r="W382" s="7"/>
      <c r="X382" s="7"/>
      <c r="Y382" s="7"/>
      <c r="Z382" s="7"/>
      <c r="AA382" s="7"/>
      <c r="AB382" s="7"/>
    </row>
    <row r="383" spans="1:28" ht="15.75" customHeight="1">
      <c r="A383" s="486">
        <v>12.6</v>
      </c>
      <c r="B383" s="487" t="s">
        <v>835</v>
      </c>
      <c r="C383" s="635" t="s">
        <v>836</v>
      </c>
      <c r="D383" s="412" t="s">
        <v>132</v>
      </c>
      <c r="E383" s="213"/>
      <c r="F383" s="213"/>
      <c r="G383" s="213"/>
      <c r="H383" s="214"/>
      <c r="I383" s="214"/>
      <c r="J383" s="668"/>
      <c r="K383" s="362"/>
      <c r="L383" s="369"/>
      <c r="M383" s="392"/>
      <c r="N383" s="315"/>
      <c r="O383" s="616">
        <f t="shared" si="24"/>
        <v>0</v>
      </c>
      <c r="P383" s="633"/>
      <c r="Q383" s="636"/>
      <c r="R383" s="636"/>
      <c r="S383" s="7"/>
      <c r="T383" s="725"/>
      <c r="U383" s="7"/>
      <c r="V383" s="618">
        <f t="shared" si="27"/>
        <v>0</v>
      </c>
      <c r="W383" s="7"/>
      <c r="X383" s="7"/>
      <c r="Y383" s="7"/>
      <c r="Z383" s="7"/>
      <c r="AA383" s="7"/>
      <c r="AB383" s="7"/>
    </row>
    <row r="384" spans="1:28" ht="21.75" customHeight="1">
      <c r="A384" s="503" t="s">
        <v>1502</v>
      </c>
      <c r="B384" s="483" t="s">
        <v>838</v>
      </c>
      <c r="C384" s="629" t="s">
        <v>131</v>
      </c>
      <c r="D384" s="485" t="s">
        <v>132</v>
      </c>
      <c r="E384" s="213"/>
      <c r="F384" s="213"/>
      <c r="G384" s="213"/>
      <c r="H384" s="214"/>
      <c r="I384" s="214"/>
      <c r="J384" s="668"/>
      <c r="K384" s="362"/>
      <c r="L384" s="369"/>
      <c r="M384" s="392"/>
      <c r="N384" s="315"/>
      <c r="O384" s="616">
        <f t="shared" si="24"/>
        <v>0</v>
      </c>
      <c r="P384" s="633"/>
      <c r="Q384" s="648"/>
      <c r="R384" s="648"/>
      <c r="S384" s="7"/>
      <c r="T384" s="725"/>
      <c r="U384" s="7"/>
      <c r="V384" s="618">
        <f t="shared" si="27"/>
        <v>0</v>
      </c>
      <c r="W384" s="7"/>
      <c r="X384" s="7"/>
      <c r="Y384" s="7"/>
      <c r="Z384" s="7"/>
      <c r="AA384" s="7"/>
      <c r="AB384" s="7"/>
    </row>
    <row r="385" spans="1:28" ht="21.75" customHeight="1">
      <c r="A385" s="503" t="s">
        <v>1503</v>
      </c>
      <c r="B385" s="483" t="s">
        <v>839</v>
      </c>
      <c r="C385" s="629" t="s">
        <v>200</v>
      </c>
      <c r="D385" s="485" t="s">
        <v>132</v>
      </c>
      <c r="E385" s="213"/>
      <c r="F385" s="213"/>
      <c r="G385" s="213"/>
      <c r="H385" s="214"/>
      <c r="I385" s="214"/>
      <c r="J385" s="668"/>
      <c r="K385" s="362"/>
      <c r="L385" s="369"/>
      <c r="M385" s="392"/>
      <c r="N385" s="315"/>
      <c r="O385" s="616">
        <f t="shared" si="24"/>
        <v>0</v>
      </c>
      <c r="P385" s="633"/>
      <c r="Q385" s="648"/>
      <c r="R385" s="648"/>
      <c r="S385" s="7"/>
      <c r="T385" s="725"/>
      <c r="U385" s="7"/>
      <c r="V385" s="618">
        <f t="shared" si="27"/>
        <v>0</v>
      </c>
      <c r="W385" s="7"/>
      <c r="X385" s="7"/>
      <c r="Y385" s="7"/>
      <c r="Z385" s="7"/>
      <c r="AA385" s="7"/>
      <c r="AB385" s="7"/>
    </row>
    <row r="386" spans="1:28" ht="21.75" customHeight="1">
      <c r="A386" s="503" t="s">
        <v>1504</v>
      </c>
      <c r="B386" s="483" t="s">
        <v>840</v>
      </c>
      <c r="C386" s="629" t="s">
        <v>203</v>
      </c>
      <c r="D386" s="485" t="s">
        <v>132</v>
      </c>
      <c r="E386" s="213"/>
      <c r="F386" s="213"/>
      <c r="G386" s="213"/>
      <c r="H386" s="214"/>
      <c r="I386" s="214"/>
      <c r="J386" s="668"/>
      <c r="K386" s="362"/>
      <c r="L386" s="369"/>
      <c r="M386" s="392"/>
      <c r="N386" s="315"/>
      <c r="O386" s="616">
        <f t="shared" si="24"/>
        <v>0</v>
      </c>
      <c r="P386" s="633"/>
      <c r="Q386" s="648"/>
      <c r="R386" s="648"/>
      <c r="S386" s="7"/>
      <c r="T386" s="725"/>
      <c r="U386" s="7"/>
      <c r="V386" s="618">
        <f t="shared" si="27"/>
        <v>0</v>
      </c>
      <c r="W386" s="7"/>
      <c r="X386" s="7"/>
      <c r="Y386" s="7"/>
      <c r="Z386" s="7"/>
      <c r="AA386" s="7"/>
      <c r="AB386" s="7"/>
    </row>
    <row r="387" spans="1:28" ht="21.75" customHeight="1">
      <c r="A387" s="503" t="s">
        <v>1505</v>
      </c>
      <c r="B387" s="483" t="s">
        <v>841</v>
      </c>
      <c r="C387" s="629" t="s">
        <v>159</v>
      </c>
      <c r="D387" s="485" t="s">
        <v>132</v>
      </c>
      <c r="E387" s="213"/>
      <c r="F387" s="213"/>
      <c r="G387" s="213"/>
      <c r="H387" s="214"/>
      <c r="I387" s="214"/>
      <c r="J387" s="668"/>
      <c r="K387" s="362"/>
      <c r="L387" s="369"/>
      <c r="M387" s="392"/>
      <c r="N387" s="315"/>
      <c r="O387" s="616">
        <f t="shared" si="24"/>
        <v>0</v>
      </c>
      <c r="P387" s="633"/>
      <c r="Q387" s="648"/>
      <c r="R387" s="648"/>
      <c r="S387" s="7"/>
      <c r="T387" s="725"/>
      <c r="U387" s="7"/>
      <c r="V387" s="618"/>
      <c r="W387" s="7"/>
      <c r="X387" s="7"/>
      <c r="Y387" s="7"/>
      <c r="Z387" s="7"/>
      <c r="AA387" s="7"/>
      <c r="AB387" s="7"/>
    </row>
    <row r="388" spans="1:28" ht="15.75" customHeight="1">
      <c r="A388" s="486">
        <v>12.7</v>
      </c>
      <c r="B388" s="487" t="s">
        <v>842</v>
      </c>
      <c r="C388" s="635" t="s">
        <v>843</v>
      </c>
      <c r="D388" s="412" t="s">
        <v>132</v>
      </c>
      <c r="E388" s="213"/>
      <c r="F388" s="213"/>
      <c r="G388" s="213"/>
      <c r="H388" s="214"/>
      <c r="I388" s="214"/>
      <c r="J388" s="668"/>
      <c r="K388" s="362"/>
      <c r="L388" s="369"/>
      <c r="M388" s="392"/>
      <c r="N388" s="315"/>
      <c r="O388" s="616">
        <f t="shared" si="24"/>
        <v>0</v>
      </c>
      <c r="P388" s="633"/>
      <c r="Q388" s="636"/>
      <c r="R388" s="636"/>
      <c r="S388" s="7"/>
      <c r="T388" s="725"/>
      <c r="U388" s="7"/>
      <c r="V388" s="618">
        <f t="shared" ref="V388:V437" si="28">T388-O388</f>
        <v>0</v>
      </c>
      <c r="W388" s="7"/>
      <c r="X388" s="7"/>
      <c r="Y388" s="7"/>
      <c r="Z388" s="7"/>
      <c r="AA388" s="7"/>
      <c r="AB388" s="7"/>
    </row>
    <row r="389" spans="1:28" ht="21.75" customHeight="1">
      <c r="A389" s="486">
        <v>12.8</v>
      </c>
      <c r="B389" s="487" t="s">
        <v>845</v>
      </c>
      <c r="C389" s="635" t="s">
        <v>846</v>
      </c>
      <c r="D389" s="412" t="s">
        <v>358</v>
      </c>
      <c r="E389" s="213"/>
      <c r="F389" s="213"/>
      <c r="G389" s="213"/>
      <c r="H389" s="214"/>
      <c r="I389" s="214"/>
      <c r="J389" s="668"/>
      <c r="K389" s="362"/>
      <c r="L389" s="369"/>
      <c r="M389" s="392"/>
      <c r="N389" s="315"/>
      <c r="O389" s="616">
        <f t="shared" si="24"/>
        <v>0</v>
      </c>
      <c r="P389" s="633"/>
      <c r="Q389" s="636"/>
      <c r="R389" s="636"/>
      <c r="S389" s="7"/>
      <c r="T389" s="725"/>
      <c r="U389" s="7"/>
      <c r="V389" s="618">
        <f t="shared" si="28"/>
        <v>0</v>
      </c>
      <c r="W389" s="7"/>
      <c r="X389" s="7"/>
      <c r="Y389" s="7"/>
      <c r="Z389" s="7"/>
      <c r="AA389" s="7"/>
      <c r="AB389" s="7"/>
    </row>
    <row r="390" spans="1:28" ht="30" customHeight="1">
      <c r="A390" s="486">
        <v>12.9</v>
      </c>
      <c r="B390" s="487" t="s">
        <v>847</v>
      </c>
      <c r="C390" s="635" t="s">
        <v>848</v>
      </c>
      <c r="D390" s="515" t="s">
        <v>183</v>
      </c>
      <c r="E390" s="213"/>
      <c r="F390" s="213"/>
      <c r="G390" s="213"/>
      <c r="H390" s="214"/>
      <c r="I390" s="214"/>
      <c r="J390" s="671"/>
      <c r="K390" s="362"/>
      <c r="L390" s="369"/>
      <c r="M390" s="392"/>
      <c r="N390" s="315"/>
      <c r="O390" s="616">
        <f t="shared" si="24"/>
        <v>0</v>
      </c>
      <c r="P390" s="633"/>
      <c r="Q390" s="636"/>
      <c r="R390" s="636"/>
      <c r="S390" s="7"/>
      <c r="T390" s="725"/>
      <c r="U390" s="7"/>
      <c r="V390" s="618">
        <f t="shared" si="28"/>
        <v>0</v>
      </c>
      <c r="W390" s="7"/>
      <c r="X390" s="7"/>
      <c r="Y390" s="7"/>
      <c r="Z390" s="7"/>
      <c r="AA390" s="7"/>
      <c r="AB390" s="7"/>
    </row>
    <row r="391" spans="1:28" ht="30" customHeight="1">
      <c r="A391" s="486" t="s">
        <v>849</v>
      </c>
      <c r="B391" s="487" t="s">
        <v>850</v>
      </c>
      <c r="C391" s="635" t="s">
        <v>851</v>
      </c>
      <c r="D391" s="515" t="s">
        <v>183</v>
      </c>
      <c r="E391" s="213"/>
      <c r="F391" s="213"/>
      <c r="G391" s="213"/>
      <c r="H391" s="214"/>
      <c r="I391" s="214"/>
      <c r="J391" s="671"/>
      <c r="K391" s="362"/>
      <c r="L391" s="369"/>
      <c r="M391" s="392"/>
      <c r="N391" s="315"/>
      <c r="O391" s="616">
        <f t="shared" si="24"/>
        <v>0</v>
      </c>
      <c r="P391" s="633"/>
      <c r="Q391" s="636"/>
      <c r="R391" s="636"/>
      <c r="S391" s="7"/>
      <c r="T391" s="725"/>
      <c r="U391" s="7"/>
      <c r="V391" s="618">
        <f t="shared" si="28"/>
        <v>0</v>
      </c>
      <c r="W391" s="7"/>
      <c r="X391" s="7"/>
      <c r="Y391" s="7"/>
      <c r="Z391" s="7"/>
      <c r="AA391" s="7"/>
      <c r="AB391" s="7"/>
    </row>
    <row r="392" spans="1:28" ht="30" customHeight="1">
      <c r="A392" s="486" t="s">
        <v>852</v>
      </c>
      <c r="B392" s="487" t="s">
        <v>853</v>
      </c>
      <c r="C392" s="635" t="s">
        <v>854</v>
      </c>
      <c r="D392" s="515" t="s">
        <v>183</v>
      </c>
      <c r="E392" s="213"/>
      <c r="F392" s="213"/>
      <c r="G392" s="213"/>
      <c r="H392" s="214"/>
      <c r="I392" s="214"/>
      <c r="J392" s="671"/>
      <c r="K392" s="362"/>
      <c r="L392" s="369"/>
      <c r="M392" s="392"/>
      <c r="N392" s="315"/>
      <c r="O392" s="616">
        <f t="shared" si="24"/>
        <v>0</v>
      </c>
      <c r="P392" s="633"/>
      <c r="Q392" s="636"/>
      <c r="R392" s="636"/>
      <c r="S392" s="7"/>
      <c r="T392" s="725"/>
      <c r="U392" s="7"/>
      <c r="V392" s="618">
        <f t="shared" si="28"/>
        <v>0</v>
      </c>
      <c r="W392" s="7"/>
      <c r="X392" s="7"/>
      <c r="Y392" s="7"/>
      <c r="Z392" s="7"/>
      <c r="AA392" s="7"/>
      <c r="AB392" s="7"/>
    </row>
    <row r="393" spans="1:28" ht="30" customHeight="1">
      <c r="A393" s="486">
        <v>12.12</v>
      </c>
      <c r="B393" s="487" t="s">
        <v>855</v>
      </c>
      <c r="C393" s="635" t="s">
        <v>856</v>
      </c>
      <c r="D393" s="515" t="s">
        <v>183</v>
      </c>
      <c r="E393" s="213"/>
      <c r="F393" s="213"/>
      <c r="G393" s="213"/>
      <c r="H393" s="214"/>
      <c r="I393" s="214"/>
      <c r="J393" s="671"/>
      <c r="K393" s="362"/>
      <c r="L393" s="369"/>
      <c r="M393" s="392"/>
      <c r="N393" s="315"/>
      <c r="O393" s="616">
        <f t="shared" si="24"/>
        <v>0</v>
      </c>
      <c r="P393" s="633"/>
      <c r="Q393" s="636"/>
      <c r="R393" s="636"/>
      <c r="S393" s="7"/>
      <c r="T393" s="725"/>
      <c r="U393" s="7"/>
      <c r="V393" s="618">
        <f t="shared" si="28"/>
        <v>0</v>
      </c>
      <c r="W393" s="7"/>
      <c r="X393" s="7"/>
      <c r="Y393" s="7"/>
      <c r="Z393" s="7"/>
      <c r="AA393" s="7"/>
      <c r="AB393" s="7"/>
    </row>
    <row r="394" spans="1:28" ht="15.75" customHeight="1">
      <c r="A394" s="486">
        <v>12.13</v>
      </c>
      <c r="B394" s="487" t="s">
        <v>857</v>
      </c>
      <c r="C394" s="635" t="s">
        <v>858</v>
      </c>
      <c r="D394" s="485" t="s">
        <v>132</v>
      </c>
      <c r="E394" s="213"/>
      <c r="F394" s="213"/>
      <c r="G394" s="213"/>
      <c r="H394" s="214"/>
      <c r="I394" s="214"/>
      <c r="J394" s="668"/>
      <c r="K394" s="362"/>
      <c r="L394" s="369"/>
      <c r="M394" s="392"/>
      <c r="N394" s="315"/>
      <c r="O394" s="616">
        <f t="shared" si="24"/>
        <v>0</v>
      </c>
      <c r="P394" s="633"/>
      <c r="Q394" s="634"/>
      <c r="R394" s="634"/>
      <c r="S394" s="7"/>
      <c r="T394" s="725"/>
      <c r="U394" s="7"/>
      <c r="V394" s="618">
        <f t="shared" si="28"/>
        <v>0</v>
      </c>
      <c r="W394" s="7"/>
      <c r="X394" s="7"/>
      <c r="Y394" s="7"/>
      <c r="Z394" s="7"/>
      <c r="AA394" s="7"/>
      <c r="AB394" s="7"/>
    </row>
    <row r="395" spans="1:28" ht="21.75" customHeight="1">
      <c r="A395" s="482" t="s">
        <v>859</v>
      </c>
      <c r="B395" s="483" t="s">
        <v>860</v>
      </c>
      <c r="C395" s="629" t="s">
        <v>861</v>
      </c>
      <c r="D395" s="485" t="s">
        <v>132</v>
      </c>
      <c r="E395" s="213"/>
      <c r="F395" s="213"/>
      <c r="G395" s="213"/>
      <c r="H395" s="214"/>
      <c r="I395" s="214"/>
      <c r="J395" s="668"/>
      <c r="K395" s="362"/>
      <c r="L395" s="369"/>
      <c r="M395" s="392"/>
      <c r="N395" s="315"/>
      <c r="O395" s="616">
        <f t="shared" si="24"/>
        <v>0</v>
      </c>
      <c r="P395" s="633"/>
      <c r="Q395" s="634"/>
      <c r="R395" s="634"/>
      <c r="S395" s="7"/>
      <c r="T395" s="725"/>
      <c r="U395" s="7"/>
      <c r="V395" s="618">
        <f t="shared" si="28"/>
        <v>0</v>
      </c>
      <c r="W395" s="7"/>
      <c r="X395" s="7"/>
      <c r="Y395" s="7"/>
      <c r="Z395" s="7"/>
      <c r="AA395" s="7"/>
      <c r="AB395" s="7"/>
    </row>
    <row r="396" spans="1:28" ht="21.75" customHeight="1">
      <c r="A396" s="482" t="s">
        <v>862</v>
      </c>
      <c r="B396" s="483" t="s">
        <v>863</v>
      </c>
      <c r="C396" s="629" t="s">
        <v>864</v>
      </c>
      <c r="D396" s="485" t="s">
        <v>132</v>
      </c>
      <c r="E396" s="213"/>
      <c r="F396" s="213"/>
      <c r="G396" s="213"/>
      <c r="H396" s="214"/>
      <c r="I396" s="214"/>
      <c r="J396" s="668"/>
      <c r="K396" s="362"/>
      <c r="L396" s="369"/>
      <c r="M396" s="392"/>
      <c r="N396" s="315"/>
      <c r="O396" s="616">
        <f t="shared" si="24"/>
        <v>0</v>
      </c>
      <c r="P396" s="633"/>
      <c r="Q396" s="634"/>
      <c r="R396" s="634"/>
      <c r="S396" s="7"/>
      <c r="T396" s="725"/>
      <c r="U396" s="7"/>
      <c r="V396" s="618">
        <f t="shared" si="28"/>
        <v>0</v>
      </c>
      <c r="W396" s="7"/>
      <c r="X396" s="7"/>
      <c r="Y396" s="7"/>
      <c r="Z396" s="7"/>
      <c r="AA396" s="7"/>
      <c r="AB396" s="7"/>
    </row>
    <row r="397" spans="1:28" ht="21.75" customHeight="1">
      <c r="A397" s="486">
        <v>12.14</v>
      </c>
      <c r="B397" s="487" t="s">
        <v>865</v>
      </c>
      <c r="C397" s="635" t="s">
        <v>866</v>
      </c>
      <c r="D397" s="412" t="s">
        <v>424</v>
      </c>
      <c r="E397" s="213"/>
      <c r="F397" s="213"/>
      <c r="G397" s="213"/>
      <c r="H397" s="214"/>
      <c r="I397" s="214"/>
      <c r="J397" s="668"/>
      <c r="K397" s="362"/>
      <c r="L397" s="369"/>
      <c r="M397" s="392"/>
      <c r="N397" s="315"/>
      <c r="O397" s="616">
        <f t="shared" si="24"/>
        <v>0</v>
      </c>
      <c r="P397" s="633"/>
      <c r="Q397" s="636"/>
      <c r="R397" s="636"/>
      <c r="S397" s="7"/>
      <c r="T397" s="725"/>
      <c r="U397" s="7"/>
      <c r="V397" s="618">
        <f t="shared" si="28"/>
        <v>0</v>
      </c>
      <c r="W397" s="7"/>
      <c r="X397" s="7"/>
      <c r="Y397" s="7"/>
      <c r="Z397" s="7"/>
      <c r="AA397" s="7"/>
      <c r="AB397" s="7"/>
    </row>
    <row r="398" spans="1:28" ht="21.75" customHeight="1">
      <c r="A398" s="482" t="s">
        <v>867</v>
      </c>
      <c r="B398" s="483" t="s">
        <v>860</v>
      </c>
      <c r="C398" s="629" t="s">
        <v>868</v>
      </c>
      <c r="D398" s="485" t="s">
        <v>424</v>
      </c>
      <c r="E398" s="213"/>
      <c r="F398" s="213"/>
      <c r="G398" s="213"/>
      <c r="H398" s="214"/>
      <c r="I398" s="214"/>
      <c r="J398" s="668"/>
      <c r="K398" s="362"/>
      <c r="L398" s="369"/>
      <c r="M398" s="392"/>
      <c r="N398" s="315"/>
      <c r="O398" s="616">
        <f t="shared" si="24"/>
        <v>0</v>
      </c>
      <c r="P398" s="633"/>
      <c r="Q398" s="634"/>
      <c r="R398" s="634"/>
      <c r="S398" s="7"/>
      <c r="T398" s="725"/>
      <c r="U398" s="7"/>
      <c r="V398" s="618">
        <f t="shared" si="28"/>
        <v>0</v>
      </c>
      <c r="W398" s="7"/>
      <c r="X398" s="7"/>
      <c r="Y398" s="7"/>
      <c r="Z398" s="7"/>
      <c r="AA398" s="7"/>
      <c r="AB398" s="7"/>
    </row>
    <row r="399" spans="1:28" ht="15.75" customHeight="1">
      <c r="A399" s="482" t="s">
        <v>869</v>
      </c>
      <c r="B399" s="483" t="s">
        <v>863</v>
      </c>
      <c r="C399" s="629" t="s">
        <v>870</v>
      </c>
      <c r="D399" s="485" t="s">
        <v>424</v>
      </c>
      <c r="E399" s="213"/>
      <c r="F399" s="213"/>
      <c r="G399" s="213"/>
      <c r="H399" s="214"/>
      <c r="I399" s="214"/>
      <c r="J399" s="668"/>
      <c r="K399" s="362"/>
      <c r="L399" s="369"/>
      <c r="M399" s="392"/>
      <c r="N399" s="315"/>
      <c r="O399" s="616">
        <f t="shared" si="24"/>
        <v>0</v>
      </c>
      <c r="P399" s="633"/>
      <c r="Q399" s="634"/>
      <c r="R399" s="634"/>
      <c r="S399" s="7"/>
      <c r="T399" s="725"/>
      <c r="U399" s="7"/>
      <c r="V399" s="618">
        <f t="shared" si="28"/>
        <v>0</v>
      </c>
      <c r="W399" s="7"/>
      <c r="X399" s="7"/>
      <c r="Y399" s="7"/>
      <c r="Z399" s="7"/>
      <c r="AA399" s="7"/>
      <c r="AB399" s="7"/>
    </row>
    <row r="400" spans="1:28" ht="21.75" customHeight="1">
      <c r="A400" s="486">
        <v>12.15</v>
      </c>
      <c r="B400" s="487" t="s">
        <v>871</v>
      </c>
      <c r="C400" s="635" t="s">
        <v>872</v>
      </c>
      <c r="D400" s="412" t="s">
        <v>132</v>
      </c>
      <c r="E400" s="213"/>
      <c r="F400" s="213"/>
      <c r="G400" s="213"/>
      <c r="H400" s="214"/>
      <c r="I400" s="214"/>
      <c r="J400" s="668"/>
      <c r="K400" s="362"/>
      <c r="L400" s="369"/>
      <c r="M400" s="392"/>
      <c r="N400" s="315"/>
      <c r="O400" s="616">
        <f t="shared" si="24"/>
        <v>0</v>
      </c>
      <c r="P400" s="633"/>
      <c r="Q400" s="636"/>
      <c r="R400" s="636"/>
      <c r="S400" s="7"/>
      <c r="T400" s="725"/>
      <c r="U400" s="7"/>
      <c r="V400" s="618">
        <f t="shared" si="28"/>
        <v>0</v>
      </c>
      <c r="W400" s="7"/>
      <c r="X400" s="7"/>
      <c r="Y400" s="7"/>
      <c r="Z400" s="7"/>
      <c r="AA400" s="7"/>
      <c r="AB400" s="7"/>
    </row>
    <row r="401" spans="1:28" ht="15.75" customHeight="1">
      <c r="A401" s="482" t="s">
        <v>873</v>
      </c>
      <c r="B401" s="483" t="s">
        <v>874</v>
      </c>
      <c r="C401" s="629" t="s">
        <v>875</v>
      </c>
      <c r="D401" s="485" t="s">
        <v>132</v>
      </c>
      <c r="E401" s="213"/>
      <c r="F401" s="213"/>
      <c r="G401" s="213"/>
      <c r="H401" s="214"/>
      <c r="I401" s="214"/>
      <c r="J401" s="668"/>
      <c r="K401" s="362"/>
      <c r="L401" s="369"/>
      <c r="M401" s="392"/>
      <c r="N401" s="315"/>
      <c r="O401" s="616">
        <f t="shared" si="24"/>
        <v>0</v>
      </c>
      <c r="P401" s="633"/>
      <c r="Q401" s="634"/>
      <c r="R401" s="634"/>
      <c r="S401" s="7"/>
      <c r="T401" s="725"/>
      <c r="U401" s="7"/>
      <c r="V401" s="618">
        <f t="shared" si="28"/>
        <v>0</v>
      </c>
      <c r="W401" s="7"/>
      <c r="X401" s="7"/>
      <c r="Y401" s="7"/>
      <c r="Z401" s="7"/>
      <c r="AA401" s="7"/>
      <c r="AB401" s="7"/>
    </row>
    <row r="402" spans="1:28" ht="15.75" customHeight="1">
      <c r="A402" s="482" t="s">
        <v>876</v>
      </c>
      <c r="B402" s="483" t="s">
        <v>877</v>
      </c>
      <c r="C402" s="629" t="s">
        <v>878</v>
      </c>
      <c r="D402" s="485" t="s">
        <v>132</v>
      </c>
      <c r="E402" s="213"/>
      <c r="F402" s="213"/>
      <c r="G402" s="213"/>
      <c r="H402" s="214"/>
      <c r="I402" s="214"/>
      <c r="J402" s="668"/>
      <c r="K402" s="362"/>
      <c r="L402" s="369"/>
      <c r="M402" s="392"/>
      <c r="N402" s="315"/>
      <c r="O402" s="616">
        <f t="shared" si="24"/>
        <v>0</v>
      </c>
      <c r="P402" s="633"/>
      <c r="Q402" s="634"/>
      <c r="R402" s="634"/>
      <c r="S402" s="7"/>
      <c r="T402" s="725"/>
      <c r="U402" s="7"/>
      <c r="V402" s="618">
        <f t="shared" si="28"/>
        <v>0</v>
      </c>
      <c r="W402" s="7"/>
      <c r="X402" s="7"/>
      <c r="Y402" s="7"/>
      <c r="Z402" s="7"/>
      <c r="AA402" s="7"/>
      <c r="AB402" s="7"/>
    </row>
    <row r="403" spans="1:28" ht="30" customHeight="1">
      <c r="A403" s="482">
        <v>12.17</v>
      </c>
      <c r="B403" s="483" t="s">
        <v>879</v>
      </c>
      <c r="C403" s="635" t="s">
        <v>880</v>
      </c>
      <c r="D403" s="515" t="s">
        <v>183</v>
      </c>
      <c r="E403" s="213"/>
      <c r="F403" s="213"/>
      <c r="G403" s="213"/>
      <c r="H403" s="214"/>
      <c r="I403" s="214"/>
      <c r="J403" s="671"/>
      <c r="K403" s="362"/>
      <c r="L403" s="369"/>
      <c r="M403" s="392"/>
      <c r="N403" s="315"/>
      <c r="O403" s="616">
        <f t="shared" si="24"/>
        <v>0</v>
      </c>
      <c r="P403" s="633"/>
      <c r="Q403" s="634"/>
      <c r="R403" s="634"/>
      <c r="S403" s="7"/>
      <c r="T403" s="725"/>
      <c r="U403" s="7"/>
      <c r="V403" s="618">
        <f t="shared" si="28"/>
        <v>0</v>
      </c>
      <c r="W403" s="7"/>
      <c r="X403" s="7"/>
      <c r="Y403" s="7"/>
      <c r="Z403" s="7"/>
      <c r="AA403" s="7"/>
      <c r="AB403" s="7"/>
    </row>
    <row r="404" spans="1:28" ht="21.75" customHeight="1">
      <c r="A404" s="489">
        <v>13</v>
      </c>
      <c r="B404" s="490" t="s">
        <v>881</v>
      </c>
      <c r="C404" s="637" t="s">
        <v>882</v>
      </c>
      <c r="D404" s="515" t="s">
        <v>183</v>
      </c>
      <c r="E404" s="213"/>
      <c r="F404" s="213"/>
      <c r="G404" s="213"/>
      <c r="H404" s="214"/>
      <c r="I404" s="214"/>
      <c r="J404" s="671"/>
      <c r="K404" s="362"/>
      <c r="L404" s="369"/>
      <c r="M404" s="392"/>
      <c r="N404" s="315"/>
      <c r="O404" s="616">
        <f t="shared" si="24"/>
        <v>0</v>
      </c>
      <c r="P404" s="633"/>
      <c r="Q404" s="640"/>
      <c r="R404" s="640"/>
      <c r="S404" s="7"/>
      <c r="T404" s="725"/>
      <c r="U404" s="7"/>
      <c r="V404" s="618">
        <f t="shared" si="28"/>
        <v>0</v>
      </c>
      <c r="W404" s="7"/>
      <c r="X404" s="7"/>
      <c r="Y404" s="7"/>
      <c r="Z404" s="7"/>
      <c r="AA404" s="7"/>
      <c r="AB404" s="7"/>
    </row>
    <row r="405" spans="1:28" ht="21.75" customHeight="1">
      <c r="A405" s="486">
        <v>13.1</v>
      </c>
      <c r="B405" s="487" t="s">
        <v>883</v>
      </c>
      <c r="C405" s="635" t="s">
        <v>884</v>
      </c>
      <c r="D405" s="515" t="s">
        <v>183</v>
      </c>
      <c r="E405" s="213"/>
      <c r="F405" s="213"/>
      <c r="G405" s="213"/>
      <c r="H405" s="214"/>
      <c r="I405" s="214"/>
      <c r="J405" s="671"/>
      <c r="K405" s="362"/>
      <c r="L405" s="369"/>
      <c r="M405" s="392"/>
      <c r="N405" s="315"/>
      <c r="O405" s="616">
        <f t="shared" si="24"/>
        <v>0</v>
      </c>
      <c r="P405" s="633"/>
      <c r="Q405" s="636"/>
      <c r="R405" s="636"/>
      <c r="S405" s="7"/>
      <c r="T405" s="725"/>
      <c r="U405" s="7"/>
      <c r="V405" s="618">
        <f t="shared" si="28"/>
        <v>0</v>
      </c>
      <c r="W405" s="7"/>
      <c r="X405" s="7"/>
      <c r="Y405" s="7"/>
      <c r="Z405" s="7"/>
      <c r="AA405" s="7"/>
      <c r="AB405" s="7"/>
    </row>
    <row r="406" spans="1:28" ht="21.75" customHeight="1">
      <c r="A406" s="503" t="s">
        <v>885</v>
      </c>
      <c r="B406" s="483" t="s">
        <v>886</v>
      </c>
      <c r="C406" s="629" t="s">
        <v>131</v>
      </c>
      <c r="D406" s="515" t="s">
        <v>183</v>
      </c>
      <c r="E406" s="213"/>
      <c r="F406" s="213"/>
      <c r="G406" s="213"/>
      <c r="H406" s="214"/>
      <c r="I406" s="214"/>
      <c r="J406" s="671"/>
      <c r="K406" s="362"/>
      <c r="L406" s="369"/>
      <c r="M406" s="392"/>
      <c r="N406" s="315"/>
      <c r="O406" s="616">
        <f t="shared" si="24"/>
        <v>0</v>
      </c>
      <c r="P406" s="633"/>
      <c r="Q406" s="636"/>
      <c r="R406" s="636"/>
      <c r="S406" s="7"/>
      <c r="T406" s="725"/>
      <c r="U406" s="7"/>
      <c r="V406" s="618">
        <f t="shared" si="28"/>
        <v>0</v>
      </c>
      <c r="W406" s="7"/>
      <c r="X406" s="7"/>
      <c r="Y406" s="7"/>
      <c r="Z406" s="7"/>
      <c r="AA406" s="7"/>
      <c r="AB406" s="7"/>
    </row>
    <row r="407" spans="1:28" ht="21.75" customHeight="1">
      <c r="A407" s="503" t="s">
        <v>887</v>
      </c>
      <c r="B407" s="483" t="s">
        <v>888</v>
      </c>
      <c r="C407" s="629" t="s">
        <v>200</v>
      </c>
      <c r="D407" s="515" t="s">
        <v>183</v>
      </c>
      <c r="E407" s="213"/>
      <c r="F407" s="213"/>
      <c r="G407" s="213"/>
      <c r="H407" s="214"/>
      <c r="I407" s="214"/>
      <c r="J407" s="671"/>
      <c r="K407" s="362"/>
      <c r="L407" s="369"/>
      <c r="M407" s="392"/>
      <c r="N407" s="315"/>
      <c r="O407" s="616">
        <f t="shared" si="24"/>
        <v>0</v>
      </c>
      <c r="P407" s="633"/>
      <c r="Q407" s="636"/>
      <c r="R407" s="636"/>
      <c r="S407" s="7"/>
      <c r="T407" s="725"/>
      <c r="U407" s="7"/>
      <c r="V407" s="618">
        <f t="shared" si="28"/>
        <v>0</v>
      </c>
      <c r="W407" s="7"/>
      <c r="X407" s="7"/>
      <c r="Y407" s="7"/>
      <c r="Z407" s="7"/>
      <c r="AA407" s="7"/>
      <c r="AB407" s="7"/>
    </row>
    <row r="408" spans="1:28" ht="21.75" customHeight="1">
      <c r="A408" s="503" t="s">
        <v>889</v>
      </c>
      <c r="B408" s="483" t="s">
        <v>890</v>
      </c>
      <c r="C408" s="629" t="s">
        <v>203</v>
      </c>
      <c r="D408" s="515" t="s">
        <v>183</v>
      </c>
      <c r="E408" s="213"/>
      <c r="F408" s="213"/>
      <c r="G408" s="213"/>
      <c r="H408" s="214"/>
      <c r="I408" s="214"/>
      <c r="J408" s="671"/>
      <c r="K408" s="362"/>
      <c r="L408" s="369"/>
      <c r="M408" s="392"/>
      <c r="N408" s="315"/>
      <c r="O408" s="616">
        <f t="shared" si="24"/>
        <v>0</v>
      </c>
      <c r="P408" s="633"/>
      <c r="Q408" s="636"/>
      <c r="R408" s="636"/>
      <c r="S408" s="7"/>
      <c r="T408" s="725"/>
      <c r="U408" s="7"/>
      <c r="V408" s="618">
        <f t="shared" si="28"/>
        <v>0</v>
      </c>
      <c r="W408" s="7"/>
      <c r="X408" s="7"/>
      <c r="Y408" s="7"/>
      <c r="Z408" s="7"/>
      <c r="AA408" s="7"/>
      <c r="AB408" s="7"/>
    </row>
    <row r="409" spans="1:28" ht="21.75" customHeight="1">
      <c r="A409" s="503" t="s">
        <v>891</v>
      </c>
      <c r="B409" s="483" t="s">
        <v>892</v>
      </c>
      <c r="C409" s="629" t="s">
        <v>159</v>
      </c>
      <c r="D409" s="515" t="s">
        <v>183</v>
      </c>
      <c r="E409" s="213"/>
      <c r="F409" s="213"/>
      <c r="G409" s="213"/>
      <c r="H409" s="214"/>
      <c r="I409" s="214"/>
      <c r="J409" s="671"/>
      <c r="K409" s="362"/>
      <c r="L409" s="369"/>
      <c r="M409" s="392"/>
      <c r="N409" s="315"/>
      <c r="O409" s="616">
        <f t="shared" si="24"/>
        <v>0</v>
      </c>
      <c r="P409" s="633"/>
      <c r="Q409" s="636"/>
      <c r="R409" s="636"/>
      <c r="S409" s="7"/>
      <c r="T409" s="725"/>
      <c r="U409" s="7"/>
      <c r="V409" s="618">
        <f t="shared" si="28"/>
        <v>0</v>
      </c>
      <c r="W409" s="7"/>
      <c r="X409" s="7"/>
      <c r="Y409" s="7"/>
      <c r="Z409" s="7"/>
      <c r="AA409" s="7"/>
      <c r="AB409" s="7"/>
    </row>
    <row r="410" spans="1:28" ht="21.75" customHeight="1">
      <c r="A410" s="486">
        <v>13.2</v>
      </c>
      <c r="B410" s="487" t="s">
        <v>893</v>
      </c>
      <c r="C410" s="635" t="s">
        <v>894</v>
      </c>
      <c r="D410" s="515" t="s">
        <v>183</v>
      </c>
      <c r="E410" s="213"/>
      <c r="F410" s="213"/>
      <c r="G410" s="213"/>
      <c r="H410" s="214"/>
      <c r="I410" s="214"/>
      <c r="J410" s="671"/>
      <c r="K410" s="362"/>
      <c r="L410" s="369"/>
      <c r="M410" s="392"/>
      <c r="N410" s="315"/>
      <c r="O410" s="616">
        <f t="shared" si="24"/>
        <v>0</v>
      </c>
      <c r="P410" s="633"/>
      <c r="Q410" s="636"/>
      <c r="R410" s="636"/>
      <c r="S410" s="7"/>
      <c r="T410" s="725"/>
      <c r="U410" s="7"/>
      <c r="V410" s="618">
        <f t="shared" si="28"/>
        <v>0</v>
      </c>
      <c r="W410" s="7"/>
      <c r="X410" s="7"/>
      <c r="Y410" s="7"/>
      <c r="Z410" s="7"/>
      <c r="AA410" s="7"/>
      <c r="AB410" s="7"/>
    </row>
    <row r="411" spans="1:28" ht="21.75" customHeight="1">
      <c r="A411" s="503" t="s">
        <v>895</v>
      </c>
      <c r="B411" s="483" t="s">
        <v>896</v>
      </c>
      <c r="C411" s="629" t="s">
        <v>131</v>
      </c>
      <c r="D411" s="515" t="s">
        <v>183</v>
      </c>
      <c r="E411" s="213"/>
      <c r="F411" s="213"/>
      <c r="G411" s="213"/>
      <c r="H411" s="214"/>
      <c r="I411" s="214"/>
      <c r="J411" s="671"/>
      <c r="K411" s="362"/>
      <c r="L411" s="369"/>
      <c r="M411" s="392"/>
      <c r="N411" s="315"/>
      <c r="O411" s="616">
        <f t="shared" si="24"/>
        <v>0</v>
      </c>
      <c r="P411" s="633"/>
      <c r="Q411" s="636"/>
      <c r="R411" s="636"/>
      <c r="S411" s="7"/>
      <c r="T411" s="725"/>
      <c r="U411" s="7"/>
      <c r="V411" s="618">
        <f t="shared" si="28"/>
        <v>0</v>
      </c>
      <c r="W411" s="7"/>
      <c r="X411" s="7"/>
      <c r="Y411" s="7"/>
      <c r="Z411" s="7"/>
      <c r="AA411" s="7"/>
      <c r="AB411" s="7"/>
    </row>
    <row r="412" spans="1:28" ht="21.75" customHeight="1">
      <c r="A412" s="503" t="s">
        <v>897</v>
      </c>
      <c r="B412" s="483" t="s">
        <v>898</v>
      </c>
      <c r="C412" s="629" t="s">
        <v>200</v>
      </c>
      <c r="D412" s="515" t="s">
        <v>183</v>
      </c>
      <c r="E412" s="213"/>
      <c r="F412" s="213"/>
      <c r="G412" s="213"/>
      <c r="H412" s="214"/>
      <c r="I412" s="214"/>
      <c r="J412" s="671"/>
      <c r="K412" s="362"/>
      <c r="L412" s="369"/>
      <c r="M412" s="392"/>
      <c r="N412" s="315"/>
      <c r="O412" s="616">
        <f t="shared" si="24"/>
        <v>0</v>
      </c>
      <c r="P412" s="633"/>
      <c r="Q412" s="636"/>
      <c r="R412" s="636"/>
      <c r="S412" s="7"/>
      <c r="T412" s="725"/>
      <c r="U412" s="7"/>
      <c r="V412" s="618">
        <f t="shared" si="28"/>
        <v>0</v>
      </c>
      <c r="W412" s="7"/>
      <c r="X412" s="7"/>
      <c r="Y412" s="7"/>
      <c r="Z412" s="7"/>
      <c r="AA412" s="7"/>
      <c r="AB412" s="7"/>
    </row>
    <row r="413" spans="1:28" ht="21.75" customHeight="1">
      <c r="A413" s="503" t="s">
        <v>899</v>
      </c>
      <c r="B413" s="483" t="s">
        <v>900</v>
      </c>
      <c r="C413" s="629" t="s">
        <v>203</v>
      </c>
      <c r="D413" s="515" t="s">
        <v>183</v>
      </c>
      <c r="E413" s="213"/>
      <c r="F413" s="213"/>
      <c r="G413" s="213"/>
      <c r="H413" s="214"/>
      <c r="I413" s="214"/>
      <c r="J413" s="671"/>
      <c r="K413" s="362"/>
      <c r="L413" s="369"/>
      <c r="M413" s="392"/>
      <c r="N413" s="315"/>
      <c r="O413" s="616">
        <f t="shared" si="24"/>
        <v>0</v>
      </c>
      <c r="P413" s="633"/>
      <c r="Q413" s="636"/>
      <c r="R413" s="636"/>
      <c r="S413" s="7"/>
      <c r="T413" s="725"/>
      <c r="U413" s="7"/>
      <c r="V413" s="618">
        <f t="shared" si="28"/>
        <v>0</v>
      </c>
      <c r="W413" s="7"/>
      <c r="X413" s="7"/>
      <c r="Y413" s="7"/>
      <c r="Z413" s="7"/>
      <c r="AA413" s="7"/>
      <c r="AB413" s="7"/>
    </row>
    <row r="414" spans="1:28" ht="21.75" customHeight="1">
      <c r="A414" s="503" t="s">
        <v>901</v>
      </c>
      <c r="B414" s="483" t="s">
        <v>902</v>
      </c>
      <c r="C414" s="629" t="s">
        <v>159</v>
      </c>
      <c r="D414" s="515" t="s">
        <v>183</v>
      </c>
      <c r="E414" s="213"/>
      <c r="F414" s="213"/>
      <c r="G414" s="213"/>
      <c r="H414" s="214"/>
      <c r="I414" s="214"/>
      <c r="J414" s="671"/>
      <c r="K414" s="362"/>
      <c r="L414" s="369"/>
      <c r="M414" s="392"/>
      <c r="N414" s="315"/>
      <c r="O414" s="616">
        <f t="shared" si="24"/>
        <v>0</v>
      </c>
      <c r="P414" s="633"/>
      <c r="Q414" s="636"/>
      <c r="R414" s="636"/>
      <c r="S414" s="7"/>
      <c r="T414" s="725"/>
      <c r="U414" s="7"/>
      <c r="V414" s="618">
        <f t="shared" si="28"/>
        <v>0</v>
      </c>
      <c r="W414" s="7"/>
      <c r="X414" s="7"/>
      <c r="Y414" s="7"/>
      <c r="Z414" s="7"/>
      <c r="AA414" s="7"/>
      <c r="AB414" s="7"/>
    </row>
    <row r="415" spans="1:28" ht="21.75" customHeight="1">
      <c r="A415" s="486">
        <v>13.3</v>
      </c>
      <c r="B415" s="487" t="s">
        <v>903</v>
      </c>
      <c r="C415" s="635" t="s">
        <v>904</v>
      </c>
      <c r="D415" s="515" t="s">
        <v>183</v>
      </c>
      <c r="E415" s="213"/>
      <c r="F415" s="213"/>
      <c r="G415" s="213"/>
      <c r="H415" s="214"/>
      <c r="I415" s="214"/>
      <c r="J415" s="671"/>
      <c r="K415" s="362"/>
      <c r="L415" s="369"/>
      <c r="M415" s="392"/>
      <c r="N415" s="315"/>
      <c r="O415" s="616">
        <f t="shared" si="24"/>
        <v>0</v>
      </c>
      <c r="P415" s="633"/>
      <c r="Q415" s="636"/>
      <c r="R415" s="636"/>
      <c r="S415" s="7"/>
      <c r="T415" s="725"/>
      <c r="U415" s="7"/>
      <c r="V415" s="618">
        <f t="shared" si="28"/>
        <v>0</v>
      </c>
      <c r="W415" s="7"/>
      <c r="X415" s="7"/>
      <c r="Y415" s="7"/>
      <c r="Z415" s="7"/>
      <c r="AA415" s="7"/>
      <c r="AB415" s="7"/>
    </row>
    <row r="416" spans="1:28" ht="21.75" customHeight="1">
      <c r="A416" s="503" t="s">
        <v>905</v>
      </c>
      <c r="B416" s="483" t="s">
        <v>906</v>
      </c>
      <c r="C416" s="629" t="s">
        <v>131</v>
      </c>
      <c r="D416" s="515" t="s">
        <v>183</v>
      </c>
      <c r="E416" s="213"/>
      <c r="F416" s="213"/>
      <c r="G416" s="213"/>
      <c r="H416" s="214"/>
      <c r="I416" s="214"/>
      <c r="J416" s="671"/>
      <c r="K416" s="362"/>
      <c r="L416" s="369"/>
      <c r="M416" s="392"/>
      <c r="N416" s="315"/>
      <c r="O416" s="616">
        <f t="shared" si="24"/>
        <v>0</v>
      </c>
      <c r="P416" s="633"/>
      <c r="Q416" s="636"/>
      <c r="R416" s="636"/>
      <c r="S416" s="7"/>
      <c r="T416" s="725"/>
      <c r="U416" s="7"/>
      <c r="V416" s="618">
        <f t="shared" si="28"/>
        <v>0</v>
      </c>
      <c r="W416" s="7"/>
      <c r="X416" s="7"/>
      <c r="Y416" s="7"/>
      <c r="Z416" s="7"/>
      <c r="AA416" s="7"/>
      <c r="AB416" s="7"/>
    </row>
    <row r="417" spans="1:28" ht="21.75" customHeight="1">
      <c r="A417" s="503" t="s">
        <v>907</v>
      </c>
      <c r="B417" s="483" t="s">
        <v>908</v>
      </c>
      <c r="C417" s="629" t="s">
        <v>200</v>
      </c>
      <c r="D417" s="515" t="s">
        <v>183</v>
      </c>
      <c r="E417" s="213"/>
      <c r="F417" s="213"/>
      <c r="G417" s="213"/>
      <c r="H417" s="214"/>
      <c r="I417" s="214"/>
      <c r="J417" s="671"/>
      <c r="K417" s="362"/>
      <c r="L417" s="369"/>
      <c r="M417" s="392"/>
      <c r="N417" s="315"/>
      <c r="O417" s="616">
        <f t="shared" si="24"/>
        <v>0</v>
      </c>
      <c r="P417" s="633"/>
      <c r="Q417" s="636"/>
      <c r="R417" s="636"/>
      <c r="S417" s="7"/>
      <c r="T417" s="725"/>
      <c r="U417" s="7"/>
      <c r="V417" s="618">
        <f t="shared" si="28"/>
        <v>0</v>
      </c>
      <c r="W417" s="7"/>
      <c r="X417" s="7"/>
      <c r="Y417" s="7"/>
      <c r="Z417" s="7"/>
      <c r="AA417" s="7"/>
      <c r="AB417" s="7"/>
    </row>
    <row r="418" spans="1:28" ht="21.75" customHeight="1">
      <c r="A418" s="503" t="s">
        <v>909</v>
      </c>
      <c r="B418" s="483" t="s">
        <v>910</v>
      </c>
      <c r="C418" s="629" t="s">
        <v>203</v>
      </c>
      <c r="D418" s="515" t="s">
        <v>183</v>
      </c>
      <c r="E418" s="213"/>
      <c r="F418" s="213"/>
      <c r="G418" s="213"/>
      <c r="H418" s="214"/>
      <c r="I418" s="214"/>
      <c r="J418" s="671"/>
      <c r="K418" s="362"/>
      <c r="L418" s="369"/>
      <c r="M418" s="392"/>
      <c r="N418" s="315"/>
      <c r="O418" s="616">
        <f t="shared" si="24"/>
        <v>0</v>
      </c>
      <c r="P418" s="633"/>
      <c r="Q418" s="636"/>
      <c r="R418" s="636"/>
      <c r="S418" s="7"/>
      <c r="T418" s="725"/>
      <c r="U418" s="7"/>
      <c r="V418" s="618">
        <f t="shared" si="28"/>
        <v>0</v>
      </c>
      <c r="W418" s="7"/>
      <c r="X418" s="7"/>
      <c r="Y418" s="7"/>
      <c r="Z418" s="7"/>
      <c r="AA418" s="7"/>
      <c r="AB418" s="7"/>
    </row>
    <row r="419" spans="1:28" ht="21.75" customHeight="1">
      <c r="A419" s="503" t="s">
        <v>911</v>
      </c>
      <c r="B419" s="483" t="s">
        <v>912</v>
      </c>
      <c r="C419" s="629" t="s">
        <v>159</v>
      </c>
      <c r="D419" s="515" t="s">
        <v>183</v>
      </c>
      <c r="E419" s="213"/>
      <c r="F419" s="213"/>
      <c r="G419" s="213"/>
      <c r="H419" s="214"/>
      <c r="I419" s="214"/>
      <c r="J419" s="671"/>
      <c r="K419" s="362"/>
      <c r="L419" s="369"/>
      <c r="M419" s="392"/>
      <c r="N419" s="315"/>
      <c r="O419" s="616">
        <f t="shared" si="24"/>
        <v>0</v>
      </c>
      <c r="P419" s="633"/>
      <c r="Q419" s="636"/>
      <c r="R419" s="636"/>
      <c r="S419" s="7"/>
      <c r="T419" s="725"/>
      <c r="U419" s="7"/>
      <c r="V419" s="618">
        <f t="shared" si="28"/>
        <v>0</v>
      </c>
      <c r="W419" s="7"/>
      <c r="X419" s="7"/>
      <c r="Y419" s="7"/>
      <c r="Z419" s="7"/>
      <c r="AA419" s="7"/>
      <c r="AB419" s="7"/>
    </row>
    <row r="420" spans="1:28" ht="21.75" customHeight="1">
      <c r="A420" s="486">
        <v>13.4</v>
      </c>
      <c r="B420" s="487" t="s">
        <v>913</v>
      </c>
      <c r="C420" s="635" t="s">
        <v>914</v>
      </c>
      <c r="D420" s="515" t="s">
        <v>183</v>
      </c>
      <c r="E420" s="213"/>
      <c r="F420" s="213"/>
      <c r="G420" s="213"/>
      <c r="H420" s="214"/>
      <c r="I420" s="214"/>
      <c r="J420" s="671"/>
      <c r="K420" s="362"/>
      <c r="L420" s="369"/>
      <c r="M420" s="392">
        <v>474</v>
      </c>
      <c r="N420" s="315"/>
      <c r="O420" s="616">
        <f t="shared" si="24"/>
        <v>474</v>
      </c>
      <c r="P420" s="633"/>
      <c r="Q420" s="636"/>
      <c r="R420" s="636"/>
      <c r="S420" s="7"/>
      <c r="T420" s="725"/>
      <c r="U420" s="7"/>
      <c r="V420" s="618">
        <f t="shared" si="28"/>
        <v>-474</v>
      </c>
      <c r="W420" s="7"/>
      <c r="X420" s="7"/>
      <c r="Y420" s="7"/>
      <c r="Z420" s="7"/>
      <c r="AA420" s="7"/>
      <c r="AB420" s="7"/>
    </row>
    <row r="421" spans="1:28" ht="39" customHeight="1">
      <c r="A421" s="489">
        <v>10</v>
      </c>
      <c r="B421" s="490" t="s">
        <v>915</v>
      </c>
      <c r="C421" s="637" t="s">
        <v>916</v>
      </c>
      <c r="D421" s="516"/>
      <c r="E421" s="213"/>
      <c r="F421" s="213"/>
      <c r="G421" s="213"/>
      <c r="H421" s="214"/>
      <c r="I421" s="214"/>
      <c r="J421" s="671"/>
      <c r="K421" s="362"/>
      <c r="L421" s="369"/>
      <c r="M421" s="392"/>
      <c r="N421" s="315"/>
      <c r="O421" s="616">
        <f t="shared" si="24"/>
        <v>0</v>
      </c>
      <c r="P421" s="633"/>
      <c r="Q421" s="640"/>
      <c r="R421" s="640"/>
      <c r="S421" s="7"/>
      <c r="T421" s="725"/>
      <c r="U421" s="7"/>
      <c r="V421" s="618">
        <f t="shared" si="28"/>
        <v>0</v>
      </c>
      <c r="W421" s="7"/>
      <c r="X421" s="7"/>
      <c r="Y421" s="7"/>
      <c r="Z421" s="7"/>
      <c r="AA421" s="7"/>
      <c r="AB421" s="7"/>
    </row>
    <row r="422" spans="1:28" ht="15.75" customHeight="1">
      <c r="A422" s="482"/>
      <c r="B422" s="496" t="s">
        <v>918</v>
      </c>
      <c r="C422" s="555" t="s">
        <v>919</v>
      </c>
      <c r="D422" s="527" t="s">
        <v>271</v>
      </c>
      <c r="E422" s="213"/>
      <c r="F422" s="213"/>
      <c r="G422" s="213"/>
      <c r="H422" s="214"/>
      <c r="I422" s="214"/>
      <c r="J422" s="674"/>
      <c r="K422" s="362"/>
      <c r="L422" s="369"/>
      <c r="M422" s="392"/>
      <c r="N422" s="316"/>
      <c r="O422" s="616">
        <f t="shared" si="24"/>
        <v>0</v>
      </c>
      <c r="P422" s="633"/>
      <c r="Q422" s="634"/>
      <c r="R422" s="634"/>
      <c r="S422" s="7"/>
      <c r="T422" s="725"/>
      <c r="U422" s="7"/>
      <c r="V422" s="618">
        <f t="shared" si="28"/>
        <v>0</v>
      </c>
      <c r="W422" s="7"/>
      <c r="X422" s="7"/>
      <c r="Y422" s="7"/>
      <c r="Z422" s="7"/>
      <c r="AA422" s="7"/>
      <c r="AB422" s="7"/>
    </row>
    <row r="423" spans="1:28" ht="21" customHeight="1">
      <c r="A423" s="482"/>
      <c r="B423" s="496" t="s">
        <v>920</v>
      </c>
      <c r="C423" s="555" t="s">
        <v>921</v>
      </c>
      <c r="D423" s="527" t="s">
        <v>271</v>
      </c>
      <c r="E423" s="213"/>
      <c r="F423" s="213"/>
      <c r="G423" s="213"/>
      <c r="H423" s="214"/>
      <c r="I423" s="214"/>
      <c r="J423" s="674"/>
      <c r="K423" s="362"/>
      <c r="L423" s="369"/>
      <c r="M423" s="392"/>
      <c r="N423" s="316"/>
      <c r="O423" s="616">
        <f t="shared" si="24"/>
        <v>0</v>
      </c>
      <c r="P423" s="633"/>
      <c r="Q423" s="634"/>
      <c r="R423" s="634"/>
      <c r="S423" s="7"/>
      <c r="T423" s="725"/>
      <c r="U423" s="7"/>
      <c r="V423" s="618">
        <f t="shared" si="28"/>
        <v>0</v>
      </c>
      <c r="W423" s="7"/>
      <c r="X423" s="7"/>
      <c r="Y423" s="7"/>
      <c r="Z423" s="7"/>
      <c r="AA423" s="7"/>
      <c r="AB423" s="7"/>
    </row>
    <row r="424" spans="1:28" ht="21" customHeight="1">
      <c r="A424" s="482"/>
      <c r="B424" s="496" t="s">
        <v>922</v>
      </c>
      <c r="C424" s="555" t="s">
        <v>923</v>
      </c>
      <c r="D424" s="527" t="s">
        <v>122</v>
      </c>
      <c r="E424" s="213"/>
      <c r="F424" s="213"/>
      <c r="G424" s="213"/>
      <c r="H424" s="214"/>
      <c r="I424" s="214"/>
      <c r="J424" s="674"/>
      <c r="K424" s="362"/>
      <c r="L424" s="369"/>
      <c r="M424" s="392"/>
      <c r="N424" s="316"/>
      <c r="O424" s="616">
        <f t="shared" si="24"/>
        <v>0</v>
      </c>
      <c r="P424" s="633"/>
      <c r="Q424" s="634"/>
      <c r="R424" s="634"/>
      <c r="S424" s="7"/>
      <c r="T424" s="725"/>
      <c r="U424" s="7"/>
      <c r="V424" s="618">
        <f t="shared" si="28"/>
        <v>0</v>
      </c>
      <c r="W424" s="7"/>
      <c r="X424" s="7"/>
      <c r="Y424" s="7"/>
      <c r="Z424" s="7"/>
      <c r="AA424" s="7"/>
      <c r="AB424" s="7"/>
    </row>
    <row r="425" spans="1:28" ht="17.25" customHeight="1">
      <c r="A425" s="486">
        <v>1</v>
      </c>
      <c r="B425" s="487" t="s">
        <v>924</v>
      </c>
      <c r="C425" s="635" t="s">
        <v>925</v>
      </c>
      <c r="D425" s="528" t="s">
        <v>760</v>
      </c>
      <c r="E425" s="213"/>
      <c r="F425" s="213"/>
      <c r="G425" s="213"/>
      <c r="H425" s="214"/>
      <c r="I425" s="214"/>
      <c r="J425" s="674"/>
      <c r="K425" s="362">
        <v>1</v>
      </c>
      <c r="L425" s="369"/>
      <c r="M425" s="392"/>
      <c r="N425" s="316"/>
      <c r="O425" s="616">
        <f t="shared" si="24"/>
        <v>1</v>
      </c>
      <c r="P425" s="633"/>
      <c r="Q425" s="636"/>
      <c r="R425" s="636"/>
      <c r="S425" s="7"/>
      <c r="T425" s="725"/>
      <c r="U425" s="7"/>
      <c r="V425" s="618">
        <f t="shared" si="28"/>
        <v>-1</v>
      </c>
      <c r="W425" s="7"/>
      <c r="X425" s="7"/>
      <c r="Y425" s="7"/>
      <c r="Z425" s="7"/>
      <c r="AA425" s="7"/>
      <c r="AB425" s="7"/>
    </row>
    <row r="426" spans="1:28" ht="17.25" customHeight="1">
      <c r="A426" s="486">
        <v>14.5</v>
      </c>
      <c r="B426" s="487" t="s">
        <v>927</v>
      </c>
      <c r="C426" s="635" t="s">
        <v>928</v>
      </c>
      <c r="D426" s="515" t="s">
        <v>183</v>
      </c>
      <c r="E426" s="213"/>
      <c r="F426" s="213"/>
      <c r="G426" s="213"/>
      <c r="H426" s="214"/>
      <c r="I426" s="214"/>
      <c r="J426" s="671"/>
      <c r="K426" s="362"/>
      <c r="L426" s="369"/>
      <c r="M426" s="392"/>
      <c r="N426" s="315"/>
      <c r="O426" s="616">
        <f t="shared" si="24"/>
        <v>0</v>
      </c>
      <c r="P426" s="633"/>
      <c r="Q426" s="634"/>
      <c r="R426" s="634"/>
      <c r="S426" s="7"/>
      <c r="T426" s="725"/>
      <c r="U426" s="7"/>
      <c r="V426" s="618">
        <f t="shared" si="28"/>
        <v>0</v>
      </c>
      <c r="W426" s="7"/>
      <c r="X426" s="7"/>
      <c r="Y426" s="7"/>
      <c r="Z426" s="7"/>
      <c r="AA426" s="7"/>
      <c r="AB426" s="7"/>
    </row>
    <row r="427" spans="1:28" ht="30" customHeight="1">
      <c r="A427" s="489">
        <v>15</v>
      </c>
      <c r="B427" s="490" t="s">
        <v>930</v>
      </c>
      <c r="C427" s="637" t="s">
        <v>931</v>
      </c>
      <c r="D427" s="515" t="s">
        <v>183</v>
      </c>
      <c r="E427" s="213"/>
      <c r="F427" s="213"/>
      <c r="G427" s="213"/>
      <c r="H427" s="214"/>
      <c r="I427" s="214"/>
      <c r="J427" s="671"/>
      <c r="K427" s="362"/>
      <c r="L427" s="369"/>
      <c r="M427" s="392"/>
      <c r="N427" s="315"/>
      <c r="O427" s="616">
        <f t="shared" si="24"/>
        <v>0</v>
      </c>
      <c r="P427" s="633"/>
      <c r="Q427" s="640"/>
      <c r="R427" s="640"/>
      <c r="S427" s="7"/>
      <c r="T427" s="725"/>
      <c r="U427" s="7"/>
      <c r="V427" s="618">
        <f t="shared" si="28"/>
        <v>0</v>
      </c>
      <c r="W427" s="7"/>
      <c r="X427" s="7"/>
      <c r="Y427" s="7"/>
      <c r="Z427" s="7"/>
      <c r="AA427" s="7"/>
      <c r="AB427" s="7"/>
    </row>
    <row r="428" spans="1:28" ht="21.75" customHeight="1">
      <c r="A428" s="486">
        <v>15.1</v>
      </c>
      <c r="B428" s="487" t="s">
        <v>933</v>
      </c>
      <c r="C428" s="635" t="s">
        <v>934</v>
      </c>
      <c r="D428" s="412" t="s">
        <v>132</v>
      </c>
      <c r="E428" s="213"/>
      <c r="F428" s="213"/>
      <c r="G428" s="213"/>
      <c r="H428" s="214"/>
      <c r="I428" s="214"/>
      <c r="J428" s="668"/>
      <c r="K428" s="362">
        <v>1</v>
      </c>
      <c r="L428" s="369"/>
      <c r="M428" s="392"/>
      <c r="N428" s="315"/>
      <c r="O428" s="616">
        <f t="shared" si="24"/>
        <v>1</v>
      </c>
      <c r="P428" s="633"/>
      <c r="Q428" s="636"/>
      <c r="R428" s="636"/>
      <c r="S428" s="7"/>
      <c r="T428" s="725"/>
      <c r="U428" s="7"/>
      <c r="V428" s="618">
        <f t="shared" si="28"/>
        <v>-1</v>
      </c>
      <c r="W428" s="7"/>
      <c r="X428" s="7"/>
      <c r="Y428" s="7"/>
      <c r="Z428" s="7"/>
      <c r="AA428" s="7"/>
      <c r="AB428" s="7"/>
    </row>
    <row r="429" spans="1:28" ht="21.75" customHeight="1">
      <c r="A429" s="503" t="s">
        <v>1506</v>
      </c>
      <c r="B429" s="483" t="s">
        <v>936</v>
      </c>
      <c r="C429" s="629" t="s">
        <v>131</v>
      </c>
      <c r="D429" s="485" t="s">
        <v>132</v>
      </c>
      <c r="E429" s="213"/>
      <c r="F429" s="213"/>
      <c r="G429" s="213"/>
      <c r="H429" s="214"/>
      <c r="I429" s="214"/>
      <c r="J429" s="668"/>
      <c r="K429" s="362"/>
      <c r="L429" s="369"/>
      <c r="M429" s="392"/>
      <c r="N429" s="315"/>
      <c r="O429" s="616">
        <f t="shared" si="24"/>
        <v>0</v>
      </c>
      <c r="P429" s="633"/>
      <c r="Q429" s="636"/>
      <c r="R429" s="636"/>
      <c r="S429" s="7"/>
      <c r="T429" s="725"/>
      <c r="U429" s="7"/>
      <c r="V429" s="618">
        <f t="shared" si="28"/>
        <v>0</v>
      </c>
      <c r="W429" s="7"/>
      <c r="X429" s="7"/>
      <c r="Y429" s="7"/>
      <c r="Z429" s="7"/>
      <c r="AA429" s="7"/>
      <c r="AB429" s="7"/>
    </row>
    <row r="430" spans="1:28" ht="21.75" customHeight="1">
      <c r="A430" s="503" t="s">
        <v>1507</v>
      </c>
      <c r="B430" s="483" t="s">
        <v>937</v>
      </c>
      <c r="C430" s="629" t="s">
        <v>200</v>
      </c>
      <c r="D430" s="485" t="s">
        <v>132</v>
      </c>
      <c r="E430" s="213"/>
      <c r="F430" s="213"/>
      <c r="G430" s="213"/>
      <c r="H430" s="214"/>
      <c r="I430" s="214"/>
      <c r="J430" s="668"/>
      <c r="K430" s="362"/>
      <c r="L430" s="369"/>
      <c r="M430" s="392"/>
      <c r="N430" s="315"/>
      <c r="O430" s="616">
        <f t="shared" si="24"/>
        <v>0</v>
      </c>
      <c r="P430" s="633"/>
      <c r="Q430" s="636"/>
      <c r="R430" s="636"/>
      <c r="S430" s="7"/>
      <c r="T430" s="725"/>
      <c r="U430" s="7"/>
      <c r="V430" s="618">
        <f t="shared" si="28"/>
        <v>0</v>
      </c>
      <c r="W430" s="7"/>
      <c r="X430" s="7"/>
      <c r="Y430" s="7"/>
      <c r="Z430" s="7"/>
      <c r="AA430" s="7"/>
      <c r="AB430" s="7"/>
    </row>
    <row r="431" spans="1:28" ht="21.75" customHeight="1">
      <c r="A431" s="503" t="s">
        <v>1508</v>
      </c>
      <c r="B431" s="483" t="s">
        <v>938</v>
      </c>
      <c r="C431" s="629" t="s">
        <v>203</v>
      </c>
      <c r="D431" s="485" t="s">
        <v>132</v>
      </c>
      <c r="E431" s="213"/>
      <c r="F431" s="213"/>
      <c r="G431" s="213"/>
      <c r="H431" s="214"/>
      <c r="I431" s="214"/>
      <c r="J431" s="668"/>
      <c r="K431" s="362"/>
      <c r="L431" s="369"/>
      <c r="M431" s="392"/>
      <c r="N431" s="315"/>
      <c r="O431" s="616">
        <f t="shared" si="24"/>
        <v>0</v>
      </c>
      <c r="P431" s="633"/>
      <c r="Q431" s="636"/>
      <c r="R431" s="636"/>
      <c r="S431" s="7"/>
      <c r="T431" s="725"/>
      <c r="U431" s="7"/>
      <c r="V431" s="618">
        <f t="shared" si="28"/>
        <v>0</v>
      </c>
      <c r="W431" s="7"/>
      <c r="X431" s="7"/>
      <c r="Y431" s="7"/>
      <c r="Z431" s="7"/>
      <c r="AA431" s="7"/>
      <c r="AB431" s="7"/>
    </row>
    <row r="432" spans="1:28" ht="21.75" customHeight="1">
      <c r="A432" s="503" t="s">
        <v>1509</v>
      </c>
      <c r="B432" s="483" t="s">
        <v>939</v>
      </c>
      <c r="C432" s="629" t="s">
        <v>159</v>
      </c>
      <c r="D432" s="485" t="s">
        <v>132</v>
      </c>
      <c r="E432" s="213"/>
      <c r="F432" s="213"/>
      <c r="G432" s="213"/>
      <c r="H432" s="214"/>
      <c r="I432" s="214"/>
      <c r="J432" s="668"/>
      <c r="K432" s="362"/>
      <c r="L432" s="369"/>
      <c r="M432" s="392"/>
      <c r="N432" s="315"/>
      <c r="O432" s="616">
        <f t="shared" si="24"/>
        <v>0</v>
      </c>
      <c r="P432" s="633"/>
      <c r="Q432" s="636"/>
      <c r="R432" s="636"/>
      <c r="S432" s="7"/>
      <c r="T432" s="725"/>
      <c r="U432" s="7"/>
      <c r="V432" s="618">
        <f t="shared" si="28"/>
        <v>0</v>
      </c>
      <c r="W432" s="7"/>
      <c r="X432" s="7"/>
      <c r="Y432" s="7"/>
      <c r="Z432" s="7"/>
      <c r="AA432" s="7"/>
      <c r="AB432" s="7"/>
    </row>
    <row r="433" spans="1:28" ht="21.75" customHeight="1">
      <c r="A433" s="486">
        <v>15.2</v>
      </c>
      <c r="B433" s="487" t="s">
        <v>940</v>
      </c>
      <c r="C433" s="635" t="s">
        <v>941</v>
      </c>
      <c r="D433" s="412" t="s">
        <v>132</v>
      </c>
      <c r="E433" s="213"/>
      <c r="F433" s="213"/>
      <c r="G433" s="213"/>
      <c r="H433" s="214"/>
      <c r="I433" s="214"/>
      <c r="J433" s="668"/>
      <c r="K433" s="362">
        <v>2</v>
      </c>
      <c r="L433" s="369"/>
      <c r="M433" s="392"/>
      <c r="N433" s="315"/>
      <c r="O433" s="616">
        <f t="shared" si="24"/>
        <v>2</v>
      </c>
      <c r="P433" s="633"/>
      <c r="Q433" s="636"/>
      <c r="R433" s="636"/>
      <c r="S433" s="7"/>
      <c r="T433" s="725"/>
      <c r="U433" s="7"/>
      <c r="V433" s="618">
        <f t="shared" si="28"/>
        <v>-2</v>
      </c>
      <c r="W433" s="7"/>
      <c r="X433" s="7"/>
      <c r="Y433" s="7"/>
      <c r="Z433" s="7"/>
      <c r="AA433" s="7"/>
      <c r="AB433" s="7"/>
    </row>
    <row r="434" spans="1:28" ht="21.75" customHeight="1">
      <c r="A434" s="503" t="s">
        <v>1510</v>
      </c>
      <c r="B434" s="483" t="s">
        <v>943</v>
      </c>
      <c r="C434" s="629" t="s">
        <v>131</v>
      </c>
      <c r="D434" s="485" t="s">
        <v>132</v>
      </c>
      <c r="E434" s="213"/>
      <c r="F434" s="213"/>
      <c r="G434" s="213"/>
      <c r="H434" s="214"/>
      <c r="I434" s="214"/>
      <c r="J434" s="668"/>
      <c r="K434" s="362"/>
      <c r="L434" s="369"/>
      <c r="M434" s="392"/>
      <c r="N434" s="315"/>
      <c r="O434" s="616">
        <f t="shared" si="24"/>
        <v>0</v>
      </c>
      <c r="P434" s="633"/>
      <c r="Q434" s="636"/>
      <c r="R434" s="636"/>
      <c r="S434" s="7"/>
      <c r="T434" s="725"/>
      <c r="U434" s="7"/>
      <c r="V434" s="618">
        <f t="shared" si="28"/>
        <v>0</v>
      </c>
      <c r="W434" s="7"/>
      <c r="X434" s="7"/>
      <c r="Y434" s="7"/>
      <c r="Z434" s="7"/>
      <c r="AA434" s="7"/>
      <c r="AB434" s="7"/>
    </row>
    <row r="435" spans="1:28" ht="21.75" customHeight="1">
      <c r="A435" s="503" t="s">
        <v>1511</v>
      </c>
      <c r="B435" s="483" t="s">
        <v>944</v>
      </c>
      <c r="C435" s="629" t="s">
        <v>200</v>
      </c>
      <c r="D435" s="485" t="s">
        <v>132</v>
      </c>
      <c r="E435" s="213"/>
      <c r="F435" s="213"/>
      <c r="G435" s="213"/>
      <c r="H435" s="214"/>
      <c r="I435" s="214"/>
      <c r="J435" s="668"/>
      <c r="K435" s="362"/>
      <c r="L435" s="369"/>
      <c r="M435" s="392"/>
      <c r="N435" s="315"/>
      <c r="O435" s="616">
        <f t="shared" si="24"/>
        <v>0</v>
      </c>
      <c r="P435" s="633"/>
      <c r="Q435" s="636"/>
      <c r="R435" s="636"/>
      <c r="S435" s="7"/>
      <c r="T435" s="725"/>
      <c r="U435" s="7"/>
      <c r="V435" s="618">
        <f t="shared" si="28"/>
        <v>0</v>
      </c>
      <c r="W435" s="7"/>
      <c r="X435" s="7"/>
      <c r="Y435" s="7"/>
      <c r="Z435" s="7"/>
      <c r="AA435" s="7"/>
      <c r="AB435" s="7"/>
    </row>
    <row r="436" spans="1:28" ht="21.75" customHeight="1">
      <c r="A436" s="503" t="s">
        <v>1512</v>
      </c>
      <c r="B436" s="483" t="s">
        <v>945</v>
      </c>
      <c r="C436" s="629" t="s">
        <v>203</v>
      </c>
      <c r="D436" s="485" t="s">
        <v>132</v>
      </c>
      <c r="E436" s="213"/>
      <c r="F436" s="213"/>
      <c r="G436" s="213"/>
      <c r="H436" s="214"/>
      <c r="I436" s="214"/>
      <c r="J436" s="668"/>
      <c r="K436" s="362"/>
      <c r="L436" s="369"/>
      <c r="M436" s="392"/>
      <c r="N436" s="315"/>
      <c r="O436" s="616">
        <f t="shared" si="24"/>
        <v>0</v>
      </c>
      <c r="P436" s="633"/>
      <c r="Q436" s="636"/>
      <c r="R436" s="636"/>
      <c r="S436" s="7"/>
      <c r="T436" s="725"/>
      <c r="U436" s="7"/>
      <c r="V436" s="618">
        <f t="shared" si="28"/>
        <v>0</v>
      </c>
      <c r="W436" s="7"/>
      <c r="X436" s="7"/>
      <c r="Y436" s="7"/>
      <c r="Z436" s="7"/>
      <c r="AA436" s="7"/>
      <c r="AB436" s="7"/>
    </row>
    <row r="437" spans="1:28" ht="21.75" customHeight="1">
      <c r="A437" s="503" t="s">
        <v>1513</v>
      </c>
      <c r="B437" s="483" t="s">
        <v>946</v>
      </c>
      <c r="C437" s="629" t="s">
        <v>159</v>
      </c>
      <c r="D437" s="485" t="s">
        <v>132</v>
      </c>
      <c r="E437" s="213"/>
      <c r="F437" s="213"/>
      <c r="G437" s="213"/>
      <c r="H437" s="214"/>
      <c r="I437" s="214"/>
      <c r="J437" s="668"/>
      <c r="K437" s="362"/>
      <c r="L437" s="369"/>
      <c r="M437" s="392"/>
      <c r="N437" s="315"/>
      <c r="O437" s="616">
        <f t="shared" si="24"/>
        <v>0</v>
      </c>
      <c r="P437" s="633"/>
      <c r="Q437" s="636"/>
      <c r="R437" s="636"/>
      <c r="S437" s="7"/>
      <c r="T437" s="725"/>
      <c r="U437" s="7"/>
      <c r="V437" s="618">
        <f t="shared" si="28"/>
        <v>0</v>
      </c>
      <c r="W437" s="7"/>
      <c r="X437" s="7"/>
      <c r="Y437" s="7"/>
      <c r="Z437" s="7"/>
      <c r="AA437" s="7"/>
      <c r="AB437" s="7"/>
    </row>
    <row r="438" spans="1:28" ht="21.75" customHeight="1">
      <c r="A438" s="486">
        <v>15.3</v>
      </c>
      <c r="B438" s="487" t="s">
        <v>947</v>
      </c>
      <c r="C438" s="635" t="s">
        <v>948</v>
      </c>
      <c r="D438" s="412" t="s">
        <v>2509</v>
      </c>
      <c r="E438" s="213"/>
      <c r="F438" s="213"/>
      <c r="G438" s="213"/>
      <c r="H438" s="214"/>
      <c r="I438" s="214"/>
      <c r="J438" s="668"/>
      <c r="K438" s="362"/>
      <c r="L438" s="369"/>
      <c r="M438" s="392"/>
      <c r="N438" s="315"/>
      <c r="O438" s="616">
        <f t="shared" si="24"/>
        <v>0</v>
      </c>
      <c r="P438" s="633"/>
      <c r="Q438" s="636"/>
      <c r="R438" s="636"/>
      <c r="S438" s="7"/>
      <c r="T438" s="725"/>
      <c r="U438" s="7"/>
      <c r="V438" s="618"/>
      <c r="W438" s="7"/>
      <c r="X438" s="7"/>
      <c r="Y438" s="7"/>
      <c r="Z438" s="7"/>
      <c r="AA438" s="7"/>
      <c r="AB438" s="7"/>
    </row>
    <row r="439" spans="1:28" ht="21.75" customHeight="1">
      <c r="A439" s="503" t="s">
        <v>1515</v>
      </c>
      <c r="B439" s="483" t="s">
        <v>951</v>
      </c>
      <c r="C439" s="629" t="s">
        <v>131</v>
      </c>
      <c r="D439" s="485" t="s">
        <v>2510</v>
      </c>
      <c r="E439" s="213"/>
      <c r="F439" s="213"/>
      <c r="G439" s="213"/>
      <c r="H439" s="214"/>
      <c r="I439" s="214"/>
      <c r="J439" s="668"/>
      <c r="K439" s="362"/>
      <c r="L439" s="369"/>
      <c r="M439" s="392"/>
      <c r="N439" s="315"/>
      <c r="O439" s="616">
        <f t="shared" si="24"/>
        <v>0</v>
      </c>
      <c r="P439" s="633"/>
      <c r="Q439" s="636"/>
      <c r="R439" s="636"/>
      <c r="S439" s="7"/>
      <c r="T439" s="725"/>
      <c r="U439" s="7"/>
      <c r="V439" s="618">
        <f t="shared" ref="V439:V443" si="29">T439-O439</f>
        <v>0</v>
      </c>
      <c r="W439" s="7"/>
      <c r="X439" s="7"/>
      <c r="Y439" s="7"/>
      <c r="Z439" s="7"/>
      <c r="AA439" s="7"/>
      <c r="AB439" s="7"/>
    </row>
    <row r="440" spans="1:28" ht="21.75" customHeight="1">
      <c r="A440" s="503" t="s">
        <v>1517</v>
      </c>
      <c r="B440" s="483" t="s">
        <v>953</v>
      </c>
      <c r="C440" s="629" t="s">
        <v>200</v>
      </c>
      <c r="D440" s="485" t="s">
        <v>2511</v>
      </c>
      <c r="E440" s="213"/>
      <c r="F440" s="213"/>
      <c r="G440" s="213"/>
      <c r="H440" s="214"/>
      <c r="I440" s="214"/>
      <c r="J440" s="668"/>
      <c r="K440" s="362"/>
      <c r="L440" s="369"/>
      <c r="M440" s="392"/>
      <c r="N440" s="315"/>
      <c r="O440" s="616">
        <f t="shared" si="24"/>
        <v>0</v>
      </c>
      <c r="P440" s="633"/>
      <c r="Q440" s="636"/>
      <c r="R440" s="636"/>
      <c r="S440" s="7"/>
      <c r="T440" s="725"/>
      <c r="U440" s="7"/>
      <c r="V440" s="618">
        <f t="shared" si="29"/>
        <v>0</v>
      </c>
      <c r="W440" s="7"/>
      <c r="X440" s="7"/>
      <c r="Y440" s="7"/>
      <c r="Z440" s="7"/>
      <c r="AA440" s="7"/>
      <c r="AB440" s="7"/>
    </row>
    <row r="441" spans="1:28" ht="21.75" customHeight="1">
      <c r="A441" s="503" t="s">
        <v>1519</v>
      </c>
      <c r="B441" s="483" t="s">
        <v>955</v>
      </c>
      <c r="C441" s="629" t="s">
        <v>203</v>
      </c>
      <c r="D441" s="485" t="s">
        <v>2512</v>
      </c>
      <c r="E441" s="213"/>
      <c r="F441" s="213"/>
      <c r="G441" s="213"/>
      <c r="H441" s="214"/>
      <c r="I441" s="214"/>
      <c r="J441" s="668"/>
      <c r="K441" s="362"/>
      <c r="L441" s="369"/>
      <c r="M441" s="392"/>
      <c r="N441" s="315"/>
      <c r="O441" s="616">
        <f t="shared" si="24"/>
        <v>0</v>
      </c>
      <c r="P441" s="633"/>
      <c r="Q441" s="636"/>
      <c r="R441" s="636"/>
      <c r="S441" s="7"/>
      <c r="T441" s="725"/>
      <c r="U441" s="7"/>
      <c r="V441" s="618">
        <f t="shared" si="29"/>
        <v>0</v>
      </c>
      <c r="W441" s="7"/>
      <c r="X441" s="7"/>
      <c r="Y441" s="7"/>
      <c r="Z441" s="7"/>
      <c r="AA441" s="7"/>
      <c r="AB441" s="7"/>
    </row>
    <row r="442" spans="1:28" ht="21.75" customHeight="1">
      <c r="A442" s="503" t="s">
        <v>1521</v>
      </c>
      <c r="B442" s="483" t="s">
        <v>957</v>
      </c>
      <c r="C442" s="629" t="s">
        <v>159</v>
      </c>
      <c r="D442" s="485" t="s">
        <v>2513</v>
      </c>
      <c r="E442" s="213"/>
      <c r="F442" s="213"/>
      <c r="G442" s="213"/>
      <c r="H442" s="214"/>
      <c r="I442" s="214"/>
      <c r="J442" s="668"/>
      <c r="K442" s="362"/>
      <c r="L442" s="369"/>
      <c r="M442" s="392"/>
      <c r="N442" s="315"/>
      <c r="O442" s="616">
        <f t="shared" si="24"/>
        <v>0</v>
      </c>
      <c r="P442" s="633"/>
      <c r="Q442" s="636"/>
      <c r="R442" s="636"/>
      <c r="S442" s="7"/>
      <c r="T442" s="725"/>
      <c r="U442" s="7"/>
      <c r="V442" s="618">
        <f t="shared" si="29"/>
        <v>0</v>
      </c>
      <c r="W442" s="7"/>
      <c r="X442" s="7"/>
      <c r="Y442" s="7"/>
      <c r="Z442" s="7"/>
      <c r="AA442" s="7"/>
      <c r="AB442" s="7"/>
    </row>
    <row r="443" spans="1:28" ht="31.5" customHeight="1">
      <c r="A443" s="486">
        <v>15.4</v>
      </c>
      <c r="B443" s="487" t="s">
        <v>959</v>
      </c>
      <c r="C443" s="635" t="s">
        <v>960</v>
      </c>
      <c r="D443" s="412" t="s">
        <v>132</v>
      </c>
      <c r="E443" s="213"/>
      <c r="F443" s="213"/>
      <c r="G443" s="213"/>
      <c r="H443" s="214"/>
      <c r="I443" s="214"/>
      <c r="J443" s="668"/>
      <c r="K443" s="362"/>
      <c r="L443" s="369"/>
      <c r="M443" s="392"/>
      <c r="N443" s="315"/>
      <c r="O443" s="616">
        <f t="shared" si="24"/>
        <v>0</v>
      </c>
      <c r="P443" s="633"/>
      <c r="Q443" s="636"/>
      <c r="R443" s="636"/>
      <c r="S443" s="7"/>
      <c r="T443" s="725"/>
      <c r="U443" s="7"/>
      <c r="V443" s="618">
        <f t="shared" si="29"/>
        <v>0</v>
      </c>
      <c r="W443" s="7"/>
      <c r="X443" s="7"/>
      <c r="Y443" s="7"/>
      <c r="Z443" s="7"/>
      <c r="AA443" s="7"/>
      <c r="AB443" s="7"/>
    </row>
    <row r="444" spans="1:28" ht="31.5" customHeight="1">
      <c r="A444" s="486">
        <v>15.5</v>
      </c>
      <c r="B444" s="487" t="s">
        <v>962</v>
      </c>
      <c r="C444" s="635" t="s">
        <v>963</v>
      </c>
      <c r="D444" s="515" t="s">
        <v>424</v>
      </c>
      <c r="E444" s="213"/>
      <c r="F444" s="213"/>
      <c r="G444" s="213"/>
      <c r="H444" s="214"/>
      <c r="I444" s="214"/>
      <c r="J444" s="671"/>
      <c r="K444" s="362"/>
      <c r="L444" s="369"/>
      <c r="M444" s="392"/>
      <c r="N444" s="315"/>
      <c r="O444" s="616">
        <f t="shared" si="24"/>
        <v>0</v>
      </c>
      <c r="P444" s="633"/>
      <c r="Q444" s="636"/>
      <c r="R444" s="636"/>
      <c r="S444" s="7"/>
      <c r="T444" s="725"/>
      <c r="U444" s="7"/>
      <c r="V444" s="618"/>
      <c r="W444" s="7"/>
      <c r="X444" s="7"/>
      <c r="Y444" s="7"/>
      <c r="Z444" s="7"/>
      <c r="AA444" s="7"/>
      <c r="AB444" s="7"/>
    </row>
    <row r="445" spans="1:28" ht="21.75" customHeight="1">
      <c r="A445" s="486">
        <v>15.6</v>
      </c>
      <c r="B445" s="487" t="s">
        <v>965</v>
      </c>
      <c r="C445" s="635" t="s">
        <v>966</v>
      </c>
      <c r="D445" s="515" t="s">
        <v>183</v>
      </c>
      <c r="E445" s="213"/>
      <c r="F445" s="213"/>
      <c r="G445" s="213"/>
      <c r="H445" s="214"/>
      <c r="I445" s="214"/>
      <c r="J445" s="671"/>
      <c r="K445" s="362"/>
      <c r="L445" s="369"/>
      <c r="M445" s="392"/>
      <c r="N445" s="315"/>
      <c r="O445" s="616">
        <f t="shared" si="24"/>
        <v>0</v>
      </c>
      <c r="P445" s="633"/>
      <c r="Q445" s="636"/>
      <c r="R445" s="636"/>
      <c r="S445" s="7"/>
      <c r="T445" s="725"/>
      <c r="U445" s="7"/>
      <c r="V445" s="618"/>
      <c r="W445" s="7"/>
      <c r="X445" s="7"/>
      <c r="Y445" s="7"/>
      <c r="Z445" s="7"/>
      <c r="AA445" s="7"/>
      <c r="AB445" s="7"/>
    </row>
    <row r="446" spans="1:28" ht="21.75" customHeight="1">
      <c r="A446" s="486">
        <v>15.7</v>
      </c>
      <c r="B446" s="487" t="s">
        <v>967</v>
      </c>
      <c r="C446" s="635" t="s">
        <v>968</v>
      </c>
      <c r="D446" s="515" t="s">
        <v>183</v>
      </c>
      <c r="E446" s="213"/>
      <c r="F446" s="213"/>
      <c r="G446" s="213"/>
      <c r="H446" s="214"/>
      <c r="I446" s="214"/>
      <c r="J446" s="671"/>
      <c r="K446" s="362"/>
      <c r="L446" s="369"/>
      <c r="M446" s="392"/>
      <c r="N446" s="315"/>
      <c r="O446" s="616">
        <f t="shared" si="24"/>
        <v>0</v>
      </c>
      <c r="P446" s="633"/>
      <c r="Q446" s="636"/>
      <c r="R446" s="636"/>
      <c r="S446" s="7"/>
      <c r="T446" s="725"/>
      <c r="U446" s="7"/>
      <c r="V446" s="618">
        <f t="shared" ref="V446:V447" si="30">T446-O446</f>
        <v>0</v>
      </c>
      <c r="W446" s="7"/>
      <c r="X446" s="7"/>
      <c r="Y446" s="7"/>
      <c r="Z446" s="7"/>
      <c r="AA446" s="7"/>
      <c r="AB446" s="7"/>
    </row>
    <row r="447" spans="1:28" ht="42" customHeight="1">
      <c r="A447" s="519"/>
      <c r="B447" s="801" t="s">
        <v>969</v>
      </c>
      <c r="C447" s="771"/>
      <c r="D447" s="491" t="s">
        <v>970</v>
      </c>
      <c r="E447" s="231"/>
      <c r="F447" s="231"/>
      <c r="G447" s="231"/>
      <c r="H447" s="374"/>
      <c r="I447" s="232"/>
      <c r="J447" s="753">
        <v>791369</v>
      </c>
      <c r="K447" s="754">
        <v>123581</v>
      </c>
      <c r="L447" s="383"/>
      <c r="M447" s="393">
        <v>106364</v>
      </c>
      <c r="N447" s="219"/>
      <c r="O447" s="616">
        <f t="shared" si="24"/>
        <v>1021314</v>
      </c>
      <c r="P447" s="633"/>
      <c r="Q447" s="537"/>
      <c r="R447" s="537"/>
      <c r="S447" s="7"/>
      <c r="T447" s="679">
        <v>65210</v>
      </c>
      <c r="U447" s="7"/>
      <c r="V447" s="618">
        <f t="shared" si="30"/>
        <v>-956104</v>
      </c>
      <c r="W447" s="7"/>
      <c r="X447" s="7"/>
      <c r="Y447" s="7"/>
      <c r="Z447" s="7"/>
      <c r="AA447" s="7"/>
      <c r="AB447" s="7"/>
    </row>
    <row r="448" spans="1:28" ht="21.75" customHeight="1">
      <c r="A448" s="534"/>
      <c r="B448" s="535"/>
      <c r="C448" s="680"/>
      <c r="D448" s="536"/>
      <c r="E448" s="158"/>
      <c r="F448" s="174"/>
    </row>
    <row r="449" spans="1:6" ht="15.75" customHeight="1">
      <c r="A449" s="541"/>
      <c r="B449" s="542" t="s">
        <v>1523</v>
      </c>
      <c r="C449" s="542"/>
      <c r="D449" s="541"/>
      <c r="E449" s="158"/>
      <c r="F449" s="174"/>
    </row>
    <row r="450" spans="1:6" ht="15.75" customHeight="1">
      <c r="A450" s="541"/>
      <c r="B450" s="545" t="s">
        <v>1524</v>
      </c>
      <c r="C450" s="542" t="s">
        <v>1525</v>
      </c>
      <c r="D450" s="541"/>
      <c r="E450" s="158"/>
      <c r="F450" s="174"/>
    </row>
    <row r="451" spans="1:6" ht="15.75" customHeight="1">
      <c r="A451" s="541"/>
      <c r="B451" s="545" t="s">
        <v>1526</v>
      </c>
      <c r="C451" s="542" t="s">
        <v>1527</v>
      </c>
      <c r="D451" s="541"/>
      <c r="E451" s="151"/>
      <c r="F451" s="174"/>
    </row>
    <row r="452" spans="1:6" ht="15.75" customHeight="1">
      <c r="A452" s="541"/>
      <c r="B452" s="545"/>
      <c r="C452" s="542"/>
      <c r="D452" s="541"/>
      <c r="E452" s="151"/>
      <c r="F452" s="174"/>
    </row>
    <row r="453" spans="1:6" ht="15.75" customHeight="1">
      <c r="A453" s="541"/>
      <c r="B453" s="802" t="s">
        <v>1528</v>
      </c>
      <c r="C453" s="791"/>
      <c r="D453" s="541"/>
      <c r="E453" s="151"/>
      <c r="F453" s="174"/>
    </row>
    <row r="454" spans="1:6" ht="15.75" customHeight="1">
      <c r="A454" s="541"/>
      <c r="B454" s="790" t="s">
        <v>1529</v>
      </c>
      <c r="C454" s="791"/>
      <c r="D454" s="541" t="s">
        <v>1530</v>
      </c>
      <c r="E454" s="151"/>
      <c r="F454" s="174"/>
    </row>
    <row r="455" spans="1:6" ht="15.75" customHeight="1">
      <c r="A455" s="541"/>
      <c r="B455" s="545"/>
      <c r="C455" s="542"/>
      <c r="D455" s="541"/>
      <c r="E455" s="151"/>
      <c r="F455" s="174"/>
    </row>
    <row r="456" spans="1:6" ht="15.75" customHeight="1">
      <c r="A456" s="546" t="s">
        <v>971</v>
      </c>
      <c r="B456" s="547"/>
      <c r="C456" s="547"/>
      <c r="D456" s="547"/>
      <c r="E456" s="733"/>
      <c r="F456" s="174"/>
    </row>
    <row r="457" spans="1:6" ht="15.75" customHeight="1">
      <c r="A457" s="549" t="s">
        <v>972</v>
      </c>
      <c r="B457" s="550"/>
      <c r="C457" s="550"/>
      <c r="D457" s="550"/>
      <c r="E457" s="734"/>
      <c r="F457" s="174"/>
    </row>
    <row r="458" spans="1:6" ht="15.75" customHeight="1">
      <c r="A458" s="546"/>
      <c r="B458" s="547"/>
      <c r="C458" s="241" t="s">
        <v>12</v>
      </c>
      <c r="D458" s="242">
        <f>COUNTIF($D$11:$O$11,"Hà Giang")</f>
        <v>0</v>
      </c>
      <c r="E458" s="158"/>
      <c r="F458" s="174"/>
    </row>
    <row r="459" spans="1:6" ht="15.75" customHeight="1">
      <c r="A459" s="546"/>
      <c r="B459" s="547"/>
      <c r="C459" s="241" t="s">
        <v>14</v>
      </c>
      <c r="D459" s="242">
        <f>COUNTIF($D$11:$O$11,"Lào Cai")</f>
        <v>0</v>
      </c>
      <c r="E459" s="158"/>
      <c r="F459" s="174"/>
    </row>
    <row r="460" spans="1:6" ht="15.75" customHeight="1">
      <c r="A460" s="546"/>
      <c r="B460" s="552"/>
      <c r="C460" s="241" t="s">
        <v>23</v>
      </c>
      <c r="D460" s="242">
        <f>COUNTIF($D$11:$O$11,"Lai Châu")</f>
        <v>0</v>
      </c>
      <c r="E460" s="158"/>
      <c r="F460" s="174"/>
    </row>
    <row r="461" spans="1:6" ht="15.75" customHeight="1">
      <c r="A461" s="686"/>
      <c r="B461" s="687"/>
      <c r="C461" s="243" t="s">
        <v>17</v>
      </c>
      <c r="D461" s="242">
        <f>COUNTIF($D$11:$O$11,"Điện Biên")</f>
        <v>0</v>
      </c>
      <c r="E461" s="164"/>
      <c r="F461" s="174"/>
    </row>
    <row r="462" spans="1:6" ht="15.75" customHeight="1">
      <c r="A462" s="686"/>
      <c r="B462" s="687"/>
      <c r="C462" s="243" t="s">
        <v>16</v>
      </c>
      <c r="D462" s="242">
        <f>COUNTIF($D$11:$O$11,"Lạng Sơn")</f>
        <v>0</v>
      </c>
      <c r="E462" s="164"/>
      <c r="F462" s="174"/>
    </row>
    <row r="463" spans="1:6" ht="15.75" customHeight="1">
      <c r="A463" s="686"/>
      <c r="B463" s="687"/>
      <c r="C463" s="243" t="s">
        <v>13</v>
      </c>
      <c r="D463" s="242">
        <f>COUNTIF($D$11:$O$11,"Cao Bằng")</f>
        <v>0</v>
      </c>
      <c r="E463" s="164"/>
      <c r="F463" s="174"/>
    </row>
    <row r="464" spans="1:6" ht="15.75" customHeight="1">
      <c r="A464" s="686"/>
      <c r="B464" s="687"/>
      <c r="C464" s="243" t="s">
        <v>1090</v>
      </c>
      <c r="D464" s="242">
        <f>COUNTIF($D$11:$O$11,"Sơn La")</f>
        <v>0</v>
      </c>
      <c r="E464" s="164"/>
      <c r="F464" s="174"/>
    </row>
    <row r="465" spans="1:6" ht="15.75" customHeight="1">
      <c r="A465" s="686"/>
      <c r="B465" s="687"/>
      <c r="C465" s="243" t="s">
        <v>19</v>
      </c>
      <c r="D465" s="242">
        <f>COUNTIF($D$11:$O$11,"Yên Bái")</f>
        <v>0</v>
      </c>
      <c r="E465" s="164"/>
      <c r="F465" s="174"/>
    </row>
    <row r="466" spans="1:6" ht="15.75" customHeight="1">
      <c r="A466" s="686"/>
      <c r="B466" s="687"/>
      <c r="C466" s="243" t="s">
        <v>18</v>
      </c>
      <c r="D466" s="242">
        <f>COUNTIF($D$11:$O$11,"Tuyên Quang")</f>
        <v>0</v>
      </c>
      <c r="E466" s="164"/>
      <c r="F466" s="174"/>
    </row>
    <row r="467" spans="1:6" ht="15.75" customHeight="1">
      <c r="A467" s="686"/>
      <c r="B467" s="687"/>
      <c r="C467" s="243" t="s">
        <v>1091</v>
      </c>
      <c r="D467" s="242">
        <f>COUNTIF($D$11:$O$11,"Thái Nguyên")</f>
        <v>0</v>
      </c>
      <c r="E467" s="164"/>
      <c r="F467" s="174"/>
    </row>
    <row r="468" spans="1:6" ht="15.75" customHeight="1">
      <c r="A468" s="686"/>
      <c r="B468" s="687"/>
      <c r="C468" s="243" t="s">
        <v>15</v>
      </c>
      <c r="D468" s="242">
        <f>COUNTIF($D$11:$O$11,"Bắc Kạn")</f>
        <v>0</v>
      </c>
      <c r="E468" s="164"/>
      <c r="F468" s="174"/>
    </row>
    <row r="469" spans="1:6" ht="15.75" customHeight="1">
      <c r="A469" s="686"/>
      <c r="B469" s="687"/>
      <c r="C469" s="243" t="s">
        <v>25</v>
      </c>
      <c r="D469" s="242">
        <f>COUNTIF($D$11:$O$11,"Hoà Bình")</f>
        <v>0</v>
      </c>
      <c r="E469" s="164"/>
      <c r="F469" s="174"/>
    </row>
    <row r="470" spans="1:6" ht="15.75" customHeight="1">
      <c r="A470" s="686"/>
      <c r="B470" s="687"/>
      <c r="C470" s="243" t="s">
        <v>1092</v>
      </c>
      <c r="D470" s="242">
        <f>COUNTIF($D$11:$O$11,"Bắc Giang")</f>
        <v>0</v>
      </c>
      <c r="E470" s="164"/>
      <c r="F470" s="174"/>
    </row>
    <row r="471" spans="1:6" ht="15.75" customHeight="1">
      <c r="A471" s="686"/>
      <c r="B471" s="687"/>
      <c r="C471" s="243" t="s">
        <v>28</v>
      </c>
      <c r="D471" s="242">
        <f>COUNTIF($D$11:$O$11,"Quảng Ninh")</f>
        <v>0</v>
      </c>
      <c r="E471" s="164"/>
      <c r="F471" s="174"/>
    </row>
    <row r="472" spans="1:6" ht="15.75" customHeight="1">
      <c r="A472" s="686"/>
      <c r="B472" s="687"/>
      <c r="C472" s="243" t="s">
        <v>26</v>
      </c>
      <c r="D472" s="242">
        <f>COUNTIF($D$11:$O$11,"Hà Nội")</f>
        <v>0</v>
      </c>
      <c r="E472" s="164"/>
      <c r="F472" s="174"/>
    </row>
    <row r="473" spans="1:6" ht="15.75" customHeight="1">
      <c r="A473" s="686"/>
      <c r="B473" s="687"/>
      <c r="C473" s="243" t="s">
        <v>21</v>
      </c>
      <c r="D473" s="242">
        <f>COUNTIF($D$11:$O$11,"Phú Thọ")</f>
        <v>0</v>
      </c>
      <c r="E473" s="164"/>
      <c r="F473" s="174"/>
    </row>
    <row r="474" spans="1:6" ht="15.75" customHeight="1">
      <c r="A474" s="686"/>
      <c r="B474" s="687"/>
      <c r="C474" s="243" t="s">
        <v>1093</v>
      </c>
      <c r="D474" s="242">
        <f>COUNTIF($D$11:$O$11,"Vĩnh Phúc")</f>
        <v>0</v>
      </c>
      <c r="E474" s="164"/>
      <c r="F474" s="174"/>
    </row>
    <row r="475" spans="1:6" ht="15.75" customHeight="1">
      <c r="A475" s="686"/>
      <c r="B475" s="687"/>
      <c r="C475" s="243" t="s">
        <v>32</v>
      </c>
      <c r="D475" s="242">
        <f>COUNTIF($D$11:$O$11,"Bắc Ninh")</f>
        <v>0</v>
      </c>
      <c r="E475" s="164"/>
      <c r="F475" s="174"/>
    </row>
    <row r="476" spans="1:6" ht="15.75" customHeight="1">
      <c r="A476" s="686"/>
      <c r="B476" s="687"/>
      <c r="C476" s="243" t="s">
        <v>29</v>
      </c>
      <c r="D476" s="242">
        <f>COUNTIF($D$11:$O$11,"Hải Dương")</f>
        <v>0</v>
      </c>
      <c r="E476" s="164"/>
      <c r="F476" s="174"/>
    </row>
    <row r="477" spans="1:6" ht="15.75" customHeight="1">
      <c r="A477" s="686"/>
      <c r="B477" s="687"/>
      <c r="C477" s="243" t="s">
        <v>30</v>
      </c>
      <c r="D477" s="242">
        <f>COUNTIF($D$11:$O$11,"Hưng Yên")</f>
        <v>0</v>
      </c>
      <c r="E477" s="164"/>
      <c r="F477" s="174"/>
    </row>
    <row r="478" spans="1:6" ht="15.75" customHeight="1">
      <c r="A478" s="686"/>
      <c r="B478" s="687"/>
      <c r="C478" s="243" t="s">
        <v>27</v>
      </c>
      <c r="D478" s="242">
        <f>COUNTIF($D$11:$O$11,"Hải Phòng")</f>
        <v>0</v>
      </c>
      <c r="E478" s="164"/>
      <c r="F478" s="174"/>
    </row>
    <row r="479" spans="1:6" ht="15.75" customHeight="1">
      <c r="A479" s="686"/>
      <c r="B479" s="687"/>
      <c r="C479" s="243" t="s">
        <v>33</v>
      </c>
      <c r="D479" s="242">
        <f>COUNTIF($D$11:$O$11,"Hà Nam")</f>
        <v>0</v>
      </c>
      <c r="E479" s="164"/>
      <c r="F479" s="174"/>
    </row>
    <row r="480" spans="1:6" ht="15.75" customHeight="1">
      <c r="A480" s="686"/>
      <c r="B480" s="687"/>
      <c r="C480" s="243" t="s">
        <v>36</v>
      </c>
      <c r="D480" s="242">
        <f>COUNTIF($D$11:$O$11,"Nam Định")</f>
        <v>0</v>
      </c>
      <c r="E480" s="164"/>
      <c r="F480" s="174"/>
    </row>
    <row r="481" spans="1:6" ht="15.75" customHeight="1">
      <c r="A481" s="686"/>
      <c r="B481" s="687"/>
      <c r="C481" s="243" t="s">
        <v>1094</v>
      </c>
      <c r="D481" s="242">
        <f>COUNTIF($D$11:$O$11,"Thái Bình")</f>
        <v>0</v>
      </c>
      <c r="E481" s="164"/>
      <c r="F481" s="174"/>
    </row>
    <row r="482" spans="1:6" ht="15.75" customHeight="1">
      <c r="A482" s="686"/>
      <c r="B482" s="687"/>
      <c r="C482" s="243" t="s">
        <v>34</v>
      </c>
      <c r="D482" s="242">
        <f>COUNTIF($D$11:$O$11,"Ninh Bình")</f>
        <v>0</v>
      </c>
      <c r="E482" s="164"/>
      <c r="F482" s="174"/>
    </row>
    <row r="483" spans="1:6" ht="15.75" customHeight="1">
      <c r="A483" s="686"/>
      <c r="B483" s="687"/>
      <c r="C483" s="243" t="s">
        <v>37</v>
      </c>
      <c r="D483" s="242">
        <f>COUNTIF($D$11:$O$11,"Thanh Hoá")</f>
        <v>0</v>
      </c>
      <c r="E483" s="164"/>
      <c r="F483" s="174"/>
    </row>
    <row r="484" spans="1:6" ht="15.75" customHeight="1">
      <c r="A484" s="686"/>
      <c r="B484" s="687"/>
      <c r="C484" s="243" t="s">
        <v>1095</v>
      </c>
      <c r="D484" s="242">
        <f>COUNTIF($D$11:$O$11,"Nghệ An")</f>
        <v>0</v>
      </c>
      <c r="E484" s="164"/>
      <c r="F484" s="174"/>
    </row>
    <row r="485" spans="1:6" ht="15.75" customHeight="1">
      <c r="A485" s="686"/>
      <c r="B485" s="687"/>
      <c r="C485" s="243" t="s">
        <v>1096</v>
      </c>
      <c r="D485" s="242">
        <f>COUNTIF($D$11:$O$11,"Hà Tĩnh")</f>
        <v>0</v>
      </c>
      <c r="E485" s="164"/>
      <c r="F485" s="174"/>
    </row>
    <row r="486" spans="1:6" ht="15.75" customHeight="1">
      <c r="A486" s="686"/>
      <c r="B486" s="687"/>
      <c r="C486" s="243" t="s">
        <v>1097</v>
      </c>
      <c r="D486" s="242">
        <f>COUNTIF($D$11:$O$11,"Quảng Bình")</f>
        <v>0</v>
      </c>
      <c r="E486" s="164"/>
      <c r="F486" s="174"/>
    </row>
    <row r="487" spans="1:6" ht="15.75" customHeight="1">
      <c r="A487" s="686"/>
      <c r="B487" s="687"/>
      <c r="C487" s="243" t="s">
        <v>1098</v>
      </c>
      <c r="D487" s="242">
        <f>COUNTIF($D$11:$O$11,"Quảng Trị")</f>
        <v>9</v>
      </c>
      <c r="E487" s="164"/>
      <c r="F487" s="174"/>
    </row>
    <row r="488" spans="1:6" ht="15.75" customHeight="1">
      <c r="A488" s="686"/>
      <c r="B488" s="687"/>
      <c r="C488" s="243" t="s">
        <v>1099</v>
      </c>
      <c r="D488" s="242">
        <f>COUNTIF($D$11:$O$11,"Thừa Thiên Huế")</f>
        <v>0</v>
      </c>
      <c r="E488" s="164"/>
      <c r="F488" s="174"/>
    </row>
    <row r="489" spans="1:6" ht="15.75" customHeight="1">
      <c r="A489" s="686"/>
      <c r="B489" s="687"/>
      <c r="C489" s="243" t="s">
        <v>1100</v>
      </c>
      <c r="D489" s="242">
        <f>COUNTIF($D$11:$O$11,"Đà Nẵng")</f>
        <v>0</v>
      </c>
      <c r="E489" s="164"/>
      <c r="F489" s="174"/>
    </row>
    <row r="490" spans="1:6" ht="15.75" customHeight="1">
      <c r="A490" s="686"/>
      <c r="B490" s="687"/>
      <c r="C490" s="243" t="s">
        <v>1101</v>
      </c>
      <c r="D490" s="242">
        <f>COUNTIF($D$11:$O$11,"Quảng Nam")</f>
        <v>0</v>
      </c>
      <c r="E490" s="164"/>
      <c r="F490" s="174"/>
    </row>
    <row r="491" spans="1:6" ht="15.75" customHeight="1">
      <c r="A491" s="686"/>
      <c r="B491" s="687"/>
      <c r="C491" s="243" t="s">
        <v>1102</v>
      </c>
      <c r="D491" s="242">
        <f>COUNTIF($D$11:$O$11,"Quảng Ngãi")</f>
        <v>0</v>
      </c>
      <c r="E491" s="164"/>
      <c r="F491" s="174"/>
    </row>
    <row r="492" spans="1:6" ht="15.75" customHeight="1">
      <c r="A492" s="686"/>
      <c r="B492" s="687"/>
      <c r="C492" s="243" t="s">
        <v>1103</v>
      </c>
      <c r="D492" s="242">
        <f>COUNTIF($D$11:$O$11,"Bình Định")</f>
        <v>0</v>
      </c>
      <c r="E492" s="164"/>
      <c r="F492" s="174"/>
    </row>
    <row r="493" spans="1:6" ht="15.75" customHeight="1">
      <c r="A493" s="686"/>
      <c r="B493" s="687"/>
      <c r="C493" s="243" t="s">
        <v>1104</v>
      </c>
      <c r="D493" s="242">
        <f>COUNTIF($D$11:$O$11,"Phú Yên")</f>
        <v>0</v>
      </c>
      <c r="E493" s="164"/>
      <c r="F493" s="174"/>
    </row>
    <row r="494" spans="1:6" ht="15.75" customHeight="1">
      <c r="A494" s="686"/>
      <c r="B494" s="687"/>
      <c r="C494" s="243" t="s">
        <v>1105</v>
      </c>
      <c r="D494" s="242">
        <f>COUNTIF($D$11:$O$11,"Khánh Hoà")</f>
        <v>0</v>
      </c>
      <c r="E494" s="164"/>
      <c r="F494" s="174"/>
    </row>
    <row r="495" spans="1:6" ht="15.75" customHeight="1">
      <c r="A495" s="686"/>
      <c r="B495" s="687"/>
      <c r="C495" s="243" t="s">
        <v>1106</v>
      </c>
      <c r="D495" s="242">
        <f>COUNTIF($D$11:$O$11,"Ninh Thuận")</f>
        <v>0</v>
      </c>
      <c r="E495" s="164"/>
      <c r="F495" s="174"/>
    </row>
    <row r="496" spans="1:6" ht="15.75" customHeight="1">
      <c r="A496" s="686"/>
      <c r="B496" s="687"/>
      <c r="C496" s="243" t="s">
        <v>1107</v>
      </c>
      <c r="D496" s="242">
        <f>COUNTIF($D$11:$O$11,"Bình Thuận")</f>
        <v>0</v>
      </c>
      <c r="E496" s="164"/>
      <c r="F496" s="174"/>
    </row>
    <row r="497" spans="1:6" ht="15.75" customHeight="1">
      <c r="A497" s="686"/>
      <c r="B497" s="687"/>
      <c r="C497" s="243" t="s">
        <v>1108</v>
      </c>
      <c r="D497" s="242">
        <f>COUNTIF($D$11:$O$11,"Kon Tum")</f>
        <v>0</v>
      </c>
      <c r="E497" s="164"/>
      <c r="F497" s="174"/>
    </row>
    <row r="498" spans="1:6" ht="15.75" customHeight="1">
      <c r="A498" s="686"/>
      <c r="B498" s="687"/>
      <c r="C498" s="243" t="s">
        <v>1109</v>
      </c>
      <c r="D498" s="242">
        <f>COUNTIF($D$11:$O$11,"Gia Lai")</f>
        <v>0</v>
      </c>
      <c r="E498" s="164"/>
      <c r="F498" s="174"/>
    </row>
    <row r="499" spans="1:6" ht="15.75" customHeight="1">
      <c r="A499" s="686"/>
      <c r="B499" s="687"/>
      <c r="C499" s="243" t="s">
        <v>1110</v>
      </c>
      <c r="D499" s="242">
        <f>COUNTIF($D$11:$O$11,"Đắk Lắk")</f>
        <v>0</v>
      </c>
      <c r="E499" s="164"/>
      <c r="F499" s="174"/>
    </row>
    <row r="500" spans="1:6" ht="15.75" customHeight="1">
      <c r="A500" s="686"/>
      <c r="B500" s="687"/>
      <c r="C500" s="243" t="s">
        <v>1111</v>
      </c>
      <c r="D500" s="242">
        <f>COUNTIF($D$11:$O$11,"Đắk Nông")</f>
        <v>0</v>
      </c>
      <c r="E500" s="164"/>
      <c r="F500" s="174"/>
    </row>
    <row r="501" spans="1:6" ht="15.75" customHeight="1">
      <c r="A501" s="686"/>
      <c r="B501" s="687"/>
      <c r="C501" s="243" t="s">
        <v>1112</v>
      </c>
      <c r="D501" s="242">
        <f>COUNTIF($D$11:$O$11,"Lâm Đồng")</f>
        <v>0</v>
      </c>
      <c r="E501" s="164"/>
      <c r="F501" s="174"/>
    </row>
    <row r="502" spans="1:6" ht="15.75" customHeight="1">
      <c r="A502" s="686"/>
      <c r="B502" s="687"/>
      <c r="C502" s="243" t="s">
        <v>1113</v>
      </c>
      <c r="D502" s="242">
        <f>COUNTIF($D$11:$O$11,"Tây Ninh")</f>
        <v>0</v>
      </c>
      <c r="E502" s="164"/>
      <c r="F502" s="174"/>
    </row>
    <row r="503" spans="1:6" ht="15.75" customHeight="1">
      <c r="A503" s="686"/>
      <c r="B503" s="687"/>
      <c r="C503" s="243" t="s">
        <v>1114</v>
      </c>
      <c r="D503" s="242">
        <f>COUNTIF($D$11:$O$11,"Bình Phước")</f>
        <v>0</v>
      </c>
      <c r="E503" s="164"/>
      <c r="F503" s="174"/>
    </row>
    <row r="504" spans="1:6" ht="15.75" customHeight="1">
      <c r="A504" s="686"/>
      <c r="B504" s="687"/>
      <c r="C504" s="243" t="s">
        <v>1115</v>
      </c>
      <c r="D504" s="242">
        <f>COUNTIF($D$11:$O$11,"Bình Dương")</f>
        <v>0</v>
      </c>
      <c r="E504" s="164"/>
      <c r="F504" s="174"/>
    </row>
    <row r="505" spans="1:6" ht="15.75" customHeight="1">
      <c r="A505" s="686"/>
      <c r="B505" s="687"/>
      <c r="C505" s="243" t="s">
        <v>1116</v>
      </c>
      <c r="D505" s="242">
        <f>COUNTIF($D$11:$O$11,"Bà Rịa - Vũng Tàu")</f>
        <v>0</v>
      </c>
      <c r="E505" s="164"/>
      <c r="F505" s="174"/>
    </row>
    <row r="506" spans="1:6" ht="15.75" customHeight="1">
      <c r="A506" s="686"/>
      <c r="B506" s="687"/>
      <c r="C506" s="243" t="s">
        <v>1117</v>
      </c>
      <c r="D506" s="242">
        <f>COUNTIF($D$11:$O$11,"Bến Tre")</f>
        <v>0</v>
      </c>
      <c r="E506" s="164"/>
      <c r="F506" s="174"/>
    </row>
    <row r="507" spans="1:6" ht="15.75" customHeight="1">
      <c r="A507" s="686"/>
      <c r="B507" s="687"/>
      <c r="C507" s="243" t="s">
        <v>1118</v>
      </c>
      <c r="D507" s="242">
        <f>COUNTIF($D$11:$O$11,"An Giang")</f>
        <v>0</v>
      </c>
      <c r="E507" s="164"/>
      <c r="F507" s="174"/>
    </row>
    <row r="508" spans="1:6" ht="15.75" customHeight="1">
      <c r="A508" s="686"/>
      <c r="B508" s="687"/>
      <c r="C508" s="243" t="s">
        <v>1119</v>
      </c>
      <c r="D508" s="242">
        <f>COUNTIF($D$11:$O$11,"Vĩnh Long")</f>
        <v>0</v>
      </c>
      <c r="E508" s="164"/>
      <c r="F508" s="174"/>
    </row>
    <row r="509" spans="1:6" ht="15.75" customHeight="1">
      <c r="A509" s="686"/>
      <c r="B509" s="687"/>
      <c r="C509" s="243" t="s">
        <v>1120</v>
      </c>
      <c r="D509" s="242">
        <f>COUNTIF($D$11:$O$11,"Cần Thơ")</f>
        <v>0</v>
      </c>
      <c r="E509" s="164"/>
      <c r="F509" s="174"/>
    </row>
    <row r="510" spans="1:6" ht="15.75" customHeight="1">
      <c r="A510" s="686"/>
      <c r="B510" s="687"/>
      <c r="C510" s="243" t="s">
        <v>1121</v>
      </c>
      <c r="D510" s="242">
        <f>COUNTIF($D$11:$O$11,"Hậu Giang")</f>
        <v>0</v>
      </c>
      <c r="E510" s="164"/>
      <c r="F510" s="174"/>
    </row>
    <row r="511" spans="1:6" ht="15.75" customHeight="1">
      <c r="A511" s="686"/>
      <c r="B511" s="687"/>
      <c r="C511" s="243" t="s">
        <v>1122</v>
      </c>
      <c r="D511" s="242">
        <f>COUNTIF($D$11:$O$11,"Sóc Trăng")</f>
        <v>0</v>
      </c>
      <c r="E511" s="164"/>
      <c r="F511" s="174"/>
    </row>
    <row r="512" spans="1:6" ht="15.75" customHeight="1">
      <c r="A512" s="686"/>
      <c r="B512" s="687"/>
      <c r="C512" s="243" t="s">
        <v>1123</v>
      </c>
      <c r="D512" s="242">
        <f>COUNTIF($D$11:$O$11,"Bạc Liêu")</f>
        <v>0</v>
      </c>
      <c r="E512" s="164"/>
      <c r="F512" s="174"/>
    </row>
    <row r="513" spans="1:6" ht="15.75" customHeight="1">
      <c r="A513" s="686"/>
      <c r="B513" s="687"/>
      <c r="C513" s="243" t="s">
        <v>1124</v>
      </c>
      <c r="D513" s="242">
        <f>COUNTIF($D$11:$O$11,"Cà Mau")</f>
        <v>0</v>
      </c>
      <c r="E513" s="164"/>
      <c r="F513" s="174"/>
    </row>
    <row r="514" spans="1:6" ht="15.75" customHeight="1">
      <c r="A514" s="686"/>
      <c r="B514" s="687"/>
      <c r="C514" s="243" t="s">
        <v>1125</v>
      </c>
      <c r="D514" s="242">
        <f>COUNTIF($D$11:$O$11,"Kiên Giang")</f>
        <v>0</v>
      </c>
      <c r="E514" s="164"/>
      <c r="F514" s="174"/>
    </row>
    <row r="515" spans="1:6" ht="15.75" customHeight="1">
      <c r="A515" s="686"/>
      <c r="B515" s="687"/>
      <c r="C515" s="243" t="s">
        <v>1126</v>
      </c>
      <c r="D515" s="242">
        <f>COUNTIF($D$11:$O$11,"Đồng Tháp")</f>
        <v>0</v>
      </c>
      <c r="E515" s="164"/>
      <c r="F515" s="174"/>
    </row>
    <row r="516" spans="1:6" ht="15.75" customHeight="1">
      <c r="A516" s="686"/>
      <c r="B516" s="687"/>
      <c r="C516" s="243" t="s">
        <v>1127</v>
      </c>
      <c r="D516" s="242">
        <f>COUNTIF($D$11:$O$11,"Trà Vinh")</f>
        <v>0</v>
      </c>
      <c r="E516" s="164"/>
      <c r="F516" s="174"/>
    </row>
    <row r="517" spans="1:6" ht="15.75" customHeight="1">
      <c r="A517" s="686"/>
      <c r="B517" s="687"/>
      <c r="C517" s="243" t="s">
        <v>1128</v>
      </c>
      <c r="D517" s="242">
        <f>COUNTIF($D$11:$O$11,"Tiền Giang")</f>
        <v>0</v>
      </c>
      <c r="E517" s="164"/>
      <c r="F517" s="174"/>
    </row>
    <row r="518" spans="1:6" ht="15.75" customHeight="1">
      <c r="A518" s="686"/>
      <c r="B518" s="687"/>
      <c r="C518" s="243" t="s">
        <v>1129</v>
      </c>
      <c r="D518" s="242">
        <f>COUNTIF($D$11:$O$11,"Long An")</f>
        <v>0</v>
      </c>
      <c r="E518" s="164"/>
      <c r="F518" s="174"/>
    </row>
    <row r="519" spans="1:6" ht="15.75" customHeight="1">
      <c r="A519" s="686"/>
      <c r="B519" s="687"/>
      <c r="C519" s="243" t="s">
        <v>1130</v>
      </c>
      <c r="D519" s="242">
        <f>COUNTIF($D$11:$O$11,"Đồng Nai")</f>
        <v>0</v>
      </c>
      <c r="E519" s="164"/>
      <c r="F519" s="174"/>
    </row>
    <row r="520" spans="1:6" ht="15.75" customHeight="1">
      <c r="A520" s="686"/>
      <c r="B520" s="687"/>
      <c r="C520" s="243" t="s">
        <v>1131</v>
      </c>
      <c r="D520" s="242">
        <f>COUNTIF($D$11:$O$11,"TP Hồ Chí Minh")</f>
        <v>0</v>
      </c>
      <c r="E520" s="164"/>
      <c r="F520" s="174"/>
    </row>
    <row r="521" spans="1:6" ht="15.75" customHeight="1">
      <c r="A521" s="686"/>
      <c r="B521" s="687"/>
      <c r="C521" s="243"/>
      <c r="D521" s="244"/>
      <c r="E521" s="164"/>
      <c r="F521" s="174"/>
    </row>
    <row r="522" spans="1:6" ht="15.75" customHeight="1">
      <c r="A522" s="686"/>
      <c r="B522" s="687"/>
      <c r="C522" s="243"/>
      <c r="D522" s="245">
        <f>SUM(D458:D520)</f>
        <v>9</v>
      </c>
      <c r="E522" s="164"/>
      <c r="F522" s="174"/>
    </row>
    <row r="523" spans="1:6" ht="15.75" customHeight="1">
      <c r="A523" s="686"/>
      <c r="B523" s="687"/>
      <c r="C523" s="243"/>
      <c r="D523" s="244"/>
      <c r="E523" s="164"/>
      <c r="F523" s="174"/>
    </row>
    <row r="524" spans="1:6" ht="15.75" customHeight="1">
      <c r="A524" s="686"/>
      <c r="B524" s="687"/>
      <c r="C524" s="243"/>
      <c r="D524" s="244"/>
      <c r="E524" s="164"/>
      <c r="F524" s="174"/>
    </row>
    <row r="525" spans="1:6" ht="15.75" customHeight="1">
      <c r="A525" s="686"/>
      <c r="B525" s="687"/>
      <c r="C525" s="243"/>
      <c r="D525" s="244"/>
      <c r="E525" s="164"/>
      <c r="F525" s="174"/>
    </row>
    <row r="526" spans="1:6" ht="15.75" customHeight="1">
      <c r="A526" s="686"/>
      <c r="B526" s="687"/>
      <c r="C526" s="243"/>
      <c r="D526" s="244"/>
      <c r="E526" s="164"/>
      <c r="F526" s="174"/>
    </row>
    <row r="527" spans="1:6" ht="15.75" customHeight="1">
      <c r="A527" s="686"/>
      <c r="B527" s="687"/>
      <c r="C527" s="243"/>
      <c r="D527" s="244"/>
      <c r="E527" s="164"/>
      <c r="F527" s="174"/>
    </row>
    <row r="528" spans="1:6" ht="15.75" customHeight="1">
      <c r="A528" s="686"/>
      <c r="B528" s="687"/>
      <c r="C528" s="243"/>
      <c r="D528" s="244"/>
      <c r="E528" s="164"/>
      <c r="F528" s="174"/>
    </row>
    <row r="529" spans="1:6" ht="15.75" customHeight="1">
      <c r="A529" s="686"/>
      <c r="B529" s="687"/>
      <c r="C529" s="243"/>
      <c r="D529" s="244"/>
      <c r="E529" s="164"/>
      <c r="F529" s="174"/>
    </row>
    <row r="530" spans="1:6" ht="15.75" customHeight="1">
      <c r="A530" s="686"/>
      <c r="B530" s="687"/>
      <c r="C530" s="243"/>
      <c r="D530" s="244"/>
      <c r="E530" s="164"/>
      <c r="F530" s="174"/>
    </row>
    <row r="531" spans="1:6" ht="15.75" customHeight="1">
      <c r="A531" s="686"/>
      <c r="B531" s="687"/>
      <c r="C531" s="243"/>
      <c r="D531" s="244"/>
      <c r="E531" s="164"/>
      <c r="F531" s="174"/>
    </row>
    <row r="532" spans="1:6" ht="15.75" customHeight="1">
      <c r="A532" s="686"/>
      <c r="B532" s="687"/>
      <c r="C532" s="243"/>
      <c r="D532" s="244"/>
      <c r="E532" s="164"/>
      <c r="F532" s="174"/>
    </row>
    <row r="533" spans="1:6" ht="15.75" customHeight="1">
      <c r="A533" s="686"/>
      <c r="B533" s="687"/>
      <c r="C533" s="243"/>
      <c r="D533" s="244"/>
      <c r="E533" s="164"/>
      <c r="F533" s="174"/>
    </row>
    <row r="534" spans="1:6" ht="15.75" customHeight="1">
      <c r="A534" s="686"/>
      <c r="B534" s="687"/>
      <c r="C534" s="243"/>
      <c r="D534" s="244"/>
      <c r="E534" s="164"/>
      <c r="F534" s="174"/>
    </row>
    <row r="535" spans="1:6" ht="15.75" customHeight="1">
      <c r="A535" s="686"/>
      <c r="B535" s="687"/>
      <c r="C535" s="243"/>
      <c r="D535" s="244"/>
      <c r="E535" s="164"/>
      <c r="F535" s="174"/>
    </row>
    <row r="536" spans="1:6" ht="15.75" customHeight="1">
      <c r="A536" s="686"/>
      <c r="B536" s="687"/>
      <c r="C536" s="243"/>
      <c r="D536" s="244"/>
      <c r="E536" s="164"/>
      <c r="F536" s="174"/>
    </row>
    <row r="537" spans="1:6" ht="15.75" customHeight="1">
      <c r="A537" s="686"/>
      <c r="B537" s="687"/>
      <c r="C537" s="243"/>
      <c r="D537" s="244"/>
      <c r="E537" s="164"/>
      <c r="F537" s="174"/>
    </row>
    <row r="538" spans="1:6" ht="15.75" customHeight="1">
      <c r="A538" s="686"/>
      <c r="B538" s="687"/>
      <c r="C538" s="243"/>
      <c r="D538" s="244"/>
      <c r="E538" s="164"/>
      <c r="F538" s="174"/>
    </row>
    <row r="539" spans="1:6" ht="15.75" customHeight="1">
      <c r="A539" s="686"/>
      <c r="B539" s="687"/>
      <c r="C539" s="243"/>
      <c r="D539" s="244"/>
      <c r="E539" s="164"/>
      <c r="F539" s="174"/>
    </row>
    <row r="540" spans="1:6" ht="15.75" customHeight="1">
      <c r="A540" s="686"/>
      <c r="B540" s="687"/>
      <c r="C540" s="243"/>
      <c r="D540" s="244"/>
      <c r="E540" s="164"/>
      <c r="F540" s="174"/>
    </row>
    <row r="541" spans="1:6" ht="15.75" customHeight="1">
      <c r="A541" s="686"/>
      <c r="B541" s="687"/>
      <c r="C541" s="243"/>
      <c r="D541" s="244"/>
      <c r="E541" s="164"/>
      <c r="F541" s="174"/>
    </row>
    <row r="542" spans="1:6" ht="15.75" customHeight="1">
      <c r="A542" s="686"/>
      <c r="B542" s="687"/>
      <c r="C542" s="243"/>
      <c r="D542" s="244"/>
      <c r="E542" s="164"/>
      <c r="F542" s="174"/>
    </row>
    <row r="543" spans="1:6" ht="15.75" customHeight="1">
      <c r="A543" s="686"/>
      <c r="B543" s="687"/>
      <c r="C543" s="243"/>
      <c r="D543" s="244"/>
      <c r="E543" s="164"/>
      <c r="F543" s="174"/>
    </row>
    <row r="544" spans="1:6" ht="15.75" customHeight="1">
      <c r="A544" s="686"/>
      <c r="B544" s="687"/>
      <c r="C544" s="243"/>
      <c r="D544" s="244"/>
      <c r="E544" s="164"/>
      <c r="F544" s="174"/>
    </row>
    <row r="545" spans="1:6" ht="15.75" customHeight="1">
      <c r="A545" s="686"/>
      <c r="B545" s="687"/>
      <c r="C545" s="243"/>
      <c r="D545" s="244"/>
      <c r="E545" s="164"/>
      <c r="F545" s="174"/>
    </row>
    <row r="546" spans="1:6" ht="15.75" customHeight="1">
      <c r="A546" s="686"/>
      <c r="B546" s="687"/>
      <c r="C546" s="243"/>
      <c r="D546" s="244"/>
      <c r="E546" s="164"/>
      <c r="F546" s="174"/>
    </row>
    <row r="547" spans="1:6" ht="15.75" customHeight="1">
      <c r="A547" s="686"/>
      <c r="B547" s="687"/>
      <c r="C547" s="243"/>
      <c r="D547" s="244"/>
      <c r="E547" s="164"/>
      <c r="F547" s="174"/>
    </row>
    <row r="548" spans="1:6" ht="15.75" customHeight="1">
      <c r="A548" s="686"/>
      <c r="B548" s="687"/>
      <c r="C548" s="243"/>
      <c r="D548" s="244"/>
      <c r="E548" s="164"/>
      <c r="F548" s="174"/>
    </row>
    <row r="549" spans="1:6" ht="15.75" customHeight="1">
      <c r="A549" s="686"/>
      <c r="B549" s="687"/>
      <c r="C549" s="243"/>
      <c r="D549" s="244"/>
      <c r="E549" s="164"/>
      <c r="F549" s="174"/>
    </row>
    <row r="550" spans="1:6" ht="15.75" customHeight="1">
      <c r="A550" s="686"/>
      <c r="B550" s="687"/>
      <c r="C550" s="243"/>
      <c r="D550" s="244"/>
      <c r="E550" s="164"/>
      <c r="F550" s="174"/>
    </row>
    <row r="551" spans="1:6" ht="15.75" customHeight="1">
      <c r="A551" s="686"/>
      <c r="B551" s="687"/>
      <c r="C551" s="243"/>
      <c r="D551" s="244"/>
      <c r="E551" s="164"/>
      <c r="F551" s="174"/>
    </row>
    <row r="552" spans="1:6" ht="15.75" customHeight="1">
      <c r="A552" s="686"/>
      <c r="B552" s="687"/>
      <c r="C552" s="243"/>
      <c r="D552" s="244"/>
      <c r="E552" s="164"/>
      <c r="F552" s="174"/>
    </row>
    <row r="553" spans="1:6" ht="15.75" customHeight="1">
      <c r="A553" s="686"/>
      <c r="B553" s="687"/>
      <c r="C553" s="243"/>
      <c r="D553" s="244"/>
      <c r="E553" s="164"/>
      <c r="F553" s="174"/>
    </row>
    <row r="554" spans="1:6" ht="15.75" customHeight="1">
      <c r="A554" s="686"/>
      <c r="B554" s="687"/>
      <c r="C554" s="243"/>
      <c r="D554" s="244"/>
      <c r="E554" s="164"/>
      <c r="F554" s="174"/>
    </row>
    <row r="555" spans="1:6" ht="15.75" customHeight="1">
      <c r="A555" s="686"/>
      <c r="B555" s="687"/>
      <c r="C555" s="243"/>
      <c r="D555" s="244"/>
      <c r="E555" s="164"/>
      <c r="F555" s="174"/>
    </row>
    <row r="556" spans="1:6" ht="15.75" customHeight="1">
      <c r="A556" s="686"/>
      <c r="B556" s="687"/>
      <c r="C556" s="243"/>
      <c r="D556" s="244"/>
      <c r="E556" s="164"/>
      <c r="F556" s="174"/>
    </row>
    <row r="557" spans="1:6" ht="15.75" customHeight="1">
      <c r="A557" s="686"/>
      <c r="B557" s="687"/>
      <c r="C557" s="243"/>
      <c r="D557" s="244"/>
      <c r="E557" s="164"/>
      <c r="F557" s="174"/>
    </row>
    <row r="558" spans="1:6" ht="15.75" customHeight="1">
      <c r="A558" s="686"/>
      <c r="B558" s="687"/>
      <c r="C558" s="243"/>
      <c r="D558" s="244"/>
      <c r="E558" s="164"/>
      <c r="F558" s="174"/>
    </row>
    <row r="559" spans="1:6" ht="15.75" customHeight="1">
      <c r="A559" s="686"/>
      <c r="B559" s="687"/>
      <c r="C559" s="243"/>
      <c r="D559" s="244"/>
      <c r="E559" s="164"/>
      <c r="F559" s="174"/>
    </row>
    <row r="560" spans="1:6" ht="15.75" customHeight="1">
      <c r="A560" s="686"/>
      <c r="B560" s="687"/>
      <c r="C560" s="243"/>
      <c r="D560" s="244"/>
      <c r="E560" s="164"/>
      <c r="F560" s="174"/>
    </row>
    <row r="561" spans="1:6" ht="15.75" customHeight="1">
      <c r="A561" s="686"/>
      <c r="B561" s="687"/>
      <c r="C561" s="243"/>
      <c r="D561" s="244"/>
      <c r="E561" s="164"/>
      <c r="F561" s="174"/>
    </row>
    <row r="562" spans="1:6" ht="15.75" customHeight="1">
      <c r="A562" s="686"/>
      <c r="B562" s="687"/>
      <c r="C562" s="243"/>
      <c r="D562" s="244"/>
      <c r="E562" s="164"/>
      <c r="F562" s="174"/>
    </row>
    <row r="563" spans="1:6" ht="15.75" customHeight="1">
      <c r="A563" s="686"/>
      <c r="B563" s="687"/>
      <c r="C563" s="243"/>
      <c r="D563" s="244"/>
      <c r="E563" s="164"/>
      <c r="F563" s="174"/>
    </row>
    <row r="564" spans="1:6" ht="15.75" customHeight="1">
      <c r="A564" s="686"/>
      <c r="B564" s="687"/>
      <c r="C564" s="243"/>
      <c r="D564" s="244"/>
      <c r="E564" s="164"/>
      <c r="F564" s="174"/>
    </row>
    <row r="565" spans="1:6" ht="15.75" customHeight="1">
      <c r="A565" s="686"/>
      <c r="B565" s="687"/>
      <c r="C565" s="243"/>
      <c r="D565" s="244"/>
      <c r="E565" s="164"/>
      <c r="F565" s="174"/>
    </row>
    <row r="566" spans="1:6" ht="15.75" customHeight="1">
      <c r="A566" s="686"/>
      <c r="B566" s="687"/>
      <c r="C566" s="243"/>
      <c r="D566" s="244"/>
      <c r="E566" s="164"/>
      <c r="F566" s="174"/>
    </row>
    <row r="567" spans="1:6" ht="15.75" customHeight="1">
      <c r="A567" s="686"/>
      <c r="B567" s="687"/>
      <c r="C567" s="243"/>
      <c r="D567" s="244"/>
      <c r="E567" s="164"/>
      <c r="F567" s="174"/>
    </row>
    <row r="568" spans="1:6" ht="15.75" customHeight="1">
      <c r="A568" s="686"/>
      <c r="B568" s="687"/>
      <c r="C568" s="243"/>
      <c r="D568" s="244"/>
      <c r="E568" s="164"/>
      <c r="F568" s="174"/>
    </row>
    <row r="569" spans="1:6" ht="15.75" customHeight="1">
      <c r="A569" s="686"/>
      <c r="B569" s="687"/>
      <c r="C569" s="243"/>
      <c r="D569" s="244"/>
      <c r="E569" s="164"/>
      <c r="F569" s="174"/>
    </row>
    <row r="570" spans="1:6" ht="15.75" customHeight="1">
      <c r="A570" s="686"/>
      <c r="B570" s="687"/>
      <c r="C570" s="243"/>
      <c r="D570" s="244"/>
      <c r="E570" s="164"/>
      <c r="F570" s="174"/>
    </row>
    <row r="571" spans="1:6" ht="15.75" customHeight="1">
      <c r="A571" s="686"/>
      <c r="B571" s="687"/>
      <c r="C571" s="243"/>
      <c r="D571" s="244"/>
      <c r="E571" s="164"/>
      <c r="F571" s="174"/>
    </row>
    <row r="572" spans="1:6" ht="15.75" customHeight="1">
      <c r="A572" s="686"/>
      <c r="B572" s="687"/>
      <c r="C572" s="243"/>
      <c r="D572" s="244"/>
      <c r="E572" s="164"/>
      <c r="F572" s="174"/>
    </row>
    <row r="573" spans="1:6" ht="15.75" customHeight="1">
      <c r="A573" s="686"/>
      <c r="B573" s="687"/>
      <c r="C573" s="243"/>
      <c r="D573" s="244"/>
      <c r="E573" s="164"/>
      <c r="F573" s="174"/>
    </row>
    <row r="574" spans="1:6" ht="15.75" customHeight="1">
      <c r="A574" s="686"/>
      <c r="B574" s="687"/>
      <c r="C574" s="243"/>
      <c r="D574" s="244"/>
      <c r="E574" s="164"/>
      <c r="F574" s="174"/>
    </row>
    <row r="575" spans="1:6" ht="15.75" customHeight="1">
      <c r="A575" s="686"/>
      <c r="B575" s="687"/>
      <c r="C575" s="243"/>
      <c r="D575" s="244"/>
      <c r="E575" s="164"/>
      <c r="F575" s="174"/>
    </row>
    <row r="576" spans="1:6" ht="15.75" customHeight="1">
      <c r="A576" s="686"/>
      <c r="B576" s="687"/>
      <c r="C576" s="243"/>
      <c r="D576" s="244"/>
      <c r="E576" s="164"/>
      <c r="F576" s="174"/>
    </row>
    <row r="577" spans="1:6" ht="15.75" customHeight="1">
      <c r="A577" s="686"/>
      <c r="B577" s="687"/>
      <c r="C577" s="243"/>
      <c r="D577" s="244"/>
      <c r="E577" s="164"/>
      <c r="F577" s="174"/>
    </row>
    <row r="578" spans="1:6" ht="15.75" customHeight="1">
      <c r="A578" s="686"/>
      <c r="B578" s="687"/>
      <c r="C578" s="243"/>
      <c r="D578" s="244"/>
      <c r="E578" s="164"/>
      <c r="F578" s="174"/>
    </row>
    <row r="579" spans="1:6" ht="15.75" customHeight="1">
      <c r="A579" s="686"/>
      <c r="B579" s="687"/>
      <c r="C579" s="243"/>
      <c r="D579" s="244"/>
      <c r="E579" s="164"/>
      <c r="F579" s="174"/>
    </row>
    <row r="580" spans="1:6" ht="15.75" customHeight="1">
      <c r="A580" s="686"/>
      <c r="B580" s="687"/>
      <c r="C580" s="243"/>
      <c r="D580" s="244"/>
      <c r="E580" s="164"/>
      <c r="F580" s="174"/>
    </row>
    <row r="581" spans="1:6" ht="15.75" customHeight="1">
      <c r="A581" s="686"/>
      <c r="B581" s="687"/>
      <c r="C581" s="243"/>
      <c r="D581" s="244"/>
      <c r="E581" s="164"/>
      <c r="F581" s="174"/>
    </row>
    <row r="582" spans="1:6" ht="15.75" customHeight="1">
      <c r="A582" s="686"/>
      <c r="B582" s="687"/>
      <c r="C582" s="243"/>
      <c r="D582" s="244"/>
      <c r="E582" s="164"/>
      <c r="F582" s="174"/>
    </row>
    <row r="583" spans="1:6" ht="15.75" customHeight="1">
      <c r="A583" s="686"/>
      <c r="B583" s="687"/>
      <c r="C583" s="243"/>
      <c r="D583" s="244"/>
      <c r="E583" s="164"/>
      <c r="F583" s="174"/>
    </row>
    <row r="584" spans="1:6" ht="15.75" customHeight="1">
      <c r="A584" s="686"/>
      <c r="B584" s="687"/>
      <c r="C584" s="243"/>
      <c r="D584" s="244"/>
      <c r="E584" s="164"/>
      <c r="F584" s="174"/>
    </row>
    <row r="585" spans="1:6" ht="15.75" customHeight="1">
      <c r="A585" s="686"/>
      <c r="B585" s="687"/>
      <c r="C585" s="243"/>
      <c r="D585" s="244"/>
      <c r="E585" s="164"/>
      <c r="F585" s="174"/>
    </row>
    <row r="586" spans="1:6" ht="15.75" customHeight="1">
      <c r="A586" s="686"/>
      <c r="B586" s="687"/>
      <c r="C586" s="243"/>
      <c r="D586" s="244"/>
      <c r="E586" s="164"/>
      <c r="F586" s="174"/>
    </row>
    <row r="587" spans="1:6" ht="15.75" customHeight="1">
      <c r="A587" s="686"/>
      <c r="B587" s="687"/>
      <c r="C587" s="243"/>
      <c r="D587" s="244"/>
      <c r="E587" s="164"/>
      <c r="F587" s="174"/>
    </row>
    <row r="588" spans="1:6" ht="15.75" customHeight="1">
      <c r="A588" s="686"/>
      <c r="B588" s="687"/>
      <c r="C588" s="243"/>
      <c r="D588" s="244"/>
      <c r="E588" s="164"/>
      <c r="F588" s="174"/>
    </row>
    <row r="589" spans="1:6" ht="15.75" customHeight="1">
      <c r="A589" s="686"/>
      <c r="B589" s="687"/>
      <c r="C589" s="243"/>
      <c r="D589" s="244"/>
      <c r="E589" s="164"/>
      <c r="F589" s="174"/>
    </row>
    <row r="590" spans="1:6" ht="15.75" customHeight="1">
      <c r="A590" s="686"/>
      <c r="B590" s="687"/>
      <c r="C590" s="243"/>
      <c r="D590" s="244"/>
      <c r="E590" s="164"/>
      <c r="F590" s="174"/>
    </row>
    <row r="591" spans="1:6" ht="15.75" customHeight="1">
      <c r="A591" s="686"/>
      <c r="B591" s="687"/>
      <c r="C591" s="243"/>
      <c r="D591" s="244"/>
      <c r="E591" s="164"/>
      <c r="F591" s="174"/>
    </row>
    <row r="592" spans="1:6" ht="15.75" customHeight="1">
      <c r="A592" s="686"/>
      <c r="B592" s="687"/>
      <c r="C592" s="243"/>
      <c r="D592" s="244"/>
      <c r="E592" s="164"/>
      <c r="F592" s="174"/>
    </row>
    <row r="593" spans="1:6" ht="15.75" customHeight="1">
      <c r="A593" s="686"/>
      <c r="B593" s="687"/>
      <c r="C593" s="243"/>
      <c r="D593" s="244"/>
      <c r="E593" s="164"/>
      <c r="F593" s="174"/>
    </row>
    <row r="594" spans="1:6" ht="15.75" customHeight="1">
      <c r="A594" s="686"/>
      <c r="B594" s="687"/>
      <c r="C594" s="243"/>
      <c r="D594" s="244"/>
      <c r="E594" s="164"/>
      <c r="F594" s="174"/>
    </row>
    <row r="595" spans="1:6" ht="15.75" customHeight="1">
      <c r="A595" s="686"/>
      <c r="B595" s="687"/>
      <c r="C595" s="243"/>
      <c r="D595" s="244"/>
      <c r="E595" s="164"/>
      <c r="F595" s="174"/>
    </row>
    <row r="596" spans="1:6" ht="15.75" customHeight="1">
      <c r="A596" s="686"/>
      <c r="B596" s="687"/>
      <c r="C596" s="243"/>
      <c r="D596" s="244"/>
      <c r="E596" s="164"/>
      <c r="F596" s="174"/>
    </row>
    <row r="597" spans="1:6" ht="15.75" customHeight="1">
      <c r="A597" s="686"/>
      <c r="B597" s="687"/>
      <c r="C597" s="243"/>
      <c r="D597" s="244"/>
      <c r="E597" s="164"/>
      <c r="F597" s="174"/>
    </row>
    <row r="598" spans="1:6" ht="15.75" customHeight="1">
      <c r="A598" s="686"/>
      <c r="B598" s="687"/>
      <c r="C598" s="243"/>
      <c r="D598" s="244"/>
      <c r="E598" s="164"/>
      <c r="F598" s="174"/>
    </row>
    <row r="599" spans="1:6" ht="15.75" customHeight="1">
      <c r="A599" s="686"/>
      <c r="B599" s="687"/>
      <c r="C599" s="243"/>
      <c r="D599" s="244"/>
      <c r="E599" s="164"/>
      <c r="F599" s="174"/>
    </row>
    <row r="600" spans="1:6" ht="15.75" customHeight="1">
      <c r="A600" s="686"/>
      <c r="B600" s="687"/>
      <c r="C600" s="243"/>
      <c r="D600" s="244"/>
      <c r="E600" s="164"/>
      <c r="F600" s="174"/>
    </row>
    <row r="601" spans="1:6" ht="15.75" customHeight="1">
      <c r="A601" s="686"/>
      <c r="B601" s="687"/>
      <c r="C601" s="243"/>
      <c r="D601" s="244"/>
      <c r="E601" s="164"/>
      <c r="F601" s="174"/>
    </row>
    <row r="602" spans="1:6" ht="15.75" customHeight="1">
      <c r="A602" s="686"/>
      <c r="B602" s="687"/>
      <c r="C602" s="243"/>
      <c r="D602" s="244"/>
      <c r="E602" s="164"/>
      <c r="F602" s="174"/>
    </row>
    <row r="603" spans="1:6" ht="15.75" customHeight="1">
      <c r="A603" s="686"/>
      <c r="B603" s="687"/>
      <c r="C603" s="243"/>
      <c r="D603" s="244"/>
      <c r="E603" s="164"/>
      <c r="F603" s="174"/>
    </row>
    <row r="604" spans="1:6" ht="15.75" customHeight="1">
      <c r="A604" s="686"/>
      <c r="B604" s="687"/>
      <c r="C604" s="243"/>
      <c r="D604" s="244"/>
      <c r="E604" s="164"/>
      <c r="F604" s="174"/>
    </row>
    <row r="605" spans="1:6" ht="15.75" customHeight="1">
      <c r="A605" s="686"/>
      <c r="B605" s="687"/>
      <c r="C605" s="243"/>
      <c r="D605" s="244"/>
      <c r="E605" s="164"/>
      <c r="F605" s="174"/>
    </row>
    <row r="606" spans="1:6" ht="15.75" customHeight="1">
      <c r="A606" s="686"/>
      <c r="B606" s="687"/>
      <c r="C606" s="243"/>
      <c r="D606" s="244"/>
      <c r="E606" s="164"/>
      <c r="F606" s="174"/>
    </row>
    <row r="607" spans="1:6" ht="15.75" customHeight="1">
      <c r="A607" s="686"/>
      <c r="B607" s="687"/>
      <c r="C607" s="243"/>
      <c r="D607" s="244"/>
      <c r="E607" s="164"/>
      <c r="F607" s="174"/>
    </row>
    <row r="608" spans="1:6" ht="15.75" customHeight="1">
      <c r="A608" s="686"/>
      <c r="B608" s="687"/>
      <c r="C608" s="243"/>
      <c r="D608" s="244"/>
      <c r="E608" s="164"/>
      <c r="F608" s="174"/>
    </row>
    <row r="609" spans="1:6" ht="15.75" customHeight="1">
      <c r="A609" s="686"/>
      <c r="B609" s="687"/>
      <c r="C609" s="243"/>
      <c r="D609" s="244"/>
      <c r="E609" s="164"/>
      <c r="F609" s="174"/>
    </row>
    <row r="610" spans="1:6" ht="15.75" customHeight="1">
      <c r="A610" s="686"/>
      <c r="B610" s="687"/>
      <c r="C610" s="243"/>
      <c r="D610" s="244"/>
      <c r="E610" s="164"/>
      <c r="F610" s="174"/>
    </row>
    <row r="611" spans="1:6" ht="15.75" customHeight="1">
      <c r="A611" s="686"/>
      <c r="B611" s="687"/>
      <c r="C611" s="243"/>
      <c r="D611" s="244"/>
      <c r="E611" s="164"/>
      <c r="F611" s="174"/>
    </row>
    <row r="612" spans="1:6" ht="15.75" customHeight="1">
      <c r="A612" s="686"/>
      <c r="B612" s="687"/>
      <c r="C612" s="243"/>
      <c r="D612" s="244"/>
      <c r="E612" s="164"/>
      <c r="F612" s="174"/>
    </row>
    <row r="613" spans="1:6" ht="15.75" customHeight="1">
      <c r="A613" s="686"/>
      <c r="B613" s="687"/>
      <c r="C613" s="243"/>
      <c r="D613" s="244"/>
      <c r="E613" s="164"/>
      <c r="F613" s="174"/>
    </row>
    <row r="614" spans="1:6" ht="15.75" customHeight="1">
      <c r="A614" s="686"/>
      <c r="B614" s="687"/>
      <c r="C614" s="243"/>
      <c r="D614" s="244"/>
      <c r="E614" s="164"/>
      <c r="F614" s="174"/>
    </row>
    <row r="615" spans="1:6" ht="15.75" customHeight="1">
      <c r="A615" s="686"/>
      <c r="B615" s="687"/>
      <c r="C615" s="243"/>
      <c r="D615" s="244"/>
      <c r="E615" s="164"/>
      <c r="F615" s="174"/>
    </row>
    <row r="616" spans="1:6" ht="15.75" customHeight="1">
      <c r="A616" s="686"/>
      <c r="B616" s="687"/>
      <c r="C616" s="243"/>
      <c r="D616" s="244"/>
      <c r="E616" s="164"/>
      <c r="F616" s="174"/>
    </row>
    <row r="617" spans="1:6" ht="15.75" customHeight="1">
      <c r="A617" s="686"/>
      <c r="B617" s="687"/>
      <c r="C617" s="243"/>
      <c r="D617" s="244"/>
      <c r="E617" s="164"/>
      <c r="F617" s="174"/>
    </row>
    <row r="618" spans="1:6" ht="15.75" customHeight="1">
      <c r="A618" s="686"/>
      <c r="B618" s="687"/>
      <c r="C618" s="243"/>
      <c r="D618" s="244"/>
      <c r="E618" s="164"/>
      <c r="F618" s="174"/>
    </row>
    <row r="619" spans="1:6" ht="15.75" customHeight="1">
      <c r="A619" s="686"/>
      <c r="B619" s="687"/>
      <c r="C619" s="243"/>
      <c r="D619" s="244"/>
      <c r="E619" s="164"/>
      <c r="F619" s="174"/>
    </row>
    <row r="620" spans="1:6" ht="15.75" customHeight="1">
      <c r="A620" s="686"/>
      <c r="B620" s="687"/>
      <c r="C620" s="243"/>
      <c r="D620" s="244"/>
      <c r="E620" s="164"/>
      <c r="F620" s="174"/>
    </row>
    <row r="621" spans="1:6" ht="15.75" customHeight="1">
      <c r="A621" s="686"/>
      <c r="B621" s="687"/>
      <c r="C621" s="243"/>
      <c r="D621" s="244"/>
      <c r="E621" s="164"/>
      <c r="F621" s="174"/>
    </row>
    <row r="622" spans="1:6" ht="15.75" customHeight="1">
      <c r="A622" s="686"/>
      <c r="B622" s="687"/>
      <c r="C622" s="243"/>
      <c r="D622" s="244"/>
      <c r="E622" s="164"/>
      <c r="F622" s="174"/>
    </row>
    <row r="623" spans="1:6" ht="15.75" customHeight="1">
      <c r="A623" s="686"/>
      <c r="B623" s="687"/>
      <c r="C623" s="243"/>
      <c r="D623" s="244"/>
      <c r="E623" s="164"/>
      <c r="F623" s="174"/>
    </row>
    <row r="624" spans="1:6" ht="15.75" customHeight="1">
      <c r="A624" s="686"/>
      <c r="B624" s="687"/>
      <c r="C624" s="243"/>
      <c r="D624" s="244"/>
      <c r="E624" s="164"/>
      <c r="F624" s="174"/>
    </row>
    <row r="625" spans="1:6" ht="15.75" customHeight="1">
      <c r="A625" s="686"/>
      <c r="B625" s="687"/>
      <c r="C625" s="243"/>
      <c r="D625" s="244"/>
      <c r="E625" s="164"/>
      <c r="F625" s="174"/>
    </row>
    <row r="626" spans="1:6" ht="15.75" customHeight="1">
      <c r="A626" s="686"/>
      <c r="B626" s="687"/>
      <c r="C626" s="243"/>
      <c r="D626" s="244"/>
      <c r="E626" s="164"/>
      <c r="F626" s="174"/>
    </row>
    <row r="627" spans="1:6" ht="15.75" customHeight="1">
      <c r="A627" s="686"/>
      <c r="B627" s="687"/>
      <c r="C627" s="243"/>
      <c r="D627" s="244"/>
      <c r="E627" s="164"/>
      <c r="F627" s="174"/>
    </row>
    <row r="628" spans="1:6" ht="15.75" customHeight="1">
      <c r="A628" s="686"/>
      <c r="B628" s="687"/>
      <c r="C628" s="243"/>
      <c r="D628" s="244"/>
      <c r="E628" s="164"/>
      <c r="F628" s="174"/>
    </row>
    <row r="629" spans="1:6" ht="15.75" customHeight="1">
      <c r="A629" s="686"/>
      <c r="B629" s="687"/>
      <c r="C629" s="243"/>
      <c r="D629" s="244"/>
      <c r="E629" s="164"/>
      <c r="F629" s="174"/>
    </row>
    <row r="630" spans="1:6" ht="15.75" customHeight="1">
      <c r="A630" s="686"/>
      <c r="B630" s="687"/>
      <c r="C630" s="243"/>
      <c r="D630" s="244"/>
      <c r="E630" s="164"/>
      <c r="F630" s="174"/>
    </row>
    <row r="631" spans="1:6" ht="15.75" customHeight="1">
      <c r="A631" s="686"/>
      <c r="B631" s="687"/>
      <c r="C631" s="243"/>
      <c r="D631" s="244"/>
      <c r="E631" s="164"/>
      <c r="F631" s="174"/>
    </row>
    <row r="632" spans="1:6" ht="15.75" customHeight="1">
      <c r="A632" s="686"/>
      <c r="B632" s="687"/>
      <c r="C632" s="243"/>
      <c r="D632" s="244"/>
      <c r="E632" s="164"/>
      <c r="F632" s="174"/>
    </row>
    <row r="633" spans="1:6" ht="15.75" customHeight="1">
      <c r="A633" s="686"/>
      <c r="B633" s="687"/>
      <c r="C633" s="243"/>
      <c r="D633" s="244"/>
      <c r="E633" s="164"/>
      <c r="F633" s="174"/>
    </row>
    <row r="634" spans="1:6" ht="15.75" customHeight="1">
      <c r="A634" s="686"/>
      <c r="B634" s="687"/>
      <c r="C634" s="243"/>
      <c r="D634" s="244"/>
      <c r="E634" s="164"/>
      <c r="F634" s="174"/>
    </row>
    <row r="635" spans="1:6" ht="15.75" customHeight="1">
      <c r="A635" s="686"/>
      <c r="B635" s="687"/>
      <c r="C635" s="243"/>
      <c r="D635" s="244"/>
      <c r="E635" s="164"/>
      <c r="F635" s="174"/>
    </row>
    <row r="636" spans="1:6" ht="15.75" customHeight="1">
      <c r="A636" s="686"/>
      <c r="B636" s="687"/>
      <c r="C636" s="243"/>
      <c r="D636" s="244"/>
      <c r="E636" s="164"/>
      <c r="F636" s="174"/>
    </row>
    <row r="637" spans="1:6" ht="15.75" customHeight="1">
      <c r="A637" s="686"/>
      <c r="B637" s="687"/>
      <c r="C637" s="243"/>
      <c r="D637" s="244"/>
      <c r="E637" s="164"/>
      <c r="F637" s="174"/>
    </row>
    <row r="638" spans="1:6" ht="15.75" customHeight="1">
      <c r="A638" s="686"/>
      <c r="B638" s="687"/>
      <c r="C638" s="243"/>
      <c r="D638" s="244"/>
      <c r="E638" s="164"/>
      <c r="F638" s="174"/>
    </row>
    <row r="639" spans="1:6" ht="15.75" customHeight="1">
      <c r="A639" s="686"/>
      <c r="B639" s="687"/>
      <c r="C639" s="243"/>
      <c r="D639" s="244"/>
      <c r="E639" s="164"/>
      <c r="F639" s="174"/>
    </row>
    <row r="640" spans="1:6" ht="15.75" customHeight="1">
      <c r="A640" s="686"/>
      <c r="B640" s="687"/>
      <c r="C640" s="243"/>
      <c r="D640" s="244"/>
      <c r="E640" s="164"/>
      <c r="F640" s="174"/>
    </row>
    <row r="641" spans="1:6" ht="15.75" customHeight="1">
      <c r="A641" s="686"/>
      <c r="B641" s="687"/>
      <c r="C641" s="243"/>
      <c r="D641" s="244"/>
      <c r="E641" s="164"/>
      <c r="F641" s="174"/>
    </row>
    <row r="642" spans="1:6" ht="15.75" customHeight="1">
      <c r="A642" s="686"/>
      <c r="B642" s="687"/>
      <c r="C642" s="243"/>
      <c r="D642" s="244"/>
      <c r="E642" s="164"/>
      <c r="F642" s="174"/>
    </row>
    <row r="643" spans="1:6" ht="15.75" customHeight="1">
      <c r="A643" s="686"/>
      <c r="B643" s="687"/>
      <c r="C643" s="243"/>
      <c r="D643" s="244"/>
      <c r="E643" s="164"/>
      <c r="F643" s="174"/>
    </row>
    <row r="644" spans="1:6" ht="15.75" customHeight="1">
      <c r="A644" s="686"/>
      <c r="B644" s="687"/>
      <c r="C644" s="243"/>
      <c r="D644" s="244"/>
      <c r="E644" s="164"/>
      <c r="F644" s="174"/>
    </row>
    <row r="645" spans="1:6" ht="15.75" customHeight="1">
      <c r="A645" s="686"/>
      <c r="B645" s="687"/>
      <c r="C645" s="243"/>
      <c r="D645" s="244"/>
      <c r="E645" s="164"/>
      <c r="F645" s="174"/>
    </row>
    <row r="646" spans="1:6" ht="15.75" customHeight="1">
      <c r="A646" s="686"/>
      <c r="B646" s="687"/>
      <c r="C646" s="243"/>
      <c r="D646" s="244"/>
      <c r="E646" s="164"/>
      <c r="F646" s="174"/>
    </row>
    <row r="647" spans="1:6" ht="15.75" customHeight="1">
      <c r="A647" s="686"/>
      <c r="B647" s="687"/>
      <c r="C647" s="243"/>
      <c r="D647" s="244"/>
      <c r="E647" s="164"/>
      <c r="F647" s="174"/>
    </row>
    <row r="648" spans="1:6" ht="15.75" customHeight="1">
      <c r="A648" s="686"/>
      <c r="B648" s="687"/>
      <c r="C648" s="243"/>
      <c r="D648" s="244"/>
      <c r="E648" s="164"/>
      <c r="F648" s="174"/>
    </row>
    <row r="649" spans="1:6" ht="15.75" customHeight="1">
      <c r="A649" s="686"/>
      <c r="B649" s="687"/>
      <c r="C649" s="243"/>
      <c r="D649" s="244"/>
      <c r="E649" s="164"/>
      <c r="F649" s="174"/>
    </row>
    <row r="650" spans="1:6" ht="15.75" customHeight="1">
      <c r="A650" s="686"/>
      <c r="B650" s="687"/>
      <c r="C650" s="243"/>
      <c r="D650" s="244"/>
      <c r="E650" s="164"/>
      <c r="F650" s="174"/>
    </row>
    <row r="651" spans="1:6" ht="15.75" customHeight="1">
      <c r="A651" s="686"/>
      <c r="B651" s="687"/>
      <c r="C651" s="243"/>
      <c r="D651" s="244"/>
      <c r="E651" s="164"/>
      <c r="F651" s="174"/>
    </row>
    <row r="652" spans="1:6" ht="15.75" customHeight="1">
      <c r="A652" s="686"/>
      <c r="B652" s="687"/>
      <c r="C652" s="243"/>
      <c r="D652" s="244"/>
      <c r="E652" s="164"/>
      <c r="F652" s="174"/>
    </row>
    <row r="653" spans="1:6" ht="15.75" customHeight="1">
      <c r="A653" s="686"/>
      <c r="B653" s="687"/>
      <c r="C653" s="243"/>
      <c r="D653" s="244"/>
      <c r="E653" s="164"/>
      <c r="F653" s="174"/>
    </row>
    <row r="654" spans="1:6" ht="15.75" customHeight="1">
      <c r="A654" s="686"/>
      <c r="B654" s="687"/>
      <c r="C654" s="243"/>
      <c r="D654" s="244"/>
      <c r="E654" s="164"/>
      <c r="F654" s="174"/>
    </row>
    <row r="655" spans="1:6" ht="15.75" customHeight="1">
      <c r="A655" s="686"/>
      <c r="B655" s="687"/>
      <c r="C655" s="243"/>
      <c r="D655" s="244"/>
      <c r="E655" s="164"/>
      <c r="F655" s="174"/>
    </row>
    <row r="656" spans="1:6" ht="15.75" customHeight="1">
      <c r="A656" s="686"/>
      <c r="B656" s="687"/>
      <c r="C656" s="243"/>
      <c r="D656" s="244"/>
      <c r="E656" s="164"/>
      <c r="F656" s="174"/>
    </row>
    <row r="657" spans="1:6" ht="15.75" customHeight="1">
      <c r="A657" s="686"/>
      <c r="B657" s="687"/>
      <c r="C657" s="243"/>
      <c r="D657" s="244"/>
      <c r="E657" s="164"/>
      <c r="F657" s="174"/>
    </row>
    <row r="658" spans="1:6" ht="14.25" customHeight="1">
      <c r="A658" s="7"/>
      <c r="B658" s="7"/>
      <c r="C658" s="7"/>
      <c r="D658" s="7"/>
      <c r="E658" s="174"/>
      <c r="F658" s="174"/>
    </row>
    <row r="659" spans="1:6" ht="14.25" customHeight="1">
      <c r="A659" s="7"/>
      <c r="B659" s="7"/>
      <c r="C659" s="7"/>
      <c r="D659" s="7"/>
      <c r="E659" s="174"/>
      <c r="F659" s="174"/>
    </row>
    <row r="660" spans="1:6" ht="14.25" customHeight="1">
      <c r="A660" s="7"/>
      <c r="B660" s="7"/>
      <c r="C660" s="7"/>
      <c r="D660" s="7"/>
      <c r="E660" s="174"/>
      <c r="F660" s="174"/>
    </row>
    <row r="661" spans="1:6" ht="14.25" customHeight="1">
      <c r="A661" s="7"/>
      <c r="B661" s="7"/>
      <c r="C661" s="7"/>
      <c r="D661" s="7"/>
      <c r="E661" s="174"/>
      <c r="F661" s="174"/>
    </row>
    <row r="662" spans="1:6" ht="14.25" customHeight="1">
      <c r="A662" s="7"/>
      <c r="B662" s="7"/>
      <c r="C662" s="7"/>
      <c r="D662" s="7"/>
      <c r="E662" s="174"/>
      <c r="F662" s="174"/>
    </row>
    <row r="663" spans="1:6" ht="14.25" customHeight="1">
      <c r="A663" s="7"/>
      <c r="B663" s="7"/>
      <c r="C663" s="7"/>
      <c r="D663" s="7"/>
      <c r="E663" s="174"/>
      <c r="F663" s="174"/>
    </row>
    <row r="664" spans="1:6" ht="14.25" customHeight="1">
      <c r="A664" s="7"/>
      <c r="B664" s="7"/>
      <c r="C664" s="7"/>
      <c r="D664" s="7"/>
      <c r="E664" s="174"/>
      <c r="F664" s="174"/>
    </row>
    <row r="665" spans="1:6" ht="14.25" customHeight="1">
      <c r="A665" s="7"/>
      <c r="B665" s="7"/>
      <c r="C665" s="7"/>
      <c r="D665" s="7"/>
      <c r="E665" s="174"/>
      <c r="F665" s="174"/>
    </row>
    <row r="666" spans="1:6" ht="14.25" customHeight="1">
      <c r="A666" s="7"/>
      <c r="B666" s="7"/>
      <c r="C666" s="7"/>
      <c r="D666" s="7"/>
      <c r="E666" s="174"/>
      <c r="F666" s="174"/>
    </row>
    <row r="667" spans="1:6" ht="14.25" customHeight="1">
      <c r="A667" s="7"/>
      <c r="B667" s="7"/>
      <c r="C667" s="7"/>
      <c r="D667" s="7"/>
      <c r="E667" s="174"/>
      <c r="F667" s="174"/>
    </row>
    <row r="668" spans="1:6" ht="14.25" customHeight="1">
      <c r="A668" s="7"/>
      <c r="B668" s="7"/>
      <c r="C668" s="7"/>
      <c r="D668" s="7"/>
      <c r="E668" s="174"/>
      <c r="F668" s="174"/>
    </row>
    <row r="669" spans="1:6" ht="14.25" customHeight="1">
      <c r="A669" s="7"/>
      <c r="B669" s="7"/>
      <c r="C669" s="7"/>
      <c r="D669" s="7"/>
      <c r="E669" s="174"/>
      <c r="F669" s="174"/>
    </row>
    <row r="670" spans="1:6" ht="14.25" customHeight="1">
      <c r="A670" s="7"/>
      <c r="B670" s="7"/>
      <c r="C670" s="7"/>
      <c r="D670" s="7"/>
      <c r="E670" s="174"/>
      <c r="F670" s="174"/>
    </row>
    <row r="671" spans="1:6" ht="14.25" customHeight="1">
      <c r="A671" s="7"/>
      <c r="B671" s="7"/>
      <c r="C671" s="7"/>
      <c r="D671" s="7"/>
      <c r="E671" s="174"/>
      <c r="F671" s="174"/>
    </row>
    <row r="672" spans="1:6" ht="14.25" customHeight="1">
      <c r="A672" s="7"/>
      <c r="B672" s="7"/>
      <c r="C672" s="7"/>
      <c r="D672" s="7"/>
      <c r="E672" s="174"/>
      <c r="F672" s="174"/>
    </row>
    <row r="673" spans="1:6" ht="14.25" customHeight="1">
      <c r="A673" s="7"/>
      <c r="B673" s="7"/>
      <c r="C673" s="7"/>
      <c r="D673" s="7"/>
      <c r="E673" s="174"/>
      <c r="F673" s="174"/>
    </row>
    <row r="674" spans="1:6" ht="14.25" customHeight="1">
      <c r="A674" s="7"/>
      <c r="B674" s="7"/>
      <c r="C674" s="7"/>
      <c r="D674" s="7"/>
      <c r="E674" s="174"/>
      <c r="F674" s="174"/>
    </row>
    <row r="675" spans="1:6" ht="14.25" customHeight="1">
      <c r="A675" s="7"/>
      <c r="B675" s="7"/>
      <c r="C675" s="7"/>
      <c r="D675" s="7"/>
      <c r="E675" s="174"/>
      <c r="F675" s="174"/>
    </row>
    <row r="676" spans="1:6" ht="14.25" customHeight="1">
      <c r="A676" s="7"/>
      <c r="B676" s="7"/>
      <c r="C676" s="7"/>
      <c r="D676" s="7"/>
      <c r="E676" s="174"/>
      <c r="F676" s="174"/>
    </row>
    <row r="677" spans="1:6" ht="14.25" customHeight="1">
      <c r="A677" s="7"/>
      <c r="B677" s="7"/>
      <c r="C677" s="7"/>
      <c r="D677" s="7"/>
      <c r="E677" s="174"/>
      <c r="F677" s="174"/>
    </row>
    <row r="678" spans="1:6" ht="14.25" customHeight="1">
      <c r="A678" s="7"/>
      <c r="B678" s="7"/>
      <c r="C678" s="7"/>
      <c r="D678" s="7"/>
      <c r="E678" s="174"/>
      <c r="F678" s="174"/>
    </row>
    <row r="679" spans="1:6" ht="14.25" customHeight="1">
      <c r="A679" s="7"/>
      <c r="B679" s="7"/>
      <c r="C679" s="7"/>
      <c r="D679" s="7"/>
      <c r="E679" s="174"/>
      <c r="F679" s="174"/>
    </row>
    <row r="680" spans="1:6" ht="14.25" customHeight="1">
      <c r="A680" s="7"/>
      <c r="B680" s="7"/>
      <c r="C680" s="7"/>
      <c r="D680" s="7"/>
      <c r="E680" s="174"/>
      <c r="F680" s="174"/>
    </row>
    <row r="681" spans="1:6" ht="14.25" customHeight="1">
      <c r="A681" s="7"/>
      <c r="B681" s="7"/>
      <c r="C681" s="7"/>
      <c r="D681" s="7"/>
      <c r="E681" s="174"/>
      <c r="F681" s="174"/>
    </row>
    <row r="682" spans="1:6" ht="14.25" customHeight="1">
      <c r="A682" s="7"/>
      <c r="B682" s="7"/>
      <c r="C682" s="7"/>
      <c r="D682" s="7"/>
      <c r="E682" s="174"/>
      <c r="F682" s="174"/>
    </row>
    <row r="683" spans="1:6" ht="14.25" customHeight="1">
      <c r="A683" s="7"/>
      <c r="B683" s="7"/>
      <c r="C683" s="7"/>
      <c r="D683" s="7"/>
      <c r="E683" s="174"/>
      <c r="F683" s="174"/>
    </row>
    <row r="684" spans="1:6" ht="14.25" customHeight="1">
      <c r="A684" s="7"/>
      <c r="B684" s="7"/>
      <c r="C684" s="7"/>
      <c r="D684" s="7"/>
      <c r="E684" s="174"/>
      <c r="F684" s="174"/>
    </row>
    <row r="685" spans="1:6" ht="14.25" customHeight="1">
      <c r="A685" s="7"/>
      <c r="B685" s="7"/>
      <c r="C685" s="7"/>
      <c r="D685" s="7"/>
      <c r="E685" s="174"/>
      <c r="F685" s="174"/>
    </row>
    <row r="686" spans="1:6" ht="14.25" customHeight="1">
      <c r="A686" s="7"/>
      <c r="B686" s="7"/>
      <c r="C686" s="7"/>
      <c r="D686" s="7"/>
      <c r="E686" s="174"/>
      <c r="F686" s="174"/>
    </row>
    <row r="687" spans="1:6" ht="14.25" customHeight="1">
      <c r="A687" s="7"/>
      <c r="B687" s="7"/>
      <c r="C687" s="7"/>
      <c r="D687" s="7"/>
      <c r="E687" s="174"/>
      <c r="F687" s="174"/>
    </row>
    <row r="688" spans="1:6" ht="14.25" customHeight="1">
      <c r="A688" s="7"/>
      <c r="B688" s="7"/>
      <c r="C688" s="7"/>
      <c r="D688" s="7"/>
      <c r="E688" s="174"/>
      <c r="F688" s="174"/>
    </row>
    <row r="689" spans="1:6" ht="14.25" customHeight="1">
      <c r="A689" s="7"/>
      <c r="B689" s="7"/>
      <c r="C689" s="7"/>
      <c r="D689" s="7"/>
      <c r="E689" s="174"/>
      <c r="F689" s="174"/>
    </row>
    <row r="690" spans="1:6" ht="14.25" customHeight="1">
      <c r="A690" s="7"/>
      <c r="B690" s="7"/>
      <c r="C690" s="7"/>
      <c r="D690" s="7"/>
      <c r="E690" s="174"/>
      <c r="F690" s="174"/>
    </row>
    <row r="691" spans="1:6" ht="14.25" customHeight="1">
      <c r="A691" s="7"/>
      <c r="B691" s="7"/>
      <c r="C691" s="7"/>
      <c r="D691" s="7"/>
      <c r="E691" s="174"/>
      <c r="F691" s="174"/>
    </row>
    <row r="692" spans="1:6" ht="14.25" customHeight="1">
      <c r="A692" s="7"/>
      <c r="B692" s="7"/>
      <c r="C692" s="7"/>
      <c r="D692" s="7"/>
      <c r="E692" s="174"/>
      <c r="F692" s="174"/>
    </row>
    <row r="693" spans="1:6" ht="14.25" customHeight="1">
      <c r="A693" s="7"/>
      <c r="B693" s="7"/>
      <c r="C693" s="7"/>
      <c r="D693" s="7"/>
      <c r="E693" s="174"/>
      <c r="F693" s="174"/>
    </row>
    <row r="694" spans="1:6" ht="14.25" customHeight="1">
      <c r="A694" s="7"/>
      <c r="B694" s="7"/>
      <c r="C694" s="7"/>
      <c r="D694" s="7"/>
      <c r="E694" s="174"/>
      <c r="F694" s="174"/>
    </row>
    <row r="695" spans="1:6" ht="14.25" customHeight="1">
      <c r="A695" s="7"/>
      <c r="B695" s="7"/>
      <c r="C695" s="7"/>
      <c r="D695" s="7"/>
      <c r="E695" s="174"/>
      <c r="F695" s="174"/>
    </row>
    <row r="696" spans="1:6" ht="14.25" customHeight="1">
      <c r="A696" s="7"/>
      <c r="B696" s="7"/>
      <c r="C696" s="7"/>
      <c r="D696" s="7"/>
      <c r="E696" s="174"/>
      <c r="F696" s="174"/>
    </row>
    <row r="697" spans="1:6" ht="14.25" customHeight="1">
      <c r="A697" s="7"/>
      <c r="B697" s="7"/>
      <c r="C697" s="7"/>
      <c r="D697" s="7"/>
      <c r="E697" s="174"/>
      <c r="F697" s="174"/>
    </row>
    <row r="698" spans="1:6" ht="14.25" customHeight="1">
      <c r="A698" s="7"/>
      <c r="B698" s="7"/>
      <c r="C698" s="7"/>
      <c r="D698" s="7"/>
      <c r="E698" s="174"/>
      <c r="F698" s="174"/>
    </row>
    <row r="699" spans="1:6" ht="14.25" customHeight="1">
      <c r="A699" s="7"/>
      <c r="B699" s="7"/>
      <c r="C699" s="7"/>
      <c r="D699" s="7"/>
      <c r="E699" s="174"/>
      <c r="F699" s="174"/>
    </row>
    <row r="700" spans="1:6" ht="14.25" customHeight="1">
      <c r="A700" s="7"/>
      <c r="B700" s="7"/>
      <c r="C700" s="7"/>
      <c r="D700" s="7"/>
      <c r="E700" s="174"/>
      <c r="F700" s="174"/>
    </row>
    <row r="701" spans="1:6" ht="14.25" customHeight="1">
      <c r="A701" s="7"/>
      <c r="B701" s="7"/>
      <c r="C701" s="7"/>
      <c r="D701" s="7"/>
      <c r="E701" s="174"/>
      <c r="F701" s="174"/>
    </row>
    <row r="702" spans="1:6" ht="14.25" customHeight="1">
      <c r="A702" s="7"/>
      <c r="B702" s="7"/>
      <c r="C702" s="7"/>
      <c r="D702" s="7"/>
      <c r="E702" s="174"/>
      <c r="F702" s="174"/>
    </row>
    <row r="703" spans="1:6" ht="14.25" customHeight="1">
      <c r="A703" s="7"/>
      <c r="B703" s="7"/>
      <c r="C703" s="7"/>
      <c r="D703" s="7"/>
      <c r="E703" s="174"/>
      <c r="F703" s="174"/>
    </row>
    <row r="704" spans="1:6" ht="14.25" customHeight="1">
      <c r="A704" s="7"/>
      <c r="B704" s="7"/>
      <c r="C704" s="7"/>
      <c r="D704" s="7"/>
      <c r="E704" s="174"/>
      <c r="F704" s="174"/>
    </row>
    <row r="705" spans="1:6" ht="14.25" customHeight="1">
      <c r="A705" s="7"/>
      <c r="B705" s="7"/>
      <c r="C705" s="7"/>
      <c r="D705" s="7"/>
      <c r="E705" s="174"/>
      <c r="F705" s="174"/>
    </row>
    <row r="706" spans="1:6" ht="14.25" customHeight="1">
      <c r="A706" s="7"/>
      <c r="B706" s="7"/>
      <c r="C706" s="7"/>
      <c r="D706" s="7"/>
      <c r="E706" s="174"/>
      <c r="F706" s="174"/>
    </row>
    <row r="707" spans="1:6" ht="14.25" customHeight="1">
      <c r="A707" s="7"/>
      <c r="B707" s="7"/>
      <c r="C707" s="7"/>
      <c r="D707" s="7"/>
      <c r="E707" s="174"/>
      <c r="F707" s="174"/>
    </row>
    <row r="708" spans="1:6" ht="14.25" customHeight="1">
      <c r="A708" s="7"/>
      <c r="B708" s="7"/>
      <c r="C708" s="7"/>
      <c r="D708" s="7"/>
      <c r="E708" s="174"/>
      <c r="F708" s="174"/>
    </row>
    <row r="709" spans="1:6" ht="14.25" customHeight="1">
      <c r="A709" s="7"/>
      <c r="B709" s="7"/>
      <c r="C709" s="7"/>
      <c r="D709" s="7"/>
      <c r="E709" s="174"/>
      <c r="F709" s="174"/>
    </row>
    <row r="710" spans="1:6" ht="14.25" customHeight="1">
      <c r="A710" s="7"/>
      <c r="B710" s="7"/>
      <c r="C710" s="7"/>
      <c r="D710" s="7"/>
      <c r="E710" s="174"/>
      <c r="F710" s="174"/>
    </row>
    <row r="711" spans="1:6" ht="14.25" customHeight="1">
      <c r="A711" s="7"/>
      <c r="B711" s="7"/>
      <c r="C711" s="7"/>
      <c r="D711" s="7"/>
      <c r="E711" s="174"/>
      <c r="F711" s="174"/>
    </row>
    <row r="712" spans="1:6" ht="14.25" customHeight="1">
      <c r="A712" s="7"/>
      <c r="B712" s="7"/>
      <c r="C712" s="7"/>
      <c r="D712" s="7"/>
      <c r="E712" s="174"/>
      <c r="F712" s="174"/>
    </row>
    <row r="713" spans="1:6" ht="14.25" customHeight="1">
      <c r="A713" s="7"/>
      <c r="B713" s="7"/>
      <c r="C713" s="7"/>
      <c r="D713" s="7"/>
      <c r="E713" s="174"/>
      <c r="F713" s="174"/>
    </row>
    <row r="714" spans="1:6" ht="14.25" customHeight="1">
      <c r="A714" s="7"/>
      <c r="B714" s="7"/>
      <c r="C714" s="7"/>
      <c r="D714" s="7"/>
      <c r="E714" s="174"/>
      <c r="F714" s="174"/>
    </row>
    <row r="715" spans="1:6" ht="14.25" customHeight="1">
      <c r="A715" s="7"/>
      <c r="B715" s="7"/>
      <c r="C715" s="7"/>
      <c r="D715" s="7"/>
      <c r="E715" s="174"/>
      <c r="F715" s="174"/>
    </row>
    <row r="716" spans="1:6" ht="14.25" customHeight="1">
      <c r="A716" s="7"/>
      <c r="B716" s="7"/>
      <c r="C716" s="7"/>
      <c r="D716" s="7"/>
      <c r="E716" s="174"/>
      <c r="F716" s="174"/>
    </row>
    <row r="717" spans="1:6" ht="14.25" customHeight="1">
      <c r="A717" s="7"/>
      <c r="B717" s="7"/>
      <c r="C717" s="7"/>
      <c r="D717" s="7"/>
      <c r="E717" s="174"/>
      <c r="F717" s="174"/>
    </row>
    <row r="718" spans="1:6" ht="14.25" customHeight="1">
      <c r="A718" s="7"/>
      <c r="B718" s="7"/>
      <c r="C718" s="7"/>
      <c r="D718" s="7"/>
      <c r="E718" s="174"/>
      <c r="F718" s="174"/>
    </row>
    <row r="719" spans="1:6" ht="14.25" customHeight="1">
      <c r="A719" s="7"/>
      <c r="B719" s="7"/>
      <c r="C719" s="7"/>
      <c r="D719" s="7"/>
      <c r="E719" s="174"/>
      <c r="F719" s="174"/>
    </row>
    <row r="720" spans="1:6" ht="14.25" customHeight="1">
      <c r="A720" s="7"/>
      <c r="B720" s="7"/>
      <c r="C720" s="7"/>
      <c r="D720" s="7"/>
      <c r="E720" s="174"/>
      <c r="F720" s="174"/>
    </row>
    <row r="721" spans="1:6" ht="14.25" customHeight="1">
      <c r="A721" s="7"/>
      <c r="B721" s="7"/>
      <c r="C721" s="7"/>
      <c r="D721" s="7"/>
      <c r="E721" s="174"/>
      <c r="F721" s="174"/>
    </row>
    <row r="722" spans="1:6" ht="14.25" customHeight="1">
      <c r="A722" s="7"/>
      <c r="B722" s="7"/>
      <c r="C722" s="7"/>
      <c r="D722" s="7"/>
      <c r="E722" s="174"/>
      <c r="F722" s="174"/>
    </row>
    <row r="723" spans="1:6" ht="15.75" customHeight="1"/>
    <row r="724" spans="1:6" ht="15.75" customHeight="1"/>
    <row r="725" spans="1:6" ht="15.75" customHeight="1"/>
    <row r="726" spans="1:6" ht="15.75" customHeight="1"/>
    <row r="727" spans="1:6" ht="15.75" customHeight="1"/>
    <row r="728" spans="1:6" ht="15.75" customHeight="1"/>
    <row r="729" spans="1:6" ht="15.75" customHeight="1"/>
    <row r="730" spans="1:6" ht="15.75" customHeight="1"/>
    <row r="731" spans="1:6" ht="15.75" customHeight="1"/>
    <row r="732" spans="1:6" ht="15.75" customHeight="1"/>
    <row r="733" spans="1:6" ht="15.75" customHeight="1"/>
    <row r="734" spans="1:6" ht="15.75" customHeight="1"/>
    <row r="735" spans="1:6" ht="15.75" customHeight="1"/>
    <row r="736" spans="1: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B453:C453"/>
    <mergeCell ref="B454:C454"/>
    <mergeCell ref="A2:C2"/>
    <mergeCell ref="A3:C3"/>
    <mergeCell ref="A4:E4"/>
    <mergeCell ref="A5:D5"/>
    <mergeCell ref="A6:E6"/>
    <mergeCell ref="C9:D9"/>
    <mergeCell ref="B447:C447"/>
  </mergeCells>
  <conditionalFormatting sqref="E11:H11">
    <cfRule type="containsText" dxfId="4" priority="1" operator="containsText" text="quảng trị">
      <formula>NOT(ISERROR(SEARCH(("quảng trị"),(E11))))</formula>
    </cfRule>
  </conditionalFormatting>
  <conditionalFormatting sqref="I11">
    <cfRule type="containsText" dxfId="3" priority="2" operator="containsText" text="thái nguyên">
      <formula>NOT(ISERROR(SEARCH(("thái nguyên"),(I11))))</formula>
    </cfRule>
  </conditionalFormatting>
  <conditionalFormatting sqref="L11:M11">
    <cfRule type="containsText" dxfId="2" priority="3" operator="containsText" text="&quot;quảng ngãi&quot;">
      <formula>NOT(ISERROR(SEARCH(("""quảng ngãi"""),(L11))))</formula>
    </cfRule>
  </conditionalFormatting>
  <conditionalFormatting sqref="N11">
    <cfRule type="containsText" dxfId="1" priority="4" operator="containsText" text="điện biên">
      <formula>NOT(ISERROR(SEARCH(("điện biên"),(N11))))</formula>
    </cfRule>
  </conditionalFormatting>
  <conditionalFormatting sqref="V17:V447">
    <cfRule type="cellIs" dxfId="0" priority="5" operator="lessThan">
      <formula>0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03.10.2024</vt:lpstr>
      <vt:lpstr>Sheet2</vt:lpstr>
      <vt:lpstr>....</vt:lpstr>
      <vt:lpstr>.....</vt:lpstr>
      <vt:lpstr>......</vt:lpstr>
      <vt:lpstr>.... ..</vt:lpstr>
      <vt:lpstr>... </vt:lpstr>
      <vt:lpstr>.. . </vt:lpstr>
      <vt:lpstr>. .</vt:lpstr>
      <vt:lpstr>AAAA</vt:lpstr>
      <vt:lpstr>T10</vt:lpstr>
      <vt:lpstr>Sheet1</vt:lpstr>
      <vt:lpstr>Hòa Bình</vt:lpstr>
      <vt:lpstr>Tây Ninh</vt:lpstr>
      <vt:lpstr>Phú Thọ</vt:lpstr>
      <vt:lpstr>Lào Cai</vt:lpstr>
      <vt:lpstr>Nghệ An</vt:lpstr>
      <vt:lpstr>Sơn La</vt:lpstr>
      <vt:lpstr>An Giang</vt:lpstr>
      <vt:lpstr>Vĩnh Long</vt:lpstr>
      <vt:lpstr>Hà Giang</vt:lpstr>
      <vt:lpstr>Điên Biên</vt:lpstr>
      <vt:lpstr>Cao Bằng</vt:lpstr>
      <vt:lpstr>Yên Bái</vt:lpstr>
      <vt:lpstr>Tuyên Quang</vt:lpstr>
      <vt:lpstr>Thái Nguyên</vt:lpstr>
      <vt:lpstr>Quảng trị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Anh</dc:creator>
  <cp:lastModifiedBy>sean ng</cp:lastModifiedBy>
  <dcterms:created xsi:type="dcterms:W3CDTF">2012-03-30T03:24:19Z</dcterms:created>
  <dcterms:modified xsi:type="dcterms:W3CDTF">2024-11-28T08:25:28Z</dcterms:modified>
</cp:coreProperties>
</file>